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Website\Check Registers\"/>
    </mc:Choice>
  </mc:AlternateContent>
  <bookViews>
    <workbookView xWindow="0" yWindow="0" windowWidth="28800" windowHeight="11700"/>
  </bookViews>
  <sheets>
    <sheet name="DFin1800YtdCheckReg_csv_2019-09" sheetId="1" r:id="rId1"/>
  </sheets>
  <calcPr calcId="0"/>
</workbook>
</file>

<file path=xl/calcChain.xml><?xml version="1.0" encoding="utf-8"?>
<calcChain xmlns="http://schemas.openxmlformats.org/spreadsheetml/2006/main">
  <c r="C2" i="1" l="1"/>
  <c r="E2" i="1"/>
  <c r="F2" i="1"/>
  <c r="H2" i="1"/>
  <c r="I2" i="1"/>
  <c r="J2" i="1"/>
  <c r="L2" i="1"/>
  <c r="M2" i="1"/>
  <c r="C3" i="1"/>
  <c r="E3" i="1"/>
  <c r="F3" i="1"/>
  <c r="H3" i="1"/>
  <c r="I3" i="1"/>
  <c r="J3" i="1"/>
  <c r="L3" i="1"/>
  <c r="M3" i="1"/>
  <c r="C4" i="1"/>
  <c r="E4" i="1"/>
  <c r="F4" i="1"/>
  <c r="H4" i="1"/>
  <c r="I4" i="1"/>
  <c r="J4" i="1"/>
  <c r="L4" i="1"/>
  <c r="M4" i="1"/>
  <c r="C5" i="1"/>
  <c r="E5" i="1"/>
  <c r="F5" i="1"/>
  <c r="H5" i="1"/>
  <c r="I5" i="1"/>
  <c r="J5" i="1"/>
  <c r="L5" i="1"/>
  <c r="M5" i="1"/>
  <c r="C6" i="1"/>
  <c r="E6" i="1"/>
  <c r="F6" i="1"/>
  <c r="H6" i="1"/>
  <c r="I6" i="1"/>
  <c r="J6" i="1"/>
  <c r="L6" i="1"/>
  <c r="M6" i="1"/>
  <c r="C7" i="1"/>
  <c r="E7" i="1"/>
  <c r="F7" i="1"/>
  <c r="H7" i="1"/>
  <c r="I7" i="1"/>
  <c r="J7" i="1"/>
  <c r="L7" i="1"/>
  <c r="M7" i="1"/>
  <c r="C8" i="1"/>
  <c r="E8" i="1"/>
  <c r="F8" i="1"/>
  <c r="H8" i="1"/>
  <c r="I8" i="1"/>
  <c r="J8" i="1"/>
  <c r="L8" i="1"/>
  <c r="M8" i="1"/>
  <c r="C9" i="1"/>
  <c r="E9" i="1"/>
  <c r="F9" i="1"/>
  <c r="H9" i="1"/>
  <c r="I9" i="1"/>
  <c r="J9" i="1"/>
  <c r="L9" i="1"/>
  <c r="M9" i="1"/>
  <c r="C10" i="1"/>
  <c r="E10" i="1"/>
  <c r="F10" i="1"/>
  <c r="H10" i="1"/>
  <c r="I10" i="1"/>
  <c r="J10" i="1"/>
  <c r="L10" i="1"/>
  <c r="M10" i="1"/>
  <c r="C11" i="1"/>
  <c r="E11" i="1"/>
  <c r="F11" i="1"/>
  <c r="H11" i="1"/>
  <c r="I11" i="1"/>
  <c r="J11" i="1"/>
  <c r="L11" i="1"/>
  <c r="M11" i="1"/>
  <c r="C12" i="1"/>
  <c r="E12" i="1"/>
  <c r="F12" i="1"/>
  <c r="H12" i="1"/>
  <c r="I12" i="1"/>
  <c r="J12" i="1"/>
  <c r="L12" i="1"/>
  <c r="M12" i="1"/>
  <c r="C13" i="1"/>
  <c r="E13" i="1"/>
  <c r="F13" i="1"/>
  <c r="H13" i="1"/>
  <c r="I13" i="1"/>
  <c r="J13" i="1"/>
  <c r="L13" i="1"/>
  <c r="M13" i="1"/>
  <c r="C14" i="1"/>
  <c r="E14" i="1"/>
  <c r="F14" i="1"/>
  <c r="H14" i="1"/>
  <c r="I14" i="1"/>
  <c r="J14" i="1"/>
  <c r="L14" i="1"/>
  <c r="M14" i="1"/>
  <c r="C15" i="1"/>
  <c r="E15" i="1"/>
  <c r="F15" i="1"/>
  <c r="H15" i="1"/>
  <c r="I15" i="1"/>
  <c r="J15" i="1"/>
  <c r="L15" i="1"/>
  <c r="M15" i="1"/>
  <c r="C16" i="1"/>
  <c r="E16" i="1"/>
  <c r="F16" i="1"/>
  <c r="H16" i="1"/>
  <c r="I16" i="1"/>
  <c r="J16" i="1"/>
  <c r="L16" i="1"/>
  <c r="M16" i="1"/>
  <c r="C17" i="1"/>
  <c r="E17" i="1"/>
  <c r="F17" i="1"/>
  <c r="H17" i="1"/>
  <c r="I17" i="1"/>
  <c r="J17" i="1"/>
  <c r="L17" i="1"/>
  <c r="M17" i="1"/>
  <c r="C18" i="1"/>
  <c r="E18" i="1"/>
  <c r="F18" i="1"/>
  <c r="H18" i="1"/>
  <c r="I18" i="1"/>
  <c r="J18" i="1"/>
  <c r="L18" i="1"/>
  <c r="M18" i="1"/>
  <c r="C19" i="1"/>
  <c r="E19" i="1"/>
  <c r="F19" i="1"/>
  <c r="H19" i="1"/>
  <c r="I19" i="1"/>
  <c r="J19" i="1"/>
  <c r="L19" i="1"/>
  <c r="M19" i="1"/>
  <c r="C20" i="1"/>
  <c r="E20" i="1"/>
  <c r="F20" i="1"/>
  <c r="H20" i="1"/>
  <c r="I20" i="1"/>
  <c r="J20" i="1"/>
  <c r="L20" i="1"/>
  <c r="M20" i="1"/>
  <c r="C21" i="1"/>
  <c r="E21" i="1"/>
  <c r="F21" i="1"/>
  <c r="H21" i="1"/>
  <c r="I21" i="1"/>
  <c r="J21" i="1"/>
  <c r="L21" i="1"/>
  <c r="M21" i="1"/>
  <c r="C22" i="1"/>
  <c r="E22" i="1"/>
  <c r="F22" i="1"/>
  <c r="H22" i="1"/>
  <c r="I22" i="1"/>
  <c r="J22" i="1"/>
  <c r="L22" i="1"/>
  <c r="M22" i="1"/>
  <c r="C23" i="1"/>
  <c r="E23" i="1"/>
  <c r="F23" i="1"/>
  <c r="H23" i="1"/>
  <c r="I23" i="1"/>
  <c r="J23" i="1"/>
  <c r="L23" i="1"/>
  <c r="M23" i="1"/>
  <c r="C24" i="1"/>
  <c r="E24" i="1"/>
  <c r="F24" i="1"/>
  <c r="H24" i="1"/>
  <c r="I24" i="1"/>
  <c r="J24" i="1"/>
  <c r="L24" i="1"/>
  <c r="M24" i="1"/>
  <c r="C25" i="1"/>
  <c r="E25" i="1"/>
  <c r="F25" i="1"/>
  <c r="H25" i="1"/>
  <c r="I25" i="1"/>
  <c r="J25" i="1"/>
  <c r="L25" i="1"/>
  <c r="M25" i="1"/>
  <c r="C26" i="1"/>
  <c r="E26" i="1"/>
  <c r="F26" i="1"/>
  <c r="H26" i="1"/>
  <c r="I26" i="1"/>
  <c r="J26" i="1"/>
  <c r="L26" i="1"/>
  <c r="M26" i="1"/>
  <c r="C27" i="1"/>
  <c r="E27" i="1"/>
  <c r="F27" i="1"/>
  <c r="H27" i="1"/>
  <c r="I27" i="1"/>
  <c r="J27" i="1"/>
  <c r="L27" i="1"/>
  <c r="M27" i="1"/>
  <c r="C28" i="1"/>
  <c r="E28" i="1"/>
  <c r="F28" i="1"/>
  <c r="H28" i="1"/>
  <c r="I28" i="1"/>
  <c r="J28" i="1"/>
  <c r="L28" i="1"/>
  <c r="M28" i="1"/>
  <c r="C29" i="1"/>
  <c r="E29" i="1"/>
  <c r="F29" i="1"/>
  <c r="H29" i="1"/>
  <c r="I29" i="1"/>
  <c r="J29" i="1"/>
  <c r="L29" i="1"/>
  <c r="M29" i="1"/>
  <c r="C30" i="1"/>
  <c r="E30" i="1"/>
  <c r="F30" i="1"/>
  <c r="H30" i="1"/>
  <c r="I30" i="1"/>
  <c r="J30" i="1"/>
  <c r="L30" i="1"/>
  <c r="M30" i="1"/>
  <c r="C31" i="1"/>
  <c r="E31" i="1"/>
  <c r="F31" i="1"/>
  <c r="H31" i="1"/>
  <c r="I31" i="1"/>
  <c r="J31" i="1"/>
  <c r="L31" i="1"/>
  <c r="M31" i="1"/>
  <c r="C32" i="1"/>
  <c r="E32" i="1"/>
  <c r="F32" i="1"/>
  <c r="H32" i="1"/>
  <c r="I32" i="1"/>
  <c r="J32" i="1"/>
  <c r="L32" i="1"/>
  <c r="M32" i="1"/>
  <c r="C33" i="1"/>
  <c r="E33" i="1"/>
  <c r="F33" i="1"/>
  <c r="H33" i="1"/>
  <c r="I33" i="1"/>
  <c r="J33" i="1"/>
  <c r="L33" i="1"/>
  <c r="M33" i="1"/>
  <c r="C34" i="1"/>
  <c r="E34" i="1"/>
  <c r="F34" i="1"/>
  <c r="H34" i="1"/>
  <c r="I34" i="1"/>
  <c r="J34" i="1"/>
  <c r="L34" i="1"/>
  <c r="M34" i="1"/>
  <c r="C35" i="1"/>
  <c r="E35" i="1"/>
  <c r="F35" i="1"/>
  <c r="H35" i="1"/>
  <c r="I35" i="1"/>
  <c r="J35" i="1"/>
  <c r="L35" i="1"/>
  <c r="M35" i="1"/>
  <c r="C36" i="1"/>
  <c r="E36" i="1"/>
  <c r="F36" i="1"/>
  <c r="H36" i="1"/>
  <c r="I36" i="1"/>
  <c r="J36" i="1"/>
  <c r="L36" i="1"/>
  <c r="M36" i="1"/>
  <c r="C37" i="1"/>
  <c r="E37" i="1"/>
  <c r="F37" i="1"/>
  <c r="H37" i="1"/>
  <c r="I37" i="1"/>
  <c r="J37" i="1"/>
  <c r="L37" i="1"/>
  <c r="M37" i="1"/>
  <c r="C38" i="1"/>
  <c r="E38" i="1"/>
  <c r="F38" i="1"/>
  <c r="H38" i="1"/>
  <c r="I38" i="1"/>
  <c r="J38" i="1"/>
  <c r="L38" i="1"/>
  <c r="M38" i="1"/>
  <c r="C39" i="1"/>
  <c r="E39" i="1"/>
  <c r="F39" i="1"/>
  <c r="H39" i="1"/>
  <c r="I39" i="1"/>
  <c r="J39" i="1"/>
  <c r="L39" i="1"/>
  <c r="M39" i="1"/>
  <c r="C40" i="1"/>
  <c r="E40" i="1"/>
  <c r="F40" i="1"/>
  <c r="H40" i="1"/>
  <c r="I40" i="1"/>
  <c r="J40" i="1"/>
  <c r="L40" i="1"/>
  <c r="M40" i="1"/>
  <c r="C41" i="1"/>
  <c r="E41" i="1"/>
  <c r="F41" i="1"/>
  <c r="H41" i="1"/>
  <c r="I41" i="1"/>
  <c r="J41" i="1"/>
  <c r="L41" i="1"/>
  <c r="M41" i="1"/>
  <c r="C42" i="1"/>
  <c r="E42" i="1"/>
  <c r="F42" i="1"/>
  <c r="H42" i="1"/>
  <c r="I42" i="1"/>
  <c r="J42" i="1"/>
  <c r="L42" i="1"/>
  <c r="M42" i="1"/>
  <c r="C43" i="1"/>
  <c r="E43" i="1"/>
  <c r="F43" i="1"/>
  <c r="H43" i="1"/>
  <c r="I43" i="1"/>
  <c r="J43" i="1"/>
  <c r="L43" i="1"/>
  <c r="M43" i="1"/>
  <c r="C44" i="1"/>
  <c r="E44" i="1"/>
  <c r="F44" i="1"/>
  <c r="H44" i="1"/>
  <c r="I44" i="1"/>
  <c r="J44" i="1"/>
  <c r="L44" i="1"/>
  <c r="M44" i="1"/>
  <c r="C45" i="1"/>
  <c r="E45" i="1"/>
  <c r="F45" i="1"/>
  <c r="H45" i="1"/>
  <c r="I45" i="1"/>
  <c r="J45" i="1"/>
  <c r="L45" i="1"/>
  <c r="M45" i="1"/>
  <c r="C46" i="1"/>
  <c r="E46" i="1"/>
  <c r="F46" i="1"/>
  <c r="H46" i="1"/>
  <c r="I46" i="1"/>
  <c r="J46" i="1"/>
  <c r="L46" i="1"/>
  <c r="M46" i="1"/>
  <c r="C47" i="1"/>
  <c r="E47" i="1"/>
  <c r="F47" i="1"/>
  <c r="H47" i="1"/>
  <c r="I47" i="1"/>
  <c r="J47" i="1"/>
  <c r="L47" i="1"/>
  <c r="M47" i="1"/>
  <c r="C48" i="1"/>
  <c r="E48" i="1"/>
  <c r="F48" i="1"/>
  <c r="H48" i="1"/>
  <c r="I48" i="1"/>
  <c r="J48" i="1"/>
  <c r="L48" i="1"/>
  <c r="M48" i="1"/>
  <c r="C49" i="1"/>
  <c r="E49" i="1"/>
  <c r="F49" i="1"/>
  <c r="H49" i="1"/>
  <c r="I49" i="1"/>
  <c r="J49" i="1"/>
  <c r="L49" i="1"/>
  <c r="M49" i="1"/>
  <c r="C50" i="1"/>
  <c r="E50" i="1"/>
  <c r="F50" i="1"/>
  <c r="H50" i="1"/>
  <c r="I50" i="1"/>
  <c r="J50" i="1"/>
  <c r="L50" i="1"/>
  <c r="M50" i="1"/>
  <c r="C51" i="1"/>
  <c r="E51" i="1"/>
  <c r="F51" i="1"/>
  <c r="H51" i="1"/>
  <c r="I51" i="1"/>
  <c r="J51" i="1"/>
  <c r="L51" i="1"/>
  <c r="M51" i="1"/>
  <c r="C52" i="1"/>
  <c r="E52" i="1"/>
  <c r="F52" i="1"/>
  <c r="H52" i="1"/>
  <c r="I52" i="1"/>
  <c r="J52" i="1"/>
  <c r="L52" i="1"/>
  <c r="M52" i="1"/>
  <c r="C53" i="1"/>
  <c r="E53" i="1"/>
  <c r="F53" i="1"/>
  <c r="H53" i="1"/>
  <c r="I53" i="1"/>
  <c r="J53" i="1"/>
  <c r="L53" i="1"/>
  <c r="M53" i="1"/>
  <c r="C54" i="1"/>
  <c r="E54" i="1"/>
  <c r="F54" i="1"/>
  <c r="H54" i="1"/>
  <c r="I54" i="1"/>
  <c r="J54" i="1"/>
  <c r="L54" i="1"/>
  <c r="M54" i="1"/>
  <c r="C55" i="1"/>
  <c r="E55" i="1"/>
  <c r="F55" i="1"/>
  <c r="H55" i="1"/>
  <c r="I55" i="1"/>
  <c r="J55" i="1"/>
  <c r="L55" i="1"/>
  <c r="M55" i="1"/>
  <c r="C56" i="1"/>
  <c r="E56" i="1"/>
  <c r="F56" i="1"/>
  <c r="H56" i="1"/>
  <c r="I56" i="1"/>
  <c r="J56" i="1"/>
  <c r="L56" i="1"/>
  <c r="M56" i="1"/>
  <c r="C57" i="1"/>
  <c r="E57" i="1"/>
  <c r="F57" i="1"/>
  <c r="H57" i="1"/>
  <c r="I57" i="1"/>
  <c r="J57" i="1"/>
  <c r="L57" i="1"/>
  <c r="M57" i="1"/>
  <c r="C58" i="1"/>
  <c r="E58" i="1"/>
  <c r="F58" i="1"/>
  <c r="H58" i="1"/>
  <c r="I58" i="1"/>
  <c r="J58" i="1"/>
  <c r="L58" i="1"/>
  <c r="M58" i="1"/>
  <c r="C59" i="1"/>
  <c r="E59" i="1"/>
  <c r="F59" i="1"/>
  <c r="H59" i="1"/>
  <c r="I59" i="1"/>
  <c r="J59" i="1"/>
  <c r="L59" i="1"/>
  <c r="M59" i="1"/>
  <c r="C60" i="1"/>
  <c r="E60" i="1"/>
  <c r="F60" i="1"/>
  <c r="H60" i="1"/>
  <c r="I60" i="1"/>
  <c r="J60" i="1"/>
  <c r="L60" i="1"/>
  <c r="M60" i="1"/>
  <c r="C61" i="1"/>
  <c r="E61" i="1"/>
  <c r="F61" i="1"/>
  <c r="H61" i="1"/>
  <c r="I61" i="1"/>
  <c r="J61" i="1"/>
  <c r="L61" i="1"/>
  <c r="M61" i="1"/>
  <c r="C62" i="1"/>
  <c r="E62" i="1"/>
  <c r="F62" i="1"/>
  <c r="H62" i="1"/>
  <c r="I62" i="1"/>
  <c r="J62" i="1"/>
  <c r="L62" i="1"/>
  <c r="M62" i="1"/>
  <c r="C63" i="1"/>
  <c r="E63" i="1"/>
  <c r="F63" i="1"/>
  <c r="H63" i="1"/>
  <c r="I63" i="1"/>
  <c r="J63" i="1"/>
  <c r="L63" i="1"/>
  <c r="M63" i="1"/>
  <c r="C64" i="1"/>
  <c r="E64" i="1"/>
  <c r="F64" i="1"/>
  <c r="H64" i="1"/>
  <c r="I64" i="1"/>
  <c r="J64" i="1"/>
  <c r="L64" i="1"/>
  <c r="M64" i="1"/>
  <c r="C65" i="1"/>
  <c r="E65" i="1"/>
  <c r="F65" i="1"/>
  <c r="H65" i="1"/>
  <c r="I65" i="1"/>
  <c r="J65" i="1"/>
  <c r="L65" i="1"/>
  <c r="M65" i="1"/>
  <c r="C66" i="1"/>
  <c r="E66" i="1"/>
  <c r="F66" i="1"/>
  <c r="H66" i="1"/>
  <c r="I66" i="1"/>
  <c r="J66" i="1"/>
  <c r="L66" i="1"/>
  <c r="M66" i="1"/>
  <c r="C67" i="1"/>
  <c r="E67" i="1"/>
  <c r="F67" i="1"/>
  <c r="H67" i="1"/>
  <c r="I67" i="1"/>
  <c r="J67" i="1"/>
  <c r="L67" i="1"/>
  <c r="M67" i="1"/>
  <c r="C68" i="1"/>
  <c r="E68" i="1"/>
  <c r="F68" i="1"/>
  <c r="H68" i="1"/>
  <c r="I68" i="1"/>
  <c r="J68" i="1"/>
  <c r="L68" i="1"/>
  <c r="M68" i="1"/>
  <c r="C69" i="1"/>
  <c r="E69" i="1"/>
  <c r="F69" i="1"/>
  <c r="H69" i="1"/>
  <c r="I69" i="1"/>
  <c r="J69" i="1"/>
  <c r="L69" i="1"/>
  <c r="M69" i="1"/>
  <c r="C70" i="1"/>
  <c r="E70" i="1"/>
  <c r="F70" i="1"/>
  <c r="H70" i="1"/>
  <c r="I70" i="1"/>
  <c r="J70" i="1"/>
  <c r="L70" i="1"/>
  <c r="M70" i="1"/>
  <c r="C71" i="1"/>
  <c r="E71" i="1"/>
  <c r="F71" i="1"/>
  <c r="H71" i="1"/>
  <c r="I71" i="1"/>
  <c r="J71" i="1"/>
  <c r="L71" i="1"/>
  <c r="M71" i="1"/>
  <c r="C72" i="1"/>
  <c r="E72" i="1"/>
  <c r="F72" i="1"/>
  <c r="H72" i="1"/>
  <c r="I72" i="1"/>
  <c r="J72" i="1"/>
  <c r="L72" i="1"/>
  <c r="M72" i="1"/>
  <c r="C73" i="1"/>
  <c r="E73" i="1"/>
  <c r="F73" i="1"/>
  <c r="H73" i="1"/>
  <c r="I73" i="1"/>
  <c r="J73" i="1"/>
  <c r="L73" i="1"/>
  <c r="M73" i="1"/>
  <c r="C74" i="1"/>
  <c r="E74" i="1"/>
  <c r="F74" i="1"/>
  <c r="H74" i="1"/>
  <c r="I74" i="1"/>
  <c r="J74" i="1"/>
  <c r="L74" i="1"/>
  <c r="M74" i="1"/>
  <c r="C75" i="1"/>
  <c r="E75" i="1"/>
  <c r="F75" i="1"/>
  <c r="H75" i="1"/>
  <c r="I75" i="1"/>
  <c r="J75" i="1"/>
  <c r="L75" i="1"/>
  <c r="M75" i="1"/>
  <c r="C76" i="1"/>
  <c r="E76" i="1"/>
  <c r="F76" i="1"/>
  <c r="H76" i="1"/>
  <c r="I76" i="1"/>
  <c r="J76" i="1"/>
  <c r="L76" i="1"/>
  <c r="M76" i="1"/>
  <c r="C77" i="1"/>
  <c r="E77" i="1"/>
  <c r="F77" i="1"/>
  <c r="H77" i="1"/>
  <c r="I77" i="1"/>
  <c r="J77" i="1"/>
  <c r="L77" i="1"/>
  <c r="M77" i="1"/>
  <c r="C78" i="1"/>
  <c r="E78" i="1"/>
  <c r="F78" i="1"/>
  <c r="H78" i="1"/>
  <c r="I78" i="1"/>
  <c r="J78" i="1"/>
  <c r="L78" i="1"/>
  <c r="M78" i="1"/>
  <c r="C79" i="1"/>
  <c r="E79" i="1"/>
  <c r="F79" i="1"/>
  <c r="H79" i="1"/>
  <c r="I79" i="1"/>
  <c r="J79" i="1"/>
  <c r="L79" i="1"/>
  <c r="M79" i="1"/>
  <c r="C80" i="1"/>
  <c r="E80" i="1"/>
  <c r="F80" i="1"/>
  <c r="H80" i="1"/>
  <c r="I80" i="1"/>
  <c r="J80" i="1"/>
  <c r="L80" i="1"/>
  <c r="M80" i="1"/>
  <c r="C81" i="1"/>
  <c r="E81" i="1"/>
  <c r="F81" i="1"/>
  <c r="H81" i="1"/>
  <c r="I81" i="1"/>
  <c r="J81" i="1"/>
  <c r="L81" i="1"/>
  <c r="M81" i="1"/>
  <c r="C82" i="1"/>
  <c r="E82" i="1"/>
  <c r="F82" i="1"/>
  <c r="H82" i="1"/>
  <c r="I82" i="1"/>
  <c r="J82" i="1"/>
  <c r="L82" i="1"/>
  <c r="M82" i="1"/>
  <c r="C83" i="1"/>
  <c r="E83" i="1"/>
  <c r="F83" i="1"/>
  <c r="H83" i="1"/>
  <c r="I83" i="1"/>
  <c r="J83" i="1"/>
  <c r="L83" i="1"/>
  <c r="M83" i="1"/>
  <c r="C84" i="1"/>
  <c r="E84" i="1"/>
  <c r="F84" i="1"/>
  <c r="H84" i="1"/>
  <c r="I84" i="1"/>
  <c r="J84" i="1"/>
  <c r="L84" i="1"/>
  <c r="M84" i="1"/>
  <c r="C85" i="1"/>
  <c r="E85" i="1"/>
  <c r="F85" i="1"/>
  <c r="H85" i="1"/>
  <c r="I85" i="1"/>
  <c r="J85" i="1"/>
  <c r="L85" i="1"/>
  <c r="M85" i="1"/>
  <c r="C86" i="1"/>
  <c r="E86" i="1"/>
  <c r="F86" i="1"/>
  <c r="H86" i="1"/>
  <c r="I86" i="1"/>
  <c r="J86" i="1"/>
  <c r="L86" i="1"/>
  <c r="M86" i="1"/>
  <c r="C87" i="1"/>
  <c r="E87" i="1"/>
  <c r="F87" i="1"/>
  <c r="H87" i="1"/>
  <c r="I87" i="1"/>
  <c r="J87" i="1"/>
  <c r="L87" i="1"/>
  <c r="M87" i="1"/>
  <c r="C88" i="1"/>
  <c r="E88" i="1"/>
  <c r="F88" i="1"/>
  <c r="H88" i="1"/>
  <c r="I88" i="1"/>
  <c r="J88" i="1"/>
  <c r="L88" i="1"/>
  <c r="M88" i="1"/>
  <c r="C89" i="1"/>
  <c r="E89" i="1"/>
  <c r="F89" i="1"/>
  <c r="H89" i="1"/>
  <c r="I89" i="1"/>
  <c r="J89" i="1"/>
  <c r="L89" i="1"/>
  <c r="M89" i="1"/>
  <c r="C90" i="1"/>
  <c r="E90" i="1"/>
  <c r="F90" i="1"/>
  <c r="H90" i="1"/>
  <c r="I90" i="1"/>
  <c r="J90" i="1"/>
  <c r="L90" i="1"/>
  <c r="M90" i="1"/>
  <c r="C91" i="1"/>
  <c r="E91" i="1"/>
  <c r="F91" i="1"/>
  <c r="H91" i="1"/>
  <c r="I91" i="1"/>
  <c r="J91" i="1"/>
  <c r="L91" i="1"/>
  <c r="M91" i="1"/>
  <c r="C92" i="1"/>
  <c r="E92" i="1"/>
  <c r="F92" i="1"/>
  <c r="H92" i="1"/>
  <c r="I92" i="1"/>
  <c r="J92" i="1"/>
  <c r="L92" i="1"/>
  <c r="M92" i="1"/>
  <c r="C93" i="1"/>
  <c r="E93" i="1"/>
  <c r="F93" i="1"/>
  <c r="H93" i="1"/>
  <c r="I93" i="1"/>
  <c r="J93" i="1"/>
  <c r="L93" i="1"/>
  <c r="M93" i="1"/>
  <c r="C94" i="1"/>
  <c r="E94" i="1"/>
  <c r="F94" i="1"/>
  <c r="H94" i="1"/>
  <c r="I94" i="1"/>
  <c r="J94" i="1"/>
  <c r="L94" i="1"/>
  <c r="M94" i="1"/>
  <c r="C95" i="1"/>
  <c r="E95" i="1"/>
  <c r="F95" i="1"/>
  <c r="H95" i="1"/>
  <c r="I95" i="1"/>
  <c r="J95" i="1"/>
  <c r="L95" i="1"/>
  <c r="M95" i="1"/>
  <c r="C96" i="1"/>
  <c r="E96" i="1"/>
  <c r="F96" i="1"/>
  <c r="H96" i="1"/>
  <c r="I96" i="1"/>
  <c r="J96" i="1"/>
  <c r="L96" i="1"/>
  <c r="M96" i="1"/>
  <c r="C97" i="1"/>
  <c r="E97" i="1"/>
  <c r="F97" i="1"/>
  <c r="H97" i="1"/>
  <c r="I97" i="1"/>
  <c r="J97" i="1"/>
  <c r="L97" i="1"/>
  <c r="M97" i="1"/>
  <c r="C98" i="1"/>
  <c r="E98" i="1"/>
  <c r="F98" i="1"/>
  <c r="H98" i="1"/>
  <c r="I98" i="1"/>
  <c r="J98" i="1"/>
  <c r="L98" i="1"/>
  <c r="M98" i="1"/>
  <c r="C99" i="1"/>
  <c r="E99" i="1"/>
  <c r="F99" i="1"/>
  <c r="H99" i="1"/>
  <c r="I99" i="1"/>
  <c r="J99" i="1"/>
  <c r="L99" i="1"/>
  <c r="M99" i="1"/>
  <c r="C100" i="1"/>
  <c r="E100" i="1"/>
  <c r="F100" i="1"/>
  <c r="H100" i="1"/>
  <c r="I100" i="1"/>
  <c r="J100" i="1"/>
  <c r="L100" i="1"/>
  <c r="M100" i="1"/>
  <c r="C101" i="1"/>
  <c r="E101" i="1"/>
  <c r="F101" i="1"/>
  <c r="H101" i="1"/>
  <c r="I101" i="1"/>
  <c r="J101" i="1"/>
  <c r="L101" i="1"/>
  <c r="M101" i="1"/>
  <c r="C102" i="1"/>
  <c r="E102" i="1"/>
  <c r="F102" i="1"/>
  <c r="H102" i="1"/>
  <c r="I102" i="1"/>
  <c r="J102" i="1"/>
  <c r="L102" i="1"/>
  <c r="M102" i="1"/>
  <c r="C103" i="1"/>
  <c r="E103" i="1"/>
  <c r="F103" i="1"/>
  <c r="H103" i="1"/>
  <c r="I103" i="1"/>
  <c r="J103" i="1"/>
  <c r="L103" i="1"/>
  <c r="M103" i="1"/>
  <c r="C104" i="1"/>
  <c r="E104" i="1"/>
  <c r="F104" i="1"/>
  <c r="H104" i="1"/>
  <c r="I104" i="1"/>
  <c r="J104" i="1"/>
  <c r="L104" i="1"/>
  <c r="M104" i="1"/>
  <c r="C105" i="1"/>
  <c r="E105" i="1"/>
  <c r="F105" i="1"/>
  <c r="H105" i="1"/>
  <c r="I105" i="1"/>
  <c r="J105" i="1"/>
  <c r="L105" i="1"/>
  <c r="M105" i="1"/>
  <c r="C106" i="1"/>
  <c r="E106" i="1"/>
  <c r="F106" i="1"/>
  <c r="H106" i="1"/>
  <c r="I106" i="1"/>
  <c r="J106" i="1"/>
  <c r="L106" i="1"/>
  <c r="M106" i="1"/>
  <c r="C107" i="1"/>
  <c r="E107" i="1"/>
  <c r="F107" i="1"/>
  <c r="H107" i="1"/>
  <c r="I107" i="1"/>
  <c r="J107" i="1"/>
  <c r="L107" i="1"/>
  <c r="M107" i="1"/>
  <c r="C108" i="1"/>
  <c r="E108" i="1"/>
  <c r="F108" i="1"/>
  <c r="H108" i="1"/>
  <c r="I108" i="1"/>
  <c r="J108" i="1"/>
  <c r="L108" i="1"/>
  <c r="M108" i="1"/>
  <c r="C109" i="1"/>
  <c r="E109" i="1"/>
  <c r="F109" i="1"/>
  <c r="H109" i="1"/>
  <c r="I109" i="1"/>
  <c r="J109" i="1"/>
  <c r="L109" i="1"/>
  <c r="M109" i="1"/>
  <c r="C110" i="1"/>
  <c r="E110" i="1"/>
  <c r="F110" i="1"/>
  <c r="H110" i="1"/>
  <c r="I110" i="1"/>
  <c r="J110" i="1"/>
  <c r="L110" i="1"/>
  <c r="M110" i="1"/>
  <c r="C111" i="1"/>
  <c r="E111" i="1"/>
  <c r="F111" i="1"/>
  <c r="H111" i="1"/>
  <c r="I111" i="1"/>
  <c r="J111" i="1"/>
  <c r="L111" i="1"/>
  <c r="M111" i="1"/>
  <c r="C112" i="1"/>
  <c r="E112" i="1"/>
  <c r="F112" i="1"/>
  <c r="H112" i="1"/>
  <c r="I112" i="1"/>
  <c r="J112" i="1"/>
  <c r="L112" i="1"/>
  <c r="M112" i="1"/>
  <c r="C113" i="1"/>
  <c r="E113" i="1"/>
  <c r="F113" i="1"/>
  <c r="H113" i="1"/>
  <c r="I113" i="1"/>
  <c r="J113" i="1"/>
  <c r="L113" i="1"/>
  <c r="M113" i="1"/>
  <c r="C114" i="1"/>
  <c r="E114" i="1"/>
  <c r="F114" i="1"/>
  <c r="H114" i="1"/>
  <c r="I114" i="1"/>
  <c r="J114" i="1"/>
  <c r="L114" i="1"/>
  <c r="M114" i="1"/>
  <c r="C115" i="1"/>
  <c r="E115" i="1"/>
  <c r="F115" i="1"/>
  <c r="H115" i="1"/>
  <c r="I115" i="1"/>
  <c r="J115" i="1"/>
  <c r="L115" i="1"/>
  <c r="M115" i="1"/>
  <c r="C116" i="1"/>
  <c r="E116" i="1"/>
  <c r="F116" i="1"/>
  <c r="H116" i="1"/>
  <c r="I116" i="1"/>
  <c r="J116" i="1"/>
  <c r="L116" i="1"/>
  <c r="M116" i="1"/>
  <c r="C117" i="1"/>
  <c r="E117" i="1"/>
  <c r="F117" i="1"/>
  <c r="H117" i="1"/>
  <c r="I117" i="1"/>
  <c r="J117" i="1"/>
  <c r="L117" i="1"/>
  <c r="M117" i="1"/>
  <c r="C118" i="1"/>
  <c r="E118" i="1"/>
  <c r="F118" i="1"/>
  <c r="H118" i="1"/>
  <c r="I118" i="1"/>
  <c r="J118" i="1"/>
  <c r="L118" i="1"/>
  <c r="M118" i="1"/>
  <c r="C119" i="1"/>
  <c r="E119" i="1"/>
  <c r="F119" i="1"/>
  <c r="H119" i="1"/>
  <c r="I119" i="1"/>
  <c r="J119" i="1"/>
  <c r="L119" i="1"/>
  <c r="M119" i="1"/>
  <c r="C120" i="1"/>
  <c r="E120" i="1"/>
  <c r="F120" i="1"/>
  <c r="H120" i="1"/>
  <c r="I120" i="1"/>
  <c r="J120" i="1"/>
  <c r="L120" i="1"/>
  <c r="M120" i="1"/>
  <c r="C121" i="1"/>
  <c r="E121" i="1"/>
  <c r="F121" i="1"/>
  <c r="H121" i="1"/>
  <c r="I121" i="1"/>
  <c r="J121" i="1"/>
  <c r="L121" i="1"/>
  <c r="M121" i="1"/>
  <c r="C122" i="1"/>
  <c r="E122" i="1"/>
  <c r="F122" i="1"/>
  <c r="H122" i="1"/>
  <c r="I122" i="1"/>
  <c r="J122" i="1"/>
  <c r="L122" i="1"/>
  <c r="M122" i="1"/>
  <c r="C123" i="1"/>
  <c r="E123" i="1"/>
  <c r="F123" i="1"/>
  <c r="H123" i="1"/>
  <c r="I123" i="1"/>
  <c r="J123" i="1"/>
  <c r="L123" i="1"/>
  <c r="M123" i="1"/>
  <c r="C124" i="1"/>
  <c r="E124" i="1"/>
  <c r="F124" i="1"/>
  <c r="H124" i="1"/>
  <c r="I124" i="1"/>
  <c r="J124" i="1"/>
  <c r="L124" i="1"/>
  <c r="M124" i="1"/>
  <c r="C125" i="1"/>
  <c r="E125" i="1"/>
  <c r="F125" i="1"/>
  <c r="H125" i="1"/>
  <c r="I125" i="1"/>
  <c r="J125" i="1"/>
  <c r="L125" i="1"/>
  <c r="M125" i="1"/>
  <c r="C126" i="1"/>
  <c r="E126" i="1"/>
  <c r="F126" i="1"/>
  <c r="H126" i="1"/>
  <c r="I126" i="1"/>
  <c r="J126" i="1"/>
  <c r="L126" i="1"/>
  <c r="M126" i="1"/>
  <c r="C127" i="1"/>
  <c r="E127" i="1"/>
  <c r="F127" i="1"/>
  <c r="H127" i="1"/>
  <c r="I127" i="1"/>
  <c r="J127" i="1"/>
  <c r="L127" i="1"/>
  <c r="M127" i="1"/>
  <c r="C128" i="1"/>
  <c r="E128" i="1"/>
  <c r="F128" i="1"/>
  <c r="H128" i="1"/>
  <c r="I128" i="1"/>
  <c r="J128" i="1"/>
  <c r="L128" i="1"/>
  <c r="M128" i="1"/>
  <c r="C129" i="1"/>
  <c r="E129" i="1"/>
  <c r="F129" i="1"/>
  <c r="H129" i="1"/>
  <c r="I129" i="1"/>
  <c r="J129" i="1"/>
  <c r="L129" i="1"/>
  <c r="M129" i="1"/>
  <c r="C130" i="1"/>
  <c r="E130" i="1"/>
  <c r="F130" i="1"/>
  <c r="H130" i="1"/>
  <c r="I130" i="1"/>
  <c r="J130" i="1"/>
  <c r="L130" i="1"/>
  <c r="M130" i="1"/>
  <c r="C131" i="1"/>
  <c r="E131" i="1"/>
  <c r="F131" i="1"/>
  <c r="H131" i="1"/>
  <c r="I131" i="1"/>
  <c r="J131" i="1"/>
  <c r="L131" i="1"/>
  <c r="M131" i="1"/>
  <c r="C132" i="1"/>
  <c r="E132" i="1"/>
  <c r="F132" i="1"/>
  <c r="H132" i="1"/>
  <c r="I132" i="1"/>
  <c r="J132" i="1"/>
  <c r="L132" i="1"/>
  <c r="M132" i="1"/>
  <c r="C133" i="1"/>
  <c r="E133" i="1"/>
  <c r="F133" i="1"/>
  <c r="H133" i="1"/>
  <c r="I133" i="1"/>
  <c r="J133" i="1"/>
  <c r="L133" i="1"/>
  <c r="M133" i="1"/>
  <c r="C134" i="1"/>
  <c r="E134" i="1"/>
  <c r="F134" i="1"/>
  <c r="H134" i="1"/>
  <c r="I134" i="1"/>
  <c r="J134" i="1"/>
  <c r="L134" i="1"/>
  <c r="M134" i="1"/>
  <c r="C135" i="1"/>
  <c r="E135" i="1"/>
  <c r="F135" i="1"/>
  <c r="H135" i="1"/>
  <c r="I135" i="1"/>
  <c r="J135" i="1"/>
  <c r="L135" i="1"/>
  <c r="M135" i="1"/>
  <c r="C136" i="1"/>
  <c r="E136" i="1"/>
  <c r="F136" i="1"/>
  <c r="H136" i="1"/>
  <c r="I136" i="1"/>
  <c r="J136" i="1"/>
  <c r="L136" i="1"/>
  <c r="M136" i="1"/>
  <c r="C137" i="1"/>
  <c r="E137" i="1"/>
  <c r="F137" i="1"/>
  <c r="H137" i="1"/>
  <c r="I137" i="1"/>
  <c r="J137" i="1"/>
  <c r="L137" i="1"/>
  <c r="M137" i="1"/>
  <c r="C138" i="1"/>
  <c r="E138" i="1"/>
  <c r="F138" i="1"/>
  <c r="H138" i="1"/>
  <c r="I138" i="1"/>
  <c r="J138" i="1"/>
  <c r="L138" i="1"/>
  <c r="M138" i="1"/>
  <c r="C139" i="1"/>
  <c r="E139" i="1"/>
  <c r="F139" i="1"/>
  <c r="H139" i="1"/>
  <c r="I139" i="1"/>
  <c r="J139" i="1"/>
  <c r="L139" i="1"/>
  <c r="M139" i="1"/>
  <c r="C140" i="1"/>
  <c r="E140" i="1"/>
  <c r="F140" i="1"/>
  <c r="H140" i="1"/>
  <c r="I140" i="1"/>
  <c r="J140" i="1"/>
  <c r="L140" i="1"/>
  <c r="M140" i="1"/>
  <c r="C141" i="1"/>
  <c r="E141" i="1"/>
  <c r="F141" i="1"/>
  <c r="H141" i="1"/>
  <c r="I141" i="1"/>
  <c r="J141" i="1"/>
  <c r="L141" i="1"/>
  <c r="M141" i="1"/>
  <c r="C142" i="1"/>
  <c r="E142" i="1"/>
  <c r="F142" i="1"/>
  <c r="H142" i="1"/>
  <c r="I142" i="1"/>
  <c r="J142" i="1"/>
  <c r="L142" i="1"/>
  <c r="M142" i="1"/>
  <c r="C143" i="1"/>
  <c r="E143" i="1"/>
  <c r="F143" i="1"/>
  <c r="H143" i="1"/>
  <c r="I143" i="1"/>
  <c r="J143" i="1"/>
  <c r="L143" i="1"/>
  <c r="M143" i="1"/>
  <c r="C144" i="1"/>
  <c r="E144" i="1"/>
  <c r="F144" i="1"/>
  <c r="H144" i="1"/>
  <c r="I144" i="1"/>
  <c r="J144" i="1"/>
  <c r="L144" i="1"/>
  <c r="M144" i="1"/>
  <c r="C145" i="1"/>
  <c r="E145" i="1"/>
  <c r="F145" i="1"/>
  <c r="H145" i="1"/>
  <c r="I145" i="1"/>
  <c r="J145" i="1"/>
  <c r="L145" i="1"/>
  <c r="M145" i="1"/>
  <c r="C146" i="1"/>
  <c r="E146" i="1"/>
  <c r="F146" i="1"/>
  <c r="H146" i="1"/>
  <c r="I146" i="1"/>
  <c r="J146" i="1"/>
  <c r="L146" i="1"/>
  <c r="M146" i="1"/>
  <c r="C147" i="1"/>
  <c r="E147" i="1"/>
  <c r="F147" i="1"/>
  <c r="H147" i="1"/>
  <c r="I147" i="1"/>
  <c r="J147" i="1"/>
  <c r="L147" i="1"/>
  <c r="M147" i="1"/>
  <c r="C148" i="1"/>
  <c r="E148" i="1"/>
  <c r="F148" i="1"/>
  <c r="H148" i="1"/>
  <c r="I148" i="1"/>
  <c r="J148" i="1"/>
  <c r="L148" i="1"/>
  <c r="M148" i="1"/>
  <c r="C149" i="1"/>
  <c r="E149" i="1"/>
  <c r="F149" i="1"/>
  <c r="H149" i="1"/>
  <c r="I149" i="1"/>
  <c r="J149" i="1"/>
  <c r="L149" i="1"/>
  <c r="M149" i="1"/>
  <c r="C150" i="1"/>
  <c r="E150" i="1"/>
  <c r="F150" i="1"/>
  <c r="H150" i="1"/>
  <c r="I150" i="1"/>
  <c r="J150" i="1"/>
  <c r="L150" i="1"/>
  <c r="M150" i="1"/>
  <c r="C151" i="1"/>
  <c r="E151" i="1"/>
  <c r="F151" i="1"/>
  <c r="H151" i="1"/>
  <c r="I151" i="1"/>
  <c r="J151" i="1"/>
  <c r="L151" i="1"/>
  <c r="M151" i="1"/>
  <c r="C152" i="1"/>
  <c r="E152" i="1"/>
  <c r="F152" i="1"/>
  <c r="H152" i="1"/>
  <c r="I152" i="1"/>
  <c r="J152" i="1"/>
  <c r="L152" i="1"/>
  <c r="M152" i="1"/>
  <c r="C153" i="1"/>
  <c r="E153" i="1"/>
  <c r="F153" i="1"/>
  <c r="H153" i="1"/>
  <c r="I153" i="1"/>
  <c r="J153" i="1"/>
  <c r="L153" i="1"/>
  <c r="M153" i="1"/>
  <c r="C154" i="1"/>
  <c r="E154" i="1"/>
  <c r="F154" i="1"/>
  <c r="H154" i="1"/>
  <c r="I154" i="1"/>
  <c r="J154" i="1"/>
  <c r="L154" i="1"/>
  <c r="M154" i="1"/>
  <c r="C155" i="1"/>
  <c r="E155" i="1"/>
  <c r="F155" i="1"/>
  <c r="H155" i="1"/>
  <c r="I155" i="1"/>
  <c r="J155" i="1"/>
  <c r="L155" i="1"/>
  <c r="M155" i="1"/>
  <c r="C156" i="1"/>
  <c r="E156" i="1"/>
  <c r="F156" i="1"/>
  <c r="H156" i="1"/>
  <c r="I156" i="1"/>
  <c r="J156" i="1"/>
  <c r="L156" i="1"/>
  <c r="M156" i="1"/>
  <c r="C157" i="1"/>
  <c r="E157" i="1"/>
  <c r="F157" i="1"/>
  <c r="H157" i="1"/>
  <c r="I157" i="1"/>
  <c r="J157" i="1"/>
  <c r="L157" i="1"/>
  <c r="M157" i="1"/>
  <c r="C158" i="1"/>
  <c r="E158" i="1"/>
  <c r="F158" i="1"/>
  <c r="H158" i="1"/>
  <c r="I158" i="1"/>
  <c r="J158" i="1"/>
  <c r="L158" i="1"/>
  <c r="M158" i="1"/>
  <c r="C159" i="1"/>
  <c r="E159" i="1"/>
  <c r="F159" i="1"/>
  <c r="H159" i="1"/>
  <c r="I159" i="1"/>
  <c r="J159" i="1"/>
  <c r="L159" i="1"/>
  <c r="M159" i="1"/>
  <c r="C160" i="1"/>
  <c r="E160" i="1"/>
  <c r="F160" i="1"/>
  <c r="H160" i="1"/>
  <c r="I160" i="1"/>
  <c r="J160" i="1"/>
  <c r="L160" i="1"/>
  <c r="M160" i="1"/>
  <c r="C161" i="1"/>
  <c r="E161" i="1"/>
  <c r="F161" i="1"/>
  <c r="H161" i="1"/>
  <c r="I161" i="1"/>
  <c r="J161" i="1"/>
  <c r="L161" i="1"/>
  <c r="M161" i="1"/>
  <c r="C162" i="1"/>
  <c r="E162" i="1"/>
  <c r="F162" i="1"/>
  <c r="H162" i="1"/>
  <c r="I162" i="1"/>
  <c r="J162" i="1"/>
  <c r="L162" i="1"/>
  <c r="M162" i="1"/>
  <c r="C163" i="1"/>
  <c r="E163" i="1"/>
  <c r="F163" i="1"/>
  <c r="H163" i="1"/>
  <c r="I163" i="1"/>
  <c r="J163" i="1"/>
  <c r="L163" i="1"/>
  <c r="M163" i="1"/>
  <c r="C164" i="1"/>
  <c r="E164" i="1"/>
  <c r="F164" i="1"/>
  <c r="H164" i="1"/>
  <c r="I164" i="1"/>
  <c r="J164" i="1"/>
  <c r="L164" i="1"/>
  <c r="M164" i="1"/>
  <c r="C165" i="1"/>
  <c r="E165" i="1"/>
  <c r="F165" i="1"/>
  <c r="H165" i="1"/>
  <c r="I165" i="1"/>
  <c r="J165" i="1"/>
  <c r="L165" i="1"/>
  <c r="M165" i="1"/>
  <c r="C166" i="1"/>
  <c r="E166" i="1"/>
  <c r="F166" i="1"/>
  <c r="H166" i="1"/>
  <c r="I166" i="1"/>
  <c r="J166" i="1"/>
  <c r="L166" i="1"/>
  <c r="M166" i="1"/>
  <c r="C167" i="1"/>
  <c r="E167" i="1"/>
  <c r="F167" i="1"/>
  <c r="H167" i="1"/>
  <c r="I167" i="1"/>
  <c r="J167" i="1"/>
  <c r="L167" i="1"/>
  <c r="M167" i="1"/>
  <c r="C168" i="1"/>
  <c r="E168" i="1"/>
  <c r="F168" i="1"/>
  <c r="H168" i="1"/>
  <c r="I168" i="1"/>
  <c r="J168" i="1"/>
  <c r="L168" i="1"/>
  <c r="M168" i="1"/>
  <c r="C169" i="1"/>
  <c r="E169" i="1"/>
  <c r="F169" i="1"/>
  <c r="H169" i="1"/>
  <c r="I169" i="1"/>
  <c r="J169" i="1"/>
  <c r="L169" i="1"/>
  <c r="M169" i="1"/>
  <c r="C170" i="1"/>
  <c r="E170" i="1"/>
  <c r="F170" i="1"/>
  <c r="H170" i="1"/>
  <c r="I170" i="1"/>
  <c r="J170" i="1"/>
  <c r="L170" i="1"/>
  <c r="M170" i="1"/>
  <c r="C171" i="1"/>
  <c r="E171" i="1"/>
  <c r="F171" i="1"/>
  <c r="H171" i="1"/>
  <c r="I171" i="1"/>
  <c r="J171" i="1"/>
  <c r="L171" i="1"/>
  <c r="M171" i="1"/>
  <c r="C172" i="1"/>
  <c r="E172" i="1"/>
  <c r="F172" i="1"/>
  <c r="H172" i="1"/>
  <c r="I172" i="1"/>
  <c r="J172" i="1"/>
  <c r="L172" i="1"/>
  <c r="M172" i="1"/>
  <c r="C173" i="1"/>
  <c r="E173" i="1"/>
  <c r="F173" i="1"/>
  <c r="H173" i="1"/>
  <c r="I173" i="1"/>
  <c r="J173" i="1"/>
  <c r="L173" i="1"/>
  <c r="M173" i="1"/>
  <c r="C174" i="1"/>
  <c r="E174" i="1"/>
  <c r="F174" i="1"/>
  <c r="H174" i="1"/>
  <c r="I174" i="1"/>
  <c r="J174" i="1"/>
  <c r="L174" i="1"/>
  <c r="M174" i="1"/>
  <c r="C175" i="1"/>
  <c r="E175" i="1"/>
  <c r="F175" i="1"/>
  <c r="H175" i="1"/>
  <c r="I175" i="1"/>
  <c r="J175" i="1"/>
  <c r="L175" i="1"/>
  <c r="M175" i="1"/>
  <c r="C176" i="1"/>
  <c r="E176" i="1"/>
  <c r="F176" i="1"/>
  <c r="H176" i="1"/>
  <c r="I176" i="1"/>
  <c r="J176" i="1"/>
  <c r="L176" i="1"/>
  <c r="M176" i="1"/>
  <c r="C177" i="1"/>
  <c r="E177" i="1"/>
  <c r="F177" i="1"/>
  <c r="H177" i="1"/>
  <c r="I177" i="1"/>
  <c r="J177" i="1"/>
  <c r="L177" i="1"/>
  <c r="M177" i="1"/>
  <c r="C178" i="1"/>
  <c r="E178" i="1"/>
  <c r="F178" i="1"/>
  <c r="H178" i="1"/>
  <c r="I178" i="1"/>
  <c r="J178" i="1"/>
  <c r="L178" i="1"/>
  <c r="M178" i="1"/>
  <c r="C179" i="1"/>
  <c r="E179" i="1"/>
  <c r="F179" i="1"/>
  <c r="H179" i="1"/>
  <c r="I179" i="1"/>
  <c r="J179" i="1"/>
  <c r="L179" i="1"/>
  <c r="M179" i="1"/>
  <c r="C180" i="1"/>
  <c r="E180" i="1"/>
  <c r="F180" i="1"/>
  <c r="H180" i="1"/>
  <c r="I180" i="1"/>
  <c r="J180" i="1"/>
  <c r="L180" i="1"/>
  <c r="M180" i="1"/>
  <c r="C181" i="1"/>
  <c r="E181" i="1"/>
  <c r="F181" i="1"/>
  <c r="H181" i="1"/>
  <c r="I181" i="1"/>
  <c r="J181" i="1"/>
  <c r="L181" i="1"/>
  <c r="M181" i="1"/>
  <c r="C182" i="1"/>
  <c r="E182" i="1"/>
  <c r="F182" i="1"/>
  <c r="H182" i="1"/>
  <c r="I182" i="1"/>
  <c r="J182" i="1"/>
  <c r="L182" i="1"/>
  <c r="M182" i="1"/>
  <c r="C183" i="1"/>
  <c r="E183" i="1"/>
  <c r="F183" i="1"/>
  <c r="H183" i="1"/>
  <c r="I183" i="1"/>
  <c r="J183" i="1"/>
  <c r="L183" i="1"/>
  <c r="M183" i="1"/>
  <c r="C184" i="1"/>
  <c r="E184" i="1"/>
  <c r="F184" i="1"/>
  <c r="H184" i="1"/>
  <c r="I184" i="1"/>
  <c r="J184" i="1"/>
  <c r="L184" i="1"/>
  <c r="M184" i="1"/>
  <c r="C185" i="1"/>
  <c r="E185" i="1"/>
  <c r="F185" i="1"/>
  <c r="H185" i="1"/>
  <c r="I185" i="1"/>
  <c r="J185" i="1"/>
  <c r="L185" i="1"/>
  <c r="M185" i="1"/>
  <c r="C186" i="1"/>
  <c r="E186" i="1"/>
  <c r="F186" i="1"/>
  <c r="H186" i="1"/>
  <c r="I186" i="1"/>
  <c r="J186" i="1"/>
  <c r="L186" i="1"/>
  <c r="M186" i="1"/>
  <c r="C187" i="1"/>
  <c r="E187" i="1"/>
  <c r="F187" i="1"/>
  <c r="H187" i="1"/>
  <c r="I187" i="1"/>
  <c r="J187" i="1"/>
  <c r="L187" i="1"/>
  <c r="M187" i="1"/>
  <c r="C188" i="1"/>
  <c r="E188" i="1"/>
  <c r="F188" i="1"/>
  <c r="H188" i="1"/>
  <c r="I188" i="1"/>
  <c r="J188" i="1"/>
  <c r="L188" i="1"/>
  <c r="M188" i="1"/>
  <c r="C189" i="1"/>
  <c r="E189" i="1"/>
  <c r="F189" i="1"/>
  <c r="H189" i="1"/>
  <c r="I189" i="1"/>
  <c r="J189" i="1"/>
  <c r="L189" i="1"/>
  <c r="M189" i="1"/>
  <c r="C190" i="1"/>
  <c r="E190" i="1"/>
  <c r="F190" i="1"/>
  <c r="H190" i="1"/>
  <c r="I190" i="1"/>
  <c r="J190" i="1"/>
  <c r="L190" i="1"/>
  <c r="M190" i="1"/>
  <c r="C191" i="1"/>
  <c r="E191" i="1"/>
  <c r="F191" i="1"/>
  <c r="H191" i="1"/>
  <c r="I191" i="1"/>
  <c r="J191" i="1"/>
  <c r="L191" i="1"/>
  <c r="M191" i="1"/>
  <c r="C192" i="1"/>
  <c r="E192" i="1"/>
  <c r="F192" i="1"/>
  <c r="H192" i="1"/>
  <c r="I192" i="1"/>
  <c r="J192" i="1"/>
  <c r="L192" i="1"/>
  <c r="M192" i="1"/>
  <c r="C193" i="1"/>
  <c r="E193" i="1"/>
  <c r="F193" i="1"/>
  <c r="H193" i="1"/>
  <c r="I193" i="1"/>
  <c r="J193" i="1"/>
  <c r="L193" i="1"/>
  <c r="M193" i="1"/>
  <c r="C194" i="1"/>
  <c r="E194" i="1"/>
  <c r="F194" i="1"/>
  <c r="H194" i="1"/>
  <c r="I194" i="1"/>
  <c r="J194" i="1"/>
  <c r="L194" i="1"/>
  <c r="M194" i="1"/>
  <c r="C195" i="1"/>
  <c r="E195" i="1"/>
  <c r="F195" i="1"/>
  <c r="H195" i="1"/>
  <c r="I195" i="1"/>
  <c r="J195" i="1"/>
  <c r="L195" i="1"/>
  <c r="M195" i="1"/>
  <c r="C196" i="1"/>
  <c r="E196" i="1"/>
  <c r="F196" i="1"/>
  <c r="H196" i="1"/>
  <c r="I196" i="1"/>
  <c r="J196" i="1"/>
  <c r="L196" i="1"/>
  <c r="M196" i="1"/>
  <c r="C197" i="1"/>
  <c r="E197" i="1"/>
  <c r="F197" i="1"/>
  <c r="H197" i="1"/>
  <c r="I197" i="1"/>
  <c r="J197" i="1"/>
  <c r="L197" i="1"/>
  <c r="M197" i="1"/>
  <c r="C198" i="1"/>
  <c r="E198" i="1"/>
  <c r="F198" i="1"/>
  <c r="H198" i="1"/>
  <c r="I198" i="1"/>
  <c r="J198" i="1"/>
  <c r="L198" i="1"/>
  <c r="M198" i="1"/>
  <c r="C199" i="1"/>
  <c r="E199" i="1"/>
  <c r="F199" i="1"/>
  <c r="H199" i="1"/>
  <c r="I199" i="1"/>
  <c r="J199" i="1"/>
  <c r="L199" i="1"/>
  <c r="M199" i="1"/>
  <c r="C200" i="1"/>
  <c r="E200" i="1"/>
  <c r="F200" i="1"/>
  <c r="H200" i="1"/>
  <c r="I200" i="1"/>
  <c r="J200" i="1"/>
  <c r="L200" i="1"/>
  <c r="M200" i="1"/>
  <c r="C201" i="1"/>
  <c r="E201" i="1"/>
  <c r="F201" i="1"/>
  <c r="H201" i="1"/>
  <c r="I201" i="1"/>
  <c r="J201" i="1"/>
  <c r="L201" i="1"/>
  <c r="M201" i="1"/>
  <c r="C202" i="1"/>
  <c r="E202" i="1"/>
  <c r="F202" i="1"/>
  <c r="H202" i="1"/>
  <c r="I202" i="1"/>
  <c r="J202" i="1"/>
  <c r="L202" i="1"/>
  <c r="M202" i="1"/>
  <c r="C203" i="1"/>
  <c r="E203" i="1"/>
  <c r="F203" i="1"/>
  <c r="H203" i="1"/>
  <c r="I203" i="1"/>
  <c r="J203" i="1"/>
  <c r="L203" i="1"/>
  <c r="M203" i="1"/>
  <c r="C204" i="1"/>
  <c r="E204" i="1"/>
  <c r="F204" i="1"/>
  <c r="H204" i="1"/>
  <c r="I204" i="1"/>
  <c r="J204" i="1"/>
  <c r="L204" i="1"/>
  <c r="M204" i="1"/>
  <c r="C205" i="1"/>
  <c r="E205" i="1"/>
  <c r="F205" i="1"/>
  <c r="H205" i="1"/>
  <c r="I205" i="1"/>
  <c r="J205" i="1"/>
  <c r="L205" i="1"/>
  <c r="M205" i="1"/>
  <c r="C206" i="1"/>
  <c r="E206" i="1"/>
  <c r="F206" i="1"/>
  <c r="H206" i="1"/>
  <c r="I206" i="1"/>
  <c r="J206" i="1"/>
  <c r="L206" i="1"/>
  <c r="M206" i="1"/>
  <c r="C207" i="1"/>
  <c r="E207" i="1"/>
  <c r="F207" i="1"/>
  <c r="H207" i="1"/>
  <c r="I207" i="1"/>
  <c r="J207" i="1"/>
  <c r="L207" i="1"/>
  <c r="M207" i="1"/>
  <c r="C208" i="1"/>
  <c r="E208" i="1"/>
  <c r="F208" i="1"/>
  <c r="H208" i="1"/>
  <c r="I208" i="1"/>
  <c r="J208" i="1"/>
  <c r="L208" i="1"/>
  <c r="M208" i="1"/>
  <c r="C209" i="1"/>
  <c r="E209" i="1"/>
  <c r="F209" i="1"/>
  <c r="H209" i="1"/>
  <c r="I209" i="1"/>
  <c r="J209" i="1"/>
  <c r="L209" i="1"/>
  <c r="M209" i="1"/>
  <c r="C210" i="1"/>
  <c r="E210" i="1"/>
  <c r="F210" i="1"/>
  <c r="H210" i="1"/>
  <c r="I210" i="1"/>
  <c r="J210" i="1"/>
  <c r="L210" i="1"/>
  <c r="M210" i="1"/>
  <c r="C211" i="1"/>
  <c r="E211" i="1"/>
  <c r="F211" i="1"/>
  <c r="H211" i="1"/>
  <c r="I211" i="1"/>
  <c r="J211" i="1"/>
  <c r="L211" i="1"/>
  <c r="M211" i="1"/>
  <c r="C212" i="1"/>
  <c r="E212" i="1"/>
  <c r="F212" i="1"/>
  <c r="H212" i="1"/>
  <c r="I212" i="1"/>
  <c r="J212" i="1"/>
  <c r="L212" i="1"/>
  <c r="M212" i="1"/>
  <c r="C213" i="1"/>
  <c r="E213" i="1"/>
  <c r="F213" i="1"/>
  <c r="H213" i="1"/>
  <c r="I213" i="1"/>
  <c r="J213" i="1"/>
  <c r="L213" i="1"/>
  <c r="M213" i="1"/>
  <c r="C214" i="1"/>
  <c r="E214" i="1"/>
  <c r="F214" i="1"/>
  <c r="H214" i="1"/>
  <c r="I214" i="1"/>
  <c r="J214" i="1"/>
  <c r="L214" i="1"/>
  <c r="M214" i="1"/>
  <c r="C215" i="1"/>
  <c r="E215" i="1"/>
  <c r="F215" i="1"/>
  <c r="H215" i="1"/>
  <c r="I215" i="1"/>
  <c r="J215" i="1"/>
  <c r="L215" i="1"/>
  <c r="M215" i="1"/>
  <c r="C216" i="1"/>
  <c r="E216" i="1"/>
  <c r="F216" i="1"/>
  <c r="H216" i="1"/>
  <c r="I216" i="1"/>
  <c r="J216" i="1"/>
  <c r="L216" i="1"/>
  <c r="M216" i="1"/>
  <c r="C217" i="1"/>
  <c r="E217" i="1"/>
  <c r="F217" i="1"/>
  <c r="H217" i="1"/>
  <c r="I217" i="1"/>
  <c r="J217" i="1"/>
  <c r="L217" i="1"/>
  <c r="M217" i="1"/>
  <c r="C218" i="1"/>
  <c r="E218" i="1"/>
  <c r="F218" i="1"/>
  <c r="H218" i="1"/>
  <c r="I218" i="1"/>
  <c r="J218" i="1"/>
  <c r="L218" i="1"/>
  <c r="M218" i="1"/>
  <c r="C219" i="1"/>
  <c r="E219" i="1"/>
  <c r="F219" i="1"/>
  <c r="H219" i="1"/>
  <c r="I219" i="1"/>
  <c r="J219" i="1"/>
  <c r="L219" i="1"/>
  <c r="M219" i="1"/>
  <c r="C220" i="1"/>
  <c r="E220" i="1"/>
  <c r="F220" i="1"/>
  <c r="H220" i="1"/>
  <c r="I220" i="1"/>
  <c r="J220" i="1"/>
  <c r="L220" i="1"/>
  <c r="M220" i="1"/>
  <c r="C221" i="1"/>
  <c r="E221" i="1"/>
  <c r="F221" i="1"/>
  <c r="H221" i="1"/>
  <c r="I221" i="1"/>
  <c r="J221" i="1"/>
  <c r="L221" i="1"/>
  <c r="M221" i="1"/>
  <c r="C222" i="1"/>
  <c r="E222" i="1"/>
  <c r="F222" i="1"/>
  <c r="H222" i="1"/>
  <c r="I222" i="1"/>
  <c r="J222" i="1"/>
  <c r="L222" i="1"/>
  <c r="M222" i="1"/>
  <c r="C223" i="1"/>
  <c r="E223" i="1"/>
  <c r="F223" i="1"/>
  <c r="H223" i="1"/>
  <c r="I223" i="1"/>
  <c r="J223" i="1"/>
  <c r="L223" i="1"/>
  <c r="M223" i="1"/>
  <c r="C224" i="1"/>
  <c r="E224" i="1"/>
  <c r="F224" i="1"/>
  <c r="H224" i="1"/>
  <c r="I224" i="1"/>
  <c r="J224" i="1"/>
  <c r="L224" i="1"/>
  <c r="M224" i="1"/>
  <c r="C225" i="1"/>
  <c r="E225" i="1"/>
  <c r="F225" i="1"/>
  <c r="H225" i="1"/>
  <c r="I225" i="1"/>
  <c r="J225" i="1"/>
  <c r="L225" i="1"/>
  <c r="M225" i="1"/>
  <c r="C226" i="1"/>
  <c r="E226" i="1"/>
  <c r="F226" i="1"/>
  <c r="H226" i="1"/>
  <c r="I226" i="1"/>
  <c r="J226" i="1"/>
  <c r="L226" i="1"/>
  <c r="M226" i="1"/>
  <c r="C227" i="1"/>
  <c r="E227" i="1"/>
  <c r="F227" i="1"/>
  <c r="H227" i="1"/>
  <c r="I227" i="1"/>
  <c r="J227" i="1"/>
  <c r="L227" i="1"/>
  <c r="M227" i="1"/>
  <c r="C228" i="1"/>
  <c r="E228" i="1"/>
  <c r="F228" i="1"/>
  <c r="H228" i="1"/>
  <c r="I228" i="1"/>
  <c r="J228" i="1"/>
  <c r="L228" i="1"/>
  <c r="M228" i="1"/>
  <c r="C229" i="1"/>
  <c r="E229" i="1"/>
  <c r="F229" i="1"/>
  <c r="H229" i="1"/>
  <c r="I229" i="1"/>
  <c r="J229" i="1"/>
  <c r="L229" i="1"/>
  <c r="M229" i="1"/>
  <c r="C230" i="1"/>
  <c r="E230" i="1"/>
  <c r="F230" i="1"/>
  <c r="H230" i="1"/>
  <c r="I230" i="1"/>
  <c r="J230" i="1"/>
  <c r="L230" i="1"/>
  <c r="M230" i="1"/>
  <c r="C231" i="1"/>
  <c r="E231" i="1"/>
  <c r="F231" i="1"/>
  <c r="H231" i="1"/>
  <c r="I231" i="1"/>
  <c r="J231" i="1"/>
  <c r="L231" i="1"/>
  <c r="M231" i="1"/>
  <c r="C232" i="1"/>
  <c r="E232" i="1"/>
  <c r="F232" i="1"/>
  <c r="H232" i="1"/>
  <c r="I232" i="1"/>
  <c r="J232" i="1"/>
  <c r="L232" i="1"/>
  <c r="M232" i="1"/>
  <c r="C233" i="1"/>
  <c r="E233" i="1"/>
  <c r="F233" i="1"/>
  <c r="H233" i="1"/>
  <c r="I233" i="1"/>
  <c r="J233" i="1"/>
  <c r="L233" i="1"/>
  <c r="M233" i="1"/>
  <c r="C234" i="1"/>
  <c r="E234" i="1"/>
  <c r="F234" i="1"/>
  <c r="H234" i="1"/>
  <c r="I234" i="1"/>
  <c r="J234" i="1"/>
  <c r="L234" i="1"/>
  <c r="M234" i="1"/>
  <c r="C235" i="1"/>
  <c r="E235" i="1"/>
  <c r="F235" i="1"/>
  <c r="H235" i="1"/>
  <c r="I235" i="1"/>
  <c r="J235" i="1"/>
  <c r="L235" i="1"/>
  <c r="M235" i="1"/>
  <c r="C236" i="1"/>
  <c r="E236" i="1"/>
  <c r="F236" i="1"/>
  <c r="H236" i="1"/>
  <c r="I236" i="1"/>
  <c r="J236" i="1"/>
  <c r="L236" i="1"/>
  <c r="M236" i="1"/>
  <c r="C237" i="1"/>
  <c r="E237" i="1"/>
  <c r="F237" i="1"/>
  <c r="H237" i="1"/>
  <c r="I237" i="1"/>
  <c r="J237" i="1"/>
  <c r="L237" i="1"/>
  <c r="M237" i="1"/>
  <c r="C238" i="1"/>
  <c r="E238" i="1"/>
  <c r="F238" i="1"/>
  <c r="H238" i="1"/>
  <c r="I238" i="1"/>
  <c r="J238" i="1"/>
  <c r="L238" i="1"/>
  <c r="M238" i="1"/>
  <c r="C239" i="1"/>
  <c r="E239" i="1"/>
  <c r="F239" i="1"/>
  <c r="H239" i="1"/>
  <c r="I239" i="1"/>
  <c r="J239" i="1"/>
  <c r="L239" i="1"/>
  <c r="M239" i="1"/>
  <c r="C240" i="1"/>
  <c r="E240" i="1"/>
  <c r="F240" i="1"/>
  <c r="H240" i="1"/>
  <c r="I240" i="1"/>
  <c r="J240" i="1"/>
  <c r="L240" i="1"/>
  <c r="M240" i="1"/>
  <c r="C241" i="1"/>
  <c r="E241" i="1"/>
  <c r="F241" i="1"/>
  <c r="H241" i="1"/>
  <c r="I241" i="1"/>
  <c r="J241" i="1"/>
  <c r="L241" i="1"/>
  <c r="M241" i="1"/>
  <c r="C242" i="1"/>
  <c r="E242" i="1"/>
  <c r="F242" i="1"/>
  <c r="H242" i="1"/>
  <c r="I242" i="1"/>
  <c r="J242" i="1"/>
  <c r="L242" i="1"/>
  <c r="M242" i="1"/>
  <c r="C243" i="1"/>
  <c r="E243" i="1"/>
  <c r="F243" i="1"/>
  <c r="H243" i="1"/>
  <c r="I243" i="1"/>
  <c r="J243" i="1"/>
  <c r="L243" i="1"/>
  <c r="M243" i="1"/>
  <c r="C244" i="1"/>
  <c r="E244" i="1"/>
  <c r="F244" i="1"/>
  <c r="H244" i="1"/>
  <c r="I244" i="1"/>
  <c r="J244" i="1"/>
  <c r="L244" i="1"/>
  <c r="M244" i="1"/>
  <c r="C245" i="1"/>
  <c r="E245" i="1"/>
  <c r="F245" i="1"/>
  <c r="H245" i="1"/>
  <c r="I245" i="1"/>
  <c r="J245" i="1"/>
  <c r="L245" i="1"/>
  <c r="M245" i="1"/>
  <c r="C246" i="1"/>
  <c r="E246" i="1"/>
  <c r="F246" i="1"/>
  <c r="H246" i="1"/>
  <c r="I246" i="1"/>
  <c r="J246" i="1"/>
  <c r="L246" i="1"/>
  <c r="M246" i="1"/>
  <c r="C247" i="1"/>
  <c r="E247" i="1"/>
  <c r="F247" i="1"/>
  <c r="H247" i="1"/>
  <c r="I247" i="1"/>
  <c r="J247" i="1"/>
  <c r="L247" i="1"/>
  <c r="M247" i="1"/>
  <c r="C248" i="1"/>
  <c r="E248" i="1"/>
  <c r="F248" i="1"/>
  <c r="H248" i="1"/>
  <c r="I248" i="1"/>
  <c r="J248" i="1"/>
  <c r="L248" i="1"/>
  <c r="M248" i="1"/>
  <c r="C249" i="1"/>
  <c r="E249" i="1"/>
  <c r="F249" i="1"/>
  <c r="H249" i="1"/>
  <c r="I249" i="1"/>
  <c r="J249" i="1"/>
  <c r="L249" i="1"/>
  <c r="M249" i="1"/>
  <c r="C250" i="1"/>
  <c r="E250" i="1"/>
  <c r="F250" i="1"/>
  <c r="H250" i="1"/>
  <c r="I250" i="1"/>
  <c r="J250" i="1"/>
  <c r="L250" i="1"/>
  <c r="M250" i="1"/>
  <c r="C251" i="1"/>
  <c r="E251" i="1"/>
  <c r="F251" i="1"/>
  <c r="H251" i="1"/>
  <c r="I251" i="1"/>
  <c r="J251" i="1"/>
  <c r="L251" i="1"/>
  <c r="M251" i="1"/>
  <c r="C252" i="1"/>
  <c r="E252" i="1"/>
  <c r="F252" i="1"/>
  <c r="H252" i="1"/>
  <c r="I252" i="1"/>
  <c r="J252" i="1"/>
  <c r="L252" i="1"/>
  <c r="M252" i="1"/>
  <c r="C253" i="1"/>
  <c r="E253" i="1"/>
  <c r="F253" i="1"/>
  <c r="H253" i="1"/>
  <c r="I253" i="1"/>
  <c r="J253" i="1"/>
  <c r="L253" i="1"/>
  <c r="M253" i="1"/>
  <c r="C254" i="1"/>
  <c r="E254" i="1"/>
  <c r="F254" i="1"/>
  <c r="H254" i="1"/>
  <c r="I254" i="1"/>
  <c r="J254" i="1"/>
  <c r="L254" i="1"/>
  <c r="M254" i="1"/>
  <c r="C255" i="1"/>
  <c r="E255" i="1"/>
  <c r="F255" i="1"/>
  <c r="H255" i="1"/>
  <c r="I255" i="1"/>
  <c r="J255" i="1"/>
  <c r="L255" i="1"/>
  <c r="M255" i="1"/>
  <c r="C256" i="1"/>
  <c r="E256" i="1"/>
  <c r="F256" i="1"/>
  <c r="H256" i="1"/>
  <c r="I256" i="1"/>
  <c r="J256" i="1"/>
  <c r="L256" i="1"/>
  <c r="M256" i="1"/>
  <c r="C257" i="1"/>
  <c r="E257" i="1"/>
  <c r="F257" i="1"/>
  <c r="H257" i="1"/>
  <c r="I257" i="1"/>
  <c r="J257" i="1"/>
  <c r="L257" i="1"/>
  <c r="M257" i="1"/>
  <c r="C258" i="1"/>
  <c r="E258" i="1"/>
  <c r="F258" i="1"/>
  <c r="H258" i="1"/>
  <c r="I258" i="1"/>
  <c r="J258" i="1"/>
  <c r="L258" i="1"/>
  <c r="M258" i="1"/>
  <c r="C259" i="1"/>
  <c r="E259" i="1"/>
  <c r="F259" i="1"/>
  <c r="H259" i="1"/>
  <c r="I259" i="1"/>
  <c r="J259" i="1"/>
  <c r="L259" i="1"/>
  <c r="M259" i="1"/>
  <c r="C260" i="1"/>
  <c r="E260" i="1"/>
  <c r="F260" i="1"/>
  <c r="H260" i="1"/>
  <c r="I260" i="1"/>
  <c r="J260" i="1"/>
  <c r="L260" i="1"/>
  <c r="M260" i="1"/>
  <c r="C261" i="1"/>
  <c r="E261" i="1"/>
  <c r="F261" i="1"/>
  <c r="H261" i="1"/>
  <c r="I261" i="1"/>
  <c r="J261" i="1"/>
  <c r="L261" i="1"/>
  <c r="M261" i="1"/>
  <c r="C262" i="1"/>
  <c r="E262" i="1"/>
  <c r="F262" i="1"/>
  <c r="H262" i="1"/>
  <c r="I262" i="1"/>
  <c r="J262" i="1"/>
  <c r="L262" i="1"/>
  <c r="M262" i="1"/>
  <c r="C263" i="1"/>
  <c r="E263" i="1"/>
  <c r="F263" i="1"/>
  <c r="H263" i="1"/>
  <c r="I263" i="1"/>
  <c r="J263" i="1"/>
  <c r="L263" i="1"/>
  <c r="M263" i="1"/>
  <c r="C264" i="1"/>
  <c r="E264" i="1"/>
  <c r="F264" i="1"/>
  <c r="H264" i="1"/>
  <c r="I264" i="1"/>
  <c r="J264" i="1"/>
  <c r="L264" i="1"/>
  <c r="M264" i="1"/>
  <c r="C265" i="1"/>
  <c r="E265" i="1"/>
  <c r="F265" i="1"/>
  <c r="H265" i="1"/>
  <c r="I265" i="1"/>
  <c r="J265" i="1"/>
  <c r="L265" i="1"/>
  <c r="M265" i="1"/>
  <c r="C266" i="1"/>
  <c r="E266" i="1"/>
  <c r="F266" i="1"/>
  <c r="H266" i="1"/>
  <c r="I266" i="1"/>
  <c r="J266" i="1"/>
  <c r="L266" i="1"/>
  <c r="M266" i="1"/>
  <c r="C267" i="1"/>
  <c r="E267" i="1"/>
  <c r="F267" i="1"/>
  <c r="H267" i="1"/>
  <c r="I267" i="1"/>
  <c r="J267" i="1"/>
  <c r="L267" i="1"/>
  <c r="M267" i="1"/>
  <c r="C268" i="1"/>
  <c r="E268" i="1"/>
  <c r="F268" i="1"/>
  <c r="H268" i="1"/>
  <c r="I268" i="1"/>
  <c r="J268" i="1"/>
  <c r="L268" i="1"/>
  <c r="M268" i="1"/>
  <c r="C269" i="1"/>
  <c r="E269" i="1"/>
  <c r="F269" i="1"/>
  <c r="H269" i="1"/>
  <c r="I269" i="1"/>
  <c r="J269" i="1"/>
  <c r="L269" i="1"/>
  <c r="M269" i="1"/>
  <c r="C270" i="1"/>
  <c r="E270" i="1"/>
  <c r="F270" i="1"/>
  <c r="H270" i="1"/>
  <c r="I270" i="1"/>
  <c r="J270" i="1"/>
  <c r="L270" i="1"/>
  <c r="M270" i="1"/>
  <c r="C271" i="1"/>
  <c r="E271" i="1"/>
  <c r="F271" i="1"/>
  <c r="H271" i="1"/>
  <c r="I271" i="1"/>
  <c r="J271" i="1"/>
  <c r="L271" i="1"/>
  <c r="M271" i="1"/>
  <c r="C272" i="1"/>
  <c r="E272" i="1"/>
  <c r="F272" i="1"/>
  <c r="H272" i="1"/>
  <c r="I272" i="1"/>
  <c r="J272" i="1"/>
  <c r="L272" i="1"/>
  <c r="M272" i="1"/>
  <c r="C273" i="1"/>
  <c r="E273" i="1"/>
  <c r="F273" i="1"/>
  <c r="H273" i="1"/>
  <c r="I273" i="1"/>
  <c r="J273" i="1"/>
  <c r="L273" i="1"/>
  <c r="M273" i="1"/>
  <c r="C274" i="1"/>
  <c r="E274" i="1"/>
  <c r="F274" i="1"/>
  <c r="H274" i="1"/>
  <c r="I274" i="1"/>
  <c r="J274" i="1"/>
  <c r="L274" i="1"/>
  <c r="M274" i="1"/>
  <c r="C275" i="1"/>
  <c r="E275" i="1"/>
  <c r="F275" i="1"/>
  <c r="H275" i="1"/>
  <c r="I275" i="1"/>
  <c r="J275" i="1"/>
  <c r="L275" i="1"/>
  <c r="M275" i="1"/>
  <c r="C276" i="1"/>
  <c r="E276" i="1"/>
  <c r="F276" i="1"/>
  <c r="H276" i="1"/>
  <c r="I276" i="1"/>
  <c r="J276" i="1"/>
  <c r="L276" i="1"/>
  <c r="M276" i="1"/>
  <c r="C277" i="1"/>
  <c r="E277" i="1"/>
  <c r="F277" i="1"/>
  <c r="H277" i="1"/>
  <c r="I277" i="1"/>
  <c r="J277" i="1"/>
  <c r="L277" i="1"/>
  <c r="M277" i="1"/>
  <c r="C278" i="1"/>
  <c r="E278" i="1"/>
  <c r="F278" i="1"/>
  <c r="H278" i="1"/>
  <c r="I278" i="1"/>
  <c r="J278" i="1"/>
  <c r="L278" i="1"/>
  <c r="M278" i="1"/>
  <c r="C279" i="1"/>
  <c r="E279" i="1"/>
  <c r="F279" i="1"/>
  <c r="H279" i="1"/>
  <c r="I279" i="1"/>
  <c r="J279" i="1"/>
  <c r="L279" i="1"/>
  <c r="M279" i="1"/>
  <c r="C280" i="1"/>
  <c r="E280" i="1"/>
  <c r="F280" i="1"/>
  <c r="H280" i="1"/>
  <c r="I280" i="1"/>
  <c r="J280" i="1"/>
  <c r="L280" i="1"/>
  <c r="M280" i="1"/>
  <c r="C281" i="1"/>
  <c r="E281" i="1"/>
  <c r="F281" i="1"/>
  <c r="H281" i="1"/>
  <c r="I281" i="1"/>
  <c r="J281" i="1"/>
  <c r="L281" i="1"/>
  <c r="M281" i="1"/>
  <c r="C282" i="1"/>
  <c r="E282" i="1"/>
  <c r="F282" i="1"/>
  <c r="H282" i="1"/>
  <c r="I282" i="1"/>
  <c r="J282" i="1"/>
  <c r="L282" i="1"/>
  <c r="M282" i="1"/>
  <c r="C283" i="1"/>
  <c r="E283" i="1"/>
  <c r="F283" i="1"/>
  <c r="H283" i="1"/>
  <c r="I283" i="1"/>
  <c r="J283" i="1"/>
  <c r="L283" i="1"/>
  <c r="M283" i="1"/>
  <c r="C284" i="1"/>
  <c r="E284" i="1"/>
  <c r="F284" i="1"/>
  <c r="H284" i="1"/>
  <c r="I284" i="1"/>
  <c r="J284" i="1"/>
  <c r="L284" i="1"/>
  <c r="M284" i="1"/>
  <c r="C285" i="1"/>
  <c r="E285" i="1"/>
  <c r="F285" i="1"/>
  <c r="H285" i="1"/>
  <c r="I285" i="1"/>
  <c r="J285" i="1"/>
  <c r="L285" i="1"/>
  <c r="M285" i="1"/>
  <c r="C286" i="1"/>
  <c r="E286" i="1"/>
  <c r="F286" i="1"/>
  <c r="H286" i="1"/>
  <c r="I286" i="1"/>
  <c r="J286" i="1"/>
  <c r="L286" i="1"/>
  <c r="M286" i="1"/>
  <c r="C287" i="1"/>
  <c r="E287" i="1"/>
  <c r="F287" i="1"/>
  <c r="H287" i="1"/>
  <c r="I287" i="1"/>
  <c r="J287" i="1"/>
  <c r="L287" i="1"/>
  <c r="M287" i="1"/>
  <c r="C288" i="1"/>
  <c r="E288" i="1"/>
  <c r="F288" i="1"/>
  <c r="H288" i="1"/>
  <c r="I288" i="1"/>
  <c r="J288" i="1"/>
  <c r="L288" i="1"/>
  <c r="M288" i="1"/>
  <c r="C289" i="1"/>
  <c r="E289" i="1"/>
  <c r="F289" i="1"/>
  <c r="H289" i="1"/>
  <c r="I289" i="1"/>
  <c r="J289" i="1"/>
  <c r="L289" i="1"/>
  <c r="M289" i="1"/>
  <c r="C290" i="1"/>
  <c r="E290" i="1"/>
  <c r="F290" i="1"/>
  <c r="H290" i="1"/>
  <c r="I290" i="1"/>
  <c r="J290" i="1"/>
  <c r="L290" i="1"/>
  <c r="M290" i="1"/>
  <c r="C291" i="1"/>
  <c r="E291" i="1"/>
  <c r="F291" i="1"/>
  <c r="H291" i="1"/>
  <c r="I291" i="1"/>
  <c r="J291" i="1"/>
  <c r="L291" i="1"/>
  <c r="M291" i="1"/>
  <c r="C292" i="1"/>
  <c r="E292" i="1"/>
  <c r="F292" i="1"/>
  <c r="H292" i="1"/>
  <c r="I292" i="1"/>
  <c r="J292" i="1"/>
  <c r="L292" i="1"/>
  <c r="M292" i="1"/>
  <c r="C293" i="1"/>
  <c r="E293" i="1"/>
  <c r="F293" i="1"/>
  <c r="H293" i="1"/>
  <c r="I293" i="1"/>
  <c r="J293" i="1"/>
  <c r="L293" i="1"/>
  <c r="M293" i="1"/>
  <c r="C294" i="1"/>
  <c r="E294" i="1"/>
  <c r="F294" i="1"/>
  <c r="H294" i="1"/>
  <c r="I294" i="1"/>
  <c r="J294" i="1"/>
  <c r="L294" i="1"/>
  <c r="M294" i="1"/>
  <c r="C295" i="1"/>
  <c r="E295" i="1"/>
  <c r="F295" i="1"/>
  <c r="H295" i="1"/>
  <c r="I295" i="1"/>
  <c r="J295" i="1"/>
  <c r="L295" i="1"/>
  <c r="M295" i="1"/>
  <c r="C296" i="1"/>
  <c r="E296" i="1"/>
  <c r="F296" i="1"/>
  <c r="H296" i="1"/>
  <c r="I296" i="1"/>
  <c r="J296" i="1"/>
  <c r="L296" i="1"/>
  <c r="M296" i="1"/>
  <c r="C297" i="1"/>
  <c r="E297" i="1"/>
  <c r="F297" i="1"/>
  <c r="H297" i="1"/>
  <c r="I297" i="1"/>
  <c r="J297" i="1"/>
  <c r="L297" i="1"/>
  <c r="M297" i="1"/>
  <c r="C298" i="1"/>
  <c r="E298" i="1"/>
  <c r="F298" i="1"/>
  <c r="H298" i="1"/>
  <c r="I298" i="1"/>
  <c r="J298" i="1"/>
  <c r="L298" i="1"/>
  <c r="M298" i="1"/>
  <c r="C299" i="1"/>
  <c r="E299" i="1"/>
  <c r="F299" i="1"/>
  <c r="H299" i="1"/>
  <c r="I299" i="1"/>
  <c r="J299" i="1"/>
  <c r="L299" i="1"/>
  <c r="M299" i="1"/>
  <c r="C300" i="1"/>
  <c r="E300" i="1"/>
  <c r="F300" i="1"/>
  <c r="H300" i="1"/>
  <c r="I300" i="1"/>
  <c r="J300" i="1"/>
  <c r="L300" i="1"/>
  <c r="M300" i="1"/>
  <c r="C301" i="1"/>
  <c r="E301" i="1"/>
  <c r="F301" i="1"/>
  <c r="H301" i="1"/>
  <c r="I301" i="1"/>
  <c r="J301" i="1"/>
  <c r="L301" i="1"/>
  <c r="M301" i="1"/>
  <c r="C302" i="1"/>
  <c r="E302" i="1"/>
  <c r="F302" i="1"/>
  <c r="H302" i="1"/>
  <c r="I302" i="1"/>
  <c r="J302" i="1"/>
  <c r="L302" i="1"/>
  <c r="M302" i="1"/>
  <c r="C303" i="1"/>
  <c r="E303" i="1"/>
  <c r="F303" i="1"/>
  <c r="H303" i="1"/>
  <c r="I303" i="1"/>
  <c r="J303" i="1"/>
  <c r="L303" i="1"/>
  <c r="M303" i="1"/>
  <c r="C304" i="1"/>
  <c r="E304" i="1"/>
  <c r="F304" i="1"/>
  <c r="H304" i="1"/>
  <c r="I304" i="1"/>
  <c r="J304" i="1"/>
  <c r="L304" i="1"/>
  <c r="M304" i="1"/>
  <c r="C305" i="1"/>
  <c r="E305" i="1"/>
  <c r="F305" i="1"/>
  <c r="H305" i="1"/>
  <c r="I305" i="1"/>
  <c r="J305" i="1"/>
  <c r="L305" i="1"/>
  <c r="M305" i="1"/>
  <c r="C306" i="1"/>
  <c r="E306" i="1"/>
  <c r="F306" i="1"/>
  <c r="H306" i="1"/>
  <c r="I306" i="1"/>
  <c r="J306" i="1"/>
  <c r="L306" i="1"/>
  <c r="M306" i="1"/>
  <c r="C307" i="1"/>
  <c r="E307" i="1"/>
  <c r="F307" i="1"/>
  <c r="H307" i="1"/>
  <c r="I307" i="1"/>
  <c r="J307" i="1"/>
  <c r="L307" i="1"/>
  <c r="M307" i="1"/>
  <c r="C308" i="1"/>
  <c r="E308" i="1"/>
  <c r="F308" i="1"/>
  <c r="H308" i="1"/>
  <c r="I308" i="1"/>
  <c r="J308" i="1"/>
  <c r="L308" i="1"/>
  <c r="M308" i="1"/>
  <c r="C309" i="1"/>
  <c r="E309" i="1"/>
  <c r="F309" i="1"/>
  <c r="H309" i="1"/>
  <c r="I309" i="1"/>
  <c r="J309" i="1"/>
  <c r="L309" i="1"/>
  <c r="M309" i="1"/>
  <c r="C310" i="1"/>
  <c r="E310" i="1"/>
  <c r="F310" i="1"/>
  <c r="H310" i="1"/>
  <c r="I310" i="1"/>
  <c r="J310" i="1"/>
  <c r="L310" i="1"/>
  <c r="M310" i="1"/>
  <c r="C311" i="1"/>
  <c r="E311" i="1"/>
  <c r="F311" i="1"/>
  <c r="H311" i="1"/>
  <c r="I311" i="1"/>
  <c r="J311" i="1"/>
  <c r="L311" i="1"/>
  <c r="M311" i="1"/>
  <c r="C312" i="1"/>
  <c r="E312" i="1"/>
  <c r="F312" i="1"/>
  <c r="H312" i="1"/>
  <c r="I312" i="1"/>
  <c r="J312" i="1"/>
  <c r="L312" i="1"/>
  <c r="M312" i="1"/>
  <c r="C313" i="1"/>
  <c r="E313" i="1"/>
  <c r="F313" i="1"/>
  <c r="H313" i="1"/>
  <c r="I313" i="1"/>
  <c r="J313" i="1"/>
  <c r="L313" i="1"/>
  <c r="M313" i="1"/>
  <c r="C314" i="1"/>
  <c r="E314" i="1"/>
  <c r="F314" i="1"/>
  <c r="H314" i="1"/>
  <c r="I314" i="1"/>
  <c r="J314" i="1"/>
  <c r="L314" i="1"/>
  <c r="M314" i="1"/>
  <c r="C315" i="1"/>
  <c r="E315" i="1"/>
  <c r="F315" i="1"/>
  <c r="H315" i="1"/>
  <c r="I315" i="1"/>
  <c r="J315" i="1"/>
  <c r="L315" i="1"/>
  <c r="M315" i="1"/>
  <c r="C316" i="1"/>
  <c r="E316" i="1"/>
  <c r="F316" i="1"/>
  <c r="H316" i="1"/>
  <c r="I316" i="1"/>
  <c r="J316" i="1"/>
  <c r="L316" i="1"/>
  <c r="M316" i="1"/>
  <c r="C317" i="1"/>
  <c r="E317" i="1"/>
  <c r="F317" i="1"/>
  <c r="H317" i="1"/>
  <c r="I317" i="1"/>
  <c r="J317" i="1"/>
  <c r="L317" i="1"/>
  <c r="M317" i="1"/>
  <c r="C318" i="1"/>
  <c r="E318" i="1"/>
  <c r="F318" i="1"/>
  <c r="H318" i="1"/>
  <c r="I318" i="1"/>
  <c r="J318" i="1"/>
  <c r="L318" i="1"/>
  <c r="M318" i="1"/>
  <c r="C319" i="1"/>
  <c r="E319" i="1"/>
  <c r="F319" i="1"/>
  <c r="H319" i="1"/>
  <c r="I319" i="1"/>
  <c r="J319" i="1"/>
  <c r="L319" i="1"/>
  <c r="M319" i="1"/>
  <c r="C320" i="1"/>
  <c r="E320" i="1"/>
  <c r="F320" i="1"/>
  <c r="H320" i="1"/>
  <c r="I320" i="1"/>
  <c r="J320" i="1"/>
  <c r="L320" i="1"/>
  <c r="M320" i="1"/>
  <c r="C321" i="1"/>
  <c r="E321" i="1"/>
  <c r="F321" i="1"/>
  <c r="H321" i="1"/>
  <c r="I321" i="1"/>
  <c r="J321" i="1"/>
  <c r="L321" i="1"/>
  <c r="M321" i="1"/>
  <c r="C322" i="1"/>
  <c r="E322" i="1"/>
  <c r="F322" i="1"/>
  <c r="H322" i="1"/>
  <c r="I322" i="1"/>
  <c r="J322" i="1"/>
  <c r="L322" i="1"/>
  <c r="M322" i="1"/>
  <c r="C323" i="1"/>
  <c r="E323" i="1"/>
  <c r="F323" i="1"/>
  <c r="H323" i="1"/>
  <c r="I323" i="1"/>
  <c r="J323" i="1"/>
  <c r="L323" i="1"/>
  <c r="M323" i="1"/>
  <c r="C324" i="1"/>
  <c r="E324" i="1"/>
  <c r="F324" i="1"/>
  <c r="H324" i="1"/>
  <c r="I324" i="1"/>
  <c r="J324" i="1"/>
  <c r="L324" i="1"/>
  <c r="M324" i="1"/>
  <c r="C325" i="1"/>
  <c r="E325" i="1"/>
  <c r="F325" i="1"/>
  <c r="H325" i="1"/>
  <c r="I325" i="1"/>
  <c r="J325" i="1"/>
  <c r="L325" i="1"/>
  <c r="M325" i="1"/>
  <c r="C326" i="1"/>
  <c r="E326" i="1"/>
  <c r="F326" i="1"/>
  <c r="H326" i="1"/>
  <c r="I326" i="1"/>
  <c r="J326" i="1"/>
  <c r="L326" i="1"/>
  <c r="M326" i="1"/>
  <c r="C327" i="1"/>
  <c r="E327" i="1"/>
  <c r="F327" i="1"/>
  <c r="H327" i="1"/>
  <c r="I327" i="1"/>
  <c r="J327" i="1"/>
  <c r="L327" i="1"/>
  <c r="M327" i="1"/>
  <c r="C328" i="1"/>
  <c r="E328" i="1"/>
  <c r="F328" i="1"/>
  <c r="H328" i="1"/>
  <c r="I328" i="1"/>
  <c r="J328" i="1"/>
  <c r="L328" i="1"/>
  <c r="M328" i="1"/>
  <c r="C329" i="1"/>
  <c r="E329" i="1"/>
  <c r="F329" i="1"/>
  <c r="H329" i="1"/>
  <c r="I329" i="1"/>
  <c r="J329" i="1"/>
  <c r="L329" i="1"/>
  <c r="M329" i="1"/>
  <c r="C330" i="1"/>
  <c r="E330" i="1"/>
  <c r="F330" i="1"/>
  <c r="H330" i="1"/>
  <c r="I330" i="1"/>
  <c r="J330" i="1"/>
  <c r="L330" i="1"/>
  <c r="M330" i="1"/>
  <c r="C331" i="1"/>
  <c r="E331" i="1"/>
  <c r="F331" i="1"/>
  <c r="H331" i="1"/>
  <c r="I331" i="1"/>
  <c r="J331" i="1"/>
  <c r="L331" i="1"/>
  <c r="M331" i="1"/>
  <c r="C332" i="1"/>
  <c r="E332" i="1"/>
  <c r="F332" i="1"/>
  <c r="H332" i="1"/>
  <c r="I332" i="1"/>
  <c r="J332" i="1"/>
  <c r="L332" i="1"/>
  <c r="M332" i="1"/>
  <c r="C333" i="1"/>
  <c r="E333" i="1"/>
  <c r="F333" i="1"/>
  <c r="H333" i="1"/>
  <c r="I333" i="1"/>
  <c r="J333" i="1"/>
  <c r="L333" i="1"/>
  <c r="M333" i="1"/>
  <c r="C334" i="1"/>
  <c r="E334" i="1"/>
  <c r="F334" i="1"/>
  <c r="H334" i="1"/>
  <c r="I334" i="1"/>
  <c r="J334" i="1"/>
  <c r="L334" i="1"/>
  <c r="M334" i="1"/>
  <c r="C335" i="1"/>
  <c r="E335" i="1"/>
  <c r="F335" i="1"/>
  <c r="H335" i="1"/>
  <c r="I335" i="1"/>
  <c r="J335" i="1"/>
  <c r="L335" i="1"/>
  <c r="M335" i="1"/>
  <c r="C336" i="1"/>
  <c r="E336" i="1"/>
  <c r="F336" i="1"/>
  <c r="H336" i="1"/>
  <c r="I336" i="1"/>
  <c r="J336" i="1"/>
  <c r="L336" i="1"/>
  <c r="M336" i="1"/>
  <c r="C337" i="1"/>
  <c r="E337" i="1"/>
  <c r="F337" i="1"/>
  <c r="H337" i="1"/>
  <c r="I337" i="1"/>
  <c r="J337" i="1"/>
  <c r="L337" i="1"/>
  <c r="M337" i="1"/>
  <c r="C338" i="1"/>
  <c r="E338" i="1"/>
  <c r="F338" i="1"/>
  <c r="H338" i="1"/>
  <c r="I338" i="1"/>
  <c r="J338" i="1"/>
  <c r="L338" i="1"/>
  <c r="M338" i="1"/>
  <c r="C339" i="1"/>
  <c r="E339" i="1"/>
  <c r="F339" i="1"/>
  <c r="H339" i="1"/>
  <c r="I339" i="1"/>
  <c r="J339" i="1"/>
  <c r="L339" i="1"/>
  <c r="M339" i="1"/>
  <c r="C340" i="1"/>
  <c r="E340" i="1"/>
  <c r="F340" i="1"/>
  <c r="H340" i="1"/>
  <c r="I340" i="1"/>
  <c r="J340" i="1"/>
  <c r="L340" i="1"/>
  <c r="M340" i="1"/>
  <c r="C341" i="1"/>
  <c r="E341" i="1"/>
  <c r="F341" i="1"/>
  <c r="H341" i="1"/>
  <c r="I341" i="1"/>
  <c r="J341" i="1"/>
  <c r="L341" i="1"/>
  <c r="M341" i="1"/>
  <c r="C342" i="1"/>
  <c r="E342" i="1"/>
  <c r="F342" i="1"/>
  <c r="H342" i="1"/>
  <c r="I342" i="1"/>
  <c r="J342" i="1"/>
  <c r="L342" i="1"/>
  <c r="M342" i="1"/>
  <c r="C343" i="1"/>
  <c r="E343" i="1"/>
  <c r="F343" i="1"/>
  <c r="H343" i="1"/>
  <c r="I343" i="1"/>
  <c r="J343" i="1"/>
  <c r="L343" i="1"/>
  <c r="M343" i="1"/>
  <c r="C344" i="1"/>
  <c r="E344" i="1"/>
  <c r="F344" i="1"/>
  <c r="H344" i="1"/>
  <c r="I344" i="1"/>
  <c r="J344" i="1"/>
  <c r="L344" i="1"/>
  <c r="M344" i="1"/>
  <c r="C345" i="1"/>
  <c r="E345" i="1"/>
  <c r="F345" i="1"/>
  <c r="H345" i="1"/>
  <c r="I345" i="1"/>
  <c r="J345" i="1"/>
  <c r="L345" i="1"/>
  <c r="M345" i="1"/>
  <c r="C346" i="1"/>
  <c r="E346" i="1"/>
  <c r="F346" i="1"/>
  <c r="H346" i="1"/>
  <c r="I346" i="1"/>
  <c r="J346" i="1"/>
  <c r="L346" i="1"/>
  <c r="M346" i="1"/>
  <c r="C347" i="1"/>
  <c r="E347" i="1"/>
  <c r="F347" i="1"/>
  <c r="H347" i="1"/>
  <c r="I347" i="1"/>
  <c r="J347" i="1"/>
  <c r="L347" i="1"/>
  <c r="M347" i="1"/>
  <c r="C348" i="1"/>
  <c r="E348" i="1"/>
  <c r="F348" i="1"/>
  <c r="H348" i="1"/>
  <c r="I348" i="1"/>
  <c r="J348" i="1"/>
  <c r="L348" i="1"/>
  <c r="M348" i="1"/>
  <c r="C349" i="1"/>
  <c r="E349" i="1"/>
  <c r="F349" i="1"/>
  <c r="H349" i="1"/>
  <c r="I349" i="1"/>
  <c r="J349" i="1"/>
  <c r="L349" i="1"/>
  <c r="M349" i="1"/>
  <c r="C350" i="1"/>
  <c r="E350" i="1"/>
  <c r="F350" i="1"/>
  <c r="H350" i="1"/>
  <c r="I350" i="1"/>
  <c r="J350" i="1"/>
  <c r="L350" i="1"/>
  <c r="M350" i="1"/>
  <c r="C351" i="1"/>
  <c r="E351" i="1"/>
  <c r="F351" i="1"/>
  <c r="H351" i="1"/>
  <c r="I351" i="1"/>
  <c r="J351" i="1"/>
  <c r="L351" i="1"/>
  <c r="M351" i="1"/>
  <c r="C352" i="1"/>
  <c r="E352" i="1"/>
  <c r="F352" i="1"/>
  <c r="H352" i="1"/>
  <c r="I352" i="1"/>
  <c r="J352" i="1"/>
  <c r="L352" i="1"/>
  <c r="M352" i="1"/>
  <c r="C353" i="1"/>
  <c r="E353" i="1"/>
  <c r="F353" i="1"/>
  <c r="H353" i="1"/>
  <c r="I353" i="1"/>
  <c r="J353" i="1"/>
  <c r="L353" i="1"/>
  <c r="M353" i="1"/>
  <c r="C354" i="1"/>
  <c r="E354" i="1"/>
  <c r="F354" i="1"/>
  <c r="H354" i="1"/>
  <c r="I354" i="1"/>
  <c r="J354" i="1"/>
  <c r="L354" i="1"/>
  <c r="M354" i="1"/>
  <c r="C355" i="1"/>
  <c r="E355" i="1"/>
  <c r="F355" i="1"/>
  <c r="H355" i="1"/>
  <c r="I355" i="1"/>
  <c r="J355" i="1"/>
  <c r="L355" i="1"/>
  <c r="M355" i="1"/>
  <c r="C356" i="1"/>
  <c r="E356" i="1"/>
  <c r="F356" i="1"/>
  <c r="H356" i="1"/>
  <c r="I356" i="1"/>
  <c r="J356" i="1"/>
  <c r="L356" i="1"/>
  <c r="M356" i="1"/>
  <c r="C357" i="1"/>
  <c r="E357" i="1"/>
  <c r="F357" i="1"/>
  <c r="H357" i="1"/>
  <c r="I357" i="1"/>
  <c r="J357" i="1"/>
  <c r="L357" i="1"/>
  <c r="M357" i="1"/>
  <c r="C358" i="1"/>
  <c r="E358" i="1"/>
  <c r="F358" i="1"/>
  <c r="H358" i="1"/>
  <c r="I358" i="1"/>
  <c r="J358" i="1"/>
  <c r="L358" i="1"/>
  <c r="M358" i="1"/>
  <c r="C359" i="1"/>
  <c r="E359" i="1"/>
  <c r="F359" i="1"/>
  <c r="H359" i="1"/>
  <c r="I359" i="1"/>
  <c r="J359" i="1"/>
  <c r="L359" i="1"/>
  <c r="M359" i="1"/>
  <c r="C360" i="1"/>
  <c r="E360" i="1"/>
  <c r="F360" i="1"/>
  <c r="H360" i="1"/>
  <c r="I360" i="1"/>
  <c r="J360" i="1"/>
  <c r="L360" i="1"/>
  <c r="M360" i="1"/>
  <c r="C361" i="1"/>
  <c r="E361" i="1"/>
  <c r="F361" i="1"/>
  <c r="H361" i="1"/>
  <c r="I361" i="1"/>
  <c r="J361" i="1"/>
  <c r="L361" i="1"/>
  <c r="M361" i="1"/>
  <c r="C362" i="1"/>
  <c r="E362" i="1"/>
  <c r="F362" i="1"/>
  <c r="H362" i="1"/>
  <c r="I362" i="1"/>
  <c r="J362" i="1"/>
  <c r="L362" i="1"/>
  <c r="M362" i="1"/>
  <c r="C363" i="1"/>
  <c r="E363" i="1"/>
  <c r="F363" i="1"/>
  <c r="H363" i="1"/>
  <c r="I363" i="1"/>
  <c r="J363" i="1"/>
  <c r="L363" i="1"/>
  <c r="M363" i="1"/>
  <c r="C364" i="1"/>
  <c r="E364" i="1"/>
  <c r="F364" i="1"/>
  <c r="H364" i="1"/>
  <c r="I364" i="1"/>
  <c r="J364" i="1"/>
  <c r="L364" i="1"/>
  <c r="M364" i="1"/>
  <c r="C365" i="1"/>
  <c r="E365" i="1"/>
  <c r="F365" i="1"/>
  <c r="H365" i="1"/>
  <c r="I365" i="1"/>
  <c r="J365" i="1"/>
  <c r="L365" i="1"/>
  <c r="M365" i="1"/>
  <c r="C366" i="1"/>
  <c r="E366" i="1"/>
  <c r="F366" i="1"/>
  <c r="H366" i="1"/>
  <c r="I366" i="1"/>
  <c r="J366" i="1"/>
  <c r="L366" i="1"/>
  <c r="M366" i="1"/>
  <c r="C367" i="1"/>
  <c r="E367" i="1"/>
  <c r="F367" i="1"/>
  <c r="H367" i="1"/>
  <c r="I367" i="1"/>
  <c r="J367" i="1"/>
  <c r="L367" i="1"/>
  <c r="M367" i="1"/>
  <c r="C368" i="1"/>
  <c r="E368" i="1"/>
  <c r="F368" i="1"/>
  <c r="H368" i="1"/>
  <c r="I368" i="1"/>
  <c r="J368" i="1"/>
  <c r="L368" i="1"/>
  <c r="M368" i="1"/>
  <c r="C369" i="1"/>
  <c r="E369" i="1"/>
  <c r="F369" i="1"/>
  <c r="H369" i="1"/>
  <c r="I369" i="1"/>
  <c r="J369" i="1"/>
  <c r="L369" i="1"/>
  <c r="M369" i="1"/>
  <c r="C370" i="1"/>
  <c r="E370" i="1"/>
  <c r="F370" i="1"/>
  <c r="H370" i="1"/>
  <c r="I370" i="1"/>
  <c r="J370" i="1"/>
  <c r="L370" i="1"/>
  <c r="M370" i="1"/>
  <c r="C371" i="1"/>
  <c r="E371" i="1"/>
  <c r="F371" i="1"/>
  <c r="H371" i="1"/>
  <c r="I371" i="1"/>
  <c r="J371" i="1"/>
  <c r="L371" i="1"/>
  <c r="M371" i="1"/>
  <c r="C372" i="1"/>
  <c r="E372" i="1"/>
  <c r="F372" i="1"/>
  <c r="H372" i="1"/>
  <c r="I372" i="1"/>
  <c r="J372" i="1"/>
  <c r="L372" i="1"/>
  <c r="M372" i="1"/>
  <c r="C373" i="1"/>
  <c r="E373" i="1"/>
  <c r="F373" i="1"/>
  <c r="H373" i="1"/>
  <c r="I373" i="1"/>
  <c r="J373" i="1"/>
  <c r="L373" i="1"/>
  <c r="M373" i="1"/>
  <c r="C374" i="1"/>
  <c r="E374" i="1"/>
  <c r="F374" i="1"/>
  <c r="H374" i="1"/>
  <c r="I374" i="1"/>
  <c r="J374" i="1"/>
  <c r="L374" i="1"/>
  <c r="M374" i="1"/>
  <c r="C375" i="1"/>
  <c r="E375" i="1"/>
  <c r="F375" i="1"/>
  <c r="H375" i="1"/>
  <c r="I375" i="1"/>
  <c r="J375" i="1"/>
  <c r="L375" i="1"/>
  <c r="M375" i="1"/>
  <c r="C376" i="1"/>
  <c r="E376" i="1"/>
  <c r="F376" i="1"/>
  <c r="H376" i="1"/>
  <c r="I376" i="1"/>
  <c r="J376" i="1"/>
  <c r="L376" i="1"/>
  <c r="M376" i="1"/>
  <c r="C377" i="1"/>
  <c r="E377" i="1"/>
  <c r="F377" i="1"/>
  <c r="H377" i="1"/>
  <c r="I377" i="1"/>
  <c r="J377" i="1"/>
  <c r="L377" i="1"/>
  <c r="M377" i="1"/>
  <c r="C378" i="1"/>
  <c r="E378" i="1"/>
  <c r="F378" i="1"/>
  <c r="H378" i="1"/>
  <c r="I378" i="1"/>
  <c r="J378" i="1"/>
  <c r="L378" i="1"/>
  <c r="M378" i="1"/>
  <c r="C379" i="1"/>
  <c r="E379" i="1"/>
  <c r="F379" i="1"/>
  <c r="H379" i="1"/>
  <c r="I379" i="1"/>
  <c r="J379" i="1"/>
  <c r="L379" i="1"/>
  <c r="M379" i="1"/>
  <c r="C380" i="1"/>
  <c r="E380" i="1"/>
  <c r="F380" i="1"/>
  <c r="H380" i="1"/>
  <c r="I380" i="1"/>
  <c r="J380" i="1"/>
  <c r="L380" i="1"/>
  <c r="M380" i="1"/>
  <c r="C381" i="1"/>
  <c r="E381" i="1"/>
  <c r="F381" i="1"/>
  <c r="H381" i="1"/>
  <c r="I381" i="1"/>
  <c r="J381" i="1"/>
  <c r="L381" i="1"/>
  <c r="M381" i="1"/>
  <c r="C382" i="1"/>
  <c r="E382" i="1"/>
  <c r="F382" i="1"/>
  <c r="H382" i="1"/>
  <c r="I382" i="1"/>
  <c r="J382" i="1"/>
  <c r="L382" i="1"/>
  <c r="M382" i="1"/>
  <c r="C383" i="1"/>
  <c r="E383" i="1"/>
  <c r="F383" i="1"/>
  <c r="H383" i="1"/>
  <c r="I383" i="1"/>
  <c r="J383" i="1"/>
  <c r="L383" i="1"/>
  <c r="M383" i="1"/>
  <c r="C384" i="1"/>
  <c r="E384" i="1"/>
  <c r="F384" i="1"/>
  <c r="H384" i="1"/>
  <c r="I384" i="1"/>
  <c r="J384" i="1"/>
  <c r="L384" i="1"/>
  <c r="M384" i="1"/>
  <c r="C385" i="1"/>
  <c r="E385" i="1"/>
  <c r="F385" i="1"/>
  <c r="H385" i="1"/>
  <c r="I385" i="1"/>
  <c r="J385" i="1"/>
  <c r="L385" i="1"/>
  <c r="M385" i="1"/>
  <c r="C386" i="1"/>
  <c r="E386" i="1"/>
  <c r="F386" i="1"/>
  <c r="H386" i="1"/>
  <c r="I386" i="1"/>
  <c r="J386" i="1"/>
  <c r="L386" i="1"/>
  <c r="M386" i="1"/>
  <c r="C387" i="1"/>
  <c r="E387" i="1"/>
  <c r="F387" i="1"/>
  <c r="H387" i="1"/>
  <c r="I387" i="1"/>
  <c r="J387" i="1"/>
  <c r="L387" i="1"/>
  <c r="M387" i="1"/>
  <c r="C388" i="1"/>
  <c r="E388" i="1"/>
  <c r="F388" i="1"/>
  <c r="H388" i="1"/>
  <c r="I388" i="1"/>
  <c r="J388" i="1"/>
  <c r="L388" i="1"/>
  <c r="M388" i="1"/>
  <c r="C389" i="1"/>
  <c r="E389" i="1"/>
  <c r="F389" i="1"/>
  <c r="H389" i="1"/>
  <c r="I389" i="1"/>
  <c r="J389" i="1"/>
  <c r="L389" i="1"/>
  <c r="M389" i="1"/>
  <c r="C390" i="1"/>
  <c r="E390" i="1"/>
  <c r="F390" i="1"/>
  <c r="H390" i="1"/>
  <c r="I390" i="1"/>
  <c r="J390" i="1"/>
  <c r="L390" i="1"/>
  <c r="M390" i="1"/>
  <c r="C391" i="1"/>
  <c r="E391" i="1"/>
  <c r="F391" i="1"/>
  <c r="H391" i="1"/>
  <c r="I391" i="1"/>
  <c r="J391" i="1"/>
  <c r="L391" i="1"/>
  <c r="M391" i="1"/>
  <c r="C392" i="1"/>
  <c r="E392" i="1"/>
  <c r="F392" i="1"/>
  <c r="H392" i="1"/>
  <c r="I392" i="1"/>
  <c r="J392" i="1"/>
  <c r="L392" i="1"/>
  <c r="M392" i="1"/>
  <c r="C393" i="1"/>
  <c r="E393" i="1"/>
  <c r="F393" i="1"/>
  <c r="H393" i="1"/>
  <c r="I393" i="1"/>
  <c r="J393" i="1"/>
  <c r="L393" i="1"/>
  <c r="M393" i="1"/>
  <c r="C394" i="1"/>
  <c r="E394" i="1"/>
  <c r="F394" i="1"/>
  <c r="H394" i="1"/>
  <c r="I394" i="1"/>
  <c r="J394" i="1"/>
  <c r="L394" i="1"/>
  <c r="M394" i="1"/>
  <c r="C395" i="1"/>
  <c r="E395" i="1"/>
  <c r="F395" i="1"/>
  <c r="H395" i="1"/>
  <c r="I395" i="1"/>
  <c r="J395" i="1"/>
  <c r="L395" i="1"/>
  <c r="M395" i="1"/>
  <c r="C396" i="1"/>
  <c r="E396" i="1"/>
  <c r="F396" i="1"/>
  <c r="H396" i="1"/>
  <c r="I396" i="1"/>
  <c r="J396" i="1"/>
  <c r="L396" i="1"/>
  <c r="M396" i="1"/>
  <c r="C397" i="1"/>
  <c r="E397" i="1"/>
  <c r="F397" i="1"/>
  <c r="H397" i="1"/>
  <c r="I397" i="1"/>
  <c r="J397" i="1"/>
  <c r="L397" i="1"/>
  <c r="M397" i="1"/>
  <c r="C398" i="1"/>
  <c r="E398" i="1"/>
  <c r="F398" i="1"/>
  <c r="H398" i="1"/>
  <c r="I398" i="1"/>
  <c r="J398" i="1"/>
  <c r="L398" i="1"/>
  <c r="M398" i="1"/>
  <c r="C399" i="1"/>
  <c r="E399" i="1"/>
  <c r="F399" i="1"/>
  <c r="H399" i="1"/>
  <c r="I399" i="1"/>
  <c r="J399" i="1"/>
  <c r="L399" i="1"/>
  <c r="M399" i="1"/>
  <c r="C400" i="1"/>
  <c r="E400" i="1"/>
  <c r="F400" i="1"/>
  <c r="H400" i="1"/>
  <c r="I400" i="1"/>
  <c r="J400" i="1"/>
  <c r="L400" i="1"/>
  <c r="M400" i="1"/>
  <c r="C401" i="1"/>
  <c r="E401" i="1"/>
  <c r="F401" i="1"/>
  <c r="H401" i="1"/>
  <c r="I401" i="1"/>
  <c r="J401" i="1"/>
  <c r="L401" i="1"/>
  <c r="M401" i="1"/>
  <c r="C402" i="1"/>
  <c r="E402" i="1"/>
  <c r="F402" i="1"/>
  <c r="H402" i="1"/>
  <c r="I402" i="1"/>
  <c r="J402" i="1"/>
  <c r="L402" i="1"/>
  <c r="M402" i="1"/>
  <c r="C403" i="1"/>
  <c r="E403" i="1"/>
  <c r="F403" i="1"/>
  <c r="H403" i="1"/>
  <c r="I403" i="1"/>
  <c r="J403" i="1"/>
  <c r="L403" i="1"/>
  <c r="M403" i="1"/>
  <c r="C404" i="1"/>
  <c r="E404" i="1"/>
  <c r="F404" i="1"/>
  <c r="H404" i="1"/>
  <c r="I404" i="1"/>
  <c r="J404" i="1"/>
  <c r="L404" i="1"/>
  <c r="M404" i="1"/>
  <c r="C405" i="1"/>
  <c r="E405" i="1"/>
  <c r="F405" i="1"/>
  <c r="H405" i="1"/>
  <c r="I405" i="1"/>
  <c r="J405" i="1"/>
  <c r="L405" i="1"/>
  <c r="M405" i="1"/>
  <c r="C406" i="1"/>
  <c r="E406" i="1"/>
  <c r="F406" i="1"/>
  <c r="H406" i="1"/>
  <c r="I406" i="1"/>
  <c r="J406" i="1"/>
  <c r="L406" i="1"/>
  <c r="M406" i="1"/>
  <c r="C407" i="1"/>
  <c r="E407" i="1"/>
  <c r="F407" i="1"/>
  <c r="H407" i="1"/>
  <c r="I407" i="1"/>
  <c r="J407" i="1"/>
  <c r="L407" i="1"/>
  <c r="M407" i="1"/>
  <c r="C408" i="1"/>
  <c r="E408" i="1"/>
  <c r="F408" i="1"/>
  <c r="H408" i="1"/>
  <c r="I408" i="1"/>
  <c r="J408" i="1"/>
  <c r="L408" i="1"/>
  <c r="M408" i="1"/>
  <c r="C409" i="1"/>
  <c r="E409" i="1"/>
  <c r="F409" i="1"/>
  <c r="H409" i="1"/>
  <c r="I409" i="1"/>
  <c r="J409" i="1"/>
  <c r="L409" i="1"/>
  <c r="M409" i="1"/>
  <c r="C410" i="1"/>
  <c r="E410" i="1"/>
  <c r="F410" i="1"/>
  <c r="H410" i="1"/>
  <c r="I410" i="1"/>
  <c r="J410" i="1"/>
  <c r="L410" i="1"/>
  <c r="M410" i="1"/>
  <c r="C411" i="1"/>
  <c r="E411" i="1"/>
  <c r="F411" i="1"/>
  <c r="H411" i="1"/>
  <c r="I411" i="1"/>
  <c r="J411" i="1"/>
  <c r="L411" i="1"/>
  <c r="M411" i="1"/>
  <c r="C412" i="1"/>
  <c r="E412" i="1"/>
  <c r="F412" i="1"/>
  <c r="H412" i="1"/>
  <c r="I412" i="1"/>
  <c r="J412" i="1"/>
  <c r="L412" i="1"/>
  <c r="M412" i="1"/>
  <c r="C413" i="1"/>
  <c r="E413" i="1"/>
  <c r="F413" i="1"/>
  <c r="H413" i="1"/>
  <c r="I413" i="1"/>
  <c r="J413" i="1"/>
  <c r="L413" i="1"/>
  <c r="M413" i="1"/>
  <c r="C414" i="1"/>
  <c r="E414" i="1"/>
  <c r="F414" i="1"/>
  <c r="H414" i="1"/>
  <c r="I414" i="1"/>
  <c r="J414" i="1"/>
  <c r="L414" i="1"/>
  <c r="M414" i="1"/>
  <c r="C415" i="1"/>
  <c r="E415" i="1"/>
  <c r="F415" i="1"/>
  <c r="H415" i="1"/>
  <c r="I415" i="1"/>
  <c r="J415" i="1"/>
  <c r="L415" i="1"/>
  <c r="M415" i="1"/>
  <c r="C416" i="1"/>
  <c r="E416" i="1"/>
  <c r="F416" i="1"/>
  <c r="H416" i="1"/>
  <c r="I416" i="1"/>
  <c r="J416" i="1"/>
  <c r="L416" i="1"/>
  <c r="M416" i="1"/>
  <c r="C417" i="1"/>
  <c r="E417" i="1"/>
  <c r="F417" i="1"/>
  <c r="H417" i="1"/>
  <c r="I417" i="1"/>
  <c r="J417" i="1"/>
  <c r="L417" i="1"/>
  <c r="M417" i="1"/>
  <c r="C418" i="1"/>
  <c r="E418" i="1"/>
  <c r="F418" i="1"/>
  <c r="H418" i="1"/>
  <c r="I418" i="1"/>
  <c r="J418" i="1"/>
  <c r="L418" i="1"/>
  <c r="M418" i="1"/>
  <c r="C419" i="1"/>
  <c r="E419" i="1"/>
  <c r="F419" i="1"/>
  <c r="H419" i="1"/>
  <c r="I419" i="1"/>
  <c r="J419" i="1"/>
  <c r="L419" i="1"/>
  <c r="M419" i="1"/>
  <c r="C420" i="1"/>
  <c r="E420" i="1"/>
  <c r="F420" i="1"/>
  <c r="H420" i="1"/>
  <c r="I420" i="1"/>
  <c r="J420" i="1"/>
  <c r="L420" i="1"/>
  <c r="M420" i="1"/>
  <c r="C421" i="1"/>
  <c r="E421" i="1"/>
  <c r="F421" i="1"/>
  <c r="H421" i="1"/>
  <c r="I421" i="1"/>
  <c r="J421" i="1"/>
  <c r="L421" i="1"/>
  <c r="M421" i="1"/>
  <c r="C422" i="1"/>
  <c r="E422" i="1"/>
  <c r="F422" i="1"/>
  <c r="H422" i="1"/>
  <c r="I422" i="1"/>
  <c r="J422" i="1"/>
  <c r="L422" i="1"/>
  <c r="M422" i="1"/>
  <c r="C423" i="1"/>
  <c r="E423" i="1"/>
  <c r="F423" i="1"/>
  <c r="H423" i="1"/>
  <c r="I423" i="1"/>
  <c r="J423" i="1"/>
  <c r="L423" i="1"/>
  <c r="M423" i="1"/>
  <c r="C424" i="1"/>
  <c r="E424" i="1"/>
  <c r="F424" i="1"/>
  <c r="H424" i="1"/>
  <c r="I424" i="1"/>
  <c r="J424" i="1"/>
  <c r="L424" i="1"/>
  <c r="M424" i="1"/>
  <c r="C425" i="1"/>
  <c r="E425" i="1"/>
  <c r="F425" i="1"/>
  <c r="H425" i="1"/>
  <c r="I425" i="1"/>
  <c r="J425" i="1"/>
  <c r="L425" i="1"/>
  <c r="M425" i="1"/>
  <c r="C426" i="1"/>
  <c r="E426" i="1"/>
  <c r="F426" i="1"/>
  <c r="H426" i="1"/>
  <c r="I426" i="1"/>
  <c r="J426" i="1"/>
  <c r="L426" i="1"/>
  <c r="M426" i="1"/>
  <c r="C427" i="1"/>
  <c r="E427" i="1"/>
  <c r="F427" i="1"/>
  <c r="H427" i="1"/>
  <c r="I427" i="1"/>
  <c r="J427" i="1"/>
  <c r="L427" i="1"/>
  <c r="M427" i="1"/>
  <c r="C428" i="1"/>
  <c r="E428" i="1"/>
  <c r="F428" i="1"/>
  <c r="H428" i="1"/>
  <c r="I428" i="1"/>
  <c r="J428" i="1"/>
  <c r="L428" i="1"/>
  <c r="M428" i="1"/>
  <c r="C429" i="1"/>
  <c r="E429" i="1"/>
  <c r="F429" i="1"/>
  <c r="H429" i="1"/>
  <c r="I429" i="1"/>
  <c r="J429" i="1"/>
  <c r="L429" i="1"/>
  <c r="M429" i="1"/>
  <c r="C430" i="1"/>
  <c r="E430" i="1"/>
  <c r="F430" i="1"/>
  <c r="H430" i="1"/>
  <c r="I430" i="1"/>
  <c r="J430" i="1"/>
  <c r="L430" i="1"/>
  <c r="M430" i="1"/>
  <c r="C431" i="1"/>
  <c r="E431" i="1"/>
  <c r="F431" i="1"/>
  <c r="H431" i="1"/>
  <c r="I431" i="1"/>
  <c r="J431" i="1"/>
  <c r="L431" i="1"/>
  <c r="M431" i="1"/>
  <c r="C432" i="1"/>
  <c r="E432" i="1"/>
  <c r="F432" i="1"/>
  <c r="H432" i="1"/>
  <c r="I432" i="1"/>
  <c r="J432" i="1"/>
  <c r="L432" i="1"/>
  <c r="M432" i="1"/>
  <c r="C433" i="1"/>
  <c r="E433" i="1"/>
  <c r="F433" i="1"/>
  <c r="H433" i="1"/>
  <c r="I433" i="1"/>
  <c r="J433" i="1"/>
  <c r="L433" i="1"/>
  <c r="M433" i="1"/>
  <c r="C434" i="1"/>
  <c r="E434" i="1"/>
  <c r="F434" i="1"/>
  <c r="H434" i="1"/>
  <c r="I434" i="1"/>
  <c r="J434" i="1"/>
  <c r="L434" i="1"/>
  <c r="M434" i="1"/>
  <c r="C435" i="1"/>
  <c r="E435" i="1"/>
  <c r="F435" i="1"/>
  <c r="H435" i="1"/>
  <c r="I435" i="1"/>
  <c r="J435" i="1"/>
  <c r="L435" i="1"/>
  <c r="M435" i="1"/>
  <c r="C436" i="1"/>
  <c r="E436" i="1"/>
  <c r="F436" i="1"/>
  <c r="H436" i="1"/>
  <c r="I436" i="1"/>
  <c r="J436" i="1"/>
  <c r="L436" i="1"/>
  <c r="M436" i="1"/>
  <c r="C437" i="1"/>
  <c r="E437" i="1"/>
  <c r="F437" i="1"/>
  <c r="H437" i="1"/>
  <c r="I437" i="1"/>
  <c r="J437" i="1"/>
  <c r="L437" i="1"/>
  <c r="M437" i="1"/>
  <c r="C438" i="1"/>
  <c r="E438" i="1"/>
  <c r="F438" i="1"/>
  <c r="H438" i="1"/>
  <c r="I438" i="1"/>
  <c r="J438" i="1"/>
  <c r="L438" i="1"/>
  <c r="M438" i="1"/>
  <c r="C439" i="1"/>
  <c r="E439" i="1"/>
  <c r="F439" i="1"/>
  <c r="H439" i="1"/>
  <c r="I439" i="1"/>
  <c r="J439" i="1"/>
  <c r="L439" i="1"/>
  <c r="M439" i="1"/>
  <c r="C440" i="1"/>
  <c r="E440" i="1"/>
  <c r="F440" i="1"/>
  <c r="H440" i="1"/>
  <c r="I440" i="1"/>
  <c r="J440" i="1"/>
  <c r="L440" i="1"/>
  <c r="M440" i="1"/>
  <c r="C441" i="1"/>
  <c r="E441" i="1"/>
  <c r="F441" i="1"/>
  <c r="H441" i="1"/>
  <c r="I441" i="1"/>
  <c r="J441" i="1"/>
  <c r="L441" i="1"/>
  <c r="M441" i="1"/>
  <c r="C442" i="1"/>
  <c r="E442" i="1"/>
  <c r="F442" i="1"/>
  <c r="H442" i="1"/>
  <c r="I442" i="1"/>
  <c r="J442" i="1"/>
  <c r="L442" i="1"/>
  <c r="M442" i="1"/>
  <c r="C443" i="1"/>
  <c r="E443" i="1"/>
  <c r="F443" i="1"/>
  <c r="H443" i="1"/>
  <c r="I443" i="1"/>
  <c r="J443" i="1"/>
  <c r="L443" i="1"/>
  <c r="M443" i="1"/>
  <c r="C444" i="1"/>
  <c r="E444" i="1"/>
  <c r="F444" i="1"/>
  <c r="H444" i="1"/>
  <c r="I444" i="1"/>
  <c r="J444" i="1"/>
  <c r="L444" i="1"/>
  <c r="M444" i="1"/>
  <c r="C445" i="1"/>
  <c r="E445" i="1"/>
  <c r="F445" i="1"/>
  <c r="H445" i="1"/>
  <c r="I445" i="1"/>
  <c r="J445" i="1"/>
  <c r="L445" i="1"/>
  <c r="M445" i="1"/>
  <c r="C446" i="1"/>
  <c r="E446" i="1"/>
  <c r="F446" i="1"/>
  <c r="H446" i="1"/>
  <c r="I446" i="1"/>
  <c r="J446" i="1"/>
  <c r="L446" i="1"/>
  <c r="M446" i="1"/>
  <c r="C447" i="1"/>
  <c r="E447" i="1"/>
  <c r="F447" i="1"/>
  <c r="H447" i="1"/>
  <c r="I447" i="1"/>
  <c r="J447" i="1"/>
  <c r="L447" i="1"/>
  <c r="M447" i="1"/>
  <c r="C448" i="1"/>
  <c r="E448" i="1"/>
  <c r="F448" i="1"/>
  <c r="H448" i="1"/>
  <c r="I448" i="1"/>
  <c r="J448" i="1"/>
  <c r="L448" i="1"/>
  <c r="M448" i="1"/>
  <c r="C449" i="1"/>
  <c r="E449" i="1"/>
  <c r="F449" i="1"/>
  <c r="H449" i="1"/>
  <c r="I449" i="1"/>
  <c r="J449" i="1"/>
  <c r="L449" i="1"/>
  <c r="M449" i="1"/>
  <c r="C450" i="1"/>
  <c r="E450" i="1"/>
  <c r="F450" i="1"/>
  <c r="H450" i="1"/>
  <c r="I450" i="1"/>
  <c r="J450" i="1"/>
  <c r="L450" i="1"/>
  <c r="M450" i="1"/>
  <c r="C451" i="1"/>
  <c r="E451" i="1"/>
  <c r="F451" i="1"/>
  <c r="H451" i="1"/>
  <c r="I451" i="1"/>
  <c r="J451" i="1"/>
  <c r="L451" i="1"/>
  <c r="M451" i="1"/>
  <c r="C452" i="1"/>
  <c r="E452" i="1"/>
  <c r="F452" i="1"/>
  <c r="H452" i="1"/>
  <c r="I452" i="1"/>
  <c r="J452" i="1"/>
  <c r="L452" i="1"/>
  <c r="M452" i="1"/>
  <c r="C453" i="1"/>
  <c r="E453" i="1"/>
  <c r="F453" i="1"/>
  <c r="H453" i="1"/>
  <c r="I453" i="1"/>
  <c r="J453" i="1"/>
  <c r="L453" i="1"/>
  <c r="M453" i="1"/>
  <c r="C454" i="1"/>
  <c r="E454" i="1"/>
  <c r="F454" i="1"/>
  <c r="H454" i="1"/>
  <c r="I454" i="1"/>
  <c r="J454" i="1"/>
  <c r="L454" i="1"/>
  <c r="M454" i="1"/>
  <c r="C455" i="1"/>
  <c r="E455" i="1"/>
  <c r="F455" i="1"/>
  <c r="H455" i="1"/>
  <c r="I455" i="1"/>
  <c r="J455" i="1"/>
  <c r="L455" i="1"/>
  <c r="M455" i="1"/>
  <c r="C456" i="1"/>
  <c r="E456" i="1"/>
  <c r="F456" i="1"/>
  <c r="H456" i="1"/>
  <c r="I456" i="1"/>
  <c r="J456" i="1"/>
  <c r="L456" i="1"/>
  <c r="M456" i="1"/>
  <c r="C457" i="1"/>
  <c r="E457" i="1"/>
  <c r="F457" i="1"/>
  <c r="H457" i="1"/>
  <c r="I457" i="1"/>
  <c r="J457" i="1"/>
  <c r="L457" i="1"/>
  <c r="M457" i="1"/>
  <c r="C458" i="1"/>
  <c r="E458" i="1"/>
  <c r="F458" i="1"/>
  <c r="H458" i="1"/>
  <c r="I458" i="1"/>
  <c r="J458" i="1"/>
  <c r="L458" i="1"/>
  <c r="M458" i="1"/>
  <c r="C459" i="1"/>
  <c r="E459" i="1"/>
  <c r="F459" i="1"/>
  <c r="H459" i="1"/>
  <c r="I459" i="1"/>
  <c r="J459" i="1"/>
  <c r="L459" i="1"/>
  <c r="M459" i="1"/>
  <c r="C460" i="1"/>
  <c r="E460" i="1"/>
  <c r="F460" i="1"/>
  <c r="H460" i="1"/>
  <c r="I460" i="1"/>
  <c r="J460" i="1"/>
  <c r="L460" i="1"/>
  <c r="M460" i="1"/>
  <c r="C461" i="1"/>
  <c r="E461" i="1"/>
  <c r="F461" i="1"/>
  <c r="H461" i="1"/>
  <c r="I461" i="1"/>
  <c r="J461" i="1"/>
  <c r="L461" i="1"/>
  <c r="M461" i="1"/>
  <c r="C462" i="1"/>
  <c r="E462" i="1"/>
  <c r="F462" i="1"/>
  <c r="H462" i="1"/>
  <c r="I462" i="1"/>
  <c r="J462" i="1"/>
  <c r="L462" i="1"/>
  <c r="M462" i="1"/>
  <c r="C463" i="1"/>
  <c r="E463" i="1"/>
  <c r="F463" i="1"/>
  <c r="H463" i="1"/>
  <c r="I463" i="1"/>
  <c r="J463" i="1"/>
  <c r="L463" i="1"/>
  <c r="M463" i="1"/>
  <c r="C464" i="1"/>
  <c r="E464" i="1"/>
  <c r="F464" i="1"/>
  <c r="H464" i="1"/>
  <c r="I464" i="1"/>
  <c r="J464" i="1"/>
  <c r="L464" i="1"/>
  <c r="M464" i="1"/>
  <c r="C465" i="1"/>
  <c r="E465" i="1"/>
  <c r="F465" i="1"/>
  <c r="H465" i="1"/>
  <c r="I465" i="1"/>
  <c r="J465" i="1"/>
  <c r="L465" i="1"/>
  <c r="M465" i="1"/>
  <c r="C466" i="1"/>
  <c r="E466" i="1"/>
  <c r="F466" i="1"/>
  <c r="H466" i="1"/>
  <c r="I466" i="1"/>
  <c r="J466" i="1"/>
  <c r="L466" i="1"/>
  <c r="M466" i="1"/>
  <c r="C467" i="1"/>
  <c r="E467" i="1"/>
  <c r="F467" i="1"/>
  <c r="H467" i="1"/>
  <c r="I467" i="1"/>
  <c r="J467" i="1"/>
  <c r="L467" i="1"/>
  <c r="M467" i="1"/>
  <c r="C468" i="1"/>
  <c r="E468" i="1"/>
  <c r="F468" i="1"/>
  <c r="H468" i="1"/>
  <c r="I468" i="1"/>
  <c r="J468" i="1"/>
  <c r="L468" i="1"/>
  <c r="M468" i="1"/>
  <c r="C469" i="1"/>
  <c r="E469" i="1"/>
  <c r="F469" i="1"/>
  <c r="H469" i="1"/>
  <c r="I469" i="1"/>
  <c r="J469" i="1"/>
  <c r="L469" i="1"/>
  <c r="M469" i="1"/>
  <c r="C470" i="1"/>
  <c r="E470" i="1"/>
  <c r="F470" i="1"/>
  <c r="H470" i="1"/>
  <c r="I470" i="1"/>
  <c r="J470" i="1"/>
  <c r="L470" i="1"/>
  <c r="M470" i="1"/>
  <c r="C471" i="1"/>
  <c r="E471" i="1"/>
  <c r="F471" i="1"/>
  <c r="H471" i="1"/>
  <c r="I471" i="1"/>
  <c r="J471" i="1"/>
  <c r="L471" i="1"/>
  <c r="M471" i="1"/>
  <c r="C472" i="1"/>
  <c r="E472" i="1"/>
  <c r="F472" i="1"/>
  <c r="H472" i="1"/>
  <c r="I472" i="1"/>
  <c r="J472" i="1"/>
  <c r="L472" i="1"/>
  <c r="M472" i="1"/>
  <c r="C473" i="1"/>
  <c r="E473" i="1"/>
  <c r="F473" i="1"/>
  <c r="H473" i="1"/>
  <c r="I473" i="1"/>
  <c r="J473" i="1"/>
  <c r="L473" i="1"/>
  <c r="M473" i="1"/>
  <c r="C474" i="1"/>
  <c r="E474" i="1"/>
  <c r="F474" i="1"/>
  <c r="H474" i="1"/>
  <c r="I474" i="1"/>
  <c r="J474" i="1"/>
  <c r="L474" i="1"/>
  <c r="M474" i="1"/>
  <c r="C475" i="1"/>
  <c r="E475" i="1"/>
  <c r="F475" i="1"/>
  <c r="H475" i="1"/>
  <c r="I475" i="1"/>
  <c r="J475" i="1"/>
  <c r="L475" i="1"/>
  <c r="M475" i="1"/>
  <c r="C476" i="1"/>
  <c r="E476" i="1"/>
  <c r="F476" i="1"/>
  <c r="H476" i="1"/>
  <c r="I476" i="1"/>
  <c r="J476" i="1"/>
  <c r="L476" i="1"/>
  <c r="M476" i="1"/>
  <c r="C477" i="1"/>
  <c r="E477" i="1"/>
  <c r="F477" i="1"/>
  <c r="H477" i="1"/>
  <c r="I477" i="1"/>
  <c r="J477" i="1"/>
  <c r="L477" i="1"/>
  <c r="M477" i="1"/>
  <c r="C478" i="1"/>
  <c r="E478" i="1"/>
  <c r="F478" i="1"/>
  <c r="H478" i="1"/>
  <c r="I478" i="1"/>
  <c r="J478" i="1"/>
  <c r="L478" i="1"/>
  <c r="M478" i="1"/>
  <c r="C479" i="1"/>
  <c r="E479" i="1"/>
  <c r="F479" i="1"/>
  <c r="H479" i="1"/>
  <c r="I479" i="1"/>
  <c r="J479" i="1"/>
  <c r="L479" i="1"/>
  <c r="M479" i="1"/>
  <c r="C480" i="1"/>
  <c r="E480" i="1"/>
  <c r="F480" i="1"/>
  <c r="H480" i="1"/>
  <c r="I480" i="1"/>
  <c r="J480" i="1"/>
  <c r="L480" i="1"/>
  <c r="M480" i="1"/>
  <c r="C481" i="1"/>
  <c r="E481" i="1"/>
  <c r="F481" i="1"/>
  <c r="H481" i="1"/>
  <c r="I481" i="1"/>
  <c r="J481" i="1"/>
  <c r="L481" i="1"/>
  <c r="M481" i="1"/>
  <c r="C482" i="1"/>
  <c r="E482" i="1"/>
  <c r="F482" i="1"/>
  <c r="H482" i="1"/>
  <c r="I482" i="1"/>
  <c r="J482" i="1"/>
  <c r="L482" i="1"/>
  <c r="M482" i="1"/>
  <c r="C483" i="1"/>
  <c r="E483" i="1"/>
  <c r="F483" i="1"/>
  <c r="H483" i="1"/>
  <c r="I483" i="1"/>
  <c r="J483" i="1"/>
  <c r="L483" i="1"/>
  <c r="M483" i="1"/>
  <c r="C484" i="1"/>
  <c r="E484" i="1"/>
  <c r="F484" i="1"/>
  <c r="H484" i="1"/>
  <c r="I484" i="1"/>
  <c r="J484" i="1"/>
  <c r="L484" i="1"/>
  <c r="M484" i="1"/>
  <c r="C485" i="1"/>
  <c r="E485" i="1"/>
  <c r="F485" i="1"/>
  <c r="H485" i="1"/>
  <c r="I485" i="1"/>
  <c r="J485" i="1"/>
  <c r="L485" i="1"/>
  <c r="M485" i="1"/>
  <c r="C486" i="1"/>
  <c r="E486" i="1"/>
  <c r="F486" i="1"/>
  <c r="H486" i="1"/>
  <c r="I486" i="1"/>
  <c r="J486" i="1"/>
  <c r="L486" i="1"/>
  <c r="M486" i="1"/>
  <c r="C487" i="1"/>
  <c r="E487" i="1"/>
  <c r="F487" i="1"/>
  <c r="H487" i="1"/>
  <c r="I487" i="1"/>
  <c r="J487" i="1"/>
  <c r="L487" i="1"/>
  <c r="M487" i="1"/>
  <c r="C488" i="1"/>
  <c r="E488" i="1"/>
  <c r="F488" i="1"/>
  <c r="H488" i="1"/>
  <c r="I488" i="1"/>
  <c r="J488" i="1"/>
  <c r="L488" i="1"/>
  <c r="M488" i="1"/>
  <c r="C489" i="1"/>
  <c r="E489" i="1"/>
  <c r="F489" i="1"/>
  <c r="H489" i="1"/>
  <c r="I489" i="1"/>
  <c r="J489" i="1"/>
  <c r="L489" i="1"/>
  <c r="M489" i="1"/>
  <c r="C490" i="1"/>
  <c r="E490" i="1"/>
  <c r="F490" i="1"/>
  <c r="H490" i="1"/>
  <c r="I490" i="1"/>
  <c r="J490" i="1"/>
  <c r="L490" i="1"/>
  <c r="M490" i="1"/>
  <c r="C491" i="1"/>
  <c r="E491" i="1"/>
  <c r="F491" i="1"/>
  <c r="H491" i="1"/>
  <c r="I491" i="1"/>
  <c r="J491" i="1"/>
  <c r="L491" i="1"/>
  <c r="M491" i="1"/>
  <c r="C492" i="1"/>
  <c r="E492" i="1"/>
  <c r="F492" i="1"/>
  <c r="H492" i="1"/>
  <c r="I492" i="1"/>
  <c r="J492" i="1"/>
  <c r="L492" i="1"/>
  <c r="M492" i="1"/>
  <c r="C493" i="1"/>
  <c r="E493" i="1"/>
  <c r="F493" i="1"/>
  <c r="H493" i="1"/>
  <c r="I493" i="1"/>
  <c r="J493" i="1"/>
  <c r="L493" i="1"/>
  <c r="M493" i="1"/>
  <c r="C494" i="1"/>
  <c r="E494" i="1"/>
  <c r="F494" i="1"/>
  <c r="H494" i="1"/>
  <c r="I494" i="1"/>
  <c r="J494" i="1"/>
  <c r="L494" i="1"/>
  <c r="M494" i="1"/>
  <c r="C495" i="1"/>
  <c r="E495" i="1"/>
  <c r="F495" i="1"/>
  <c r="H495" i="1"/>
  <c r="I495" i="1"/>
  <c r="J495" i="1"/>
  <c r="L495" i="1"/>
  <c r="M495" i="1"/>
  <c r="C496" i="1"/>
  <c r="E496" i="1"/>
  <c r="F496" i="1"/>
  <c r="H496" i="1"/>
  <c r="I496" i="1"/>
  <c r="J496" i="1"/>
  <c r="L496" i="1"/>
  <c r="M496" i="1"/>
  <c r="C497" i="1"/>
  <c r="E497" i="1"/>
  <c r="F497" i="1"/>
  <c r="H497" i="1"/>
  <c r="I497" i="1"/>
  <c r="J497" i="1"/>
  <c r="L497" i="1"/>
  <c r="M497" i="1"/>
  <c r="C498" i="1"/>
  <c r="E498" i="1"/>
  <c r="F498" i="1"/>
  <c r="H498" i="1"/>
  <c r="I498" i="1"/>
  <c r="J498" i="1"/>
  <c r="L498" i="1"/>
  <c r="M498" i="1"/>
  <c r="C499" i="1"/>
  <c r="E499" i="1"/>
  <c r="F499" i="1"/>
  <c r="H499" i="1"/>
  <c r="I499" i="1"/>
  <c r="J499" i="1"/>
  <c r="L499" i="1"/>
  <c r="M499" i="1"/>
  <c r="C500" i="1"/>
  <c r="E500" i="1"/>
  <c r="F500" i="1"/>
  <c r="H500" i="1"/>
  <c r="I500" i="1"/>
  <c r="J500" i="1"/>
  <c r="L500" i="1"/>
  <c r="M500" i="1"/>
  <c r="C501" i="1"/>
  <c r="E501" i="1"/>
  <c r="F501" i="1"/>
  <c r="H501" i="1"/>
  <c r="I501" i="1"/>
  <c r="J501" i="1"/>
  <c r="L501" i="1"/>
  <c r="M501" i="1"/>
  <c r="C502" i="1"/>
  <c r="E502" i="1"/>
  <c r="F502" i="1"/>
  <c r="H502" i="1"/>
  <c r="I502" i="1"/>
  <c r="J502" i="1"/>
  <c r="L502" i="1"/>
  <c r="M502" i="1"/>
  <c r="C503" i="1"/>
  <c r="E503" i="1"/>
  <c r="F503" i="1"/>
  <c r="H503" i="1"/>
  <c r="I503" i="1"/>
  <c r="J503" i="1"/>
  <c r="L503" i="1"/>
  <c r="M503" i="1"/>
  <c r="C504" i="1"/>
  <c r="E504" i="1"/>
  <c r="F504" i="1"/>
  <c r="H504" i="1"/>
  <c r="I504" i="1"/>
  <c r="J504" i="1"/>
  <c r="L504" i="1"/>
  <c r="M504" i="1"/>
  <c r="C505" i="1"/>
  <c r="E505" i="1"/>
  <c r="F505" i="1"/>
  <c r="H505" i="1"/>
  <c r="I505" i="1"/>
  <c r="J505" i="1"/>
  <c r="L505" i="1"/>
  <c r="M505" i="1"/>
  <c r="C506" i="1"/>
  <c r="E506" i="1"/>
  <c r="F506" i="1"/>
  <c r="H506" i="1"/>
  <c r="I506" i="1"/>
  <c r="J506" i="1"/>
  <c r="L506" i="1"/>
  <c r="M506" i="1"/>
  <c r="C507" i="1"/>
  <c r="E507" i="1"/>
  <c r="F507" i="1"/>
  <c r="H507" i="1"/>
  <c r="I507" i="1"/>
  <c r="J507" i="1"/>
  <c r="L507" i="1"/>
  <c r="M507" i="1"/>
  <c r="C508" i="1"/>
  <c r="E508" i="1"/>
  <c r="F508" i="1"/>
  <c r="H508" i="1"/>
  <c r="I508" i="1"/>
  <c r="J508" i="1"/>
  <c r="L508" i="1"/>
  <c r="M508" i="1"/>
  <c r="C509" i="1"/>
  <c r="E509" i="1"/>
  <c r="F509" i="1"/>
  <c r="H509" i="1"/>
  <c r="I509" i="1"/>
  <c r="J509" i="1"/>
  <c r="L509" i="1"/>
  <c r="M509" i="1"/>
  <c r="C510" i="1"/>
  <c r="E510" i="1"/>
  <c r="F510" i="1"/>
  <c r="H510" i="1"/>
  <c r="I510" i="1"/>
  <c r="J510" i="1"/>
  <c r="L510" i="1"/>
  <c r="M510" i="1"/>
  <c r="C511" i="1"/>
  <c r="E511" i="1"/>
  <c r="F511" i="1"/>
  <c r="H511" i="1"/>
  <c r="I511" i="1"/>
  <c r="J511" i="1"/>
  <c r="L511" i="1"/>
  <c r="M511" i="1"/>
  <c r="C512" i="1"/>
  <c r="E512" i="1"/>
  <c r="F512" i="1"/>
  <c r="H512" i="1"/>
  <c r="I512" i="1"/>
  <c r="J512" i="1"/>
  <c r="L512" i="1"/>
  <c r="M512" i="1"/>
  <c r="C513" i="1"/>
  <c r="E513" i="1"/>
  <c r="F513" i="1"/>
  <c r="H513" i="1"/>
  <c r="I513" i="1"/>
  <c r="J513" i="1"/>
  <c r="L513" i="1"/>
  <c r="M513" i="1"/>
  <c r="C514" i="1"/>
  <c r="E514" i="1"/>
  <c r="F514" i="1"/>
  <c r="H514" i="1"/>
  <c r="I514" i="1"/>
  <c r="J514" i="1"/>
  <c r="L514" i="1"/>
  <c r="M514" i="1"/>
  <c r="C515" i="1"/>
  <c r="E515" i="1"/>
  <c r="F515" i="1"/>
  <c r="H515" i="1"/>
  <c r="I515" i="1"/>
  <c r="J515" i="1"/>
  <c r="L515" i="1"/>
  <c r="M515" i="1"/>
  <c r="C516" i="1"/>
  <c r="E516" i="1"/>
  <c r="F516" i="1"/>
  <c r="H516" i="1"/>
  <c r="I516" i="1"/>
  <c r="J516" i="1"/>
  <c r="L516" i="1"/>
  <c r="M516" i="1"/>
  <c r="C517" i="1"/>
  <c r="E517" i="1"/>
  <c r="F517" i="1"/>
  <c r="H517" i="1"/>
  <c r="I517" i="1"/>
  <c r="J517" i="1"/>
  <c r="L517" i="1"/>
  <c r="M517" i="1"/>
  <c r="C518" i="1"/>
  <c r="E518" i="1"/>
  <c r="F518" i="1"/>
  <c r="H518" i="1"/>
  <c r="I518" i="1"/>
  <c r="J518" i="1"/>
  <c r="L518" i="1"/>
  <c r="M518" i="1"/>
  <c r="C519" i="1"/>
  <c r="E519" i="1"/>
  <c r="F519" i="1"/>
  <c r="H519" i="1"/>
  <c r="I519" i="1"/>
  <c r="J519" i="1"/>
  <c r="L519" i="1"/>
  <c r="M519" i="1"/>
  <c r="C520" i="1"/>
  <c r="E520" i="1"/>
  <c r="F520" i="1"/>
  <c r="H520" i="1"/>
  <c r="I520" i="1"/>
  <c r="J520" i="1"/>
  <c r="L520" i="1"/>
  <c r="M520" i="1"/>
  <c r="C521" i="1"/>
  <c r="E521" i="1"/>
  <c r="F521" i="1"/>
  <c r="H521" i="1"/>
  <c r="I521" i="1"/>
  <c r="J521" i="1"/>
  <c r="L521" i="1"/>
  <c r="M521" i="1"/>
  <c r="C522" i="1"/>
  <c r="E522" i="1"/>
  <c r="F522" i="1"/>
  <c r="H522" i="1"/>
  <c r="I522" i="1"/>
  <c r="J522" i="1"/>
  <c r="L522" i="1"/>
  <c r="M522" i="1"/>
  <c r="C523" i="1"/>
  <c r="E523" i="1"/>
  <c r="F523" i="1"/>
  <c r="H523" i="1"/>
  <c r="I523" i="1"/>
  <c r="J523" i="1"/>
  <c r="L523" i="1"/>
  <c r="M523" i="1"/>
  <c r="C524" i="1"/>
  <c r="E524" i="1"/>
  <c r="F524" i="1"/>
  <c r="H524" i="1"/>
  <c r="I524" i="1"/>
  <c r="J524" i="1"/>
  <c r="L524" i="1"/>
  <c r="M524" i="1"/>
  <c r="C525" i="1"/>
  <c r="E525" i="1"/>
  <c r="F525" i="1"/>
  <c r="H525" i="1"/>
  <c r="I525" i="1"/>
  <c r="J525" i="1"/>
  <c r="L525" i="1"/>
  <c r="M525" i="1"/>
  <c r="C526" i="1"/>
  <c r="E526" i="1"/>
  <c r="F526" i="1"/>
  <c r="H526" i="1"/>
  <c r="I526" i="1"/>
  <c r="J526" i="1"/>
  <c r="L526" i="1"/>
  <c r="M526" i="1"/>
  <c r="C527" i="1"/>
  <c r="E527" i="1"/>
  <c r="F527" i="1"/>
  <c r="H527" i="1"/>
  <c r="I527" i="1"/>
  <c r="J527" i="1"/>
  <c r="L527" i="1"/>
  <c r="M527" i="1"/>
  <c r="C528" i="1"/>
  <c r="E528" i="1"/>
  <c r="F528" i="1"/>
  <c r="H528" i="1"/>
  <c r="I528" i="1"/>
  <c r="J528" i="1"/>
  <c r="L528" i="1"/>
  <c r="M528" i="1"/>
  <c r="C529" i="1"/>
  <c r="E529" i="1"/>
  <c r="F529" i="1"/>
  <c r="H529" i="1"/>
  <c r="I529" i="1"/>
  <c r="J529" i="1"/>
  <c r="L529" i="1"/>
  <c r="M529" i="1"/>
  <c r="C530" i="1"/>
  <c r="E530" i="1"/>
  <c r="F530" i="1"/>
  <c r="H530" i="1"/>
  <c r="I530" i="1"/>
  <c r="J530" i="1"/>
  <c r="L530" i="1"/>
  <c r="M530" i="1"/>
  <c r="C531" i="1"/>
  <c r="E531" i="1"/>
  <c r="F531" i="1"/>
  <c r="H531" i="1"/>
  <c r="I531" i="1"/>
  <c r="J531" i="1"/>
  <c r="L531" i="1"/>
  <c r="M531" i="1"/>
  <c r="C532" i="1"/>
  <c r="E532" i="1"/>
  <c r="F532" i="1"/>
  <c r="H532" i="1"/>
  <c r="I532" i="1"/>
  <c r="J532" i="1"/>
  <c r="L532" i="1"/>
  <c r="M532" i="1"/>
  <c r="C533" i="1"/>
  <c r="E533" i="1"/>
  <c r="F533" i="1"/>
  <c r="H533" i="1"/>
  <c r="I533" i="1"/>
  <c r="J533" i="1"/>
  <c r="L533" i="1"/>
  <c r="M533" i="1"/>
  <c r="C534" i="1"/>
  <c r="E534" i="1"/>
  <c r="F534" i="1"/>
  <c r="H534" i="1"/>
  <c r="I534" i="1"/>
  <c r="J534" i="1"/>
  <c r="L534" i="1"/>
  <c r="M534" i="1"/>
  <c r="C535" i="1"/>
  <c r="E535" i="1"/>
  <c r="F535" i="1"/>
  <c r="H535" i="1"/>
  <c r="I535" i="1"/>
  <c r="J535" i="1"/>
  <c r="L535" i="1"/>
  <c r="M535" i="1"/>
  <c r="C536" i="1"/>
  <c r="E536" i="1"/>
  <c r="F536" i="1"/>
  <c r="H536" i="1"/>
  <c r="I536" i="1"/>
  <c r="J536" i="1"/>
  <c r="L536" i="1"/>
  <c r="M536" i="1"/>
  <c r="C537" i="1"/>
  <c r="E537" i="1"/>
  <c r="F537" i="1"/>
  <c r="H537" i="1"/>
  <c r="I537" i="1"/>
  <c r="J537" i="1"/>
  <c r="L537" i="1"/>
  <c r="M537" i="1"/>
  <c r="C538" i="1"/>
  <c r="E538" i="1"/>
  <c r="F538" i="1"/>
  <c r="H538" i="1"/>
  <c r="I538" i="1"/>
  <c r="J538" i="1"/>
  <c r="L538" i="1"/>
  <c r="M538" i="1"/>
  <c r="C539" i="1"/>
  <c r="E539" i="1"/>
  <c r="F539" i="1"/>
  <c r="H539" i="1"/>
  <c r="I539" i="1"/>
  <c r="J539" i="1"/>
  <c r="L539" i="1"/>
  <c r="M539" i="1"/>
  <c r="C540" i="1"/>
  <c r="E540" i="1"/>
  <c r="F540" i="1"/>
  <c r="H540" i="1"/>
  <c r="I540" i="1"/>
  <c r="J540" i="1"/>
  <c r="L540" i="1"/>
  <c r="M540" i="1"/>
  <c r="C541" i="1"/>
  <c r="E541" i="1"/>
  <c r="F541" i="1"/>
  <c r="H541" i="1"/>
  <c r="I541" i="1"/>
  <c r="J541" i="1"/>
  <c r="L541" i="1"/>
  <c r="M541" i="1"/>
  <c r="C542" i="1"/>
  <c r="E542" i="1"/>
  <c r="F542" i="1"/>
  <c r="H542" i="1"/>
  <c r="I542" i="1"/>
  <c r="J542" i="1"/>
  <c r="L542" i="1"/>
  <c r="M542" i="1"/>
  <c r="C543" i="1"/>
  <c r="E543" i="1"/>
  <c r="F543" i="1"/>
  <c r="H543" i="1"/>
  <c r="I543" i="1"/>
  <c r="J543" i="1"/>
  <c r="L543" i="1"/>
  <c r="M543" i="1"/>
  <c r="C544" i="1"/>
  <c r="E544" i="1"/>
  <c r="F544" i="1"/>
  <c r="H544" i="1"/>
  <c r="I544" i="1"/>
  <c r="J544" i="1"/>
  <c r="L544" i="1"/>
  <c r="M544" i="1"/>
  <c r="C545" i="1"/>
  <c r="E545" i="1"/>
  <c r="F545" i="1"/>
  <c r="H545" i="1"/>
  <c r="I545" i="1"/>
  <c r="J545" i="1"/>
  <c r="L545" i="1"/>
  <c r="M545" i="1"/>
  <c r="C546" i="1"/>
  <c r="E546" i="1"/>
  <c r="F546" i="1"/>
  <c r="H546" i="1"/>
  <c r="I546" i="1"/>
  <c r="J546" i="1"/>
  <c r="L546" i="1"/>
  <c r="M546" i="1"/>
  <c r="C547" i="1"/>
  <c r="E547" i="1"/>
  <c r="F547" i="1"/>
  <c r="H547" i="1"/>
  <c r="I547" i="1"/>
  <c r="J547" i="1"/>
  <c r="L547" i="1"/>
  <c r="M547" i="1"/>
  <c r="C548" i="1"/>
  <c r="E548" i="1"/>
  <c r="F548" i="1"/>
  <c r="H548" i="1"/>
  <c r="I548" i="1"/>
  <c r="J548" i="1"/>
  <c r="L548" i="1"/>
  <c r="M548" i="1"/>
  <c r="C549" i="1"/>
  <c r="E549" i="1"/>
  <c r="F549" i="1"/>
  <c r="H549" i="1"/>
  <c r="I549" i="1"/>
  <c r="J549" i="1"/>
  <c r="L549" i="1"/>
  <c r="M549" i="1"/>
  <c r="C550" i="1"/>
  <c r="E550" i="1"/>
  <c r="F550" i="1"/>
  <c r="H550" i="1"/>
  <c r="I550" i="1"/>
  <c r="J550" i="1"/>
  <c r="L550" i="1"/>
  <c r="M550" i="1"/>
  <c r="C551" i="1"/>
  <c r="E551" i="1"/>
  <c r="F551" i="1"/>
  <c r="H551" i="1"/>
  <c r="I551" i="1"/>
  <c r="J551" i="1"/>
  <c r="L551" i="1"/>
  <c r="M551" i="1"/>
  <c r="C552" i="1"/>
  <c r="E552" i="1"/>
  <c r="F552" i="1"/>
  <c r="H552" i="1"/>
  <c r="I552" i="1"/>
  <c r="J552" i="1"/>
  <c r="L552" i="1"/>
  <c r="M552" i="1"/>
  <c r="C553" i="1"/>
  <c r="E553" i="1"/>
  <c r="F553" i="1"/>
  <c r="H553" i="1"/>
  <c r="I553" i="1"/>
  <c r="J553" i="1"/>
  <c r="L553" i="1"/>
  <c r="M553" i="1"/>
  <c r="C554" i="1"/>
  <c r="E554" i="1"/>
  <c r="F554" i="1"/>
  <c r="H554" i="1"/>
  <c r="I554" i="1"/>
  <c r="J554" i="1"/>
  <c r="L554" i="1"/>
  <c r="M554" i="1"/>
  <c r="C555" i="1"/>
  <c r="E555" i="1"/>
  <c r="F555" i="1"/>
  <c r="H555" i="1"/>
  <c r="I555" i="1"/>
  <c r="J555" i="1"/>
  <c r="L555" i="1"/>
  <c r="M555" i="1"/>
  <c r="C556" i="1"/>
  <c r="E556" i="1"/>
  <c r="F556" i="1"/>
  <c r="H556" i="1"/>
  <c r="I556" i="1"/>
  <c r="J556" i="1"/>
  <c r="L556" i="1"/>
  <c r="M556" i="1"/>
  <c r="C557" i="1"/>
  <c r="E557" i="1"/>
  <c r="F557" i="1"/>
  <c r="H557" i="1"/>
  <c r="I557" i="1"/>
  <c r="J557" i="1"/>
  <c r="L557" i="1"/>
  <c r="M557" i="1"/>
  <c r="C558" i="1"/>
  <c r="E558" i="1"/>
  <c r="F558" i="1"/>
  <c r="H558" i="1"/>
  <c r="I558" i="1"/>
  <c r="J558" i="1"/>
  <c r="L558" i="1"/>
  <c r="M558" i="1"/>
  <c r="C559" i="1"/>
  <c r="E559" i="1"/>
  <c r="F559" i="1"/>
  <c r="H559" i="1"/>
  <c r="I559" i="1"/>
  <c r="J559" i="1"/>
  <c r="L559" i="1"/>
  <c r="M559" i="1"/>
  <c r="C560" i="1"/>
  <c r="E560" i="1"/>
  <c r="F560" i="1"/>
  <c r="H560" i="1"/>
  <c r="I560" i="1"/>
  <c r="J560" i="1"/>
  <c r="L560" i="1"/>
  <c r="M560" i="1"/>
  <c r="C561" i="1"/>
  <c r="E561" i="1"/>
  <c r="F561" i="1"/>
  <c r="H561" i="1"/>
  <c r="I561" i="1"/>
  <c r="J561" i="1"/>
  <c r="L561" i="1"/>
  <c r="M561" i="1"/>
  <c r="C562" i="1"/>
  <c r="E562" i="1"/>
  <c r="F562" i="1"/>
  <c r="H562" i="1"/>
  <c r="I562" i="1"/>
  <c r="J562" i="1"/>
  <c r="L562" i="1"/>
  <c r="M562" i="1"/>
  <c r="C563" i="1"/>
  <c r="E563" i="1"/>
  <c r="F563" i="1"/>
  <c r="H563" i="1"/>
  <c r="I563" i="1"/>
  <c r="J563" i="1"/>
  <c r="L563" i="1"/>
  <c r="M563" i="1"/>
  <c r="C564" i="1"/>
  <c r="E564" i="1"/>
  <c r="F564" i="1"/>
  <c r="H564" i="1"/>
  <c r="I564" i="1"/>
  <c r="J564" i="1"/>
  <c r="L564" i="1"/>
  <c r="M564" i="1"/>
  <c r="C565" i="1"/>
  <c r="E565" i="1"/>
  <c r="F565" i="1"/>
  <c r="H565" i="1"/>
  <c r="I565" i="1"/>
  <c r="J565" i="1"/>
  <c r="L565" i="1"/>
  <c r="M565" i="1"/>
  <c r="C566" i="1"/>
  <c r="E566" i="1"/>
  <c r="F566" i="1"/>
  <c r="H566" i="1"/>
  <c r="I566" i="1"/>
  <c r="J566" i="1"/>
  <c r="L566" i="1"/>
  <c r="M566" i="1"/>
  <c r="C567" i="1"/>
  <c r="E567" i="1"/>
  <c r="F567" i="1"/>
  <c r="H567" i="1"/>
  <c r="I567" i="1"/>
  <c r="J567" i="1"/>
  <c r="L567" i="1"/>
  <c r="M567" i="1"/>
  <c r="C568" i="1"/>
  <c r="E568" i="1"/>
  <c r="F568" i="1"/>
  <c r="H568" i="1"/>
  <c r="I568" i="1"/>
  <c r="J568" i="1"/>
  <c r="L568" i="1"/>
  <c r="M568" i="1"/>
  <c r="C569" i="1"/>
  <c r="E569" i="1"/>
  <c r="F569" i="1"/>
  <c r="H569" i="1"/>
  <c r="I569" i="1"/>
  <c r="J569" i="1"/>
  <c r="L569" i="1"/>
  <c r="M569" i="1"/>
  <c r="C570" i="1"/>
  <c r="E570" i="1"/>
  <c r="F570" i="1"/>
  <c r="H570" i="1"/>
  <c r="I570" i="1"/>
  <c r="J570" i="1"/>
  <c r="L570" i="1"/>
  <c r="M570" i="1"/>
  <c r="C571" i="1"/>
  <c r="E571" i="1"/>
  <c r="F571" i="1"/>
  <c r="H571" i="1"/>
  <c r="I571" i="1"/>
  <c r="J571" i="1"/>
  <c r="L571" i="1"/>
  <c r="M571" i="1"/>
  <c r="C572" i="1"/>
  <c r="E572" i="1"/>
  <c r="F572" i="1"/>
  <c r="H572" i="1"/>
  <c r="I572" i="1"/>
  <c r="J572" i="1"/>
  <c r="L572" i="1"/>
  <c r="M572" i="1"/>
  <c r="C573" i="1"/>
  <c r="E573" i="1"/>
  <c r="F573" i="1"/>
  <c r="H573" i="1"/>
  <c r="I573" i="1"/>
  <c r="J573" i="1"/>
  <c r="L573" i="1"/>
  <c r="M573" i="1"/>
  <c r="C574" i="1"/>
  <c r="E574" i="1"/>
  <c r="F574" i="1"/>
  <c r="H574" i="1"/>
  <c r="I574" i="1"/>
  <c r="J574" i="1"/>
  <c r="L574" i="1"/>
  <c r="M574" i="1"/>
  <c r="C575" i="1"/>
  <c r="E575" i="1"/>
  <c r="F575" i="1"/>
  <c r="H575" i="1"/>
  <c r="I575" i="1"/>
  <c r="J575" i="1"/>
  <c r="L575" i="1"/>
  <c r="M575" i="1"/>
  <c r="C576" i="1"/>
  <c r="E576" i="1"/>
  <c r="F576" i="1"/>
  <c r="H576" i="1"/>
  <c r="I576" i="1"/>
  <c r="J576" i="1"/>
  <c r="L576" i="1"/>
  <c r="M576" i="1"/>
  <c r="C577" i="1"/>
  <c r="E577" i="1"/>
  <c r="F577" i="1"/>
  <c r="H577" i="1"/>
  <c r="I577" i="1"/>
  <c r="J577" i="1"/>
  <c r="L577" i="1"/>
  <c r="M577" i="1"/>
  <c r="C578" i="1"/>
  <c r="E578" i="1"/>
  <c r="F578" i="1"/>
  <c r="H578" i="1"/>
  <c r="I578" i="1"/>
  <c r="J578" i="1"/>
  <c r="L578" i="1"/>
  <c r="M578" i="1"/>
  <c r="C579" i="1"/>
  <c r="E579" i="1"/>
  <c r="F579" i="1"/>
  <c r="H579" i="1"/>
  <c r="I579" i="1"/>
  <c r="J579" i="1"/>
  <c r="L579" i="1"/>
  <c r="M579" i="1"/>
  <c r="C580" i="1"/>
  <c r="E580" i="1"/>
  <c r="F580" i="1"/>
  <c r="H580" i="1"/>
  <c r="I580" i="1"/>
  <c r="J580" i="1"/>
  <c r="L580" i="1"/>
  <c r="M580" i="1"/>
  <c r="C581" i="1"/>
  <c r="E581" i="1"/>
  <c r="F581" i="1"/>
  <c r="H581" i="1"/>
  <c r="I581" i="1"/>
  <c r="J581" i="1"/>
  <c r="L581" i="1"/>
  <c r="M581" i="1"/>
  <c r="C582" i="1"/>
  <c r="E582" i="1"/>
  <c r="F582" i="1"/>
  <c r="H582" i="1"/>
  <c r="I582" i="1"/>
  <c r="J582" i="1"/>
  <c r="L582" i="1"/>
  <c r="M582" i="1"/>
  <c r="C583" i="1"/>
  <c r="E583" i="1"/>
  <c r="F583" i="1"/>
  <c r="H583" i="1"/>
  <c r="I583" i="1"/>
  <c r="J583" i="1"/>
  <c r="L583" i="1"/>
  <c r="M583" i="1"/>
  <c r="C584" i="1"/>
  <c r="E584" i="1"/>
  <c r="F584" i="1"/>
  <c r="H584" i="1"/>
  <c r="I584" i="1"/>
  <c r="J584" i="1"/>
  <c r="L584" i="1"/>
  <c r="M584" i="1"/>
  <c r="C585" i="1"/>
  <c r="E585" i="1"/>
  <c r="F585" i="1"/>
  <c r="H585" i="1"/>
  <c r="I585" i="1"/>
  <c r="J585" i="1"/>
  <c r="L585" i="1"/>
  <c r="M585" i="1"/>
  <c r="C586" i="1"/>
  <c r="E586" i="1"/>
  <c r="F586" i="1"/>
  <c r="H586" i="1"/>
  <c r="I586" i="1"/>
  <c r="J586" i="1"/>
  <c r="L586" i="1"/>
  <c r="M586" i="1"/>
  <c r="C587" i="1"/>
  <c r="E587" i="1"/>
  <c r="F587" i="1"/>
  <c r="H587" i="1"/>
  <c r="I587" i="1"/>
  <c r="J587" i="1"/>
  <c r="L587" i="1"/>
  <c r="M587" i="1"/>
  <c r="C588" i="1"/>
  <c r="E588" i="1"/>
  <c r="F588" i="1"/>
  <c r="H588" i="1"/>
  <c r="I588" i="1"/>
  <c r="J588" i="1"/>
  <c r="L588" i="1"/>
  <c r="M588" i="1"/>
  <c r="C589" i="1"/>
  <c r="E589" i="1"/>
  <c r="F589" i="1"/>
  <c r="H589" i="1"/>
  <c r="I589" i="1"/>
  <c r="J589" i="1"/>
  <c r="L589" i="1"/>
  <c r="M589" i="1"/>
  <c r="C590" i="1"/>
  <c r="E590" i="1"/>
  <c r="F590" i="1"/>
  <c r="H590" i="1"/>
  <c r="I590" i="1"/>
  <c r="J590" i="1"/>
  <c r="L590" i="1"/>
  <c r="M590" i="1"/>
  <c r="C591" i="1"/>
  <c r="E591" i="1"/>
  <c r="F591" i="1"/>
  <c r="H591" i="1"/>
  <c r="I591" i="1"/>
  <c r="J591" i="1"/>
  <c r="L591" i="1"/>
  <c r="M591" i="1"/>
  <c r="C592" i="1"/>
  <c r="E592" i="1"/>
  <c r="F592" i="1"/>
  <c r="H592" i="1"/>
  <c r="I592" i="1"/>
  <c r="J592" i="1"/>
  <c r="L592" i="1"/>
  <c r="M592" i="1"/>
  <c r="C593" i="1"/>
  <c r="E593" i="1"/>
  <c r="F593" i="1"/>
  <c r="H593" i="1"/>
  <c r="I593" i="1"/>
  <c r="J593" i="1"/>
  <c r="L593" i="1"/>
  <c r="M593" i="1"/>
  <c r="C594" i="1"/>
  <c r="E594" i="1"/>
  <c r="F594" i="1"/>
  <c r="H594" i="1"/>
  <c r="I594" i="1"/>
  <c r="J594" i="1"/>
  <c r="L594" i="1"/>
  <c r="M594" i="1"/>
  <c r="C595" i="1"/>
  <c r="E595" i="1"/>
  <c r="F595" i="1"/>
  <c r="H595" i="1"/>
  <c r="I595" i="1"/>
  <c r="J595" i="1"/>
  <c r="L595" i="1"/>
  <c r="M595" i="1"/>
  <c r="C596" i="1"/>
  <c r="E596" i="1"/>
  <c r="F596" i="1"/>
  <c r="H596" i="1"/>
  <c r="I596" i="1"/>
  <c r="J596" i="1"/>
  <c r="L596" i="1"/>
  <c r="M596" i="1"/>
  <c r="C597" i="1"/>
  <c r="E597" i="1"/>
  <c r="F597" i="1"/>
  <c r="H597" i="1"/>
  <c r="I597" i="1"/>
  <c r="J597" i="1"/>
  <c r="L597" i="1"/>
  <c r="M597" i="1"/>
  <c r="C598" i="1"/>
  <c r="E598" i="1"/>
  <c r="F598" i="1"/>
  <c r="H598" i="1"/>
  <c r="I598" i="1"/>
  <c r="J598" i="1"/>
  <c r="L598" i="1"/>
  <c r="M598" i="1"/>
  <c r="C599" i="1"/>
  <c r="E599" i="1"/>
  <c r="F599" i="1"/>
  <c r="H599" i="1"/>
  <c r="I599" i="1"/>
  <c r="J599" i="1"/>
  <c r="L599" i="1"/>
  <c r="M599" i="1"/>
  <c r="C600" i="1"/>
  <c r="E600" i="1"/>
  <c r="F600" i="1"/>
  <c r="H600" i="1"/>
  <c r="I600" i="1"/>
  <c r="J600" i="1"/>
  <c r="L600" i="1"/>
  <c r="M600" i="1"/>
  <c r="C601" i="1"/>
  <c r="E601" i="1"/>
  <c r="F601" i="1"/>
  <c r="H601" i="1"/>
  <c r="I601" i="1"/>
  <c r="J601" i="1"/>
  <c r="L601" i="1"/>
  <c r="M601" i="1"/>
  <c r="C602" i="1"/>
  <c r="E602" i="1"/>
  <c r="F602" i="1"/>
  <c r="H602" i="1"/>
  <c r="I602" i="1"/>
  <c r="J602" i="1"/>
  <c r="L602" i="1"/>
  <c r="M602" i="1"/>
  <c r="C603" i="1"/>
  <c r="E603" i="1"/>
  <c r="F603" i="1"/>
  <c r="H603" i="1"/>
  <c r="I603" i="1"/>
  <c r="J603" i="1"/>
  <c r="L603" i="1"/>
  <c r="M603" i="1"/>
  <c r="C604" i="1"/>
  <c r="E604" i="1"/>
  <c r="F604" i="1"/>
  <c r="H604" i="1"/>
  <c r="I604" i="1"/>
  <c r="J604" i="1"/>
  <c r="L604" i="1"/>
  <c r="M604" i="1"/>
  <c r="C605" i="1"/>
  <c r="E605" i="1"/>
  <c r="F605" i="1"/>
  <c r="H605" i="1"/>
  <c r="I605" i="1"/>
  <c r="J605" i="1"/>
  <c r="L605" i="1"/>
  <c r="M605" i="1"/>
  <c r="C606" i="1"/>
  <c r="E606" i="1"/>
  <c r="F606" i="1"/>
  <c r="H606" i="1"/>
  <c r="I606" i="1"/>
  <c r="J606" i="1"/>
  <c r="L606" i="1"/>
  <c r="M606" i="1"/>
  <c r="C607" i="1"/>
  <c r="E607" i="1"/>
  <c r="F607" i="1"/>
  <c r="H607" i="1"/>
  <c r="I607" i="1"/>
  <c r="J607" i="1"/>
  <c r="L607" i="1"/>
  <c r="M607" i="1"/>
  <c r="C608" i="1"/>
  <c r="E608" i="1"/>
  <c r="F608" i="1"/>
  <c r="H608" i="1"/>
  <c r="I608" i="1"/>
  <c r="J608" i="1"/>
  <c r="L608" i="1"/>
  <c r="M608" i="1"/>
  <c r="C609" i="1"/>
  <c r="E609" i="1"/>
  <c r="F609" i="1"/>
  <c r="H609" i="1"/>
  <c r="I609" i="1"/>
  <c r="J609" i="1"/>
  <c r="L609" i="1"/>
  <c r="M609" i="1"/>
  <c r="C610" i="1"/>
  <c r="E610" i="1"/>
  <c r="F610" i="1"/>
  <c r="H610" i="1"/>
  <c r="I610" i="1"/>
  <c r="J610" i="1"/>
  <c r="L610" i="1"/>
  <c r="M610" i="1"/>
  <c r="C611" i="1"/>
  <c r="E611" i="1"/>
  <c r="F611" i="1"/>
  <c r="H611" i="1"/>
  <c r="I611" i="1"/>
  <c r="J611" i="1"/>
  <c r="L611" i="1"/>
  <c r="M611" i="1"/>
  <c r="C612" i="1"/>
  <c r="E612" i="1"/>
  <c r="F612" i="1"/>
  <c r="H612" i="1"/>
  <c r="I612" i="1"/>
  <c r="J612" i="1"/>
  <c r="L612" i="1"/>
  <c r="M612" i="1"/>
  <c r="C613" i="1"/>
  <c r="E613" i="1"/>
  <c r="F613" i="1"/>
  <c r="H613" i="1"/>
  <c r="I613" i="1"/>
  <c r="J613" i="1"/>
  <c r="L613" i="1"/>
  <c r="M613" i="1"/>
  <c r="C614" i="1"/>
  <c r="E614" i="1"/>
  <c r="F614" i="1"/>
  <c r="H614" i="1"/>
  <c r="I614" i="1"/>
  <c r="J614" i="1"/>
  <c r="L614" i="1"/>
  <c r="M614" i="1"/>
  <c r="C615" i="1"/>
  <c r="E615" i="1"/>
  <c r="F615" i="1"/>
  <c r="H615" i="1"/>
  <c r="I615" i="1"/>
  <c r="J615" i="1"/>
  <c r="L615" i="1"/>
  <c r="M615" i="1"/>
  <c r="C616" i="1"/>
  <c r="E616" i="1"/>
  <c r="F616" i="1"/>
  <c r="H616" i="1"/>
  <c r="I616" i="1"/>
  <c r="J616" i="1"/>
  <c r="L616" i="1"/>
  <c r="M616" i="1"/>
  <c r="C617" i="1"/>
  <c r="E617" i="1"/>
  <c r="F617" i="1"/>
  <c r="H617" i="1"/>
  <c r="I617" i="1"/>
  <c r="J617" i="1"/>
  <c r="L617" i="1"/>
  <c r="M617" i="1"/>
  <c r="C618" i="1"/>
  <c r="E618" i="1"/>
  <c r="F618" i="1"/>
  <c r="H618" i="1"/>
  <c r="I618" i="1"/>
  <c r="J618" i="1"/>
  <c r="L618" i="1"/>
  <c r="M618" i="1"/>
  <c r="C619" i="1"/>
  <c r="E619" i="1"/>
  <c r="F619" i="1"/>
  <c r="H619" i="1"/>
  <c r="I619" i="1"/>
  <c r="J619" i="1"/>
  <c r="L619" i="1"/>
  <c r="M619" i="1"/>
  <c r="C620" i="1"/>
  <c r="E620" i="1"/>
  <c r="F620" i="1"/>
  <c r="H620" i="1"/>
  <c r="I620" i="1"/>
  <c r="J620" i="1"/>
  <c r="L620" i="1"/>
  <c r="M620" i="1"/>
  <c r="C621" i="1"/>
  <c r="E621" i="1"/>
  <c r="F621" i="1"/>
  <c r="H621" i="1"/>
  <c r="I621" i="1"/>
  <c r="J621" i="1"/>
  <c r="L621" i="1"/>
  <c r="M621" i="1"/>
  <c r="C622" i="1"/>
  <c r="E622" i="1"/>
  <c r="F622" i="1"/>
  <c r="H622" i="1"/>
  <c r="I622" i="1"/>
  <c r="J622" i="1"/>
  <c r="L622" i="1"/>
  <c r="M622" i="1"/>
  <c r="C623" i="1"/>
  <c r="E623" i="1"/>
  <c r="F623" i="1"/>
  <c r="H623" i="1"/>
  <c r="I623" i="1"/>
  <c r="J623" i="1"/>
  <c r="L623" i="1"/>
  <c r="M623" i="1"/>
  <c r="C624" i="1"/>
  <c r="E624" i="1"/>
  <c r="F624" i="1"/>
  <c r="H624" i="1"/>
  <c r="I624" i="1"/>
  <c r="J624" i="1"/>
  <c r="L624" i="1"/>
  <c r="M624" i="1"/>
  <c r="C625" i="1"/>
  <c r="E625" i="1"/>
  <c r="F625" i="1"/>
  <c r="H625" i="1"/>
  <c r="I625" i="1"/>
  <c r="J625" i="1"/>
  <c r="L625" i="1"/>
  <c r="M625" i="1"/>
  <c r="C626" i="1"/>
  <c r="E626" i="1"/>
  <c r="F626" i="1"/>
  <c r="H626" i="1"/>
  <c r="I626" i="1"/>
  <c r="J626" i="1"/>
  <c r="L626" i="1"/>
  <c r="M626" i="1"/>
  <c r="C627" i="1"/>
  <c r="E627" i="1"/>
  <c r="F627" i="1"/>
  <c r="H627" i="1"/>
  <c r="I627" i="1"/>
  <c r="J627" i="1"/>
  <c r="L627" i="1"/>
  <c r="M627" i="1"/>
  <c r="C628" i="1"/>
  <c r="E628" i="1"/>
  <c r="F628" i="1"/>
  <c r="H628" i="1"/>
  <c r="I628" i="1"/>
  <c r="J628" i="1"/>
  <c r="L628" i="1"/>
  <c r="M628" i="1"/>
  <c r="C629" i="1"/>
  <c r="E629" i="1"/>
  <c r="F629" i="1"/>
  <c r="H629" i="1"/>
  <c r="I629" i="1"/>
  <c r="J629" i="1"/>
  <c r="L629" i="1"/>
  <c r="M629" i="1"/>
  <c r="C630" i="1"/>
  <c r="E630" i="1"/>
  <c r="F630" i="1"/>
  <c r="H630" i="1"/>
  <c r="I630" i="1"/>
  <c r="J630" i="1"/>
  <c r="L630" i="1"/>
  <c r="M630" i="1"/>
  <c r="C631" i="1"/>
  <c r="E631" i="1"/>
  <c r="F631" i="1"/>
  <c r="H631" i="1"/>
  <c r="I631" i="1"/>
  <c r="J631" i="1"/>
  <c r="L631" i="1"/>
  <c r="M631" i="1"/>
  <c r="C632" i="1"/>
  <c r="E632" i="1"/>
  <c r="F632" i="1"/>
  <c r="H632" i="1"/>
  <c r="I632" i="1"/>
  <c r="J632" i="1"/>
  <c r="L632" i="1"/>
  <c r="M632" i="1"/>
  <c r="C633" i="1"/>
  <c r="E633" i="1"/>
  <c r="F633" i="1"/>
  <c r="H633" i="1"/>
  <c r="I633" i="1"/>
  <c r="J633" i="1"/>
  <c r="L633" i="1"/>
  <c r="M633" i="1"/>
  <c r="C634" i="1"/>
  <c r="E634" i="1"/>
  <c r="F634" i="1"/>
  <c r="H634" i="1"/>
  <c r="I634" i="1"/>
  <c r="J634" i="1"/>
  <c r="L634" i="1"/>
  <c r="M634" i="1"/>
  <c r="C635" i="1"/>
  <c r="E635" i="1"/>
  <c r="F635" i="1"/>
  <c r="H635" i="1"/>
  <c r="I635" i="1"/>
  <c r="J635" i="1"/>
  <c r="L635" i="1"/>
  <c r="M635" i="1"/>
  <c r="C636" i="1"/>
  <c r="E636" i="1"/>
  <c r="F636" i="1"/>
  <c r="H636" i="1"/>
  <c r="I636" i="1"/>
  <c r="J636" i="1"/>
  <c r="L636" i="1"/>
  <c r="M636" i="1"/>
  <c r="C637" i="1"/>
  <c r="E637" i="1"/>
  <c r="F637" i="1"/>
  <c r="H637" i="1"/>
  <c r="I637" i="1"/>
  <c r="J637" i="1"/>
  <c r="L637" i="1"/>
  <c r="M637" i="1"/>
  <c r="C638" i="1"/>
  <c r="E638" i="1"/>
  <c r="F638" i="1"/>
  <c r="H638" i="1"/>
  <c r="I638" i="1"/>
  <c r="J638" i="1"/>
  <c r="L638" i="1"/>
  <c r="M638" i="1"/>
  <c r="C639" i="1"/>
  <c r="E639" i="1"/>
  <c r="F639" i="1"/>
  <c r="H639" i="1"/>
  <c r="I639" i="1"/>
  <c r="J639" i="1"/>
  <c r="L639" i="1"/>
  <c r="M639" i="1"/>
  <c r="C640" i="1"/>
  <c r="E640" i="1"/>
  <c r="F640" i="1"/>
  <c r="H640" i="1"/>
  <c r="I640" i="1"/>
  <c r="J640" i="1"/>
  <c r="L640" i="1"/>
  <c r="M640" i="1"/>
  <c r="C641" i="1"/>
  <c r="E641" i="1"/>
  <c r="F641" i="1"/>
  <c r="H641" i="1"/>
  <c r="I641" i="1"/>
  <c r="J641" i="1"/>
  <c r="L641" i="1"/>
  <c r="M641" i="1"/>
  <c r="C642" i="1"/>
  <c r="E642" i="1"/>
  <c r="F642" i="1"/>
  <c r="H642" i="1"/>
  <c r="I642" i="1"/>
  <c r="J642" i="1"/>
  <c r="L642" i="1"/>
  <c r="M642" i="1"/>
  <c r="C643" i="1"/>
  <c r="E643" i="1"/>
  <c r="F643" i="1"/>
  <c r="H643" i="1"/>
  <c r="I643" i="1"/>
  <c r="J643" i="1"/>
  <c r="L643" i="1"/>
  <c r="M643" i="1"/>
  <c r="C644" i="1"/>
  <c r="E644" i="1"/>
  <c r="F644" i="1"/>
  <c r="H644" i="1"/>
  <c r="I644" i="1"/>
  <c r="J644" i="1"/>
  <c r="L644" i="1"/>
  <c r="M644" i="1"/>
  <c r="C645" i="1"/>
  <c r="E645" i="1"/>
  <c r="F645" i="1"/>
  <c r="H645" i="1"/>
  <c r="I645" i="1"/>
  <c r="J645" i="1"/>
  <c r="L645" i="1"/>
  <c r="M645" i="1"/>
  <c r="C646" i="1"/>
  <c r="E646" i="1"/>
  <c r="F646" i="1"/>
  <c r="H646" i="1"/>
  <c r="I646" i="1"/>
  <c r="J646" i="1"/>
  <c r="L646" i="1"/>
  <c r="M646" i="1"/>
  <c r="C647" i="1"/>
  <c r="E647" i="1"/>
  <c r="F647" i="1"/>
  <c r="H647" i="1"/>
  <c r="I647" i="1"/>
  <c r="J647" i="1"/>
  <c r="L647" i="1"/>
  <c r="M647" i="1"/>
  <c r="C648" i="1"/>
  <c r="E648" i="1"/>
  <c r="F648" i="1"/>
  <c r="H648" i="1"/>
  <c r="I648" i="1"/>
  <c r="J648" i="1"/>
  <c r="L648" i="1"/>
  <c r="M648" i="1"/>
  <c r="C649" i="1"/>
  <c r="E649" i="1"/>
  <c r="F649" i="1"/>
  <c r="H649" i="1"/>
  <c r="I649" i="1"/>
  <c r="J649" i="1"/>
  <c r="L649" i="1"/>
  <c r="M649" i="1"/>
  <c r="C650" i="1"/>
  <c r="E650" i="1"/>
  <c r="F650" i="1"/>
  <c r="H650" i="1"/>
  <c r="I650" i="1"/>
  <c r="J650" i="1"/>
  <c r="L650" i="1"/>
  <c r="M650" i="1"/>
  <c r="C651" i="1"/>
  <c r="E651" i="1"/>
  <c r="F651" i="1"/>
  <c r="H651" i="1"/>
  <c r="I651" i="1"/>
  <c r="J651" i="1"/>
  <c r="L651" i="1"/>
  <c r="M651" i="1"/>
  <c r="C652" i="1"/>
  <c r="E652" i="1"/>
  <c r="F652" i="1"/>
  <c r="H652" i="1"/>
  <c r="I652" i="1"/>
  <c r="J652" i="1"/>
  <c r="L652" i="1"/>
  <c r="M652" i="1"/>
  <c r="C653" i="1"/>
  <c r="E653" i="1"/>
  <c r="F653" i="1"/>
  <c r="H653" i="1"/>
  <c r="I653" i="1"/>
  <c r="J653" i="1"/>
  <c r="L653" i="1"/>
  <c r="M653" i="1"/>
  <c r="C654" i="1"/>
  <c r="E654" i="1"/>
  <c r="F654" i="1"/>
  <c r="H654" i="1"/>
  <c r="I654" i="1"/>
  <c r="J654" i="1"/>
  <c r="L654" i="1"/>
  <c r="M654" i="1"/>
  <c r="C655" i="1"/>
  <c r="E655" i="1"/>
  <c r="F655" i="1"/>
  <c r="H655" i="1"/>
  <c r="I655" i="1"/>
  <c r="J655" i="1"/>
  <c r="L655" i="1"/>
  <c r="M655" i="1"/>
  <c r="C656" i="1"/>
  <c r="E656" i="1"/>
  <c r="F656" i="1"/>
  <c r="H656" i="1"/>
  <c r="I656" i="1"/>
  <c r="J656" i="1"/>
  <c r="L656" i="1"/>
  <c r="M656" i="1"/>
  <c r="C657" i="1"/>
  <c r="E657" i="1"/>
  <c r="F657" i="1"/>
  <c r="H657" i="1"/>
  <c r="I657" i="1"/>
  <c r="J657" i="1"/>
  <c r="L657" i="1"/>
  <c r="M657" i="1"/>
  <c r="C658" i="1"/>
  <c r="E658" i="1"/>
  <c r="F658" i="1"/>
  <c r="H658" i="1"/>
  <c r="I658" i="1"/>
  <c r="J658" i="1"/>
  <c r="L658" i="1"/>
  <c r="M658" i="1"/>
  <c r="C659" i="1"/>
  <c r="E659" i="1"/>
  <c r="F659" i="1"/>
  <c r="H659" i="1"/>
  <c r="I659" i="1"/>
  <c r="J659" i="1"/>
  <c r="L659" i="1"/>
  <c r="M659" i="1"/>
  <c r="C660" i="1"/>
  <c r="E660" i="1"/>
  <c r="F660" i="1"/>
  <c r="H660" i="1"/>
  <c r="I660" i="1"/>
  <c r="J660" i="1"/>
  <c r="L660" i="1"/>
  <c r="M660" i="1"/>
  <c r="C661" i="1"/>
  <c r="E661" i="1"/>
  <c r="F661" i="1"/>
  <c r="H661" i="1"/>
  <c r="I661" i="1"/>
  <c r="J661" i="1"/>
  <c r="L661" i="1"/>
  <c r="M661" i="1"/>
  <c r="C662" i="1"/>
  <c r="E662" i="1"/>
  <c r="F662" i="1"/>
  <c r="H662" i="1"/>
  <c r="I662" i="1"/>
  <c r="J662" i="1"/>
  <c r="L662" i="1"/>
  <c r="M662" i="1"/>
  <c r="C663" i="1"/>
  <c r="E663" i="1"/>
  <c r="F663" i="1"/>
  <c r="H663" i="1"/>
  <c r="I663" i="1"/>
  <c r="J663" i="1"/>
  <c r="L663" i="1"/>
  <c r="M663" i="1"/>
  <c r="C664" i="1"/>
  <c r="E664" i="1"/>
  <c r="F664" i="1"/>
  <c r="H664" i="1"/>
  <c r="I664" i="1"/>
  <c r="J664" i="1"/>
  <c r="L664" i="1"/>
  <c r="M664" i="1"/>
  <c r="C665" i="1"/>
  <c r="E665" i="1"/>
  <c r="F665" i="1"/>
  <c r="H665" i="1"/>
  <c r="I665" i="1"/>
  <c r="J665" i="1"/>
  <c r="L665" i="1"/>
  <c r="M665" i="1"/>
  <c r="C666" i="1"/>
  <c r="E666" i="1"/>
  <c r="F666" i="1"/>
  <c r="H666" i="1"/>
  <c r="I666" i="1"/>
  <c r="J666" i="1"/>
  <c r="L666" i="1"/>
  <c r="M666" i="1"/>
  <c r="C667" i="1"/>
  <c r="E667" i="1"/>
  <c r="F667" i="1"/>
  <c r="H667" i="1"/>
  <c r="I667" i="1"/>
  <c r="J667" i="1"/>
  <c r="L667" i="1"/>
  <c r="M667" i="1"/>
  <c r="C668" i="1"/>
  <c r="E668" i="1"/>
  <c r="F668" i="1"/>
  <c r="H668" i="1"/>
  <c r="I668" i="1"/>
  <c r="J668" i="1"/>
  <c r="L668" i="1"/>
  <c r="M668" i="1"/>
  <c r="C669" i="1"/>
  <c r="E669" i="1"/>
  <c r="F669" i="1"/>
  <c r="H669" i="1"/>
  <c r="I669" i="1"/>
  <c r="J669" i="1"/>
  <c r="L669" i="1"/>
  <c r="M669" i="1"/>
  <c r="C670" i="1"/>
  <c r="E670" i="1"/>
  <c r="F670" i="1"/>
  <c r="H670" i="1"/>
  <c r="I670" i="1"/>
  <c r="J670" i="1"/>
  <c r="L670" i="1"/>
  <c r="M670" i="1"/>
  <c r="C671" i="1"/>
  <c r="E671" i="1"/>
  <c r="F671" i="1"/>
  <c r="H671" i="1"/>
  <c r="I671" i="1"/>
  <c r="J671" i="1"/>
  <c r="L671" i="1"/>
  <c r="M671" i="1"/>
  <c r="C672" i="1"/>
  <c r="E672" i="1"/>
  <c r="F672" i="1"/>
  <c r="H672" i="1"/>
  <c r="I672" i="1"/>
  <c r="J672" i="1"/>
  <c r="L672" i="1"/>
  <c r="M672" i="1"/>
  <c r="C673" i="1"/>
  <c r="E673" i="1"/>
  <c r="F673" i="1"/>
  <c r="H673" i="1"/>
  <c r="I673" i="1"/>
  <c r="J673" i="1"/>
  <c r="L673" i="1"/>
  <c r="M673" i="1"/>
  <c r="C674" i="1"/>
  <c r="E674" i="1"/>
  <c r="F674" i="1"/>
  <c r="H674" i="1"/>
  <c r="I674" i="1"/>
  <c r="J674" i="1"/>
  <c r="L674" i="1"/>
  <c r="M674" i="1"/>
  <c r="C675" i="1"/>
  <c r="E675" i="1"/>
  <c r="F675" i="1"/>
  <c r="H675" i="1"/>
  <c r="I675" i="1"/>
  <c r="J675" i="1"/>
  <c r="L675" i="1"/>
  <c r="M675" i="1"/>
  <c r="C676" i="1"/>
  <c r="E676" i="1"/>
  <c r="F676" i="1"/>
  <c r="H676" i="1"/>
  <c r="I676" i="1"/>
  <c r="J676" i="1"/>
  <c r="L676" i="1"/>
  <c r="M676" i="1"/>
  <c r="C677" i="1"/>
  <c r="E677" i="1"/>
  <c r="F677" i="1"/>
  <c r="H677" i="1"/>
  <c r="I677" i="1"/>
  <c r="J677" i="1"/>
  <c r="L677" i="1"/>
  <c r="M677" i="1"/>
  <c r="C678" i="1"/>
  <c r="E678" i="1"/>
  <c r="F678" i="1"/>
  <c r="H678" i="1"/>
  <c r="I678" i="1"/>
  <c r="J678" i="1"/>
  <c r="L678" i="1"/>
  <c r="M678" i="1"/>
  <c r="C679" i="1"/>
  <c r="E679" i="1"/>
  <c r="F679" i="1"/>
  <c r="H679" i="1"/>
  <c r="I679" i="1"/>
  <c r="J679" i="1"/>
  <c r="L679" i="1"/>
  <c r="M679" i="1"/>
  <c r="C680" i="1"/>
  <c r="E680" i="1"/>
  <c r="F680" i="1"/>
  <c r="H680" i="1"/>
  <c r="I680" i="1"/>
  <c r="J680" i="1"/>
  <c r="L680" i="1"/>
  <c r="M680" i="1"/>
  <c r="C681" i="1"/>
  <c r="E681" i="1"/>
  <c r="F681" i="1"/>
  <c r="H681" i="1"/>
  <c r="I681" i="1"/>
  <c r="J681" i="1"/>
  <c r="L681" i="1"/>
  <c r="M681" i="1"/>
  <c r="C682" i="1"/>
  <c r="E682" i="1"/>
  <c r="F682" i="1"/>
  <c r="H682" i="1"/>
  <c r="I682" i="1"/>
  <c r="J682" i="1"/>
  <c r="L682" i="1"/>
  <c r="M682" i="1"/>
  <c r="C683" i="1"/>
  <c r="E683" i="1"/>
  <c r="F683" i="1"/>
  <c r="H683" i="1"/>
  <c r="I683" i="1"/>
  <c r="J683" i="1"/>
  <c r="L683" i="1"/>
  <c r="M683" i="1"/>
  <c r="C684" i="1"/>
  <c r="E684" i="1"/>
  <c r="F684" i="1"/>
  <c r="H684" i="1"/>
  <c r="I684" i="1"/>
  <c r="J684" i="1"/>
  <c r="L684" i="1"/>
  <c r="M684" i="1"/>
  <c r="C685" i="1"/>
  <c r="E685" i="1"/>
  <c r="F685" i="1"/>
  <c r="H685" i="1"/>
  <c r="I685" i="1"/>
  <c r="J685" i="1"/>
  <c r="L685" i="1"/>
  <c r="M685" i="1"/>
  <c r="C686" i="1"/>
  <c r="E686" i="1"/>
  <c r="F686" i="1"/>
  <c r="H686" i="1"/>
  <c r="I686" i="1"/>
  <c r="J686" i="1"/>
  <c r="L686" i="1"/>
  <c r="M686" i="1"/>
  <c r="C687" i="1"/>
  <c r="E687" i="1"/>
  <c r="F687" i="1"/>
  <c r="H687" i="1"/>
  <c r="I687" i="1"/>
  <c r="J687" i="1"/>
  <c r="L687" i="1"/>
  <c r="M687" i="1"/>
  <c r="C688" i="1"/>
  <c r="E688" i="1"/>
  <c r="F688" i="1"/>
  <c r="H688" i="1"/>
  <c r="I688" i="1"/>
  <c r="J688" i="1"/>
  <c r="L688" i="1"/>
  <c r="M688" i="1"/>
  <c r="C689" i="1"/>
  <c r="E689" i="1"/>
  <c r="F689" i="1"/>
  <c r="H689" i="1"/>
  <c r="I689" i="1"/>
  <c r="J689" i="1"/>
  <c r="L689" i="1"/>
  <c r="M689" i="1"/>
  <c r="C690" i="1"/>
  <c r="E690" i="1"/>
  <c r="F690" i="1"/>
  <c r="H690" i="1"/>
  <c r="I690" i="1"/>
  <c r="J690" i="1"/>
  <c r="L690" i="1"/>
  <c r="M690" i="1"/>
  <c r="C691" i="1"/>
  <c r="E691" i="1"/>
  <c r="F691" i="1"/>
  <c r="H691" i="1"/>
  <c r="I691" i="1"/>
  <c r="J691" i="1"/>
  <c r="L691" i="1"/>
  <c r="M691" i="1"/>
  <c r="C692" i="1"/>
  <c r="E692" i="1"/>
  <c r="F692" i="1"/>
  <c r="H692" i="1"/>
  <c r="I692" i="1"/>
  <c r="J692" i="1"/>
  <c r="L692" i="1"/>
  <c r="M692" i="1"/>
  <c r="C693" i="1"/>
  <c r="E693" i="1"/>
  <c r="F693" i="1"/>
  <c r="H693" i="1"/>
  <c r="I693" i="1"/>
  <c r="J693" i="1"/>
  <c r="L693" i="1"/>
  <c r="M693" i="1"/>
  <c r="C694" i="1"/>
  <c r="E694" i="1"/>
  <c r="F694" i="1"/>
  <c r="H694" i="1"/>
  <c r="I694" i="1"/>
  <c r="J694" i="1"/>
  <c r="L694" i="1"/>
  <c r="M694" i="1"/>
  <c r="C695" i="1"/>
  <c r="E695" i="1"/>
  <c r="F695" i="1"/>
  <c r="H695" i="1"/>
  <c r="I695" i="1"/>
  <c r="J695" i="1"/>
  <c r="L695" i="1"/>
  <c r="M695" i="1"/>
  <c r="C696" i="1"/>
  <c r="E696" i="1"/>
  <c r="F696" i="1"/>
  <c r="H696" i="1"/>
  <c r="I696" i="1"/>
  <c r="J696" i="1"/>
  <c r="L696" i="1"/>
  <c r="M696" i="1"/>
  <c r="C697" i="1"/>
  <c r="E697" i="1"/>
  <c r="F697" i="1"/>
  <c r="H697" i="1"/>
  <c r="I697" i="1"/>
  <c r="J697" i="1"/>
  <c r="L697" i="1"/>
  <c r="M697" i="1"/>
  <c r="C698" i="1"/>
  <c r="E698" i="1"/>
  <c r="F698" i="1"/>
  <c r="H698" i="1"/>
  <c r="I698" i="1"/>
  <c r="J698" i="1"/>
  <c r="L698" i="1"/>
  <c r="M698" i="1"/>
  <c r="C699" i="1"/>
  <c r="E699" i="1"/>
  <c r="F699" i="1"/>
  <c r="H699" i="1"/>
  <c r="I699" i="1"/>
  <c r="J699" i="1"/>
  <c r="L699" i="1"/>
  <c r="M699" i="1"/>
  <c r="C700" i="1"/>
  <c r="E700" i="1"/>
  <c r="F700" i="1"/>
  <c r="H700" i="1"/>
  <c r="I700" i="1"/>
  <c r="J700" i="1"/>
  <c r="L700" i="1"/>
  <c r="M700" i="1"/>
  <c r="C701" i="1"/>
  <c r="E701" i="1"/>
  <c r="F701" i="1"/>
  <c r="H701" i="1"/>
  <c r="I701" i="1"/>
  <c r="J701" i="1"/>
  <c r="L701" i="1"/>
  <c r="M701" i="1"/>
  <c r="C702" i="1"/>
  <c r="E702" i="1"/>
  <c r="F702" i="1"/>
  <c r="H702" i="1"/>
  <c r="I702" i="1"/>
  <c r="J702" i="1"/>
  <c r="L702" i="1"/>
  <c r="M702" i="1"/>
  <c r="C703" i="1"/>
  <c r="E703" i="1"/>
  <c r="F703" i="1"/>
  <c r="H703" i="1"/>
  <c r="I703" i="1"/>
  <c r="J703" i="1"/>
  <c r="L703" i="1"/>
  <c r="M703" i="1"/>
  <c r="C704" i="1"/>
  <c r="E704" i="1"/>
  <c r="F704" i="1"/>
  <c r="H704" i="1"/>
  <c r="I704" i="1"/>
  <c r="J704" i="1"/>
  <c r="L704" i="1"/>
  <c r="M704" i="1"/>
  <c r="C705" i="1"/>
  <c r="E705" i="1"/>
  <c r="F705" i="1"/>
  <c r="H705" i="1"/>
  <c r="I705" i="1"/>
  <c r="J705" i="1"/>
  <c r="L705" i="1"/>
  <c r="M705" i="1"/>
  <c r="C706" i="1"/>
  <c r="E706" i="1"/>
  <c r="F706" i="1"/>
  <c r="H706" i="1"/>
  <c r="I706" i="1"/>
  <c r="J706" i="1"/>
  <c r="L706" i="1"/>
  <c r="M706" i="1"/>
  <c r="C707" i="1"/>
  <c r="E707" i="1"/>
  <c r="F707" i="1"/>
  <c r="H707" i="1"/>
  <c r="I707" i="1"/>
  <c r="J707" i="1"/>
  <c r="L707" i="1"/>
  <c r="M707" i="1"/>
  <c r="C708" i="1"/>
  <c r="E708" i="1"/>
  <c r="F708" i="1"/>
  <c r="H708" i="1"/>
  <c r="I708" i="1"/>
  <c r="J708" i="1"/>
  <c r="L708" i="1"/>
  <c r="M708" i="1"/>
  <c r="C709" i="1"/>
  <c r="E709" i="1"/>
  <c r="F709" i="1"/>
  <c r="H709" i="1"/>
  <c r="I709" i="1"/>
  <c r="J709" i="1"/>
  <c r="L709" i="1"/>
  <c r="M709" i="1"/>
  <c r="C710" i="1"/>
  <c r="E710" i="1"/>
  <c r="F710" i="1"/>
  <c r="H710" i="1"/>
  <c r="I710" i="1"/>
  <c r="J710" i="1"/>
  <c r="L710" i="1"/>
  <c r="M710" i="1"/>
  <c r="C711" i="1"/>
  <c r="E711" i="1"/>
  <c r="F711" i="1"/>
  <c r="H711" i="1"/>
  <c r="I711" i="1"/>
  <c r="J711" i="1"/>
  <c r="L711" i="1"/>
  <c r="M711" i="1"/>
  <c r="C712" i="1"/>
  <c r="E712" i="1"/>
  <c r="F712" i="1"/>
  <c r="H712" i="1"/>
  <c r="I712" i="1"/>
  <c r="J712" i="1"/>
  <c r="L712" i="1"/>
  <c r="M712" i="1"/>
  <c r="C713" i="1"/>
  <c r="E713" i="1"/>
  <c r="F713" i="1"/>
  <c r="H713" i="1"/>
  <c r="I713" i="1"/>
  <c r="J713" i="1"/>
  <c r="L713" i="1"/>
  <c r="M713" i="1"/>
  <c r="C714" i="1"/>
  <c r="E714" i="1"/>
  <c r="F714" i="1"/>
  <c r="H714" i="1"/>
  <c r="I714" i="1"/>
  <c r="J714" i="1"/>
  <c r="L714" i="1"/>
  <c r="M714" i="1"/>
  <c r="C715" i="1"/>
  <c r="E715" i="1"/>
  <c r="F715" i="1"/>
  <c r="H715" i="1"/>
  <c r="I715" i="1"/>
  <c r="J715" i="1"/>
  <c r="L715" i="1"/>
  <c r="M715" i="1"/>
  <c r="C716" i="1"/>
  <c r="E716" i="1"/>
  <c r="F716" i="1"/>
  <c r="H716" i="1"/>
  <c r="I716" i="1"/>
  <c r="J716" i="1"/>
  <c r="L716" i="1"/>
  <c r="M716" i="1"/>
  <c r="C717" i="1"/>
  <c r="E717" i="1"/>
  <c r="F717" i="1"/>
  <c r="H717" i="1"/>
  <c r="I717" i="1"/>
  <c r="J717" i="1"/>
  <c r="L717" i="1"/>
  <c r="M717" i="1"/>
  <c r="C718" i="1"/>
  <c r="E718" i="1"/>
  <c r="F718" i="1"/>
  <c r="H718" i="1"/>
  <c r="I718" i="1"/>
  <c r="J718" i="1"/>
  <c r="L718" i="1"/>
  <c r="M718" i="1"/>
  <c r="C719" i="1"/>
  <c r="E719" i="1"/>
  <c r="F719" i="1"/>
  <c r="H719" i="1"/>
  <c r="I719" i="1"/>
  <c r="J719" i="1"/>
  <c r="L719" i="1"/>
  <c r="M719" i="1"/>
  <c r="C720" i="1"/>
  <c r="E720" i="1"/>
  <c r="F720" i="1"/>
  <c r="H720" i="1"/>
  <c r="I720" i="1"/>
  <c r="J720" i="1"/>
  <c r="L720" i="1"/>
  <c r="M720" i="1"/>
  <c r="C721" i="1"/>
  <c r="E721" i="1"/>
  <c r="F721" i="1"/>
  <c r="H721" i="1"/>
  <c r="I721" i="1"/>
  <c r="J721" i="1"/>
  <c r="L721" i="1"/>
  <c r="M721" i="1"/>
  <c r="C722" i="1"/>
  <c r="E722" i="1"/>
  <c r="F722" i="1"/>
  <c r="H722" i="1"/>
  <c r="I722" i="1"/>
  <c r="J722" i="1"/>
  <c r="L722" i="1"/>
  <c r="M722" i="1"/>
  <c r="C723" i="1"/>
  <c r="E723" i="1"/>
  <c r="F723" i="1"/>
  <c r="H723" i="1"/>
  <c r="I723" i="1"/>
  <c r="J723" i="1"/>
  <c r="L723" i="1"/>
  <c r="M723" i="1"/>
  <c r="C724" i="1"/>
  <c r="E724" i="1"/>
  <c r="F724" i="1"/>
  <c r="H724" i="1"/>
  <c r="I724" i="1"/>
  <c r="J724" i="1"/>
  <c r="L724" i="1"/>
  <c r="M724" i="1"/>
  <c r="C725" i="1"/>
  <c r="E725" i="1"/>
  <c r="F725" i="1"/>
  <c r="H725" i="1"/>
  <c r="I725" i="1"/>
  <c r="J725" i="1"/>
  <c r="L725" i="1"/>
  <c r="M725" i="1"/>
  <c r="C726" i="1"/>
  <c r="E726" i="1"/>
  <c r="F726" i="1"/>
  <c r="H726" i="1"/>
  <c r="I726" i="1"/>
  <c r="J726" i="1"/>
  <c r="L726" i="1"/>
  <c r="M726" i="1"/>
  <c r="C727" i="1"/>
  <c r="E727" i="1"/>
  <c r="F727" i="1"/>
  <c r="H727" i="1"/>
  <c r="I727" i="1"/>
  <c r="J727" i="1"/>
  <c r="L727" i="1"/>
  <c r="M727" i="1"/>
  <c r="C728" i="1"/>
  <c r="E728" i="1"/>
  <c r="F728" i="1"/>
  <c r="H728" i="1"/>
  <c r="I728" i="1"/>
  <c r="J728" i="1"/>
  <c r="L728" i="1"/>
  <c r="M728" i="1"/>
  <c r="C729" i="1"/>
  <c r="E729" i="1"/>
  <c r="F729" i="1"/>
  <c r="H729" i="1"/>
  <c r="I729" i="1"/>
  <c r="J729" i="1"/>
  <c r="L729" i="1"/>
  <c r="M729" i="1"/>
  <c r="C730" i="1"/>
  <c r="E730" i="1"/>
  <c r="F730" i="1"/>
  <c r="H730" i="1"/>
  <c r="I730" i="1"/>
  <c r="J730" i="1"/>
  <c r="L730" i="1"/>
  <c r="M730" i="1"/>
  <c r="C731" i="1"/>
  <c r="E731" i="1"/>
  <c r="F731" i="1"/>
  <c r="H731" i="1"/>
  <c r="I731" i="1"/>
  <c r="J731" i="1"/>
  <c r="L731" i="1"/>
  <c r="M731" i="1"/>
  <c r="C732" i="1"/>
  <c r="E732" i="1"/>
  <c r="F732" i="1"/>
  <c r="H732" i="1"/>
  <c r="I732" i="1"/>
  <c r="J732" i="1"/>
  <c r="L732" i="1"/>
  <c r="M732" i="1"/>
  <c r="C733" i="1"/>
  <c r="E733" i="1"/>
  <c r="F733" i="1"/>
  <c r="H733" i="1"/>
  <c r="I733" i="1"/>
  <c r="J733" i="1"/>
  <c r="L733" i="1"/>
  <c r="M733" i="1"/>
  <c r="C734" i="1"/>
  <c r="E734" i="1"/>
  <c r="F734" i="1"/>
  <c r="H734" i="1"/>
  <c r="I734" i="1"/>
  <c r="J734" i="1"/>
  <c r="L734" i="1"/>
  <c r="M734" i="1"/>
  <c r="C735" i="1"/>
  <c r="E735" i="1"/>
  <c r="F735" i="1"/>
  <c r="H735" i="1"/>
  <c r="I735" i="1"/>
  <c r="J735" i="1"/>
  <c r="L735" i="1"/>
  <c r="M735" i="1"/>
  <c r="C736" i="1"/>
  <c r="E736" i="1"/>
  <c r="F736" i="1"/>
  <c r="H736" i="1"/>
  <c r="I736" i="1"/>
  <c r="J736" i="1"/>
  <c r="L736" i="1"/>
  <c r="M736" i="1"/>
  <c r="C737" i="1"/>
  <c r="E737" i="1"/>
  <c r="F737" i="1"/>
  <c r="H737" i="1"/>
  <c r="I737" i="1"/>
  <c r="J737" i="1"/>
  <c r="L737" i="1"/>
  <c r="M737" i="1"/>
  <c r="C738" i="1"/>
  <c r="E738" i="1"/>
  <c r="F738" i="1"/>
  <c r="H738" i="1"/>
  <c r="I738" i="1"/>
  <c r="J738" i="1"/>
  <c r="L738" i="1"/>
  <c r="M738" i="1"/>
  <c r="C739" i="1"/>
  <c r="E739" i="1"/>
  <c r="F739" i="1"/>
  <c r="H739" i="1"/>
  <c r="I739" i="1"/>
  <c r="J739" i="1"/>
  <c r="L739" i="1"/>
  <c r="M739" i="1"/>
  <c r="C740" i="1"/>
  <c r="E740" i="1"/>
  <c r="F740" i="1"/>
  <c r="H740" i="1"/>
  <c r="I740" i="1"/>
  <c r="J740" i="1"/>
  <c r="L740" i="1"/>
  <c r="M740" i="1"/>
  <c r="C741" i="1"/>
  <c r="E741" i="1"/>
  <c r="F741" i="1"/>
  <c r="H741" i="1"/>
  <c r="I741" i="1"/>
  <c r="J741" i="1"/>
  <c r="L741" i="1"/>
  <c r="M741" i="1"/>
  <c r="C742" i="1"/>
  <c r="E742" i="1"/>
  <c r="F742" i="1"/>
  <c r="H742" i="1"/>
  <c r="I742" i="1"/>
  <c r="J742" i="1"/>
  <c r="L742" i="1"/>
  <c r="M742" i="1"/>
  <c r="C743" i="1"/>
  <c r="E743" i="1"/>
  <c r="F743" i="1"/>
  <c r="H743" i="1"/>
  <c r="I743" i="1"/>
  <c r="J743" i="1"/>
  <c r="L743" i="1"/>
  <c r="M743" i="1"/>
  <c r="C744" i="1"/>
  <c r="E744" i="1"/>
  <c r="F744" i="1"/>
  <c r="H744" i="1"/>
  <c r="I744" i="1"/>
  <c r="J744" i="1"/>
  <c r="L744" i="1"/>
  <c r="M744" i="1"/>
  <c r="C745" i="1"/>
  <c r="E745" i="1"/>
  <c r="F745" i="1"/>
  <c r="H745" i="1"/>
  <c r="I745" i="1"/>
  <c r="J745" i="1"/>
  <c r="L745" i="1"/>
  <c r="M745" i="1"/>
  <c r="C746" i="1"/>
  <c r="E746" i="1"/>
  <c r="F746" i="1"/>
  <c r="H746" i="1"/>
  <c r="I746" i="1"/>
  <c r="J746" i="1"/>
  <c r="L746" i="1"/>
  <c r="M746" i="1"/>
  <c r="C747" i="1"/>
  <c r="E747" i="1"/>
  <c r="F747" i="1"/>
  <c r="H747" i="1"/>
  <c r="I747" i="1"/>
  <c r="J747" i="1"/>
  <c r="L747" i="1"/>
  <c r="M747" i="1"/>
  <c r="C748" i="1"/>
  <c r="E748" i="1"/>
  <c r="F748" i="1"/>
  <c r="H748" i="1"/>
  <c r="I748" i="1"/>
  <c r="J748" i="1"/>
  <c r="L748" i="1"/>
  <c r="M748" i="1"/>
  <c r="C749" i="1"/>
  <c r="E749" i="1"/>
  <c r="F749" i="1"/>
  <c r="H749" i="1"/>
  <c r="I749" i="1"/>
  <c r="J749" i="1"/>
  <c r="L749" i="1"/>
  <c r="M749" i="1"/>
  <c r="C750" i="1"/>
  <c r="E750" i="1"/>
  <c r="F750" i="1"/>
  <c r="H750" i="1"/>
  <c r="I750" i="1"/>
  <c r="J750" i="1"/>
  <c r="L750" i="1"/>
  <c r="M750" i="1"/>
  <c r="C751" i="1"/>
  <c r="E751" i="1"/>
  <c r="F751" i="1"/>
  <c r="H751" i="1"/>
  <c r="I751" i="1"/>
  <c r="J751" i="1"/>
  <c r="L751" i="1"/>
  <c r="M751" i="1"/>
  <c r="C752" i="1"/>
  <c r="E752" i="1"/>
  <c r="F752" i="1"/>
  <c r="H752" i="1"/>
  <c r="I752" i="1"/>
  <c r="J752" i="1"/>
  <c r="L752" i="1"/>
  <c r="M752" i="1"/>
  <c r="C753" i="1"/>
  <c r="E753" i="1"/>
  <c r="F753" i="1"/>
  <c r="H753" i="1"/>
  <c r="I753" i="1"/>
  <c r="J753" i="1"/>
  <c r="L753" i="1"/>
  <c r="M753" i="1"/>
  <c r="C754" i="1"/>
  <c r="E754" i="1"/>
  <c r="F754" i="1"/>
  <c r="H754" i="1"/>
  <c r="I754" i="1"/>
  <c r="J754" i="1"/>
  <c r="L754" i="1"/>
  <c r="M754" i="1"/>
  <c r="C755" i="1"/>
  <c r="E755" i="1"/>
  <c r="F755" i="1"/>
  <c r="H755" i="1"/>
  <c r="I755" i="1"/>
  <c r="J755" i="1"/>
  <c r="L755" i="1"/>
  <c r="M755" i="1"/>
  <c r="C756" i="1"/>
  <c r="E756" i="1"/>
  <c r="F756" i="1"/>
  <c r="H756" i="1"/>
  <c r="I756" i="1"/>
  <c r="J756" i="1"/>
  <c r="L756" i="1"/>
  <c r="M756" i="1"/>
  <c r="C757" i="1"/>
  <c r="E757" i="1"/>
  <c r="F757" i="1"/>
  <c r="H757" i="1"/>
  <c r="I757" i="1"/>
  <c r="J757" i="1"/>
  <c r="L757" i="1"/>
  <c r="M757" i="1"/>
  <c r="C758" i="1"/>
  <c r="E758" i="1"/>
  <c r="F758" i="1"/>
  <c r="H758" i="1"/>
  <c r="I758" i="1"/>
  <c r="J758" i="1"/>
  <c r="L758" i="1"/>
  <c r="M758" i="1"/>
  <c r="C759" i="1"/>
  <c r="E759" i="1"/>
  <c r="F759" i="1"/>
  <c r="H759" i="1"/>
  <c r="I759" i="1"/>
  <c r="J759" i="1"/>
  <c r="L759" i="1"/>
  <c r="M759" i="1"/>
  <c r="C760" i="1"/>
  <c r="E760" i="1"/>
  <c r="F760" i="1"/>
  <c r="H760" i="1"/>
  <c r="I760" i="1"/>
  <c r="J760" i="1"/>
  <c r="L760" i="1"/>
  <c r="M760" i="1"/>
  <c r="C761" i="1"/>
  <c r="E761" i="1"/>
  <c r="F761" i="1"/>
  <c r="H761" i="1"/>
  <c r="I761" i="1"/>
  <c r="J761" i="1"/>
  <c r="L761" i="1"/>
  <c r="M761" i="1"/>
  <c r="C762" i="1"/>
  <c r="E762" i="1"/>
  <c r="F762" i="1"/>
  <c r="H762" i="1"/>
  <c r="I762" i="1"/>
  <c r="J762" i="1"/>
  <c r="L762" i="1"/>
  <c r="M762" i="1"/>
  <c r="C763" i="1"/>
  <c r="E763" i="1"/>
  <c r="F763" i="1"/>
  <c r="H763" i="1"/>
  <c r="I763" i="1"/>
  <c r="J763" i="1"/>
  <c r="L763" i="1"/>
  <c r="M763" i="1"/>
  <c r="C764" i="1"/>
  <c r="E764" i="1"/>
  <c r="F764" i="1"/>
  <c r="H764" i="1"/>
  <c r="I764" i="1"/>
  <c r="J764" i="1"/>
  <c r="L764" i="1"/>
  <c r="M764" i="1"/>
  <c r="C765" i="1"/>
  <c r="E765" i="1"/>
  <c r="F765" i="1"/>
  <c r="H765" i="1"/>
  <c r="I765" i="1"/>
  <c r="J765" i="1"/>
  <c r="L765" i="1"/>
  <c r="M765" i="1"/>
  <c r="C766" i="1"/>
  <c r="E766" i="1"/>
  <c r="F766" i="1"/>
  <c r="H766" i="1"/>
  <c r="I766" i="1"/>
  <c r="J766" i="1"/>
  <c r="L766" i="1"/>
  <c r="M766" i="1"/>
  <c r="C767" i="1"/>
  <c r="E767" i="1"/>
  <c r="F767" i="1"/>
  <c r="H767" i="1"/>
  <c r="I767" i="1"/>
  <c r="J767" i="1"/>
  <c r="L767" i="1"/>
  <c r="M767" i="1"/>
  <c r="C768" i="1"/>
  <c r="E768" i="1"/>
  <c r="F768" i="1"/>
  <c r="H768" i="1"/>
  <c r="I768" i="1"/>
  <c r="J768" i="1"/>
  <c r="L768" i="1"/>
  <c r="M768" i="1"/>
  <c r="C769" i="1"/>
  <c r="E769" i="1"/>
  <c r="F769" i="1"/>
  <c r="H769" i="1"/>
  <c r="I769" i="1"/>
  <c r="J769" i="1"/>
  <c r="L769" i="1"/>
  <c r="M769" i="1"/>
  <c r="C770" i="1"/>
  <c r="E770" i="1"/>
  <c r="F770" i="1"/>
  <c r="H770" i="1"/>
  <c r="I770" i="1"/>
  <c r="J770" i="1"/>
  <c r="L770" i="1"/>
  <c r="M770" i="1"/>
  <c r="C771" i="1"/>
  <c r="E771" i="1"/>
  <c r="F771" i="1"/>
  <c r="H771" i="1"/>
  <c r="I771" i="1"/>
  <c r="J771" i="1"/>
  <c r="L771" i="1"/>
  <c r="M771" i="1"/>
  <c r="C772" i="1"/>
  <c r="E772" i="1"/>
  <c r="F772" i="1"/>
  <c r="H772" i="1"/>
  <c r="I772" i="1"/>
  <c r="J772" i="1"/>
  <c r="L772" i="1"/>
  <c r="M772" i="1"/>
  <c r="C773" i="1"/>
  <c r="E773" i="1"/>
  <c r="F773" i="1"/>
  <c r="H773" i="1"/>
  <c r="I773" i="1"/>
  <c r="J773" i="1"/>
  <c r="L773" i="1"/>
  <c r="M773" i="1"/>
  <c r="C774" i="1"/>
  <c r="E774" i="1"/>
  <c r="F774" i="1"/>
  <c r="H774" i="1"/>
  <c r="I774" i="1"/>
  <c r="J774" i="1"/>
  <c r="L774" i="1"/>
  <c r="M774" i="1"/>
  <c r="C775" i="1"/>
  <c r="E775" i="1"/>
  <c r="F775" i="1"/>
  <c r="H775" i="1"/>
  <c r="I775" i="1"/>
  <c r="J775" i="1"/>
  <c r="L775" i="1"/>
  <c r="M775" i="1"/>
  <c r="C776" i="1"/>
  <c r="E776" i="1"/>
  <c r="F776" i="1"/>
  <c r="H776" i="1"/>
  <c r="I776" i="1"/>
  <c r="J776" i="1"/>
  <c r="L776" i="1"/>
  <c r="M776" i="1"/>
  <c r="C777" i="1"/>
  <c r="E777" i="1"/>
  <c r="F777" i="1"/>
  <c r="H777" i="1"/>
  <c r="I777" i="1"/>
  <c r="J777" i="1"/>
  <c r="L777" i="1"/>
  <c r="M777" i="1"/>
  <c r="C778" i="1"/>
  <c r="E778" i="1"/>
  <c r="F778" i="1"/>
  <c r="H778" i="1"/>
  <c r="I778" i="1"/>
  <c r="J778" i="1"/>
  <c r="L778" i="1"/>
  <c r="M778" i="1"/>
  <c r="C779" i="1"/>
  <c r="E779" i="1"/>
  <c r="F779" i="1"/>
  <c r="H779" i="1"/>
  <c r="I779" i="1"/>
  <c r="J779" i="1"/>
  <c r="L779" i="1"/>
  <c r="M779" i="1"/>
  <c r="C780" i="1"/>
  <c r="E780" i="1"/>
  <c r="F780" i="1"/>
  <c r="H780" i="1"/>
  <c r="I780" i="1"/>
  <c r="J780" i="1"/>
  <c r="L780" i="1"/>
  <c r="M780" i="1"/>
  <c r="C781" i="1"/>
  <c r="E781" i="1"/>
  <c r="F781" i="1"/>
  <c r="H781" i="1"/>
  <c r="I781" i="1"/>
  <c r="J781" i="1"/>
  <c r="L781" i="1"/>
  <c r="M781" i="1"/>
  <c r="C782" i="1"/>
  <c r="E782" i="1"/>
  <c r="F782" i="1"/>
  <c r="H782" i="1"/>
  <c r="I782" i="1"/>
  <c r="J782" i="1"/>
  <c r="L782" i="1"/>
  <c r="M782" i="1"/>
  <c r="C783" i="1"/>
  <c r="E783" i="1"/>
  <c r="F783" i="1"/>
  <c r="H783" i="1"/>
  <c r="I783" i="1"/>
  <c r="J783" i="1"/>
  <c r="L783" i="1"/>
  <c r="M783" i="1"/>
  <c r="C784" i="1"/>
  <c r="E784" i="1"/>
  <c r="F784" i="1"/>
  <c r="H784" i="1"/>
  <c r="I784" i="1"/>
  <c r="J784" i="1"/>
  <c r="L784" i="1"/>
  <c r="M784" i="1"/>
  <c r="C785" i="1"/>
  <c r="E785" i="1"/>
  <c r="F785" i="1"/>
  <c r="H785" i="1"/>
  <c r="I785" i="1"/>
  <c r="J785" i="1"/>
  <c r="L785" i="1"/>
  <c r="M785" i="1"/>
  <c r="C786" i="1"/>
  <c r="E786" i="1"/>
  <c r="F786" i="1"/>
  <c r="H786" i="1"/>
  <c r="I786" i="1"/>
  <c r="J786" i="1"/>
  <c r="L786" i="1"/>
  <c r="M786" i="1"/>
  <c r="C787" i="1"/>
  <c r="E787" i="1"/>
  <c r="F787" i="1"/>
  <c r="H787" i="1"/>
  <c r="I787" i="1"/>
  <c r="J787" i="1"/>
  <c r="L787" i="1"/>
  <c r="M787" i="1"/>
  <c r="C788" i="1"/>
  <c r="E788" i="1"/>
  <c r="F788" i="1"/>
  <c r="H788" i="1"/>
  <c r="I788" i="1"/>
  <c r="J788" i="1"/>
  <c r="L788" i="1"/>
  <c r="M788" i="1"/>
  <c r="C789" i="1"/>
  <c r="E789" i="1"/>
  <c r="F789" i="1"/>
  <c r="H789" i="1"/>
  <c r="I789" i="1"/>
  <c r="J789" i="1"/>
  <c r="L789" i="1"/>
  <c r="M789" i="1"/>
  <c r="C790" i="1"/>
  <c r="E790" i="1"/>
  <c r="F790" i="1"/>
  <c r="H790" i="1"/>
  <c r="I790" i="1"/>
  <c r="J790" i="1"/>
  <c r="L790" i="1"/>
  <c r="M790" i="1"/>
  <c r="C791" i="1"/>
  <c r="E791" i="1"/>
  <c r="F791" i="1"/>
  <c r="H791" i="1"/>
  <c r="I791" i="1"/>
  <c r="J791" i="1"/>
  <c r="L791" i="1"/>
  <c r="M791" i="1"/>
  <c r="C792" i="1"/>
  <c r="E792" i="1"/>
  <c r="F792" i="1"/>
  <c r="H792" i="1"/>
  <c r="I792" i="1"/>
  <c r="J792" i="1"/>
  <c r="L792" i="1"/>
  <c r="M792" i="1"/>
  <c r="C793" i="1"/>
  <c r="E793" i="1"/>
  <c r="F793" i="1"/>
  <c r="H793" i="1"/>
  <c r="I793" i="1"/>
  <c r="J793" i="1"/>
  <c r="L793" i="1"/>
  <c r="M793" i="1"/>
  <c r="C794" i="1"/>
  <c r="E794" i="1"/>
  <c r="F794" i="1"/>
  <c r="H794" i="1"/>
  <c r="I794" i="1"/>
  <c r="J794" i="1"/>
  <c r="L794" i="1"/>
  <c r="M794" i="1"/>
  <c r="C795" i="1"/>
  <c r="E795" i="1"/>
  <c r="F795" i="1"/>
  <c r="H795" i="1"/>
  <c r="I795" i="1"/>
  <c r="J795" i="1"/>
  <c r="L795" i="1"/>
  <c r="M795" i="1"/>
  <c r="C796" i="1"/>
  <c r="E796" i="1"/>
  <c r="F796" i="1"/>
  <c r="H796" i="1"/>
  <c r="I796" i="1"/>
  <c r="J796" i="1"/>
  <c r="L796" i="1"/>
  <c r="M796" i="1"/>
  <c r="C797" i="1"/>
  <c r="E797" i="1"/>
  <c r="F797" i="1"/>
  <c r="H797" i="1"/>
  <c r="I797" i="1"/>
  <c r="J797" i="1"/>
  <c r="L797" i="1"/>
  <c r="M797" i="1"/>
  <c r="C798" i="1"/>
  <c r="E798" i="1"/>
  <c r="F798" i="1"/>
  <c r="H798" i="1"/>
  <c r="I798" i="1"/>
  <c r="J798" i="1"/>
  <c r="L798" i="1"/>
  <c r="M798" i="1"/>
  <c r="C799" i="1"/>
  <c r="E799" i="1"/>
  <c r="F799" i="1"/>
  <c r="H799" i="1"/>
  <c r="I799" i="1"/>
  <c r="J799" i="1"/>
  <c r="L799" i="1"/>
  <c r="M799" i="1"/>
  <c r="C800" i="1"/>
  <c r="E800" i="1"/>
  <c r="F800" i="1"/>
  <c r="H800" i="1"/>
  <c r="I800" i="1"/>
  <c r="J800" i="1"/>
  <c r="L800" i="1"/>
  <c r="M800" i="1"/>
  <c r="C801" i="1"/>
  <c r="E801" i="1"/>
  <c r="F801" i="1"/>
  <c r="H801" i="1"/>
  <c r="I801" i="1"/>
  <c r="J801" i="1"/>
  <c r="L801" i="1"/>
  <c r="M801" i="1"/>
  <c r="C802" i="1"/>
  <c r="E802" i="1"/>
  <c r="F802" i="1"/>
  <c r="H802" i="1"/>
  <c r="I802" i="1"/>
  <c r="J802" i="1"/>
  <c r="L802" i="1"/>
  <c r="M802" i="1"/>
  <c r="C803" i="1"/>
  <c r="E803" i="1"/>
  <c r="F803" i="1"/>
  <c r="H803" i="1"/>
  <c r="I803" i="1"/>
  <c r="J803" i="1"/>
  <c r="L803" i="1"/>
  <c r="M803" i="1"/>
  <c r="C804" i="1"/>
  <c r="E804" i="1"/>
  <c r="F804" i="1"/>
  <c r="H804" i="1"/>
  <c r="I804" i="1"/>
  <c r="J804" i="1"/>
  <c r="L804" i="1"/>
  <c r="M804" i="1"/>
  <c r="C805" i="1"/>
  <c r="E805" i="1"/>
  <c r="F805" i="1"/>
  <c r="H805" i="1"/>
  <c r="I805" i="1"/>
  <c r="J805" i="1"/>
  <c r="L805" i="1"/>
  <c r="M805" i="1"/>
  <c r="C806" i="1"/>
  <c r="E806" i="1"/>
  <c r="F806" i="1"/>
  <c r="H806" i="1"/>
  <c r="I806" i="1"/>
  <c r="J806" i="1"/>
  <c r="L806" i="1"/>
  <c r="M806" i="1"/>
  <c r="C807" i="1"/>
  <c r="E807" i="1"/>
  <c r="F807" i="1"/>
  <c r="H807" i="1"/>
  <c r="I807" i="1"/>
  <c r="J807" i="1"/>
  <c r="L807" i="1"/>
  <c r="M807" i="1"/>
  <c r="C808" i="1"/>
  <c r="E808" i="1"/>
  <c r="F808" i="1"/>
  <c r="H808" i="1"/>
  <c r="I808" i="1"/>
  <c r="J808" i="1"/>
  <c r="L808" i="1"/>
  <c r="M808" i="1"/>
  <c r="C809" i="1"/>
  <c r="E809" i="1"/>
  <c r="F809" i="1"/>
  <c r="H809" i="1"/>
  <c r="I809" i="1"/>
  <c r="J809" i="1"/>
  <c r="L809" i="1"/>
  <c r="M809" i="1"/>
  <c r="C810" i="1"/>
  <c r="E810" i="1"/>
  <c r="F810" i="1"/>
  <c r="H810" i="1"/>
  <c r="I810" i="1"/>
  <c r="J810" i="1"/>
  <c r="L810" i="1"/>
  <c r="M810" i="1"/>
  <c r="C811" i="1"/>
  <c r="E811" i="1"/>
  <c r="F811" i="1"/>
  <c r="H811" i="1"/>
  <c r="I811" i="1"/>
  <c r="J811" i="1"/>
  <c r="L811" i="1"/>
  <c r="M811" i="1"/>
  <c r="C812" i="1"/>
  <c r="E812" i="1"/>
  <c r="F812" i="1"/>
  <c r="H812" i="1"/>
  <c r="I812" i="1"/>
  <c r="J812" i="1"/>
  <c r="L812" i="1"/>
  <c r="M812" i="1"/>
  <c r="C813" i="1"/>
  <c r="E813" i="1"/>
  <c r="F813" i="1"/>
  <c r="H813" i="1"/>
  <c r="I813" i="1"/>
  <c r="J813" i="1"/>
  <c r="L813" i="1"/>
  <c r="M813" i="1"/>
  <c r="C814" i="1"/>
  <c r="E814" i="1"/>
  <c r="F814" i="1"/>
  <c r="H814" i="1"/>
  <c r="I814" i="1"/>
  <c r="J814" i="1"/>
  <c r="L814" i="1"/>
  <c r="M814" i="1"/>
  <c r="C815" i="1"/>
  <c r="E815" i="1"/>
  <c r="F815" i="1"/>
  <c r="H815" i="1"/>
  <c r="I815" i="1"/>
  <c r="J815" i="1"/>
  <c r="L815" i="1"/>
  <c r="M815" i="1"/>
  <c r="C816" i="1"/>
  <c r="E816" i="1"/>
  <c r="F816" i="1"/>
  <c r="H816" i="1"/>
  <c r="I816" i="1"/>
  <c r="J816" i="1"/>
  <c r="L816" i="1"/>
  <c r="M816" i="1"/>
  <c r="C817" i="1"/>
  <c r="E817" i="1"/>
  <c r="F817" i="1"/>
  <c r="H817" i="1"/>
  <c r="I817" i="1"/>
  <c r="J817" i="1"/>
  <c r="L817" i="1"/>
  <c r="M817" i="1"/>
  <c r="C818" i="1"/>
  <c r="E818" i="1"/>
  <c r="F818" i="1"/>
  <c r="H818" i="1"/>
  <c r="I818" i="1"/>
  <c r="J818" i="1"/>
  <c r="L818" i="1"/>
  <c r="M818" i="1"/>
  <c r="C819" i="1"/>
  <c r="E819" i="1"/>
  <c r="F819" i="1"/>
  <c r="H819" i="1"/>
  <c r="I819" i="1"/>
  <c r="J819" i="1"/>
  <c r="L819" i="1"/>
  <c r="M819" i="1"/>
  <c r="C820" i="1"/>
  <c r="E820" i="1"/>
  <c r="F820" i="1"/>
  <c r="H820" i="1"/>
  <c r="I820" i="1"/>
  <c r="J820" i="1"/>
  <c r="L820" i="1"/>
  <c r="M820" i="1"/>
  <c r="C821" i="1"/>
  <c r="E821" i="1"/>
  <c r="F821" i="1"/>
  <c r="H821" i="1"/>
  <c r="I821" i="1"/>
  <c r="J821" i="1"/>
  <c r="L821" i="1"/>
  <c r="M821" i="1"/>
  <c r="C822" i="1"/>
  <c r="E822" i="1"/>
  <c r="F822" i="1"/>
  <c r="H822" i="1"/>
  <c r="I822" i="1"/>
  <c r="J822" i="1"/>
  <c r="L822" i="1"/>
  <c r="M822" i="1"/>
  <c r="C823" i="1"/>
  <c r="E823" i="1"/>
  <c r="F823" i="1"/>
  <c r="H823" i="1"/>
  <c r="I823" i="1"/>
  <c r="J823" i="1"/>
  <c r="L823" i="1"/>
  <c r="M823" i="1"/>
  <c r="C824" i="1"/>
  <c r="E824" i="1"/>
  <c r="F824" i="1"/>
  <c r="H824" i="1"/>
  <c r="I824" i="1"/>
  <c r="J824" i="1"/>
  <c r="L824" i="1"/>
  <c r="M824" i="1"/>
  <c r="C825" i="1"/>
  <c r="E825" i="1"/>
  <c r="F825" i="1"/>
  <c r="H825" i="1"/>
  <c r="I825" i="1"/>
  <c r="J825" i="1"/>
  <c r="L825" i="1"/>
  <c r="M825" i="1"/>
  <c r="C826" i="1"/>
  <c r="E826" i="1"/>
  <c r="F826" i="1"/>
  <c r="H826" i="1"/>
  <c r="I826" i="1"/>
  <c r="J826" i="1"/>
  <c r="L826" i="1"/>
  <c r="M826" i="1"/>
  <c r="C827" i="1"/>
  <c r="E827" i="1"/>
  <c r="F827" i="1"/>
  <c r="H827" i="1"/>
  <c r="I827" i="1"/>
  <c r="J827" i="1"/>
  <c r="L827" i="1"/>
  <c r="M827" i="1"/>
  <c r="C828" i="1"/>
  <c r="E828" i="1"/>
  <c r="F828" i="1"/>
  <c r="H828" i="1"/>
  <c r="I828" i="1"/>
  <c r="J828" i="1"/>
  <c r="L828" i="1"/>
  <c r="M828" i="1"/>
  <c r="C829" i="1"/>
  <c r="E829" i="1"/>
  <c r="F829" i="1"/>
  <c r="H829" i="1"/>
  <c r="I829" i="1"/>
  <c r="J829" i="1"/>
  <c r="L829" i="1"/>
  <c r="M829" i="1"/>
  <c r="C830" i="1"/>
  <c r="E830" i="1"/>
  <c r="F830" i="1"/>
  <c r="H830" i="1"/>
  <c r="I830" i="1"/>
  <c r="J830" i="1"/>
  <c r="L830" i="1"/>
  <c r="M830" i="1"/>
  <c r="C831" i="1"/>
  <c r="E831" i="1"/>
  <c r="F831" i="1"/>
  <c r="H831" i="1"/>
  <c r="I831" i="1"/>
  <c r="J831" i="1"/>
  <c r="L831" i="1"/>
  <c r="M831" i="1"/>
  <c r="C832" i="1"/>
  <c r="E832" i="1"/>
  <c r="F832" i="1"/>
  <c r="H832" i="1"/>
  <c r="I832" i="1"/>
  <c r="J832" i="1"/>
  <c r="L832" i="1"/>
  <c r="M832" i="1"/>
  <c r="C833" i="1"/>
  <c r="E833" i="1"/>
  <c r="F833" i="1"/>
  <c r="H833" i="1"/>
  <c r="I833" i="1"/>
  <c r="J833" i="1"/>
  <c r="L833" i="1"/>
  <c r="M833" i="1"/>
  <c r="C834" i="1"/>
  <c r="E834" i="1"/>
  <c r="F834" i="1"/>
  <c r="H834" i="1"/>
  <c r="I834" i="1"/>
  <c r="J834" i="1"/>
  <c r="L834" i="1"/>
  <c r="M834" i="1"/>
  <c r="C835" i="1"/>
  <c r="E835" i="1"/>
  <c r="F835" i="1"/>
  <c r="H835" i="1"/>
  <c r="I835" i="1"/>
  <c r="J835" i="1"/>
  <c r="L835" i="1"/>
  <c r="M835" i="1"/>
  <c r="C836" i="1"/>
  <c r="E836" i="1"/>
  <c r="F836" i="1"/>
  <c r="H836" i="1"/>
  <c r="I836" i="1"/>
  <c r="J836" i="1"/>
  <c r="L836" i="1"/>
  <c r="M836" i="1"/>
  <c r="C837" i="1"/>
  <c r="E837" i="1"/>
  <c r="F837" i="1"/>
  <c r="H837" i="1"/>
  <c r="I837" i="1"/>
  <c r="J837" i="1"/>
  <c r="L837" i="1"/>
  <c r="M837" i="1"/>
  <c r="C838" i="1"/>
  <c r="E838" i="1"/>
  <c r="F838" i="1"/>
  <c r="H838" i="1"/>
  <c r="I838" i="1"/>
  <c r="J838" i="1"/>
  <c r="L838" i="1"/>
  <c r="M838" i="1"/>
  <c r="C839" i="1"/>
  <c r="E839" i="1"/>
  <c r="F839" i="1"/>
  <c r="H839" i="1"/>
  <c r="I839" i="1"/>
  <c r="J839" i="1"/>
  <c r="L839" i="1"/>
  <c r="M839" i="1"/>
  <c r="C840" i="1"/>
  <c r="E840" i="1"/>
  <c r="F840" i="1"/>
  <c r="H840" i="1"/>
  <c r="I840" i="1"/>
  <c r="J840" i="1"/>
  <c r="L840" i="1"/>
  <c r="M840" i="1"/>
  <c r="C841" i="1"/>
  <c r="E841" i="1"/>
  <c r="F841" i="1"/>
  <c r="H841" i="1"/>
  <c r="I841" i="1"/>
  <c r="J841" i="1"/>
  <c r="L841" i="1"/>
  <c r="M841" i="1"/>
  <c r="C842" i="1"/>
  <c r="E842" i="1"/>
  <c r="F842" i="1"/>
  <c r="H842" i="1"/>
  <c r="I842" i="1"/>
  <c r="J842" i="1"/>
  <c r="L842" i="1"/>
  <c r="M842" i="1"/>
  <c r="C843" i="1"/>
  <c r="E843" i="1"/>
  <c r="F843" i="1"/>
  <c r="H843" i="1"/>
  <c r="I843" i="1"/>
  <c r="J843" i="1"/>
  <c r="L843" i="1"/>
  <c r="M843" i="1"/>
  <c r="C844" i="1"/>
  <c r="E844" i="1"/>
  <c r="F844" i="1"/>
  <c r="H844" i="1"/>
  <c r="I844" i="1"/>
  <c r="J844" i="1"/>
  <c r="L844" i="1"/>
  <c r="M844" i="1"/>
  <c r="C845" i="1"/>
  <c r="E845" i="1"/>
  <c r="F845" i="1"/>
  <c r="H845" i="1"/>
  <c r="I845" i="1"/>
  <c r="J845" i="1"/>
  <c r="L845" i="1"/>
  <c r="M845" i="1"/>
  <c r="C846" i="1"/>
  <c r="E846" i="1"/>
  <c r="F846" i="1"/>
  <c r="H846" i="1"/>
  <c r="I846" i="1"/>
  <c r="J846" i="1"/>
  <c r="L846" i="1"/>
  <c r="M846" i="1"/>
  <c r="C847" i="1"/>
  <c r="E847" i="1"/>
  <c r="F847" i="1"/>
  <c r="H847" i="1"/>
  <c r="I847" i="1"/>
  <c r="J847" i="1"/>
  <c r="L847" i="1"/>
  <c r="M847" i="1"/>
  <c r="C848" i="1"/>
  <c r="E848" i="1"/>
  <c r="F848" i="1"/>
  <c r="H848" i="1"/>
  <c r="I848" i="1"/>
  <c r="J848" i="1"/>
  <c r="L848" i="1"/>
  <c r="M848" i="1"/>
  <c r="C849" i="1"/>
  <c r="E849" i="1"/>
  <c r="F849" i="1"/>
  <c r="H849" i="1"/>
  <c r="I849" i="1"/>
  <c r="J849" i="1"/>
  <c r="L849" i="1"/>
  <c r="M849" i="1"/>
  <c r="C850" i="1"/>
  <c r="E850" i="1"/>
  <c r="F850" i="1"/>
  <c r="H850" i="1"/>
  <c r="I850" i="1"/>
  <c r="J850" i="1"/>
  <c r="L850" i="1"/>
  <c r="M850" i="1"/>
  <c r="C851" i="1"/>
  <c r="E851" i="1"/>
  <c r="F851" i="1"/>
  <c r="H851" i="1"/>
  <c r="I851" i="1"/>
  <c r="J851" i="1"/>
  <c r="L851" i="1"/>
  <c r="M851" i="1"/>
  <c r="C852" i="1"/>
  <c r="E852" i="1"/>
  <c r="F852" i="1"/>
  <c r="H852" i="1"/>
  <c r="I852" i="1"/>
  <c r="J852" i="1"/>
  <c r="L852" i="1"/>
  <c r="M852" i="1"/>
  <c r="C853" i="1"/>
  <c r="E853" i="1"/>
  <c r="F853" i="1"/>
  <c r="H853" i="1"/>
  <c r="I853" i="1"/>
  <c r="J853" i="1"/>
  <c r="L853" i="1"/>
  <c r="M853" i="1"/>
  <c r="C854" i="1"/>
  <c r="E854" i="1"/>
  <c r="F854" i="1"/>
  <c r="H854" i="1"/>
  <c r="I854" i="1"/>
  <c r="J854" i="1"/>
  <c r="L854" i="1"/>
  <c r="M854" i="1"/>
  <c r="C855" i="1"/>
  <c r="E855" i="1"/>
  <c r="F855" i="1"/>
  <c r="H855" i="1"/>
  <c r="I855" i="1"/>
  <c r="J855" i="1"/>
  <c r="L855" i="1"/>
  <c r="M855" i="1"/>
  <c r="C856" i="1"/>
  <c r="E856" i="1"/>
  <c r="F856" i="1"/>
  <c r="H856" i="1"/>
  <c r="I856" i="1"/>
  <c r="J856" i="1"/>
  <c r="L856" i="1"/>
  <c r="M856" i="1"/>
  <c r="C857" i="1"/>
  <c r="E857" i="1"/>
  <c r="F857" i="1"/>
  <c r="H857" i="1"/>
  <c r="I857" i="1"/>
  <c r="J857" i="1"/>
  <c r="L857" i="1"/>
  <c r="M857" i="1"/>
  <c r="C858" i="1"/>
  <c r="E858" i="1"/>
  <c r="F858" i="1"/>
  <c r="H858" i="1"/>
  <c r="I858" i="1"/>
  <c r="J858" i="1"/>
  <c r="L858" i="1"/>
  <c r="M858" i="1"/>
  <c r="C859" i="1"/>
  <c r="E859" i="1"/>
  <c r="F859" i="1"/>
  <c r="H859" i="1"/>
  <c r="I859" i="1"/>
  <c r="J859" i="1"/>
  <c r="L859" i="1"/>
  <c r="M859" i="1"/>
  <c r="C860" i="1"/>
  <c r="E860" i="1"/>
  <c r="F860" i="1"/>
  <c r="H860" i="1"/>
  <c r="I860" i="1"/>
  <c r="J860" i="1"/>
  <c r="L860" i="1"/>
  <c r="M860" i="1"/>
  <c r="C861" i="1"/>
  <c r="E861" i="1"/>
  <c r="F861" i="1"/>
  <c r="H861" i="1"/>
  <c r="I861" i="1"/>
  <c r="J861" i="1"/>
  <c r="L861" i="1"/>
  <c r="M861" i="1"/>
  <c r="C862" i="1"/>
  <c r="E862" i="1"/>
  <c r="F862" i="1"/>
  <c r="H862" i="1"/>
  <c r="I862" i="1"/>
  <c r="J862" i="1"/>
  <c r="L862" i="1"/>
  <c r="M862" i="1"/>
  <c r="C863" i="1"/>
  <c r="E863" i="1"/>
  <c r="F863" i="1"/>
  <c r="H863" i="1"/>
  <c r="I863" i="1"/>
  <c r="J863" i="1"/>
  <c r="L863" i="1"/>
  <c r="M863" i="1"/>
  <c r="C864" i="1"/>
  <c r="E864" i="1"/>
  <c r="F864" i="1"/>
  <c r="H864" i="1"/>
  <c r="I864" i="1"/>
  <c r="J864" i="1"/>
  <c r="L864" i="1"/>
  <c r="M864" i="1"/>
  <c r="C865" i="1"/>
  <c r="E865" i="1"/>
  <c r="F865" i="1"/>
  <c r="H865" i="1"/>
  <c r="I865" i="1"/>
  <c r="J865" i="1"/>
  <c r="L865" i="1"/>
  <c r="M865" i="1"/>
  <c r="C866" i="1"/>
  <c r="E866" i="1"/>
  <c r="F866" i="1"/>
  <c r="H866" i="1"/>
  <c r="I866" i="1"/>
  <c r="J866" i="1"/>
  <c r="L866" i="1"/>
  <c r="M866" i="1"/>
  <c r="C867" i="1"/>
  <c r="E867" i="1"/>
  <c r="F867" i="1"/>
  <c r="H867" i="1"/>
  <c r="I867" i="1"/>
  <c r="J867" i="1"/>
  <c r="L867" i="1"/>
  <c r="M867" i="1"/>
  <c r="C868" i="1"/>
  <c r="E868" i="1"/>
  <c r="F868" i="1"/>
  <c r="H868" i="1"/>
  <c r="I868" i="1"/>
  <c r="J868" i="1"/>
  <c r="L868" i="1"/>
  <c r="M868" i="1"/>
  <c r="C869" i="1"/>
  <c r="E869" i="1"/>
  <c r="F869" i="1"/>
  <c r="H869" i="1"/>
  <c r="I869" i="1"/>
  <c r="J869" i="1"/>
  <c r="L869" i="1"/>
  <c r="M869" i="1"/>
  <c r="C870" i="1"/>
  <c r="E870" i="1"/>
  <c r="F870" i="1"/>
  <c r="H870" i="1"/>
  <c r="I870" i="1"/>
  <c r="J870" i="1"/>
  <c r="L870" i="1"/>
  <c r="M870" i="1"/>
  <c r="C871" i="1"/>
  <c r="E871" i="1"/>
  <c r="F871" i="1"/>
  <c r="H871" i="1"/>
  <c r="I871" i="1"/>
  <c r="J871" i="1"/>
  <c r="L871" i="1"/>
  <c r="M871" i="1"/>
  <c r="C872" i="1"/>
  <c r="E872" i="1"/>
  <c r="F872" i="1"/>
  <c r="H872" i="1"/>
  <c r="I872" i="1"/>
  <c r="J872" i="1"/>
  <c r="L872" i="1"/>
  <c r="M872" i="1"/>
  <c r="C873" i="1"/>
  <c r="E873" i="1"/>
  <c r="F873" i="1"/>
  <c r="H873" i="1"/>
  <c r="I873" i="1"/>
  <c r="J873" i="1"/>
  <c r="L873" i="1"/>
  <c r="M873" i="1"/>
  <c r="C874" i="1"/>
  <c r="E874" i="1"/>
  <c r="F874" i="1"/>
  <c r="H874" i="1"/>
  <c r="I874" i="1"/>
  <c r="J874" i="1"/>
  <c r="L874" i="1"/>
  <c r="M874" i="1"/>
  <c r="C875" i="1"/>
  <c r="E875" i="1"/>
  <c r="F875" i="1"/>
  <c r="H875" i="1"/>
  <c r="I875" i="1"/>
  <c r="J875" i="1"/>
  <c r="L875" i="1"/>
  <c r="M875" i="1"/>
  <c r="C876" i="1"/>
  <c r="E876" i="1"/>
  <c r="F876" i="1"/>
  <c r="H876" i="1"/>
  <c r="I876" i="1"/>
  <c r="J876" i="1"/>
  <c r="L876" i="1"/>
  <c r="M876" i="1"/>
  <c r="C877" i="1"/>
  <c r="E877" i="1"/>
  <c r="F877" i="1"/>
  <c r="H877" i="1"/>
  <c r="I877" i="1"/>
  <c r="J877" i="1"/>
  <c r="L877" i="1"/>
  <c r="M877" i="1"/>
  <c r="C878" i="1"/>
  <c r="E878" i="1"/>
  <c r="F878" i="1"/>
  <c r="H878" i="1"/>
  <c r="I878" i="1"/>
  <c r="J878" i="1"/>
  <c r="L878" i="1"/>
  <c r="M878" i="1"/>
  <c r="C879" i="1"/>
  <c r="E879" i="1"/>
  <c r="F879" i="1"/>
  <c r="H879" i="1"/>
  <c r="I879" i="1"/>
  <c r="J879" i="1"/>
  <c r="L879" i="1"/>
  <c r="M879" i="1"/>
  <c r="C880" i="1"/>
  <c r="E880" i="1"/>
  <c r="F880" i="1"/>
  <c r="H880" i="1"/>
  <c r="I880" i="1"/>
  <c r="J880" i="1"/>
  <c r="L880" i="1"/>
  <c r="M880" i="1"/>
  <c r="C881" i="1"/>
  <c r="E881" i="1"/>
  <c r="F881" i="1"/>
  <c r="H881" i="1"/>
  <c r="I881" i="1"/>
  <c r="J881" i="1"/>
  <c r="L881" i="1"/>
  <c r="M881" i="1"/>
  <c r="C882" i="1"/>
  <c r="E882" i="1"/>
  <c r="F882" i="1"/>
  <c r="H882" i="1"/>
  <c r="I882" i="1"/>
  <c r="J882" i="1"/>
  <c r="L882" i="1"/>
  <c r="M882" i="1"/>
  <c r="C883" i="1"/>
  <c r="E883" i="1"/>
  <c r="F883" i="1"/>
  <c r="H883" i="1"/>
  <c r="I883" i="1"/>
  <c r="J883" i="1"/>
  <c r="L883" i="1"/>
  <c r="M883" i="1"/>
  <c r="C884" i="1"/>
  <c r="E884" i="1"/>
  <c r="F884" i="1"/>
  <c r="H884" i="1"/>
  <c r="I884" i="1"/>
  <c r="J884" i="1"/>
  <c r="L884" i="1"/>
  <c r="M884" i="1"/>
  <c r="C885" i="1"/>
  <c r="E885" i="1"/>
  <c r="F885" i="1"/>
  <c r="H885" i="1"/>
  <c r="I885" i="1"/>
  <c r="J885" i="1"/>
  <c r="L885" i="1"/>
  <c r="M885" i="1"/>
  <c r="C886" i="1"/>
  <c r="E886" i="1"/>
  <c r="F886" i="1"/>
  <c r="H886" i="1"/>
  <c r="I886" i="1"/>
  <c r="J886" i="1"/>
  <c r="L886" i="1"/>
  <c r="M886" i="1"/>
  <c r="C887" i="1"/>
  <c r="E887" i="1"/>
  <c r="F887" i="1"/>
  <c r="H887" i="1"/>
  <c r="I887" i="1"/>
  <c r="J887" i="1"/>
  <c r="L887" i="1"/>
  <c r="M887" i="1"/>
  <c r="C888" i="1"/>
  <c r="E888" i="1"/>
  <c r="F888" i="1"/>
  <c r="H888" i="1"/>
  <c r="I888" i="1"/>
  <c r="J888" i="1"/>
  <c r="L888" i="1"/>
  <c r="M888" i="1"/>
  <c r="C889" i="1"/>
  <c r="E889" i="1"/>
  <c r="F889" i="1"/>
  <c r="H889" i="1"/>
  <c r="I889" i="1"/>
  <c r="J889" i="1"/>
  <c r="L889" i="1"/>
  <c r="M889" i="1"/>
  <c r="C890" i="1"/>
  <c r="E890" i="1"/>
  <c r="F890" i="1"/>
  <c r="H890" i="1"/>
  <c r="I890" i="1"/>
  <c r="J890" i="1"/>
  <c r="L890" i="1"/>
  <c r="M890" i="1"/>
  <c r="C891" i="1"/>
  <c r="E891" i="1"/>
  <c r="F891" i="1"/>
  <c r="H891" i="1"/>
  <c r="I891" i="1"/>
  <c r="J891" i="1"/>
  <c r="L891" i="1"/>
  <c r="M891" i="1"/>
  <c r="C892" i="1"/>
  <c r="E892" i="1"/>
  <c r="F892" i="1"/>
  <c r="H892" i="1"/>
  <c r="I892" i="1"/>
  <c r="J892" i="1"/>
  <c r="L892" i="1"/>
  <c r="M892" i="1"/>
  <c r="C893" i="1"/>
  <c r="E893" i="1"/>
  <c r="F893" i="1"/>
  <c r="H893" i="1"/>
  <c r="I893" i="1"/>
  <c r="J893" i="1"/>
  <c r="L893" i="1"/>
  <c r="M893" i="1"/>
  <c r="C894" i="1"/>
  <c r="E894" i="1"/>
  <c r="F894" i="1"/>
  <c r="H894" i="1"/>
  <c r="I894" i="1"/>
  <c r="J894" i="1"/>
  <c r="L894" i="1"/>
  <c r="M894" i="1"/>
  <c r="C895" i="1"/>
  <c r="E895" i="1"/>
  <c r="F895" i="1"/>
  <c r="H895" i="1"/>
  <c r="I895" i="1"/>
  <c r="J895" i="1"/>
  <c r="L895" i="1"/>
  <c r="M895" i="1"/>
  <c r="C896" i="1"/>
  <c r="E896" i="1"/>
  <c r="F896" i="1"/>
  <c r="H896" i="1"/>
  <c r="I896" i="1"/>
  <c r="J896" i="1"/>
  <c r="L896" i="1"/>
  <c r="M896" i="1"/>
  <c r="C897" i="1"/>
  <c r="E897" i="1"/>
  <c r="F897" i="1"/>
  <c r="H897" i="1"/>
  <c r="I897" i="1"/>
  <c r="J897" i="1"/>
  <c r="L897" i="1"/>
  <c r="M897" i="1"/>
  <c r="C898" i="1"/>
  <c r="E898" i="1"/>
  <c r="F898" i="1"/>
  <c r="H898" i="1"/>
  <c r="I898" i="1"/>
  <c r="J898" i="1"/>
  <c r="L898" i="1"/>
  <c r="M898" i="1"/>
  <c r="C899" i="1"/>
  <c r="E899" i="1"/>
  <c r="F899" i="1"/>
  <c r="H899" i="1"/>
  <c r="I899" i="1"/>
  <c r="J899" i="1"/>
  <c r="L899" i="1"/>
  <c r="M899" i="1"/>
  <c r="C900" i="1"/>
  <c r="E900" i="1"/>
  <c r="F900" i="1"/>
  <c r="H900" i="1"/>
  <c r="I900" i="1"/>
  <c r="J900" i="1"/>
  <c r="L900" i="1"/>
  <c r="M900" i="1"/>
  <c r="C901" i="1"/>
  <c r="E901" i="1"/>
  <c r="F901" i="1"/>
  <c r="H901" i="1"/>
  <c r="I901" i="1"/>
  <c r="J901" i="1"/>
  <c r="L901" i="1"/>
  <c r="M901" i="1"/>
  <c r="C902" i="1"/>
  <c r="E902" i="1"/>
  <c r="F902" i="1"/>
  <c r="H902" i="1"/>
  <c r="I902" i="1"/>
  <c r="J902" i="1"/>
  <c r="L902" i="1"/>
  <c r="M902" i="1"/>
  <c r="C903" i="1"/>
  <c r="E903" i="1"/>
  <c r="F903" i="1"/>
  <c r="H903" i="1"/>
  <c r="I903" i="1"/>
  <c r="J903" i="1"/>
  <c r="L903" i="1"/>
  <c r="M903" i="1"/>
  <c r="C904" i="1"/>
  <c r="E904" i="1"/>
  <c r="F904" i="1"/>
  <c r="H904" i="1"/>
  <c r="I904" i="1"/>
  <c r="J904" i="1"/>
  <c r="L904" i="1"/>
  <c r="M904" i="1"/>
  <c r="C905" i="1"/>
  <c r="E905" i="1"/>
  <c r="F905" i="1"/>
  <c r="H905" i="1"/>
  <c r="I905" i="1"/>
  <c r="J905" i="1"/>
  <c r="L905" i="1"/>
  <c r="M905" i="1"/>
  <c r="C906" i="1"/>
  <c r="E906" i="1"/>
  <c r="F906" i="1"/>
  <c r="H906" i="1"/>
  <c r="I906" i="1"/>
  <c r="J906" i="1"/>
  <c r="L906" i="1"/>
  <c r="M906" i="1"/>
  <c r="C907" i="1"/>
  <c r="E907" i="1"/>
  <c r="F907" i="1"/>
  <c r="H907" i="1"/>
  <c r="I907" i="1"/>
  <c r="J907" i="1"/>
  <c r="L907" i="1"/>
  <c r="M907" i="1"/>
  <c r="C908" i="1"/>
  <c r="E908" i="1"/>
  <c r="F908" i="1"/>
  <c r="H908" i="1"/>
  <c r="I908" i="1"/>
  <c r="J908" i="1"/>
  <c r="L908" i="1"/>
  <c r="M908" i="1"/>
  <c r="C909" i="1"/>
  <c r="E909" i="1"/>
  <c r="F909" i="1"/>
  <c r="H909" i="1"/>
  <c r="I909" i="1"/>
  <c r="J909" i="1"/>
  <c r="L909" i="1"/>
  <c r="M909" i="1"/>
  <c r="C910" i="1"/>
  <c r="E910" i="1"/>
  <c r="F910" i="1"/>
  <c r="H910" i="1"/>
  <c r="I910" i="1"/>
  <c r="J910" i="1"/>
  <c r="L910" i="1"/>
  <c r="M910" i="1"/>
  <c r="C911" i="1"/>
  <c r="E911" i="1"/>
  <c r="F911" i="1"/>
  <c r="H911" i="1"/>
  <c r="I911" i="1"/>
  <c r="J911" i="1"/>
  <c r="L911" i="1"/>
  <c r="M911" i="1"/>
  <c r="C912" i="1"/>
  <c r="E912" i="1"/>
  <c r="F912" i="1"/>
  <c r="H912" i="1"/>
  <c r="I912" i="1"/>
  <c r="J912" i="1"/>
  <c r="L912" i="1"/>
  <c r="M912" i="1"/>
  <c r="C913" i="1"/>
  <c r="E913" i="1"/>
  <c r="F913" i="1"/>
  <c r="H913" i="1"/>
  <c r="I913" i="1"/>
  <c r="J913" i="1"/>
  <c r="L913" i="1"/>
  <c r="M913" i="1"/>
  <c r="C914" i="1"/>
  <c r="E914" i="1"/>
  <c r="F914" i="1"/>
  <c r="H914" i="1"/>
  <c r="I914" i="1"/>
  <c r="J914" i="1"/>
  <c r="L914" i="1"/>
  <c r="M914" i="1"/>
  <c r="C915" i="1"/>
  <c r="E915" i="1"/>
  <c r="F915" i="1"/>
  <c r="H915" i="1"/>
  <c r="I915" i="1"/>
  <c r="J915" i="1"/>
  <c r="L915" i="1"/>
  <c r="M915" i="1"/>
  <c r="C916" i="1"/>
  <c r="E916" i="1"/>
  <c r="F916" i="1"/>
  <c r="H916" i="1"/>
  <c r="I916" i="1"/>
  <c r="J916" i="1"/>
  <c r="L916" i="1"/>
  <c r="M916" i="1"/>
  <c r="C917" i="1"/>
  <c r="E917" i="1"/>
  <c r="F917" i="1"/>
  <c r="H917" i="1"/>
  <c r="I917" i="1"/>
  <c r="J917" i="1"/>
  <c r="L917" i="1"/>
  <c r="M917" i="1"/>
  <c r="C918" i="1"/>
  <c r="E918" i="1"/>
  <c r="F918" i="1"/>
  <c r="H918" i="1"/>
  <c r="I918" i="1"/>
  <c r="J918" i="1"/>
  <c r="L918" i="1"/>
  <c r="M918" i="1"/>
  <c r="C919" i="1"/>
  <c r="E919" i="1"/>
  <c r="F919" i="1"/>
  <c r="H919" i="1"/>
  <c r="I919" i="1"/>
  <c r="J919" i="1"/>
  <c r="L919" i="1"/>
  <c r="M919" i="1"/>
  <c r="C920" i="1"/>
  <c r="E920" i="1"/>
  <c r="F920" i="1"/>
  <c r="H920" i="1"/>
  <c r="I920" i="1"/>
  <c r="J920" i="1"/>
  <c r="L920" i="1"/>
  <c r="M920" i="1"/>
  <c r="C921" i="1"/>
  <c r="E921" i="1"/>
  <c r="F921" i="1"/>
  <c r="H921" i="1"/>
  <c r="I921" i="1"/>
  <c r="J921" i="1"/>
  <c r="L921" i="1"/>
  <c r="M921" i="1"/>
  <c r="C922" i="1"/>
  <c r="E922" i="1"/>
  <c r="F922" i="1"/>
  <c r="H922" i="1"/>
  <c r="I922" i="1"/>
  <c r="J922" i="1"/>
  <c r="L922" i="1"/>
  <c r="M922" i="1"/>
  <c r="C923" i="1"/>
  <c r="E923" i="1"/>
  <c r="F923" i="1"/>
  <c r="H923" i="1"/>
  <c r="I923" i="1"/>
  <c r="J923" i="1"/>
  <c r="L923" i="1"/>
  <c r="M923" i="1"/>
  <c r="C924" i="1"/>
  <c r="E924" i="1"/>
  <c r="F924" i="1"/>
  <c r="H924" i="1"/>
  <c r="I924" i="1"/>
  <c r="J924" i="1"/>
  <c r="L924" i="1"/>
  <c r="M924" i="1"/>
  <c r="C925" i="1"/>
  <c r="E925" i="1"/>
  <c r="F925" i="1"/>
  <c r="H925" i="1"/>
  <c r="I925" i="1"/>
  <c r="J925" i="1"/>
  <c r="L925" i="1"/>
  <c r="M925" i="1"/>
  <c r="C926" i="1"/>
  <c r="E926" i="1"/>
  <c r="F926" i="1"/>
  <c r="H926" i="1"/>
  <c r="I926" i="1"/>
  <c r="J926" i="1"/>
  <c r="L926" i="1"/>
  <c r="M926" i="1"/>
  <c r="C927" i="1"/>
  <c r="E927" i="1"/>
  <c r="F927" i="1"/>
  <c r="H927" i="1"/>
  <c r="I927" i="1"/>
  <c r="J927" i="1"/>
  <c r="L927" i="1"/>
  <c r="M927" i="1"/>
  <c r="C928" i="1"/>
  <c r="E928" i="1"/>
  <c r="F928" i="1"/>
  <c r="H928" i="1"/>
  <c r="I928" i="1"/>
  <c r="J928" i="1"/>
  <c r="L928" i="1"/>
  <c r="M928" i="1"/>
  <c r="C929" i="1"/>
  <c r="E929" i="1"/>
  <c r="F929" i="1"/>
  <c r="H929" i="1"/>
  <c r="I929" i="1"/>
  <c r="J929" i="1"/>
  <c r="L929" i="1"/>
  <c r="M929" i="1"/>
  <c r="C930" i="1"/>
  <c r="E930" i="1"/>
  <c r="F930" i="1"/>
  <c r="H930" i="1"/>
  <c r="I930" i="1"/>
  <c r="J930" i="1"/>
  <c r="L930" i="1"/>
  <c r="M930" i="1"/>
  <c r="C931" i="1"/>
  <c r="E931" i="1"/>
  <c r="F931" i="1"/>
  <c r="H931" i="1"/>
  <c r="I931" i="1"/>
  <c r="J931" i="1"/>
  <c r="L931" i="1"/>
  <c r="M931" i="1"/>
  <c r="C932" i="1"/>
  <c r="E932" i="1"/>
  <c r="F932" i="1"/>
  <c r="H932" i="1"/>
  <c r="I932" i="1"/>
  <c r="J932" i="1"/>
  <c r="L932" i="1"/>
  <c r="M932" i="1"/>
  <c r="C933" i="1"/>
  <c r="E933" i="1"/>
  <c r="F933" i="1"/>
  <c r="H933" i="1"/>
  <c r="I933" i="1"/>
  <c r="J933" i="1"/>
  <c r="L933" i="1"/>
  <c r="M933" i="1"/>
  <c r="C934" i="1"/>
  <c r="E934" i="1"/>
  <c r="F934" i="1"/>
  <c r="H934" i="1"/>
  <c r="I934" i="1"/>
  <c r="J934" i="1"/>
  <c r="L934" i="1"/>
  <c r="M934" i="1"/>
  <c r="C935" i="1"/>
  <c r="E935" i="1"/>
  <c r="F935" i="1"/>
  <c r="H935" i="1"/>
  <c r="I935" i="1"/>
  <c r="J935" i="1"/>
  <c r="L935" i="1"/>
  <c r="M935" i="1"/>
  <c r="C936" i="1"/>
  <c r="E936" i="1"/>
  <c r="F936" i="1"/>
  <c r="H936" i="1"/>
  <c r="I936" i="1"/>
  <c r="J936" i="1"/>
  <c r="L936" i="1"/>
  <c r="M936" i="1"/>
  <c r="C937" i="1"/>
  <c r="E937" i="1"/>
  <c r="F937" i="1"/>
  <c r="H937" i="1"/>
  <c r="I937" i="1"/>
  <c r="J937" i="1"/>
  <c r="L937" i="1"/>
  <c r="M937" i="1"/>
  <c r="C938" i="1"/>
  <c r="E938" i="1"/>
  <c r="F938" i="1"/>
  <c r="H938" i="1"/>
  <c r="I938" i="1"/>
  <c r="J938" i="1"/>
  <c r="L938" i="1"/>
  <c r="M938" i="1"/>
  <c r="C939" i="1"/>
  <c r="E939" i="1"/>
  <c r="F939" i="1"/>
  <c r="H939" i="1"/>
  <c r="I939" i="1"/>
  <c r="J939" i="1"/>
  <c r="L939" i="1"/>
  <c r="M939" i="1"/>
  <c r="C940" i="1"/>
  <c r="E940" i="1"/>
  <c r="F940" i="1"/>
  <c r="H940" i="1"/>
  <c r="I940" i="1"/>
  <c r="J940" i="1"/>
  <c r="L940" i="1"/>
  <c r="M940" i="1"/>
  <c r="C941" i="1"/>
  <c r="E941" i="1"/>
  <c r="F941" i="1"/>
  <c r="H941" i="1"/>
  <c r="I941" i="1"/>
  <c r="J941" i="1"/>
  <c r="L941" i="1"/>
  <c r="M941" i="1"/>
  <c r="C942" i="1"/>
  <c r="E942" i="1"/>
  <c r="F942" i="1"/>
  <c r="H942" i="1"/>
  <c r="I942" i="1"/>
  <c r="J942" i="1"/>
  <c r="L942" i="1"/>
  <c r="M942" i="1"/>
  <c r="C943" i="1"/>
  <c r="E943" i="1"/>
  <c r="F943" i="1"/>
  <c r="H943" i="1"/>
  <c r="I943" i="1"/>
  <c r="J943" i="1"/>
  <c r="L943" i="1"/>
  <c r="M943" i="1"/>
  <c r="C944" i="1"/>
  <c r="E944" i="1"/>
  <c r="F944" i="1"/>
  <c r="H944" i="1"/>
  <c r="I944" i="1"/>
  <c r="J944" i="1"/>
  <c r="L944" i="1"/>
  <c r="M944" i="1"/>
  <c r="C945" i="1"/>
  <c r="E945" i="1"/>
  <c r="F945" i="1"/>
  <c r="H945" i="1"/>
  <c r="I945" i="1"/>
  <c r="J945" i="1"/>
  <c r="L945" i="1"/>
  <c r="M945" i="1"/>
  <c r="C946" i="1"/>
  <c r="E946" i="1"/>
  <c r="F946" i="1"/>
  <c r="H946" i="1"/>
  <c r="I946" i="1"/>
  <c r="J946" i="1"/>
  <c r="L946" i="1"/>
  <c r="M946" i="1"/>
  <c r="C947" i="1"/>
  <c r="E947" i="1"/>
  <c r="F947" i="1"/>
  <c r="H947" i="1"/>
  <c r="I947" i="1"/>
  <c r="J947" i="1"/>
  <c r="L947" i="1"/>
  <c r="M947" i="1"/>
  <c r="C948" i="1"/>
  <c r="E948" i="1"/>
  <c r="F948" i="1"/>
  <c r="H948" i="1"/>
  <c r="I948" i="1"/>
  <c r="J948" i="1"/>
  <c r="L948" i="1"/>
  <c r="M948" i="1"/>
  <c r="C949" i="1"/>
  <c r="E949" i="1"/>
  <c r="F949" i="1"/>
  <c r="H949" i="1"/>
  <c r="I949" i="1"/>
  <c r="J949" i="1"/>
  <c r="L949" i="1"/>
  <c r="M949" i="1"/>
  <c r="C950" i="1"/>
  <c r="E950" i="1"/>
  <c r="F950" i="1"/>
  <c r="H950" i="1"/>
  <c r="I950" i="1"/>
  <c r="J950" i="1"/>
  <c r="L950" i="1"/>
  <c r="M950" i="1"/>
  <c r="C951" i="1"/>
  <c r="E951" i="1"/>
  <c r="F951" i="1"/>
  <c r="H951" i="1"/>
  <c r="I951" i="1"/>
  <c r="J951" i="1"/>
  <c r="L951" i="1"/>
  <c r="M951" i="1"/>
  <c r="C952" i="1"/>
  <c r="E952" i="1"/>
  <c r="F952" i="1"/>
  <c r="H952" i="1"/>
  <c r="I952" i="1"/>
  <c r="J952" i="1"/>
  <c r="L952" i="1"/>
  <c r="M952" i="1"/>
  <c r="C953" i="1"/>
  <c r="E953" i="1"/>
  <c r="F953" i="1"/>
  <c r="H953" i="1"/>
  <c r="I953" i="1"/>
  <c r="J953" i="1"/>
  <c r="L953" i="1"/>
  <c r="M953" i="1"/>
  <c r="C954" i="1"/>
  <c r="E954" i="1"/>
  <c r="F954" i="1"/>
  <c r="H954" i="1"/>
  <c r="I954" i="1"/>
  <c r="J954" i="1"/>
  <c r="L954" i="1"/>
  <c r="M954" i="1"/>
  <c r="C955" i="1"/>
  <c r="E955" i="1"/>
  <c r="F955" i="1"/>
  <c r="H955" i="1"/>
  <c r="I955" i="1"/>
  <c r="J955" i="1"/>
  <c r="L955" i="1"/>
  <c r="M955" i="1"/>
  <c r="C956" i="1"/>
  <c r="E956" i="1"/>
  <c r="F956" i="1"/>
  <c r="H956" i="1"/>
  <c r="I956" i="1"/>
  <c r="J956" i="1"/>
  <c r="L956" i="1"/>
  <c r="M956" i="1"/>
  <c r="C957" i="1"/>
  <c r="E957" i="1"/>
  <c r="F957" i="1"/>
  <c r="H957" i="1"/>
  <c r="I957" i="1"/>
  <c r="J957" i="1"/>
  <c r="L957" i="1"/>
  <c r="M957" i="1"/>
  <c r="C958" i="1"/>
  <c r="E958" i="1"/>
  <c r="F958" i="1"/>
  <c r="H958" i="1"/>
  <c r="I958" i="1"/>
  <c r="J958" i="1"/>
  <c r="L958" i="1"/>
  <c r="M958" i="1"/>
  <c r="C959" i="1"/>
  <c r="E959" i="1"/>
  <c r="F959" i="1"/>
  <c r="H959" i="1"/>
  <c r="I959" i="1"/>
  <c r="J959" i="1"/>
  <c r="L959" i="1"/>
  <c r="M959" i="1"/>
  <c r="C960" i="1"/>
  <c r="E960" i="1"/>
  <c r="F960" i="1"/>
  <c r="H960" i="1"/>
  <c r="I960" i="1"/>
  <c r="J960" i="1"/>
  <c r="L960" i="1"/>
  <c r="M960" i="1"/>
  <c r="C961" i="1"/>
  <c r="E961" i="1"/>
  <c r="F961" i="1"/>
  <c r="H961" i="1"/>
  <c r="I961" i="1"/>
  <c r="J961" i="1"/>
  <c r="L961" i="1"/>
  <c r="M961" i="1"/>
  <c r="C962" i="1"/>
  <c r="E962" i="1"/>
  <c r="F962" i="1"/>
  <c r="H962" i="1"/>
  <c r="I962" i="1"/>
  <c r="J962" i="1"/>
  <c r="L962" i="1"/>
  <c r="M962" i="1"/>
  <c r="C963" i="1"/>
  <c r="E963" i="1"/>
  <c r="F963" i="1"/>
  <c r="H963" i="1"/>
  <c r="I963" i="1"/>
  <c r="J963" i="1"/>
  <c r="L963" i="1"/>
  <c r="M963" i="1"/>
  <c r="C964" i="1"/>
  <c r="E964" i="1"/>
  <c r="F964" i="1"/>
  <c r="H964" i="1"/>
  <c r="I964" i="1"/>
  <c r="J964" i="1"/>
  <c r="L964" i="1"/>
  <c r="M964" i="1"/>
  <c r="C965" i="1"/>
  <c r="E965" i="1"/>
  <c r="F965" i="1"/>
  <c r="H965" i="1"/>
  <c r="I965" i="1"/>
  <c r="J965" i="1"/>
  <c r="L965" i="1"/>
  <c r="M965" i="1"/>
  <c r="C966" i="1"/>
  <c r="E966" i="1"/>
  <c r="F966" i="1"/>
  <c r="H966" i="1"/>
  <c r="I966" i="1"/>
  <c r="J966" i="1"/>
  <c r="L966" i="1"/>
  <c r="M966" i="1"/>
  <c r="C967" i="1"/>
  <c r="E967" i="1"/>
  <c r="F967" i="1"/>
  <c r="H967" i="1"/>
  <c r="I967" i="1"/>
  <c r="J967" i="1"/>
  <c r="L967" i="1"/>
  <c r="M967" i="1"/>
  <c r="C968" i="1"/>
  <c r="E968" i="1"/>
  <c r="F968" i="1"/>
  <c r="H968" i="1"/>
  <c r="I968" i="1"/>
  <c r="J968" i="1"/>
  <c r="L968" i="1"/>
  <c r="M968" i="1"/>
  <c r="C969" i="1"/>
  <c r="E969" i="1"/>
  <c r="F969" i="1"/>
  <c r="H969" i="1"/>
  <c r="I969" i="1"/>
  <c r="J969" i="1"/>
  <c r="L969" i="1"/>
  <c r="M969" i="1"/>
  <c r="C970" i="1"/>
  <c r="E970" i="1"/>
  <c r="F970" i="1"/>
  <c r="H970" i="1"/>
  <c r="I970" i="1"/>
  <c r="J970" i="1"/>
  <c r="L970" i="1"/>
  <c r="M970" i="1"/>
  <c r="C971" i="1"/>
  <c r="E971" i="1"/>
  <c r="F971" i="1"/>
  <c r="H971" i="1"/>
  <c r="I971" i="1"/>
  <c r="J971" i="1"/>
  <c r="L971" i="1"/>
  <c r="M971" i="1"/>
  <c r="C972" i="1"/>
  <c r="E972" i="1"/>
  <c r="F972" i="1"/>
  <c r="H972" i="1"/>
  <c r="I972" i="1"/>
  <c r="J972" i="1"/>
  <c r="L972" i="1"/>
  <c r="M972" i="1"/>
  <c r="C973" i="1"/>
  <c r="E973" i="1"/>
  <c r="F973" i="1"/>
  <c r="H973" i="1"/>
  <c r="I973" i="1"/>
  <c r="J973" i="1"/>
  <c r="L973" i="1"/>
  <c r="M973" i="1"/>
  <c r="C974" i="1"/>
  <c r="E974" i="1"/>
  <c r="F974" i="1"/>
  <c r="H974" i="1"/>
  <c r="I974" i="1"/>
  <c r="J974" i="1"/>
  <c r="L974" i="1"/>
  <c r="M974" i="1"/>
  <c r="C975" i="1"/>
  <c r="E975" i="1"/>
  <c r="F975" i="1"/>
  <c r="H975" i="1"/>
  <c r="I975" i="1"/>
  <c r="J975" i="1"/>
  <c r="L975" i="1"/>
  <c r="M975" i="1"/>
  <c r="C976" i="1"/>
  <c r="E976" i="1"/>
  <c r="F976" i="1"/>
  <c r="H976" i="1"/>
  <c r="I976" i="1"/>
  <c r="J976" i="1"/>
  <c r="L976" i="1"/>
  <c r="M976" i="1"/>
  <c r="C977" i="1"/>
  <c r="E977" i="1"/>
  <c r="F977" i="1"/>
  <c r="H977" i="1"/>
  <c r="I977" i="1"/>
  <c r="J977" i="1"/>
  <c r="L977" i="1"/>
  <c r="M977" i="1"/>
  <c r="C978" i="1"/>
  <c r="E978" i="1"/>
  <c r="F978" i="1"/>
  <c r="H978" i="1"/>
  <c r="I978" i="1"/>
  <c r="J978" i="1"/>
  <c r="L978" i="1"/>
  <c r="M978" i="1"/>
  <c r="C979" i="1"/>
  <c r="E979" i="1"/>
  <c r="F979" i="1"/>
  <c r="H979" i="1"/>
  <c r="I979" i="1"/>
  <c r="J979" i="1"/>
  <c r="L979" i="1"/>
  <c r="M979" i="1"/>
  <c r="C980" i="1"/>
  <c r="E980" i="1"/>
  <c r="F980" i="1"/>
  <c r="H980" i="1"/>
  <c r="I980" i="1"/>
  <c r="J980" i="1"/>
  <c r="L980" i="1"/>
  <c r="M980" i="1"/>
  <c r="C981" i="1"/>
  <c r="E981" i="1"/>
  <c r="F981" i="1"/>
  <c r="H981" i="1"/>
  <c r="I981" i="1"/>
  <c r="J981" i="1"/>
  <c r="L981" i="1"/>
  <c r="M981" i="1"/>
  <c r="C982" i="1"/>
  <c r="E982" i="1"/>
  <c r="F982" i="1"/>
  <c r="H982" i="1"/>
  <c r="I982" i="1"/>
  <c r="J982" i="1"/>
  <c r="L982" i="1"/>
  <c r="M982" i="1"/>
  <c r="C983" i="1"/>
  <c r="E983" i="1"/>
  <c r="F983" i="1"/>
  <c r="H983" i="1"/>
  <c r="I983" i="1"/>
  <c r="J983" i="1"/>
  <c r="L983" i="1"/>
  <c r="M983" i="1"/>
  <c r="C984" i="1"/>
  <c r="E984" i="1"/>
  <c r="F984" i="1"/>
  <c r="H984" i="1"/>
  <c r="I984" i="1"/>
  <c r="J984" i="1"/>
  <c r="L984" i="1"/>
  <c r="M984" i="1"/>
  <c r="C985" i="1"/>
  <c r="E985" i="1"/>
  <c r="F985" i="1"/>
  <c r="H985" i="1"/>
  <c r="I985" i="1"/>
  <c r="J985" i="1"/>
  <c r="L985" i="1"/>
  <c r="M985" i="1"/>
  <c r="C986" i="1"/>
  <c r="E986" i="1"/>
  <c r="F986" i="1"/>
  <c r="H986" i="1"/>
  <c r="I986" i="1"/>
  <c r="J986" i="1"/>
  <c r="L986" i="1"/>
  <c r="M986" i="1"/>
  <c r="C987" i="1"/>
  <c r="E987" i="1"/>
  <c r="F987" i="1"/>
  <c r="H987" i="1"/>
  <c r="I987" i="1"/>
  <c r="J987" i="1"/>
  <c r="L987" i="1"/>
  <c r="M987" i="1"/>
  <c r="C988" i="1"/>
  <c r="E988" i="1"/>
  <c r="F988" i="1"/>
  <c r="H988" i="1"/>
  <c r="I988" i="1"/>
  <c r="J988" i="1"/>
  <c r="L988" i="1"/>
  <c r="M988" i="1"/>
  <c r="C989" i="1"/>
  <c r="E989" i="1"/>
  <c r="F989" i="1"/>
  <c r="H989" i="1"/>
  <c r="I989" i="1"/>
  <c r="J989" i="1"/>
  <c r="L989" i="1"/>
  <c r="M989" i="1"/>
  <c r="C990" i="1"/>
  <c r="E990" i="1"/>
  <c r="F990" i="1"/>
  <c r="H990" i="1"/>
  <c r="I990" i="1"/>
  <c r="J990" i="1"/>
  <c r="L990" i="1"/>
  <c r="M990" i="1"/>
  <c r="C991" i="1"/>
  <c r="E991" i="1"/>
  <c r="F991" i="1"/>
  <c r="H991" i="1"/>
  <c r="I991" i="1"/>
  <c r="J991" i="1"/>
  <c r="L991" i="1"/>
  <c r="M991" i="1"/>
  <c r="C992" i="1"/>
  <c r="E992" i="1"/>
  <c r="F992" i="1"/>
  <c r="H992" i="1"/>
  <c r="I992" i="1"/>
  <c r="J992" i="1"/>
  <c r="L992" i="1"/>
  <c r="M992" i="1"/>
  <c r="C993" i="1"/>
  <c r="E993" i="1"/>
  <c r="F993" i="1"/>
  <c r="H993" i="1"/>
  <c r="I993" i="1"/>
  <c r="J993" i="1"/>
  <c r="L993" i="1"/>
  <c r="M993" i="1"/>
  <c r="C994" i="1"/>
  <c r="E994" i="1"/>
  <c r="F994" i="1"/>
  <c r="H994" i="1"/>
  <c r="I994" i="1"/>
  <c r="J994" i="1"/>
  <c r="L994" i="1"/>
  <c r="M994" i="1"/>
  <c r="C995" i="1"/>
  <c r="E995" i="1"/>
  <c r="F995" i="1"/>
  <c r="H995" i="1"/>
  <c r="I995" i="1"/>
  <c r="J995" i="1"/>
  <c r="L995" i="1"/>
  <c r="M995" i="1"/>
  <c r="C996" i="1"/>
  <c r="E996" i="1"/>
  <c r="F996" i="1"/>
  <c r="H996" i="1"/>
  <c r="I996" i="1"/>
  <c r="J996" i="1"/>
  <c r="L996" i="1"/>
  <c r="M996" i="1"/>
  <c r="C997" i="1"/>
  <c r="E997" i="1"/>
  <c r="F997" i="1"/>
  <c r="H997" i="1"/>
  <c r="I997" i="1"/>
  <c r="J997" i="1"/>
  <c r="L997" i="1"/>
  <c r="M997" i="1"/>
  <c r="C998" i="1"/>
  <c r="E998" i="1"/>
  <c r="F998" i="1"/>
  <c r="H998" i="1"/>
  <c r="I998" i="1"/>
  <c r="J998" i="1"/>
  <c r="L998" i="1"/>
  <c r="M998" i="1"/>
  <c r="C999" i="1"/>
  <c r="E999" i="1"/>
  <c r="F999" i="1"/>
  <c r="H999" i="1"/>
  <c r="I999" i="1"/>
  <c r="J999" i="1"/>
  <c r="L999" i="1"/>
  <c r="M999" i="1"/>
  <c r="C1000" i="1"/>
  <c r="E1000" i="1"/>
  <c r="F1000" i="1"/>
  <c r="H1000" i="1"/>
  <c r="I1000" i="1"/>
  <c r="J1000" i="1"/>
  <c r="L1000" i="1"/>
  <c r="M1000" i="1"/>
  <c r="C1001" i="1"/>
  <c r="E1001" i="1"/>
  <c r="F1001" i="1"/>
  <c r="H1001" i="1"/>
  <c r="I1001" i="1"/>
  <c r="J1001" i="1"/>
  <c r="L1001" i="1"/>
  <c r="M1001" i="1"/>
  <c r="C1002" i="1"/>
  <c r="E1002" i="1"/>
  <c r="F1002" i="1"/>
  <c r="H1002" i="1"/>
  <c r="I1002" i="1"/>
  <c r="J1002" i="1"/>
  <c r="L1002" i="1"/>
  <c r="M1002" i="1"/>
  <c r="C1003" i="1"/>
  <c r="E1003" i="1"/>
  <c r="F1003" i="1"/>
  <c r="H1003" i="1"/>
  <c r="I1003" i="1"/>
  <c r="J1003" i="1"/>
  <c r="L1003" i="1"/>
  <c r="M1003" i="1"/>
  <c r="C1004" i="1"/>
  <c r="E1004" i="1"/>
  <c r="F1004" i="1"/>
  <c r="H1004" i="1"/>
  <c r="I1004" i="1"/>
  <c r="J1004" i="1"/>
  <c r="L1004" i="1"/>
  <c r="M1004" i="1"/>
  <c r="C1005" i="1"/>
  <c r="E1005" i="1"/>
  <c r="F1005" i="1"/>
  <c r="H1005" i="1"/>
  <c r="I1005" i="1"/>
  <c r="J1005" i="1"/>
  <c r="L1005" i="1"/>
  <c r="M1005" i="1"/>
  <c r="C1006" i="1"/>
  <c r="E1006" i="1"/>
  <c r="F1006" i="1"/>
  <c r="H1006" i="1"/>
  <c r="I1006" i="1"/>
  <c r="J1006" i="1"/>
  <c r="L1006" i="1"/>
  <c r="M1006" i="1"/>
  <c r="C1007" i="1"/>
  <c r="E1007" i="1"/>
  <c r="F1007" i="1"/>
  <c r="H1007" i="1"/>
  <c r="I1007" i="1"/>
  <c r="J1007" i="1"/>
  <c r="L1007" i="1"/>
  <c r="M1007" i="1"/>
  <c r="C1008" i="1"/>
  <c r="E1008" i="1"/>
  <c r="F1008" i="1"/>
  <c r="H1008" i="1"/>
  <c r="I1008" i="1"/>
  <c r="J1008" i="1"/>
  <c r="L1008" i="1"/>
  <c r="M1008" i="1"/>
  <c r="C1009" i="1"/>
  <c r="E1009" i="1"/>
  <c r="F1009" i="1"/>
  <c r="H1009" i="1"/>
  <c r="I1009" i="1"/>
  <c r="J1009" i="1"/>
  <c r="L1009" i="1"/>
  <c r="M1009" i="1"/>
  <c r="C1010" i="1"/>
  <c r="E1010" i="1"/>
  <c r="F1010" i="1"/>
  <c r="H1010" i="1"/>
  <c r="I1010" i="1"/>
  <c r="J1010" i="1"/>
  <c r="L1010" i="1"/>
  <c r="M1010" i="1"/>
  <c r="C1011" i="1"/>
  <c r="E1011" i="1"/>
  <c r="F1011" i="1"/>
  <c r="H1011" i="1"/>
  <c r="I1011" i="1"/>
  <c r="J1011" i="1"/>
  <c r="L1011" i="1"/>
  <c r="M1011" i="1"/>
  <c r="C1012" i="1"/>
  <c r="E1012" i="1"/>
  <c r="F1012" i="1"/>
  <c r="H1012" i="1"/>
  <c r="I1012" i="1"/>
  <c r="J1012" i="1"/>
  <c r="L1012" i="1"/>
  <c r="M1012" i="1"/>
  <c r="C1013" i="1"/>
  <c r="E1013" i="1"/>
  <c r="F1013" i="1"/>
  <c r="H1013" i="1"/>
  <c r="I1013" i="1"/>
  <c r="J1013" i="1"/>
  <c r="L1013" i="1"/>
  <c r="M1013" i="1"/>
  <c r="C1014" i="1"/>
  <c r="E1014" i="1"/>
  <c r="F1014" i="1"/>
  <c r="H1014" i="1"/>
  <c r="I1014" i="1"/>
  <c r="J1014" i="1"/>
  <c r="L1014" i="1"/>
  <c r="M1014" i="1"/>
  <c r="C1015" i="1"/>
  <c r="E1015" i="1"/>
  <c r="F1015" i="1"/>
  <c r="H1015" i="1"/>
  <c r="I1015" i="1"/>
  <c r="J1015" i="1"/>
  <c r="L1015" i="1"/>
  <c r="M1015" i="1"/>
  <c r="C1016" i="1"/>
  <c r="E1016" i="1"/>
  <c r="F1016" i="1"/>
  <c r="H1016" i="1"/>
  <c r="I1016" i="1"/>
  <c r="J1016" i="1"/>
  <c r="L1016" i="1"/>
  <c r="M1016" i="1"/>
  <c r="C1017" i="1"/>
  <c r="E1017" i="1"/>
  <c r="F1017" i="1"/>
  <c r="H1017" i="1"/>
  <c r="I1017" i="1"/>
  <c r="J1017" i="1"/>
  <c r="L1017" i="1"/>
  <c r="M1017" i="1"/>
  <c r="C1018" i="1"/>
  <c r="E1018" i="1"/>
  <c r="F1018" i="1"/>
  <c r="H1018" i="1"/>
  <c r="I1018" i="1"/>
  <c r="J1018" i="1"/>
  <c r="L1018" i="1"/>
  <c r="M1018" i="1"/>
  <c r="C1019" i="1"/>
  <c r="E1019" i="1"/>
  <c r="F1019" i="1"/>
  <c r="H1019" i="1"/>
  <c r="I1019" i="1"/>
  <c r="J1019" i="1"/>
  <c r="L1019" i="1"/>
  <c r="M1019" i="1"/>
  <c r="C1020" i="1"/>
  <c r="E1020" i="1"/>
  <c r="F1020" i="1"/>
  <c r="H1020" i="1"/>
  <c r="I1020" i="1"/>
  <c r="J1020" i="1"/>
  <c r="L1020" i="1"/>
  <c r="M1020" i="1"/>
  <c r="C1021" i="1"/>
  <c r="E1021" i="1"/>
  <c r="F1021" i="1"/>
  <c r="H1021" i="1"/>
  <c r="I1021" i="1"/>
  <c r="J1021" i="1"/>
  <c r="L1021" i="1"/>
  <c r="M1021" i="1"/>
  <c r="C1022" i="1"/>
  <c r="E1022" i="1"/>
  <c r="F1022" i="1"/>
  <c r="H1022" i="1"/>
  <c r="I1022" i="1"/>
  <c r="J1022" i="1"/>
  <c r="L1022" i="1"/>
  <c r="M1022" i="1"/>
  <c r="C1023" i="1"/>
  <c r="E1023" i="1"/>
  <c r="F1023" i="1"/>
  <c r="H1023" i="1"/>
  <c r="I1023" i="1"/>
  <c r="J1023" i="1"/>
  <c r="L1023" i="1"/>
  <c r="M1023" i="1"/>
  <c r="C1024" i="1"/>
  <c r="E1024" i="1"/>
  <c r="F1024" i="1"/>
  <c r="H1024" i="1"/>
  <c r="I1024" i="1"/>
  <c r="J1024" i="1"/>
  <c r="L1024" i="1"/>
  <c r="M1024" i="1"/>
  <c r="C1025" i="1"/>
  <c r="E1025" i="1"/>
  <c r="F1025" i="1"/>
  <c r="H1025" i="1"/>
  <c r="I1025" i="1"/>
  <c r="J1025" i="1"/>
  <c r="L1025" i="1"/>
  <c r="M1025" i="1"/>
  <c r="C1026" i="1"/>
  <c r="E1026" i="1"/>
  <c r="F1026" i="1"/>
  <c r="H1026" i="1"/>
  <c r="I1026" i="1"/>
  <c r="J1026" i="1"/>
  <c r="L1026" i="1"/>
  <c r="M1026" i="1"/>
  <c r="C1027" i="1"/>
  <c r="E1027" i="1"/>
  <c r="F1027" i="1"/>
  <c r="H1027" i="1"/>
  <c r="I1027" i="1"/>
  <c r="J1027" i="1"/>
  <c r="L1027" i="1"/>
  <c r="M1027" i="1"/>
  <c r="C1028" i="1"/>
  <c r="E1028" i="1"/>
  <c r="F1028" i="1"/>
  <c r="H1028" i="1"/>
  <c r="I1028" i="1"/>
  <c r="J1028" i="1"/>
  <c r="L1028" i="1"/>
  <c r="M1028" i="1"/>
  <c r="C1029" i="1"/>
  <c r="E1029" i="1"/>
  <c r="F1029" i="1"/>
  <c r="H1029" i="1"/>
  <c r="I1029" i="1"/>
  <c r="J1029" i="1"/>
  <c r="L1029" i="1"/>
  <c r="M1029" i="1"/>
  <c r="C1030" i="1"/>
  <c r="E1030" i="1"/>
  <c r="F1030" i="1"/>
  <c r="H1030" i="1"/>
  <c r="I1030" i="1"/>
  <c r="J1030" i="1"/>
  <c r="L1030" i="1"/>
  <c r="M1030" i="1"/>
  <c r="C1031" i="1"/>
  <c r="E1031" i="1"/>
  <c r="F1031" i="1"/>
  <c r="H1031" i="1"/>
  <c r="I1031" i="1"/>
  <c r="J1031" i="1"/>
  <c r="L1031" i="1"/>
  <c r="M1031" i="1"/>
  <c r="C1032" i="1"/>
  <c r="E1032" i="1"/>
  <c r="F1032" i="1"/>
  <c r="H1032" i="1"/>
  <c r="I1032" i="1"/>
  <c r="J1032" i="1"/>
  <c r="L1032" i="1"/>
  <c r="M1032" i="1"/>
  <c r="C1033" i="1"/>
  <c r="E1033" i="1"/>
  <c r="F1033" i="1"/>
  <c r="H1033" i="1"/>
  <c r="I1033" i="1"/>
  <c r="J1033" i="1"/>
  <c r="L1033" i="1"/>
  <c r="M1033" i="1"/>
  <c r="C1034" i="1"/>
  <c r="E1034" i="1"/>
  <c r="F1034" i="1"/>
  <c r="H1034" i="1"/>
  <c r="I1034" i="1"/>
  <c r="J1034" i="1"/>
  <c r="L1034" i="1"/>
  <c r="M1034" i="1"/>
  <c r="C1035" i="1"/>
  <c r="E1035" i="1"/>
  <c r="F1035" i="1"/>
  <c r="H1035" i="1"/>
  <c r="I1035" i="1"/>
  <c r="J1035" i="1"/>
  <c r="L1035" i="1"/>
  <c r="M1035" i="1"/>
  <c r="C1036" i="1"/>
  <c r="E1036" i="1"/>
  <c r="F1036" i="1"/>
  <c r="H1036" i="1"/>
  <c r="I1036" i="1"/>
  <c r="J1036" i="1"/>
  <c r="L1036" i="1"/>
  <c r="M1036" i="1"/>
  <c r="C1037" i="1"/>
  <c r="E1037" i="1"/>
  <c r="F1037" i="1"/>
  <c r="H1037" i="1"/>
  <c r="I1037" i="1"/>
  <c r="J1037" i="1"/>
  <c r="L1037" i="1"/>
  <c r="M1037" i="1"/>
  <c r="C1038" i="1"/>
  <c r="E1038" i="1"/>
  <c r="F1038" i="1"/>
  <c r="H1038" i="1"/>
  <c r="I1038" i="1"/>
  <c r="J1038" i="1"/>
  <c r="L1038" i="1"/>
  <c r="M1038" i="1"/>
  <c r="C1039" i="1"/>
  <c r="E1039" i="1"/>
  <c r="F1039" i="1"/>
  <c r="H1039" i="1"/>
  <c r="I1039" i="1"/>
  <c r="J1039" i="1"/>
  <c r="L1039" i="1"/>
  <c r="M1039" i="1"/>
  <c r="C1040" i="1"/>
  <c r="E1040" i="1"/>
  <c r="F1040" i="1"/>
  <c r="H1040" i="1"/>
  <c r="I1040" i="1"/>
  <c r="J1040" i="1"/>
  <c r="L1040" i="1"/>
  <c r="M1040" i="1"/>
  <c r="C1041" i="1"/>
  <c r="E1041" i="1"/>
  <c r="F1041" i="1"/>
  <c r="H1041" i="1"/>
  <c r="I1041" i="1"/>
  <c r="J1041" i="1"/>
  <c r="L1041" i="1"/>
  <c r="M1041" i="1"/>
  <c r="C1042" i="1"/>
  <c r="E1042" i="1"/>
  <c r="F1042" i="1"/>
  <c r="H1042" i="1"/>
  <c r="I1042" i="1"/>
  <c r="J1042" i="1"/>
  <c r="L1042" i="1"/>
  <c r="M1042" i="1"/>
  <c r="C1043" i="1"/>
  <c r="E1043" i="1"/>
  <c r="F1043" i="1"/>
  <c r="H1043" i="1"/>
  <c r="I1043" i="1"/>
  <c r="J1043" i="1"/>
  <c r="L1043" i="1"/>
  <c r="M1043" i="1"/>
  <c r="C1044" i="1"/>
  <c r="E1044" i="1"/>
  <c r="F1044" i="1"/>
  <c r="H1044" i="1"/>
  <c r="I1044" i="1"/>
  <c r="J1044" i="1"/>
  <c r="L1044" i="1"/>
  <c r="M1044" i="1"/>
  <c r="C1045" i="1"/>
  <c r="E1045" i="1"/>
  <c r="F1045" i="1"/>
  <c r="H1045" i="1"/>
  <c r="I1045" i="1"/>
  <c r="J1045" i="1"/>
  <c r="L1045" i="1"/>
  <c r="M1045" i="1"/>
  <c r="C1046" i="1"/>
  <c r="E1046" i="1"/>
  <c r="F1046" i="1"/>
  <c r="H1046" i="1"/>
  <c r="I1046" i="1"/>
  <c r="J1046" i="1"/>
  <c r="L1046" i="1"/>
  <c r="M1046" i="1"/>
  <c r="C1047" i="1"/>
  <c r="E1047" i="1"/>
  <c r="F1047" i="1"/>
  <c r="H1047" i="1"/>
  <c r="I1047" i="1"/>
  <c r="J1047" i="1"/>
  <c r="L1047" i="1"/>
  <c r="M1047" i="1"/>
  <c r="C1048" i="1"/>
  <c r="E1048" i="1"/>
  <c r="F1048" i="1"/>
  <c r="H1048" i="1"/>
  <c r="I1048" i="1"/>
  <c r="J1048" i="1"/>
  <c r="L1048" i="1"/>
  <c r="M1048" i="1"/>
  <c r="C1049" i="1"/>
  <c r="E1049" i="1"/>
  <c r="F1049" i="1"/>
  <c r="H1049" i="1"/>
  <c r="I1049" i="1"/>
  <c r="J1049" i="1"/>
  <c r="L1049" i="1"/>
  <c r="M1049" i="1"/>
  <c r="C1050" i="1"/>
  <c r="E1050" i="1"/>
  <c r="F1050" i="1"/>
  <c r="H1050" i="1"/>
  <c r="I1050" i="1"/>
  <c r="J1050" i="1"/>
  <c r="L1050" i="1"/>
  <c r="M1050" i="1"/>
  <c r="C1051" i="1"/>
  <c r="E1051" i="1"/>
  <c r="F1051" i="1"/>
  <c r="H1051" i="1"/>
  <c r="I1051" i="1"/>
  <c r="J1051" i="1"/>
  <c r="L1051" i="1"/>
  <c r="M1051" i="1"/>
  <c r="C1052" i="1"/>
  <c r="E1052" i="1"/>
  <c r="F1052" i="1"/>
  <c r="H1052" i="1"/>
  <c r="I1052" i="1"/>
  <c r="J1052" i="1"/>
  <c r="L1052" i="1"/>
  <c r="M1052" i="1"/>
  <c r="C1053" i="1"/>
  <c r="E1053" i="1"/>
  <c r="F1053" i="1"/>
  <c r="H1053" i="1"/>
  <c r="I1053" i="1"/>
  <c r="J1053" i="1"/>
  <c r="L1053" i="1"/>
  <c r="M1053" i="1"/>
  <c r="C1054" i="1"/>
  <c r="E1054" i="1"/>
  <c r="F1054" i="1"/>
  <c r="H1054" i="1"/>
  <c r="I1054" i="1"/>
  <c r="J1054" i="1"/>
  <c r="L1054" i="1"/>
  <c r="M1054" i="1"/>
  <c r="C1055" i="1"/>
  <c r="E1055" i="1"/>
  <c r="F1055" i="1"/>
  <c r="H1055" i="1"/>
  <c r="I1055" i="1"/>
  <c r="J1055" i="1"/>
  <c r="L1055" i="1"/>
  <c r="M1055" i="1"/>
  <c r="C1056" i="1"/>
  <c r="E1056" i="1"/>
  <c r="F1056" i="1"/>
  <c r="H1056" i="1"/>
  <c r="I1056" i="1"/>
  <c r="J1056" i="1"/>
  <c r="L1056" i="1"/>
  <c r="M1056" i="1"/>
  <c r="C1057" i="1"/>
  <c r="E1057" i="1"/>
  <c r="F1057" i="1"/>
  <c r="H1057" i="1"/>
  <c r="I1057" i="1"/>
  <c r="J1057" i="1"/>
  <c r="L1057" i="1"/>
  <c r="M1057" i="1"/>
  <c r="C1058" i="1"/>
  <c r="E1058" i="1"/>
  <c r="F1058" i="1"/>
  <c r="H1058" i="1"/>
  <c r="I1058" i="1"/>
  <c r="J1058" i="1"/>
  <c r="L1058" i="1"/>
  <c r="M1058" i="1"/>
  <c r="C1059" i="1"/>
  <c r="E1059" i="1"/>
  <c r="F1059" i="1"/>
  <c r="H1059" i="1"/>
  <c r="I1059" i="1"/>
  <c r="J1059" i="1"/>
  <c r="L1059" i="1"/>
  <c r="M1059" i="1"/>
  <c r="C1060" i="1"/>
  <c r="E1060" i="1"/>
  <c r="F1060" i="1"/>
  <c r="H1060" i="1"/>
  <c r="I1060" i="1"/>
  <c r="J1060" i="1"/>
  <c r="L1060" i="1"/>
  <c r="M1060" i="1"/>
  <c r="C1061" i="1"/>
  <c r="E1061" i="1"/>
  <c r="F1061" i="1"/>
  <c r="H1061" i="1"/>
  <c r="I1061" i="1"/>
  <c r="J1061" i="1"/>
  <c r="L1061" i="1"/>
  <c r="M1061" i="1"/>
  <c r="C1062" i="1"/>
  <c r="E1062" i="1"/>
  <c r="F1062" i="1"/>
  <c r="H1062" i="1"/>
  <c r="I1062" i="1"/>
  <c r="J1062" i="1"/>
  <c r="L1062" i="1"/>
  <c r="M1062" i="1"/>
  <c r="C1063" i="1"/>
  <c r="E1063" i="1"/>
  <c r="F1063" i="1"/>
  <c r="H1063" i="1"/>
  <c r="I1063" i="1"/>
  <c r="J1063" i="1"/>
  <c r="L1063" i="1"/>
  <c r="M1063" i="1"/>
  <c r="C1064" i="1"/>
  <c r="E1064" i="1"/>
  <c r="F1064" i="1"/>
  <c r="H1064" i="1"/>
  <c r="I1064" i="1"/>
  <c r="J1064" i="1"/>
  <c r="L1064" i="1"/>
  <c r="M1064" i="1"/>
  <c r="C1065" i="1"/>
  <c r="E1065" i="1"/>
  <c r="F1065" i="1"/>
  <c r="H1065" i="1"/>
  <c r="I1065" i="1"/>
  <c r="J1065" i="1"/>
  <c r="L1065" i="1"/>
  <c r="M1065" i="1"/>
  <c r="C1066" i="1"/>
  <c r="E1066" i="1"/>
  <c r="F1066" i="1"/>
  <c r="H1066" i="1"/>
  <c r="I1066" i="1"/>
  <c r="J1066" i="1"/>
  <c r="L1066" i="1"/>
  <c r="M1066" i="1"/>
  <c r="C1067" i="1"/>
  <c r="E1067" i="1"/>
  <c r="F1067" i="1"/>
  <c r="H1067" i="1"/>
  <c r="I1067" i="1"/>
  <c r="J1067" i="1"/>
  <c r="L1067" i="1"/>
  <c r="M1067" i="1"/>
  <c r="C1068" i="1"/>
  <c r="E1068" i="1"/>
  <c r="F1068" i="1"/>
  <c r="H1068" i="1"/>
  <c r="I1068" i="1"/>
  <c r="J1068" i="1"/>
  <c r="L1068" i="1"/>
  <c r="M1068" i="1"/>
  <c r="C1069" i="1"/>
  <c r="E1069" i="1"/>
  <c r="F1069" i="1"/>
  <c r="H1069" i="1"/>
  <c r="I1069" i="1"/>
  <c r="J1069" i="1"/>
  <c r="L1069" i="1"/>
  <c r="M1069" i="1"/>
  <c r="C1070" i="1"/>
  <c r="E1070" i="1"/>
  <c r="F1070" i="1"/>
  <c r="H1070" i="1"/>
  <c r="I1070" i="1"/>
  <c r="J1070" i="1"/>
  <c r="L1070" i="1"/>
  <c r="M1070" i="1"/>
  <c r="C1071" i="1"/>
  <c r="E1071" i="1"/>
  <c r="F1071" i="1"/>
  <c r="H1071" i="1"/>
  <c r="I1071" i="1"/>
  <c r="J1071" i="1"/>
  <c r="L1071" i="1"/>
  <c r="M1071" i="1"/>
  <c r="C1072" i="1"/>
  <c r="E1072" i="1"/>
  <c r="F1072" i="1"/>
  <c r="H1072" i="1"/>
  <c r="I1072" i="1"/>
  <c r="J1072" i="1"/>
  <c r="L1072" i="1"/>
  <c r="M1072" i="1"/>
  <c r="C1073" i="1"/>
  <c r="E1073" i="1"/>
  <c r="F1073" i="1"/>
  <c r="H1073" i="1"/>
  <c r="I1073" i="1"/>
  <c r="J1073" i="1"/>
  <c r="L1073" i="1"/>
  <c r="M1073" i="1"/>
  <c r="C1074" i="1"/>
  <c r="E1074" i="1"/>
  <c r="F1074" i="1"/>
  <c r="H1074" i="1"/>
  <c r="I1074" i="1"/>
  <c r="J1074" i="1"/>
  <c r="L1074" i="1"/>
  <c r="M1074" i="1"/>
  <c r="C1075" i="1"/>
  <c r="E1075" i="1"/>
  <c r="F1075" i="1"/>
  <c r="H1075" i="1"/>
  <c r="I1075" i="1"/>
  <c r="J1075" i="1"/>
  <c r="L1075" i="1"/>
  <c r="M1075" i="1"/>
  <c r="C1076" i="1"/>
  <c r="E1076" i="1"/>
  <c r="F1076" i="1"/>
  <c r="H1076" i="1"/>
  <c r="I1076" i="1"/>
  <c r="J1076" i="1"/>
  <c r="L1076" i="1"/>
  <c r="M1076" i="1"/>
  <c r="C1077" i="1"/>
  <c r="E1077" i="1"/>
  <c r="F1077" i="1"/>
  <c r="H1077" i="1"/>
  <c r="I1077" i="1"/>
  <c r="J1077" i="1"/>
  <c r="L1077" i="1"/>
  <c r="M1077" i="1"/>
  <c r="C1078" i="1"/>
  <c r="E1078" i="1"/>
  <c r="F1078" i="1"/>
  <c r="H1078" i="1"/>
  <c r="I1078" i="1"/>
  <c r="J1078" i="1"/>
  <c r="L1078" i="1"/>
  <c r="M1078" i="1"/>
  <c r="C1079" i="1"/>
  <c r="E1079" i="1"/>
  <c r="F1079" i="1"/>
  <c r="H1079" i="1"/>
  <c r="I1079" i="1"/>
  <c r="J1079" i="1"/>
  <c r="L1079" i="1"/>
  <c r="M1079" i="1"/>
  <c r="C1080" i="1"/>
  <c r="E1080" i="1"/>
  <c r="F1080" i="1"/>
  <c r="H1080" i="1"/>
  <c r="I1080" i="1"/>
  <c r="J1080" i="1"/>
  <c r="L1080" i="1"/>
  <c r="M1080" i="1"/>
  <c r="C1081" i="1"/>
  <c r="E1081" i="1"/>
  <c r="F1081" i="1"/>
  <c r="H1081" i="1"/>
  <c r="I1081" i="1"/>
  <c r="J1081" i="1"/>
  <c r="L1081" i="1"/>
  <c r="M1081" i="1"/>
  <c r="C1082" i="1"/>
  <c r="E1082" i="1"/>
  <c r="F1082" i="1"/>
  <c r="H1082" i="1"/>
  <c r="I1082" i="1"/>
  <c r="J1082" i="1"/>
  <c r="L1082" i="1"/>
  <c r="M1082" i="1"/>
  <c r="C1083" i="1"/>
  <c r="E1083" i="1"/>
  <c r="F1083" i="1"/>
  <c r="H1083" i="1"/>
  <c r="I1083" i="1"/>
  <c r="J1083" i="1"/>
  <c r="L1083" i="1"/>
  <c r="M1083" i="1"/>
  <c r="C1084" i="1"/>
  <c r="E1084" i="1"/>
  <c r="F1084" i="1"/>
  <c r="H1084" i="1"/>
  <c r="I1084" i="1"/>
  <c r="J1084" i="1"/>
  <c r="L1084" i="1"/>
  <c r="M1084" i="1"/>
  <c r="C1085" i="1"/>
  <c r="E1085" i="1"/>
  <c r="F1085" i="1"/>
  <c r="H1085" i="1"/>
  <c r="I1085" i="1"/>
  <c r="J1085" i="1"/>
  <c r="L1085" i="1"/>
  <c r="M1085" i="1"/>
  <c r="C1086" i="1"/>
  <c r="E1086" i="1"/>
  <c r="F1086" i="1"/>
  <c r="H1086" i="1"/>
  <c r="I1086" i="1"/>
  <c r="J1086" i="1"/>
  <c r="L1086" i="1"/>
  <c r="M1086" i="1"/>
  <c r="C1087" i="1"/>
  <c r="E1087" i="1"/>
  <c r="F1087" i="1"/>
  <c r="H1087" i="1"/>
  <c r="I1087" i="1"/>
  <c r="J1087" i="1"/>
  <c r="L1087" i="1"/>
  <c r="M1087" i="1"/>
  <c r="C1088" i="1"/>
  <c r="E1088" i="1"/>
  <c r="F1088" i="1"/>
  <c r="H1088" i="1"/>
  <c r="I1088" i="1"/>
  <c r="J1088" i="1"/>
  <c r="L1088" i="1"/>
  <c r="M1088" i="1"/>
  <c r="C1089" i="1"/>
  <c r="E1089" i="1"/>
  <c r="F1089" i="1"/>
  <c r="H1089" i="1"/>
  <c r="I1089" i="1"/>
  <c r="J1089" i="1"/>
  <c r="L1089" i="1"/>
  <c r="M1089" i="1"/>
  <c r="C1090" i="1"/>
  <c r="E1090" i="1"/>
  <c r="F1090" i="1"/>
  <c r="H1090" i="1"/>
  <c r="I1090" i="1"/>
  <c r="J1090" i="1"/>
  <c r="L1090" i="1"/>
  <c r="M1090" i="1"/>
  <c r="C1091" i="1"/>
  <c r="E1091" i="1"/>
  <c r="F1091" i="1"/>
  <c r="H1091" i="1"/>
  <c r="I1091" i="1"/>
  <c r="J1091" i="1"/>
  <c r="L1091" i="1"/>
  <c r="M1091" i="1"/>
  <c r="C1092" i="1"/>
  <c r="E1092" i="1"/>
  <c r="F1092" i="1"/>
  <c r="H1092" i="1"/>
  <c r="I1092" i="1"/>
  <c r="J1092" i="1"/>
  <c r="L1092" i="1"/>
  <c r="M1092" i="1"/>
  <c r="C1093" i="1"/>
  <c r="E1093" i="1"/>
  <c r="F1093" i="1"/>
  <c r="H1093" i="1"/>
  <c r="I1093" i="1"/>
  <c r="J1093" i="1"/>
  <c r="L1093" i="1"/>
  <c r="M1093" i="1"/>
  <c r="C1094" i="1"/>
  <c r="E1094" i="1"/>
  <c r="F1094" i="1"/>
  <c r="H1094" i="1"/>
  <c r="I1094" i="1"/>
  <c r="J1094" i="1"/>
  <c r="L1094" i="1"/>
  <c r="M1094" i="1"/>
  <c r="C1095" i="1"/>
  <c r="E1095" i="1"/>
  <c r="F1095" i="1"/>
  <c r="H1095" i="1"/>
  <c r="I1095" i="1"/>
  <c r="J1095" i="1"/>
  <c r="L1095" i="1"/>
  <c r="M1095" i="1"/>
  <c r="C1096" i="1"/>
  <c r="E1096" i="1"/>
  <c r="F1096" i="1"/>
  <c r="H1096" i="1"/>
  <c r="I1096" i="1"/>
  <c r="J1096" i="1"/>
  <c r="L1096" i="1"/>
  <c r="M1096" i="1"/>
  <c r="C1097" i="1"/>
  <c r="E1097" i="1"/>
  <c r="F1097" i="1"/>
  <c r="H1097" i="1"/>
  <c r="I1097" i="1"/>
  <c r="J1097" i="1"/>
  <c r="L1097" i="1"/>
  <c r="M1097" i="1"/>
  <c r="C1098" i="1"/>
  <c r="E1098" i="1"/>
  <c r="F1098" i="1"/>
  <c r="H1098" i="1"/>
  <c r="I1098" i="1"/>
  <c r="J1098" i="1"/>
  <c r="L1098" i="1"/>
  <c r="M1098" i="1"/>
  <c r="C1099" i="1"/>
  <c r="E1099" i="1"/>
  <c r="F1099" i="1"/>
  <c r="H1099" i="1"/>
  <c r="I1099" i="1"/>
  <c r="J1099" i="1"/>
  <c r="L1099" i="1"/>
  <c r="M1099" i="1"/>
  <c r="C1100" i="1"/>
  <c r="E1100" i="1"/>
  <c r="F1100" i="1"/>
  <c r="H1100" i="1"/>
  <c r="I1100" i="1"/>
  <c r="J1100" i="1"/>
  <c r="L1100" i="1"/>
  <c r="M1100" i="1"/>
  <c r="C1101" i="1"/>
  <c r="E1101" i="1"/>
  <c r="F1101" i="1"/>
  <c r="H1101" i="1"/>
  <c r="I1101" i="1"/>
  <c r="J1101" i="1"/>
  <c r="L1101" i="1"/>
  <c r="M1101" i="1"/>
  <c r="C1102" i="1"/>
  <c r="E1102" i="1"/>
  <c r="F1102" i="1"/>
  <c r="H1102" i="1"/>
  <c r="I1102" i="1"/>
  <c r="J1102" i="1"/>
  <c r="L1102" i="1"/>
  <c r="M1102" i="1"/>
  <c r="C1103" i="1"/>
  <c r="E1103" i="1"/>
  <c r="F1103" i="1"/>
  <c r="H1103" i="1"/>
  <c r="I1103" i="1"/>
  <c r="J1103" i="1"/>
  <c r="L1103" i="1"/>
  <c r="M1103" i="1"/>
  <c r="C1104" i="1"/>
  <c r="E1104" i="1"/>
  <c r="F1104" i="1"/>
  <c r="H1104" i="1"/>
  <c r="I1104" i="1"/>
  <c r="J1104" i="1"/>
  <c r="L1104" i="1"/>
  <c r="M1104" i="1"/>
  <c r="C1105" i="1"/>
  <c r="E1105" i="1"/>
  <c r="F1105" i="1"/>
  <c r="H1105" i="1"/>
  <c r="I1105" i="1"/>
  <c r="J1105" i="1"/>
  <c r="L1105" i="1"/>
  <c r="M1105" i="1"/>
  <c r="C1106" i="1"/>
  <c r="E1106" i="1"/>
  <c r="F1106" i="1"/>
  <c r="H1106" i="1"/>
  <c r="I1106" i="1"/>
  <c r="J1106" i="1"/>
  <c r="L1106" i="1"/>
  <c r="M1106" i="1"/>
  <c r="C1107" i="1"/>
  <c r="E1107" i="1"/>
  <c r="F1107" i="1"/>
  <c r="H1107" i="1"/>
  <c r="I1107" i="1"/>
  <c r="J1107" i="1"/>
  <c r="L1107" i="1"/>
  <c r="M1107" i="1"/>
  <c r="C1108" i="1"/>
  <c r="E1108" i="1"/>
  <c r="F1108" i="1"/>
  <c r="H1108" i="1"/>
  <c r="I1108" i="1"/>
  <c r="J1108" i="1"/>
  <c r="L1108" i="1"/>
  <c r="M1108" i="1"/>
  <c r="C1109" i="1"/>
  <c r="E1109" i="1"/>
  <c r="F1109" i="1"/>
  <c r="H1109" i="1"/>
  <c r="I1109" i="1"/>
  <c r="J1109" i="1"/>
  <c r="L1109" i="1"/>
  <c r="M1109" i="1"/>
  <c r="C1110" i="1"/>
  <c r="E1110" i="1"/>
  <c r="F1110" i="1"/>
  <c r="H1110" i="1"/>
  <c r="I1110" i="1"/>
  <c r="J1110" i="1"/>
  <c r="L1110" i="1"/>
  <c r="M1110" i="1"/>
  <c r="C1111" i="1"/>
  <c r="E1111" i="1"/>
  <c r="F1111" i="1"/>
  <c r="H1111" i="1"/>
  <c r="I1111" i="1"/>
  <c r="J1111" i="1"/>
  <c r="L1111" i="1"/>
  <c r="M1111" i="1"/>
  <c r="C1112" i="1"/>
  <c r="E1112" i="1"/>
  <c r="F1112" i="1"/>
  <c r="H1112" i="1"/>
  <c r="I1112" i="1"/>
  <c r="J1112" i="1"/>
  <c r="L1112" i="1"/>
  <c r="M1112" i="1"/>
  <c r="C1113" i="1"/>
  <c r="E1113" i="1"/>
  <c r="F1113" i="1"/>
  <c r="H1113" i="1"/>
  <c r="I1113" i="1"/>
  <c r="J1113" i="1"/>
  <c r="L1113" i="1"/>
  <c r="M1113" i="1"/>
  <c r="C1114" i="1"/>
  <c r="E1114" i="1"/>
  <c r="F1114" i="1"/>
  <c r="H1114" i="1"/>
  <c r="I1114" i="1"/>
  <c r="J1114" i="1"/>
  <c r="L1114" i="1"/>
  <c r="M1114" i="1"/>
  <c r="C1115" i="1"/>
  <c r="E1115" i="1"/>
  <c r="F1115" i="1"/>
  <c r="H1115" i="1"/>
  <c r="I1115" i="1"/>
  <c r="J1115" i="1"/>
  <c r="L1115" i="1"/>
  <c r="M1115" i="1"/>
  <c r="C1116" i="1"/>
  <c r="E1116" i="1"/>
  <c r="F1116" i="1"/>
  <c r="H1116" i="1"/>
  <c r="I1116" i="1"/>
  <c r="J1116" i="1"/>
  <c r="L1116" i="1"/>
  <c r="M1116" i="1"/>
  <c r="C1117" i="1"/>
  <c r="E1117" i="1"/>
  <c r="F1117" i="1"/>
  <c r="H1117" i="1"/>
  <c r="I1117" i="1"/>
  <c r="J1117" i="1"/>
  <c r="L1117" i="1"/>
  <c r="M1117" i="1"/>
  <c r="C1118" i="1"/>
  <c r="E1118" i="1"/>
  <c r="F1118" i="1"/>
  <c r="H1118" i="1"/>
  <c r="I1118" i="1"/>
  <c r="J1118" i="1"/>
  <c r="L1118" i="1"/>
  <c r="M1118" i="1"/>
  <c r="C1119" i="1"/>
  <c r="E1119" i="1"/>
  <c r="F1119" i="1"/>
  <c r="H1119" i="1"/>
  <c r="I1119" i="1"/>
  <c r="J1119" i="1"/>
  <c r="L1119" i="1"/>
  <c r="M1119" i="1"/>
  <c r="C1120" i="1"/>
  <c r="E1120" i="1"/>
  <c r="F1120" i="1"/>
  <c r="H1120" i="1"/>
  <c r="I1120" i="1"/>
  <c r="J1120" i="1"/>
  <c r="L1120" i="1"/>
  <c r="M1120" i="1"/>
  <c r="C1121" i="1"/>
  <c r="E1121" i="1"/>
  <c r="F1121" i="1"/>
  <c r="H1121" i="1"/>
  <c r="I1121" i="1"/>
  <c r="J1121" i="1"/>
  <c r="L1121" i="1"/>
  <c r="M1121" i="1"/>
  <c r="C1122" i="1"/>
  <c r="E1122" i="1"/>
  <c r="F1122" i="1"/>
  <c r="H1122" i="1"/>
  <c r="I1122" i="1"/>
  <c r="J1122" i="1"/>
  <c r="L1122" i="1"/>
  <c r="M1122" i="1"/>
  <c r="C1123" i="1"/>
  <c r="E1123" i="1"/>
  <c r="F1123" i="1"/>
  <c r="H1123" i="1"/>
  <c r="I1123" i="1"/>
  <c r="J1123" i="1"/>
  <c r="L1123" i="1"/>
  <c r="M1123" i="1"/>
  <c r="C1124" i="1"/>
  <c r="E1124" i="1"/>
  <c r="F1124" i="1"/>
  <c r="H1124" i="1"/>
  <c r="I1124" i="1"/>
  <c r="J1124" i="1"/>
  <c r="L1124" i="1"/>
  <c r="M1124" i="1"/>
  <c r="C1125" i="1"/>
  <c r="E1125" i="1"/>
  <c r="F1125" i="1"/>
  <c r="H1125" i="1"/>
  <c r="I1125" i="1"/>
  <c r="J1125" i="1"/>
  <c r="L1125" i="1"/>
  <c r="M1125" i="1"/>
  <c r="C1126" i="1"/>
  <c r="E1126" i="1"/>
  <c r="F1126" i="1"/>
  <c r="H1126" i="1"/>
  <c r="I1126" i="1"/>
  <c r="J1126" i="1"/>
  <c r="L1126" i="1"/>
  <c r="M1126" i="1"/>
  <c r="C1127" i="1"/>
  <c r="E1127" i="1"/>
  <c r="F1127" i="1"/>
  <c r="H1127" i="1"/>
  <c r="I1127" i="1"/>
  <c r="J1127" i="1"/>
  <c r="L1127" i="1"/>
  <c r="M1127" i="1"/>
  <c r="C1128" i="1"/>
  <c r="E1128" i="1"/>
  <c r="F1128" i="1"/>
  <c r="H1128" i="1"/>
  <c r="I1128" i="1"/>
  <c r="J1128" i="1"/>
  <c r="L1128" i="1"/>
  <c r="M1128" i="1"/>
  <c r="C1129" i="1"/>
  <c r="E1129" i="1"/>
  <c r="F1129" i="1"/>
  <c r="H1129" i="1"/>
  <c r="I1129" i="1"/>
  <c r="J1129" i="1"/>
  <c r="L1129" i="1"/>
  <c r="M1129" i="1"/>
  <c r="C1130" i="1"/>
  <c r="E1130" i="1"/>
  <c r="F1130" i="1"/>
  <c r="H1130" i="1"/>
  <c r="I1130" i="1"/>
  <c r="J1130" i="1"/>
  <c r="L1130" i="1"/>
  <c r="M1130" i="1"/>
  <c r="C1131" i="1"/>
  <c r="E1131" i="1"/>
  <c r="F1131" i="1"/>
  <c r="H1131" i="1"/>
  <c r="I1131" i="1"/>
  <c r="J1131" i="1"/>
  <c r="L1131" i="1"/>
  <c r="M1131" i="1"/>
  <c r="C1132" i="1"/>
  <c r="E1132" i="1"/>
  <c r="F1132" i="1"/>
  <c r="H1132" i="1"/>
  <c r="I1132" i="1"/>
  <c r="J1132" i="1"/>
  <c r="L1132" i="1"/>
  <c r="M1132" i="1"/>
  <c r="C1133" i="1"/>
  <c r="E1133" i="1"/>
  <c r="F1133" i="1"/>
  <c r="H1133" i="1"/>
  <c r="I1133" i="1"/>
  <c r="J1133" i="1"/>
  <c r="L1133" i="1"/>
  <c r="M1133" i="1"/>
  <c r="C1134" i="1"/>
  <c r="E1134" i="1"/>
  <c r="F1134" i="1"/>
  <c r="H1134" i="1"/>
  <c r="I1134" i="1"/>
  <c r="J1134" i="1"/>
  <c r="L1134" i="1"/>
  <c r="M1134" i="1"/>
  <c r="C1135" i="1"/>
  <c r="E1135" i="1"/>
  <c r="F1135" i="1"/>
  <c r="H1135" i="1"/>
  <c r="I1135" i="1"/>
  <c r="J1135" i="1"/>
  <c r="L1135" i="1"/>
  <c r="M1135" i="1"/>
  <c r="C1136" i="1"/>
  <c r="E1136" i="1"/>
  <c r="F1136" i="1"/>
  <c r="H1136" i="1"/>
  <c r="I1136" i="1"/>
  <c r="J1136" i="1"/>
  <c r="L1136" i="1"/>
  <c r="M1136" i="1"/>
  <c r="C1137" i="1"/>
  <c r="E1137" i="1"/>
  <c r="F1137" i="1"/>
  <c r="H1137" i="1"/>
  <c r="I1137" i="1"/>
  <c r="J1137" i="1"/>
  <c r="L1137" i="1"/>
  <c r="M1137" i="1"/>
  <c r="C1138" i="1"/>
  <c r="E1138" i="1"/>
  <c r="F1138" i="1"/>
  <c r="H1138" i="1"/>
  <c r="I1138" i="1"/>
  <c r="J1138" i="1"/>
  <c r="L1138" i="1"/>
  <c r="M1138" i="1"/>
  <c r="C1139" i="1"/>
  <c r="E1139" i="1"/>
  <c r="F1139" i="1"/>
  <c r="H1139" i="1"/>
  <c r="I1139" i="1"/>
  <c r="J1139" i="1"/>
  <c r="L1139" i="1"/>
  <c r="M1139" i="1"/>
  <c r="C1140" i="1"/>
  <c r="E1140" i="1"/>
  <c r="F1140" i="1"/>
  <c r="H1140" i="1"/>
  <c r="I1140" i="1"/>
  <c r="J1140" i="1"/>
  <c r="L1140" i="1"/>
  <c r="M1140" i="1"/>
  <c r="C1141" i="1"/>
  <c r="E1141" i="1"/>
  <c r="F1141" i="1"/>
  <c r="H1141" i="1"/>
  <c r="I1141" i="1"/>
  <c r="J1141" i="1"/>
  <c r="L1141" i="1"/>
  <c r="M1141" i="1"/>
  <c r="C1142" i="1"/>
  <c r="E1142" i="1"/>
  <c r="F1142" i="1"/>
  <c r="H1142" i="1"/>
  <c r="I1142" i="1"/>
  <c r="J1142" i="1"/>
  <c r="L1142" i="1"/>
  <c r="M1142" i="1"/>
  <c r="C1143" i="1"/>
  <c r="E1143" i="1"/>
  <c r="F1143" i="1"/>
  <c r="H1143" i="1"/>
  <c r="I1143" i="1"/>
  <c r="J1143" i="1"/>
  <c r="L1143" i="1"/>
  <c r="M1143" i="1"/>
  <c r="C1144" i="1"/>
  <c r="E1144" i="1"/>
  <c r="F1144" i="1"/>
  <c r="H1144" i="1"/>
  <c r="I1144" i="1"/>
  <c r="J1144" i="1"/>
  <c r="L1144" i="1"/>
  <c r="M1144" i="1"/>
  <c r="C1145" i="1"/>
  <c r="E1145" i="1"/>
  <c r="F1145" i="1"/>
  <c r="H1145" i="1"/>
  <c r="I1145" i="1"/>
  <c r="J1145" i="1"/>
  <c r="L1145" i="1"/>
  <c r="M1145" i="1"/>
  <c r="C1146" i="1"/>
  <c r="E1146" i="1"/>
  <c r="F1146" i="1"/>
  <c r="H1146" i="1"/>
  <c r="I1146" i="1"/>
  <c r="J1146" i="1"/>
  <c r="L1146" i="1"/>
  <c r="M1146" i="1"/>
  <c r="C1147" i="1"/>
  <c r="E1147" i="1"/>
  <c r="F1147" i="1"/>
  <c r="H1147" i="1"/>
  <c r="I1147" i="1"/>
  <c r="J1147" i="1"/>
  <c r="L1147" i="1"/>
  <c r="M1147" i="1"/>
  <c r="C1148" i="1"/>
  <c r="E1148" i="1"/>
  <c r="F1148" i="1"/>
  <c r="H1148" i="1"/>
  <c r="I1148" i="1"/>
  <c r="J1148" i="1"/>
  <c r="L1148" i="1"/>
  <c r="M1148" i="1"/>
  <c r="C1149" i="1"/>
  <c r="E1149" i="1"/>
  <c r="F1149" i="1"/>
  <c r="H1149" i="1"/>
  <c r="I1149" i="1"/>
  <c r="J1149" i="1"/>
  <c r="L1149" i="1"/>
  <c r="M1149" i="1"/>
  <c r="C1150" i="1"/>
  <c r="E1150" i="1"/>
  <c r="F1150" i="1"/>
  <c r="H1150" i="1"/>
  <c r="I1150" i="1"/>
  <c r="J1150" i="1"/>
  <c r="L1150" i="1"/>
  <c r="M1150" i="1"/>
  <c r="C1151" i="1"/>
  <c r="E1151" i="1"/>
  <c r="F1151" i="1"/>
  <c r="H1151" i="1"/>
  <c r="I1151" i="1"/>
  <c r="J1151" i="1"/>
  <c r="L1151" i="1"/>
  <c r="M1151" i="1"/>
  <c r="C1152" i="1"/>
  <c r="E1152" i="1"/>
  <c r="F1152" i="1"/>
  <c r="H1152" i="1"/>
  <c r="I1152" i="1"/>
  <c r="J1152" i="1"/>
  <c r="L1152" i="1"/>
  <c r="M1152" i="1"/>
  <c r="C1153" i="1"/>
  <c r="E1153" i="1"/>
  <c r="F1153" i="1"/>
  <c r="H1153" i="1"/>
  <c r="I1153" i="1"/>
  <c r="J1153" i="1"/>
  <c r="L1153" i="1"/>
  <c r="M1153" i="1"/>
  <c r="C1154" i="1"/>
  <c r="E1154" i="1"/>
  <c r="F1154" i="1"/>
  <c r="H1154" i="1"/>
  <c r="I1154" i="1"/>
  <c r="J1154" i="1"/>
  <c r="L1154" i="1"/>
  <c r="M1154" i="1"/>
  <c r="C1155" i="1"/>
  <c r="E1155" i="1"/>
  <c r="F1155" i="1"/>
  <c r="H1155" i="1"/>
  <c r="I1155" i="1"/>
  <c r="J1155" i="1"/>
  <c r="L1155" i="1"/>
  <c r="M1155" i="1"/>
  <c r="C1156" i="1"/>
  <c r="E1156" i="1"/>
  <c r="F1156" i="1"/>
  <c r="H1156" i="1"/>
  <c r="I1156" i="1"/>
  <c r="J1156" i="1"/>
  <c r="L1156" i="1"/>
  <c r="M1156" i="1"/>
  <c r="C1157" i="1"/>
  <c r="E1157" i="1"/>
  <c r="F1157" i="1"/>
  <c r="H1157" i="1"/>
  <c r="I1157" i="1"/>
  <c r="J1157" i="1"/>
  <c r="L1157" i="1"/>
  <c r="M1157" i="1"/>
  <c r="C1158" i="1"/>
  <c r="E1158" i="1"/>
  <c r="F1158" i="1"/>
  <c r="H1158" i="1"/>
  <c r="I1158" i="1"/>
  <c r="J1158" i="1"/>
  <c r="L1158" i="1"/>
  <c r="M1158" i="1"/>
  <c r="C1159" i="1"/>
  <c r="E1159" i="1"/>
  <c r="F1159" i="1"/>
  <c r="H1159" i="1"/>
  <c r="I1159" i="1"/>
  <c r="J1159" i="1"/>
  <c r="L1159" i="1"/>
  <c r="M1159" i="1"/>
  <c r="C1160" i="1"/>
  <c r="E1160" i="1"/>
  <c r="F1160" i="1"/>
  <c r="H1160" i="1"/>
  <c r="I1160" i="1"/>
  <c r="J1160" i="1"/>
  <c r="L1160" i="1"/>
  <c r="M1160" i="1"/>
  <c r="C1161" i="1"/>
  <c r="E1161" i="1"/>
  <c r="F1161" i="1"/>
  <c r="H1161" i="1"/>
  <c r="I1161" i="1"/>
  <c r="J1161" i="1"/>
  <c r="L1161" i="1"/>
  <c r="M1161" i="1"/>
  <c r="C1162" i="1"/>
  <c r="E1162" i="1"/>
  <c r="F1162" i="1"/>
  <c r="H1162" i="1"/>
  <c r="I1162" i="1"/>
  <c r="J1162" i="1"/>
  <c r="L1162" i="1"/>
  <c r="M1162" i="1"/>
  <c r="C1163" i="1"/>
  <c r="E1163" i="1"/>
  <c r="F1163" i="1"/>
  <c r="H1163" i="1"/>
  <c r="I1163" i="1"/>
  <c r="J1163" i="1"/>
  <c r="L1163" i="1"/>
  <c r="M1163" i="1"/>
  <c r="C1164" i="1"/>
  <c r="E1164" i="1"/>
  <c r="F1164" i="1"/>
  <c r="H1164" i="1"/>
  <c r="I1164" i="1"/>
  <c r="J1164" i="1"/>
  <c r="L1164" i="1"/>
  <c r="M1164" i="1"/>
  <c r="C1165" i="1"/>
  <c r="E1165" i="1"/>
  <c r="F1165" i="1"/>
  <c r="H1165" i="1"/>
  <c r="I1165" i="1"/>
  <c r="J1165" i="1"/>
  <c r="L1165" i="1"/>
  <c r="M1165" i="1"/>
  <c r="C1166" i="1"/>
  <c r="E1166" i="1"/>
  <c r="F1166" i="1"/>
  <c r="H1166" i="1"/>
  <c r="I1166" i="1"/>
  <c r="J1166" i="1"/>
  <c r="L1166" i="1"/>
  <c r="M1166" i="1"/>
  <c r="C1167" i="1"/>
  <c r="E1167" i="1"/>
  <c r="F1167" i="1"/>
  <c r="H1167" i="1"/>
  <c r="I1167" i="1"/>
  <c r="J1167" i="1"/>
  <c r="L1167" i="1"/>
  <c r="M1167" i="1"/>
  <c r="C1168" i="1"/>
  <c r="E1168" i="1"/>
  <c r="F1168" i="1"/>
  <c r="H1168" i="1"/>
  <c r="I1168" i="1"/>
  <c r="J1168" i="1"/>
  <c r="L1168" i="1"/>
  <c r="M1168" i="1"/>
  <c r="C1169" i="1"/>
  <c r="E1169" i="1"/>
  <c r="F1169" i="1"/>
  <c r="H1169" i="1"/>
  <c r="I1169" i="1"/>
  <c r="J1169" i="1"/>
  <c r="L1169" i="1"/>
  <c r="M1169" i="1"/>
  <c r="C1170" i="1"/>
  <c r="E1170" i="1"/>
  <c r="F1170" i="1"/>
  <c r="H1170" i="1"/>
  <c r="I1170" i="1"/>
  <c r="J1170" i="1"/>
  <c r="L1170" i="1"/>
  <c r="M1170" i="1"/>
  <c r="C1171" i="1"/>
  <c r="E1171" i="1"/>
  <c r="F1171" i="1"/>
  <c r="H1171" i="1"/>
  <c r="I1171" i="1"/>
  <c r="J1171" i="1"/>
  <c r="L1171" i="1"/>
  <c r="M1171" i="1"/>
  <c r="C1172" i="1"/>
  <c r="E1172" i="1"/>
  <c r="F1172" i="1"/>
  <c r="H1172" i="1"/>
  <c r="I1172" i="1"/>
  <c r="J1172" i="1"/>
  <c r="L1172" i="1"/>
  <c r="M1172" i="1"/>
  <c r="C1173" i="1"/>
  <c r="E1173" i="1"/>
  <c r="F1173" i="1"/>
  <c r="H1173" i="1"/>
  <c r="I1173" i="1"/>
  <c r="J1173" i="1"/>
  <c r="L1173" i="1"/>
  <c r="M1173" i="1"/>
  <c r="C1174" i="1"/>
  <c r="E1174" i="1"/>
  <c r="F1174" i="1"/>
  <c r="H1174" i="1"/>
  <c r="I1174" i="1"/>
  <c r="J1174" i="1"/>
  <c r="L1174" i="1"/>
  <c r="M1174" i="1"/>
  <c r="C1175" i="1"/>
  <c r="E1175" i="1"/>
  <c r="F1175" i="1"/>
  <c r="H1175" i="1"/>
  <c r="I1175" i="1"/>
  <c r="J1175" i="1"/>
  <c r="L1175" i="1"/>
  <c r="M1175" i="1"/>
  <c r="C1176" i="1"/>
  <c r="E1176" i="1"/>
  <c r="F1176" i="1"/>
  <c r="H1176" i="1"/>
  <c r="I1176" i="1"/>
  <c r="J1176" i="1"/>
  <c r="L1176" i="1"/>
  <c r="M1176" i="1"/>
  <c r="C1177" i="1"/>
  <c r="E1177" i="1"/>
  <c r="F1177" i="1"/>
  <c r="H1177" i="1"/>
  <c r="I1177" i="1"/>
  <c r="J1177" i="1"/>
  <c r="L1177" i="1"/>
  <c r="M1177" i="1"/>
  <c r="C1178" i="1"/>
  <c r="E1178" i="1"/>
  <c r="F1178" i="1"/>
  <c r="H1178" i="1"/>
  <c r="I1178" i="1"/>
  <c r="J1178" i="1"/>
  <c r="L1178" i="1"/>
  <c r="M1178" i="1"/>
  <c r="C1179" i="1"/>
  <c r="E1179" i="1"/>
  <c r="F1179" i="1"/>
  <c r="H1179" i="1"/>
  <c r="I1179" i="1"/>
  <c r="J1179" i="1"/>
  <c r="L1179" i="1"/>
  <c r="M1179" i="1"/>
  <c r="C1180" i="1"/>
  <c r="E1180" i="1"/>
  <c r="F1180" i="1"/>
  <c r="H1180" i="1"/>
  <c r="I1180" i="1"/>
  <c r="J1180" i="1"/>
  <c r="L1180" i="1"/>
  <c r="M1180" i="1"/>
  <c r="C1181" i="1"/>
  <c r="E1181" i="1"/>
  <c r="F1181" i="1"/>
  <c r="H1181" i="1"/>
  <c r="I1181" i="1"/>
  <c r="J1181" i="1"/>
  <c r="L1181" i="1"/>
  <c r="M1181" i="1"/>
  <c r="C1182" i="1"/>
  <c r="E1182" i="1"/>
  <c r="F1182" i="1"/>
  <c r="H1182" i="1"/>
  <c r="I1182" i="1"/>
  <c r="J1182" i="1"/>
  <c r="L1182" i="1"/>
  <c r="M1182" i="1"/>
  <c r="C1183" i="1"/>
  <c r="E1183" i="1"/>
  <c r="F1183" i="1"/>
  <c r="H1183" i="1"/>
  <c r="I1183" i="1"/>
  <c r="J1183" i="1"/>
  <c r="L1183" i="1"/>
  <c r="M1183" i="1"/>
  <c r="C1184" i="1"/>
  <c r="E1184" i="1"/>
  <c r="F1184" i="1"/>
  <c r="H1184" i="1"/>
  <c r="I1184" i="1"/>
  <c r="J1184" i="1"/>
  <c r="L1184" i="1"/>
  <c r="M1184" i="1"/>
  <c r="C1185" i="1"/>
  <c r="E1185" i="1"/>
  <c r="F1185" i="1"/>
  <c r="H1185" i="1"/>
  <c r="I1185" i="1"/>
  <c r="J1185" i="1"/>
  <c r="L1185" i="1"/>
  <c r="M1185" i="1"/>
  <c r="C1186" i="1"/>
  <c r="E1186" i="1"/>
  <c r="F1186" i="1"/>
  <c r="H1186" i="1"/>
  <c r="I1186" i="1"/>
  <c r="J1186" i="1"/>
  <c r="L1186" i="1"/>
  <c r="M1186" i="1"/>
  <c r="C1187" i="1"/>
  <c r="E1187" i="1"/>
  <c r="F1187" i="1"/>
  <c r="H1187" i="1"/>
  <c r="I1187" i="1"/>
  <c r="J1187" i="1"/>
  <c r="L1187" i="1"/>
  <c r="M1187" i="1"/>
  <c r="C1188" i="1"/>
  <c r="E1188" i="1"/>
  <c r="F1188" i="1"/>
  <c r="H1188" i="1"/>
  <c r="I1188" i="1"/>
  <c r="J1188" i="1"/>
  <c r="L1188" i="1"/>
  <c r="M1188" i="1"/>
  <c r="C1189" i="1"/>
  <c r="E1189" i="1"/>
  <c r="F1189" i="1"/>
  <c r="H1189" i="1"/>
  <c r="I1189" i="1"/>
  <c r="J1189" i="1"/>
  <c r="L1189" i="1"/>
  <c r="M1189" i="1"/>
  <c r="C1190" i="1"/>
  <c r="E1190" i="1"/>
  <c r="F1190" i="1"/>
  <c r="H1190" i="1"/>
  <c r="I1190" i="1"/>
  <c r="J1190" i="1"/>
  <c r="L1190" i="1"/>
  <c r="M1190" i="1"/>
  <c r="C1191" i="1"/>
  <c r="E1191" i="1"/>
  <c r="F1191" i="1"/>
  <c r="H1191" i="1"/>
  <c r="I1191" i="1"/>
  <c r="J1191" i="1"/>
  <c r="L1191" i="1"/>
  <c r="M1191" i="1"/>
  <c r="C1192" i="1"/>
  <c r="E1192" i="1"/>
  <c r="F1192" i="1"/>
  <c r="H1192" i="1"/>
  <c r="I1192" i="1"/>
  <c r="J1192" i="1"/>
  <c r="L1192" i="1"/>
  <c r="M1192" i="1"/>
  <c r="C1193" i="1"/>
  <c r="E1193" i="1"/>
  <c r="F1193" i="1"/>
  <c r="H1193" i="1"/>
  <c r="I1193" i="1"/>
  <c r="J1193" i="1"/>
  <c r="L1193" i="1"/>
  <c r="M1193" i="1"/>
  <c r="C1194" i="1"/>
  <c r="E1194" i="1"/>
  <c r="F1194" i="1"/>
  <c r="H1194" i="1"/>
  <c r="I1194" i="1"/>
  <c r="J1194" i="1"/>
  <c r="L1194" i="1"/>
  <c r="M1194" i="1"/>
  <c r="C1195" i="1"/>
  <c r="E1195" i="1"/>
  <c r="F1195" i="1"/>
  <c r="H1195" i="1"/>
  <c r="I1195" i="1"/>
  <c r="J1195" i="1"/>
  <c r="L1195" i="1"/>
  <c r="M1195" i="1"/>
  <c r="C1196" i="1"/>
  <c r="E1196" i="1"/>
  <c r="F1196" i="1"/>
  <c r="H1196" i="1"/>
  <c r="I1196" i="1"/>
  <c r="J1196" i="1"/>
  <c r="L1196" i="1"/>
  <c r="M1196" i="1"/>
  <c r="C1197" i="1"/>
  <c r="E1197" i="1"/>
  <c r="F1197" i="1"/>
  <c r="H1197" i="1"/>
  <c r="I1197" i="1"/>
  <c r="J1197" i="1"/>
  <c r="L1197" i="1"/>
  <c r="M1197" i="1"/>
  <c r="C1198" i="1"/>
  <c r="E1198" i="1"/>
  <c r="F1198" i="1"/>
  <c r="H1198" i="1"/>
  <c r="I1198" i="1"/>
  <c r="J1198" i="1"/>
  <c r="L1198" i="1"/>
  <c r="M1198" i="1"/>
  <c r="C1199" i="1"/>
  <c r="E1199" i="1"/>
  <c r="F1199" i="1"/>
  <c r="H1199" i="1"/>
  <c r="I1199" i="1"/>
  <c r="J1199" i="1"/>
  <c r="L1199" i="1"/>
  <c r="M1199" i="1"/>
  <c r="C1200" i="1"/>
  <c r="E1200" i="1"/>
  <c r="F1200" i="1"/>
  <c r="H1200" i="1"/>
  <c r="I1200" i="1"/>
  <c r="J1200" i="1"/>
  <c r="L1200" i="1"/>
  <c r="M1200" i="1"/>
  <c r="C1201" i="1"/>
  <c r="E1201" i="1"/>
  <c r="F1201" i="1"/>
  <c r="H1201" i="1"/>
  <c r="I1201" i="1"/>
  <c r="J1201" i="1"/>
  <c r="L1201" i="1"/>
  <c r="M1201" i="1"/>
  <c r="C1202" i="1"/>
  <c r="E1202" i="1"/>
  <c r="F1202" i="1"/>
  <c r="H1202" i="1"/>
  <c r="I1202" i="1"/>
  <c r="J1202" i="1"/>
  <c r="L1202" i="1"/>
  <c r="M1202" i="1"/>
  <c r="C1203" i="1"/>
  <c r="E1203" i="1"/>
  <c r="F1203" i="1"/>
  <c r="H1203" i="1"/>
  <c r="I1203" i="1"/>
  <c r="J1203" i="1"/>
  <c r="L1203" i="1"/>
  <c r="M1203" i="1"/>
  <c r="C1204" i="1"/>
  <c r="E1204" i="1"/>
  <c r="F1204" i="1"/>
  <c r="H1204" i="1"/>
  <c r="I1204" i="1"/>
  <c r="J1204" i="1"/>
  <c r="L1204" i="1"/>
  <c r="M1204" i="1"/>
  <c r="C1205" i="1"/>
  <c r="E1205" i="1"/>
  <c r="F1205" i="1"/>
  <c r="H1205" i="1"/>
  <c r="I1205" i="1"/>
  <c r="J1205" i="1"/>
  <c r="L1205" i="1"/>
  <c r="M1205" i="1"/>
  <c r="C1206" i="1"/>
  <c r="E1206" i="1"/>
  <c r="F1206" i="1"/>
  <c r="H1206" i="1"/>
  <c r="I1206" i="1"/>
  <c r="J1206" i="1"/>
  <c r="L1206" i="1"/>
  <c r="M1206" i="1"/>
  <c r="C1207" i="1"/>
  <c r="E1207" i="1"/>
  <c r="F1207" i="1"/>
  <c r="H1207" i="1"/>
  <c r="I1207" i="1"/>
  <c r="J1207" i="1"/>
  <c r="L1207" i="1"/>
  <c r="M1207" i="1"/>
  <c r="C1208" i="1"/>
  <c r="E1208" i="1"/>
  <c r="F1208" i="1"/>
  <c r="H1208" i="1"/>
  <c r="I1208" i="1"/>
  <c r="J1208" i="1"/>
  <c r="L1208" i="1"/>
  <c r="M1208" i="1"/>
  <c r="C1209" i="1"/>
  <c r="E1209" i="1"/>
  <c r="F1209" i="1"/>
  <c r="H1209" i="1"/>
  <c r="I1209" i="1"/>
  <c r="J1209" i="1"/>
  <c r="L1209" i="1"/>
  <c r="M1209" i="1"/>
  <c r="C1210" i="1"/>
  <c r="E1210" i="1"/>
  <c r="F1210" i="1"/>
  <c r="H1210" i="1"/>
  <c r="I1210" i="1"/>
  <c r="J1210" i="1"/>
  <c r="L1210" i="1"/>
  <c r="M1210" i="1"/>
  <c r="C1211" i="1"/>
  <c r="E1211" i="1"/>
  <c r="F1211" i="1"/>
  <c r="H1211" i="1"/>
  <c r="I1211" i="1"/>
  <c r="J1211" i="1"/>
  <c r="L1211" i="1"/>
  <c r="M1211" i="1"/>
  <c r="C1212" i="1"/>
  <c r="E1212" i="1"/>
  <c r="F1212" i="1"/>
  <c r="H1212" i="1"/>
  <c r="I1212" i="1"/>
  <c r="J1212" i="1"/>
  <c r="L1212" i="1"/>
  <c r="M1212" i="1"/>
  <c r="C1213" i="1"/>
  <c r="E1213" i="1"/>
  <c r="F1213" i="1"/>
  <c r="H1213" i="1"/>
  <c r="I1213" i="1"/>
  <c r="J1213" i="1"/>
  <c r="L1213" i="1"/>
  <c r="M1213" i="1"/>
  <c r="C1214" i="1"/>
  <c r="E1214" i="1"/>
  <c r="F1214" i="1"/>
  <c r="H1214" i="1"/>
  <c r="I1214" i="1"/>
  <c r="J1214" i="1"/>
  <c r="L1214" i="1"/>
  <c r="M1214" i="1"/>
  <c r="C1215" i="1"/>
  <c r="E1215" i="1"/>
  <c r="F1215" i="1"/>
  <c r="H1215" i="1"/>
  <c r="I1215" i="1"/>
  <c r="J1215" i="1"/>
  <c r="L1215" i="1"/>
  <c r="M1215" i="1"/>
  <c r="C1216" i="1"/>
  <c r="E1216" i="1"/>
  <c r="F1216" i="1"/>
  <c r="H1216" i="1"/>
  <c r="I1216" i="1"/>
  <c r="J1216" i="1"/>
  <c r="L1216" i="1"/>
  <c r="M1216" i="1"/>
  <c r="C1217" i="1"/>
  <c r="E1217" i="1"/>
  <c r="F1217" i="1"/>
  <c r="H1217" i="1"/>
  <c r="I1217" i="1"/>
  <c r="J1217" i="1"/>
  <c r="L1217" i="1"/>
  <c r="M1217" i="1"/>
  <c r="C1218" i="1"/>
  <c r="E1218" i="1"/>
  <c r="F1218" i="1"/>
  <c r="H1218" i="1"/>
  <c r="I1218" i="1"/>
  <c r="J1218" i="1"/>
  <c r="L1218" i="1"/>
  <c r="M1218" i="1"/>
  <c r="C1219" i="1"/>
  <c r="E1219" i="1"/>
  <c r="F1219" i="1"/>
  <c r="H1219" i="1"/>
  <c r="I1219" i="1"/>
  <c r="J1219" i="1"/>
  <c r="L1219" i="1"/>
  <c r="M1219" i="1"/>
  <c r="C1220" i="1"/>
  <c r="E1220" i="1"/>
  <c r="F1220" i="1"/>
  <c r="H1220" i="1"/>
  <c r="I1220" i="1"/>
  <c r="J1220" i="1"/>
  <c r="L1220" i="1"/>
  <c r="M1220" i="1"/>
  <c r="C1221" i="1"/>
  <c r="E1221" i="1"/>
  <c r="F1221" i="1"/>
  <c r="H1221" i="1"/>
  <c r="I1221" i="1"/>
  <c r="J1221" i="1"/>
  <c r="L1221" i="1"/>
  <c r="M1221" i="1"/>
  <c r="C1222" i="1"/>
  <c r="E1222" i="1"/>
  <c r="F1222" i="1"/>
  <c r="H1222" i="1"/>
  <c r="I1222" i="1"/>
  <c r="J1222" i="1"/>
  <c r="L1222" i="1"/>
  <c r="M1222" i="1"/>
  <c r="C1223" i="1"/>
  <c r="E1223" i="1"/>
  <c r="F1223" i="1"/>
  <c r="H1223" i="1"/>
  <c r="I1223" i="1"/>
  <c r="J1223" i="1"/>
  <c r="L1223" i="1"/>
  <c r="M1223" i="1"/>
  <c r="C1224" i="1"/>
  <c r="E1224" i="1"/>
  <c r="F1224" i="1"/>
  <c r="H1224" i="1"/>
  <c r="I1224" i="1"/>
  <c r="J1224" i="1"/>
  <c r="L1224" i="1"/>
  <c r="M1224" i="1"/>
  <c r="C1225" i="1"/>
  <c r="E1225" i="1"/>
  <c r="F1225" i="1"/>
  <c r="H1225" i="1"/>
  <c r="I1225" i="1"/>
  <c r="J1225" i="1"/>
  <c r="L1225" i="1"/>
  <c r="M1225" i="1"/>
  <c r="C1226" i="1"/>
  <c r="E1226" i="1"/>
  <c r="F1226" i="1"/>
  <c r="H1226" i="1"/>
  <c r="I1226" i="1"/>
  <c r="J1226" i="1"/>
  <c r="L1226" i="1"/>
  <c r="M1226" i="1"/>
  <c r="C1227" i="1"/>
  <c r="E1227" i="1"/>
  <c r="F1227" i="1"/>
  <c r="H1227" i="1"/>
  <c r="I1227" i="1"/>
  <c r="J1227" i="1"/>
  <c r="L1227" i="1"/>
  <c r="M1227" i="1"/>
  <c r="C1228" i="1"/>
  <c r="E1228" i="1"/>
  <c r="F1228" i="1"/>
  <c r="H1228" i="1"/>
  <c r="I1228" i="1"/>
  <c r="J1228" i="1"/>
  <c r="L1228" i="1"/>
  <c r="M1228" i="1"/>
  <c r="C1229" i="1"/>
  <c r="E1229" i="1"/>
  <c r="F1229" i="1"/>
  <c r="H1229" i="1"/>
  <c r="I1229" i="1"/>
  <c r="J1229" i="1"/>
  <c r="L1229" i="1"/>
  <c r="M1229" i="1"/>
  <c r="C1230" i="1"/>
  <c r="E1230" i="1"/>
  <c r="F1230" i="1"/>
  <c r="H1230" i="1"/>
  <c r="I1230" i="1"/>
  <c r="J1230" i="1"/>
  <c r="L1230" i="1"/>
  <c r="M1230" i="1"/>
  <c r="C1231" i="1"/>
  <c r="E1231" i="1"/>
  <c r="F1231" i="1"/>
  <c r="H1231" i="1"/>
  <c r="I1231" i="1"/>
  <c r="J1231" i="1"/>
  <c r="L1231" i="1"/>
  <c r="M1231" i="1"/>
  <c r="C1232" i="1"/>
  <c r="E1232" i="1"/>
  <c r="F1232" i="1"/>
  <c r="H1232" i="1"/>
  <c r="I1232" i="1"/>
  <c r="J1232" i="1"/>
  <c r="L1232" i="1"/>
  <c r="M1232" i="1"/>
  <c r="C1233" i="1"/>
  <c r="E1233" i="1"/>
  <c r="F1233" i="1"/>
  <c r="H1233" i="1"/>
  <c r="I1233" i="1"/>
  <c r="J1233" i="1"/>
  <c r="L1233" i="1"/>
  <c r="M1233" i="1"/>
  <c r="C1234" i="1"/>
  <c r="E1234" i="1"/>
  <c r="F1234" i="1"/>
  <c r="H1234" i="1"/>
  <c r="I1234" i="1"/>
  <c r="J1234" i="1"/>
  <c r="L1234" i="1"/>
  <c r="M1234" i="1"/>
  <c r="C1235" i="1"/>
  <c r="E1235" i="1"/>
  <c r="F1235" i="1"/>
  <c r="H1235" i="1"/>
  <c r="I1235" i="1"/>
  <c r="J1235" i="1"/>
  <c r="L1235" i="1"/>
  <c r="M1235" i="1"/>
  <c r="C1236" i="1"/>
  <c r="E1236" i="1"/>
  <c r="F1236" i="1"/>
  <c r="H1236" i="1"/>
  <c r="I1236" i="1"/>
  <c r="J1236" i="1"/>
  <c r="L1236" i="1"/>
  <c r="M1236" i="1"/>
  <c r="C1237" i="1"/>
  <c r="E1237" i="1"/>
  <c r="F1237" i="1"/>
  <c r="H1237" i="1"/>
  <c r="I1237" i="1"/>
  <c r="J1237" i="1"/>
  <c r="L1237" i="1"/>
  <c r="M1237" i="1"/>
  <c r="C1238" i="1"/>
  <c r="E1238" i="1"/>
  <c r="F1238" i="1"/>
  <c r="H1238" i="1"/>
  <c r="I1238" i="1"/>
  <c r="J1238" i="1"/>
  <c r="L1238" i="1"/>
  <c r="M1238" i="1"/>
  <c r="C1239" i="1"/>
  <c r="E1239" i="1"/>
  <c r="F1239" i="1"/>
  <c r="H1239" i="1"/>
  <c r="I1239" i="1"/>
  <c r="J1239" i="1"/>
  <c r="L1239" i="1"/>
  <c r="M1239" i="1"/>
  <c r="C1240" i="1"/>
  <c r="E1240" i="1"/>
  <c r="F1240" i="1"/>
  <c r="H1240" i="1"/>
  <c r="I1240" i="1"/>
  <c r="J1240" i="1"/>
  <c r="L1240" i="1"/>
  <c r="M1240" i="1"/>
  <c r="C1241" i="1"/>
  <c r="E1241" i="1"/>
  <c r="F1241" i="1"/>
  <c r="H1241" i="1"/>
  <c r="I1241" i="1"/>
  <c r="J1241" i="1"/>
  <c r="L1241" i="1"/>
  <c r="M1241" i="1"/>
  <c r="C1242" i="1"/>
  <c r="E1242" i="1"/>
  <c r="F1242" i="1"/>
  <c r="H1242" i="1"/>
  <c r="I1242" i="1"/>
  <c r="J1242" i="1"/>
  <c r="L1242" i="1"/>
  <c r="M1242" i="1"/>
  <c r="C1243" i="1"/>
  <c r="E1243" i="1"/>
  <c r="F1243" i="1"/>
  <c r="H1243" i="1"/>
  <c r="I1243" i="1"/>
  <c r="J1243" i="1"/>
  <c r="L1243" i="1"/>
  <c r="M1243" i="1"/>
  <c r="C1244" i="1"/>
  <c r="E1244" i="1"/>
  <c r="F1244" i="1"/>
  <c r="H1244" i="1"/>
  <c r="I1244" i="1"/>
  <c r="J1244" i="1"/>
  <c r="L1244" i="1"/>
  <c r="M1244" i="1"/>
  <c r="C1245" i="1"/>
  <c r="E1245" i="1"/>
  <c r="F1245" i="1"/>
  <c r="H1245" i="1"/>
  <c r="I1245" i="1"/>
  <c r="J1245" i="1"/>
  <c r="L1245" i="1"/>
  <c r="M1245" i="1"/>
  <c r="C1246" i="1"/>
  <c r="E1246" i="1"/>
  <c r="F1246" i="1"/>
  <c r="H1246" i="1"/>
  <c r="I1246" i="1"/>
  <c r="J1246" i="1"/>
  <c r="L1246" i="1"/>
  <c r="M1246" i="1"/>
  <c r="C1247" i="1"/>
  <c r="E1247" i="1"/>
  <c r="F1247" i="1"/>
  <c r="H1247" i="1"/>
  <c r="I1247" i="1"/>
  <c r="J1247" i="1"/>
  <c r="L1247" i="1"/>
  <c r="M1247" i="1"/>
  <c r="C1248" i="1"/>
  <c r="E1248" i="1"/>
  <c r="F1248" i="1"/>
  <c r="H1248" i="1"/>
  <c r="I1248" i="1"/>
  <c r="J1248" i="1"/>
  <c r="L1248" i="1"/>
  <c r="M1248" i="1"/>
  <c r="C1249" i="1"/>
  <c r="E1249" i="1"/>
  <c r="F1249" i="1"/>
  <c r="H1249" i="1"/>
  <c r="I1249" i="1"/>
  <c r="J1249" i="1"/>
  <c r="L1249" i="1"/>
  <c r="M1249" i="1"/>
  <c r="C1250" i="1"/>
  <c r="E1250" i="1"/>
  <c r="F1250" i="1"/>
  <c r="H1250" i="1"/>
  <c r="I1250" i="1"/>
  <c r="J1250" i="1"/>
  <c r="L1250" i="1"/>
  <c r="M1250" i="1"/>
  <c r="C1251" i="1"/>
  <c r="E1251" i="1"/>
  <c r="F1251" i="1"/>
  <c r="H1251" i="1"/>
  <c r="I1251" i="1"/>
  <c r="J1251" i="1"/>
  <c r="L1251" i="1"/>
  <c r="M1251" i="1"/>
  <c r="C1252" i="1"/>
  <c r="E1252" i="1"/>
  <c r="F1252" i="1"/>
  <c r="H1252" i="1"/>
  <c r="I1252" i="1"/>
  <c r="J1252" i="1"/>
  <c r="L1252" i="1"/>
  <c r="M1252" i="1"/>
  <c r="C1253" i="1"/>
  <c r="E1253" i="1"/>
  <c r="F1253" i="1"/>
  <c r="H1253" i="1"/>
  <c r="I1253" i="1"/>
  <c r="J1253" i="1"/>
  <c r="L1253" i="1"/>
  <c r="M1253" i="1"/>
  <c r="C1254" i="1"/>
  <c r="E1254" i="1"/>
  <c r="F1254" i="1"/>
  <c r="H1254" i="1"/>
  <c r="I1254" i="1"/>
  <c r="J1254" i="1"/>
  <c r="L1254" i="1"/>
  <c r="M1254" i="1"/>
  <c r="C1255" i="1"/>
  <c r="E1255" i="1"/>
  <c r="F1255" i="1"/>
  <c r="H1255" i="1"/>
  <c r="I1255" i="1"/>
  <c r="J1255" i="1"/>
  <c r="L1255" i="1"/>
  <c r="M1255" i="1"/>
  <c r="C1256" i="1"/>
  <c r="E1256" i="1"/>
  <c r="F1256" i="1"/>
  <c r="H1256" i="1"/>
  <c r="I1256" i="1"/>
  <c r="J1256" i="1"/>
  <c r="L1256" i="1"/>
  <c r="M1256" i="1"/>
  <c r="C1257" i="1"/>
  <c r="E1257" i="1"/>
  <c r="F1257" i="1"/>
  <c r="H1257" i="1"/>
  <c r="I1257" i="1"/>
  <c r="J1257" i="1"/>
  <c r="L1257" i="1"/>
  <c r="M1257" i="1"/>
  <c r="C1258" i="1"/>
  <c r="E1258" i="1"/>
  <c r="F1258" i="1"/>
  <c r="H1258" i="1"/>
  <c r="I1258" i="1"/>
  <c r="J1258" i="1"/>
  <c r="L1258" i="1"/>
  <c r="M1258" i="1"/>
  <c r="C1259" i="1"/>
  <c r="E1259" i="1"/>
  <c r="F1259" i="1"/>
  <c r="H1259" i="1"/>
  <c r="I1259" i="1"/>
  <c r="J1259" i="1"/>
  <c r="L1259" i="1"/>
  <c r="M1259" i="1"/>
  <c r="C1260" i="1"/>
  <c r="E1260" i="1"/>
  <c r="F1260" i="1"/>
  <c r="H1260" i="1"/>
  <c r="I1260" i="1"/>
  <c r="J1260" i="1"/>
  <c r="L1260" i="1"/>
  <c r="M1260" i="1"/>
  <c r="C1261" i="1"/>
  <c r="E1261" i="1"/>
  <c r="F1261" i="1"/>
  <c r="H1261" i="1"/>
  <c r="I1261" i="1"/>
  <c r="J1261" i="1"/>
  <c r="L1261" i="1"/>
  <c r="M1261" i="1"/>
  <c r="C1262" i="1"/>
  <c r="E1262" i="1"/>
  <c r="F1262" i="1"/>
  <c r="H1262" i="1"/>
  <c r="I1262" i="1"/>
  <c r="J1262" i="1"/>
  <c r="L1262" i="1"/>
  <c r="M1262" i="1"/>
  <c r="C1263" i="1"/>
  <c r="E1263" i="1"/>
  <c r="F1263" i="1"/>
  <c r="H1263" i="1"/>
  <c r="I1263" i="1"/>
  <c r="J1263" i="1"/>
  <c r="L1263" i="1"/>
  <c r="M1263" i="1"/>
  <c r="C1264" i="1"/>
  <c r="E1264" i="1"/>
  <c r="F1264" i="1"/>
  <c r="H1264" i="1"/>
  <c r="I1264" i="1"/>
  <c r="J1264" i="1"/>
  <c r="L1264" i="1"/>
  <c r="M1264" i="1"/>
  <c r="C1265" i="1"/>
  <c r="E1265" i="1"/>
  <c r="F1265" i="1"/>
  <c r="H1265" i="1"/>
  <c r="I1265" i="1"/>
  <c r="J1265" i="1"/>
  <c r="L1265" i="1"/>
  <c r="M1265" i="1"/>
  <c r="C1266" i="1"/>
  <c r="E1266" i="1"/>
  <c r="F1266" i="1"/>
  <c r="H1266" i="1"/>
  <c r="I1266" i="1"/>
  <c r="J1266" i="1"/>
  <c r="L1266" i="1"/>
  <c r="M1266" i="1"/>
  <c r="C1267" i="1"/>
  <c r="E1267" i="1"/>
  <c r="F1267" i="1"/>
  <c r="H1267" i="1"/>
  <c r="I1267" i="1"/>
  <c r="J1267" i="1"/>
  <c r="L1267" i="1"/>
  <c r="M1267" i="1"/>
  <c r="C1268" i="1"/>
  <c r="E1268" i="1"/>
  <c r="F1268" i="1"/>
  <c r="H1268" i="1"/>
  <c r="I1268" i="1"/>
  <c r="J1268" i="1"/>
  <c r="L1268" i="1"/>
  <c r="M1268" i="1"/>
  <c r="C1269" i="1"/>
  <c r="E1269" i="1"/>
  <c r="F1269" i="1"/>
  <c r="H1269" i="1"/>
  <c r="I1269" i="1"/>
  <c r="J1269" i="1"/>
  <c r="L1269" i="1"/>
  <c r="M1269" i="1"/>
  <c r="C1270" i="1"/>
  <c r="E1270" i="1"/>
  <c r="F1270" i="1"/>
  <c r="H1270" i="1"/>
  <c r="I1270" i="1"/>
  <c r="J1270" i="1"/>
  <c r="L1270" i="1"/>
  <c r="M1270" i="1"/>
  <c r="C1271" i="1"/>
  <c r="E1271" i="1"/>
  <c r="F1271" i="1"/>
  <c r="H1271" i="1"/>
  <c r="I1271" i="1"/>
  <c r="J1271" i="1"/>
  <c r="L1271" i="1"/>
  <c r="M1271" i="1"/>
  <c r="C1272" i="1"/>
  <c r="E1272" i="1"/>
  <c r="F1272" i="1"/>
  <c r="H1272" i="1"/>
  <c r="I1272" i="1"/>
  <c r="J1272" i="1"/>
  <c r="L1272" i="1"/>
  <c r="M1272" i="1"/>
  <c r="C1273" i="1"/>
  <c r="E1273" i="1"/>
  <c r="F1273" i="1"/>
  <c r="H1273" i="1"/>
  <c r="I1273" i="1"/>
  <c r="J1273" i="1"/>
  <c r="L1273" i="1"/>
  <c r="M1273" i="1"/>
  <c r="C1274" i="1"/>
  <c r="E1274" i="1"/>
  <c r="F1274" i="1"/>
  <c r="H1274" i="1"/>
  <c r="I1274" i="1"/>
  <c r="J1274" i="1"/>
  <c r="L1274" i="1"/>
  <c r="M1274" i="1"/>
  <c r="C1275" i="1"/>
  <c r="E1275" i="1"/>
  <c r="F1275" i="1"/>
  <c r="H1275" i="1"/>
  <c r="I1275" i="1"/>
  <c r="J1275" i="1"/>
  <c r="L1275" i="1"/>
  <c r="M1275" i="1"/>
  <c r="C1276" i="1"/>
  <c r="E1276" i="1"/>
  <c r="F1276" i="1"/>
  <c r="H1276" i="1"/>
  <c r="I1276" i="1"/>
  <c r="J1276" i="1"/>
  <c r="L1276" i="1"/>
  <c r="M1276" i="1"/>
  <c r="C1277" i="1"/>
  <c r="E1277" i="1"/>
  <c r="F1277" i="1"/>
  <c r="H1277" i="1"/>
  <c r="I1277" i="1"/>
  <c r="J1277" i="1"/>
  <c r="L1277" i="1"/>
  <c r="M1277" i="1"/>
  <c r="C1278" i="1"/>
  <c r="E1278" i="1"/>
  <c r="F1278" i="1"/>
  <c r="H1278" i="1"/>
  <c r="I1278" i="1"/>
  <c r="J1278" i="1"/>
  <c r="L1278" i="1"/>
  <c r="M1278" i="1"/>
  <c r="C1279" i="1"/>
  <c r="E1279" i="1"/>
  <c r="F1279" i="1"/>
  <c r="H1279" i="1"/>
  <c r="I1279" i="1"/>
  <c r="J1279" i="1"/>
  <c r="L1279" i="1"/>
  <c r="M1279" i="1"/>
  <c r="C1280" i="1"/>
  <c r="E1280" i="1"/>
  <c r="F1280" i="1"/>
  <c r="H1280" i="1"/>
  <c r="I1280" i="1"/>
  <c r="J1280" i="1"/>
  <c r="L1280" i="1"/>
  <c r="M1280" i="1"/>
  <c r="C1281" i="1"/>
  <c r="E1281" i="1"/>
  <c r="F1281" i="1"/>
  <c r="H1281" i="1"/>
  <c r="I1281" i="1"/>
  <c r="J1281" i="1"/>
  <c r="L1281" i="1"/>
  <c r="M1281" i="1"/>
  <c r="C1282" i="1"/>
  <c r="E1282" i="1"/>
  <c r="F1282" i="1"/>
  <c r="H1282" i="1"/>
  <c r="I1282" i="1"/>
  <c r="J1282" i="1"/>
  <c r="L1282" i="1"/>
  <c r="M1282" i="1"/>
  <c r="C1283" i="1"/>
  <c r="E1283" i="1"/>
  <c r="F1283" i="1"/>
  <c r="H1283" i="1"/>
  <c r="I1283" i="1"/>
  <c r="J1283" i="1"/>
  <c r="L1283" i="1"/>
  <c r="M1283" i="1"/>
  <c r="C1284" i="1"/>
  <c r="E1284" i="1"/>
  <c r="F1284" i="1"/>
  <c r="H1284" i="1"/>
  <c r="I1284" i="1"/>
  <c r="J1284" i="1"/>
  <c r="L1284" i="1"/>
  <c r="M1284" i="1"/>
  <c r="C1285" i="1"/>
  <c r="E1285" i="1"/>
  <c r="F1285" i="1"/>
  <c r="H1285" i="1"/>
  <c r="I1285" i="1"/>
  <c r="J1285" i="1"/>
  <c r="L1285" i="1"/>
  <c r="M1285" i="1"/>
  <c r="C1286" i="1"/>
  <c r="E1286" i="1"/>
  <c r="F1286" i="1"/>
  <c r="H1286" i="1"/>
  <c r="I1286" i="1"/>
  <c r="J1286" i="1"/>
  <c r="L1286" i="1"/>
  <c r="M1286" i="1"/>
  <c r="C1287" i="1"/>
  <c r="E1287" i="1"/>
  <c r="F1287" i="1"/>
  <c r="H1287" i="1"/>
  <c r="I1287" i="1"/>
  <c r="J1287" i="1"/>
  <c r="L1287" i="1"/>
  <c r="M1287" i="1"/>
  <c r="C1288" i="1"/>
  <c r="E1288" i="1"/>
  <c r="F1288" i="1"/>
  <c r="H1288" i="1"/>
  <c r="I1288" i="1"/>
  <c r="J1288" i="1"/>
  <c r="L1288" i="1"/>
  <c r="M1288" i="1"/>
  <c r="C1289" i="1"/>
  <c r="E1289" i="1"/>
  <c r="F1289" i="1"/>
  <c r="H1289" i="1"/>
  <c r="I1289" i="1"/>
  <c r="J1289" i="1"/>
  <c r="L1289" i="1"/>
  <c r="M1289" i="1"/>
  <c r="C1290" i="1"/>
  <c r="E1290" i="1"/>
  <c r="F1290" i="1"/>
  <c r="H1290" i="1"/>
  <c r="I1290" i="1"/>
  <c r="J1290" i="1"/>
  <c r="L1290" i="1"/>
  <c r="M1290" i="1"/>
  <c r="C1291" i="1"/>
  <c r="E1291" i="1"/>
  <c r="F1291" i="1"/>
  <c r="H1291" i="1"/>
  <c r="I1291" i="1"/>
  <c r="J1291" i="1"/>
  <c r="L1291" i="1"/>
  <c r="M1291" i="1"/>
  <c r="C1292" i="1"/>
  <c r="E1292" i="1"/>
  <c r="F1292" i="1"/>
  <c r="H1292" i="1"/>
  <c r="I1292" i="1"/>
  <c r="J1292" i="1"/>
  <c r="L1292" i="1"/>
  <c r="M1292" i="1"/>
  <c r="C1293" i="1"/>
  <c r="E1293" i="1"/>
  <c r="F1293" i="1"/>
  <c r="H1293" i="1"/>
  <c r="I1293" i="1"/>
  <c r="J1293" i="1"/>
  <c r="L1293" i="1"/>
  <c r="M1293" i="1"/>
  <c r="C1294" i="1"/>
  <c r="E1294" i="1"/>
  <c r="F1294" i="1"/>
  <c r="H1294" i="1"/>
  <c r="I1294" i="1"/>
  <c r="J1294" i="1"/>
  <c r="L1294" i="1"/>
  <c r="M1294" i="1"/>
  <c r="C1295" i="1"/>
  <c r="E1295" i="1"/>
  <c r="F1295" i="1"/>
  <c r="H1295" i="1"/>
  <c r="I1295" i="1"/>
  <c r="J1295" i="1"/>
  <c r="L1295" i="1"/>
  <c r="M1295" i="1"/>
  <c r="C1296" i="1"/>
  <c r="E1296" i="1"/>
  <c r="F1296" i="1"/>
  <c r="H1296" i="1"/>
  <c r="I1296" i="1"/>
  <c r="J1296" i="1"/>
  <c r="L1296" i="1"/>
  <c r="M1296" i="1"/>
  <c r="C1297" i="1"/>
  <c r="E1297" i="1"/>
  <c r="F1297" i="1"/>
  <c r="H1297" i="1"/>
  <c r="I1297" i="1"/>
  <c r="J1297" i="1"/>
  <c r="L1297" i="1"/>
  <c r="M1297" i="1"/>
  <c r="C1298" i="1"/>
  <c r="E1298" i="1"/>
  <c r="F1298" i="1"/>
  <c r="H1298" i="1"/>
  <c r="I1298" i="1"/>
  <c r="J1298" i="1"/>
  <c r="L1298" i="1"/>
  <c r="M1298" i="1"/>
  <c r="C1299" i="1"/>
  <c r="E1299" i="1"/>
  <c r="F1299" i="1"/>
  <c r="H1299" i="1"/>
  <c r="I1299" i="1"/>
  <c r="J1299" i="1"/>
  <c r="L1299" i="1"/>
  <c r="M1299" i="1"/>
  <c r="C1300" i="1"/>
  <c r="E1300" i="1"/>
  <c r="F1300" i="1"/>
  <c r="H1300" i="1"/>
  <c r="I1300" i="1"/>
  <c r="J1300" i="1"/>
  <c r="L1300" i="1"/>
  <c r="M1300" i="1"/>
  <c r="C1301" i="1"/>
  <c r="E1301" i="1"/>
  <c r="F1301" i="1"/>
  <c r="H1301" i="1"/>
  <c r="I1301" i="1"/>
  <c r="J1301" i="1"/>
  <c r="L1301" i="1"/>
  <c r="M1301" i="1"/>
  <c r="C1302" i="1"/>
  <c r="E1302" i="1"/>
  <c r="F1302" i="1"/>
  <c r="H1302" i="1"/>
  <c r="I1302" i="1"/>
  <c r="J1302" i="1"/>
  <c r="L1302" i="1"/>
  <c r="M1302" i="1"/>
  <c r="C1303" i="1"/>
  <c r="E1303" i="1"/>
  <c r="F1303" i="1"/>
  <c r="H1303" i="1"/>
  <c r="I1303" i="1"/>
  <c r="J1303" i="1"/>
  <c r="L1303" i="1"/>
  <c r="M1303" i="1"/>
  <c r="C1304" i="1"/>
  <c r="E1304" i="1"/>
  <c r="F1304" i="1"/>
  <c r="H1304" i="1"/>
  <c r="I1304" i="1"/>
  <c r="J1304" i="1"/>
  <c r="L1304" i="1"/>
  <c r="M1304" i="1"/>
  <c r="C1305" i="1"/>
  <c r="E1305" i="1"/>
  <c r="F1305" i="1"/>
  <c r="H1305" i="1"/>
  <c r="I1305" i="1"/>
  <c r="J1305" i="1"/>
  <c r="L1305" i="1"/>
  <c r="M1305" i="1"/>
  <c r="C1306" i="1"/>
  <c r="E1306" i="1"/>
  <c r="F1306" i="1"/>
  <c r="H1306" i="1"/>
  <c r="I1306" i="1"/>
  <c r="J1306" i="1"/>
  <c r="L1306" i="1"/>
  <c r="M1306" i="1"/>
  <c r="C1307" i="1"/>
  <c r="E1307" i="1"/>
  <c r="F1307" i="1"/>
  <c r="H1307" i="1"/>
  <c r="I1307" i="1"/>
  <c r="J1307" i="1"/>
  <c r="L1307" i="1"/>
  <c r="M1307" i="1"/>
  <c r="C1308" i="1"/>
  <c r="E1308" i="1"/>
  <c r="F1308" i="1"/>
  <c r="H1308" i="1"/>
  <c r="I1308" i="1"/>
  <c r="J1308" i="1"/>
  <c r="L1308" i="1"/>
  <c r="M1308" i="1"/>
  <c r="C1309" i="1"/>
  <c r="E1309" i="1"/>
  <c r="F1309" i="1"/>
  <c r="H1309" i="1"/>
  <c r="I1309" i="1"/>
  <c r="J1309" i="1"/>
  <c r="L1309" i="1"/>
  <c r="M1309" i="1"/>
  <c r="C1310" i="1"/>
  <c r="E1310" i="1"/>
  <c r="F1310" i="1"/>
  <c r="H1310" i="1"/>
  <c r="I1310" i="1"/>
  <c r="J1310" i="1"/>
  <c r="L1310" i="1"/>
  <c r="M1310" i="1"/>
  <c r="C1311" i="1"/>
  <c r="E1311" i="1"/>
  <c r="F1311" i="1"/>
  <c r="H1311" i="1"/>
  <c r="I1311" i="1"/>
  <c r="J1311" i="1"/>
  <c r="L1311" i="1"/>
  <c r="M1311" i="1"/>
  <c r="C1312" i="1"/>
  <c r="E1312" i="1"/>
  <c r="F1312" i="1"/>
  <c r="H1312" i="1"/>
  <c r="I1312" i="1"/>
  <c r="J1312" i="1"/>
  <c r="L1312" i="1"/>
  <c r="M1312" i="1"/>
  <c r="C1313" i="1"/>
  <c r="E1313" i="1"/>
  <c r="F1313" i="1"/>
  <c r="H1313" i="1"/>
  <c r="I1313" i="1"/>
  <c r="J1313" i="1"/>
  <c r="L1313" i="1"/>
  <c r="M1313" i="1"/>
  <c r="C1314" i="1"/>
  <c r="E1314" i="1"/>
  <c r="F1314" i="1"/>
  <c r="H1314" i="1"/>
  <c r="I1314" i="1"/>
  <c r="J1314" i="1"/>
  <c r="L1314" i="1"/>
  <c r="M1314" i="1"/>
  <c r="C1315" i="1"/>
  <c r="E1315" i="1"/>
  <c r="F1315" i="1"/>
  <c r="H1315" i="1"/>
  <c r="I1315" i="1"/>
  <c r="J1315" i="1"/>
  <c r="L1315" i="1"/>
  <c r="M1315" i="1"/>
  <c r="C1316" i="1"/>
  <c r="E1316" i="1"/>
  <c r="F1316" i="1"/>
  <c r="H1316" i="1"/>
  <c r="I1316" i="1"/>
  <c r="J1316" i="1"/>
  <c r="L1316" i="1"/>
  <c r="M1316" i="1"/>
  <c r="C1317" i="1"/>
  <c r="E1317" i="1"/>
  <c r="F1317" i="1"/>
  <c r="H1317" i="1"/>
  <c r="I1317" i="1"/>
  <c r="J1317" i="1"/>
  <c r="L1317" i="1"/>
  <c r="M1317" i="1"/>
  <c r="C1318" i="1"/>
  <c r="E1318" i="1"/>
  <c r="F1318" i="1"/>
  <c r="H1318" i="1"/>
  <c r="I1318" i="1"/>
  <c r="J1318" i="1"/>
  <c r="L1318" i="1"/>
  <c r="M1318" i="1"/>
  <c r="C1319" i="1"/>
  <c r="E1319" i="1"/>
  <c r="F1319" i="1"/>
  <c r="H1319" i="1"/>
  <c r="I1319" i="1"/>
  <c r="J1319" i="1"/>
  <c r="L1319" i="1"/>
  <c r="M1319" i="1"/>
  <c r="C1320" i="1"/>
  <c r="E1320" i="1"/>
  <c r="F1320" i="1"/>
  <c r="H1320" i="1"/>
  <c r="I1320" i="1"/>
  <c r="J1320" i="1"/>
  <c r="L1320" i="1"/>
  <c r="M1320" i="1"/>
  <c r="C1321" i="1"/>
  <c r="E1321" i="1"/>
  <c r="F1321" i="1"/>
  <c r="H1321" i="1"/>
  <c r="I1321" i="1"/>
  <c r="J1321" i="1"/>
  <c r="L1321" i="1"/>
  <c r="M1321" i="1"/>
  <c r="C1322" i="1"/>
  <c r="E1322" i="1"/>
  <c r="F1322" i="1"/>
  <c r="H1322" i="1"/>
  <c r="I1322" i="1"/>
  <c r="J1322" i="1"/>
  <c r="L1322" i="1"/>
  <c r="M1322" i="1"/>
  <c r="C1323" i="1"/>
  <c r="E1323" i="1"/>
  <c r="F1323" i="1"/>
  <c r="H1323" i="1"/>
  <c r="I1323" i="1"/>
  <c r="J1323" i="1"/>
  <c r="L1323" i="1"/>
  <c r="M1323" i="1"/>
  <c r="C1324" i="1"/>
  <c r="E1324" i="1"/>
  <c r="F1324" i="1"/>
  <c r="H1324" i="1"/>
  <c r="I1324" i="1"/>
  <c r="J1324" i="1"/>
  <c r="L1324" i="1"/>
  <c r="M1324" i="1"/>
  <c r="C1325" i="1"/>
  <c r="E1325" i="1"/>
  <c r="F1325" i="1"/>
  <c r="H1325" i="1"/>
  <c r="I1325" i="1"/>
  <c r="J1325" i="1"/>
  <c r="L1325" i="1"/>
  <c r="M1325" i="1"/>
  <c r="C1326" i="1"/>
  <c r="E1326" i="1"/>
  <c r="F1326" i="1"/>
  <c r="H1326" i="1"/>
  <c r="I1326" i="1"/>
  <c r="J1326" i="1"/>
  <c r="L1326" i="1"/>
  <c r="M1326" i="1"/>
  <c r="C1327" i="1"/>
  <c r="E1327" i="1"/>
  <c r="F1327" i="1"/>
  <c r="H1327" i="1"/>
  <c r="I1327" i="1"/>
  <c r="J1327" i="1"/>
  <c r="L1327" i="1"/>
  <c r="M1327" i="1"/>
  <c r="C1328" i="1"/>
  <c r="E1328" i="1"/>
  <c r="F1328" i="1"/>
  <c r="H1328" i="1"/>
  <c r="I1328" i="1"/>
  <c r="J1328" i="1"/>
  <c r="L1328" i="1"/>
  <c r="M1328" i="1"/>
  <c r="C1329" i="1"/>
  <c r="E1329" i="1"/>
  <c r="F1329" i="1"/>
  <c r="H1329" i="1"/>
  <c r="I1329" i="1"/>
  <c r="J1329" i="1"/>
  <c r="L1329" i="1"/>
  <c r="M1329" i="1"/>
  <c r="C1330" i="1"/>
  <c r="E1330" i="1"/>
  <c r="F1330" i="1"/>
  <c r="H1330" i="1"/>
  <c r="I1330" i="1"/>
  <c r="J1330" i="1"/>
  <c r="L1330" i="1"/>
  <c r="M1330" i="1"/>
  <c r="C1331" i="1"/>
  <c r="E1331" i="1"/>
  <c r="F1331" i="1"/>
  <c r="H1331" i="1"/>
  <c r="I1331" i="1"/>
  <c r="J1331" i="1"/>
  <c r="L1331" i="1"/>
  <c r="M1331" i="1"/>
  <c r="C1332" i="1"/>
  <c r="E1332" i="1"/>
  <c r="F1332" i="1"/>
  <c r="H1332" i="1"/>
  <c r="I1332" i="1"/>
  <c r="J1332" i="1"/>
  <c r="L1332" i="1"/>
  <c r="M1332" i="1"/>
  <c r="C1333" i="1"/>
  <c r="E1333" i="1"/>
  <c r="F1333" i="1"/>
  <c r="H1333" i="1"/>
  <c r="I1333" i="1"/>
  <c r="J1333" i="1"/>
  <c r="L1333" i="1"/>
  <c r="M1333" i="1"/>
  <c r="C1334" i="1"/>
  <c r="E1334" i="1"/>
  <c r="F1334" i="1"/>
  <c r="H1334" i="1"/>
  <c r="I1334" i="1"/>
  <c r="J1334" i="1"/>
  <c r="L1334" i="1"/>
  <c r="M1334" i="1"/>
  <c r="C1335" i="1"/>
  <c r="E1335" i="1"/>
  <c r="F1335" i="1"/>
  <c r="H1335" i="1"/>
  <c r="I1335" i="1"/>
  <c r="J1335" i="1"/>
  <c r="L1335" i="1"/>
  <c r="M1335" i="1"/>
  <c r="C1336" i="1"/>
  <c r="E1336" i="1"/>
  <c r="F1336" i="1"/>
  <c r="H1336" i="1"/>
  <c r="I1336" i="1"/>
  <c r="J1336" i="1"/>
  <c r="L1336" i="1"/>
  <c r="M1336" i="1"/>
  <c r="C1337" i="1"/>
  <c r="E1337" i="1"/>
  <c r="F1337" i="1"/>
  <c r="H1337" i="1"/>
  <c r="I1337" i="1"/>
  <c r="J1337" i="1"/>
  <c r="L1337" i="1"/>
  <c r="M1337" i="1"/>
  <c r="C1338" i="1"/>
  <c r="E1338" i="1"/>
  <c r="F1338" i="1"/>
  <c r="H1338" i="1"/>
  <c r="I1338" i="1"/>
  <c r="J1338" i="1"/>
  <c r="L1338" i="1"/>
  <c r="M1338" i="1"/>
  <c r="C1339" i="1"/>
  <c r="E1339" i="1"/>
  <c r="F1339" i="1"/>
  <c r="H1339" i="1"/>
  <c r="I1339" i="1"/>
  <c r="J1339" i="1"/>
  <c r="L1339" i="1"/>
  <c r="M1339" i="1"/>
  <c r="C1340" i="1"/>
  <c r="E1340" i="1"/>
  <c r="F1340" i="1"/>
  <c r="H1340" i="1"/>
  <c r="I1340" i="1"/>
  <c r="J1340" i="1"/>
  <c r="L1340" i="1"/>
  <c r="M1340" i="1"/>
  <c r="C1341" i="1"/>
  <c r="E1341" i="1"/>
  <c r="F1341" i="1"/>
  <c r="H1341" i="1"/>
  <c r="I1341" i="1"/>
  <c r="J1341" i="1"/>
  <c r="L1341" i="1"/>
  <c r="M1341" i="1"/>
  <c r="C1342" i="1"/>
  <c r="E1342" i="1"/>
  <c r="F1342" i="1"/>
  <c r="H1342" i="1"/>
  <c r="I1342" i="1"/>
  <c r="J1342" i="1"/>
  <c r="L1342" i="1"/>
  <c r="M1342" i="1"/>
  <c r="C1343" i="1"/>
  <c r="E1343" i="1"/>
  <c r="F1343" i="1"/>
  <c r="H1343" i="1"/>
  <c r="I1343" i="1"/>
  <c r="J1343" i="1"/>
  <c r="L1343" i="1"/>
  <c r="M1343" i="1"/>
  <c r="C1344" i="1"/>
  <c r="E1344" i="1"/>
  <c r="F1344" i="1"/>
  <c r="H1344" i="1"/>
  <c r="I1344" i="1"/>
  <c r="J1344" i="1"/>
  <c r="L1344" i="1"/>
  <c r="M1344" i="1"/>
  <c r="C1345" i="1"/>
  <c r="E1345" i="1"/>
  <c r="F1345" i="1"/>
  <c r="H1345" i="1"/>
  <c r="I1345" i="1"/>
  <c r="J1345" i="1"/>
  <c r="L1345" i="1"/>
  <c r="M1345" i="1"/>
  <c r="C1346" i="1"/>
  <c r="E1346" i="1"/>
  <c r="F1346" i="1"/>
  <c r="H1346" i="1"/>
  <c r="I1346" i="1"/>
  <c r="J1346" i="1"/>
  <c r="L1346" i="1"/>
  <c r="M1346" i="1"/>
  <c r="C1347" i="1"/>
  <c r="E1347" i="1"/>
  <c r="F1347" i="1"/>
  <c r="H1347" i="1"/>
  <c r="I1347" i="1"/>
  <c r="J1347" i="1"/>
  <c r="L1347" i="1"/>
  <c r="M1347" i="1"/>
  <c r="C1348" i="1"/>
  <c r="E1348" i="1"/>
  <c r="F1348" i="1"/>
  <c r="H1348" i="1"/>
  <c r="I1348" i="1"/>
  <c r="J1348" i="1"/>
  <c r="L1348" i="1"/>
  <c r="M1348" i="1"/>
  <c r="C1349" i="1"/>
  <c r="E1349" i="1"/>
  <c r="F1349" i="1"/>
  <c r="H1349" i="1"/>
  <c r="I1349" i="1"/>
  <c r="J1349" i="1"/>
  <c r="L1349" i="1"/>
  <c r="M1349" i="1"/>
  <c r="C1350" i="1"/>
  <c r="E1350" i="1"/>
  <c r="F1350" i="1"/>
  <c r="H1350" i="1"/>
  <c r="I1350" i="1"/>
  <c r="J1350" i="1"/>
  <c r="L1350" i="1"/>
  <c r="M1350" i="1"/>
  <c r="C1351" i="1"/>
  <c r="E1351" i="1"/>
  <c r="F1351" i="1"/>
  <c r="H1351" i="1"/>
  <c r="I1351" i="1"/>
  <c r="J1351" i="1"/>
  <c r="L1351" i="1"/>
  <c r="M1351" i="1"/>
  <c r="C1352" i="1"/>
  <c r="E1352" i="1"/>
  <c r="F1352" i="1"/>
  <c r="H1352" i="1"/>
  <c r="I1352" i="1"/>
  <c r="J1352" i="1"/>
  <c r="L1352" i="1"/>
  <c r="M1352" i="1"/>
  <c r="C1353" i="1"/>
  <c r="E1353" i="1"/>
  <c r="F1353" i="1"/>
  <c r="H1353" i="1"/>
  <c r="I1353" i="1"/>
  <c r="J1353" i="1"/>
  <c r="L1353" i="1"/>
  <c r="M1353" i="1"/>
  <c r="C1354" i="1"/>
  <c r="E1354" i="1"/>
  <c r="F1354" i="1"/>
  <c r="H1354" i="1"/>
  <c r="I1354" i="1"/>
  <c r="J1354" i="1"/>
  <c r="L1354" i="1"/>
  <c r="M1354" i="1"/>
  <c r="C1355" i="1"/>
  <c r="E1355" i="1"/>
  <c r="F1355" i="1"/>
  <c r="H1355" i="1"/>
  <c r="I1355" i="1"/>
  <c r="J1355" i="1"/>
  <c r="L1355" i="1"/>
  <c r="M1355" i="1"/>
  <c r="C1356" i="1"/>
  <c r="E1356" i="1"/>
  <c r="F1356" i="1"/>
  <c r="H1356" i="1"/>
  <c r="I1356" i="1"/>
  <c r="J1356" i="1"/>
  <c r="L1356" i="1"/>
  <c r="M1356" i="1"/>
  <c r="C1357" i="1"/>
  <c r="E1357" i="1"/>
  <c r="F1357" i="1"/>
  <c r="H1357" i="1"/>
  <c r="I1357" i="1"/>
  <c r="J1357" i="1"/>
  <c r="L1357" i="1"/>
  <c r="M1357" i="1"/>
  <c r="C1358" i="1"/>
  <c r="E1358" i="1"/>
  <c r="F1358" i="1"/>
  <c r="H1358" i="1"/>
  <c r="I1358" i="1"/>
  <c r="J1358" i="1"/>
  <c r="L1358" i="1"/>
  <c r="M1358" i="1"/>
  <c r="C1359" i="1"/>
  <c r="E1359" i="1"/>
  <c r="F1359" i="1"/>
  <c r="H1359" i="1"/>
  <c r="I1359" i="1"/>
  <c r="J1359" i="1"/>
  <c r="L1359" i="1"/>
  <c r="M1359" i="1"/>
  <c r="C1360" i="1"/>
  <c r="E1360" i="1"/>
  <c r="F1360" i="1"/>
  <c r="H1360" i="1"/>
  <c r="I1360" i="1"/>
  <c r="J1360" i="1"/>
  <c r="L1360" i="1"/>
  <c r="M1360" i="1"/>
  <c r="C1361" i="1"/>
  <c r="E1361" i="1"/>
  <c r="F1361" i="1"/>
  <c r="H1361" i="1"/>
  <c r="I1361" i="1"/>
  <c r="J1361" i="1"/>
  <c r="L1361" i="1"/>
  <c r="M1361" i="1"/>
  <c r="C1362" i="1"/>
  <c r="E1362" i="1"/>
  <c r="F1362" i="1"/>
  <c r="H1362" i="1"/>
  <c r="I1362" i="1"/>
  <c r="J1362" i="1"/>
  <c r="L1362" i="1"/>
  <c r="M1362" i="1"/>
  <c r="C1363" i="1"/>
  <c r="E1363" i="1"/>
  <c r="F1363" i="1"/>
  <c r="H1363" i="1"/>
  <c r="I1363" i="1"/>
  <c r="J1363" i="1"/>
  <c r="L1363" i="1"/>
  <c r="M1363" i="1"/>
  <c r="C1364" i="1"/>
  <c r="E1364" i="1"/>
  <c r="F1364" i="1"/>
  <c r="H1364" i="1"/>
  <c r="I1364" i="1"/>
  <c r="J1364" i="1"/>
  <c r="L1364" i="1"/>
  <c r="M1364" i="1"/>
  <c r="C1365" i="1"/>
  <c r="E1365" i="1"/>
  <c r="F1365" i="1"/>
  <c r="H1365" i="1"/>
  <c r="I1365" i="1"/>
  <c r="J1365" i="1"/>
  <c r="L1365" i="1"/>
  <c r="M1365" i="1"/>
  <c r="C1366" i="1"/>
  <c r="E1366" i="1"/>
  <c r="F1366" i="1"/>
  <c r="H1366" i="1"/>
  <c r="I1366" i="1"/>
  <c r="J1366" i="1"/>
  <c r="L1366" i="1"/>
  <c r="M1366" i="1"/>
  <c r="C1367" i="1"/>
  <c r="E1367" i="1"/>
  <c r="F1367" i="1"/>
  <c r="H1367" i="1"/>
  <c r="I1367" i="1"/>
  <c r="J1367" i="1"/>
  <c r="L1367" i="1"/>
  <c r="M1367" i="1"/>
  <c r="C1368" i="1"/>
  <c r="E1368" i="1"/>
  <c r="F1368" i="1"/>
  <c r="H1368" i="1"/>
  <c r="I1368" i="1"/>
  <c r="J1368" i="1"/>
  <c r="L1368" i="1"/>
  <c r="M1368" i="1"/>
  <c r="C1369" i="1"/>
  <c r="E1369" i="1"/>
  <c r="F1369" i="1"/>
  <c r="H1369" i="1"/>
  <c r="I1369" i="1"/>
  <c r="J1369" i="1"/>
  <c r="L1369" i="1"/>
  <c r="M1369" i="1"/>
  <c r="C1370" i="1"/>
  <c r="E1370" i="1"/>
  <c r="F1370" i="1"/>
  <c r="H1370" i="1"/>
  <c r="I1370" i="1"/>
  <c r="J1370" i="1"/>
  <c r="L1370" i="1"/>
  <c r="M1370" i="1"/>
  <c r="C1371" i="1"/>
  <c r="E1371" i="1"/>
  <c r="F1371" i="1"/>
  <c r="H1371" i="1"/>
  <c r="I1371" i="1"/>
  <c r="J1371" i="1"/>
  <c r="L1371" i="1"/>
  <c r="M1371" i="1"/>
  <c r="C1372" i="1"/>
  <c r="E1372" i="1"/>
  <c r="F1372" i="1"/>
  <c r="H1372" i="1"/>
  <c r="I1372" i="1"/>
  <c r="J1372" i="1"/>
  <c r="L1372" i="1"/>
  <c r="M1372" i="1"/>
  <c r="C1373" i="1"/>
  <c r="E1373" i="1"/>
  <c r="F1373" i="1"/>
  <c r="H1373" i="1"/>
  <c r="I1373" i="1"/>
  <c r="J1373" i="1"/>
  <c r="L1373" i="1"/>
  <c r="M1373" i="1"/>
  <c r="C1374" i="1"/>
  <c r="E1374" i="1"/>
  <c r="F1374" i="1"/>
  <c r="H1374" i="1"/>
  <c r="I1374" i="1"/>
  <c r="J1374" i="1"/>
  <c r="L1374" i="1"/>
  <c r="M1374" i="1"/>
  <c r="C1375" i="1"/>
  <c r="E1375" i="1"/>
  <c r="F1375" i="1"/>
  <c r="H1375" i="1"/>
  <c r="I1375" i="1"/>
  <c r="J1375" i="1"/>
  <c r="L1375" i="1"/>
  <c r="M1375" i="1"/>
  <c r="C1376" i="1"/>
  <c r="E1376" i="1"/>
  <c r="F1376" i="1"/>
  <c r="H1376" i="1"/>
  <c r="I1376" i="1"/>
  <c r="J1376" i="1"/>
  <c r="L1376" i="1"/>
  <c r="M1376" i="1"/>
  <c r="C1377" i="1"/>
  <c r="E1377" i="1"/>
  <c r="F1377" i="1"/>
  <c r="H1377" i="1"/>
  <c r="I1377" i="1"/>
  <c r="J1377" i="1"/>
  <c r="L1377" i="1"/>
  <c r="M1377" i="1"/>
  <c r="C1378" i="1"/>
  <c r="E1378" i="1"/>
  <c r="F1378" i="1"/>
  <c r="H1378" i="1"/>
  <c r="I1378" i="1"/>
  <c r="J1378" i="1"/>
  <c r="L1378" i="1"/>
  <c r="M1378" i="1"/>
  <c r="C1379" i="1"/>
  <c r="E1379" i="1"/>
  <c r="F1379" i="1"/>
  <c r="H1379" i="1"/>
  <c r="I1379" i="1"/>
  <c r="J1379" i="1"/>
  <c r="L1379" i="1"/>
  <c r="M1379" i="1"/>
  <c r="C1380" i="1"/>
  <c r="E1380" i="1"/>
  <c r="F1380" i="1"/>
  <c r="H1380" i="1"/>
  <c r="I1380" i="1"/>
  <c r="J1380" i="1"/>
  <c r="L1380" i="1"/>
  <c r="M1380" i="1"/>
  <c r="C1381" i="1"/>
  <c r="E1381" i="1"/>
  <c r="F1381" i="1"/>
  <c r="H1381" i="1"/>
  <c r="I1381" i="1"/>
  <c r="J1381" i="1"/>
  <c r="L1381" i="1"/>
  <c r="M1381" i="1"/>
  <c r="C1382" i="1"/>
  <c r="E1382" i="1"/>
  <c r="F1382" i="1"/>
  <c r="H1382" i="1"/>
  <c r="I1382" i="1"/>
  <c r="J1382" i="1"/>
  <c r="L1382" i="1"/>
  <c r="M1382" i="1"/>
  <c r="C1383" i="1"/>
  <c r="E1383" i="1"/>
  <c r="F1383" i="1"/>
  <c r="H1383" i="1"/>
  <c r="I1383" i="1"/>
  <c r="J1383" i="1"/>
  <c r="L1383" i="1"/>
  <c r="M1383" i="1"/>
  <c r="C1384" i="1"/>
  <c r="E1384" i="1"/>
  <c r="F1384" i="1"/>
  <c r="H1384" i="1"/>
  <c r="I1384" i="1"/>
  <c r="J1384" i="1"/>
  <c r="L1384" i="1"/>
  <c r="M1384" i="1"/>
  <c r="C1385" i="1"/>
  <c r="E1385" i="1"/>
  <c r="F1385" i="1"/>
  <c r="H1385" i="1"/>
  <c r="I1385" i="1"/>
  <c r="J1385" i="1"/>
  <c r="L1385" i="1"/>
  <c r="M1385" i="1"/>
  <c r="C1386" i="1"/>
  <c r="E1386" i="1"/>
  <c r="F1386" i="1"/>
  <c r="H1386" i="1"/>
  <c r="I1386" i="1"/>
  <c r="J1386" i="1"/>
  <c r="L1386" i="1"/>
  <c r="M1386" i="1"/>
  <c r="C1387" i="1"/>
  <c r="E1387" i="1"/>
  <c r="F1387" i="1"/>
  <c r="H1387" i="1"/>
  <c r="I1387" i="1"/>
  <c r="J1387" i="1"/>
  <c r="L1387" i="1"/>
  <c r="M1387" i="1"/>
  <c r="C1388" i="1"/>
  <c r="E1388" i="1"/>
  <c r="F1388" i="1"/>
  <c r="H1388" i="1"/>
  <c r="I1388" i="1"/>
  <c r="J1388" i="1"/>
  <c r="L1388" i="1"/>
  <c r="M1388" i="1"/>
  <c r="C1389" i="1"/>
  <c r="E1389" i="1"/>
  <c r="F1389" i="1"/>
  <c r="H1389" i="1"/>
  <c r="I1389" i="1"/>
  <c r="J1389" i="1"/>
  <c r="L1389" i="1"/>
  <c r="M1389" i="1"/>
  <c r="C1390" i="1"/>
  <c r="E1390" i="1"/>
  <c r="F1390" i="1"/>
  <c r="H1390" i="1"/>
  <c r="I1390" i="1"/>
  <c r="J1390" i="1"/>
  <c r="L1390" i="1"/>
  <c r="M1390" i="1"/>
  <c r="C1391" i="1"/>
  <c r="E1391" i="1"/>
  <c r="F1391" i="1"/>
  <c r="H1391" i="1"/>
  <c r="I1391" i="1"/>
  <c r="J1391" i="1"/>
  <c r="L1391" i="1"/>
  <c r="M1391" i="1"/>
  <c r="C1392" i="1"/>
  <c r="E1392" i="1"/>
  <c r="F1392" i="1"/>
  <c r="H1392" i="1"/>
  <c r="I1392" i="1"/>
  <c r="J1392" i="1"/>
  <c r="L1392" i="1"/>
  <c r="M1392" i="1"/>
  <c r="C1393" i="1"/>
  <c r="E1393" i="1"/>
  <c r="F1393" i="1"/>
  <c r="H1393" i="1"/>
  <c r="I1393" i="1"/>
  <c r="J1393" i="1"/>
  <c r="L1393" i="1"/>
  <c r="M1393" i="1"/>
  <c r="C1394" i="1"/>
  <c r="E1394" i="1"/>
  <c r="F1394" i="1"/>
  <c r="H1394" i="1"/>
  <c r="I1394" i="1"/>
  <c r="J1394" i="1"/>
  <c r="L1394" i="1"/>
  <c r="M1394" i="1"/>
  <c r="C1395" i="1"/>
  <c r="E1395" i="1"/>
  <c r="F1395" i="1"/>
  <c r="H1395" i="1"/>
  <c r="I1395" i="1"/>
  <c r="J1395" i="1"/>
  <c r="L1395" i="1"/>
  <c r="M1395" i="1"/>
  <c r="C1396" i="1"/>
  <c r="E1396" i="1"/>
  <c r="F1396" i="1"/>
  <c r="H1396" i="1"/>
  <c r="I1396" i="1"/>
  <c r="J1396" i="1"/>
  <c r="L1396" i="1"/>
  <c r="M1396" i="1"/>
  <c r="C1397" i="1"/>
  <c r="E1397" i="1"/>
  <c r="F1397" i="1"/>
  <c r="H1397" i="1"/>
  <c r="I1397" i="1"/>
  <c r="J1397" i="1"/>
  <c r="L1397" i="1"/>
  <c r="M1397" i="1"/>
  <c r="C1398" i="1"/>
  <c r="E1398" i="1"/>
  <c r="F1398" i="1"/>
  <c r="H1398" i="1"/>
  <c r="I1398" i="1"/>
  <c r="J1398" i="1"/>
  <c r="L1398" i="1"/>
  <c r="M1398" i="1"/>
  <c r="C1399" i="1"/>
  <c r="E1399" i="1"/>
  <c r="F1399" i="1"/>
  <c r="H1399" i="1"/>
  <c r="I1399" i="1"/>
  <c r="J1399" i="1"/>
  <c r="L1399" i="1"/>
  <c r="M1399" i="1"/>
  <c r="C1400" i="1"/>
  <c r="E1400" i="1"/>
  <c r="F1400" i="1"/>
  <c r="H1400" i="1"/>
  <c r="I1400" i="1"/>
  <c r="J1400" i="1"/>
  <c r="L1400" i="1"/>
  <c r="M1400" i="1"/>
  <c r="C1401" i="1"/>
  <c r="E1401" i="1"/>
  <c r="F1401" i="1"/>
  <c r="H1401" i="1"/>
  <c r="I1401" i="1"/>
  <c r="J1401" i="1"/>
  <c r="L1401" i="1"/>
  <c r="M1401" i="1"/>
  <c r="C1402" i="1"/>
  <c r="E1402" i="1"/>
  <c r="F1402" i="1"/>
  <c r="H1402" i="1"/>
  <c r="I1402" i="1"/>
  <c r="J1402" i="1"/>
  <c r="L1402" i="1"/>
  <c r="M1402" i="1"/>
  <c r="C1403" i="1"/>
  <c r="E1403" i="1"/>
  <c r="F1403" i="1"/>
  <c r="H1403" i="1"/>
  <c r="I1403" i="1"/>
  <c r="J1403" i="1"/>
  <c r="L1403" i="1"/>
  <c r="M1403" i="1"/>
  <c r="C1404" i="1"/>
  <c r="E1404" i="1"/>
  <c r="F1404" i="1"/>
  <c r="H1404" i="1"/>
  <c r="I1404" i="1"/>
  <c r="J1404" i="1"/>
  <c r="L1404" i="1"/>
  <c r="M1404" i="1"/>
  <c r="C1405" i="1"/>
  <c r="E1405" i="1"/>
  <c r="F1405" i="1"/>
  <c r="H1405" i="1"/>
  <c r="I1405" i="1"/>
  <c r="J1405" i="1"/>
  <c r="L1405" i="1"/>
  <c r="M1405" i="1"/>
  <c r="C1406" i="1"/>
  <c r="E1406" i="1"/>
  <c r="F1406" i="1"/>
  <c r="H1406" i="1"/>
  <c r="I1406" i="1"/>
  <c r="J1406" i="1"/>
  <c r="L1406" i="1"/>
  <c r="M1406" i="1"/>
  <c r="C1407" i="1"/>
  <c r="E1407" i="1"/>
  <c r="F1407" i="1"/>
  <c r="H1407" i="1"/>
  <c r="I1407" i="1"/>
  <c r="J1407" i="1"/>
  <c r="L1407" i="1"/>
  <c r="M1407" i="1"/>
  <c r="C1408" i="1"/>
  <c r="E1408" i="1"/>
  <c r="F1408" i="1"/>
  <c r="H1408" i="1"/>
  <c r="I1408" i="1"/>
  <c r="J1408" i="1"/>
  <c r="L1408" i="1"/>
  <c r="M1408" i="1"/>
  <c r="C1409" i="1"/>
  <c r="E1409" i="1"/>
  <c r="F1409" i="1"/>
  <c r="H1409" i="1"/>
  <c r="I1409" i="1"/>
  <c r="J1409" i="1"/>
  <c r="L1409" i="1"/>
  <c r="M1409" i="1"/>
  <c r="C1410" i="1"/>
  <c r="E1410" i="1"/>
  <c r="F1410" i="1"/>
  <c r="H1410" i="1"/>
  <c r="I1410" i="1"/>
  <c r="J1410" i="1"/>
  <c r="L1410" i="1"/>
  <c r="M1410" i="1"/>
  <c r="C1411" i="1"/>
  <c r="E1411" i="1"/>
  <c r="F1411" i="1"/>
  <c r="H1411" i="1"/>
  <c r="I1411" i="1"/>
  <c r="J1411" i="1"/>
  <c r="L1411" i="1"/>
  <c r="M1411" i="1"/>
  <c r="C1412" i="1"/>
  <c r="E1412" i="1"/>
  <c r="F1412" i="1"/>
  <c r="H1412" i="1"/>
  <c r="I1412" i="1"/>
  <c r="J1412" i="1"/>
  <c r="L1412" i="1"/>
  <c r="M1412" i="1"/>
  <c r="C1413" i="1"/>
  <c r="E1413" i="1"/>
  <c r="F1413" i="1"/>
  <c r="H1413" i="1"/>
  <c r="I1413" i="1"/>
  <c r="J1413" i="1"/>
  <c r="L1413" i="1"/>
  <c r="M1413" i="1"/>
  <c r="C1414" i="1"/>
  <c r="E1414" i="1"/>
  <c r="F1414" i="1"/>
  <c r="H1414" i="1"/>
  <c r="I1414" i="1"/>
  <c r="J1414" i="1"/>
  <c r="L1414" i="1"/>
  <c r="M1414" i="1"/>
  <c r="C1415" i="1"/>
  <c r="E1415" i="1"/>
  <c r="F1415" i="1"/>
  <c r="H1415" i="1"/>
  <c r="I1415" i="1"/>
  <c r="J1415" i="1"/>
  <c r="L1415" i="1"/>
  <c r="M1415" i="1"/>
  <c r="C1416" i="1"/>
  <c r="E1416" i="1"/>
  <c r="F1416" i="1"/>
  <c r="H1416" i="1"/>
  <c r="I1416" i="1"/>
  <c r="J1416" i="1"/>
  <c r="L1416" i="1"/>
  <c r="M1416" i="1"/>
  <c r="C1417" i="1"/>
  <c r="E1417" i="1"/>
  <c r="F1417" i="1"/>
  <c r="H1417" i="1"/>
  <c r="I1417" i="1"/>
  <c r="J1417" i="1"/>
  <c r="L1417" i="1"/>
  <c r="M1417" i="1"/>
  <c r="C1418" i="1"/>
  <c r="E1418" i="1"/>
  <c r="F1418" i="1"/>
  <c r="H1418" i="1"/>
  <c r="I1418" i="1"/>
  <c r="J1418" i="1"/>
  <c r="L1418" i="1"/>
  <c r="M1418" i="1"/>
  <c r="C1419" i="1"/>
  <c r="E1419" i="1"/>
  <c r="F1419" i="1"/>
  <c r="H1419" i="1"/>
  <c r="I1419" i="1"/>
  <c r="J1419" i="1"/>
  <c r="L1419" i="1"/>
  <c r="M1419" i="1"/>
  <c r="C1420" i="1"/>
  <c r="E1420" i="1"/>
  <c r="F1420" i="1"/>
  <c r="H1420" i="1"/>
  <c r="I1420" i="1"/>
  <c r="J1420" i="1"/>
  <c r="L1420" i="1"/>
  <c r="M1420" i="1"/>
  <c r="C1421" i="1"/>
  <c r="E1421" i="1"/>
  <c r="F1421" i="1"/>
  <c r="H1421" i="1"/>
  <c r="I1421" i="1"/>
  <c r="J1421" i="1"/>
  <c r="L1421" i="1"/>
  <c r="M1421" i="1"/>
  <c r="C1422" i="1"/>
  <c r="E1422" i="1"/>
  <c r="F1422" i="1"/>
  <c r="H1422" i="1"/>
  <c r="I1422" i="1"/>
  <c r="J1422" i="1"/>
  <c r="L1422" i="1"/>
  <c r="M1422" i="1"/>
  <c r="C1423" i="1"/>
  <c r="E1423" i="1"/>
  <c r="F1423" i="1"/>
  <c r="H1423" i="1"/>
  <c r="I1423" i="1"/>
  <c r="J1423" i="1"/>
  <c r="L1423" i="1"/>
  <c r="M1423" i="1"/>
  <c r="C1424" i="1"/>
  <c r="E1424" i="1"/>
  <c r="F1424" i="1"/>
  <c r="H1424" i="1"/>
  <c r="I1424" i="1"/>
  <c r="J1424" i="1"/>
  <c r="L1424" i="1"/>
  <c r="M1424" i="1"/>
  <c r="C1425" i="1"/>
  <c r="E1425" i="1"/>
  <c r="F1425" i="1"/>
  <c r="H1425" i="1"/>
  <c r="I1425" i="1"/>
  <c r="J1425" i="1"/>
  <c r="L1425" i="1"/>
  <c r="M1425" i="1"/>
  <c r="C1426" i="1"/>
  <c r="E1426" i="1"/>
  <c r="F1426" i="1"/>
  <c r="H1426" i="1"/>
  <c r="I1426" i="1"/>
  <c r="J1426" i="1"/>
  <c r="L1426" i="1"/>
  <c r="M1426" i="1"/>
  <c r="C1427" i="1"/>
  <c r="E1427" i="1"/>
  <c r="F1427" i="1"/>
  <c r="H1427" i="1"/>
  <c r="I1427" i="1"/>
  <c r="J1427" i="1"/>
  <c r="L1427" i="1"/>
  <c r="M1427" i="1"/>
  <c r="C1428" i="1"/>
  <c r="E1428" i="1"/>
  <c r="F1428" i="1"/>
  <c r="H1428" i="1"/>
  <c r="I1428" i="1"/>
  <c r="J1428" i="1"/>
  <c r="L1428" i="1"/>
  <c r="M1428" i="1"/>
  <c r="C1429" i="1"/>
  <c r="E1429" i="1"/>
  <c r="F1429" i="1"/>
  <c r="H1429" i="1"/>
  <c r="I1429" i="1"/>
  <c r="J1429" i="1"/>
  <c r="L1429" i="1"/>
  <c r="M1429" i="1"/>
  <c r="C1430" i="1"/>
  <c r="E1430" i="1"/>
  <c r="F1430" i="1"/>
  <c r="H1430" i="1"/>
  <c r="I1430" i="1"/>
  <c r="J1430" i="1"/>
  <c r="L1430" i="1"/>
  <c r="M1430" i="1"/>
  <c r="C1431" i="1"/>
  <c r="E1431" i="1"/>
  <c r="F1431" i="1"/>
  <c r="H1431" i="1"/>
  <c r="I1431" i="1"/>
  <c r="J1431" i="1"/>
  <c r="L1431" i="1"/>
  <c r="M1431" i="1"/>
  <c r="C1432" i="1"/>
  <c r="E1432" i="1"/>
  <c r="F1432" i="1"/>
  <c r="H1432" i="1"/>
  <c r="I1432" i="1"/>
  <c r="J1432" i="1"/>
  <c r="L1432" i="1"/>
  <c r="M1432" i="1"/>
  <c r="C1433" i="1"/>
  <c r="E1433" i="1"/>
  <c r="F1433" i="1"/>
  <c r="H1433" i="1"/>
  <c r="I1433" i="1"/>
  <c r="J1433" i="1"/>
  <c r="L1433" i="1"/>
  <c r="M1433" i="1"/>
  <c r="C1434" i="1"/>
  <c r="E1434" i="1"/>
  <c r="F1434" i="1"/>
  <c r="H1434" i="1"/>
  <c r="I1434" i="1"/>
  <c r="J1434" i="1"/>
  <c r="L1434" i="1"/>
  <c r="M1434" i="1"/>
  <c r="C1435" i="1"/>
  <c r="E1435" i="1"/>
  <c r="F1435" i="1"/>
  <c r="H1435" i="1"/>
  <c r="I1435" i="1"/>
  <c r="J1435" i="1"/>
  <c r="L1435" i="1"/>
  <c r="M1435" i="1"/>
  <c r="C1436" i="1"/>
  <c r="E1436" i="1"/>
  <c r="F1436" i="1"/>
  <c r="H1436" i="1"/>
  <c r="I1436" i="1"/>
  <c r="J1436" i="1"/>
  <c r="L1436" i="1"/>
  <c r="M1436" i="1"/>
  <c r="C1437" i="1"/>
  <c r="E1437" i="1"/>
  <c r="F1437" i="1"/>
  <c r="H1437" i="1"/>
  <c r="I1437" i="1"/>
  <c r="J1437" i="1"/>
  <c r="L1437" i="1"/>
  <c r="M1437" i="1"/>
  <c r="C1438" i="1"/>
  <c r="E1438" i="1"/>
  <c r="F1438" i="1"/>
  <c r="H1438" i="1"/>
  <c r="I1438" i="1"/>
  <c r="J1438" i="1"/>
  <c r="L1438" i="1"/>
  <c r="M1438" i="1"/>
  <c r="C1439" i="1"/>
  <c r="E1439" i="1"/>
  <c r="F1439" i="1"/>
  <c r="H1439" i="1"/>
  <c r="I1439" i="1"/>
  <c r="J1439" i="1"/>
  <c r="L1439" i="1"/>
  <c r="M1439" i="1"/>
  <c r="C1440" i="1"/>
  <c r="E1440" i="1"/>
  <c r="F1440" i="1"/>
  <c r="H1440" i="1"/>
  <c r="I1440" i="1"/>
  <c r="J1440" i="1"/>
  <c r="L1440" i="1"/>
  <c r="M1440" i="1"/>
  <c r="C1441" i="1"/>
  <c r="E1441" i="1"/>
  <c r="F1441" i="1"/>
  <c r="H1441" i="1"/>
  <c r="I1441" i="1"/>
  <c r="J1441" i="1"/>
  <c r="L1441" i="1"/>
  <c r="M1441" i="1"/>
  <c r="C1442" i="1"/>
  <c r="E1442" i="1"/>
  <c r="F1442" i="1"/>
  <c r="H1442" i="1"/>
  <c r="I1442" i="1"/>
  <c r="J1442" i="1"/>
  <c r="L1442" i="1"/>
  <c r="M1442" i="1"/>
  <c r="C1443" i="1"/>
  <c r="E1443" i="1"/>
  <c r="F1443" i="1"/>
  <c r="H1443" i="1"/>
  <c r="I1443" i="1"/>
  <c r="J1443" i="1"/>
  <c r="L1443" i="1"/>
  <c r="M1443" i="1"/>
  <c r="C1444" i="1"/>
  <c r="E1444" i="1"/>
  <c r="F1444" i="1"/>
  <c r="H1444" i="1"/>
  <c r="I1444" i="1"/>
  <c r="J1444" i="1"/>
  <c r="L1444" i="1"/>
  <c r="M1444" i="1"/>
  <c r="C1445" i="1"/>
  <c r="E1445" i="1"/>
  <c r="F1445" i="1"/>
  <c r="H1445" i="1"/>
  <c r="I1445" i="1"/>
  <c r="J1445" i="1"/>
  <c r="L1445" i="1"/>
  <c r="M1445" i="1"/>
  <c r="C1446" i="1"/>
  <c r="E1446" i="1"/>
  <c r="F1446" i="1"/>
  <c r="H1446" i="1"/>
  <c r="I1446" i="1"/>
  <c r="J1446" i="1"/>
  <c r="L1446" i="1"/>
  <c r="M1446" i="1"/>
  <c r="C1447" i="1"/>
  <c r="E1447" i="1"/>
  <c r="F1447" i="1"/>
  <c r="H1447" i="1"/>
  <c r="I1447" i="1"/>
  <c r="J1447" i="1"/>
  <c r="L1447" i="1"/>
  <c r="M1447" i="1"/>
  <c r="C1448" i="1"/>
  <c r="E1448" i="1"/>
  <c r="F1448" i="1"/>
  <c r="H1448" i="1"/>
  <c r="I1448" i="1"/>
  <c r="J1448" i="1"/>
  <c r="L1448" i="1"/>
  <c r="M1448" i="1"/>
  <c r="C1449" i="1"/>
  <c r="E1449" i="1"/>
  <c r="F1449" i="1"/>
  <c r="H1449" i="1"/>
  <c r="I1449" i="1"/>
  <c r="J1449" i="1"/>
  <c r="L1449" i="1"/>
  <c r="M1449" i="1"/>
  <c r="C1450" i="1"/>
  <c r="E1450" i="1"/>
  <c r="F1450" i="1"/>
  <c r="H1450" i="1"/>
  <c r="I1450" i="1"/>
  <c r="J1450" i="1"/>
  <c r="L1450" i="1"/>
  <c r="M1450" i="1"/>
  <c r="C1451" i="1"/>
  <c r="E1451" i="1"/>
  <c r="F1451" i="1"/>
  <c r="H1451" i="1"/>
  <c r="I1451" i="1"/>
  <c r="J1451" i="1"/>
  <c r="L1451" i="1"/>
  <c r="M1451" i="1"/>
  <c r="C1452" i="1"/>
  <c r="E1452" i="1"/>
  <c r="F1452" i="1"/>
  <c r="H1452" i="1"/>
  <c r="I1452" i="1"/>
  <c r="J1452" i="1"/>
  <c r="L1452" i="1"/>
  <c r="M1452" i="1"/>
  <c r="C1453" i="1"/>
  <c r="E1453" i="1"/>
  <c r="F1453" i="1"/>
  <c r="H1453" i="1"/>
  <c r="I1453" i="1"/>
  <c r="J1453" i="1"/>
  <c r="L1453" i="1"/>
  <c r="M1453" i="1"/>
  <c r="C1454" i="1"/>
  <c r="E1454" i="1"/>
  <c r="F1454" i="1"/>
  <c r="H1454" i="1"/>
  <c r="I1454" i="1"/>
  <c r="J1454" i="1"/>
  <c r="L1454" i="1"/>
  <c r="M1454" i="1"/>
  <c r="C1455" i="1"/>
  <c r="E1455" i="1"/>
  <c r="F1455" i="1"/>
  <c r="H1455" i="1"/>
  <c r="I1455" i="1"/>
  <c r="J1455" i="1"/>
  <c r="L1455" i="1"/>
  <c r="M1455" i="1"/>
  <c r="C1456" i="1"/>
  <c r="E1456" i="1"/>
  <c r="F1456" i="1"/>
  <c r="H1456" i="1"/>
  <c r="I1456" i="1"/>
  <c r="J1456" i="1"/>
  <c r="L1456" i="1"/>
  <c r="M1456" i="1"/>
  <c r="C1457" i="1"/>
  <c r="E1457" i="1"/>
  <c r="F1457" i="1"/>
  <c r="H1457" i="1"/>
  <c r="I1457" i="1"/>
  <c r="J1457" i="1"/>
  <c r="L1457" i="1"/>
  <c r="M1457" i="1"/>
  <c r="C1458" i="1"/>
  <c r="E1458" i="1"/>
  <c r="F1458" i="1"/>
  <c r="H1458" i="1"/>
  <c r="I1458" i="1"/>
  <c r="J1458" i="1"/>
  <c r="L1458" i="1"/>
  <c r="M1458" i="1"/>
  <c r="C1459" i="1"/>
  <c r="E1459" i="1"/>
  <c r="F1459" i="1"/>
  <c r="H1459" i="1"/>
  <c r="I1459" i="1"/>
  <c r="J1459" i="1"/>
  <c r="L1459" i="1"/>
  <c r="M1459" i="1"/>
  <c r="C1460" i="1"/>
  <c r="E1460" i="1"/>
  <c r="F1460" i="1"/>
  <c r="H1460" i="1"/>
  <c r="I1460" i="1"/>
  <c r="J1460" i="1"/>
  <c r="L1460" i="1"/>
  <c r="M1460" i="1"/>
  <c r="C1461" i="1"/>
  <c r="E1461" i="1"/>
  <c r="F1461" i="1"/>
  <c r="H1461" i="1"/>
  <c r="I1461" i="1"/>
  <c r="J1461" i="1"/>
  <c r="L1461" i="1"/>
  <c r="M1461" i="1"/>
  <c r="C1462" i="1"/>
  <c r="E1462" i="1"/>
  <c r="F1462" i="1"/>
  <c r="H1462" i="1"/>
  <c r="I1462" i="1"/>
  <c r="J1462" i="1"/>
  <c r="L1462" i="1"/>
  <c r="M1462" i="1"/>
  <c r="C1463" i="1"/>
  <c r="E1463" i="1"/>
  <c r="F1463" i="1"/>
  <c r="H1463" i="1"/>
  <c r="I1463" i="1"/>
  <c r="J1463" i="1"/>
  <c r="L1463" i="1"/>
  <c r="M1463" i="1"/>
  <c r="C1464" i="1"/>
  <c r="E1464" i="1"/>
  <c r="F1464" i="1"/>
  <c r="H1464" i="1"/>
  <c r="I1464" i="1"/>
  <c r="J1464" i="1"/>
  <c r="L1464" i="1"/>
  <c r="M1464" i="1"/>
  <c r="C1465" i="1"/>
  <c r="E1465" i="1"/>
  <c r="F1465" i="1"/>
  <c r="H1465" i="1"/>
  <c r="I1465" i="1"/>
  <c r="J1465" i="1"/>
  <c r="L1465" i="1"/>
  <c r="M1465" i="1"/>
  <c r="C1466" i="1"/>
  <c r="E1466" i="1"/>
  <c r="F1466" i="1"/>
  <c r="H1466" i="1"/>
  <c r="I1466" i="1"/>
  <c r="J1466" i="1"/>
  <c r="L1466" i="1"/>
  <c r="M1466" i="1"/>
  <c r="C1467" i="1"/>
  <c r="E1467" i="1"/>
  <c r="F1467" i="1"/>
  <c r="H1467" i="1"/>
  <c r="I1467" i="1"/>
  <c r="J1467" i="1"/>
  <c r="L1467" i="1"/>
  <c r="M1467" i="1"/>
  <c r="C1468" i="1"/>
  <c r="E1468" i="1"/>
  <c r="F1468" i="1"/>
  <c r="H1468" i="1"/>
  <c r="I1468" i="1"/>
  <c r="J1468" i="1"/>
  <c r="L1468" i="1"/>
  <c r="M1468" i="1"/>
  <c r="C1469" i="1"/>
  <c r="E1469" i="1"/>
  <c r="F1469" i="1"/>
  <c r="H1469" i="1"/>
  <c r="I1469" i="1"/>
  <c r="J1469" i="1"/>
  <c r="L1469" i="1"/>
  <c r="M1469" i="1"/>
  <c r="C1470" i="1"/>
  <c r="E1470" i="1"/>
  <c r="F1470" i="1"/>
  <c r="H1470" i="1"/>
  <c r="I1470" i="1"/>
  <c r="J1470" i="1"/>
  <c r="L1470" i="1"/>
  <c r="M1470" i="1"/>
  <c r="C1471" i="1"/>
  <c r="E1471" i="1"/>
  <c r="F1471" i="1"/>
  <c r="H1471" i="1"/>
  <c r="I1471" i="1"/>
  <c r="J1471" i="1"/>
  <c r="L1471" i="1"/>
  <c r="M1471" i="1"/>
  <c r="C1472" i="1"/>
  <c r="E1472" i="1"/>
  <c r="F1472" i="1"/>
  <c r="H1472" i="1"/>
  <c r="I1472" i="1"/>
  <c r="J1472" i="1"/>
  <c r="L1472" i="1"/>
  <c r="M1472" i="1"/>
  <c r="C1473" i="1"/>
  <c r="E1473" i="1"/>
  <c r="F1473" i="1"/>
  <c r="H1473" i="1"/>
  <c r="I1473" i="1"/>
  <c r="J1473" i="1"/>
  <c r="L1473" i="1"/>
  <c r="M1473" i="1"/>
  <c r="C1474" i="1"/>
  <c r="E1474" i="1"/>
  <c r="F1474" i="1"/>
  <c r="H1474" i="1"/>
  <c r="I1474" i="1"/>
  <c r="J1474" i="1"/>
  <c r="L1474" i="1"/>
  <c r="M1474" i="1"/>
  <c r="C1475" i="1"/>
  <c r="E1475" i="1"/>
  <c r="F1475" i="1"/>
  <c r="H1475" i="1"/>
  <c r="I1475" i="1"/>
  <c r="J1475" i="1"/>
  <c r="L1475" i="1"/>
  <c r="M1475" i="1"/>
  <c r="C1476" i="1"/>
  <c r="E1476" i="1"/>
  <c r="F1476" i="1"/>
  <c r="H1476" i="1"/>
  <c r="I1476" i="1"/>
  <c r="J1476" i="1"/>
  <c r="L1476" i="1"/>
  <c r="M1476" i="1"/>
  <c r="C1477" i="1"/>
  <c r="E1477" i="1"/>
  <c r="F1477" i="1"/>
  <c r="H1477" i="1"/>
  <c r="I1477" i="1"/>
  <c r="J1477" i="1"/>
  <c r="L1477" i="1"/>
  <c r="M1477" i="1"/>
  <c r="C1478" i="1"/>
  <c r="E1478" i="1"/>
  <c r="F1478" i="1"/>
  <c r="H1478" i="1"/>
  <c r="I1478" i="1"/>
  <c r="J1478" i="1"/>
  <c r="L1478" i="1"/>
  <c r="M1478" i="1"/>
  <c r="C1479" i="1"/>
  <c r="E1479" i="1"/>
  <c r="F1479" i="1"/>
  <c r="H1479" i="1"/>
  <c r="I1479" i="1"/>
  <c r="J1479" i="1"/>
  <c r="L1479" i="1"/>
  <c r="M1479" i="1"/>
  <c r="C1480" i="1"/>
  <c r="E1480" i="1"/>
  <c r="F1480" i="1"/>
  <c r="H1480" i="1"/>
  <c r="I1480" i="1"/>
  <c r="J1480" i="1"/>
  <c r="L1480" i="1"/>
  <c r="M1480" i="1"/>
  <c r="C1481" i="1"/>
  <c r="E1481" i="1"/>
  <c r="F1481" i="1"/>
  <c r="H1481" i="1"/>
  <c r="I1481" i="1"/>
  <c r="J1481" i="1"/>
  <c r="L1481" i="1"/>
  <c r="M1481" i="1"/>
  <c r="C1482" i="1"/>
  <c r="E1482" i="1"/>
  <c r="F1482" i="1"/>
  <c r="H1482" i="1"/>
  <c r="I1482" i="1"/>
  <c r="J1482" i="1"/>
  <c r="L1482" i="1"/>
  <c r="M1482" i="1"/>
  <c r="C1483" i="1"/>
  <c r="E1483" i="1"/>
  <c r="F1483" i="1"/>
  <c r="H1483" i="1"/>
  <c r="I1483" i="1"/>
  <c r="J1483" i="1"/>
  <c r="L1483" i="1"/>
  <c r="M1483" i="1"/>
  <c r="C1484" i="1"/>
  <c r="E1484" i="1"/>
  <c r="F1484" i="1"/>
  <c r="H1484" i="1"/>
  <c r="I1484" i="1"/>
  <c r="J1484" i="1"/>
  <c r="L1484" i="1"/>
  <c r="M1484" i="1"/>
  <c r="C1485" i="1"/>
  <c r="E1485" i="1"/>
  <c r="F1485" i="1"/>
  <c r="H1485" i="1"/>
  <c r="I1485" i="1"/>
  <c r="J1485" i="1"/>
  <c r="L1485" i="1"/>
  <c r="M1485" i="1"/>
  <c r="C1486" i="1"/>
  <c r="E1486" i="1"/>
  <c r="F1486" i="1"/>
  <c r="H1486" i="1"/>
  <c r="I1486" i="1"/>
  <c r="J1486" i="1"/>
  <c r="L1486" i="1"/>
  <c r="M1486" i="1"/>
  <c r="C1487" i="1"/>
  <c r="E1487" i="1"/>
  <c r="F1487" i="1"/>
  <c r="H1487" i="1"/>
  <c r="I1487" i="1"/>
  <c r="J1487" i="1"/>
  <c r="L1487" i="1"/>
  <c r="M1487" i="1"/>
  <c r="C1488" i="1"/>
  <c r="E1488" i="1"/>
  <c r="F1488" i="1"/>
  <c r="H1488" i="1"/>
  <c r="I1488" i="1"/>
  <c r="J1488" i="1"/>
  <c r="L1488" i="1"/>
  <c r="M1488" i="1"/>
  <c r="C1489" i="1"/>
  <c r="E1489" i="1"/>
  <c r="F1489" i="1"/>
  <c r="H1489" i="1"/>
  <c r="I1489" i="1"/>
  <c r="J1489" i="1"/>
  <c r="L1489" i="1"/>
  <c r="M1489" i="1"/>
  <c r="C1490" i="1"/>
  <c r="E1490" i="1"/>
  <c r="F1490" i="1"/>
  <c r="H1490" i="1"/>
  <c r="I1490" i="1"/>
  <c r="J1490" i="1"/>
  <c r="L1490" i="1"/>
  <c r="M1490" i="1"/>
  <c r="C1491" i="1"/>
  <c r="E1491" i="1"/>
  <c r="F1491" i="1"/>
  <c r="H1491" i="1"/>
  <c r="I1491" i="1"/>
  <c r="J1491" i="1"/>
  <c r="L1491" i="1"/>
  <c r="M1491" i="1"/>
  <c r="C1492" i="1"/>
  <c r="E1492" i="1"/>
  <c r="F1492" i="1"/>
  <c r="H1492" i="1"/>
  <c r="I1492" i="1"/>
  <c r="J1492" i="1"/>
  <c r="L1492" i="1"/>
  <c r="M1492" i="1"/>
  <c r="C1493" i="1"/>
  <c r="E1493" i="1"/>
  <c r="F1493" i="1"/>
  <c r="H1493" i="1"/>
  <c r="I1493" i="1"/>
  <c r="J1493" i="1"/>
  <c r="L1493" i="1"/>
  <c r="M1493" i="1"/>
  <c r="C1494" i="1"/>
  <c r="E1494" i="1"/>
  <c r="F1494" i="1"/>
  <c r="H1494" i="1"/>
  <c r="I1494" i="1"/>
  <c r="J1494" i="1"/>
  <c r="L1494" i="1"/>
  <c r="M1494" i="1"/>
  <c r="C1495" i="1"/>
  <c r="E1495" i="1"/>
  <c r="F1495" i="1"/>
  <c r="H1495" i="1"/>
  <c r="I1495" i="1"/>
  <c r="J1495" i="1"/>
  <c r="L1495" i="1"/>
  <c r="M1495" i="1"/>
  <c r="C1496" i="1"/>
  <c r="E1496" i="1"/>
  <c r="F1496" i="1"/>
  <c r="H1496" i="1"/>
  <c r="I1496" i="1"/>
  <c r="J1496" i="1"/>
  <c r="L1496" i="1"/>
  <c r="M1496" i="1"/>
  <c r="C1497" i="1"/>
  <c r="E1497" i="1"/>
  <c r="F1497" i="1"/>
  <c r="H1497" i="1"/>
  <c r="I1497" i="1"/>
  <c r="J1497" i="1"/>
  <c r="L1497" i="1"/>
  <c r="M1497" i="1"/>
  <c r="C1498" i="1"/>
  <c r="E1498" i="1"/>
  <c r="F1498" i="1"/>
  <c r="H1498" i="1"/>
  <c r="I1498" i="1"/>
  <c r="J1498" i="1"/>
  <c r="L1498" i="1"/>
  <c r="M1498" i="1"/>
  <c r="C1499" i="1"/>
  <c r="E1499" i="1"/>
  <c r="F1499" i="1"/>
  <c r="H1499" i="1"/>
  <c r="I1499" i="1"/>
  <c r="J1499" i="1"/>
  <c r="L1499" i="1"/>
  <c r="M1499" i="1"/>
  <c r="C1500" i="1"/>
  <c r="E1500" i="1"/>
  <c r="F1500" i="1"/>
  <c r="H1500" i="1"/>
  <c r="I1500" i="1"/>
  <c r="J1500" i="1"/>
  <c r="L1500" i="1"/>
  <c r="M1500" i="1"/>
  <c r="C1501" i="1"/>
  <c r="E1501" i="1"/>
  <c r="F1501" i="1"/>
  <c r="H1501" i="1"/>
  <c r="I1501" i="1"/>
  <c r="J1501" i="1"/>
  <c r="L1501" i="1"/>
  <c r="M1501" i="1"/>
  <c r="C1502" i="1"/>
  <c r="E1502" i="1"/>
  <c r="F1502" i="1"/>
  <c r="H1502" i="1"/>
  <c r="I1502" i="1"/>
  <c r="J1502" i="1"/>
  <c r="L1502" i="1"/>
  <c r="M1502" i="1"/>
  <c r="C1503" i="1"/>
  <c r="E1503" i="1"/>
  <c r="F1503" i="1"/>
  <c r="H1503" i="1"/>
  <c r="I1503" i="1"/>
  <c r="J1503" i="1"/>
  <c r="L1503" i="1"/>
  <c r="M1503" i="1"/>
  <c r="C1504" i="1"/>
  <c r="E1504" i="1"/>
  <c r="F1504" i="1"/>
  <c r="H1504" i="1"/>
  <c r="I1504" i="1"/>
  <c r="J1504" i="1"/>
  <c r="L1504" i="1"/>
  <c r="M1504" i="1"/>
  <c r="C1505" i="1"/>
  <c r="E1505" i="1"/>
  <c r="F1505" i="1"/>
  <c r="H1505" i="1"/>
  <c r="I1505" i="1"/>
  <c r="J1505" i="1"/>
  <c r="L1505" i="1"/>
  <c r="M1505" i="1"/>
  <c r="C1506" i="1"/>
  <c r="E1506" i="1"/>
  <c r="F1506" i="1"/>
  <c r="H1506" i="1"/>
  <c r="I1506" i="1"/>
  <c r="J1506" i="1"/>
  <c r="L1506" i="1"/>
  <c r="M1506" i="1"/>
  <c r="C1507" i="1"/>
  <c r="E1507" i="1"/>
  <c r="F1507" i="1"/>
  <c r="H1507" i="1"/>
  <c r="I1507" i="1"/>
  <c r="J1507" i="1"/>
  <c r="L1507" i="1"/>
  <c r="M1507" i="1"/>
  <c r="C1508" i="1"/>
  <c r="E1508" i="1"/>
  <c r="F1508" i="1"/>
  <c r="H1508" i="1"/>
  <c r="I1508" i="1"/>
  <c r="J1508" i="1"/>
  <c r="L1508" i="1"/>
  <c r="M1508" i="1"/>
  <c r="C1509" i="1"/>
  <c r="E1509" i="1"/>
  <c r="F1509" i="1"/>
  <c r="H1509" i="1"/>
  <c r="I1509" i="1"/>
  <c r="J1509" i="1"/>
  <c r="L1509" i="1"/>
  <c r="M1509" i="1"/>
  <c r="C1510" i="1"/>
  <c r="E1510" i="1"/>
  <c r="F1510" i="1"/>
  <c r="H1510" i="1"/>
  <c r="I1510" i="1"/>
  <c r="J1510" i="1"/>
  <c r="L1510" i="1"/>
  <c r="M1510" i="1"/>
  <c r="C1511" i="1"/>
  <c r="E1511" i="1"/>
  <c r="F1511" i="1"/>
  <c r="H1511" i="1"/>
  <c r="I1511" i="1"/>
  <c r="J1511" i="1"/>
  <c r="L1511" i="1"/>
  <c r="M1511" i="1"/>
  <c r="C1512" i="1"/>
  <c r="E1512" i="1"/>
  <c r="F1512" i="1"/>
  <c r="H1512" i="1"/>
  <c r="I1512" i="1"/>
  <c r="J1512" i="1"/>
  <c r="L1512" i="1"/>
  <c r="M1512" i="1"/>
  <c r="C1513" i="1"/>
  <c r="E1513" i="1"/>
  <c r="F1513" i="1"/>
  <c r="H1513" i="1"/>
  <c r="I1513" i="1"/>
  <c r="J1513" i="1"/>
  <c r="L1513" i="1"/>
  <c r="M1513" i="1"/>
  <c r="C1514" i="1"/>
  <c r="E1514" i="1"/>
  <c r="F1514" i="1"/>
  <c r="H1514" i="1"/>
  <c r="I1514" i="1"/>
  <c r="J1514" i="1"/>
  <c r="L1514" i="1"/>
  <c r="M1514" i="1"/>
  <c r="C1515" i="1"/>
  <c r="E1515" i="1"/>
  <c r="F1515" i="1"/>
  <c r="H1515" i="1"/>
  <c r="I1515" i="1"/>
  <c r="J1515" i="1"/>
  <c r="L1515" i="1"/>
  <c r="M1515" i="1"/>
  <c r="C1516" i="1"/>
  <c r="E1516" i="1"/>
  <c r="F1516" i="1"/>
  <c r="H1516" i="1"/>
  <c r="I1516" i="1"/>
  <c r="J1516" i="1"/>
  <c r="L1516" i="1"/>
  <c r="M1516" i="1"/>
  <c r="C1517" i="1"/>
  <c r="E1517" i="1"/>
  <c r="F1517" i="1"/>
  <c r="H1517" i="1"/>
  <c r="I1517" i="1"/>
  <c r="J1517" i="1"/>
  <c r="L1517" i="1"/>
  <c r="M1517" i="1"/>
  <c r="C1518" i="1"/>
  <c r="E1518" i="1"/>
  <c r="F1518" i="1"/>
  <c r="H1518" i="1"/>
  <c r="I1518" i="1"/>
  <c r="J1518" i="1"/>
  <c r="L1518" i="1"/>
  <c r="M1518" i="1"/>
  <c r="C1519" i="1"/>
  <c r="E1519" i="1"/>
  <c r="F1519" i="1"/>
  <c r="H1519" i="1"/>
  <c r="I1519" i="1"/>
  <c r="J1519" i="1"/>
  <c r="L1519" i="1"/>
  <c r="M1519" i="1"/>
  <c r="C1520" i="1"/>
  <c r="E1520" i="1"/>
  <c r="F1520" i="1"/>
  <c r="H1520" i="1"/>
  <c r="I1520" i="1"/>
  <c r="J1520" i="1"/>
  <c r="L1520" i="1"/>
  <c r="M1520" i="1"/>
  <c r="C1521" i="1"/>
  <c r="E1521" i="1"/>
  <c r="F1521" i="1"/>
  <c r="H1521" i="1"/>
  <c r="I1521" i="1"/>
  <c r="J1521" i="1"/>
  <c r="L1521" i="1"/>
  <c r="M1521" i="1"/>
  <c r="C1522" i="1"/>
  <c r="E1522" i="1"/>
  <c r="F1522" i="1"/>
  <c r="H1522" i="1"/>
  <c r="I1522" i="1"/>
  <c r="J1522" i="1"/>
  <c r="L1522" i="1"/>
  <c r="M1522" i="1"/>
  <c r="C1523" i="1"/>
  <c r="E1523" i="1"/>
  <c r="F1523" i="1"/>
  <c r="H1523" i="1"/>
  <c r="I1523" i="1"/>
  <c r="J1523" i="1"/>
  <c r="L1523" i="1"/>
  <c r="M1523" i="1"/>
  <c r="C1524" i="1"/>
  <c r="E1524" i="1"/>
  <c r="F1524" i="1"/>
  <c r="H1524" i="1"/>
  <c r="I1524" i="1"/>
  <c r="J1524" i="1"/>
  <c r="L1524" i="1"/>
  <c r="M1524" i="1"/>
  <c r="C1525" i="1"/>
  <c r="E1525" i="1"/>
  <c r="F1525" i="1"/>
  <c r="H1525" i="1"/>
  <c r="I1525" i="1"/>
  <c r="J1525" i="1"/>
  <c r="L1525" i="1"/>
  <c r="M1525" i="1"/>
  <c r="C1526" i="1"/>
  <c r="E1526" i="1"/>
  <c r="F1526" i="1"/>
  <c r="H1526" i="1"/>
  <c r="I1526" i="1"/>
  <c r="J1526" i="1"/>
  <c r="L1526" i="1"/>
  <c r="M1526" i="1"/>
  <c r="C1527" i="1"/>
  <c r="E1527" i="1"/>
  <c r="F1527" i="1"/>
  <c r="H1527" i="1"/>
  <c r="I1527" i="1"/>
  <c r="J1527" i="1"/>
  <c r="L1527" i="1"/>
  <c r="M1527" i="1"/>
  <c r="C1528" i="1"/>
  <c r="E1528" i="1"/>
  <c r="F1528" i="1"/>
  <c r="H1528" i="1"/>
  <c r="I1528" i="1"/>
  <c r="J1528" i="1"/>
  <c r="L1528" i="1"/>
  <c r="M1528" i="1"/>
  <c r="C1529" i="1"/>
  <c r="E1529" i="1"/>
  <c r="F1529" i="1"/>
  <c r="H1529" i="1"/>
  <c r="I1529" i="1"/>
  <c r="J1529" i="1"/>
  <c r="L1529" i="1"/>
  <c r="M1529" i="1"/>
  <c r="C1530" i="1"/>
  <c r="E1530" i="1"/>
  <c r="F1530" i="1"/>
  <c r="H1530" i="1"/>
  <c r="I1530" i="1"/>
  <c r="J1530" i="1"/>
  <c r="L1530" i="1"/>
  <c r="M1530" i="1"/>
  <c r="C1531" i="1"/>
  <c r="E1531" i="1"/>
  <c r="F1531" i="1"/>
  <c r="H1531" i="1"/>
  <c r="I1531" i="1"/>
  <c r="J1531" i="1"/>
  <c r="L1531" i="1"/>
  <c r="M1531" i="1"/>
  <c r="C1532" i="1"/>
  <c r="E1532" i="1"/>
  <c r="F1532" i="1"/>
  <c r="H1532" i="1"/>
  <c r="I1532" i="1"/>
  <c r="J1532" i="1"/>
  <c r="L1532" i="1"/>
  <c r="M1532" i="1"/>
  <c r="C1533" i="1"/>
  <c r="E1533" i="1"/>
  <c r="F1533" i="1"/>
  <c r="H1533" i="1"/>
  <c r="I1533" i="1"/>
  <c r="J1533" i="1"/>
  <c r="L1533" i="1"/>
  <c r="M1533" i="1"/>
  <c r="C1534" i="1"/>
  <c r="E1534" i="1"/>
  <c r="F1534" i="1"/>
  <c r="H1534" i="1"/>
  <c r="I1534" i="1"/>
  <c r="J1534" i="1"/>
  <c r="L1534" i="1"/>
  <c r="M1534" i="1"/>
  <c r="C1535" i="1"/>
  <c r="E1535" i="1"/>
  <c r="F1535" i="1"/>
  <c r="H1535" i="1"/>
  <c r="I1535" i="1"/>
  <c r="J1535" i="1"/>
  <c r="L1535" i="1"/>
  <c r="M1535" i="1"/>
  <c r="C1536" i="1"/>
  <c r="E1536" i="1"/>
  <c r="F1536" i="1"/>
  <c r="H1536" i="1"/>
  <c r="I1536" i="1"/>
  <c r="J1536" i="1"/>
  <c r="L1536" i="1"/>
  <c r="M1536" i="1"/>
  <c r="C1537" i="1"/>
  <c r="E1537" i="1"/>
  <c r="F1537" i="1"/>
  <c r="H1537" i="1"/>
  <c r="I1537" i="1"/>
  <c r="J1537" i="1"/>
  <c r="L1537" i="1"/>
  <c r="M1537" i="1"/>
  <c r="C1538" i="1"/>
  <c r="E1538" i="1"/>
  <c r="F1538" i="1"/>
  <c r="H1538" i="1"/>
  <c r="I1538" i="1"/>
  <c r="J1538" i="1"/>
  <c r="L1538" i="1"/>
  <c r="M1538" i="1"/>
  <c r="C1539" i="1"/>
  <c r="E1539" i="1"/>
  <c r="F1539" i="1"/>
  <c r="H1539" i="1"/>
  <c r="I1539" i="1"/>
  <c r="J1539" i="1"/>
  <c r="L1539" i="1"/>
  <c r="M1539" i="1"/>
  <c r="C1540" i="1"/>
  <c r="E1540" i="1"/>
  <c r="F1540" i="1"/>
  <c r="H1540" i="1"/>
  <c r="I1540" i="1"/>
  <c r="J1540" i="1"/>
  <c r="L1540" i="1"/>
  <c r="M1540" i="1"/>
  <c r="C1541" i="1"/>
  <c r="E1541" i="1"/>
  <c r="F1541" i="1"/>
  <c r="H1541" i="1"/>
  <c r="I1541" i="1"/>
  <c r="J1541" i="1"/>
  <c r="L1541" i="1"/>
  <c r="M1541" i="1"/>
  <c r="C1542" i="1"/>
  <c r="E1542" i="1"/>
  <c r="F1542" i="1"/>
  <c r="H1542" i="1"/>
  <c r="I1542" i="1"/>
  <c r="J1542" i="1"/>
  <c r="L1542" i="1"/>
  <c r="M1542" i="1"/>
  <c r="C1543" i="1"/>
  <c r="E1543" i="1"/>
  <c r="F1543" i="1"/>
  <c r="H1543" i="1"/>
  <c r="I1543" i="1"/>
  <c r="J1543" i="1"/>
  <c r="L1543" i="1"/>
  <c r="M1543" i="1"/>
  <c r="C1544" i="1"/>
  <c r="E1544" i="1"/>
  <c r="F1544" i="1"/>
  <c r="H1544" i="1"/>
  <c r="I1544" i="1"/>
  <c r="J1544" i="1"/>
  <c r="L1544" i="1"/>
  <c r="M1544" i="1"/>
  <c r="C1545" i="1"/>
  <c r="E1545" i="1"/>
  <c r="F1545" i="1"/>
  <c r="H1545" i="1"/>
  <c r="I1545" i="1"/>
  <c r="J1545" i="1"/>
  <c r="L1545" i="1"/>
  <c r="M1545" i="1"/>
  <c r="C1546" i="1"/>
  <c r="E1546" i="1"/>
  <c r="F1546" i="1"/>
  <c r="H1546" i="1"/>
  <c r="I1546" i="1"/>
  <c r="J1546" i="1"/>
  <c r="L1546" i="1"/>
  <c r="M1546" i="1"/>
  <c r="C1547" i="1"/>
  <c r="E1547" i="1"/>
  <c r="F1547" i="1"/>
  <c r="H1547" i="1"/>
  <c r="I1547" i="1"/>
  <c r="J1547" i="1"/>
  <c r="L1547" i="1"/>
  <c r="M1547" i="1"/>
  <c r="C1548" i="1"/>
  <c r="E1548" i="1"/>
  <c r="F1548" i="1"/>
  <c r="H1548" i="1"/>
  <c r="I1548" i="1"/>
  <c r="J1548" i="1"/>
  <c r="L1548" i="1"/>
  <c r="M1548" i="1"/>
  <c r="C1549" i="1"/>
  <c r="E1549" i="1"/>
  <c r="F1549" i="1"/>
  <c r="H1549" i="1"/>
  <c r="I1549" i="1"/>
  <c r="J1549" i="1"/>
  <c r="L1549" i="1"/>
  <c r="M1549" i="1"/>
  <c r="C1550" i="1"/>
  <c r="E1550" i="1"/>
  <c r="F1550" i="1"/>
  <c r="H1550" i="1"/>
  <c r="I1550" i="1"/>
  <c r="J1550" i="1"/>
  <c r="L1550" i="1"/>
  <c r="M1550" i="1"/>
  <c r="C1551" i="1"/>
  <c r="E1551" i="1"/>
  <c r="F1551" i="1"/>
  <c r="H1551" i="1"/>
  <c r="I1551" i="1"/>
  <c r="J1551" i="1"/>
  <c r="L1551" i="1"/>
  <c r="M1551" i="1"/>
  <c r="C1552" i="1"/>
  <c r="E1552" i="1"/>
  <c r="F1552" i="1"/>
  <c r="H1552" i="1"/>
  <c r="I1552" i="1"/>
  <c r="J1552" i="1"/>
  <c r="L1552" i="1"/>
  <c r="M1552" i="1"/>
  <c r="C1553" i="1"/>
  <c r="E1553" i="1"/>
  <c r="F1553" i="1"/>
  <c r="H1553" i="1"/>
  <c r="I1553" i="1"/>
  <c r="J1553" i="1"/>
  <c r="L1553" i="1"/>
  <c r="M1553" i="1"/>
  <c r="C1554" i="1"/>
  <c r="E1554" i="1"/>
  <c r="F1554" i="1"/>
  <c r="H1554" i="1"/>
  <c r="I1554" i="1"/>
  <c r="J1554" i="1"/>
  <c r="L1554" i="1"/>
  <c r="M1554" i="1"/>
  <c r="C1555" i="1"/>
  <c r="E1555" i="1"/>
  <c r="F1555" i="1"/>
  <c r="H1555" i="1"/>
  <c r="I1555" i="1"/>
  <c r="J1555" i="1"/>
  <c r="L1555" i="1"/>
  <c r="M1555" i="1"/>
  <c r="C1556" i="1"/>
  <c r="E1556" i="1"/>
  <c r="F1556" i="1"/>
  <c r="H1556" i="1"/>
  <c r="I1556" i="1"/>
  <c r="J1556" i="1"/>
  <c r="L1556" i="1"/>
  <c r="M1556" i="1"/>
  <c r="C1557" i="1"/>
  <c r="E1557" i="1"/>
  <c r="F1557" i="1"/>
  <c r="H1557" i="1"/>
  <c r="I1557" i="1"/>
  <c r="J1557" i="1"/>
  <c r="L1557" i="1"/>
  <c r="M1557" i="1"/>
  <c r="C1558" i="1"/>
  <c r="E1558" i="1"/>
  <c r="F1558" i="1"/>
  <c r="H1558" i="1"/>
  <c r="I1558" i="1"/>
  <c r="J1558" i="1"/>
  <c r="L1558" i="1"/>
  <c r="M1558" i="1"/>
  <c r="C1559" i="1"/>
  <c r="E1559" i="1"/>
  <c r="F1559" i="1"/>
  <c r="H1559" i="1"/>
  <c r="I1559" i="1"/>
  <c r="J1559" i="1"/>
  <c r="L1559" i="1"/>
  <c r="M1559" i="1"/>
  <c r="C1560" i="1"/>
  <c r="E1560" i="1"/>
  <c r="F1560" i="1"/>
  <c r="H1560" i="1"/>
  <c r="I1560" i="1"/>
  <c r="J1560" i="1"/>
  <c r="L1560" i="1"/>
  <c r="M1560" i="1"/>
  <c r="C1561" i="1"/>
  <c r="E1561" i="1"/>
  <c r="F1561" i="1"/>
  <c r="H1561" i="1"/>
  <c r="I1561" i="1"/>
  <c r="J1561" i="1"/>
  <c r="L1561" i="1"/>
  <c r="M1561" i="1"/>
  <c r="C1562" i="1"/>
  <c r="E1562" i="1"/>
  <c r="F1562" i="1"/>
  <c r="H1562" i="1"/>
  <c r="I1562" i="1"/>
  <c r="J1562" i="1"/>
  <c r="L1562" i="1"/>
  <c r="M1562" i="1"/>
  <c r="C1563" i="1"/>
  <c r="E1563" i="1"/>
  <c r="F1563" i="1"/>
  <c r="H1563" i="1"/>
  <c r="I1563" i="1"/>
  <c r="J1563" i="1"/>
  <c r="L1563" i="1"/>
  <c r="M1563" i="1"/>
  <c r="C1564" i="1"/>
  <c r="E1564" i="1"/>
  <c r="F1564" i="1"/>
  <c r="H1564" i="1"/>
  <c r="I1564" i="1"/>
  <c r="J1564" i="1"/>
  <c r="L1564" i="1"/>
  <c r="M1564" i="1"/>
  <c r="C1565" i="1"/>
  <c r="E1565" i="1"/>
  <c r="F1565" i="1"/>
  <c r="H1565" i="1"/>
  <c r="I1565" i="1"/>
  <c r="J1565" i="1"/>
  <c r="L1565" i="1"/>
  <c r="M1565" i="1"/>
  <c r="C1566" i="1"/>
  <c r="E1566" i="1"/>
  <c r="F1566" i="1"/>
  <c r="H1566" i="1"/>
  <c r="I1566" i="1"/>
  <c r="J1566" i="1"/>
  <c r="L1566" i="1"/>
  <c r="M1566" i="1"/>
  <c r="C1567" i="1"/>
  <c r="E1567" i="1"/>
  <c r="F1567" i="1"/>
  <c r="H1567" i="1"/>
  <c r="I1567" i="1"/>
  <c r="J1567" i="1"/>
  <c r="L1567" i="1"/>
  <c r="M1567" i="1"/>
  <c r="C1568" i="1"/>
  <c r="E1568" i="1"/>
  <c r="F1568" i="1"/>
  <c r="H1568" i="1"/>
  <c r="I1568" i="1"/>
  <c r="J1568" i="1"/>
  <c r="L1568" i="1"/>
  <c r="M1568" i="1"/>
  <c r="C1569" i="1"/>
  <c r="E1569" i="1"/>
  <c r="F1569" i="1"/>
  <c r="H1569" i="1"/>
  <c r="I1569" i="1"/>
  <c r="J1569" i="1"/>
  <c r="L1569" i="1"/>
  <c r="M1569" i="1"/>
  <c r="C1570" i="1"/>
  <c r="E1570" i="1"/>
  <c r="F1570" i="1"/>
  <c r="H1570" i="1"/>
  <c r="I1570" i="1"/>
  <c r="J1570" i="1"/>
  <c r="L1570" i="1"/>
  <c r="M1570" i="1"/>
  <c r="C1571" i="1"/>
  <c r="E1571" i="1"/>
  <c r="F1571" i="1"/>
  <c r="H1571" i="1"/>
  <c r="I1571" i="1"/>
  <c r="J1571" i="1"/>
  <c r="L1571" i="1"/>
  <c r="M1571" i="1"/>
  <c r="C1572" i="1"/>
  <c r="E1572" i="1"/>
  <c r="F1572" i="1"/>
  <c r="H1572" i="1"/>
  <c r="I1572" i="1"/>
  <c r="J1572" i="1"/>
  <c r="L1572" i="1"/>
  <c r="M1572" i="1"/>
  <c r="C1573" i="1"/>
  <c r="E1573" i="1"/>
  <c r="F1573" i="1"/>
  <c r="H1573" i="1"/>
  <c r="I1573" i="1"/>
  <c r="J1573" i="1"/>
  <c r="L1573" i="1"/>
  <c r="M1573" i="1"/>
  <c r="C1574" i="1"/>
  <c r="E1574" i="1"/>
  <c r="F1574" i="1"/>
  <c r="H1574" i="1"/>
  <c r="I1574" i="1"/>
  <c r="J1574" i="1"/>
  <c r="L1574" i="1"/>
  <c r="M1574" i="1"/>
  <c r="C1575" i="1"/>
  <c r="E1575" i="1"/>
  <c r="F1575" i="1"/>
  <c r="H1575" i="1"/>
  <c r="I1575" i="1"/>
  <c r="J1575" i="1"/>
  <c r="L1575" i="1"/>
  <c r="M1575" i="1"/>
  <c r="C1576" i="1"/>
  <c r="E1576" i="1"/>
  <c r="F1576" i="1"/>
  <c r="H1576" i="1"/>
  <c r="I1576" i="1"/>
  <c r="J1576" i="1"/>
  <c r="L1576" i="1"/>
  <c r="M1576" i="1"/>
  <c r="C1577" i="1"/>
  <c r="E1577" i="1"/>
  <c r="F1577" i="1"/>
  <c r="H1577" i="1"/>
  <c r="I1577" i="1"/>
  <c r="J1577" i="1"/>
  <c r="L1577" i="1"/>
  <c r="M1577" i="1"/>
  <c r="C1578" i="1"/>
  <c r="E1578" i="1"/>
  <c r="F1578" i="1"/>
  <c r="H1578" i="1"/>
  <c r="I1578" i="1"/>
  <c r="J1578" i="1"/>
  <c r="L1578" i="1"/>
  <c r="M1578" i="1"/>
  <c r="C1579" i="1"/>
  <c r="E1579" i="1"/>
  <c r="F1579" i="1"/>
  <c r="H1579" i="1"/>
  <c r="I1579" i="1"/>
  <c r="J1579" i="1"/>
  <c r="L1579" i="1"/>
  <c r="M1579" i="1"/>
  <c r="C1580" i="1"/>
  <c r="E1580" i="1"/>
  <c r="F1580" i="1"/>
  <c r="H1580" i="1"/>
  <c r="I1580" i="1"/>
  <c r="J1580" i="1"/>
  <c r="L1580" i="1"/>
  <c r="M1580" i="1"/>
  <c r="C1581" i="1"/>
  <c r="E1581" i="1"/>
  <c r="F1581" i="1"/>
  <c r="H1581" i="1"/>
  <c r="I1581" i="1"/>
  <c r="J1581" i="1"/>
  <c r="L1581" i="1"/>
  <c r="M1581" i="1"/>
  <c r="C1582" i="1"/>
  <c r="E1582" i="1"/>
  <c r="F1582" i="1"/>
  <c r="H1582" i="1"/>
  <c r="I1582" i="1"/>
  <c r="J1582" i="1"/>
  <c r="L1582" i="1"/>
  <c r="M1582" i="1"/>
  <c r="C1583" i="1"/>
  <c r="E1583" i="1"/>
  <c r="F1583" i="1"/>
  <c r="H1583" i="1"/>
  <c r="I1583" i="1"/>
  <c r="J1583" i="1"/>
  <c r="L1583" i="1"/>
  <c r="M1583" i="1"/>
  <c r="C1584" i="1"/>
  <c r="E1584" i="1"/>
  <c r="F1584" i="1"/>
  <c r="H1584" i="1"/>
  <c r="I1584" i="1"/>
  <c r="J1584" i="1"/>
  <c r="L1584" i="1"/>
  <c r="M1584" i="1"/>
  <c r="C1585" i="1"/>
  <c r="E1585" i="1"/>
  <c r="F1585" i="1"/>
  <c r="H1585" i="1"/>
  <c r="I1585" i="1"/>
  <c r="J1585" i="1"/>
  <c r="L1585" i="1"/>
  <c r="M1585" i="1"/>
  <c r="C1586" i="1"/>
  <c r="E1586" i="1"/>
  <c r="F1586" i="1"/>
  <c r="H1586" i="1"/>
  <c r="I1586" i="1"/>
  <c r="J1586" i="1"/>
  <c r="L1586" i="1"/>
  <c r="M1586" i="1"/>
  <c r="C1587" i="1"/>
  <c r="E1587" i="1"/>
  <c r="F1587" i="1"/>
  <c r="H1587" i="1"/>
  <c r="I1587" i="1"/>
  <c r="J1587" i="1"/>
  <c r="L1587" i="1"/>
  <c r="M1587" i="1"/>
  <c r="C1588" i="1"/>
  <c r="E1588" i="1"/>
  <c r="F1588" i="1"/>
  <c r="H1588" i="1"/>
  <c r="I1588" i="1"/>
  <c r="J1588" i="1"/>
  <c r="L1588" i="1"/>
  <c r="M1588" i="1"/>
  <c r="C1589" i="1"/>
  <c r="E1589" i="1"/>
  <c r="F1589" i="1"/>
  <c r="H1589" i="1"/>
  <c r="I1589" i="1"/>
  <c r="J1589" i="1"/>
  <c r="L1589" i="1"/>
  <c r="M1589" i="1"/>
  <c r="C1590" i="1"/>
  <c r="E1590" i="1"/>
  <c r="F1590" i="1"/>
  <c r="H1590" i="1"/>
  <c r="I1590" i="1"/>
  <c r="J1590" i="1"/>
  <c r="L1590" i="1"/>
  <c r="M1590" i="1"/>
  <c r="C1591" i="1"/>
  <c r="E1591" i="1"/>
  <c r="F1591" i="1"/>
  <c r="H1591" i="1"/>
  <c r="I1591" i="1"/>
  <c r="J1591" i="1"/>
  <c r="L1591" i="1"/>
  <c r="M1591" i="1"/>
  <c r="C1592" i="1"/>
  <c r="E1592" i="1"/>
  <c r="F1592" i="1"/>
  <c r="H1592" i="1"/>
  <c r="I1592" i="1"/>
  <c r="J1592" i="1"/>
  <c r="L1592" i="1"/>
  <c r="M1592" i="1"/>
  <c r="C1593" i="1"/>
  <c r="E1593" i="1"/>
  <c r="F1593" i="1"/>
  <c r="H1593" i="1"/>
  <c r="I1593" i="1"/>
  <c r="J1593" i="1"/>
  <c r="L1593" i="1"/>
  <c r="M1593" i="1"/>
  <c r="C1594" i="1"/>
  <c r="E1594" i="1"/>
  <c r="F1594" i="1"/>
  <c r="H1594" i="1"/>
  <c r="I1594" i="1"/>
  <c r="J1594" i="1"/>
  <c r="L1594" i="1"/>
  <c r="M1594" i="1"/>
  <c r="C1595" i="1"/>
  <c r="E1595" i="1"/>
  <c r="F1595" i="1"/>
  <c r="H1595" i="1"/>
  <c r="I1595" i="1"/>
  <c r="J1595" i="1"/>
  <c r="L1595" i="1"/>
  <c r="M1595" i="1"/>
  <c r="C1596" i="1"/>
  <c r="E1596" i="1"/>
  <c r="F1596" i="1"/>
  <c r="H1596" i="1"/>
  <c r="I1596" i="1"/>
  <c r="J1596" i="1"/>
  <c r="L1596" i="1"/>
  <c r="M1596" i="1"/>
  <c r="C1597" i="1"/>
  <c r="E1597" i="1"/>
  <c r="F1597" i="1"/>
  <c r="H1597" i="1"/>
  <c r="I1597" i="1"/>
  <c r="J1597" i="1"/>
  <c r="L1597" i="1"/>
  <c r="M1597" i="1"/>
  <c r="C1598" i="1"/>
  <c r="E1598" i="1"/>
  <c r="F1598" i="1"/>
  <c r="H1598" i="1"/>
  <c r="I1598" i="1"/>
  <c r="J1598" i="1"/>
  <c r="L1598" i="1"/>
  <c r="M1598" i="1"/>
  <c r="C1599" i="1"/>
  <c r="E1599" i="1"/>
  <c r="F1599" i="1"/>
  <c r="H1599" i="1"/>
  <c r="I1599" i="1"/>
  <c r="J1599" i="1"/>
  <c r="L1599" i="1"/>
  <c r="M1599" i="1"/>
  <c r="C1600" i="1"/>
  <c r="E1600" i="1"/>
  <c r="F1600" i="1"/>
  <c r="H1600" i="1"/>
  <c r="I1600" i="1"/>
  <c r="J1600" i="1"/>
  <c r="L1600" i="1"/>
  <c r="M1600" i="1"/>
  <c r="C1601" i="1"/>
  <c r="E1601" i="1"/>
  <c r="F1601" i="1"/>
  <c r="H1601" i="1"/>
  <c r="I1601" i="1"/>
  <c r="J1601" i="1"/>
  <c r="L1601" i="1"/>
  <c r="M1601" i="1"/>
  <c r="C1602" i="1"/>
  <c r="E1602" i="1"/>
  <c r="F1602" i="1"/>
  <c r="H1602" i="1"/>
  <c r="I1602" i="1"/>
  <c r="J1602" i="1"/>
  <c r="L1602" i="1"/>
  <c r="M1602" i="1"/>
  <c r="C1603" i="1"/>
  <c r="E1603" i="1"/>
  <c r="F1603" i="1"/>
  <c r="H1603" i="1"/>
  <c r="I1603" i="1"/>
  <c r="J1603" i="1"/>
  <c r="L1603" i="1"/>
  <c r="M1603" i="1"/>
  <c r="C1604" i="1"/>
  <c r="E1604" i="1"/>
  <c r="F1604" i="1"/>
  <c r="H1604" i="1"/>
  <c r="I1604" i="1"/>
  <c r="J1604" i="1"/>
  <c r="L1604" i="1"/>
  <c r="M1604" i="1"/>
  <c r="C1605" i="1"/>
  <c r="E1605" i="1"/>
  <c r="F1605" i="1"/>
  <c r="H1605" i="1"/>
  <c r="I1605" i="1"/>
  <c r="J1605" i="1"/>
  <c r="L1605" i="1"/>
  <c r="M1605" i="1"/>
  <c r="C1606" i="1"/>
  <c r="E1606" i="1"/>
  <c r="F1606" i="1"/>
  <c r="H1606" i="1"/>
  <c r="I1606" i="1"/>
  <c r="J1606" i="1"/>
  <c r="L1606" i="1"/>
  <c r="M1606" i="1"/>
  <c r="C1607" i="1"/>
  <c r="E1607" i="1"/>
  <c r="F1607" i="1"/>
  <c r="H1607" i="1"/>
  <c r="I1607" i="1"/>
  <c r="J1607" i="1"/>
  <c r="L1607" i="1"/>
  <c r="M1607" i="1"/>
  <c r="C1608" i="1"/>
  <c r="E1608" i="1"/>
  <c r="F1608" i="1"/>
  <c r="H1608" i="1"/>
  <c r="I1608" i="1"/>
  <c r="J1608" i="1"/>
  <c r="L1608" i="1"/>
  <c r="M1608" i="1"/>
  <c r="C1609" i="1"/>
  <c r="E1609" i="1"/>
  <c r="F1609" i="1"/>
  <c r="H1609" i="1"/>
  <c r="I1609" i="1"/>
  <c r="J1609" i="1"/>
  <c r="L1609" i="1"/>
  <c r="M1609" i="1"/>
  <c r="C1610" i="1"/>
  <c r="E1610" i="1"/>
  <c r="F1610" i="1"/>
  <c r="H1610" i="1"/>
  <c r="I1610" i="1"/>
  <c r="J1610" i="1"/>
  <c r="L1610" i="1"/>
  <c r="M1610" i="1"/>
  <c r="C1611" i="1"/>
  <c r="E1611" i="1"/>
  <c r="F1611" i="1"/>
  <c r="H1611" i="1"/>
  <c r="I1611" i="1"/>
  <c r="J1611" i="1"/>
  <c r="L1611" i="1"/>
  <c r="M1611" i="1"/>
  <c r="C1612" i="1"/>
  <c r="E1612" i="1"/>
  <c r="F1612" i="1"/>
  <c r="H1612" i="1"/>
  <c r="I1612" i="1"/>
  <c r="J1612" i="1"/>
  <c r="L1612" i="1"/>
  <c r="M1612" i="1"/>
  <c r="C1613" i="1"/>
  <c r="E1613" i="1"/>
  <c r="F1613" i="1"/>
  <c r="H1613" i="1"/>
  <c r="I1613" i="1"/>
  <c r="J1613" i="1"/>
  <c r="L1613" i="1"/>
  <c r="M1613" i="1"/>
  <c r="C1614" i="1"/>
  <c r="E1614" i="1"/>
  <c r="F1614" i="1"/>
  <c r="H1614" i="1"/>
  <c r="I1614" i="1"/>
  <c r="J1614" i="1"/>
  <c r="L1614" i="1"/>
  <c r="M1614" i="1"/>
  <c r="C1615" i="1"/>
  <c r="E1615" i="1"/>
  <c r="F1615" i="1"/>
  <c r="H1615" i="1"/>
  <c r="I1615" i="1"/>
  <c r="J1615" i="1"/>
  <c r="L1615" i="1"/>
  <c r="M1615" i="1"/>
  <c r="C1616" i="1"/>
  <c r="E1616" i="1"/>
  <c r="F1616" i="1"/>
  <c r="H1616" i="1"/>
  <c r="I1616" i="1"/>
  <c r="J1616" i="1"/>
  <c r="L1616" i="1"/>
  <c r="M1616" i="1"/>
  <c r="C1617" i="1"/>
  <c r="E1617" i="1"/>
  <c r="F1617" i="1"/>
  <c r="H1617" i="1"/>
  <c r="I1617" i="1"/>
  <c r="J1617" i="1"/>
  <c r="L1617" i="1"/>
  <c r="M1617" i="1"/>
  <c r="C1618" i="1"/>
  <c r="E1618" i="1"/>
  <c r="F1618" i="1"/>
  <c r="H1618" i="1"/>
  <c r="I1618" i="1"/>
  <c r="J1618" i="1"/>
  <c r="L1618" i="1"/>
  <c r="M1618" i="1"/>
  <c r="C1619" i="1"/>
  <c r="E1619" i="1"/>
  <c r="F1619" i="1"/>
  <c r="H1619" i="1"/>
  <c r="I1619" i="1"/>
  <c r="J1619" i="1"/>
  <c r="L1619" i="1"/>
  <c r="M1619" i="1"/>
  <c r="C1620" i="1"/>
  <c r="E1620" i="1"/>
  <c r="F1620" i="1"/>
  <c r="H1620" i="1"/>
  <c r="I1620" i="1"/>
  <c r="J1620" i="1"/>
  <c r="L1620" i="1"/>
  <c r="M1620" i="1"/>
  <c r="C1621" i="1"/>
  <c r="E1621" i="1"/>
  <c r="F1621" i="1"/>
  <c r="H1621" i="1"/>
  <c r="I1621" i="1"/>
  <c r="J1621" i="1"/>
  <c r="L1621" i="1"/>
  <c r="M1621" i="1"/>
  <c r="C1622" i="1"/>
  <c r="E1622" i="1"/>
  <c r="F1622" i="1"/>
  <c r="H1622" i="1"/>
  <c r="I1622" i="1"/>
  <c r="J1622" i="1"/>
  <c r="L1622" i="1"/>
  <c r="M1622" i="1"/>
  <c r="C1623" i="1"/>
  <c r="E1623" i="1"/>
  <c r="F1623" i="1"/>
  <c r="H1623" i="1"/>
  <c r="I1623" i="1"/>
  <c r="J1623" i="1"/>
  <c r="L1623" i="1"/>
  <c r="M1623" i="1"/>
  <c r="C1624" i="1"/>
  <c r="E1624" i="1"/>
  <c r="F1624" i="1"/>
  <c r="H1624" i="1"/>
  <c r="I1624" i="1"/>
  <c r="J1624" i="1"/>
  <c r="L1624" i="1"/>
  <c r="M1624" i="1"/>
  <c r="C1625" i="1"/>
  <c r="E1625" i="1"/>
  <c r="F1625" i="1"/>
  <c r="H1625" i="1"/>
  <c r="I1625" i="1"/>
  <c r="J1625" i="1"/>
  <c r="L1625" i="1"/>
  <c r="M1625" i="1"/>
  <c r="C1626" i="1"/>
  <c r="E1626" i="1"/>
  <c r="F1626" i="1"/>
  <c r="H1626" i="1"/>
  <c r="I1626" i="1"/>
  <c r="J1626" i="1"/>
  <c r="L1626" i="1"/>
  <c r="M1626" i="1"/>
  <c r="C1627" i="1"/>
  <c r="E1627" i="1"/>
  <c r="F1627" i="1"/>
  <c r="H1627" i="1"/>
  <c r="I1627" i="1"/>
  <c r="J1627" i="1"/>
  <c r="L1627" i="1"/>
  <c r="M1627" i="1"/>
  <c r="C1628" i="1"/>
  <c r="E1628" i="1"/>
  <c r="F1628" i="1"/>
  <c r="H1628" i="1"/>
  <c r="I1628" i="1"/>
  <c r="J1628" i="1"/>
  <c r="L1628" i="1"/>
  <c r="M1628" i="1"/>
  <c r="C1629" i="1"/>
  <c r="E1629" i="1"/>
  <c r="F1629" i="1"/>
  <c r="H1629" i="1"/>
  <c r="I1629" i="1"/>
  <c r="J1629" i="1"/>
  <c r="L1629" i="1"/>
  <c r="M1629" i="1"/>
  <c r="C1630" i="1"/>
  <c r="E1630" i="1"/>
  <c r="F1630" i="1"/>
  <c r="H1630" i="1"/>
  <c r="I1630" i="1"/>
  <c r="J1630" i="1"/>
  <c r="L1630" i="1"/>
  <c r="M1630" i="1"/>
  <c r="C1631" i="1"/>
  <c r="E1631" i="1"/>
  <c r="F1631" i="1"/>
  <c r="H1631" i="1"/>
  <c r="I1631" i="1"/>
  <c r="J1631" i="1"/>
  <c r="L1631" i="1"/>
  <c r="M1631" i="1"/>
  <c r="C1632" i="1"/>
  <c r="E1632" i="1"/>
  <c r="F1632" i="1"/>
  <c r="H1632" i="1"/>
  <c r="I1632" i="1"/>
  <c r="J1632" i="1"/>
  <c r="L1632" i="1"/>
  <c r="M1632" i="1"/>
  <c r="C1633" i="1"/>
  <c r="E1633" i="1"/>
  <c r="F1633" i="1"/>
  <c r="H1633" i="1"/>
  <c r="I1633" i="1"/>
  <c r="J1633" i="1"/>
  <c r="L1633" i="1"/>
  <c r="M1633" i="1"/>
  <c r="C1634" i="1"/>
  <c r="E1634" i="1"/>
  <c r="F1634" i="1"/>
  <c r="H1634" i="1"/>
  <c r="I1634" i="1"/>
  <c r="J1634" i="1"/>
  <c r="L1634" i="1"/>
  <c r="M1634" i="1"/>
  <c r="C1635" i="1"/>
  <c r="E1635" i="1"/>
  <c r="F1635" i="1"/>
  <c r="H1635" i="1"/>
  <c r="I1635" i="1"/>
  <c r="J1635" i="1"/>
  <c r="L1635" i="1"/>
  <c r="M1635" i="1"/>
  <c r="C1636" i="1"/>
  <c r="E1636" i="1"/>
  <c r="F1636" i="1"/>
  <c r="H1636" i="1"/>
  <c r="I1636" i="1"/>
  <c r="J1636" i="1"/>
  <c r="L1636" i="1"/>
  <c r="M1636" i="1"/>
  <c r="C1637" i="1"/>
  <c r="E1637" i="1"/>
  <c r="F1637" i="1"/>
  <c r="H1637" i="1"/>
  <c r="I1637" i="1"/>
  <c r="J1637" i="1"/>
  <c r="L1637" i="1"/>
  <c r="M1637" i="1"/>
  <c r="C1638" i="1"/>
  <c r="E1638" i="1"/>
  <c r="F1638" i="1"/>
  <c r="H1638" i="1"/>
  <c r="I1638" i="1"/>
  <c r="J1638" i="1"/>
  <c r="L1638" i="1"/>
  <c r="M1638" i="1"/>
  <c r="C1639" i="1"/>
  <c r="E1639" i="1"/>
  <c r="F1639" i="1"/>
  <c r="H1639" i="1"/>
  <c r="I1639" i="1"/>
  <c r="J1639" i="1"/>
  <c r="L1639" i="1"/>
  <c r="M1639" i="1"/>
  <c r="C1640" i="1"/>
  <c r="E1640" i="1"/>
  <c r="F1640" i="1"/>
  <c r="H1640" i="1"/>
  <c r="I1640" i="1"/>
  <c r="J1640" i="1"/>
  <c r="L1640" i="1"/>
  <c r="M1640" i="1"/>
  <c r="C1641" i="1"/>
  <c r="E1641" i="1"/>
  <c r="F1641" i="1"/>
  <c r="H1641" i="1"/>
  <c r="I1641" i="1"/>
  <c r="J1641" i="1"/>
  <c r="L1641" i="1"/>
  <c r="M1641" i="1"/>
  <c r="C1642" i="1"/>
  <c r="E1642" i="1"/>
  <c r="F1642" i="1"/>
  <c r="H1642" i="1"/>
  <c r="I1642" i="1"/>
  <c r="J1642" i="1"/>
  <c r="L1642" i="1"/>
  <c r="M1642" i="1"/>
  <c r="C1643" i="1"/>
  <c r="E1643" i="1"/>
  <c r="F1643" i="1"/>
  <c r="H1643" i="1"/>
  <c r="I1643" i="1"/>
  <c r="J1643" i="1"/>
  <c r="L1643" i="1"/>
  <c r="M1643" i="1"/>
  <c r="C1644" i="1"/>
  <c r="E1644" i="1"/>
  <c r="F1644" i="1"/>
  <c r="H1644" i="1"/>
  <c r="I1644" i="1"/>
  <c r="J1644" i="1"/>
  <c r="L1644" i="1"/>
  <c r="M1644" i="1"/>
  <c r="C1645" i="1"/>
  <c r="E1645" i="1"/>
  <c r="F1645" i="1"/>
  <c r="H1645" i="1"/>
  <c r="I1645" i="1"/>
  <c r="J1645" i="1"/>
  <c r="L1645" i="1"/>
  <c r="M1645" i="1"/>
  <c r="C1646" i="1"/>
  <c r="E1646" i="1"/>
  <c r="F1646" i="1"/>
  <c r="H1646" i="1"/>
  <c r="I1646" i="1"/>
  <c r="J1646" i="1"/>
  <c r="L1646" i="1"/>
  <c r="M1646" i="1"/>
  <c r="C1647" i="1"/>
  <c r="E1647" i="1"/>
  <c r="F1647" i="1"/>
  <c r="H1647" i="1"/>
  <c r="I1647" i="1"/>
  <c r="J1647" i="1"/>
  <c r="L1647" i="1"/>
  <c r="M1647" i="1"/>
  <c r="C1648" i="1"/>
  <c r="E1648" i="1"/>
  <c r="F1648" i="1"/>
  <c r="H1648" i="1"/>
  <c r="I1648" i="1"/>
  <c r="J1648" i="1"/>
  <c r="L1648" i="1"/>
  <c r="M1648" i="1"/>
  <c r="C1649" i="1"/>
  <c r="E1649" i="1"/>
  <c r="F1649" i="1"/>
  <c r="H1649" i="1"/>
  <c r="I1649" i="1"/>
  <c r="J1649" i="1"/>
  <c r="L1649" i="1"/>
  <c r="M1649" i="1"/>
  <c r="C1650" i="1"/>
  <c r="E1650" i="1"/>
  <c r="F1650" i="1"/>
  <c r="H1650" i="1"/>
  <c r="I1650" i="1"/>
  <c r="J1650" i="1"/>
  <c r="L1650" i="1"/>
  <c r="M1650" i="1"/>
  <c r="C1651" i="1"/>
  <c r="E1651" i="1"/>
  <c r="F1651" i="1"/>
  <c r="H1651" i="1"/>
  <c r="I1651" i="1"/>
  <c r="J1651" i="1"/>
  <c r="L1651" i="1"/>
  <c r="M1651" i="1"/>
  <c r="C1652" i="1"/>
  <c r="E1652" i="1"/>
  <c r="F1652" i="1"/>
  <c r="H1652" i="1"/>
  <c r="I1652" i="1"/>
  <c r="J1652" i="1"/>
  <c r="L1652" i="1"/>
  <c r="M1652" i="1"/>
  <c r="C1653" i="1"/>
  <c r="E1653" i="1"/>
  <c r="F1653" i="1"/>
  <c r="H1653" i="1"/>
  <c r="I1653" i="1"/>
  <c r="J1653" i="1"/>
  <c r="L1653" i="1"/>
  <c r="M1653" i="1"/>
  <c r="C1654" i="1"/>
  <c r="E1654" i="1"/>
  <c r="F1654" i="1"/>
  <c r="H1654" i="1"/>
  <c r="I1654" i="1"/>
  <c r="J1654" i="1"/>
  <c r="L1654" i="1"/>
  <c r="M1654" i="1"/>
  <c r="C1655" i="1"/>
  <c r="E1655" i="1"/>
  <c r="F1655" i="1"/>
  <c r="H1655" i="1"/>
  <c r="I1655" i="1"/>
  <c r="J1655" i="1"/>
  <c r="L1655" i="1"/>
  <c r="M1655" i="1"/>
  <c r="C1656" i="1"/>
  <c r="E1656" i="1"/>
  <c r="F1656" i="1"/>
  <c r="H1656" i="1"/>
  <c r="I1656" i="1"/>
  <c r="J1656" i="1"/>
  <c r="L1656" i="1"/>
  <c r="M1656" i="1"/>
  <c r="C1657" i="1"/>
  <c r="E1657" i="1"/>
  <c r="F1657" i="1"/>
  <c r="H1657" i="1"/>
  <c r="I1657" i="1"/>
  <c r="J1657" i="1"/>
  <c r="L1657" i="1"/>
  <c r="M1657" i="1"/>
  <c r="C1658" i="1"/>
  <c r="E1658" i="1"/>
  <c r="F1658" i="1"/>
  <c r="H1658" i="1"/>
  <c r="I1658" i="1"/>
  <c r="J1658" i="1"/>
  <c r="L1658" i="1"/>
  <c r="M1658" i="1"/>
  <c r="C1659" i="1"/>
  <c r="E1659" i="1"/>
  <c r="F1659" i="1"/>
  <c r="H1659" i="1"/>
  <c r="I1659" i="1"/>
  <c r="J1659" i="1"/>
  <c r="L1659" i="1"/>
  <c r="M1659" i="1"/>
  <c r="C1660" i="1"/>
  <c r="E1660" i="1"/>
  <c r="F1660" i="1"/>
  <c r="H1660" i="1"/>
  <c r="I1660" i="1"/>
  <c r="J1660" i="1"/>
  <c r="L1660" i="1"/>
  <c r="M1660" i="1"/>
  <c r="C1661" i="1"/>
  <c r="E1661" i="1"/>
  <c r="F1661" i="1"/>
  <c r="H1661" i="1"/>
  <c r="I1661" i="1"/>
  <c r="J1661" i="1"/>
  <c r="L1661" i="1"/>
  <c r="M1661" i="1"/>
  <c r="C1662" i="1"/>
  <c r="E1662" i="1"/>
  <c r="F1662" i="1"/>
  <c r="H1662" i="1"/>
  <c r="I1662" i="1"/>
  <c r="J1662" i="1"/>
  <c r="L1662" i="1"/>
  <c r="M1662" i="1"/>
  <c r="C1663" i="1"/>
  <c r="E1663" i="1"/>
  <c r="F1663" i="1"/>
  <c r="H1663" i="1"/>
  <c r="I1663" i="1"/>
  <c r="J1663" i="1"/>
  <c r="L1663" i="1"/>
  <c r="M1663" i="1"/>
  <c r="C1664" i="1"/>
  <c r="E1664" i="1"/>
  <c r="F1664" i="1"/>
  <c r="H1664" i="1"/>
  <c r="I1664" i="1"/>
  <c r="J1664" i="1"/>
  <c r="L1664" i="1"/>
  <c r="M1664" i="1"/>
  <c r="C1665" i="1"/>
  <c r="E1665" i="1"/>
  <c r="F1665" i="1"/>
  <c r="H1665" i="1"/>
  <c r="I1665" i="1"/>
  <c r="J1665" i="1"/>
  <c r="L1665" i="1"/>
  <c r="M1665" i="1"/>
  <c r="C1666" i="1"/>
  <c r="E1666" i="1"/>
  <c r="F1666" i="1"/>
  <c r="H1666" i="1"/>
  <c r="I1666" i="1"/>
  <c r="J1666" i="1"/>
  <c r="L1666" i="1"/>
  <c r="M1666" i="1"/>
  <c r="C1667" i="1"/>
  <c r="E1667" i="1"/>
  <c r="F1667" i="1"/>
  <c r="H1667" i="1"/>
  <c r="I1667" i="1"/>
  <c r="J1667" i="1"/>
  <c r="L1667" i="1"/>
  <c r="M1667" i="1"/>
  <c r="C1668" i="1"/>
  <c r="E1668" i="1"/>
  <c r="F1668" i="1"/>
  <c r="H1668" i="1"/>
  <c r="I1668" i="1"/>
  <c r="J1668" i="1"/>
  <c r="L1668" i="1"/>
  <c r="M1668" i="1"/>
  <c r="C1669" i="1"/>
  <c r="E1669" i="1"/>
  <c r="F1669" i="1"/>
  <c r="H1669" i="1"/>
  <c r="I1669" i="1"/>
  <c r="J1669" i="1"/>
  <c r="L1669" i="1"/>
  <c r="M1669" i="1"/>
  <c r="C1670" i="1"/>
  <c r="E1670" i="1"/>
  <c r="F1670" i="1"/>
  <c r="H1670" i="1"/>
  <c r="I1670" i="1"/>
  <c r="J1670" i="1"/>
  <c r="L1670" i="1"/>
  <c r="M1670" i="1"/>
  <c r="C1671" i="1"/>
  <c r="E1671" i="1"/>
  <c r="F1671" i="1"/>
  <c r="H1671" i="1"/>
  <c r="I1671" i="1"/>
  <c r="J1671" i="1"/>
  <c r="L1671" i="1"/>
  <c r="M1671" i="1"/>
  <c r="C1672" i="1"/>
  <c r="E1672" i="1"/>
  <c r="F1672" i="1"/>
  <c r="H1672" i="1"/>
  <c r="I1672" i="1"/>
  <c r="J1672" i="1"/>
  <c r="L1672" i="1"/>
  <c r="M1672" i="1"/>
  <c r="C1673" i="1"/>
  <c r="E1673" i="1"/>
  <c r="F1673" i="1"/>
  <c r="H1673" i="1"/>
  <c r="I1673" i="1"/>
  <c r="J1673" i="1"/>
  <c r="L1673" i="1"/>
  <c r="M1673" i="1"/>
  <c r="C1674" i="1"/>
  <c r="E1674" i="1"/>
  <c r="F1674" i="1"/>
  <c r="H1674" i="1"/>
  <c r="I1674" i="1"/>
  <c r="J1674" i="1"/>
  <c r="L1674" i="1"/>
  <c r="M1674" i="1"/>
  <c r="C1675" i="1"/>
  <c r="E1675" i="1"/>
  <c r="F1675" i="1"/>
  <c r="H1675" i="1"/>
  <c r="I1675" i="1"/>
  <c r="J1675" i="1"/>
  <c r="L1675" i="1"/>
  <c r="M1675" i="1"/>
  <c r="C1676" i="1"/>
  <c r="E1676" i="1"/>
  <c r="F1676" i="1"/>
  <c r="H1676" i="1"/>
  <c r="I1676" i="1"/>
  <c r="J1676" i="1"/>
  <c r="L1676" i="1"/>
  <c r="M1676" i="1"/>
  <c r="C1677" i="1"/>
  <c r="E1677" i="1"/>
  <c r="F1677" i="1"/>
  <c r="H1677" i="1"/>
  <c r="I1677" i="1"/>
  <c r="J1677" i="1"/>
  <c r="L1677" i="1"/>
  <c r="M1677" i="1"/>
  <c r="C1678" i="1"/>
  <c r="E1678" i="1"/>
  <c r="F1678" i="1"/>
  <c r="H1678" i="1"/>
  <c r="I1678" i="1"/>
  <c r="J1678" i="1"/>
  <c r="L1678" i="1"/>
  <c r="M1678" i="1"/>
  <c r="C1679" i="1"/>
  <c r="E1679" i="1"/>
  <c r="F1679" i="1"/>
  <c r="H1679" i="1"/>
  <c r="I1679" i="1"/>
  <c r="J1679" i="1"/>
  <c r="L1679" i="1"/>
  <c r="M1679" i="1"/>
  <c r="C1680" i="1"/>
  <c r="E1680" i="1"/>
  <c r="F1680" i="1"/>
  <c r="H1680" i="1"/>
  <c r="I1680" i="1"/>
  <c r="J1680" i="1"/>
  <c r="L1680" i="1"/>
  <c r="M1680" i="1"/>
  <c r="C1681" i="1"/>
  <c r="E1681" i="1"/>
  <c r="F1681" i="1"/>
  <c r="H1681" i="1"/>
  <c r="I1681" i="1"/>
  <c r="J1681" i="1"/>
  <c r="L1681" i="1"/>
  <c r="M1681" i="1"/>
  <c r="C1682" i="1"/>
  <c r="E1682" i="1"/>
  <c r="F1682" i="1"/>
  <c r="H1682" i="1"/>
  <c r="I1682" i="1"/>
  <c r="J1682" i="1"/>
  <c r="L1682" i="1"/>
  <c r="M1682" i="1"/>
  <c r="C1683" i="1"/>
  <c r="E1683" i="1"/>
  <c r="F1683" i="1"/>
  <c r="H1683" i="1"/>
  <c r="I1683" i="1"/>
  <c r="J1683" i="1"/>
  <c r="L1683" i="1"/>
  <c r="M1683" i="1"/>
  <c r="C1684" i="1"/>
  <c r="E1684" i="1"/>
  <c r="F1684" i="1"/>
  <c r="H1684" i="1"/>
  <c r="I1684" i="1"/>
  <c r="J1684" i="1"/>
  <c r="L1684" i="1"/>
  <c r="M1684" i="1"/>
  <c r="C1685" i="1"/>
  <c r="E1685" i="1"/>
  <c r="F1685" i="1"/>
  <c r="H1685" i="1"/>
  <c r="I1685" i="1"/>
  <c r="J1685" i="1"/>
  <c r="L1685" i="1"/>
  <c r="M1685" i="1"/>
  <c r="C1686" i="1"/>
  <c r="E1686" i="1"/>
  <c r="F1686" i="1"/>
  <c r="H1686" i="1"/>
  <c r="I1686" i="1"/>
  <c r="J1686" i="1"/>
  <c r="L1686" i="1"/>
  <c r="M1686" i="1"/>
  <c r="C1687" i="1"/>
  <c r="E1687" i="1"/>
  <c r="F1687" i="1"/>
  <c r="H1687" i="1"/>
  <c r="I1687" i="1"/>
  <c r="J1687" i="1"/>
  <c r="L1687" i="1"/>
  <c r="M1687" i="1"/>
  <c r="C1688" i="1"/>
  <c r="E1688" i="1"/>
  <c r="F1688" i="1"/>
  <c r="H1688" i="1"/>
  <c r="I1688" i="1"/>
  <c r="J1688" i="1"/>
  <c r="L1688" i="1"/>
  <c r="M1688" i="1"/>
  <c r="C1689" i="1"/>
  <c r="E1689" i="1"/>
  <c r="F1689" i="1"/>
  <c r="H1689" i="1"/>
  <c r="I1689" i="1"/>
  <c r="J1689" i="1"/>
  <c r="L1689" i="1"/>
  <c r="M1689" i="1"/>
  <c r="C1690" i="1"/>
  <c r="E1690" i="1"/>
  <c r="F1690" i="1"/>
  <c r="H1690" i="1"/>
  <c r="I1690" i="1"/>
  <c r="J1690" i="1"/>
  <c r="L1690" i="1"/>
  <c r="M1690" i="1"/>
  <c r="C1691" i="1"/>
  <c r="E1691" i="1"/>
  <c r="F1691" i="1"/>
  <c r="H1691" i="1"/>
  <c r="I1691" i="1"/>
  <c r="J1691" i="1"/>
  <c r="L1691" i="1"/>
  <c r="M1691" i="1"/>
  <c r="C1692" i="1"/>
  <c r="E1692" i="1"/>
  <c r="F1692" i="1"/>
  <c r="H1692" i="1"/>
  <c r="I1692" i="1"/>
  <c r="J1692" i="1"/>
  <c r="L1692" i="1"/>
  <c r="M1692" i="1"/>
  <c r="C1693" i="1"/>
  <c r="E1693" i="1"/>
  <c r="F1693" i="1"/>
  <c r="H1693" i="1"/>
  <c r="I1693" i="1"/>
  <c r="J1693" i="1"/>
  <c r="L1693" i="1"/>
  <c r="M1693" i="1"/>
  <c r="C1694" i="1"/>
  <c r="E1694" i="1"/>
  <c r="F1694" i="1"/>
  <c r="H1694" i="1"/>
  <c r="I1694" i="1"/>
  <c r="J1694" i="1"/>
  <c r="L1694" i="1"/>
  <c r="M1694" i="1"/>
  <c r="C1695" i="1"/>
  <c r="E1695" i="1"/>
  <c r="F1695" i="1"/>
  <c r="H1695" i="1"/>
  <c r="I1695" i="1"/>
  <c r="J1695" i="1"/>
  <c r="L1695" i="1"/>
  <c r="M1695" i="1"/>
  <c r="C1696" i="1"/>
  <c r="E1696" i="1"/>
  <c r="F1696" i="1"/>
  <c r="H1696" i="1"/>
  <c r="I1696" i="1"/>
  <c r="J1696" i="1"/>
  <c r="L1696" i="1"/>
  <c r="M1696" i="1"/>
  <c r="C1697" i="1"/>
  <c r="E1697" i="1"/>
  <c r="F1697" i="1"/>
  <c r="H1697" i="1"/>
  <c r="I1697" i="1"/>
  <c r="J1697" i="1"/>
  <c r="L1697" i="1"/>
  <c r="M1697" i="1"/>
  <c r="C1698" i="1"/>
  <c r="E1698" i="1"/>
  <c r="F1698" i="1"/>
  <c r="H1698" i="1"/>
  <c r="I1698" i="1"/>
  <c r="J1698" i="1"/>
  <c r="L1698" i="1"/>
  <c r="M1698" i="1"/>
  <c r="C1699" i="1"/>
  <c r="E1699" i="1"/>
  <c r="F1699" i="1"/>
  <c r="H1699" i="1"/>
  <c r="I1699" i="1"/>
  <c r="J1699" i="1"/>
  <c r="L1699" i="1"/>
  <c r="M1699" i="1"/>
  <c r="C1700" i="1"/>
  <c r="E1700" i="1"/>
  <c r="F1700" i="1"/>
  <c r="H1700" i="1"/>
  <c r="I1700" i="1"/>
  <c r="J1700" i="1"/>
  <c r="L1700" i="1"/>
  <c r="M1700" i="1"/>
  <c r="C1701" i="1"/>
  <c r="E1701" i="1"/>
  <c r="F1701" i="1"/>
  <c r="H1701" i="1"/>
  <c r="I1701" i="1"/>
  <c r="J1701" i="1"/>
  <c r="L1701" i="1"/>
  <c r="M1701" i="1"/>
  <c r="C1702" i="1"/>
  <c r="E1702" i="1"/>
  <c r="F1702" i="1"/>
  <c r="H1702" i="1"/>
  <c r="I1702" i="1"/>
  <c r="J1702" i="1"/>
  <c r="L1702" i="1"/>
  <c r="M1702" i="1"/>
  <c r="C1703" i="1"/>
  <c r="E1703" i="1"/>
  <c r="F1703" i="1"/>
  <c r="H1703" i="1"/>
  <c r="I1703" i="1"/>
  <c r="J1703" i="1"/>
  <c r="L1703" i="1"/>
  <c r="M1703" i="1"/>
  <c r="C1704" i="1"/>
  <c r="E1704" i="1"/>
  <c r="F1704" i="1"/>
  <c r="H1704" i="1"/>
  <c r="I1704" i="1"/>
  <c r="J1704" i="1"/>
  <c r="L1704" i="1"/>
  <c r="M1704" i="1"/>
  <c r="C1705" i="1"/>
  <c r="E1705" i="1"/>
  <c r="F1705" i="1"/>
  <c r="H1705" i="1"/>
  <c r="I1705" i="1"/>
  <c r="J1705" i="1"/>
  <c r="L1705" i="1"/>
  <c r="M1705" i="1"/>
  <c r="C1706" i="1"/>
  <c r="E1706" i="1"/>
  <c r="F1706" i="1"/>
  <c r="H1706" i="1"/>
  <c r="I1706" i="1"/>
  <c r="J1706" i="1"/>
  <c r="L1706" i="1"/>
  <c r="M1706" i="1"/>
  <c r="C1707" i="1"/>
  <c r="E1707" i="1"/>
  <c r="F1707" i="1"/>
  <c r="H1707" i="1"/>
  <c r="I1707" i="1"/>
  <c r="J1707" i="1"/>
  <c r="L1707" i="1"/>
  <c r="M1707" i="1"/>
  <c r="C1708" i="1"/>
  <c r="E1708" i="1"/>
  <c r="F1708" i="1"/>
  <c r="H1708" i="1"/>
  <c r="I1708" i="1"/>
  <c r="J1708" i="1"/>
  <c r="L1708" i="1"/>
  <c r="M1708" i="1"/>
  <c r="C1709" i="1"/>
  <c r="E1709" i="1"/>
  <c r="F1709" i="1"/>
  <c r="H1709" i="1"/>
  <c r="I1709" i="1"/>
  <c r="J1709" i="1"/>
  <c r="L1709" i="1"/>
  <c r="M1709" i="1"/>
  <c r="C1710" i="1"/>
  <c r="E1710" i="1"/>
  <c r="F1710" i="1"/>
  <c r="H1710" i="1"/>
  <c r="I1710" i="1"/>
  <c r="J1710" i="1"/>
  <c r="L1710" i="1"/>
  <c r="M1710" i="1"/>
  <c r="C1711" i="1"/>
  <c r="E1711" i="1"/>
  <c r="F1711" i="1"/>
  <c r="H1711" i="1"/>
  <c r="I1711" i="1"/>
  <c r="J1711" i="1"/>
  <c r="L1711" i="1"/>
  <c r="M1711" i="1"/>
  <c r="C1712" i="1"/>
  <c r="E1712" i="1"/>
  <c r="F1712" i="1"/>
  <c r="H1712" i="1"/>
  <c r="I1712" i="1"/>
  <c r="J1712" i="1"/>
  <c r="L1712" i="1"/>
  <c r="M1712" i="1"/>
  <c r="C1713" i="1"/>
  <c r="E1713" i="1"/>
  <c r="F1713" i="1"/>
  <c r="H1713" i="1"/>
  <c r="I1713" i="1"/>
  <c r="J1713" i="1"/>
  <c r="L1713" i="1"/>
  <c r="M1713" i="1"/>
  <c r="C1714" i="1"/>
  <c r="E1714" i="1"/>
  <c r="F1714" i="1"/>
  <c r="H1714" i="1"/>
  <c r="I1714" i="1"/>
  <c r="J1714" i="1"/>
  <c r="L1714" i="1"/>
  <c r="M1714" i="1"/>
  <c r="C1715" i="1"/>
  <c r="E1715" i="1"/>
  <c r="F1715" i="1"/>
  <c r="H1715" i="1"/>
  <c r="I1715" i="1"/>
  <c r="J1715" i="1"/>
  <c r="L1715" i="1"/>
  <c r="M1715" i="1"/>
  <c r="C1716" i="1"/>
  <c r="E1716" i="1"/>
  <c r="F1716" i="1"/>
  <c r="H1716" i="1"/>
  <c r="I1716" i="1"/>
  <c r="J1716" i="1"/>
  <c r="L1716" i="1"/>
  <c r="M1716" i="1"/>
  <c r="C1717" i="1"/>
  <c r="E1717" i="1"/>
  <c r="F1717" i="1"/>
  <c r="H1717" i="1"/>
  <c r="I1717" i="1"/>
  <c r="J1717" i="1"/>
  <c r="L1717" i="1"/>
  <c r="M1717" i="1"/>
  <c r="C1718" i="1"/>
  <c r="E1718" i="1"/>
  <c r="F1718" i="1"/>
  <c r="H1718" i="1"/>
  <c r="I1718" i="1"/>
  <c r="J1718" i="1"/>
  <c r="L1718" i="1"/>
  <c r="M1718" i="1"/>
  <c r="C1719" i="1"/>
  <c r="E1719" i="1"/>
  <c r="F1719" i="1"/>
  <c r="H1719" i="1"/>
  <c r="I1719" i="1"/>
  <c r="J1719" i="1"/>
  <c r="L1719" i="1"/>
  <c r="M1719" i="1"/>
  <c r="C1720" i="1"/>
  <c r="E1720" i="1"/>
  <c r="F1720" i="1"/>
  <c r="H1720" i="1"/>
  <c r="I1720" i="1"/>
  <c r="J1720" i="1"/>
  <c r="L1720" i="1"/>
  <c r="M1720" i="1"/>
  <c r="C1721" i="1"/>
  <c r="E1721" i="1"/>
  <c r="F1721" i="1"/>
  <c r="H1721" i="1"/>
  <c r="I1721" i="1"/>
  <c r="J1721" i="1"/>
  <c r="L1721" i="1"/>
  <c r="M1721" i="1"/>
  <c r="C1722" i="1"/>
  <c r="E1722" i="1"/>
  <c r="F1722" i="1"/>
  <c r="H1722" i="1"/>
  <c r="I1722" i="1"/>
  <c r="J1722" i="1"/>
  <c r="L1722" i="1"/>
  <c r="M1722" i="1"/>
  <c r="C1723" i="1"/>
  <c r="E1723" i="1"/>
  <c r="F1723" i="1"/>
  <c r="H1723" i="1"/>
  <c r="I1723" i="1"/>
  <c r="J1723" i="1"/>
  <c r="L1723" i="1"/>
  <c r="M1723" i="1"/>
  <c r="C1724" i="1"/>
  <c r="E1724" i="1"/>
  <c r="F1724" i="1"/>
  <c r="H1724" i="1"/>
  <c r="I1724" i="1"/>
  <c r="J1724" i="1"/>
  <c r="L1724" i="1"/>
  <c r="M1724" i="1"/>
  <c r="C1725" i="1"/>
  <c r="E1725" i="1"/>
  <c r="F1725" i="1"/>
  <c r="H1725" i="1"/>
  <c r="I1725" i="1"/>
  <c r="J1725" i="1"/>
  <c r="L1725" i="1"/>
  <c r="M1725" i="1"/>
  <c r="C1726" i="1"/>
  <c r="E1726" i="1"/>
  <c r="F1726" i="1"/>
  <c r="H1726" i="1"/>
  <c r="I1726" i="1"/>
  <c r="J1726" i="1"/>
  <c r="L1726" i="1"/>
  <c r="M1726" i="1"/>
  <c r="C1727" i="1"/>
  <c r="E1727" i="1"/>
  <c r="F1727" i="1"/>
  <c r="H1727" i="1"/>
  <c r="I1727" i="1"/>
  <c r="J1727" i="1"/>
  <c r="L1727" i="1"/>
  <c r="M1727" i="1"/>
  <c r="C1728" i="1"/>
  <c r="E1728" i="1"/>
  <c r="F1728" i="1"/>
  <c r="H1728" i="1"/>
  <c r="I1728" i="1"/>
  <c r="J1728" i="1"/>
  <c r="L1728" i="1"/>
  <c r="M1728" i="1"/>
  <c r="C1729" i="1"/>
  <c r="E1729" i="1"/>
  <c r="F1729" i="1"/>
  <c r="H1729" i="1"/>
  <c r="I1729" i="1"/>
  <c r="J1729" i="1"/>
  <c r="L1729" i="1"/>
  <c r="M1729" i="1"/>
  <c r="C1730" i="1"/>
  <c r="E1730" i="1"/>
  <c r="F1730" i="1"/>
  <c r="H1730" i="1"/>
  <c r="I1730" i="1"/>
  <c r="J1730" i="1"/>
  <c r="L1730" i="1"/>
  <c r="M1730" i="1"/>
  <c r="C1731" i="1"/>
  <c r="E1731" i="1"/>
  <c r="F1731" i="1"/>
  <c r="H1731" i="1"/>
  <c r="I1731" i="1"/>
  <c r="J1731" i="1"/>
  <c r="L1731" i="1"/>
  <c r="M1731" i="1"/>
  <c r="C1732" i="1"/>
  <c r="E1732" i="1"/>
  <c r="F1732" i="1"/>
  <c r="H1732" i="1"/>
  <c r="I1732" i="1"/>
  <c r="J1732" i="1"/>
  <c r="L1732" i="1"/>
  <c r="M1732" i="1"/>
  <c r="C1733" i="1"/>
  <c r="E1733" i="1"/>
  <c r="F1733" i="1"/>
  <c r="H1733" i="1"/>
  <c r="I1733" i="1"/>
  <c r="J1733" i="1"/>
  <c r="L1733" i="1"/>
  <c r="M1733" i="1"/>
  <c r="C1734" i="1"/>
  <c r="E1734" i="1"/>
  <c r="F1734" i="1"/>
  <c r="H1734" i="1"/>
  <c r="I1734" i="1"/>
  <c r="J1734" i="1"/>
  <c r="L1734" i="1"/>
  <c r="M1734" i="1"/>
  <c r="C1735" i="1"/>
  <c r="E1735" i="1"/>
  <c r="F1735" i="1"/>
  <c r="H1735" i="1"/>
  <c r="I1735" i="1"/>
  <c r="J1735" i="1"/>
  <c r="L1735" i="1"/>
  <c r="M1735" i="1"/>
  <c r="C1736" i="1"/>
  <c r="E1736" i="1"/>
  <c r="F1736" i="1"/>
  <c r="H1736" i="1"/>
  <c r="I1736" i="1"/>
  <c r="J1736" i="1"/>
  <c r="L1736" i="1"/>
  <c r="M1736" i="1"/>
  <c r="C1737" i="1"/>
  <c r="E1737" i="1"/>
  <c r="F1737" i="1"/>
  <c r="H1737" i="1"/>
  <c r="I1737" i="1"/>
  <c r="J1737" i="1"/>
  <c r="L1737" i="1"/>
  <c r="M1737" i="1"/>
  <c r="C1738" i="1"/>
  <c r="E1738" i="1"/>
  <c r="F1738" i="1"/>
  <c r="H1738" i="1"/>
  <c r="I1738" i="1"/>
  <c r="J1738" i="1"/>
  <c r="L1738" i="1"/>
  <c r="M1738" i="1"/>
  <c r="C1739" i="1"/>
  <c r="E1739" i="1"/>
  <c r="F1739" i="1"/>
  <c r="H1739" i="1"/>
  <c r="I1739" i="1"/>
  <c r="J1739" i="1"/>
  <c r="L1739" i="1"/>
  <c r="M1739" i="1"/>
  <c r="C1740" i="1"/>
  <c r="E1740" i="1"/>
  <c r="F1740" i="1"/>
  <c r="H1740" i="1"/>
  <c r="I1740" i="1"/>
  <c r="J1740" i="1"/>
  <c r="L1740" i="1"/>
  <c r="M1740" i="1"/>
  <c r="C1741" i="1"/>
  <c r="E1741" i="1"/>
  <c r="F1741" i="1"/>
  <c r="H1741" i="1"/>
  <c r="I1741" i="1"/>
  <c r="J1741" i="1"/>
  <c r="L1741" i="1"/>
  <c r="M1741" i="1"/>
  <c r="C1742" i="1"/>
  <c r="E1742" i="1"/>
  <c r="F1742" i="1"/>
  <c r="H1742" i="1"/>
  <c r="I1742" i="1"/>
  <c r="J1742" i="1"/>
  <c r="L1742" i="1"/>
  <c r="M1742" i="1"/>
  <c r="C1743" i="1"/>
  <c r="E1743" i="1"/>
  <c r="F1743" i="1"/>
  <c r="H1743" i="1"/>
  <c r="I1743" i="1"/>
  <c r="J1743" i="1"/>
  <c r="L1743" i="1"/>
  <c r="M1743" i="1"/>
  <c r="C1744" i="1"/>
  <c r="E1744" i="1"/>
  <c r="F1744" i="1"/>
  <c r="H1744" i="1"/>
  <c r="I1744" i="1"/>
  <c r="J1744" i="1"/>
  <c r="L1744" i="1"/>
  <c r="M1744" i="1"/>
  <c r="C1745" i="1"/>
  <c r="E1745" i="1"/>
  <c r="F1745" i="1"/>
  <c r="H1745" i="1"/>
  <c r="I1745" i="1"/>
  <c r="J1745" i="1"/>
  <c r="L1745" i="1"/>
  <c r="M1745" i="1"/>
  <c r="C1746" i="1"/>
  <c r="E1746" i="1"/>
  <c r="F1746" i="1"/>
  <c r="H1746" i="1"/>
  <c r="I1746" i="1"/>
  <c r="J1746" i="1"/>
  <c r="L1746" i="1"/>
  <c r="M1746" i="1"/>
  <c r="C1747" i="1"/>
  <c r="E1747" i="1"/>
  <c r="F1747" i="1"/>
  <c r="H1747" i="1"/>
  <c r="I1747" i="1"/>
  <c r="J1747" i="1"/>
  <c r="L1747" i="1"/>
  <c r="M1747" i="1"/>
  <c r="C1748" i="1"/>
  <c r="E1748" i="1"/>
  <c r="F1748" i="1"/>
  <c r="H1748" i="1"/>
  <c r="I1748" i="1"/>
  <c r="J1748" i="1"/>
  <c r="L1748" i="1"/>
  <c r="M1748" i="1"/>
  <c r="C1749" i="1"/>
  <c r="E1749" i="1"/>
  <c r="F1749" i="1"/>
  <c r="H1749" i="1"/>
  <c r="I1749" i="1"/>
  <c r="J1749" i="1"/>
  <c r="L1749" i="1"/>
  <c r="M1749" i="1"/>
  <c r="C1750" i="1"/>
  <c r="E1750" i="1"/>
  <c r="F1750" i="1"/>
  <c r="H1750" i="1"/>
  <c r="I1750" i="1"/>
  <c r="J1750" i="1"/>
  <c r="L1750" i="1"/>
  <c r="M1750" i="1"/>
  <c r="C1751" i="1"/>
  <c r="E1751" i="1"/>
  <c r="F1751" i="1"/>
  <c r="H1751" i="1"/>
  <c r="I1751" i="1"/>
  <c r="J1751" i="1"/>
  <c r="L1751" i="1"/>
  <c r="M1751" i="1"/>
  <c r="C1752" i="1"/>
  <c r="E1752" i="1"/>
  <c r="F1752" i="1"/>
  <c r="H1752" i="1"/>
  <c r="I1752" i="1"/>
  <c r="J1752" i="1"/>
  <c r="L1752" i="1"/>
  <c r="M1752" i="1"/>
  <c r="C1753" i="1"/>
  <c r="E1753" i="1"/>
  <c r="F1753" i="1"/>
  <c r="H1753" i="1"/>
  <c r="I1753" i="1"/>
  <c r="J1753" i="1"/>
  <c r="L1753" i="1"/>
  <c r="M1753" i="1"/>
  <c r="C1754" i="1"/>
  <c r="E1754" i="1"/>
  <c r="F1754" i="1"/>
  <c r="H1754" i="1"/>
  <c r="I1754" i="1"/>
  <c r="J1754" i="1"/>
  <c r="L1754" i="1"/>
  <c r="M1754" i="1"/>
  <c r="C1755" i="1"/>
  <c r="E1755" i="1"/>
  <c r="F1755" i="1"/>
  <c r="H1755" i="1"/>
  <c r="I1755" i="1"/>
  <c r="J1755" i="1"/>
  <c r="L1755" i="1"/>
  <c r="M1755" i="1"/>
  <c r="C1756" i="1"/>
  <c r="E1756" i="1"/>
  <c r="F1756" i="1"/>
  <c r="H1756" i="1"/>
  <c r="I1756" i="1"/>
  <c r="J1756" i="1"/>
  <c r="L1756" i="1"/>
  <c r="M1756" i="1"/>
  <c r="C1757" i="1"/>
  <c r="E1757" i="1"/>
  <c r="F1757" i="1"/>
  <c r="H1757" i="1"/>
  <c r="I1757" i="1"/>
  <c r="J1757" i="1"/>
  <c r="L1757" i="1"/>
  <c r="M1757" i="1"/>
  <c r="C1758" i="1"/>
  <c r="E1758" i="1"/>
  <c r="F1758" i="1"/>
  <c r="H1758" i="1"/>
  <c r="I1758" i="1"/>
  <c r="J1758" i="1"/>
  <c r="L1758" i="1"/>
  <c r="M1758" i="1"/>
  <c r="C1759" i="1"/>
  <c r="E1759" i="1"/>
  <c r="F1759" i="1"/>
  <c r="H1759" i="1"/>
  <c r="I1759" i="1"/>
  <c r="J1759" i="1"/>
  <c r="L1759" i="1"/>
  <c r="M1759" i="1"/>
  <c r="C1760" i="1"/>
  <c r="E1760" i="1"/>
  <c r="F1760" i="1"/>
  <c r="H1760" i="1"/>
  <c r="I1760" i="1"/>
  <c r="J1760" i="1"/>
  <c r="L1760" i="1"/>
  <c r="M1760" i="1"/>
  <c r="C1761" i="1"/>
  <c r="E1761" i="1"/>
  <c r="F1761" i="1"/>
  <c r="H1761" i="1"/>
  <c r="I1761" i="1"/>
  <c r="J1761" i="1"/>
  <c r="L1761" i="1"/>
  <c r="M1761" i="1"/>
  <c r="C1762" i="1"/>
  <c r="E1762" i="1"/>
  <c r="F1762" i="1"/>
  <c r="H1762" i="1"/>
  <c r="I1762" i="1"/>
  <c r="J1762" i="1"/>
  <c r="L1762" i="1"/>
  <c r="M1762" i="1"/>
  <c r="C1763" i="1"/>
  <c r="E1763" i="1"/>
  <c r="F1763" i="1"/>
  <c r="H1763" i="1"/>
  <c r="I1763" i="1"/>
  <c r="J1763" i="1"/>
  <c r="L1763" i="1"/>
  <c r="M1763" i="1"/>
  <c r="C1764" i="1"/>
  <c r="E1764" i="1"/>
  <c r="F1764" i="1"/>
  <c r="H1764" i="1"/>
  <c r="I1764" i="1"/>
  <c r="J1764" i="1"/>
  <c r="L1764" i="1"/>
  <c r="M1764" i="1"/>
  <c r="C1765" i="1"/>
  <c r="E1765" i="1"/>
  <c r="F1765" i="1"/>
  <c r="H1765" i="1"/>
  <c r="I1765" i="1"/>
  <c r="J1765" i="1"/>
  <c r="L1765" i="1"/>
  <c r="M1765" i="1"/>
  <c r="C1766" i="1"/>
  <c r="E1766" i="1"/>
  <c r="F1766" i="1"/>
  <c r="H1766" i="1"/>
  <c r="I1766" i="1"/>
  <c r="J1766" i="1"/>
  <c r="L1766" i="1"/>
  <c r="M1766" i="1"/>
  <c r="C1767" i="1"/>
  <c r="E1767" i="1"/>
  <c r="F1767" i="1"/>
  <c r="H1767" i="1"/>
  <c r="I1767" i="1"/>
  <c r="J1767" i="1"/>
  <c r="L1767" i="1"/>
  <c r="M1767" i="1"/>
  <c r="C1768" i="1"/>
  <c r="E1768" i="1"/>
  <c r="F1768" i="1"/>
  <c r="H1768" i="1"/>
  <c r="I1768" i="1"/>
  <c r="J1768" i="1"/>
  <c r="L1768" i="1"/>
  <c r="M1768" i="1"/>
  <c r="C1769" i="1"/>
  <c r="E1769" i="1"/>
  <c r="F1769" i="1"/>
  <c r="H1769" i="1"/>
  <c r="I1769" i="1"/>
  <c r="J1769" i="1"/>
  <c r="L1769" i="1"/>
  <c r="M1769" i="1"/>
  <c r="C1770" i="1"/>
  <c r="E1770" i="1"/>
  <c r="F1770" i="1"/>
  <c r="H1770" i="1"/>
  <c r="I1770" i="1"/>
  <c r="J1770" i="1"/>
  <c r="L1770" i="1"/>
  <c r="M1770" i="1"/>
  <c r="C1771" i="1"/>
  <c r="E1771" i="1"/>
  <c r="F1771" i="1"/>
  <c r="H1771" i="1"/>
  <c r="I1771" i="1"/>
  <c r="J1771" i="1"/>
  <c r="L1771" i="1"/>
  <c r="M1771" i="1"/>
  <c r="C1772" i="1"/>
  <c r="E1772" i="1"/>
  <c r="F1772" i="1"/>
  <c r="H1772" i="1"/>
  <c r="I1772" i="1"/>
  <c r="J1772" i="1"/>
  <c r="L1772" i="1"/>
  <c r="M1772" i="1"/>
  <c r="C1773" i="1"/>
  <c r="E1773" i="1"/>
  <c r="F1773" i="1"/>
  <c r="H1773" i="1"/>
  <c r="I1773" i="1"/>
  <c r="J1773" i="1"/>
  <c r="L1773" i="1"/>
  <c r="M1773" i="1"/>
  <c r="C1774" i="1"/>
  <c r="E1774" i="1"/>
  <c r="F1774" i="1"/>
  <c r="H1774" i="1"/>
  <c r="I1774" i="1"/>
  <c r="J1774" i="1"/>
  <c r="L1774" i="1"/>
  <c r="M1774" i="1"/>
  <c r="C1775" i="1"/>
  <c r="E1775" i="1"/>
  <c r="F1775" i="1"/>
  <c r="H1775" i="1"/>
  <c r="I1775" i="1"/>
  <c r="J1775" i="1"/>
  <c r="L1775" i="1"/>
  <c r="M1775" i="1"/>
  <c r="C1776" i="1"/>
  <c r="E1776" i="1"/>
  <c r="F1776" i="1"/>
  <c r="H1776" i="1"/>
  <c r="I1776" i="1"/>
  <c r="J1776" i="1"/>
  <c r="L1776" i="1"/>
  <c r="M1776" i="1"/>
  <c r="C1777" i="1"/>
  <c r="E1777" i="1"/>
  <c r="F1777" i="1"/>
  <c r="H1777" i="1"/>
  <c r="I1777" i="1"/>
  <c r="J1777" i="1"/>
  <c r="L1777" i="1"/>
  <c r="M1777" i="1"/>
  <c r="C1778" i="1"/>
  <c r="E1778" i="1"/>
  <c r="F1778" i="1"/>
  <c r="H1778" i="1"/>
  <c r="I1778" i="1"/>
  <c r="J1778" i="1"/>
  <c r="L1778" i="1"/>
  <c r="M1778" i="1"/>
  <c r="C1779" i="1"/>
  <c r="E1779" i="1"/>
  <c r="F1779" i="1"/>
  <c r="H1779" i="1"/>
  <c r="I1779" i="1"/>
  <c r="J1779" i="1"/>
  <c r="L1779" i="1"/>
  <c r="M1779" i="1"/>
  <c r="C1780" i="1"/>
  <c r="E1780" i="1"/>
  <c r="F1780" i="1"/>
  <c r="H1780" i="1"/>
  <c r="I1780" i="1"/>
  <c r="J1780" i="1"/>
  <c r="L1780" i="1"/>
  <c r="M1780" i="1"/>
  <c r="C1781" i="1"/>
  <c r="E1781" i="1"/>
  <c r="F1781" i="1"/>
  <c r="H1781" i="1"/>
  <c r="I1781" i="1"/>
  <c r="J1781" i="1"/>
  <c r="L1781" i="1"/>
  <c r="M1781" i="1"/>
  <c r="C1782" i="1"/>
  <c r="E1782" i="1"/>
  <c r="F1782" i="1"/>
  <c r="H1782" i="1"/>
  <c r="I1782" i="1"/>
  <c r="J1782" i="1"/>
  <c r="L1782" i="1"/>
  <c r="M1782" i="1"/>
  <c r="C1783" i="1"/>
  <c r="E1783" i="1"/>
  <c r="F1783" i="1"/>
  <c r="H1783" i="1"/>
  <c r="I1783" i="1"/>
  <c r="J1783" i="1"/>
  <c r="L1783" i="1"/>
  <c r="M1783" i="1"/>
  <c r="C1784" i="1"/>
  <c r="E1784" i="1"/>
  <c r="F1784" i="1"/>
  <c r="H1784" i="1"/>
  <c r="I1784" i="1"/>
  <c r="J1784" i="1"/>
  <c r="L1784" i="1"/>
  <c r="M1784" i="1"/>
  <c r="C1785" i="1"/>
  <c r="E1785" i="1"/>
  <c r="F1785" i="1"/>
  <c r="H1785" i="1"/>
  <c r="I1785" i="1"/>
  <c r="J1785" i="1"/>
  <c r="L1785" i="1"/>
  <c r="M1785" i="1"/>
  <c r="C1786" i="1"/>
  <c r="E1786" i="1"/>
  <c r="F1786" i="1"/>
  <c r="H1786" i="1"/>
  <c r="I1786" i="1"/>
  <c r="J1786" i="1"/>
  <c r="L1786" i="1"/>
  <c r="M1786" i="1"/>
  <c r="C1787" i="1"/>
  <c r="E1787" i="1"/>
  <c r="F1787" i="1"/>
  <c r="H1787" i="1"/>
  <c r="I1787" i="1"/>
  <c r="J1787" i="1"/>
  <c r="L1787" i="1"/>
  <c r="M1787" i="1"/>
  <c r="C1788" i="1"/>
  <c r="E1788" i="1"/>
  <c r="F1788" i="1"/>
  <c r="H1788" i="1"/>
  <c r="I1788" i="1"/>
  <c r="J1788" i="1"/>
  <c r="L1788" i="1"/>
  <c r="M1788" i="1"/>
  <c r="C1789" i="1"/>
  <c r="E1789" i="1"/>
  <c r="F1789" i="1"/>
  <c r="H1789" i="1"/>
  <c r="I1789" i="1"/>
  <c r="J1789" i="1"/>
  <c r="L1789" i="1"/>
  <c r="M1789" i="1"/>
  <c r="C1790" i="1"/>
  <c r="E1790" i="1"/>
  <c r="F1790" i="1"/>
  <c r="H1790" i="1"/>
  <c r="I1790" i="1"/>
  <c r="J1790" i="1"/>
  <c r="L1790" i="1"/>
  <c r="M1790" i="1"/>
  <c r="C1791" i="1"/>
  <c r="E1791" i="1"/>
  <c r="F1791" i="1"/>
  <c r="H1791" i="1"/>
  <c r="I1791" i="1"/>
  <c r="J1791" i="1"/>
  <c r="L1791" i="1"/>
  <c r="M1791" i="1"/>
  <c r="C1792" i="1"/>
  <c r="E1792" i="1"/>
  <c r="F1792" i="1"/>
  <c r="H1792" i="1"/>
  <c r="I1792" i="1"/>
  <c r="J1792" i="1"/>
  <c r="L1792" i="1"/>
  <c r="M1792" i="1"/>
  <c r="C1793" i="1"/>
  <c r="E1793" i="1"/>
  <c r="F1793" i="1"/>
  <c r="H1793" i="1"/>
  <c r="I1793" i="1"/>
  <c r="J1793" i="1"/>
  <c r="L1793" i="1"/>
  <c r="M1793" i="1"/>
  <c r="C1794" i="1"/>
  <c r="E1794" i="1"/>
  <c r="F1794" i="1"/>
  <c r="H1794" i="1"/>
  <c r="I1794" i="1"/>
  <c r="J1794" i="1"/>
  <c r="L1794" i="1"/>
  <c r="M1794" i="1"/>
  <c r="C1795" i="1"/>
  <c r="E1795" i="1"/>
  <c r="F1795" i="1"/>
  <c r="H1795" i="1"/>
  <c r="I1795" i="1"/>
  <c r="J1795" i="1"/>
  <c r="L1795" i="1"/>
  <c r="M1795" i="1"/>
  <c r="C1796" i="1"/>
  <c r="E1796" i="1"/>
  <c r="F1796" i="1"/>
  <c r="H1796" i="1"/>
  <c r="I1796" i="1"/>
  <c r="J1796" i="1"/>
  <c r="L1796" i="1"/>
  <c r="M1796" i="1"/>
  <c r="C1797" i="1"/>
  <c r="E1797" i="1"/>
  <c r="F1797" i="1"/>
  <c r="H1797" i="1"/>
  <c r="I1797" i="1"/>
  <c r="J1797" i="1"/>
  <c r="L1797" i="1"/>
  <c r="M1797" i="1"/>
  <c r="C1798" i="1"/>
  <c r="E1798" i="1"/>
  <c r="F1798" i="1"/>
  <c r="H1798" i="1"/>
  <c r="I1798" i="1"/>
  <c r="J1798" i="1"/>
  <c r="L1798" i="1"/>
  <c r="M1798" i="1"/>
  <c r="C1799" i="1"/>
  <c r="E1799" i="1"/>
  <c r="F1799" i="1"/>
  <c r="H1799" i="1"/>
  <c r="I1799" i="1"/>
  <c r="J1799" i="1"/>
  <c r="L1799" i="1"/>
  <c r="M1799" i="1"/>
  <c r="C1800" i="1"/>
  <c r="E1800" i="1"/>
  <c r="F1800" i="1"/>
  <c r="H1800" i="1"/>
  <c r="I1800" i="1"/>
  <c r="J1800" i="1"/>
  <c r="L1800" i="1"/>
  <c r="M1800" i="1"/>
  <c r="C1801" i="1"/>
  <c r="E1801" i="1"/>
  <c r="F1801" i="1"/>
  <c r="H1801" i="1"/>
  <c r="I1801" i="1"/>
  <c r="J1801" i="1"/>
  <c r="L1801" i="1"/>
  <c r="M1801" i="1"/>
  <c r="C1802" i="1"/>
  <c r="E1802" i="1"/>
  <c r="F1802" i="1"/>
  <c r="H1802" i="1"/>
  <c r="I1802" i="1"/>
  <c r="J1802" i="1"/>
  <c r="L1802" i="1"/>
  <c r="M1802" i="1"/>
  <c r="C1803" i="1"/>
  <c r="E1803" i="1"/>
  <c r="F1803" i="1"/>
  <c r="H1803" i="1"/>
  <c r="I1803" i="1"/>
  <c r="J1803" i="1"/>
  <c r="L1803" i="1"/>
  <c r="M1803" i="1"/>
  <c r="C1804" i="1"/>
  <c r="E1804" i="1"/>
  <c r="F1804" i="1"/>
  <c r="H1804" i="1"/>
  <c r="I1804" i="1"/>
  <c r="J1804" i="1"/>
  <c r="L1804" i="1"/>
  <c r="M1804" i="1"/>
  <c r="C1805" i="1"/>
  <c r="E1805" i="1"/>
  <c r="F1805" i="1"/>
  <c r="H1805" i="1"/>
  <c r="I1805" i="1"/>
  <c r="J1805" i="1"/>
  <c r="L1805" i="1"/>
  <c r="M1805" i="1"/>
  <c r="C1806" i="1"/>
  <c r="E1806" i="1"/>
  <c r="F1806" i="1"/>
  <c r="H1806" i="1"/>
  <c r="I1806" i="1"/>
  <c r="J1806" i="1"/>
  <c r="L1806" i="1"/>
  <c r="M1806" i="1"/>
  <c r="C1807" i="1"/>
  <c r="E1807" i="1"/>
  <c r="F1807" i="1"/>
  <c r="H1807" i="1"/>
  <c r="I1807" i="1"/>
  <c r="J1807" i="1"/>
  <c r="L1807" i="1"/>
  <c r="M1807" i="1"/>
  <c r="C1808" i="1"/>
  <c r="E1808" i="1"/>
  <c r="F1808" i="1"/>
  <c r="H1808" i="1"/>
  <c r="I1808" i="1"/>
  <c r="J1808" i="1"/>
  <c r="L1808" i="1"/>
  <c r="M1808" i="1"/>
  <c r="C1809" i="1"/>
  <c r="E1809" i="1"/>
  <c r="F1809" i="1"/>
  <c r="H1809" i="1"/>
  <c r="I1809" i="1"/>
  <c r="J1809" i="1"/>
  <c r="L1809" i="1"/>
  <c r="M1809" i="1"/>
  <c r="C1810" i="1"/>
  <c r="E1810" i="1"/>
  <c r="F1810" i="1"/>
  <c r="H1810" i="1"/>
  <c r="I1810" i="1"/>
  <c r="J1810" i="1"/>
  <c r="L1810" i="1"/>
  <c r="M1810" i="1"/>
  <c r="C1811" i="1"/>
  <c r="E1811" i="1"/>
  <c r="F1811" i="1"/>
  <c r="H1811" i="1"/>
  <c r="I1811" i="1"/>
  <c r="J1811" i="1"/>
  <c r="L1811" i="1"/>
  <c r="M1811" i="1"/>
  <c r="C1812" i="1"/>
  <c r="E1812" i="1"/>
  <c r="F1812" i="1"/>
  <c r="H1812" i="1"/>
  <c r="I1812" i="1"/>
  <c r="J1812" i="1"/>
  <c r="L1812" i="1"/>
  <c r="M1812" i="1"/>
  <c r="C1813" i="1"/>
  <c r="E1813" i="1"/>
  <c r="F1813" i="1"/>
  <c r="H1813" i="1"/>
  <c r="I1813" i="1"/>
  <c r="J1813" i="1"/>
  <c r="L1813" i="1"/>
  <c r="M1813" i="1"/>
  <c r="C1814" i="1"/>
  <c r="E1814" i="1"/>
  <c r="F1814" i="1"/>
  <c r="H1814" i="1"/>
  <c r="I1814" i="1"/>
  <c r="J1814" i="1"/>
  <c r="L1814" i="1"/>
  <c r="M1814" i="1"/>
  <c r="C1815" i="1"/>
  <c r="E1815" i="1"/>
  <c r="F1815" i="1"/>
  <c r="H1815" i="1"/>
  <c r="I1815" i="1"/>
  <c r="J1815" i="1"/>
  <c r="L1815" i="1"/>
  <c r="M1815" i="1"/>
  <c r="C1816" i="1"/>
  <c r="E1816" i="1"/>
  <c r="F1816" i="1"/>
  <c r="H1816" i="1"/>
  <c r="I1816" i="1"/>
  <c r="J1816" i="1"/>
  <c r="L1816" i="1"/>
  <c r="M1816" i="1"/>
  <c r="C1817" i="1"/>
  <c r="E1817" i="1"/>
  <c r="F1817" i="1"/>
  <c r="H1817" i="1"/>
  <c r="I1817" i="1"/>
  <c r="J1817" i="1"/>
  <c r="L1817" i="1"/>
  <c r="M1817" i="1"/>
  <c r="C1818" i="1"/>
  <c r="E1818" i="1"/>
  <c r="F1818" i="1"/>
  <c r="H1818" i="1"/>
  <c r="I1818" i="1"/>
  <c r="J1818" i="1"/>
  <c r="L1818" i="1"/>
  <c r="M1818" i="1"/>
  <c r="C1819" i="1"/>
  <c r="E1819" i="1"/>
  <c r="F1819" i="1"/>
  <c r="H1819" i="1"/>
  <c r="I1819" i="1"/>
  <c r="J1819" i="1"/>
  <c r="L1819" i="1"/>
  <c r="M1819" i="1"/>
  <c r="C1820" i="1"/>
  <c r="E1820" i="1"/>
  <c r="F1820" i="1"/>
  <c r="H1820" i="1"/>
  <c r="I1820" i="1"/>
  <c r="J1820" i="1"/>
  <c r="L1820" i="1"/>
  <c r="M1820" i="1"/>
  <c r="C1821" i="1"/>
  <c r="E1821" i="1"/>
  <c r="F1821" i="1"/>
  <c r="H1821" i="1"/>
  <c r="I1821" i="1"/>
  <c r="J1821" i="1"/>
  <c r="L1821" i="1"/>
  <c r="M1821" i="1"/>
  <c r="C1822" i="1"/>
  <c r="E1822" i="1"/>
  <c r="F1822" i="1"/>
  <c r="H1822" i="1"/>
  <c r="I1822" i="1"/>
  <c r="J1822" i="1"/>
  <c r="L1822" i="1"/>
  <c r="M1822" i="1"/>
  <c r="C1823" i="1"/>
  <c r="E1823" i="1"/>
  <c r="F1823" i="1"/>
  <c r="H1823" i="1"/>
  <c r="I1823" i="1"/>
  <c r="J1823" i="1"/>
  <c r="L1823" i="1"/>
  <c r="M1823" i="1"/>
  <c r="C1824" i="1"/>
  <c r="E1824" i="1"/>
  <c r="F1824" i="1"/>
  <c r="H1824" i="1"/>
  <c r="I1824" i="1"/>
  <c r="J1824" i="1"/>
  <c r="L1824" i="1"/>
  <c r="M1824" i="1"/>
  <c r="C1825" i="1"/>
  <c r="E1825" i="1"/>
  <c r="F1825" i="1"/>
  <c r="H1825" i="1"/>
  <c r="I1825" i="1"/>
  <c r="J1825" i="1"/>
  <c r="L1825" i="1"/>
  <c r="M1825" i="1"/>
  <c r="C1826" i="1"/>
  <c r="E1826" i="1"/>
  <c r="F1826" i="1"/>
  <c r="H1826" i="1"/>
  <c r="I1826" i="1"/>
  <c r="J1826" i="1"/>
  <c r="L1826" i="1"/>
  <c r="M1826" i="1"/>
  <c r="C1827" i="1"/>
  <c r="E1827" i="1"/>
  <c r="F1827" i="1"/>
  <c r="H1827" i="1"/>
  <c r="I1827" i="1"/>
  <c r="J1827" i="1"/>
  <c r="L1827" i="1"/>
  <c r="M1827" i="1"/>
  <c r="C1828" i="1"/>
  <c r="E1828" i="1"/>
  <c r="F1828" i="1"/>
  <c r="H1828" i="1"/>
  <c r="I1828" i="1"/>
  <c r="J1828" i="1"/>
  <c r="L1828" i="1"/>
  <c r="M1828" i="1"/>
  <c r="C1829" i="1"/>
  <c r="E1829" i="1"/>
  <c r="F1829" i="1"/>
  <c r="H1829" i="1"/>
  <c r="I1829" i="1"/>
  <c r="J1829" i="1"/>
  <c r="L1829" i="1"/>
  <c r="M1829" i="1"/>
  <c r="C1830" i="1"/>
  <c r="E1830" i="1"/>
  <c r="F1830" i="1"/>
  <c r="H1830" i="1"/>
  <c r="I1830" i="1"/>
  <c r="J1830" i="1"/>
  <c r="L1830" i="1"/>
  <c r="M1830" i="1"/>
  <c r="C1831" i="1"/>
  <c r="E1831" i="1"/>
  <c r="F1831" i="1"/>
  <c r="H1831" i="1"/>
  <c r="I1831" i="1"/>
  <c r="J1831" i="1"/>
  <c r="L1831" i="1"/>
  <c r="M1831" i="1"/>
  <c r="C1832" i="1"/>
  <c r="E1832" i="1"/>
  <c r="F1832" i="1"/>
  <c r="H1832" i="1"/>
  <c r="I1832" i="1"/>
  <c r="J1832" i="1"/>
  <c r="L1832" i="1"/>
  <c r="M1832" i="1"/>
  <c r="C1833" i="1"/>
  <c r="E1833" i="1"/>
  <c r="F1833" i="1"/>
  <c r="H1833" i="1"/>
  <c r="I1833" i="1"/>
  <c r="J1833" i="1"/>
  <c r="L1833" i="1"/>
  <c r="M1833" i="1"/>
  <c r="C1834" i="1"/>
  <c r="E1834" i="1"/>
  <c r="F1834" i="1"/>
  <c r="H1834" i="1"/>
  <c r="I1834" i="1"/>
  <c r="J1834" i="1"/>
  <c r="L1834" i="1"/>
  <c r="M1834" i="1"/>
  <c r="C1835" i="1"/>
  <c r="E1835" i="1"/>
  <c r="F1835" i="1"/>
  <c r="H1835" i="1"/>
  <c r="I1835" i="1"/>
  <c r="J1835" i="1"/>
  <c r="L1835" i="1"/>
  <c r="M1835" i="1"/>
  <c r="C1836" i="1"/>
  <c r="E1836" i="1"/>
  <c r="F1836" i="1"/>
  <c r="H1836" i="1"/>
  <c r="I1836" i="1"/>
  <c r="J1836" i="1"/>
  <c r="L1836" i="1"/>
  <c r="M1836" i="1"/>
  <c r="C1837" i="1"/>
  <c r="E1837" i="1"/>
  <c r="F1837" i="1"/>
  <c r="H1837" i="1"/>
  <c r="I1837" i="1"/>
  <c r="J1837" i="1"/>
  <c r="L1837" i="1"/>
  <c r="M1837" i="1"/>
  <c r="C1838" i="1"/>
  <c r="E1838" i="1"/>
  <c r="F1838" i="1"/>
  <c r="H1838" i="1"/>
  <c r="I1838" i="1"/>
  <c r="J1838" i="1"/>
  <c r="L1838" i="1"/>
  <c r="M1838" i="1"/>
  <c r="C1839" i="1"/>
  <c r="E1839" i="1"/>
  <c r="F1839" i="1"/>
  <c r="H1839" i="1"/>
  <c r="I1839" i="1"/>
  <c r="J1839" i="1"/>
  <c r="L1839" i="1"/>
  <c r="M1839" i="1"/>
  <c r="C1840" i="1"/>
  <c r="E1840" i="1"/>
  <c r="F1840" i="1"/>
  <c r="H1840" i="1"/>
  <c r="I1840" i="1"/>
  <c r="J1840" i="1"/>
  <c r="L1840" i="1"/>
  <c r="M1840" i="1"/>
  <c r="C1841" i="1"/>
  <c r="E1841" i="1"/>
  <c r="F1841" i="1"/>
  <c r="H1841" i="1"/>
  <c r="I1841" i="1"/>
  <c r="J1841" i="1"/>
  <c r="L1841" i="1"/>
  <c r="M1841" i="1"/>
  <c r="C1842" i="1"/>
  <c r="E1842" i="1"/>
  <c r="F1842" i="1"/>
  <c r="H1842" i="1"/>
  <c r="I1842" i="1"/>
  <c r="J1842" i="1"/>
  <c r="L1842" i="1"/>
  <c r="M1842" i="1"/>
  <c r="C1843" i="1"/>
  <c r="E1843" i="1"/>
  <c r="F1843" i="1"/>
  <c r="H1843" i="1"/>
  <c r="I1843" i="1"/>
  <c r="J1843" i="1"/>
  <c r="L1843" i="1"/>
  <c r="M1843" i="1"/>
  <c r="C1844" i="1"/>
  <c r="E1844" i="1"/>
  <c r="F1844" i="1"/>
  <c r="H1844" i="1"/>
  <c r="I1844" i="1"/>
  <c r="J1844" i="1"/>
  <c r="L1844" i="1"/>
  <c r="M1844" i="1"/>
  <c r="C1845" i="1"/>
  <c r="E1845" i="1"/>
  <c r="F1845" i="1"/>
  <c r="H1845" i="1"/>
  <c r="I1845" i="1"/>
  <c r="J1845" i="1"/>
  <c r="L1845" i="1"/>
  <c r="M1845" i="1"/>
  <c r="C1846" i="1"/>
  <c r="E1846" i="1"/>
  <c r="F1846" i="1"/>
  <c r="H1846" i="1"/>
  <c r="I1846" i="1"/>
  <c r="J1846" i="1"/>
  <c r="L1846" i="1"/>
  <c r="M1846" i="1"/>
  <c r="C1847" i="1"/>
  <c r="E1847" i="1"/>
  <c r="F1847" i="1"/>
  <c r="H1847" i="1"/>
  <c r="I1847" i="1"/>
  <c r="J1847" i="1"/>
  <c r="L1847" i="1"/>
  <c r="M1847" i="1"/>
  <c r="C1848" i="1"/>
  <c r="E1848" i="1"/>
  <c r="F1848" i="1"/>
  <c r="H1848" i="1"/>
  <c r="I1848" i="1"/>
  <c r="J1848" i="1"/>
  <c r="L1848" i="1"/>
  <c r="M1848" i="1"/>
  <c r="C1849" i="1"/>
  <c r="E1849" i="1"/>
  <c r="F1849" i="1"/>
  <c r="H1849" i="1"/>
  <c r="I1849" i="1"/>
  <c r="J1849" i="1"/>
  <c r="L1849" i="1"/>
  <c r="M1849" i="1"/>
  <c r="C1850" i="1"/>
  <c r="E1850" i="1"/>
  <c r="F1850" i="1"/>
  <c r="H1850" i="1"/>
  <c r="I1850" i="1"/>
  <c r="J1850" i="1"/>
  <c r="L1850" i="1"/>
  <c r="M1850" i="1"/>
  <c r="C1851" i="1"/>
  <c r="E1851" i="1"/>
  <c r="F1851" i="1"/>
  <c r="H1851" i="1"/>
  <c r="I1851" i="1"/>
  <c r="J1851" i="1"/>
  <c r="L1851" i="1"/>
  <c r="M1851" i="1"/>
  <c r="C1852" i="1"/>
  <c r="E1852" i="1"/>
  <c r="F1852" i="1"/>
  <c r="H1852" i="1"/>
  <c r="I1852" i="1"/>
  <c r="J1852" i="1"/>
  <c r="L1852" i="1"/>
  <c r="M1852" i="1"/>
  <c r="C1853" i="1"/>
  <c r="E1853" i="1"/>
  <c r="F1853" i="1"/>
  <c r="H1853" i="1"/>
  <c r="I1853" i="1"/>
  <c r="J1853" i="1"/>
  <c r="L1853" i="1"/>
  <c r="M1853" i="1"/>
  <c r="C1854" i="1"/>
  <c r="E1854" i="1"/>
  <c r="F1854" i="1"/>
  <c r="H1854" i="1"/>
  <c r="I1854" i="1"/>
  <c r="J1854" i="1"/>
  <c r="L1854" i="1"/>
  <c r="M1854" i="1"/>
  <c r="C1855" i="1"/>
  <c r="E1855" i="1"/>
  <c r="F1855" i="1"/>
  <c r="H1855" i="1"/>
  <c r="I1855" i="1"/>
  <c r="J1855" i="1"/>
  <c r="L1855" i="1"/>
  <c r="M1855" i="1"/>
  <c r="C1856" i="1"/>
  <c r="E1856" i="1"/>
  <c r="F1856" i="1"/>
  <c r="H1856" i="1"/>
  <c r="I1856" i="1"/>
  <c r="J1856" i="1"/>
  <c r="L1856" i="1"/>
  <c r="M1856" i="1"/>
  <c r="C1857" i="1"/>
  <c r="E1857" i="1"/>
  <c r="F1857" i="1"/>
  <c r="H1857" i="1"/>
  <c r="I1857" i="1"/>
  <c r="J1857" i="1"/>
  <c r="L1857" i="1"/>
  <c r="M1857" i="1"/>
  <c r="C1858" i="1"/>
  <c r="E1858" i="1"/>
  <c r="F1858" i="1"/>
  <c r="H1858" i="1"/>
  <c r="I1858" i="1"/>
  <c r="J1858" i="1"/>
  <c r="L1858" i="1"/>
  <c r="M1858" i="1"/>
  <c r="C1859" i="1"/>
  <c r="E1859" i="1"/>
  <c r="F1859" i="1"/>
  <c r="H1859" i="1"/>
  <c r="I1859" i="1"/>
  <c r="J1859" i="1"/>
  <c r="L1859" i="1"/>
  <c r="M1859" i="1"/>
  <c r="C1860" i="1"/>
  <c r="E1860" i="1"/>
  <c r="F1860" i="1"/>
  <c r="H1860" i="1"/>
  <c r="I1860" i="1"/>
  <c r="J1860" i="1"/>
  <c r="L1860" i="1"/>
  <c r="M1860" i="1"/>
  <c r="C1861" i="1"/>
  <c r="E1861" i="1"/>
  <c r="F1861" i="1"/>
  <c r="H1861" i="1"/>
  <c r="I1861" i="1"/>
  <c r="J1861" i="1"/>
  <c r="L1861" i="1"/>
  <c r="M1861" i="1"/>
  <c r="C1862" i="1"/>
  <c r="E1862" i="1"/>
  <c r="F1862" i="1"/>
  <c r="H1862" i="1"/>
  <c r="I1862" i="1"/>
  <c r="J1862" i="1"/>
  <c r="L1862" i="1"/>
  <c r="M1862" i="1"/>
  <c r="C1863" i="1"/>
  <c r="E1863" i="1"/>
  <c r="F1863" i="1"/>
  <c r="H1863" i="1"/>
  <c r="I1863" i="1"/>
  <c r="J1863" i="1"/>
  <c r="L1863" i="1"/>
  <c r="M1863" i="1"/>
  <c r="C1864" i="1"/>
  <c r="E1864" i="1"/>
  <c r="F1864" i="1"/>
  <c r="H1864" i="1"/>
  <c r="I1864" i="1"/>
  <c r="J1864" i="1"/>
  <c r="L1864" i="1"/>
  <c r="M1864" i="1"/>
  <c r="C1865" i="1"/>
  <c r="E1865" i="1"/>
  <c r="F1865" i="1"/>
  <c r="H1865" i="1"/>
  <c r="I1865" i="1"/>
  <c r="J1865" i="1"/>
  <c r="L1865" i="1"/>
  <c r="M1865" i="1"/>
  <c r="C1866" i="1"/>
  <c r="E1866" i="1"/>
  <c r="F1866" i="1"/>
  <c r="H1866" i="1"/>
  <c r="I1866" i="1"/>
  <c r="J1866" i="1"/>
  <c r="L1866" i="1"/>
  <c r="M1866" i="1"/>
  <c r="C1867" i="1"/>
  <c r="E1867" i="1"/>
  <c r="F1867" i="1"/>
  <c r="H1867" i="1"/>
  <c r="I1867" i="1"/>
  <c r="J1867" i="1"/>
  <c r="L1867" i="1"/>
  <c r="M1867" i="1"/>
  <c r="C1868" i="1"/>
  <c r="E1868" i="1"/>
  <c r="F1868" i="1"/>
  <c r="H1868" i="1"/>
  <c r="I1868" i="1"/>
  <c r="J1868" i="1"/>
  <c r="L1868" i="1"/>
  <c r="M1868" i="1"/>
  <c r="C1869" i="1"/>
  <c r="E1869" i="1"/>
  <c r="F1869" i="1"/>
  <c r="H1869" i="1"/>
  <c r="I1869" i="1"/>
  <c r="J1869" i="1"/>
  <c r="L1869" i="1"/>
  <c r="M1869" i="1"/>
  <c r="C1870" i="1"/>
  <c r="E1870" i="1"/>
  <c r="F1870" i="1"/>
  <c r="H1870" i="1"/>
  <c r="I1870" i="1"/>
  <c r="J1870" i="1"/>
  <c r="L1870" i="1"/>
  <c r="M1870" i="1"/>
  <c r="C1871" i="1"/>
  <c r="E1871" i="1"/>
  <c r="F1871" i="1"/>
  <c r="H1871" i="1"/>
  <c r="I1871" i="1"/>
  <c r="J1871" i="1"/>
  <c r="L1871" i="1"/>
  <c r="M1871" i="1"/>
  <c r="C1872" i="1"/>
  <c r="E1872" i="1"/>
  <c r="F1872" i="1"/>
  <c r="H1872" i="1"/>
  <c r="I1872" i="1"/>
  <c r="J1872" i="1"/>
  <c r="L1872" i="1"/>
  <c r="M1872" i="1"/>
  <c r="C1873" i="1"/>
  <c r="E1873" i="1"/>
  <c r="F1873" i="1"/>
  <c r="H1873" i="1"/>
  <c r="I1873" i="1"/>
  <c r="J1873" i="1"/>
  <c r="L1873" i="1"/>
  <c r="M1873" i="1"/>
  <c r="C1874" i="1"/>
  <c r="E1874" i="1"/>
  <c r="F1874" i="1"/>
  <c r="H1874" i="1"/>
  <c r="I1874" i="1"/>
  <c r="J1874" i="1"/>
  <c r="L1874" i="1"/>
  <c r="M1874" i="1"/>
  <c r="C1875" i="1"/>
  <c r="E1875" i="1"/>
  <c r="F1875" i="1"/>
  <c r="H1875" i="1"/>
  <c r="I1875" i="1"/>
  <c r="J1875" i="1"/>
  <c r="L1875" i="1"/>
  <c r="M1875" i="1"/>
  <c r="C1876" i="1"/>
  <c r="E1876" i="1"/>
  <c r="F1876" i="1"/>
  <c r="H1876" i="1"/>
  <c r="I1876" i="1"/>
  <c r="J1876" i="1"/>
  <c r="L1876" i="1"/>
  <c r="M1876" i="1"/>
  <c r="C1877" i="1"/>
  <c r="E1877" i="1"/>
  <c r="F1877" i="1"/>
  <c r="H1877" i="1"/>
  <c r="I1877" i="1"/>
  <c r="J1877" i="1"/>
  <c r="L1877" i="1"/>
  <c r="M1877" i="1"/>
  <c r="C1878" i="1"/>
  <c r="E1878" i="1"/>
  <c r="F1878" i="1"/>
  <c r="H1878" i="1"/>
  <c r="I1878" i="1"/>
  <c r="J1878" i="1"/>
  <c r="L1878" i="1"/>
  <c r="M1878" i="1"/>
  <c r="C1879" i="1"/>
  <c r="E1879" i="1"/>
  <c r="F1879" i="1"/>
  <c r="H1879" i="1"/>
  <c r="I1879" i="1"/>
  <c r="J1879" i="1"/>
  <c r="L1879" i="1"/>
  <c r="M1879" i="1"/>
  <c r="C1880" i="1"/>
  <c r="E1880" i="1"/>
  <c r="F1880" i="1"/>
  <c r="H1880" i="1"/>
  <c r="I1880" i="1"/>
  <c r="J1880" i="1"/>
  <c r="L1880" i="1"/>
  <c r="M1880" i="1"/>
  <c r="C1881" i="1"/>
  <c r="E1881" i="1"/>
  <c r="F1881" i="1"/>
  <c r="H1881" i="1"/>
  <c r="I1881" i="1"/>
  <c r="J1881" i="1"/>
  <c r="L1881" i="1"/>
  <c r="M1881" i="1"/>
  <c r="C1882" i="1"/>
  <c r="E1882" i="1"/>
  <c r="F1882" i="1"/>
  <c r="H1882" i="1"/>
  <c r="I1882" i="1"/>
  <c r="J1882" i="1"/>
  <c r="L1882" i="1"/>
  <c r="M1882" i="1"/>
  <c r="C1883" i="1"/>
  <c r="E1883" i="1"/>
  <c r="F1883" i="1"/>
  <c r="H1883" i="1"/>
  <c r="I1883" i="1"/>
  <c r="J1883" i="1"/>
  <c r="L1883" i="1"/>
  <c r="M1883" i="1"/>
  <c r="C1884" i="1"/>
  <c r="E1884" i="1"/>
  <c r="F1884" i="1"/>
  <c r="H1884" i="1"/>
  <c r="I1884" i="1"/>
  <c r="J1884" i="1"/>
  <c r="L1884" i="1"/>
  <c r="M1884" i="1"/>
  <c r="C1885" i="1"/>
  <c r="E1885" i="1"/>
  <c r="F1885" i="1"/>
  <c r="H1885" i="1"/>
  <c r="I1885" i="1"/>
  <c r="J1885" i="1"/>
  <c r="L1885" i="1"/>
  <c r="M1885" i="1"/>
  <c r="C1886" i="1"/>
  <c r="E1886" i="1"/>
  <c r="F1886" i="1"/>
  <c r="H1886" i="1"/>
  <c r="I1886" i="1"/>
  <c r="J1886" i="1"/>
  <c r="L1886" i="1"/>
  <c r="M1886" i="1"/>
  <c r="C1887" i="1"/>
  <c r="E1887" i="1"/>
  <c r="F1887" i="1"/>
  <c r="H1887" i="1"/>
  <c r="I1887" i="1"/>
  <c r="J1887" i="1"/>
  <c r="L1887" i="1"/>
  <c r="M1887" i="1"/>
  <c r="C1888" i="1"/>
  <c r="E1888" i="1"/>
  <c r="F1888" i="1"/>
  <c r="H1888" i="1"/>
  <c r="I1888" i="1"/>
  <c r="J1888" i="1"/>
  <c r="L1888" i="1"/>
  <c r="M1888" i="1"/>
  <c r="C1889" i="1"/>
  <c r="E1889" i="1"/>
  <c r="F1889" i="1"/>
  <c r="H1889" i="1"/>
  <c r="I1889" i="1"/>
  <c r="J1889" i="1"/>
  <c r="L1889" i="1"/>
  <c r="M1889" i="1"/>
  <c r="C1890" i="1"/>
  <c r="E1890" i="1"/>
  <c r="F1890" i="1"/>
  <c r="H1890" i="1"/>
  <c r="I1890" i="1"/>
  <c r="J1890" i="1"/>
  <c r="L1890" i="1"/>
  <c r="M1890" i="1"/>
  <c r="C1891" i="1"/>
  <c r="E1891" i="1"/>
  <c r="F1891" i="1"/>
  <c r="H1891" i="1"/>
  <c r="I1891" i="1"/>
  <c r="J1891" i="1"/>
  <c r="L1891" i="1"/>
  <c r="M1891" i="1"/>
  <c r="C1892" i="1"/>
  <c r="E1892" i="1"/>
  <c r="F1892" i="1"/>
  <c r="H1892" i="1"/>
  <c r="I1892" i="1"/>
  <c r="J1892" i="1"/>
  <c r="L1892" i="1"/>
  <c r="M1892" i="1"/>
  <c r="C1893" i="1"/>
  <c r="E1893" i="1"/>
  <c r="F1893" i="1"/>
  <c r="H1893" i="1"/>
  <c r="I1893" i="1"/>
  <c r="J1893" i="1"/>
  <c r="L1893" i="1"/>
  <c r="M1893" i="1"/>
  <c r="C1894" i="1"/>
  <c r="E1894" i="1"/>
  <c r="F1894" i="1"/>
  <c r="H1894" i="1"/>
  <c r="I1894" i="1"/>
  <c r="J1894" i="1"/>
  <c r="L1894" i="1"/>
  <c r="M1894" i="1"/>
  <c r="C1895" i="1"/>
  <c r="E1895" i="1"/>
  <c r="F1895" i="1"/>
  <c r="H1895" i="1"/>
  <c r="I1895" i="1"/>
  <c r="J1895" i="1"/>
  <c r="L1895" i="1"/>
  <c r="M1895" i="1"/>
  <c r="C1896" i="1"/>
  <c r="E1896" i="1"/>
  <c r="F1896" i="1"/>
  <c r="H1896" i="1"/>
  <c r="I1896" i="1"/>
  <c r="J1896" i="1"/>
  <c r="L1896" i="1"/>
  <c r="M1896" i="1"/>
  <c r="C1897" i="1"/>
  <c r="E1897" i="1"/>
  <c r="F1897" i="1"/>
  <c r="H1897" i="1"/>
  <c r="I1897" i="1"/>
  <c r="J1897" i="1"/>
  <c r="L1897" i="1"/>
  <c r="M1897" i="1"/>
  <c r="C1898" i="1"/>
  <c r="E1898" i="1"/>
  <c r="F1898" i="1"/>
  <c r="H1898" i="1"/>
  <c r="I1898" i="1"/>
  <c r="J1898" i="1"/>
  <c r="L1898" i="1"/>
  <c r="M1898" i="1"/>
  <c r="C1899" i="1"/>
  <c r="E1899" i="1"/>
  <c r="F1899" i="1"/>
  <c r="H1899" i="1"/>
  <c r="I1899" i="1"/>
  <c r="J1899" i="1"/>
  <c r="L1899" i="1"/>
  <c r="M1899" i="1"/>
  <c r="C1900" i="1"/>
  <c r="E1900" i="1"/>
  <c r="F1900" i="1"/>
  <c r="H1900" i="1"/>
  <c r="I1900" i="1"/>
  <c r="J1900" i="1"/>
  <c r="L1900" i="1"/>
  <c r="M1900" i="1"/>
  <c r="C1901" i="1"/>
  <c r="E1901" i="1"/>
  <c r="F1901" i="1"/>
  <c r="H1901" i="1"/>
  <c r="I1901" i="1"/>
  <c r="J1901" i="1"/>
  <c r="L1901" i="1"/>
  <c r="M1901" i="1"/>
  <c r="C1902" i="1"/>
  <c r="E1902" i="1"/>
  <c r="F1902" i="1"/>
  <c r="H1902" i="1"/>
  <c r="I1902" i="1"/>
  <c r="J1902" i="1"/>
  <c r="L1902" i="1"/>
  <c r="M1902" i="1"/>
  <c r="C1903" i="1"/>
  <c r="E1903" i="1"/>
  <c r="F1903" i="1"/>
  <c r="H1903" i="1"/>
  <c r="I1903" i="1"/>
  <c r="J1903" i="1"/>
  <c r="L1903" i="1"/>
  <c r="M1903" i="1"/>
  <c r="C1904" i="1"/>
  <c r="E1904" i="1"/>
  <c r="F1904" i="1"/>
  <c r="H1904" i="1"/>
  <c r="I1904" i="1"/>
  <c r="J1904" i="1"/>
  <c r="L1904" i="1"/>
  <c r="M1904" i="1"/>
  <c r="C1905" i="1"/>
  <c r="E1905" i="1"/>
  <c r="F1905" i="1"/>
  <c r="H1905" i="1"/>
  <c r="I1905" i="1"/>
  <c r="J1905" i="1"/>
  <c r="L1905" i="1"/>
  <c r="M1905" i="1"/>
  <c r="C1906" i="1"/>
  <c r="E1906" i="1"/>
  <c r="F1906" i="1"/>
  <c r="H1906" i="1"/>
  <c r="I1906" i="1"/>
  <c r="J1906" i="1"/>
  <c r="L1906" i="1"/>
  <c r="M1906" i="1"/>
  <c r="C1907" i="1"/>
  <c r="E1907" i="1"/>
  <c r="F1907" i="1"/>
  <c r="H1907" i="1"/>
  <c r="I1907" i="1"/>
  <c r="J1907" i="1"/>
  <c r="L1907" i="1"/>
  <c r="M1907" i="1"/>
  <c r="C1908" i="1"/>
  <c r="E1908" i="1"/>
  <c r="F1908" i="1"/>
  <c r="H1908" i="1"/>
  <c r="I1908" i="1"/>
  <c r="J1908" i="1"/>
  <c r="L1908" i="1"/>
  <c r="M1908" i="1"/>
  <c r="C1909" i="1"/>
  <c r="E1909" i="1"/>
  <c r="F1909" i="1"/>
  <c r="H1909" i="1"/>
  <c r="I1909" i="1"/>
  <c r="J1909" i="1"/>
  <c r="L1909" i="1"/>
  <c r="M1909" i="1"/>
  <c r="C1910" i="1"/>
  <c r="E1910" i="1"/>
  <c r="F1910" i="1"/>
  <c r="H1910" i="1"/>
  <c r="I1910" i="1"/>
  <c r="J1910" i="1"/>
  <c r="L1910" i="1"/>
  <c r="M1910" i="1"/>
  <c r="C1911" i="1"/>
  <c r="E1911" i="1"/>
  <c r="F1911" i="1"/>
  <c r="H1911" i="1"/>
  <c r="I1911" i="1"/>
  <c r="J1911" i="1"/>
  <c r="L1911" i="1"/>
  <c r="M1911" i="1"/>
  <c r="C1912" i="1"/>
  <c r="E1912" i="1"/>
  <c r="F1912" i="1"/>
  <c r="H1912" i="1"/>
  <c r="I1912" i="1"/>
  <c r="J1912" i="1"/>
  <c r="L1912" i="1"/>
  <c r="M1912" i="1"/>
  <c r="C1913" i="1"/>
  <c r="E1913" i="1"/>
  <c r="F1913" i="1"/>
  <c r="H1913" i="1"/>
  <c r="I1913" i="1"/>
  <c r="J1913" i="1"/>
  <c r="L1913" i="1"/>
  <c r="M1913" i="1"/>
  <c r="C1914" i="1"/>
  <c r="E1914" i="1"/>
  <c r="F1914" i="1"/>
  <c r="H1914" i="1"/>
  <c r="I1914" i="1"/>
  <c r="J1914" i="1"/>
  <c r="L1914" i="1"/>
  <c r="M1914" i="1"/>
  <c r="C1915" i="1"/>
  <c r="E1915" i="1"/>
  <c r="F1915" i="1"/>
  <c r="H1915" i="1"/>
  <c r="I1915" i="1"/>
  <c r="J1915" i="1"/>
  <c r="L1915" i="1"/>
  <c r="M1915" i="1"/>
  <c r="C1916" i="1"/>
  <c r="E1916" i="1"/>
  <c r="F1916" i="1"/>
  <c r="H1916" i="1"/>
  <c r="I1916" i="1"/>
  <c r="J1916" i="1"/>
  <c r="L1916" i="1"/>
  <c r="M1916" i="1"/>
  <c r="C1917" i="1"/>
  <c r="E1917" i="1"/>
  <c r="F1917" i="1"/>
  <c r="H1917" i="1"/>
  <c r="I1917" i="1"/>
  <c r="J1917" i="1"/>
  <c r="L1917" i="1"/>
  <c r="M1917" i="1"/>
  <c r="C1918" i="1"/>
  <c r="E1918" i="1"/>
  <c r="F1918" i="1"/>
  <c r="H1918" i="1"/>
  <c r="I1918" i="1"/>
  <c r="J1918" i="1"/>
  <c r="L1918" i="1"/>
  <c r="M1918" i="1"/>
  <c r="C1919" i="1"/>
  <c r="E1919" i="1"/>
  <c r="F1919" i="1"/>
  <c r="H1919" i="1"/>
  <c r="I1919" i="1"/>
  <c r="J1919" i="1"/>
  <c r="L1919" i="1"/>
  <c r="M1919" i="1"/>
  <c r="C1920" i="1"/>
  <c r="E1920" i="1"/>
  <c r="F1920" i="1"/>
  <c r="H1920" i="1"/>
  <c r="I1920" i="1"/>
  <c r="J1920" i="1"/>
  <c r="L1920" i="1"/>
  <c r="M1920" i="1"/>
  <c r="C1921" i="1"/>
  <c r="E1921" i="1"/>
  <c r="F1921" i="1"/>
  <c r="H1921" i="1"/>
  <c r="I1921" i="1"/>
  <c r="J1921" i="1"/>
  <c r="L1921" i="1"/>
  <c r="M1921" i="1"/>
  <c r="C1922" i="1"/>
  <c r="E1922" i="1"/>
  <c r="F1922" i="1"/>
  <c r="H1922" i="1"/>
  <c r="I1922" i="1"/>
  <c r="J1922" i="1"/>
  <c r="L1922" i="1"/>
  <c r="M1922" i="1"/>
  <c r="C1923" i="1"/>
  <c r="E1923" i="1"/>
  <c r="F1923" i="1"/>
  <c r="H1923" i="1"/>
  <c r="I1923" i="1"/>
  <c r="J1923" i="1"/>
  <c r="L1923" i="1"/>
  <c r="M1923" i="1"/>
  <c r="C1924" i="1"/>
  <c r="E1924" i="1"/>
  <c r="F1924" i="1"/>
  <c r="H1924" i="1"/>
  <c r="I1924" i="1"/>
  <c r="J1924" i="1"/>
  <c r="L1924" i="1"/>
  <c r="M1924" i="1"/>
  <c r="C1925" i="1"/>
  <c r="E1925" i="1"/>
  <c r="F1925" i="1"/>
  <c r="H1925" i="1"/>
  <c r="I1925" i="1"/>
  <c r="J1925" i="1"/>
  <c r="L1925" i="1"/>
  <c r="M1925" i="1"/>
  <c r="C1926" i="1"/>
  <c r="E1926" i="1"/>
  <c r="F1926" i="1"/>
  <c r="H1926" i="1"/>
  <c r="I1926" i="1"/>
  <c r="J1926" i="1"/>
  <c r="L1926" i="1"/>
  <c r="M1926" i="1"/>
  <c r="C1927" i="1"/>
  <c r="E1927" i="1"/>
  <c r="F1927" i="1"/>
  <c r="H1927" i="1"/>
  <c r="I1927" i="1"/>
  <c r="J1927" i="1"/>
  <c r="L1927" i="1"/>
  <c r="M1927" i="1"/>
  <c r="C1928" i="1"/>
  <c r="E1928" i="1"/>
  <c r="F1928" i="1"/>
  <c r="H1928" i="1"/>
  <c r="I1928" i="1"/>
  <c r="J1928" i="1"/>
  <c r="L1928" i="1"/>
  <c r="M1928" i="1"/>
  <c r="C1929" i="1"/>
  <c r="E1929" i="1"/>
  <c r="F1929" i="1"/>
  <c r="H1929" i="1"/>
  <c r="I1929" i="1"/>
  <c r="J1929" i="1"/>
  <c r="L1929" i="1"/>
  <c r="M1929" i="1"/>
  <c r="C1930" i="1"/>
  <c r="E1930" i="1"/>
  <c r="F1930" i="1"/>
  <c r="H1930" i="1"/>
  <c r="I1930" i="1"/>
  <c r="J1930" i="1"/>
  <c r="L1930" i="1"/>
  <c r="M1930" i="1"/>
  <c r="C1931" i="1"/>
  <c r="E1931" i="1"/>
  <c r="F1931" i="1"/>
  <c r="H1931" i="1"/>
  <c r="I1931" i="1"/>
  <c r="J1931" i="1"/>
  <c r="L1931" i="1"/>
  <c r="M1931" i="1"/>
  <c r="C1932" i="1"/>
  <c r="E1932" i="1"/>
  <c r="F1932" i="1"/>
  <c r="H1932" i="1"/>
  <c r="I1932" i="1"/>
  <c r="J1932" i="1"/>
  <c r="L1932" i="1"/>
  <c r="M1932" i="1"/>
  <c r="C1933" i="1"/>
  <c r="E1933" i="1"/>
  <c r="F1933" i="1"/>
  <c r="H1933" i="1"/>
  <c r="I1933" i="1"/>
  <c r="J1933" i="1"/>
  <c r="L1933" i="1"/>
  <c r="M1933" i="1"/>
  <c r="C1934" i="1"/>
  <c r="E1934" i="1"/>
  <c r="F1934" i="1"/>
  <c r="H1934" i="1"/>
  <c r="I1934" i="1"/>
  <c r="J1934" i="1"/>
  <c r="L1934" i="1"/>
  <c r="M1934" i="1"/>
  <c r="C1935" i="1"/>
  <c r="E1935" i="1"/>
  <c r="F1935" i="1"/>
  <c r="H1935" i="1"/>
  <c r="I1935" i="1"/>
  <c r="J1935" i="1"/>
  <c r="L1935" i="1"/>
  <c r="M1935" i="1"/>
  <c r="C1936" i="1"/>
  <c r="E1936" i="1"/>
  <c r="F1936" i="1"/>
  <c r="H1936" i="1"/>
  <c r="I1936" i="1"/>
  <c r="J1936" i="1"/>
  <c r="L1936" i="1"/>
  <c r="M1936" i="1"/>
  <c r="C1937" i="1"/>
  <c r="E1937" i="1"/>
  <c r="F1937" i="1"/>
  <c r="H1937" i="1"/>
  <c r="I1937" i="1"/>
  <c r="J1937" i="1"/>
  <c r="L1937" i="1"/>
  <c r="M1937" i="1"/>
  <c r="C1938" i="1"/>
  <c r="E1938" i="1"/>
  <c r="F1938" i="1"/>
  <c r="H1938" i="1"/>
  <c r="I1938" i="1"/>
  <c r="J1938" i="1"/>
  <c r="L1938" i="1"/>
  <c r="M1938" i="1"/>
  <c r="C1939" i="1"/>
  <c r="E1939" i="1"/>
  <c r="F1939" i="1"/>
  <c r="H1939" i="1"/>
  <c r="I1939" i="1"/>
  <c r="J1939" i="1"/>
  <c r="L1939" i="1"/>
  <c r="M1939" i="1"/>
  <c r="C1940" i="1"/>
  <c r="E1940" i="1"/>
  <c r="F1940" i="1"/>
  <c r="H1940" i="1"/>
  <c r="I1940" i="1"/>
  <c r="J1940" i="1"/>
  <c r="L1940" i="1"/>
  <c r="M1940" i="1"/>
  <c r="C1941" i="1"/>
  <c r="E1941" i="1"/>
  <c r="F1941" i="1"/>
  <c r="H1941" i="1"/>
  <c r="I1941" i="1"/>
  <c r="J1941" i="1"/>
  <c r="L1941" i="1"/>
  <c r="M1941" i="1"/>
  <c r="C1942" i="1"/>
  <c r="E1942" i="1"/>
  <c r="F1942" i="1"/>
  <c r="H1942" i="1"/>
  <c r="I1942" i="1"/>
  <c r="J1942" i="1"/>
  <c r="L1942" i="1"/>
  <c r="M1942" i="1"/>
  <c r="C1943" i="1"/>
  <c r="E1943" i="1"/>
  <c r="F1943" i="1"/>
  <c r="H1943" i="1"/>
  <c r="I1943" i="1"/>
  <c r="J1943" i="1"/>
  <c r="L1943" i="1"/>
  <c r="M1943" i="1"/>
  <c r="C1944" i="1"/>
  <c r="E1944" i="1"/>
  <c r="F1944" i="1"/>
  <c r="H1944" i="1"/>
  <c r="I1944" i="1"/>
  <c r="J1944" i="1"/>
  <c r="L1944" i="1"/>
  <c r="M1944" i="1"/>
  <c r="C1945" i="1"/>
  <c r="E1945" i="1"/>
  <c r="F1945" i="1"/>
  <c r="H1945" i="1"/>
  <c r="I1945" i="1"/>
  <c r="J1945" i="1"/>
  <c r="L1945" i="1"/>
  <c r="M1945" i="1"/>
  <c r="C1946" i="1"/>
  <c r="E1946" i="1"/>
  <c r="F1946" i="1"/>
  <c r="H1946" i="1"/>
  <c r="I1946" i="1"/>
  <c r="J1946" i="1"/>
  <c r="L1946" i="1"/>
  <c r="M1946" i="1"/>
  <c r="C1947" i="1"/>
  <c r="E1947" i="1"/>
  <c r="F1947" i="1"/>
  <c r="H1947" i="1"/>
  <c r="I1947" i="1"/>
  <c r="J1947" i="1"/>
  <c r="L1947" i="1"/>
  <c r="M1947" i="1"/>
  <c r="C1948" i="1"/>
  <c r="E1948" i="1"/>
  <c r="F1948" i="1"/>
  <c r="H1948" i="1"/>
  <c r="I1948" i="1"/>
  <c r="J1948" i="1"/>
  <c r="L1948" i="1"/>
  <c r="M1948" i="1"/>
  <c r="C1949" i="1"/>
  <c r="E1949" i="1"/>
  <c r="F1949" i="1"/>
  <c r="H1949" i="1"/>
  <c r="I1949" i="1"/>
  <c r="J1949" i="1"/>
  <c r="L1949" i="1"/>
  <c r="M1949" i="1"/>
  <c r="C1950" i="1"/>
  <c r="E1950" i="1"/>
  <c r="F1950" i="1"/>
  <c r="H1950" i="1"/>
  <c r="I1950" i="1"/>
  <c r="J1950" i="1"/>
  <c r="L1950" i="1"/>
  <c r="M1950" i="1"/>
  <c r="C1951" i="1"/>
  <c r="E1951" i="1"/>
  <c r="F1951" i="1"/>
  <c r="H1951" i="1"/>
  <c r="I1951" i="1"/>
  <c r="J1951" i="1"/>
  <c r="L1951" i="1"/>
  <c r="M1951" i="1"/>
  <c r="C1952" i="1"/>
  <c r="E1952" i="1"/>
  <c r="F1952" i="1"/>
  <c r="H1952" i="1"/>
  <c r="I1952" i="1"/>
  <c r="J1952" i="1"/>
  <c r="L1952" i="1"/>
  <c r="M1952" i="1"/>
  <c r="C1953" i="1"/>
  <c r="E1953" i="1"/>
  <c r="F1953" i="1"/>
  <c r="H1953" i="1"/>
  <c r="I1953" i="1"/>
  <c r="J1953" i="1"/>
  <c r="L1953" i="1"/>
  <c r="M1953" i="1"/>
  <c r="C1954" i="1"/>
  <c r="E1954" i="1"/>
  <c r="F1954" i="1"/>
  <c r="H1954" i="1"/>
  <c r="I1954" i="1"/>
  <c r="J1954" i="1"/>
  <c r="L1954" i="1"/>
  <c r="M1954" i="1"/>
  <c r="C1955" i="1"/>
  <c r="E1955" i="1"/>
  <c r="F1955" i="1"/>
  <c r="H1955" i="1"/>
  <c r="I1955" i="1"/>
  <c r="J1955" i="1"/>
  <c r="L1955" i="1"/>
  <c r="M1955" i="1"/>
  <c r="C1956" i="1"/>
  <c r="E1956" i="1"/>
  <c r="F1956" i="1"/>
  <c r="H1956" i="1"/>
  <c r="I1956" i="1"/>
  <c r="J1956" i="1"/>
  <c r="L1956" i="1"/>
  <c r="M1956" i="1"/>
  <c r="C1957" i="1"/>
  <c r="E1957" i="1"/>
  <c r="F1957" i="1"/>
  <c r="H1957" i="1"/>
  <c r="I1957" i="1"/>
  <c r="J1957" i="1"/>
  <c r="L1957" i="1"/>
  <c r="M1957" i="1"/>
  <c r="C1958" i="1"/>
  <c r="E1958" i="1"/>
  <c r="F1958" i="1"/>
  <c r="H1958" i="1"/>
  <c r="I1958" i="1"/>
  <c r="J1958" i="1"/>
  <c r="L1958" i="1"/>
  <c r="M1958" i="1"/>
  <c r="C1959" i="1"/>
  <c r="E1959" i="1"/>
  <c r="F1959" i="1"/>
  <c r="H1959" i="1"/>
  <c r="I1959" i="1"/>
  <c r="J1959" i="1"/>
  <c r="L1959" i="1"/>
  <c r="M1959" i="1"/>
  <c r="C1960" i="1"/>
  <c r="E1960" i="1"/>
  <c r="F1960" i="1"/>
  <c r="H1960" i="1"/>
  <c r="I1960" i="1"/>
  <c r="J1960" i="1"/>
  <c r="L1960" i="1"/>
  <c r="M1960" i="1"/>
  <c r="C1961" i="1"/>
  <c r="E1961" i="1"/>
  <c r="F1961" i="1"/>
  <c r="H1961" i="1"/>
  <c r="I1961" i="1"/>
  <c r="J1961" i="1"/>
  <c r="L1961" i="1"/>
  <c r="M1961" i="1"/>
  <c r="C1962" i="1"/>
  <c r="E1962" i="1"/>
  <c r="F1962" i="1"/>
  <c r="H1962" i="1"/>
  <c r="I1962" i="1"/>
  <c r="J1962" i="1"/>
  <c r="L1962" i="1"/>
  <c r="M1962" i="1"/>
  <c r="C1963" i="1"/>
  <c r="E1963" i="1"/>
  <c r="F1963" i="1"/>
  <c r="H1963" i="1"/>
  <c r="I1963" i="1"/>
  <c r="J1963" i="1"/>
  <c r="L1963" i="1"/>
  <c r="M1963" i="1"/>
  <c r="C1964" i="1"/>
  <c r="E1964" i="1"/>
  <c r="F1964" i="1"/>
  <c r="H1964" i="1"/>
  <c r="I1964" i="1"/>
  <c r="J1964" i="1"/>
  <c r="L1964" i="1"/>
  <c r="M1964" i="1"/>
  <c r="C1965" i="1"/>
  <c r="E1965" i="1"/>
  <c r="F1965" i="1"/>
  <c r="H1965" i="1"/>
  <c r="I1965" i="1"/>
  <c r="J1965" i="1"/>
  <c r="L1965" i="1"/>
  <c r="M1965" i="1"/>
  <c r="C1966" i="1"/>
  <c r="E1966" i="1"/>
  <c r="F1966" i="1"/>
  <c r="H1966" i="1"/>
  <c r="I1966" i="1"/>
  <c r="J1966" i="1"/>
  <c r="L1966" i="1"/>
  <c r="M1966" i="1"/>
  <c r="C1967" i="1"/>
  <c r="E1967" i="1"/>
  <c r="F1967" i="1"/>
  <c r="H1967" i="1"/>
  <c r="I1967" i="1"/>
  <c r="J1967" i="1"/>
  <c r="L1967" i="1"/>
  <c r="M1967" i="1"/>
  <c r="C1968" i="1"/>
  <c r="E1968" i="1"/>
  <c r="F1968" i="1"/>
  <c r="H1968" i="1"/>
  <c r="I1968" i="1"/>
  <c r="J1968" i="1"/>
  <c r="L1968" i="1"/>
  <c r="M1968" i="1"/>
  <c r="C1969" i="1"/>
  <c r="E1969" i="1"/>
  <c r="F1969" i="1"/>
  <c r="H1969" i="1"/>
  <c r="I1969" i="1"/>
  <c r="J1969" i="1"/>
  <c r="L1969" i="1"/>
  <c r="M1969" i="1"/>
  <c r="C1970" i="1"/>
  <c r="E1970" i="1"/>
  <c r="F1970" i="1"/>
  <c r="H1970" i="1"/>
  <c r="I1970" i="1"/>
  <c r="J1970" i="1"/>
  <c r="L1970" i="1"/>
  <c r="M1970" i="1"/>
  <c r="C1971" i="1"/>
  <c r="E1971" i="1"/>
  <c r="F1971" i="1"/>
  <c r="H1971" i="1"/>
  <c r="I1971" i="1"/>
  <c r="J1971" i="1"/>
  <c r="L1971" i="1"/>
  <c r="M1971" i="1"/>
  <c r="C1972" i="1"/>
  <c r="E1972" i="1"/>
  <c r="F1972" i="1"/>
  <c r="H1972" i="1"/>
  <c r="I1972" i="1"/>
  <c r="J1972" i="1"/>
  <c r="L1972" i="1"/>
  <c r="M1972" i="1"/>
  <c r="C1973" i="1"/>
  <c r="E1973" i="1"/>
  <c r="F1973" i="1"/>
  <c r="H1973" i="1"/>
  <c r="I1973" i="1"/>
  <c r="J1973" i="1"/>
  <c r="L1973" i="1"/>
  <c r="M1973" i="1"/>
  <c r="C1974" i="1"/>
  <c r="E1974" i="1"/>
  <c r="F1974" i="1"/>
  <c r="H1974" i="1"/>
  <c r="I1974" i="1"/>
  <c r="J1974" i="1"/>
  <c r="L1974" i="1"/>
  <c r="M1974" i="1"/>
  <c r="C1975" i="1"/>
  <c r="E1975" i="1"/>
  <c r="F1975" i="1"/>
  <c r="H1975" i="1"/>
  <c r="I1975" i="1"/>
  <c r="J1975" i="1"/>
  <c r="L1975" i="1"/>
  <c r="M1975" i="1"/>
  <c r="C1976" i="1"/>
  <c r="E1976" i="1"/>
  <c r="F1976" i="1"/>
  <c r="H1976" i="1"/>
  <c r="I1976" i="1"/>
  <c r="J1976" i="1"/>
  <c r="L1976" i="1"/>
  <c r="M1976" i="1"/>
  <c r="C1977" i="1"/>
  <c r="E1977" i="1"/>
  <c r="F1977" i="1"/>
  <c r="H1977" i="1"/>
  <c r="I1977" i="1"/>
  <c r="J1977" i="1"/>
  <c r="L1977" i="1"/>
  <c r="M1977" i="1"/>
  <c r="C1978" i="1"/>
  <c r="E1978" i="1"/>
  <c r="F1978" i="1"/>
  <c r="H1978" i="1"/>
  <c r="I1978" i="1"/>
  <c r="J1978" i="1"/>
  <c r="L1978" i="1"/>
  <c r="M1978" i="1"/>
  <c r="C1979" i="1"/>
  <c r="E1979" i="1"/>
  <c r="F1979" i="1"/>
  <c r="H1979" i="1"/>
  <c r="I1979" i="1"/>
  <c r="J1979" i="1"/>
  <c r="L1979" i="1"/>
  <c r="M1979" i="1"/>
  <c r="C1980" i="1"/>
  <c r="E1980" i="1"/>
  <c r="F1980" i="1"/>
  <c r="H1980" i="1"/>
  <c r="I1980" i="1"/>
  <c r="J1980" i="1"/>
  <c r="L1980" i="1"/>
  <c r="M1980" i="1"/>
  <c r="C1981" i="1"/>
  <c r="E1981" i="1"/>
  <c r="F1981" i="1"/>
  <c r="H1981" i="1"/>
  <c r="I1981" i="1"/>
  <c r="J1981" i="1"/>
  <c r="L1981" i="1"/>
  <c r="M1981" i="1"/>
  <c r="C1982" i="1"/>
  <c r="E1982" i="1"/>
  <c r="F1982" i="1"/>
  <c r="H1982" i="1"/>
  <c r="I1982" i="1"/>
  <c r="J1982" i="1"/>
  <c r="L1982" i="1"/>
  <c r="M1982" i="1"/>
  <c r="C1983" i="1"/>
  <c r="E1983" i="1"/>
  <c r="F1983" i="1"/>
  <c r="H1983" i="1"/>
  <c r="I1983" i="1"/>
  <c r="J1983" i="1"/>
  <c r="L1983" i="1"/>
  <c r="M1983" i="1"/>
  <c r="C1984" i="1"/>
  <c r="E1984" i="1"/>
  <c r="F1984" i="1"/>
  <c r="H1984" i="1"/>
  <c r="I1984" i="1"/>
  <c r="J1984" i="1"/>
  <c r="L1984" i="1"/>
  <c r="M1984" i="1"/>
  <c r="C1985" i="1"/>
  <c r="E1985" i="1"/>
  <c r="F1985" i="1"/>
  <c r="H1985" i="1"/>
  <c r="I1985" i="1"/>
  <c r="J1985" i="1"/>
  <c r="L1985" i="1"/>
  <c r="M1985" i="1"/>
  <c r="C1986" i="1"/>
  <c r="E1986" i="1"/>
  <c r="F1986" i="1"/>
  <c r="H1986" i="1"/>
  <c r="I1986" i="1"/>
  <c r="J1986" i="1"/>
  <c r="L1986" i="1"/>
  <c r="M1986" i="1"/>
  <c r="C1987" i="1"/>
  <c r="E1987" i="1"/>
  <c r="F1987" i="1"/>
  <c r="H1987" i="1"/>
  <c r="I1987" i="1"/>
  <c r="J1987" i="1"/>
  <c r="L1987" i="1"/>
  <c r="M1987" i="1"/>
  <c r="C1988" i="1"/>
  <c r="E1988" i="1"/>
  <c r="F1988" i="1"/>
  <c r="H1988" i="1"/>
  <c r="I1988" i="1"/>
  <c r="J1988" i="1"/>
  <c r="L1988" i="1"/>
  <c r="M1988" i="1"/>
  <c r="C1989" i="1"/>
  <c r="E1989" i="1"/>
  <c r="F1989" i="1"/>
  <c r="H1989" i="1"/>
  <c r="I1989" i="1"/>
  <c r="J1989" i="1"/>
  <c r="L1989" i="1"/>
  <c r="M1989" i="1"/>
  <c r="C1990" i="1"/>
  <c r="E1990" i="1"/>
  <c r="F1990" i="1"/>
  <c r="H1990" i="1"/>
  <c r="I1990" i="1"/>
  <c r="J1990" i="1"/>
  <c r="L1990" i="1"/>
  <c r="M1990" i="1"/>
  <c r="C1991" i="1"/>
  <c r="E1991" i="1"/>
  <c r="F1991" i="1"/>
  <c r="H1991" i="1"/>
  <c r="I1991" i="1"/>
  <c r="J1991" i="1"/>
  <c r="L1991" i="1"/>
  <c r="M1991" i="1"/>
  <c r="C1992" i="1"/>
  <c r="E1992" i="1"/>
  <c r="F1992" i="1"/>
  <c r="H1992" i="1"/>
  <c r="I1992" i="1"/>
  <c r="J1992" i="1"/>
  <c r="L1992" i="1"/>
  <c r="M1992" i="1"/>
  <c r="C1993" i="1"/>
  <c r="E1993" i="1"/>
  <c r="F1993" i="1"/>
  <c r="H1993" i="1"/>
  <c r="I1993" i="1"/>
  <c r="J1993" i="1"/>
  <c r="L1993" i="1"/>
  <c r="M1993" i="1"/>
  <c r="C1994" i="1"/>
  <c r="E1994" i="1"/>
  <c r="F1994" i="1"/>
  <c r="H1994" i="1"/>
  <c r="I1994" i="1"/>
  <c r="J1994" i="1"/>
  <c r="L1994" i="1"/>
  <c r="M1994" i="1"/>
  <c r="C1995" i="1"/>
  <c r="E1995" i="1"/>
  <c r="F1995" i="1"/>
  <c r="H1995" i="1"/>
  <c r="I1995" i="1"/>
  <c r="J1995" i="1"/>
  <c r="L1995" i="1"/>
  <c r="M1995" i="1"/>
  <c r="C1996" i="1"/>
  <c r="E1996" i="1"/>
  <c r="F1996" i="1"/>
  <c r="H1996" i="1"/>
  <c r="I1996" i="1"/>
  <c r="J1996" i="1"/>
  <c r="L1996" i="1"/>
  <c r="M1996" i="1"/>
  <c r="C1997" i="1"/>
  <c r="E1997" i="1"/>
  <c r="F1997" i="1"/>
  <c r="H1997" i="1"/>
  <c r="I1997" i="1"/>
  <c r="J1997" i="1"/>
  <c r="L1997" i="1"/>
  <c r="M1997" i="1"/>
  <c r="C1998" i="1"/>
  <c r="E1998" i="1"/>
  <c r="F1998" i="1"/>
  <c r="H1998" i="1"/>
  <c r="I1998" i="1"/>
  <c r="J1998" i="1"/>
  <c r="L1998" i="1"/>
  <c r="M1998" i="1"/>
  <c r="C1999" i="1"/>
  <c r="E1999" i="1"/>
  <c r="F1999" i="1"/>
  <c r="H1999" i="1"/>
  <c r="I1999" i="1"/>
  <c r="J1999" i="1"/>
  <c r="L1999" i="1"/>
  <c r="M1999" i="1"/>
  <c r="C2000" i="1"/>
  <c r="E2000" i="1"/>
  <c r="F2000" i="1"/>
  <c r="H2000" i="1"/>
  <c r="I2000" i="1"/>
  <c r="J2000" i="1"/>
  <c r="L2000" i="1"/>
  <c r="M2000" i="1"/>
  <c r="C2001" i="1"/>
  <c r="E2001" i="1"/>
  <c r="F2001" i="1"/>
  <c r="H2001" i="1"/>
  <c r="I2001" i="1"/>
  <c r="J2001" i="1"/>
  <c r="L2001" i="1"/>
  <c r="M2001" i="1"/>
  <c r="C2002" i="1"/>
  <c r="E2002" i="1"/>
  <c r="F2002" i="1"/>
  <c r="H2002" i="1"/>
  <c r="I2002" i="1"/>
  <c r="J2002" i="1"/>
  <c r="L2002" i="1"/>
  <c r="M2002" i="1"/>
  <c r="C2003" i="1"/>
  <c r="E2003" i="1"/>
  <c r="F2003" i="1"/>
  <c r="H2003" i="1"/>
  <c r="I2003" i="1"/>
  <c r="J2003" i="1"/>
  <c r="L2003" i="1"/>
  <c r="M2003" i="1"/>
  <c r="C2004" i="1"/>
  <c r="E2004" i="1"/>
  <c r="F2004" i="1"/>
  <c r="H2004" i="1"/>
  <c r="I2004" i="1"/>
  <c r="J2004" i="1"/>
  <c r="L2004" i="1"/>
  <c r="M2004" i="1"/>
  <c r="C2005" i="1"/>
  <c r="E2005" i="1"/>
  <c r="F2005" i="1"/>
  <c r="H2005" i="1"/>
  <c r="I2005" i="1"/>
  <c r="J2005" i="1"/>
  <c r="L2005" i="1"/>
  <c r="M2005" i="1"/>
  <c r="C2006" i="1"/>
  <c r="E2006" i="1"/>
  <c r="F2006" i="1"/>
  <c r="H2006" i="1"/>
  <c r="I2006" i="1"/>
  <c r="J2006" i="1"/>
  <c r="L2006" i="1"/>
  <c r="M2006" i="1"/>
  <c r="C2007" i="1"/>
  <c r="E2007" i="1"/>
  <c r="F2007" i="1"/>
  <c r="H2007" i="1"/>
  <c r="I2007" i="1"/>
  <c r="J2007" i="1"/>
  <c r="L2007" i="1"/>
  <c r="M2007" i="1"/>
  <c r="C2008" i="1"/>
  <c r="E2008" i="1"/>
  <c r="F2008" i="1"/>
  <c r="H2008" i="1"/>
  <c r="I2008" i="1"/>
  <c r="J2008" i="1"/>
  <c r="L2008" i="1"/>
  <c r="M2008" i="1"/>
  <c r="C2009" i="1"/>
  <c r="E2009" i="1"/>
  <c r="F2009" i="1"/>
  <c r="H2009" i="1"/>
  <c r="I2009" i="1"/>
  <c r="J2009" i="1"/>
  <c r="L2009" i="1"/>
  <c r="M2009" i="1"/>
  <c r="C2010" i="1"/>
  <c r="E2010" i="1"/>
  <c r="F2010" i="1"/>
  <c r="H2010" i="1"/>
  <c r="I2010" i="1"/>
  <c r="J2010" i="1"/>
  <c r="L2010" i="1"/>
  <c r="M2010" i="1"/>
  <c r="C2011" i="1"/>
  <c r="E2011" i="1"/>
  <c r="F2011" i="1"/>
  <c r="H2011" i="1"/>
  <c r="I2011" i="1"/>
  <c r="J2011" i="1"/>
  <c r="L2011" i="1"/>
  <c r="M2011" i="1"/>
  <c r="C2012" i="1"/>
  <c r="E2012" i="1"/>
  <c r="F2012" i="1"/>
  <c r="H2012" i="1"/>
  <c r="I2012" i="1"/>
  <c r="J2012" i="1"/>
  <c r="L2012" i="1"/>
  <c r="M2012" i="1"/>
  <c r="C2013" i="1"/>
  <c r="E2013" i="1"/>
  <c r="F2013" i="1"/>
  <c r="H2013" i="1"/>
  <c r="I2013" i="1"/>
  <c r="J2013" i="1"/>
  <c r="L2013" i="1"/>
  <c r="M2013" i="1"/>
  <c r="C2014" i="1"/>
  <c r="E2014" i="1"/>
  <c r="F2014" i="1"/>
  <c r="H2014" i="1"/>
  <c r="I2014" i="1"/>
  <c r="J2014" i="1"/>
  <c r="L2014" i="1"/>
  <c r="M2014" i="1"/>
  <c r="C2015" i="1"/>
  <c r="E2015" i="1"/>
  <c r="F2015" i="1"/>
  <c r="H2015" i="1"/>
  <c r="I2015" i="1"/>
  <c r="J2015" i="1"/>
  <c r="L2015" i="1"/>
  <c r="M2015" i="1"/>
  <c r="C2016" i="1"/>
  <c r="E2016" i="1"/>
  <c r="F2016" i="1"/>
  <c r="H2016" i="1"/>
  <c r="I2016" i="1"/>
  <c r="J2016" i="1"/>
  <c r="L2016" i="1"/>
  <c r="M2016" i="1"/>
  <c r="C2017" i="1"/>
  <c r="E2017" i="1"/>
  <c r="F2017" i="1"/>
  <c r="H2017" i="1"/>
  <c r="I2017" i="1"/>
  <c r="J2017" i="1"/>
  <c r="L2017" i="1"/>
  <c r="M2017" i="1"/>
  <c r="C2018" i="1"/>
  <c r="E2018" i="1"/>
  <c r="F2018" i="1"/>
  <c r="H2018" i="1"/>
  <c r="I2018" i="1"/>
  <c r="J2018" i="1"/>
  <c r="L2018" i="1"/>
  <c r="M2018" i="1"/>
  <c r="C2019" i="1"/>
  <c r="E2019" i="1"/>
  <c r="F2019" i="1"/>
  <c r="H2019" i="1"/>
  <c r="I2019" i="1"/>
  <c r="J2019" i="1"/>
  <c r="L2019" i="1"/>
  <c r="M2019" i="1"/>
  <c r="C2020" i="1"/>
  <c r="E2020" i="1"/>
  <c r="F2020" i="1"/>
  <c r="H2020" i="1"/>
  <c r="I2020" i="1"/>
  <c r="J2020" i="1"/>
  <c r="L2020" i="1"/>
  <c r="M2020" i="1"/>
  <c r="C2021" i="1"/>
  <c r="E2021" i="1"/>
  <c r="F2021" i="1"/>
  <c r="H2021" i="1"/>
  <c r="I2021" i="1"/>
  <c r="J2021" i="1"/>
  <c r="L2021" i="1"/>
  <c r="M2021" i="1"/>
  <c r="C2022" i="1"/>
  <c r="E2022" i="1"/>
  <c r="F2022" i="1"/>
  <c r="H2022" i="1"/>
  <c r="I2022" i="1"/>
  <c r="J2022" i="1"/>
  <c r="L2022" i="1"/>
  <c r="M2022" i="1"/>
  <c r="C2023" i="1"/>
  <c r="E2023" i="1"/>
  <c r="F2023" i="1"/>
  <c r="H2023" i="1"/>
  <c r="I2023" i="1"/>
  <c r="J2023" i="1"/>
  <c r="L2023" i="1"/>
  <c r="M2023" i="1"/>
  <c r="C2024" i="1"/>
  <c r="E2024" i="1"/>
  <c r="F2024" i="1"/>
  <c r="H2024" i="1"/>
  <c r="I2024" i="1"/>
  <c r="J2024" i="1"/>
  <c r="L2024" i="1"/>
  <c r="M2024" i="1"/>
  <c r="C2025" i="1"/>
  <c r="E2025" i="1"/>
  <c r="F2025" i="1"/>
  <c r="H2025" i="1"/>
  <c r="I2025" i="1"/>
  <c r="J2025" i="1"/>
  <c r="L2025" i="1"/>
  <c r="M2025" i="1"/>
  <c r="C2026" i="1"/>
  <c r="E2026" i="1"/>
  <c r="F2026" i="1"/>
  <c r="H2026" i="1"/>
  <c r="I2026" i="1"/>
  <c r="J2026" i="1"/>
  <c r="L2026" i="1"/>
  <c r="M2026" i="1"/>
  <c r="C2027" i="1"/>
  <c r="E2027" i="1"/>
  <c r="F2027" i="1"/>
  <c r="H2027" i="1"/>
  <c r="I2027" i="1"/>
  <c r="J2027" i="1"/>
  <c r="L2027" i="1"/>
  <c r="M2027" i="1"/>
  <c r="C2028" i="1"/>
  <c r="E2028" i="1"/>
  <c r="F2028" i="1"/>
  <c r="H2028" i="1"/>
  <c r="I2028" i="1"/>
  <c r="J2028" i="1"/>
  <c r="L2028" i="1"/>
  <c r="M2028" i="1"/>
  <c r="C2029" i="1"/>
  <c r="E2029" i="1"/>
  <c r="F2029" i="1"/>
  <c r="H2029" i="1"/>
  <c r="I2029" i="1"/>
  <c r="J2029" i="1"/>
  <c r="L2029" i="1"/>
  <c r="M2029" i="1"/>
  <c r="C2030" i="1"/>
  <c r="E2030" i="1"/>
  <c r="F2030" i="1"/>
  <c r="H2030" i="1"/>
  <c r="I2030" i="1"/>
  <c r="J2030" i="1"/>
  <c r="L2030" i="1"/>
  <c r="M2030" i="1"/>
  <c r="C2031" i="1"/>
  <c r="E2031" i="1"/>
  <c r="F2031" i="1"/>
  <c r="H2031" i="1"/>
  <c r="I2031" i="1"/>
  <c r="J2031" i="1"/>
  <c r="L2031" i="1"/>
  <c r="M2031" i="1"/>
  <c r="C2032" i="1"/>
  <c r="E2032" i="1"/>
  <c r="F2032" i="1"/>
  <c r="H2032" i="1"/>
  <c r="I2032" i="1"/>
  <c r="J2032" i="1"/>
  <c r="L2032" i="1"/>
  <c r="M2032" i="1"/>
  <c r="C2033" i="1"/>
  <c r="E2033" i="1"/>
  <c r="F2033" i="1"/>
  <c r="H2033" i="1"/>
  <c r="I2033" i="1"/>
  <c r="J2033" i="1"/>
  <c r="L2033" i="1"/>
  <c r="M2033" i="1"/>
  <c r="C2034" i="1"/>
  <c r="E2034" i="1"/>
  <c r="F2034" i="1"/>
  <c r="H2034" i="1"/>
  <c r="I2034" i="1"/>
  <c r="J2034" i="1"/>
  <c r="L2034" i="1"/>
  <c r="M2034" i="1"/>
  <c r="C2035" i="1"/>
  <c r="E2035" i="1"/>
  <c r="F2035" i="1"/>
  <c r="H2035" i="1"/>
  <c r="I2035" i="1"/>
  <c r="J2035" i="1"/>
  <c r="L2035" i="1"/>
  <c r="M2035" i="1"/>
  <c r="C2036" i="1"/>
  <c r="E2036" i="1"/>
  <c r="F2036" i="1"/>
  <c r="H2036" i="1"/>
  <c r="I2036" i="1"/>
  <c r="J2036" i="1"/>
  <c r="L2036" i="1"/>
  <c r="M2036" i="1"/>
  <c r="C2037" i="1"/>
  <c r="E2037" i="1"/>
  <c r="F2037" i="1"/>
  <c r="H2037" i="1"/>
  <c r="I2037" i="1"/>
  <c r="J2037" i="1"/>
  <c r="L2037" i="1"/>
  <c r="M2037" i="1"/>
  <c r="C2038" i="1"/>
  <c r="E2038" i="1"/>
  <c r="F2038" i="1"/>
  <c r="H2038" i="1"/>
  <c r="I2038" i="1"/>
  <c r="J2038" i="1"/>
  <c r="L2038" i="1"/>
  <c r="M2038" i="1"/>
  <c r="C2039" i="1"/>
  <c r="E2039" i="1"/>
  <c r="F2039" i="1"/>
  <c r="H2039" i="1"/>
  <c r="I2039" i="1"/>
  <c r="J2039" i="1"/>
  <c r="L2039" i="1"/>
  <c r="M2039" i="1"/>
  <c r="C2040" i="1"/>
  <c r="E2040" i="1"/>
  <c r="F2040" i="1"/>
  <c r="H2040" i="1"/>
  <c r="I2040" i="1"/>
  <c r="J2040" i="1"/>
  <c r="L2040" i="1"/>
  <c r="M2040" i="1"/>
  <c r="C2041" i="1"/>
  <c r="E2041" i="1"/>
  <c r="F2041" i="1"/>
  <c r="H2041" i="1"/>
  <c r="I2041" i="1"/>
  <c r="J2041" i="1"/>
  <c r="L2041" i="1"/>
  <c r="M2041" i="1"/>
  <c r="C2042" i="1"/>
  <c r="E2042" i="1"/>
  <c r="F2042" i="1"/>
  <c r="H2042" i="1"/>
  <c r="I2042" i="1"/>
  <c r="J2042" i="1"/>
  <c r="L2042" i="1"/>
  <c r="M2042" i="1"/>
  <c r="C2043" i="1"/>
  <c r="E2043" i="1"/>
  <c r="F2043" i="1"/>
  <c r="H2043" i="1"/>
  <c r="I2043" i="1"/>
  <c r="J2043" i="1"/>
  <c r="L2043" i="1"/>
  <c r="M2043" i="1"/>
  <c r="C2044" i="1"/>
  <c r="E2044" i="1"/>
  <c r="F2044" i="1"/>
  <c r="H2044" i="1"/>
  <c r="I2044" i="1"/>
  <c r="J2044" i="1"/>
  <c r="L2044" i="1"/>
  <c r="M2044" i="1"/>
  <c r="C2045" i="1"/>
  <c r="E2045" i="1"/>
  <c r="F2045" i="1"/>
  <c r="H2045" i="1"/>
  <c r="I2045" i="1"/>
  <c r="J2045" i="1"/>
  <c r="L2045" i="1"/>
  <c r="M2045" i="1"/>
  <c r="C2046" i="1"/>
  <c r="E2046" i="1"/>
  <c r="F2046" i="1"/>
  <c r="H2046" i="1"/>
  <c r="I2046" i="1"/>
  <c r="J2046" i="1"/>
  <c r="L2046" i="1"/>
  <c r="M2046" i="1"/>
  <c r="C2047" i="1"/>
  <c r="E2047" i="1"/>
  <c r="F2047" i="1"/>
  <c r="H2047" i="1"/>
  <c r="I2047" i="1"/>
  <c r="J2047" i="1"/>
  <c r="L2047" i="1"/>
  <c r="M2047" i="1"/>
  <c r="C2048" i="1"/>
  <c r="E2048" i="1"/>
  <c r="F2048" i="1"/>
  <c r="H2048" i="1"/>
  <c r="I2048" i="1"/>
  <c r="J2048" i="1"/>
  <c r="L2048" i="1"/>
  <c r="M2048" i="1"/>
  <c r="C2049" i="1"/>
  <c r="E2049" i="1"/>
  <c r="F2049" i="1"/>
  <c r="H2049" i="1"/>
  <c r="I2049" i="1"/>
  <c r="J2049" i="1"/>
  <c r="L2049" i="1"/>
  <c r="M2049" i="1"/>
  <c r="C2050" i="1"/>
  <c r="E2050" i="1"/>
  <c r="F2050" i="1"/>
  <c r="H2050" i="1"/>
  <c r="I2050" i="1"/>
  <c r="J2050" i="1"/>
  <c r="L2050" i="1"/>
  <c r="M2050" i="1"/>
  <c r="C2051" i="1"/>
  <c r="E2051" i="1"/>
  <c r="F2051" i="1"/>
  <c r="H2051" i="1"/>
  <c r="I2051" i="1"/>
  <c r="J2051" i="1"/>
  <c r="L2051" i="1"/>
  <c r="M2051" i="1"/>
  <c r="C2052" i="1"/>
  <c r="E2052" i="1"/>
  <c r="F2052" i="1"/>
  <c r="H2052" i="1"/>
  <c r="I2052" i="1"/>
  <c r="J2052" i="1"/>
  <c r="L2052" i="1"/>
  <c r="M2052" i="1"/>
  <c r="C2053" i="1"/>
  <c r="E2053" i="1"/>
  <c r="F2053" i="1"/>
  <c r="H2053" i="1"/>
  <c r="I2053" i="1"/>
  <c r="J2053" i="1"/>
  <c r="L2053" i="1"/>
  <c r="M2053" i="1"/>
  <c r="C2054" i="1"/>
  <c r="E2054" i="1"/>
  <c r="F2054" i="1"/>
  <c r="H2054" i="1"/>
  <c r="I2054" i="1"/>
  <c r="J2054" i="1"/>
  <c r="L2054" i="1"/>
  <c r="M2054" i="1"/>
  <c r="C2055" i="1"/>
  <c r="E2055" i="1"/>
  <c r="F2055" i="1"/>
  <c r="H2055" i="1"/>
  <c r="I2055" i="1"/>
  <c r="J2055" i="1"/>
  <c r="L2055" i="1"/>
  <c r="M2055" i="1"/>
  <c r="C2056" i="1"/>
  <c r="E2056" i="1"/>
  <c r="F2056" i="1"/>
  <c r="H2056" i="1"/>
  <c r="I2056" i="1"/>
  <c r="J2056" i="1"/>
  <c r="L2056" i="1"/>
  <c r="M2056" i="1"/>
  <c r="C2057" i="1"/>
  <c r="E2057" i="1"/>
  <c r="F2057" i="1"/>
  <c r="H2057" i="1"/>
  <c r="I2057" i="1"/>
  <c r="J2057" i="1"/>
  <c r="L2057" i="1"/>
  <c r="M2057" i="1"/>
  <c r="C2058" i="1"/>
  <c r="E2058" i="1"/>
  <c r="F2058" i="1"/>
  <c r="H2058" i="1"/>
  <c r="I2058" i="1"/>
  <c r="J2058" i="1"/>
  <c r="L2058" i="1"/>
  <c r="M2058" i="1"/>
  <c r="C2059" i="1"/>
  <c r="E2059" i="1"/>
  <c r="F2059" i="1"/>
  <c r="H2059" i="1"/>
  <c r="I2059" i="1"/>
  <c r="J2059" i="1"/>
  <c r="L2059" i="1"/>
  <c r="M2059" i="1"/>
  <c r="C2060" i="1"/>
  <c r="E2060" i="1"/>
  <c r="F2060" i="1"/>
  <c r="H2060" i="1"/>
  <c r="I2060" i="1"/>
  <c r="J2060" i="1"/>
  <c r="L2060" i="1"/>
  <c r="M2060" i="1"/>
  <c r="C2061" i="1"/>
  <c r="E2061" i="1"/>
  <c r="F2061" i="1"/>
  <c r="H2061" i="1"/>
  <c r="I2061" i="1"/>
  <c r="J2061" i="1"/>
  <c r="L2061" i="1"/>
  <c r="M2061" i="1"/>
  <c r="C2062" i="1"/>
  <c r="E2062" i="1"/>
  <c r="F2062" i="1"/>
  <c r="H2062" i="1"/>
  <c r="I2062" i="1"/>
  <c r="J2062" i="1"/>
  <c r="L2062" i="1"/>
  <c r="M2062" i="1"/>
  <c r="C2063" i="1"/>
  <c r="E2063" i="1"/>
  <c r="F2063" i="1"/>
  <c r="H2063" i="1"/>
  <c r="I2063" i="1"/>
  <c r="J2063" i="1"/>
  <c r="L2063" i="1"/>
  <c r="M2063" i="1"/>
  <c r="C2064" i="1"/>
  <c r="E2064" i="1"/>
  <c r="F2064" i="1"/>
  <c r="H2064" i="1"/>
  <c r="I2064" i="1"/>
  <c r="J2064" i="1"/>
  <c r="L2064" i="1"/>
  <c r="M2064" i="1"/>
  <c r="C2065" i="1"/>
  <c r="E2065" i="1"/>
  <c r="F2065" i="1"/>
  <c r="H2065" i="1"/>
  <c r="I2065" i="1"/>
  <c r="J2065" i="1"/>
  <c r="L2065" i="1"/>
  <c r="M2065" i="1"/>
  <c r="C2066" i="1"/>
  <c r="E2066" i="1"/>
  <c r="F2066" i="1"/>
  <c r="H2066" i="1"/>
  <c r="I2066" i="1"/>
  <c r="J2066" i="1"/>
  <c r="L2066" i="1"/>
  <c r="M2066" i="1"/>
  <c r="C2067" i="1"/>
  <c r="E2067" i="1"/>
  <c r="F2067" i="1"/>
  <c r="H2067" i="1"/>
  <c r="I2067" i="1"/>
  <c r="J2067" i="1"/>
  <c r="L2067" i="1"/>
  <c r="M2067" i="1"/>
  <c r="C2068" i="1"/>
  <c r="E2068" i="1"/>
  <c r="F2068" i="1"/>
  <c r="H2068" i="1"/>
  <c r="I2068" i="1"/>
  <c r="J2068" i="1"/>
  <c r="L2068" i="1"/>
  <c r="M2068" i="1"/>
  <c r="C2069" i="1"/>
  <c r="E2069" i="1"/>
  <c r="F2069" i="1"/>
  <c r="H2069" i="1"/>
  <c r="I2069" i="1"/>
  <c r="J2069" i="1"/>
  <c r="L2069" i="1"/>
  <c r="M2069" i="1"/>
  <c r="C2070" i="1"/>
  <c r="E2070" i="1"/>
  <c r="F2070" i="1"/>
  <c r="H2070" i="1"/>
  <c r="I2070" i="1"/>
  <c r="J2070" i="1"/>
  <c r="L2070" i="1"/>
  <c r="M2070" i="1"/>
  <c r="C2071" i="1"/>
  <c r="E2071" i="1"/>
  <c r="F2071" i="1"/>
  <c r="H2071" i="1"/>
  <c r="I2071" i="1"/>
  <c r="J2071" i="1"/>
  <c r="L2071" i="1"/>
  <c r="M2071" i="1"/>
  <c r="C2072" i="1"/>
  <c r="E2072" i="1"/>
  <c r="F2072" i="1"/>
  <c r="H2072" i="1"/>
  <c r="I2072" i="1"/>
  <c r="J2072" i="1"/>
  <c r="L2072" i="1"/>
  <c r="M2072" i="1"/>
  <c r="C2073" i="1"/>
  <c r="E2073" i="1"/>
  <c r="F2073" i="1"/>
  <c r="H2073" i="1"/>
  <c r="I2073" i="1"/>
  <c r="J2073" i="1"/>
  <c r="L2073" i="1"/>
  <c r="M2073" i="1"/>
  <c r="C2074" i="1"/>
  <c r="E2074" i="1"/>
  <c r="F2074" i="1"/>
  <c r="H2074" i="1"/>
  <c r="I2074" i="1"/>
  <c r="J2074" i="1"/>
  <c r="L2074" i="1"/>
  <c r="M2074" i="1"/>
  <c r="C2075" i="1"/>
  <c r="E2075" i="1"/>
  <c r="F2075" i="1"/>
  <c r="H2075" i="1"/>
  <c r="I2075" i="1"/>
  <c r="J2075" i="1"/>
  <c r="L2075" i="1"/>
  <c r="M2075" i="1"/>
  <c r="C2076" i="1"/>
  <c r="E2076" i="1"/>
  <c r="F2076" i="1"/>
  <c r="H2076" i="1"/>
  <c r="I2076" i="1"/>
  <c r="J2076" i="1"/>
  <c r="L2076" i="1"/>
  <c r="M2076" i="1"/>
  <c r="C2077" i="1"/>
  <c r="E2077" i="1"/>
  <c r="F2077" i="1"/>
  <c r="H2077" i="1"/>
  <c r="I2077" i="1"/>
  <c r="J2077" i="1"/>
  <c r="L2077" i="1"/>
  <c r="M2077" i="1"/>
  <c r="C2078" i="1"/>
  <c r="E2078" i="1"/>
  <c r="F2078" i="1"/>
  <c r="H2078" i="1"/>
  <c r="I2078" i="1"/>
  <c r="J2078" i="1"/>
  <c r="L2078" i="1"/>
  <c r="M2078" i="1"/>
  <c r="C2079" i="1"/>
  <c r="E2079" i="1"/>
  <c r="F2079" i="1"/>
  <c r="H2079" i="1"/>
  <c r="I2079" i="1"/>
  <c r="J2079" i="1"/>
  <c r="L2079" i="1"/>
  <c r="M2079" i="1"/>
  <c r="C2080" i="1"/>
  <c r="E2080" i="1"/>
  <c r="F2080" i="1"/>
  <c r="H2080" i="1"/>
  <c r="I2080" i="1"/>
  <c r="J2080" i="1"/>
  <c r="L2080" i="1"/>
  <c r="M2080" i="1"/>
  <c r="C2081" i="1"/>
  <c r="E2081" i="1"/>
  <c r="F2081" i="1"/>
  <c r="H2081" i="1"/>
  <c r="I2081" i="1"/>
  <c r="J2081" i="1"/>
  <c r="L2081" i="1"/>
  <c r="M2081" i="1"/>
  <c r="C2082" i="1"/>
  <c r="E2082" i="1"/>
  <c r="F2082" i="1"/>
  <c r="H2082" i="1"/>
  <c r="I2082" i="1"/>
  <c r="J2082" i="1"/>
  <c r="L2082" i="1"/>
  <c r="M2082" i="1"/>
  <c r="C2083" i="1"/>
  <c r="E2083" i="1"/>
  <c r="F2083" i="1"/>
  <c r="H2083" i="1"/>
  <c r="I2083" i="1"/>
  <c r="J2083" i="1"/>
  <c r="L2083" i="1"/>
  <c r="M2083" i="1"/>
  <c r="C2084" i="1"/>
  <c r="E2084" i="1"/>
  <c r="F2084" i="1"/>
  <c r="H2084" i="1"/>
  <c r="I2084" i="1"/>
  <c r="J2084" i="1"/>
  <c r="L2084" i="1"/>
  <c r="M2084" i="1"/>
  <c r="C2085" i="1"/>
  <c r="E2085" i="1"/>
  <c r="F2085" i="1"/>
  <c r="H2085" i="1"/>
  <c r="I2085" i="1"/>
  <c r="J2085" i="1"/>
  <c r="L2085" i="1"/>
  <c r="M2085" i="1"/>
  <c r="C2086" i="1"/>
  <c r="E2086" i="1"/>
  <c r="F2086" i="1"/>
  <c r="H2086" i="1"/>
  <c r="I2086" i="1"/>
  <c r="J2086" i="1"/>
  <c r="L2086" i="1"/>
  <c r="M2086" i="1"/>
  <c r="C2087" i="1"/>
  <c r="E2087" i="1"/>
  <c r="F2087" i="1"/>
  <c r="H2087" i="1"/>
  <c r="I2087" i="1"/>
  <c r="J2087" i="1"/>
  <c r="L2087" i="1"/>
  <c r="M2087" i="1"/>
  <c r="C2088" i="1"/>
  <c r="E2088" i="1"/>
  <c r="F2088" i="1"/>
  <c r="H2088" i="1"/>
  <c r="I2088" i="1"/>
  <c r="J2088" i="1"/>
  <c r="L2088" i="1"/>
  <c r="M2088" i="1"/>
  <c r="C2089" i="1"/>
  <c r="E2089" i="1"/>
  <c r="F2089" i="1"/>
  <c r="H2089" i="1"/>
  <c r="I2089" i="1"/>
  <c r="J2089" i="1"/>
  <c r="L2089" i="1"/>
  <c r="M2089" i="1"/>
  <c r="C2090" i="1"/>
  <c r="E2090" i="1"/>
  <c r="F2090" i="1"/>
  <c r="H2090" i="1"/>
  <c r="I2090" i="1"/>
  <c r="J2090" i="1"/>
  <c r="L2090" i="1"/>
  <c r="M2090" i="1"/>
  <c r="C2091" i="1"/>
  <c r="E2091" i="1"/>
  <c r="F2091" i="1"/>
  <c r="H2091" i="1"/>
  <c r="I2091" i="1"/>
  <c r="J2091" i="1"/>
  <c r="L2091" i="1"/>
  <c r="M2091" i="1"/>
  <c r="C2092" i="1"/>
  <c r="E2092" i="1"/>
  <c r="F2092" i="1"/>
  <c r="H2092" i="1"/>
  <c r="I2092" i="1"/>
  <c r="J2092" i="1"/>
  <c r="L2092" i="1"/>
  <c r="M2092" i="1"/>
  <c r="C2093" i="1"/>
  <c r="E2093" i="1"/>
  <c r="F2093" i="1"/>
  <c r="H2093" i="1"/>
  <c r="I2093" i="1"/>
  <c r="J2093" i="1"/>
  <c r="L2093" i="1"/>
  <c r="M2093" i="1"/>
  <c r="C2094" i="1"/>
  <c r="E2094" i="1"/>
  <c r="F2094" i="1"/>
  <c r="H2094" i="1"/>
  <c r="I2094" i="1"/>
  <c r="J2094" i="1"/>
  <c r="L2094" i="1"/>
  <c r="M2094" i="1"/>
  <c r="C2095" i="1"/>
  <c r="E2095" i="1"/>
  <c r="F2095" i="1"/>
  <c r="H2095" i="1"/>
  <c r="I2095" i="1"/>
  <c r="J2095" i="1"/>
  <c r="L2095" i="1"/>
  <c r="M2095" i="1"/>
  <c r="C2096" i="1"/>
  <c r="E2096" i="1"/>
  <c r="F2096" i="1"/>
  <c r="H2096" i="1"/>
  <c r="I2096" i="1"/>
  <c r="J2096" i="1"/>
  <c r="L2096" i="1"/>
  <c r="M2096" i="1"/>
  <c r="C2097" i="1"/>
  <c r="E2097" i="1"/>
  <c r="F2097" i="1"/>
  <c r="H2097" i="1"/>
  <c r="I2097" i="1"/>
  <c r="J2097" i="1"/>
  <c r="L2097" i="1"/>
  <c r="M2097" i="1"/>
  <c r="C2098" i="1"/>
  <c r="E2098" i="1"/>
  <c r="F2098" i="1"/>
  <c r="H2098" i="1"/>
  <c r="I2098" i="1"/>
  <c r="J2098" i="1"/>
  <c r="L2098" i="1"/>
  <c r="M2098" i="1"/>
  <c r="C2099" i="1"/>
  <c r="E2099" i="1"/>
  <c r="F2099" i="1"/>
  <c r="H2099" i="1"/>
  <c r="I2099" i="1"/>
  <c r="J2099" i="1"/>
  <c r="L2099" i="1"/>
  <c r="M2099" i="1"/>
  <c r="C2100" i="1"/>
  <c r="E2100" i="1"/>
  <c r="F2100" i="1"/>
  <c r="H2100" i="1"/>
  <c r="I2100" i="1"/>
  <c r="J2100" i="1"/>
  <c r="L2100" i="1"/>
  <c r="M2100" i="1"/>
  <c r="C2101" i="1"/>
  <c r="E2101" i="1"/>
  <c r="F2101" i="1"/>
  <c r="H2101" i="1"/>
  <c r="I2101" i="1"/>
  <c r="J2101" i="1"/>
  <c r="L2101" i="1"/>
  <c r="M2101" i="1"/>
  <c r="C2102" i="1"/>
  <c r="E2102" i="1"/>
  <c r="F2102" i="1"/>
  <c r="H2102" i="1"/>
  <c r="I2102" i="1"/>
  <c r="J2102" i="1"/>
  <c r="L2102" i="1"/>
  <c r="M2102" i="1"/>
  <c r="C2103" i="1"/>
  <c r="E2103" i="1"/>
  <c r="F2103" i="1"/>
  <c r="H2103" i="1"/>
  <c r="I2103" i="1"/>
  <c r="J2103" i="1"/>
  <c r="L2103" i="1"/>
  <c r="M2103" i="1"/>
  <c r="C2104" i="1"/>
  <c r="E2104" i="1"/>
  <c r="F2104" i="1"/>
  <c r="H2104" i="1"/>
  <c r="I2104" i="1"/>
  <c r="J2104" i="1"/>
  <c r="L2104" i="1"/>
  <c r="M2104" i="1"/>
  <c r="C2105" i="1"/>
  <c r="E2105" i="1"/>
  <c r="F2105" i="1"/>
  <c r="H2105" i="1"/>
  <c r="I2105" i="1"/>
  <c r="J2105" i="1"/>
  <c r="L2105" i="1"/>
  <c r="M2105" i="1"/>
  <c r="C2106" i="1"/>
  <c r="E2106" i="1"/>
  <c r="F2106" i="1"/>
  <c r="H2106" i="1"/>
  <c r="I2106" i="1"/>
  <c r="J2106" i="1"/>
  <c r="L2106" i="1"/>
  <c r="M2106" i="1"/>
  <c r="C2107" i="1"/>
  <c r="E2107" i="1"/>
  <c r="F2107" i="1"/>
  <c r="H2107" i="1"/>
  <c r="I2107" i="1"/>
  <c r="J2107" i="1"/>
  <c r="L2107" i="1"/>
  <c r="M2107" i="1"/>
  <c r="C2108" i="1"/>
  <c r="E2108" i="1"/>
  <c r="F2108" i="1"/>
  <c r="H2108" i="1"/>
  <c r="I2108" i="1"/>
  <c r="J2108" i="1"/>
  <c r="L2108" i="1"/>
  <c r="M2108" i="1"/>
  <c r="C2109" i="1"/>
  <c r="E2109" i="1"/>
  <c r="F2109" i="1"/>
  <c r="H2109" i="1"/>
  <c r="I2109" i="1"/>
  <c r="J2109" i="1"/>
  <c r="L2109" i="1"/>
  <c r="M2109" i="1"/>
  <c r="C2110" i="1"/>
  <c r="E2110" i="1"/>
  <c r="F2110" i="1"/>
  <c r="H2110" i="1"/>
  <c r="I2110" i="1"/>
  <c r="J2110" i="1"/>
  <c r="L2110" i="1"/>
  <c r="M2110" i="1"/>
  <c r="C2111" i="1"/>
  <c r="E2111" i="1"/>
  <c r="F2111" i="1"/>
  <c r="H2111" i="1"/>
  <c r="I2111" i="1"/>
  <c r="J2111" i="1"/>
  <c r="L2111" i="1"/>
  <c r="M2111" i="1"/>
  <c r="C2112" i="1"/>
  <c r="E2112" i="1"/>
  <c r="F2112" i="1"/>
  <c r="H2112" i="1"/>
  <c r="I2112" i="1"/>
  <c r="J2112" i="1"/>
  <c r="L2112" i="1"/>
  <c r="M2112" i="1"/>
  <c r="C2113" i="1"/>
  <c r="E2113" i="1"/>
  <c r="F2113" i="1"/>
  <c r="H2113" i="1"/>
  <c r="I2113" i="1"/>
  <c r="J2113" i="1"/>
  <c r="L2113" i="1"/>
  <c r="M2113" i="1"/>
  <c r="C2114" i="1"/>
  <c r="E2114" i="1"/>
  <c r="F2114" i="1"/>
  <c r="H2114" i="1"/>
  <c r="I2114" i="1"/>
  <c r="J2114" i="1"/>
  <c r="L2114" i="1"/>
  <c r="M2114" i="1"/>
  <c r="C2115" i="1"/>
  <c r="E2115" i="1"/>
  <c r="F2115" i="1"/>
  <c r="H2115" i="1"/>
  <c r="I2115" i="1"/>
  <c r="J2115" i="1"/>
  <c r="L2115" i="1"/>
  <c r="M2115" i="1"/>
  <c r="C2116" i="1"/>
  <c r="E2116" i="1"/>
  <c r="F2116" i="1"/>
  <c r="H2116" i="1"/>
  <c r="I2116" i="1"/>
  <c r="J2116" i="1"/>
  <c r="L2116" i="1"/>
  <c r="M2116" i="1"/>
  <c r="C2117" i="1"/>
  <c r="E2117" i="1"/>
  <c r="F2117" i="1"/>
  <c r="H2117" i="1"/>
  <c r="I2117" i="1"/>
  <c r="J2117" i="1"/>
  <c r="L2117" i="1"/>
  <c r="M2117" i="1"/>
  <c r="C2118" i="1"/>
  <c r="E2118" i="1"/>
  <c r="F2118" i="1"/>
  <c r="H2118" i="1"/>
  <c r="I2118" i="1"/>
  <c r="J2118" i="1"/>
  <c r="L2118" i="1"/>
  <c r="M2118" i="1"/>
  <c r="C2119" i="1"/>
  <c r="E2119" i="1"/>
  <c r="F2119" i="1"/>
  <c r="H2119" i="1"/>
  <c r="I2119" i="1"/>
  <c r="J2119" i="1"/>
  <c r="L2119" i="1"/>
  <c r="M2119" i="1"/>
  <c r="C2120" i="1"/>
  <c r="E2120" i="1"/>
  <c r="F2120" i="1"/>
  <c r="H2120" i="1"/>
  <c r="I2120" i="1"/>
  <c r="J2120" i="1"/>
  <c r="L2120" i="1"/>
  <c r="M2120" i="1"/>
  <c r="C2121" i="1"/>
  <c r="E2121" i="1"/>
  <c r="F2121" i="1"/>
  <c r="H2121" i="1"/>
  <c r="I2121" i="1"/>
  <c r="J2121" i="1"/>
  <c r="L2121" i="1"/>
  <c r="M2121" i="1"/>
  <c r="C2122" i="1"/>
  <c r="E2122" i="1"/>
  <c r="F2122" i="1"/>
  <c r="H2122" i="1"/>
  <c r="I2122" i="1"/>
  <c r="J2122" i="1"/>
  <c r="L2122" i="1"/>
  <c r="M2122" i="1"/>
  <c r="C2123" i="1"/>
  <c r="E2123" i="1"/>
  <c r="F2123" i="1"/>
  <c r="H2123" i="1"/>
  <c r="I2123" i="1"/>
  <c r="J2123" i="1"/>
  <c r="L2123" i="1"/>
  <c r="M2123" i="1"/>
  <c r="C2124" i="1"/>
  <c r="E2124" i="1"/>
  <c r="F2124" i="1"/>
  <c r="H2124" i="1"/>
  <c r="I2124" i="1"/>
  <c r="J2124" i="1"/>
  <c r="L2124" i="1"/>
  <c r="M2124" i="1"/>
  <c r="C2125" i="1"/>
  <c r="E2125" i="1"/>
  <c r="F2125" i="1"/>
  <c r="H2125" i="1"/>
  <c r="I2125" i="1"/>
  <c r="J2125" i="1"/>
  <c r="L2125" i="1"/>
  <c r="M2125" i="1"/>
  <c r="C2126" i="1"/>
  <c r="E2126" i="1"/>
  <c r="F2126" i="1"/>
  <c r="H2126" i="1"/>
  <c r="I2126" i="1"/>
  <c r="J2126" i="1"/>
  <c r="L2126" i="1"/>
  <c r="M2126" i="1"/>
  <c r="C2127" i="1"/>
  <c r="E2127" i="1"/>
  <c r="F2127" i="1"/>
  <c r="H2127" i="1"/>
  <c r="I2127" i="1"/>
  <c r="J2127" i="1"/>
  <c r="L2127" i="1"/>
  <c r="M2127" i="1"/>
  <c r="C2128" i="1"/>
  <c r="E2128" i="1"/>
  <c r="F2128" i="1"/>
  <c r="H2128" i="1"/>
  <c r="I2128" i="1"/>
  <c r="J2128" i="1"/>
  <c r="L2128" i="1"/>
  <c r="M2128" i="1"/>
  <c r="C2129" i="1"/>
  <c r="E2129" i="1"/>
  <c r="F2129" i="1"/>
  <c r="H2129" i="1"/>
  <c r="I2129" i="1"/>
  <c r="J2129" i="1"/>
  <c r="L2129" i="1"/>
  <c r="M2129" i="1"/>
  <c r="C2130" i="1"/>
  <c r="E2130" i="1"/>
  <c r="F2130" i="1"/>
  <c r="H2130" i="1"/>
  <c r="I2130" i="1"/>
  <c r="J2130" i="1"/>
  <c r="L2130" i="1"/>
  <c r="M2130" i="1"/>
  <c r="C2131" i="1"/>
  <c r="E2131" i="1"/>
  <c r="F2131" i="1"/>
  <c r="H2131" i="1"/>
  <c r="I2131" i="1"/>
  <c r="J2131" i="1"/>
  <c r="L2131" i="1"/>
  <c r="M2131" i="1"/>
  <c r="C2132" i="1"/>
  <c r="E2132" i="1"/>
  <c r="F2132" i="1"/>
  <c r="H2132" i="1"/>
  <c r="I2132" i="1"/>
  <c r="J2132" i="1"/>
  <c r="L2132" i="1"/>
  <c r="M2132" i="1"/>
  <c r="C2133" i="1"/>
  <c r="E2133" i="1"/>
  <c r="F2133" i="1"/>
  <c r="H2133" i="1"/>
  <c r="I2133" i="1"/>
  <c r="J2133" i="1"/>
  <c r="L2133" i="1"/>
  <c r="M2133" i="1"/>
  <c r="C2134" i="1"/>
  <c r="E2134" i="1"/>
  <c r="F2134" i="1"/>
  <c r="H2134" i="1"/>
  <c r="I2134" i="1"/>
  <c r="J2134" i="1"/>
  <c r="L2134" i="1"/>
  <c r="M2134" i="1"/>
  <c r="C2135" i="1"/>
  <c r="E2135" i="1"/>
  <c r="F2135" i="1"/>
  <c r="H2135" i="1"/>
  <c r="I2135" i="1"/>
  <c r="J2135" i="1"/>
  <c r="L2135" i="1"/>
  <c r="M2135" i="1"/>
  <c r="C2136" i="1"/>
  <c r="E2136" i="1"/>
  <c r="F2136" i="1"/>
  <c r="H2136" i="1"/>
  <c r="I2136" i="1"/>
  <c r="J2136" i="1"/>
  <c r="L2136" i="1"/>
  <c r="M2136" i="1"/>
  <c r="C2137" i="1"/>
  <c r="E2137" i="1"/>
  <c r="F2137" i="1"/>
  <c r="H2137" i="1"/>
  <c r="I2137" i="1"/>
  <c r="J2137" i="1"/>
  <c r="L2137" i="1"/>
  <c r="M2137" i="1"/>
  <c r="C2138" i="1"/>
  <c r="E2138" i="1"/>
  <c r="F2138" i="1"/>
  <c r="H2138" i="1"/>
  <c r="I2138" i="1"/>
  <c r="J2138" i="1"/>
  <c r="L2138" i="1"/>
  <c r="M2138" i="1"/>
  <c r="C2139" i="1"/>
  <c r="E2139" i="1"/>
  <c r="F2139" i="1"/>
  <c r="H2139" i="1"/>
  <c r="I2139" i="1"/>
  <c r="J2139" i="1"/>
  <c r="L2139" i="1"/>
  <c r="M2139" i="1"/>
  <c r="C2140" i="1"/>
  <c r="E2140" i="1"/>
  <c r="F2140" i="1"/>
  <c r="H2140" i="1"/>
  <c r="I2140" i="1"/>
  <c r="J2140" i="1"/>
  <c r="L2140" i="1"/>
  <c r="M2140" i="1"/>
  <c r="C2141" i="1"/>
  <c r="E2141" i="1"/>
  <c r="F2141" i="1"/>
  <c r="H2141" i="1"/>
  <c r="I2141" i="1"/>
  <c r="J2141" i="1"/>
  <c r="L2141" i="1"/>
  <c r="M2141" i="1"/>
  <c r="C2142" i="1"/>
  <c r="E2142" i="1"/>
  <c r="F2142" i="1"/>
  <c r="H2142" i="1"/>
  <c r="I2142" i="1"/>
  <c r="J2142" i="1"/>
  <c r="L2142" i="1"/>
  <c r="M2142" i="1"/>
  <c r="C2143" i="1"/>
  <c r="E2143" i="1"/>
  <c r="F2143" i="1"/>
  <c r="H2143" i="1"/>
  <c r="I2143" i="1"/>
  <c r="J2143" i="1"/>
  <c r="L2143" i="1"/>
  <c r="M2143" i="1"/>
  <c r="C2144" i="1"/>
  <c r="E2144" i="1"/>
  <c r="F2144" i="1"/>
  <c r="H2144" i="1"/>
  <c r="I2144" i="1"/>
  <c r="J2144" i="1"/>
  <c r="L2144" i="1"/>
  <c r="M2144" i="1"/>
  <c r="C2145" i="1"/>
  <c r="E2145" i="1"/>
  <c r="F2145" i="1"/>
  <c r="H2145" i="1"/>
  <c r="I2145" i="1"/>
  <c r="J2145" i="1"/>
  <c r="L2145" i="1"/>
  <c r="M2145" i="1"/>
  <c r="C2146" i="1"/>
  <c r="E2146" i="1"/>
  <c r="F2146" i="1"/>
  <c r="H2146" i="1"/>
  <c r="I2146" i="1"/>
  <c r="J2146" i="1"/>
  <c r="L2146" i="1"/>
  <c r="M2146" i="1"/>
  <c r="C2147" i="1"/>
  <c r="E2147" i="1"/>
  <c r="F2147" i="1"/>
  <c r="H2147" i="1"/>
  <c r="I2147" i="1"/>
  <c r="J2147" i="1"/>
  <c r="L2147" i="1"/>
  <c r="M2147" i="1"/>
  <c r="C2148" i="1"/>
  <c r="E2148" i="1"/>
  <c r="F2148" i="1"/>
  <c r="H2148" i="1"/>
  <c r="I2148" i="1"/>
  <c r="J2148" i="1"/>
  <c r="L2148" i="1"/>
  <c r="M2148" i="1"/>
  <c r="C2149" i="1"/>
  <c r="E2149" i="1"/>
  <c r="F2149" i="1"/>
  <c r="H2149" i="1"/>
  <c r="I2149" i="1"/>
  <c r="J2149" i="1"/>
  <c r="L2149" i="1"/>
  <c r="M2149" i="1"/>
  <c r="C2150" i="1"/>
  <c r="E2150" i="1"/>
  <c r="F2150" i="1"/>
  <c r="H2150" i="1"/>
  <c r="I2150" i="1"/>
  <c r="J2150" i="1"/>
  <c r="L2150" i="1"/>
  <c r="M2150" i="1"/>
  <c r="C2151" i="1"/>
  <c r="E2151" i="1"/>
  <c r="F2151" i="1"/>
  <c r="H2151" i="1"/>
  <c r="I2151" i="1"/>
  <c r="J2151" i="1"/>
  <c r="L2151" i="1"/>
  <c r="M2151" i="1"/>
  <c r="C2152" i="1"/>
  <c r="E2152" i="1"/>
  <c r="F2152" i="1"/>
  <c r="H2152" i="1"/>
  <c r="I2152" i="1"/>
  <c r="J2152" i="1"/>
  <c r="L2152" i="1"/>
  <c r="M2152" i="1"/>
  <c r="C2153" i="1"/>
  <c r="E2153" i="1"/>
  <c r="F2153" i="1"/>
  <c r="H2153" i="1"/>
  <c r="I2153" i="1"/>
  <c r="J2153" i="1"/>
  <c r="L2153" i="1"/>
  <c r="M2153" i="1"/>
  <c r="C2154" i="1"/>
  <c r="E2154" i="1"/>
  <c r="F2154" i="1"/>
  <c r="H2154" i="1"/>
  <c r="I2154" i="1"/>
  <c r="J2154" i="1"/>
  <c r="L2154" i="1"/>
  <c r="M2154" i="1"/>
  <c r="C2155" i="1"/>
  <c r="E2155" i="1"/>
  <c r="F2155" i="1"/>
  <c r="H2155" i="1"/>
  <c r="I2155" i="1"/>
  <c r="J2155" i="1"/>
  <c r="L2155" i="1"/>
  <c r="M2155" i="1"/>
  <c r="C2156" i="1"/>
  <c r="E2156" i="1"/>
  <c r="F2156" i="1"/>
  <c r="H2156" i="1"/>
  <c r="I2156" i="1"/>
  <c r="J2156" i="1"/>
  <c r="L2156" i="1"/>
  <c r="M2156" i="1"/>
  <c r="C2157" i="1"/>
  <c r="E2157" i="1"/>
  <c r="F2157" i="1"/>
  <c r="H2157" i="1"/>
  <c r="I2157" i="1"/>
  <c r="J2157" i="1"/>
  <c r="L2157" i="1"/>
  <c r="M2157" i="1"/>
  <c r="C2158" i="1"/>
  <c r="E2158" i="1"/>
  <c r="F2158" i="1"/>
  <c r="H2158" i="1"/>
  <c r="I2158" i="1"/>
  <c r="J2158" i="1"/>
  <c r="L2158" i="1"/>
  <c r="M2158" i="1"/>
  <c r="C2159" i="1"/>
  <c r="E2159" i="1"/>
  <c r="F2159" i="1"/>
  <c r="H2159" i="1"/>
  <c r="I2159" i="1"/>
  <c r="J2159" i="1"/>
  <c r="L2159" i="1"/>
  <c r="M2159" i="1"/>
  <c r="C2160" i="1"/>
  <c r="E2160" i="1"/>
  <c r="F2160" i="1"/>
  <c r="H2160" i="1"/>
  <c r="I2160" i="1"/>
  <c r="J2160" i="1"/>
  <c r="L2160" i="1"/>
  <c r="M2160" i="1"/>
  <c r="C2161" i="1"/>
  <c r="E2161" i="1"/>
  <c r="F2161" i="1"/>
  <c r="H2161" i="1"/>
  <c r="I2161" i="1"/>
  <c r="J2161" i="1"/>
  <c r="L2161" i="1"/>
  <c r="M2161" i="1"/>
  <c r="C2162" i="1"/>
  <c r="E2162" i="1"/>
  <c r="F2162" i="1"/>
  <c r="H2162" i="1"/>
  <c r="I2162" i="1"/>
  <c r="J2162" i="1"/>
  <c r="L2162" i="1"/>
  <c r="M2162" i="1"/>
  <c r="C2163" i="1"/>
  <c r="E2163" i="1"/>
  <c r="F2163" i="1"/>
  <c r="H2163" i="1"/>
  <c r="I2163" i="1"/>
  <c r="J2163" i="1"/>
  <c r="L2163" i="1"/>
  <c r="M2163" i="1"/>
  <c r="C2164" i="1"/>
  <c r="E2164" i="1"/>
  <c r="F2164" i="1"/>
  <c r="H2164" i="1"/>
  <c r="I2164" i="1"/>
  <c r="J2164" i="1"/>
  <c r="L2164" i="1"/>
  <c r="M2164" i="1"/>
  <c r="C2165" i="1"/>
  <c r="E2165" i="1"/>
  <c r="F2165" i="1"/>
  <c r="H2165" i="1"/>
  <c r="I2165" i="1"/>
  <c r="J2165" i="1"/>
  <c r="L2165" i="1"/>
  <c r="M2165" i="1"/>
  <c r="C2166" i="1"/>
  <c r="E2166" i="1"/>
  <c r="F2166" i="1"/>
  <c r="H2166" i="1"/>
  <c r="I2166" i="1"/>
  <c r="J2166" i="1"/>
  <c r="L2166" i="1"/>
  <c r="M2166" i="1"/>
  <c r="C2167" i="1"/>
  <c r="E2167" i="1"/>
  <c r="F2167" i="1"/>
  <c r="H2167" i="1"/>
  <c r="I2167" i="1"/>
  <c r="J2167" i="1"/>
  <c r="L2167" i="1"/>
  <c r="M2167" i="1"/>
  <c r="C2168" i="1"/>
  <c r="E2168" i="1"/>
  <c r="F2168" i="1"/>
  <c r="H2168" i="1"/>
  <c r="I2168" i="1"/>
  <c r="J2168" i="1"/>
  <c r="L2168" i="1"/>
  <c r="M2168" i="1"/>
  <c r="C2169" i="1"/>
  <c r="E2169" i="1"/>
  <c r="F2169" i="1"/>
  <c r="H2169" i="1"/>
  <c r="I2169" i="1"/>
  <c r="J2169" i="1"/>
  <c r="L2169" i="1"/>
  <c r="M2169" i="1"/>
  <c r="C2170" i="1"/>
  <c r="E2170" i="1"/>
  <c r="F2170" i="1"/>
  <c r="H2170" i="1"/>
  <c r="I2170" i="1"/>
  <c r="J2170" i="1"/>
  <c r="L2170" i="1"/>
  <c r="M2170" i="1"/>
  <c r="C2171" i="1"/>
  <c r="E2171" i="1"/>
  <c r="F2171" i="1"/>
  <c r="H2171" i="1"/>
  <c r="I2171" i="1"/>
  <c r="J2171" i="1"/>
  <c r="L2171" i="1"/>
  <c r="M2171" i="1"/>
  <c r="C2172" i="1"/>
  <c r="E2172" i="1"/>
  <c r="F2172" i="1"/>
  <c r="H2172" i="1"/>
  <c r="I2172" i="1"/>
  <c r="J2172" i="1"/>
  <c r="L2172" i="1"/>
  <c r="M2172" i="1"/>
  <c r="C2173" i="1"/>
  <c r="E2173" i="1"/>
  <c r="F2173" i="1"/>
  <c r="H2173" i="1"/>
  <c r="I2173" i="1"/>
  <c r="J2173" i="1"/>
  <c r="L2173" i="1"/>
  <c r="M2173" i="1"/>
  <c r="C2174" i="1"/>
  <c r="E2174" i="1"/>
  <c r="F2174" i="1"/>
  <c r="H2174" i="1"/>
  <c r="I2174" i="1"/>
  <c r="J2174" i="1"/>
  <c r="L2174" i="1"/>
  <c r="M2174" i="1"/>
  <c r="C2175" i="1"/>
  <c r="E2175" i="1"/>
  <c r="F2175" i="1"/>
  <c r="H2175" i="1"/>
  <c r="I2175" i="1"/>
  <c r="J2175" i="1"/>
  <c r="L2175" i="1"/>
  <c r="M2175" i="1"/>
  <c r="C2176" i="1"/>
  <c r="E2176" i="1"/>
  <c r="F2176" i="1"/>
  <c r="H2176" i="1"/>
  <c r="I2176" i="1"/>
  <c r="J2176" i="1"/>
  <c r="L2176" i="1"/>
  <c r="M2176" i="1"/>
  <c r="C2177" i="1"/>
  <c r="E2177" i="1"/>
  <c r="F2177" i="1"/>
  <c r="H2177" i="1"/>
  <c r="I2177" i="1"/>
  <c r="J2177" i="1"/>
  <c r="L2177" i="1"/>
  <c r="M2177" i="1"/>
  <c r="C2178" i="1"/>
  <c r="E2178" i="1"/>
  <c r="F2178" i="1"/>
  <c r="H2178" i="1"/>
  <c r="I2178" i="1"/>
  <c r="J2178" i="1"/>
  <c r="L2178" i="1"/>
  <c r="M2178" i="1"/>
  <c r="C2179" i="1"/>
  <c r="E2179" i="1"/>
  <c r="F2179" i="1"/>
  <c r="H2179" i="1"/>
  <c r="I2179" i="1"/>
  <c r="J2179" i="1"/>
  <c r="L2179" i="1"/>
  <c r="M2179" i="1"/>
  <c r="C2180" i="1"/>
  <c r="E2180" i="1"/>
  <c r="F2180" i="1"/>
  <c r="H2180" i="1"/>
  <c r="I2180" i="1"/>
  <c r="J2180" i="1"/>
  <c r="L2180" i="1"/>
  <c r="M2180" i="1"/>
  <c r="C2181" i="1"/>
  <c r="E2181" i="1"/>
  <c r="F2181" i="1"/>
  <c r="H2181" i="1"/>
  <c r="I2181" i="1"/>
  <c r="J2181" i="1"/>
  <c r="L2181" i="1"/>
  <c r="M2181" i="1"/>
  <c r="C2182" i="1"/>
  <c r="E2182" i="1"/>
  <c r="F2182" i="1"/>
  <c r="H2182" i="1"/>
  <c r="I2182" i="1"/>
  <c r="J2182" i="1"/>
  <c r="L2182" i="1"/>
  <c r="M2182" i="1"/>
  <c r="C2183" i="1"/>
  <c r="E2183" i="1"/>
  <c r="F2183" i="1"/>
  <c r="H2183" i="1"/>
  <c r="I2183" i="1"/>
  <c r="J2183" i="1"/>
  <c r="L2183" i="1"/>
  <c r="M2183" i="1"/>
  <c r="C2184" i="1"/>
  <c r="E2184" i="1"/>
  <c r="F2184" i="1"/>
  <c r="H2184" i="1"/>
  <c r="I2184" i="1"/>
  <c r="J2184" i="1"/>
  <c r="L2184" i="1"/>
  <c r="M2184" i="1"/>
  <c r="C2185" i="1"/>
  <c r="E2185" i="1"/>
  <c r="F2185" i="1"/>
  <c r="H2185" i="1"/>
  <c r="I2185" i="1"/>
  <c r="J2185" i="1"/>
  <c r="L2185" i="1"/>
  <c r="M2185" i="1"/>
  <c r="C2186" i="1"/>
  <c r="E2186" i="1"/>
  <c r="F2186" i="1"/>
  <c r="H2186" i="1"/>
  <c r="I2186" i="1"/>
  <c r="J2186" i="1"/>
  <c r="L2186" i="1"/>
  <c r="M2186" i="1"/>
  <c r="C2187" i="1"/>
  <c r="E2187" i="1"/>
  <c r="F2187" i="1"/>
  <c r="H2187" i="1"/>
  <c r="I2187" i="1"/>
  <c r="J2187" i="1"/>
  <c r="L2187" i="1"/>
  <c r="M2187" i="1"/>
  <c r="C2188" i="1"/>
  <c r="E2188" i="1"/>
  <c r="F2188" i="1"/>
  <c r="H2188" i="1"/>
  <c r="I2188" i="1"/>
  <c r="J2188" i="1"/>
  <c r="L2188" i="1"/>
  <c r="M2188" i="1"/>
  <c r="C2189" i="1"/>
  <c r="E2189" i="1"/>
  <c r="F2189" i="1"/>
  <c r="H2189" i="1"/>
  <c r="I2189" i="1"/>
  <c r="J2189" i="1"/>
  <c r="L2189" i="1"/>
  <c r="M2189" i="1"/>
  <c r="C2190" i="1"/>
  <c r="E2190" i="1"/>
  <c r="F2190" i="1"/>
  <c r="H2190" i="1"/>
  <c r="I2190" i="1"/>
  <c r="J2190" i="1"/>
  <c r="L2190" i="1"/>
  <c r="M2190" i="1"/>
  <c r="C2191" i="1"/>
  <c r="E2191" i="1"/>
  <c r="F2191" i="1"/>
  <c r="H2191" i="1"/>
  <c r="I2191" i="1"/>
  <c r="J2191" i="1"/>
  <c r="L2191" i="1"/>
  <c r="M2191" i="1"/>
  <c r="C2192" i="1"/>
  <c r="E2192" i="1"/>
  <c r="F2192" i="1"/>
  <c r="H2192" i="1"/>
  <c r="I2192" i="1"/>
  <c r="J2192" i="1"/>
  <c r="L2192" i="1"/>
  <c r="M2192" i="1"/>
  <c r="C2193" i="1"/>
  <c r="E2193" i="1"/>
  <c r="F2193" i="1"/>
  <c r="H2193" i="1"/>
  <c r="I2193" i="1"/>
  <c r="J2193" i="1"/>
  <c r="L2193" i="1"/>
  <c r="M2193" i="1"/>
  <c r="C2194" i="1"/>
  <c r="E2194" i="1"/>
  <c r="F2194" i="1"/>
  <c r="H2194" i="1"/>
  <c r="I2194" i="1"/>
  <c r="J2194" i="1"/>
  <c r="L2194" i="1"/>
  <c r="M2194" i="1"/>
  <c r="C2195" i="1"/>
  <c r="E2195" i="1"/>
  <c r="F2195" i="1"/>
  <c r="H2195" i="1"/>
  <c r="I2195" i="1"/>
  <c r="J2195" i="1"/>
  <c r="L2195" i="1"/>
  <c r="M2195" i="1"/>
  <c r="C2196" i="1"/>
  <c r="E2196" i="1"/>
  <c r="F2196" i="1"/>
  <c r="H2196" i="1"/>
  <c r="I2196" i="1"/>
  <c r="J2196" i="1"/>
  <c r="L2196" i="1"/>
  <c r="M2196" i="1"/>
  <c r="C2197" i="1"/>
  <c r="E2197" i="1"/>
  <c r="F2197" i="1"/>
  <c r="H2197" i="1"/>
  <c r="I2197" i="1"/>
  <c r="J2197" i="1"/>
  <c r="L2197" i="1"/>
  <c r="M2197" i="1"/>
  <c r="C2198" i="1"/>
  <c r="E2198" i="1"/>
  <c r="F2198" i="1"/>
  <c r="H2198" i="1"/>
  <c r="I2198" i="1"/>
  <c r="J2198" i="1"/>
  <c r="L2198" i="1"/>
  <c r="M2198" i="1"/>
  <c r="C2199" i="1"/>
  <c r="E2199" i="1"/>
  <c r="F2199" i="1"/>
  <c r="H2199" i="1"/>
  <c r="I2199" i="1"/>
  <c r="J2199" i="1"/>
  <c r="L2199" i="1"/>
  <c r="M2199" i="1"/>
  <c r="C2200" i="1"/>
  <c r="E2200" i="1"/>
  <c r="F2200" i="1"/>
  <c r="H2200" i="1"/>
  <c r="I2200" i="1"/>
  <c r="J2200" i="1"/>
  <c r="L2200" i="1"/>
  <c r="M2200" i="1"/>
  <c r="C2201" i="1"/>
  <c r="E2201" i="1"/>
  <c r="F2201" i="1"/>
  <c r="H2201" i="1"/>
  <c r="I2201" i="1"/>
  <c r="J2201" i="1"/>
  <c r="L2201" i="1"/>
  <c r="M2201" i="1"/>
  <c r="C2202" i="1"/>
  <c r="E2202" i="1"/>
  <c r="F2202" i="1"/>
  <c r="H2202" i="1"/>
  <c r="I2202" i="1"/>
  <c r="J2202" i="1"/>
  <c r="L2202" i="1"/>
  <c r="M2202" i="1"/>
  <c r="C2203" i="1"/>
  <c r="E2203" i="1"/>
  <c r="F2203" i="1"/>
  <c r="H2203" i="1"/>
  <c r="I2203" i="1"/>
  <c r="J2203" i="1"/>
  <c r="L2203" i="1"/>
  <c r="M2203" i="1"/>
  <c r="C2204" i="1"/>
  <c r="E2204" i="1"/>
  <c r="F2204" i="1"/>
  <c r="H2204" i="1"/>
  <c r="I2204" i="1"/>
  <c r="J2204" i="1"/>
  <c r="L2204" i="1"/>
  <c r="M2204" i="1"/>
  <c r="C2205" i="1"/>
  <c r="E2205" i="1"/>
  <c r="F2205" i="1"/>
  <c r="H2205" i="1"/>
  <c r="I2205" i="1"/>
  <c r="J2205" i="1"/>
  <c r="L2205" i="1"/>
  <c r="M2205" i="1"/>
  <c r="C2206" i="1"/>
  <c r="E2206" i="1"/>
  <c r="F2206" i="1"/>
  <c r="H2206" i="1"/>
  <c r="I2206" i="1"/>
  <c r="J2206" i="1"/>
  <c r="L2206" i="1"/>
  <c r="M2206" i="1"/>
  <c r="C2207" i="1"/>
  <c r="E2207" i="1"/>
  <c r="F2207" i="1"/>
  <c r="H2207" i="1"/>
  <c r="I2207" i="1"/>
  <c r="J2207" i="1"/>
  <c r="L2207" i="1"/>
  <c r="M2207" i="1"/>
  <c r="C2208" i="1"/>
  <c r="E2208" i="1"/>
  <c r="F2208" i="1"/>
  <c r="H2208" i="1"/>
  <c r="I2208" i="1"/>
  <c r="J2208" i="1"/>
  <c r="L2208" i="1"/>
  <c r="M2208" i="1"/>
  <c r="C2209" i="1"/>
  <c r="E2209" i="1"/>
  <c r="F2209" i="1"/>
  <c r="H2209" i="1"/>
  <c r="I2209" i="1"/>
  <c r="J2209" i="1"/>
  <c r="L2209" i="1"/>
  <c r="M2209" i="1"/>
  <c r="C2210" i="1"/>
  <c r="E2210" i="1"/>
  <c r="F2210" i="1"/>
  <c r="H2210" i="1"/>
  <c r="I2210" i="1"/>
  <c r="J2210" i="1"/>
  <c r="L2210" i="1"/>
  <c r="M2210" i="1"/>
  <c r="C2211" i="1"/>
  <c r="E2211" i="1"/>
  <c r="F2211" i="1"/>
  <c r="H2211" i="1"/>
  <c r="I2211" i="1"/>
  <c r="J2211" i="1"/>
  <c r="L2211" i="1"/>
  <c r="M2211" i="1"/>
  <c r="C2212" i="1"/>
  <c r="E2212" i="1"/>
  <c r="F2212" i="1"/>
  <c r="H2212" i="1"/>
  <c r="I2212" i="1"/>
  <c r="J2212" i="1"/>
  <c r="L2212" i="1"/>
  <c r="M2212" i="1"/>
  <c r="C2213" i="1"/>
  <c r="E2213" i="1"/>
  <c r="F2213" i="1"/>
  <c r="H2213" i="1"/>
  <c r="I2213" i="1"/>
  <c r="J2213" i="1"/>
  <c r="L2213" i="1"/>
  <c r="M2213" i="1"/>
  <c r="C2214" i="1"/>
  <c r="E2214" i="1"/>
  <c r="F2214" i="1"/>
  <c r="H2214" i="1"/>
  <c r="I2214" i="1"/>
  <c r="J2214" i="1"/>
  <c r="L2214" i="1"/>
  <c r="M2214" i="1"/>
  <c r="C2215" i="1"/>
  <c r="E2215" i="1"/>
  <c r="F2215" i="1"/>
  <c r="H2215" i="1"/>
  <c r="I2215" i="1"/>
  <c r="J2215" i="1"/>
  <c r="L2215" i="1"/>
  <c r="M2215" i="1"/>
  <c r="C2216" i="1"/>
  <c r="E2216" i="1"/>
  <c r="F2216" i="1"/>
  <c r="H2216" i="1"/>
  <c r="I2216" i="1"/>
  <c r="J2216" i="1"/>
  <c r="L2216" i="1"/>
  <c r="M2216" i="1"/>
  <c r="C2217" i="1"/>
  <c r="E2217" i="1"/>
  <c r="F2217" i="1"/>
  <c r="H2217" i="1"/>
  <c r="I2217" i="1"/>
  <c r="J2217" i="1"/>
  <c r="L2217" i="1"/>
  <c r="M2217" i="1"/>
  <c r="C2218" i="1"/>
  <c r="E2218" i="1"/>
  <c r="F2218" i="1"/>
  <c r="H2218" i="1"/>
  <c r="I2218" i="1"/>
  <c r="J2218" i="1"/>
  <c r="L2218" i="1"/>
  <c r="M2218" i="1"/>
  <c r="C2219" i="1"/>
  <c r="E2219" i="1"/>
  <c r="F2219" i="1"/>
  <c r="H2219" i="1"/>
  <c r="I2219" i="1"/>
  <c r="J2219" i="1"/>
  <c r="L2219" i="1"/>
  <c r="M2219" i="1"/>
  <c r="C2220" i="1"/>
  <c r="E2220" i="1"/>
  <c r="F2220" i="1"/>
  <c r="H2220" i="1"/>
  <c r="I2220" i="1"/>
  <c r="J2220" i="1"/>
  <c r="L2220" i="1"/>
  <c r="M2220" i="1"/>
  <c r="C2221" i="1"/>
  <c r="E2221" i="1"/>
  <c r="F2221" i="1"/>
  <c r="H2221" i="1"/>
  <c r="I2221" i="1"/>
  <c r="J2221" i="1"/>
  <c r="L2221" i="1"/>
  <c r="M2221" i="1"/>
  <c r="C2222" i="1"/>
  <c r="E2222" i="1"/>
  <c r="F2222" i="1"/>
  <c r="H2222" i="1"/>
  <c r="I2222" i="1"/>
  <c r="J2222" i="1"/>
  <c r="L2222" i="1"/>
  <c r="M2222" i="1"/>
  <c r="C2223" i="1"/>
  <c r="E2223" i="1"/>
  <c r="F2223" i="1"/>
  <c r="H2223" i="1"/>
  <c r="I2223" i="1"/>
  <c r="J2223" i="1"/>
  <c r="L2223" i="1"/>
  <c r="M2223" i="1"/>
  <c r="C2224" i="1"/>
  <c r="E2224" i="1"/>
  <c r="F2224" i="1"/>
  <c r="H2224" i="1"/>
  <c r="I2224" i="1"/>
  <c r="J2224" i="1"/>
  <c r="L2224" i="1"/>
  <c r="M2224" i="1"/>
  <c r="C2225" i="1"/>
  <c r="E2225" i="1"/>
  <c r="F2225" i="1"/>
  <c r="H2225" i="1"/>
  <c r="I2225" i="1"/>
  <c r="J2225" i="1"/>
  <c r="L2225" i="1"/>
  <c r="M2225" i="1"/>
  <c r="C2226" i="1"/>
  <c r="E2226" i="1"/>
  <c r="F2226" i="1"/>
  <c r="H2226" i="1"/>
  <c r="I2226" i="1"/>
  <c r="J2226" i="1"/>
  <c r="L2226" i="1"/>
  <c r="M2226" i="1"/>
  <c r="C2227" i="1"/>
  <c r="E2227" i="1"/>
  <c r="F2227" i="1"/>
  <c r="H2227" i="1"/>
  <c r="I2227" i="1"/>
  <c r="J2227" i="1"/>
  <c r="L2227" i="1"/>
  <c r="M2227" i="1"/>
  <c r="C2228" i="1"/>
  <c r="E2228" i="1"/>
  <c r="F2228" i="1"/>
  <c r="H2228" i="1"/>
  <c r="I2228" i="1"/>
  <c r="J2228" i="1"/>
  <c r="L2228" i="1"/>
  <c r="M2228" i="1"/>
  <c r="C2229" i="1"/>
  <c r="E2229" i="1"/>
  <c r="F2229" i="1"/>
  <c r="H2229" i="1"/>
  <c r="I2229" i="1"/>
  <c r="J2229" i="1"/>
  <c r="L2229" i="1"/>
  <c r="M2229" i="1"/>
  <c r="C2230" i="1"/>
  <c r="E2230" i="1"/>
  <c r="F2230" i="1"/>
  <c r="H2230" i="1"/>
  <c r="I2230" i="1"/>
  <c r="J2230" i="1"/>
  <c r="L2230" i="1"/>
  <c r="M2230" i="1"/>
  <c r="C2231" i="1"/>
  <c r="E2231" i="1"/>
  <c r="F2231" i="1"/>
  <c r="H2231" i="1"/>
  <c r="I2231" i="1"/>
  <c r="J2231" i="1"/>
  <c r="L2231" i="1"/>
  <c r="M2231" i="1"/>
  <c r="C2232" i="1"/>
  <c r="E2232" i="1"/>
  <c r="F2232" i="1"/>
  <c r="H2232" i="1"/>
  <c r="I2232" i="1"/>
  <c r="J2232" i="1"/>
  <c r="L2232" i="1"/>
  <c r="M2232" i="1"/>
  <c r="C2233" i="1"/>
  <c r="E2233" i="1"/>
  <c r="F2233" i="1"/>
  <c r="H2233" i="1"/>
  <c r="I2233" i="1"/>
  <c r="J2233" i="1"/>
  <c r="L2233" i="1"/>
  <c r="M2233" i="1"/>
  <c r="C2234" i="1"/>
  <c r="E2234" i="1"/>
  <c r="F2234" i="1"/>
  <c r="H2234" i="1"/>
  <c r="I2234" i="1"/>
  <c r="J2234" i="1"/>
  <c r="L2234" i="1"/>
  <c r="M2234" i="1"/>
  <c r="C2235" i="1"/>
  <c r="E2235" i="1"/>
  <c r="F2235" i="1"/>
  <c r="H2235" i="1"/>
  <c r="I2235" i="1"/>
  <c r="J2235" i="1"/>
  <c r="L2235" i="1"/>
  <c r="M2235" i="1"/>
  <c r="C2236" i="1"/>
  <c r="E2236" i="1"/>
  <c r="F2236" i="1"/>
  <c r="H2236" i="1"/>
  <c r="I2236" i="1"/>
  <c r="J2236" i="1"/>
  <c r="L2236" i="1"/>
  <c r="M2236" i="1"/>
  <c r="C2237" i="1"/>
  <c r="E2237" i="1"/>
  <c r="F2237" i="1"/>
  <c r="H2237" i="1"/>
  <c r="I2237" i="1"/>
  <c r="J2237" i="1"/>
  <c r="L2237" i="1"/>
  <c r="M2237" i="1"/>
  <c r="C2238" i="1"/>
  <c r="E2238" i="1"/>
  <c r="F2238" i="1"/>
  <c r="H2238" i="1"/>
  <c r="I2238" i="1"/>
  <c r="J2238" i="1"/>
  <c r="L2238" i="1"/>
  <c r="M2238" i="1"/>
  <c r="C2239" i="1"/>
  <c r="E2239" i="1"/>
  <c r="F2239" i="1"/>
  <c r="H2239" i="1"/>
  <c r="I2239" i="1"/>
  <c r="J2239" i="1"/>
  <c r="L2239" i="1"/>
  <c r="M2239" i="1"/>
  <c r="C2240" i="1"/>
  <c r="E2240" i="1"/>
  <c r="F2240" i="1"/>
  <c r="H2240" i="1"/>
  <c r="I2240" i="1"/>
  <c r="J2240" i="1"/>
  <c r="L2240" i="1"/>
  <c r="M2240" i="1"/>
  <c r="C2241" i="1"/>
  <c r="E2241" i="1"/>
  <c r="F2241" i="1"/>
  <c r="H2241" i="1"/>
  <c r="I2241" i="1"/>
  <c r="J2241" i="1"/>
  <c r="L2241" i="1"/>
  <c r="M2241" i="1"/>
  <c r="C2242" i="1"/>
  <c r="E2242" i="1"/>
  <c r="F2242" i="1"/>
  <c r="H2242" i="1"/>
  <c r="I2242" i="1"/>
  <c r="J2242" i="1"/>
  <c r="L2242" i="1"/>
  <c r="M2242" i="1"/>
  <c r="C2243" i="1"/>
  <c r="E2243" i="1"/>
  <c r="F2243" i="1"/>
  <c r="H2243" i="1"/>
  <c r="I2243" i="1"/>
  <c r="J2243" i="1"/>
  <c r="L2243" i="1"/>
  <c r="M2243" i="1"/>
  <c r="C2244" i="1"/>
  <c r="E2244" i="1"/>
  <c r="F2244" i="1"/>
  <c r="H2244" i="1"/>
  <c r="I2244" i="1"/>
  <c r="J2244" i="1"/>
  <c r="L2244" i="1"/>
  <c r="M2244" i="1"/>
  <c r="C2245" i="1"/>
  <c r="E2245" i="1"/>
  <c r="F2245" i="1"/>
  <c r="H2245" i="1"/>
  <c r="I2245" i="1"/>
  <c r="J2245" i="1"/>
  <c r="L2245" i="1"/>
  <c r="M2245" i="1"/>
  <c r="C2246" i="1"/>
  <c r="E2246" i="1"/>
  <c r="F2246" i="1"/>
  <c r="H2246" i="1"/>
  <c r="I2246" i="1"/>
  <c r="J2246" i="1"/>
  <c r="L2246" i="1"/>
  <c r="M2246" i="1"/>
  <c r="C2247" i="1"/>
  <c r="E2247" i="1"/>
  <c r="F2247" i="1"/>
  <c r="H2247" i="1"/>
  <c r="I2247" i="1"/>
  <c r="J2247" i="1"/>
  <c r="L2247" i="1"/>
  <c r="M2247" i="1"/>
  <c r="C2248" i="1"/>
  <c r="E2248" i="1"/>
  <c r="F2248" i="1"/>
  <c r="H2248" i="1"/>
  <c r="I2248" i="1"/>
  <c r="J2248" i="1"/>
  <c r="L2248" i="1"/>
  <c r="M2248" i="1"/>
  <c r="C2249" i="1"/>
  <c r="E2249" i="1"/>
  <c r="F2249" i="1"/>
  <c r="H2249" i="1"/>
  <c r="I2249" i="1"/>
  <c r="J2249" i="1"/>
  <c r="L2249" i="1"/>
  <c r="M2249" i="1"/>
  <c r="C2250" i="1"/>
  <c r="E2250" i="1"/>
  <c r="F2250" i="1"/>
  <c r="H2250" i="1"/>
  <c r="I2250" i="1"/>
  <c r="J2250" i="1"/>
  <c r="L2250" i="1"/>
  <c r="M2250" i="1"/>
  <c r="C2251" i="1"/>
  <c r="E2251" i="1"/>
  <c r="F2251" i="1"/>
  <c r="H2251" i="1"/>
  <c r="I2251" i="1"/>
  <c r="J2251" i="1"/>
  <c r="L2251" i="1"/>
  <c r="M2251" i="1"/>
  <c r="C2252" i="1"/>
  <c r="E2252" i="1"/>
  <c r="F2252" i="1"/>
  <c r="H2252" i="1"/>
  <c r="I2252" i="1"/>
  <c r="J2252" i="1"/>
  <c r="L2252" i="1"/>
  <c r="M2252" i="1"/>
  <c r="C2253" i="1"/>
  <c r="E2253" i="1"/>
  <c r="F2253" i="1"/>
  <c r="H2253" i="1"/>
  <c r="I2253" i="1"/>
  <c r="J2253" i="1"/>
  <c r="L2253" i="1"/>
  <c r="M2253" i="1"/>
  <c r="C2254" i="1"/>
  <c r="E2254" i="1"/>
  <c r="F2254" i="1"/>
  <c r="H2254" i="1"/>
  <c r="I2254" i="1"/>
  <c r="J2254" i="1"/>
  <c r="L2254" i="1"/>
  <c r="M2254" i="1"/>
  <c r="C2255" i="1"/>
  <c r="E2255" i="1"/>
  <c r="F2255" i="1"/>
  <c r="H2255" i="1"/>
  <c r="I2255" i="1"/>
  <c r="J2255" i="1"/>
  <c r="L2255" i="1"/>
  <c r="M2255" i="1"/>
  <c r="C2256" i="1"/>
  <c r="E2256" i="1"/>
  <c r="F2256" i="1"/>
  <c r="H2256" i="1"/>
  <c r="I2256" i="1"/>
  <c r="J2256" i="1"/>
  <c r="L2256" i="1"/>
  <c r="M2256" i="1"/>
  <c r="C2257" i="1"/>
  <c r="E2257" i="1"/>
  <c r="F2257" i="1"/>
  <c r="H2257" i="1"/>
  <c r="I2257" i="1"/>
  <c r="J2257" i="1"/>
  <c r="L2257" i="1"/>
  <c r="M2257" i="1"/>
  <c r="C2258" i="1"/>
  <c r="E2258" i="1"/>
  <c r="F2258" i="1"/>
  <c r="H2258" i="1"/>
  <c r="I2258" i="1"/>
  <c r="J2258" i="1"/>
  <c r="L2258" i="1"/>
  <c r="M2258" i="1"/>
  <c r="C2259" i="1"/>
  <c r="E2259" i="1"/>
  <c r="F2259" i="1"/>
  <c r="H2259" i="1"/>
  <c r="I2259" i="1"/>
  <c r="J2259" i="1"/>
  <c r="L2259" i="1"/>
  <c r="M2259" i="1"/>
  <c r="C2260" i="1"/>
  <c r="E2260" i="1"/>
  <c r="F2260" i="1"/>
  <c r="H2260" i="1"/>
  <c r="I2260" i="1"/>
  <c r="J2260" i="1"/>
  <c r="L2260" i="1"/>
  <c r="M2260" i="1"/>
  <c r="C2261" i="1"/>
  <c r="E2261" i="1"/>
  <c r="F2261" i="1"/>
  <c r="H2261" i="1"/>
  <c r="I2261" i="1"/>
  <c r="J2261" i="1"/>
  <c r="L2261" i="1"/>
  <c r="M2261" i="1"/>
  <c r="C2262" i="1"/>
  <c r="E2262" i="1"/>
  <c r="F2262" i="1"/>
  <c r="H2262" i="1"/>
  <c r="I2262" i="1"/>
  <c r="J2262" i="1"/>
  <c r="L2262" i="1"/>
  <c r="M2262" i="1"/>
  <c r="C2263" i="1"/>
  <c r="E2263" i="1"/>
  <c r="F2263" i="1"/>
  <c r="H2263" i="1"/>
  <c r="I2263" i="1"/>
  <c r="J2263" i="1"/>
  <c r="L2263" i="1"/>
  <c r="M2263" i="1"/>
  <c r="C2264" i="1"/>
  <c r="E2264" i="1"/>
  <c r="F2264" i="1"/>
  <c r="H2264" i="1"/>
  <c r="I2264" i="1"/>
  <c r="J2264" i="1"/>
  <c r="L2264" i="1"/>
  <c r="M2264" i="1"/>
  <c r="C2265" i="1"/>
  <c r="E2265" i="1"/>
  <c r="F2265" i="1"/>
  <c r="H2265" i="1"/>
  <c r="I2265" i="1"/>
  <c r="J2265" i="1"/>
  <c r="L2265" i="1"/>
  <c r="M2265" i="1"/>
  <c r="C2266" i="1"/>
  <c r="E2266" i="1"/>
  <c r="F2266" i="1"/>
  <c r="H2266" i="1"/>
  <c r="I2266" i="1"/>
  <c r="J2266" i="1"/>
  <c r="L2266" i="1"/>
  <c r="M2266" i="1"/>
  <c r="C2267" i="1"/>
  <c r="E2267" i="1"/>
  <c r="F2267" i="1"/>
  <c r="H2267" i="1"/>
  <c r="I2267" i="1"/>
  <c r="J2267" i="1"/>
  <c r="L2267" i="1"/>
  <c r="M2267" i="1"/>
  <c r="C2268" i="1"/>
  <c r="E2268" i="1"/>
  <c r="F2268" i="1"/>
  <c r="H2268" i="1"/>
  <c r="I2268" i="1"/>
  <c r="J2268" i="1"/>
  <c r="L2268" i="1"/>
  <c r="M2268" i="1"/>
  <c r="C2269" i="1"/>
  <c r="E2269" i="1"/>
  <c r="F2269" i="1"/>
  <c r="H2269" i="1"/>
  <c r="I2269" i="1"/>
  <c r="J2269" i="1"/>
  <c r="L2269" i="1"/>
  <c r="M2269" i="1"/>
  <c r="C2270" i="1"/>
  <c r="E2270" i="1"/>
  <c r="F2270" i="1"/>
  <c r="H2270" i="1"/>
  <c r="I2270" i="1"/>
  <c r="J2270" i="1"/>
  <c r="L2270" i="1"/>
  <c r="M2270" i="1"/>
  <c r="C2271" i="1"/>
  <c r="E2271" i="1"/>
  <c r="F2271" i="1"/>
  <c r="H2271" i="1"/>
  <c r="I2271" i="1"/>
  <c r="J2271" i="1"/>
  <c r="L2271" i="1"/>
  <c r="M2271" i="1"/>
  <c r="C2272" i="1"/>
  <c r="E2272" i="1"/>
  <c r="F2272" i="1"/>
  <c r="H2272" i="1"/>
  <c r="I2272" i="1"/>
  <c r="J2272" i="1"/>
  <c r="L2272" i="1"/>
  <c r="M2272" i="1"/>
  <c r="C2273" i="1"/>
  <c r="E2273" i="1"/>
  <c r="F2273" i="1"/>
  <c r="H2273" i="1"/>
  <c r="I2273" i="1"/>
  <c r="J2273" i="1"/>
  <c r="L2273" i="1"/>
  <c r="M2273" i="1"/>
  <c r="C2274" i="1"/>
  <c r="E2274" i="1"/>
  <c r="F2274" i="1"/>
  <c r="H2274" i="1"/>
  <c r="I2274" i="1"/>
  <c r="J2274" i="1"/>
  <c r="L2274" i="1"/>
  <c r="M2274" i="1"/>
  <c r="C2275" i="1"/>
  <c r="E2275" i="1"/>
  <c r="F2275" i="1"/>
  <c r="H2275" i="1"/>
  <c r="I2275" i="1"/>
  <c r="J2275" i="1"/>
  <c r="L2275" i="1"/>
  <c r="M2275" i="1"/>
  <c r="C2276" i="1"/>
  <c r="E2276" i="1"/>
  <c r="F2276" i="1"/>
  <c r="H2276" i="1"/>
  <c r="I2276" i="1"/>
  <c r="J2276" i="1"/>
  <c r="L2276" i="1"/>
  <c r="M2276" i="1"/>
  <c r="C2277" i="1"/>
  <c r="E2277" i="1"/>
  <c r="F2277" i="1"/>
  <c r="H2277" i="1"/>
  <c r="I2277" i="1"/>
  <c r="J2277" i="1"/>
  <c r="L2277" i="1"/>
  <c r="M2277" i="1"/>
  <c r="C2278" i="1"/>
  <c r="E2278" i="1"/>
  <c r="F2278" i="1"/>
  <c r="H2278" i="1"/>
  <c r="I2278" i="1"/>
  <c r="J2278" i="1"/>
  <c r="L2278" i="1"/>
  <c r="M2278" i="1"/>
  <c r="C2279" i="1"/>
  <c r="E2279" i="1"/>
  <c r="F2279" i="1"/>
  <c r="H2279" i="1"/>
  <c r="I2279" i="1"/>
  <c r="J2279" i="1"/>
  <c r="L2279" i="1"/>
  <c r="M2279" i="1"/>
  <c r="C2280" i="1"/>
  <c r="E2280" i="1"/>
  <c r="F2280" i="1"/>
  <c r="H2280" i="1"/>
  <c r="I2280" i="1"/>
  <c r="J2280" i="1"/>
  <c r="L2280" i="1"/>
  <c r="M2280" i="1"/>
  <c r="C2281" i="1"/>
  <c r="E2281" i="1"/>
  <c r="F2281" i="1"/>
  <c r="H2281" i="1"/>
  <c r="I2281" i="1"/>
  <c r="J2281" i="1"/>
  <c r="L2281" i="1"/>
  <c r="M2281" i="1"/>
  <c r="C2282" i="1"/>
  <c r="E2282" i="1"/>
  <c r="F2282" i="1"/>
  <c r="H2282" i="1"/>
  <c r="I2282" i="1"/>
  <c r="J2282" i="1"/>
  <c r="L2282" i="1"/>
  <c r="M2282" i="1"/>
  <c r="C2283" i="1"/>
  <c r="E2283" i="1"/>
  <c r="F2283" i="1"/>
  <c r="H2283" i="1"/>
  <c r="I2283" i="1"/>
  <c r="J2283" i="1"/>
  <c r="L2283" i="1"/>
  <c r="M2283" i="1"/>
  <c r="C2284" i="1"/>
  <c r="E2284" i="1"/>
  <c r="F2284" i="1"/>
  <c r="H2284" i="1"/>
  <c r="I2284" i="1"/>
  <c r="J2284" i="1"/>
  <c r="L2284" i="1"/>
  <c r="M2284" i="1"/>
  <c r="C2285" i="1"/>
  <c r="E2285" i="1"/>
  <c r="F2285" i="1"/>
  <c r="H2285" i="1"/>
  <c r="I2285" i="1"/>
  <c r="J2285" i="1"/>
  <c r="L2285" i="1"/>
  <c r="M2285" i="1"/>
  <c r="C2286" i="1"/>
  <c r="E2286" i="1"/>
  <c r="F2286" i="1"/>
  <c r="H2286" i="1"/>
  <c r="I2286" i="1"/>
  <c r="J2286" i="1"/>
  <c r="L2286" i="1"/>
  <c r="M2286" i="1"/>
  <c r="C2287" i="1"/>
  <c r="E2287" i="1"/>
  <c r="F2287" i="1"/>
  <c r="H2287" i="1"/>
  <c r="I2287" i="1"/>
  <c r="J2287" i="1"/>
  <c r="L2287" i="1"/>
  <c r="M2287" i="1"/>
  <c r="C2288" i="1"/>
  <c r="E2288" i="1"/>
  <c r="F2288" i="1"/>
  <c r="H2288" i="1"/>
  <c r="I2288" i="1"/>
  <c r="J2288" i="1"/>
  <c r="L2288" i="1"/>
  <c r="M2288" i="1"/>
  <c r="C2289" i="1"/>
  <c r="E2289" i="1"/>
  <c r="F2289" i="1"/>
  <c r="H2289" i="1"/>
  <c r="I2289" i="1"/>
  <c r="J2289" i="1"/>
  <c r="L2289" i="1"/>
  <c r="M2289" i="1"/>
  <c r="C2290" i="1"/>
  <c r="E2290" i="1"/>
  <c r="F2290" i="1"/>
  <c r="H2290" i="1"/>
  <c r="I2290" i="1"/>
  <c r="J2290" i="1"/>
  <c r="L2290" i="1"/>
  <c r="M2290" i="1"/>
  <c r="C2291" i="1"/>
  <c r="E2291" i="1"/>
  <c r="F2291" i="1"/>
  <c r="H2291" i="1"/>
  <c r="I2291" i="1"/>
  <c r="J2291" i="1"/>
  <c r="L2291" i="1"/>
  <c r="M2291" i="1"/>
  <c r="C2292" i="1"/>
  <c r="E2292" i="1"/>
  <c r="F2292" i="1"/>
  <c r="H2292" i="1"/>
  <c r="I2292" i="1"/>
  <c r="J2292" i="1"/>
  <c r="L2292" i="1"/>
  <c r="M2292" i="1"/>
  <c r="C2293" i="1"/>
  <c r="E2293" i="1"/>
  <c r="F2293" i="1"/>
  <c r="H2293" i="1"/>
  <c r="I2293" i="1"/>
  <c r="J2293" i="1"/>
  <c r="L2293" i="1"/>
  <c r="M2293" i="1"/>
  <c r="C2294" i="1"/>
  <c r="E2294" i="1"/>
  <c r="F2294" i="1"/>
  <c r="H2294" i="1"/>
  <c r="I2294" i="1"/>
  <c r="J2294" i="1"/>
  <c r="L2294" i="1"/>
  <c r="M2294" i="1"/>
  <c r="C2295" i="1"/>
  <c r="E2295" i="1"/>
  <c r="F2295" i="1"/>
  <c r="H2295" i="1"/>
  <c r="I2295" i="1"/>
  <c r="J2295" i="1"/>
  <c r="L2295" i="1"/>
  <c r="M2295" i="1"/>
  <c r="C2296" i="1"/>
  <c r="E2296" i="1"/>
  <c r="F2296" i="1"/>
  <c r="H2296" i="1"/>
  <c r="I2296" i="1"/>
  <c r="J2296" i="1"/>
  <c r="L2296" i="1"/>
  <c r="M2296" i="1"/>
  <c r="C2297" i="1"/>
  <c r="E2297" i="1"/>
  <c r="F2297" i="1"/>
  <c r="H2297" i="1"/>
  <c r="I2297" i="1"/>
  <c r="J2297" i="1"/>
  <c r="L2297" i="1"/>
  <c r="M2297" i="1"/>
  <c r="C2298" i="1"/>
  <c r="E2298" i="1"/>
  <c r="F2298" i="1"/>
  <c r="H2298" i="1"/>
  <c r="I2298" i="1"/>
  <c r="J2298" i="1"/>
  <c r="L2298" i="1"/>
  <c r="M2298" i="1"/>
  <c r="C2299" i="1"/>
  <c r="E2299" i="1"/>
  <c r="F2299" i="1"/>
  <c r="H2299" i="1"/>
  <c r="I2299" i="1"/>
  <c r="J2299" i="1"/>
  <c r="L2299" i="1"/>
  <c r="M2299" i="1"/>
  <c r="C2300" i="1"/>
  <c r="E2300" i="1"/>
  <c r="F2300" i="1"/>
  <c r="H2300" i="1"/>
  <c r="I2300" i="1"/>
  <c r="J2300" i="1"/>
  <c r="L2300" i="1"/>
  <c r="M2300" i="1"/>
  <c r="C2301" i="1"/>
  <c r="E2301" i="1"/>
  <c r="F2301" i="1"/>
  <c r="H2301" i="1"/>
  <c r="I2301" i="1"/>
  <c r="J2301" i="1"/>
  <c r="L2301" i="1"/>
  <c r="M2301" i="1"/>
  <c r="C2302" i="1"/>
  <c r="E2302" i="1"/>
  <c r="F2302" i="1"/>
  <c r="H2302" i="1"/>
  <c r="I2302" i="1"/>
  <c r="J2302" i="1"/>
  <c r="L2302" i="1"/>
  <c r="M2302" i="1"/>
  <c r="C2303" i="1"/>
  <c r="E2303" i="1"/>
  <c r="F2303" i="1"/>
  <c r="H2303" i="1"/>
  <c r="I2303" i="1"/>
  <c r="J2303" i="1"/>
  <c r="L2303" i="1"/>
  <c r="M2303" i="1"/>
  <c r="C2304" i="1"/>
  <c r="E2304" i="1"/>
  <c r="F2304" i="1"/>
  <c r="H2304" i="1"/>
  <c r="I2304" i="1"/>
  <c r="J2304" i="1"/>
  <c r="L2304" i="1"/>
  <c r="M2304" i="1"/>
  <c r="C2305" i="1"/>
  <c r="E2305" i="1"/>
  <c r="F2305" i="1"/>
  <c r="H2305" i="1"/>
  <c r="I2305" i="1"/>
  <c r="J2305" i="1"/>
  <c r="L2305" i="1"/>
  <c r="M2305" i="1"/>
  <c r="C2306" i="1"/>
  <c r="E2306" i="1"/>
  <c r="F2306" i="1"/>
  <c r="H2306" i="1"/>
  <c r="I2306" i="1"/>
  <c r="J2306" i="1"/>
  <c r="L2306" i="1"/>
  <c r="M2306" i="1"/>
  <c r="C2307" i="1"/>
  <c r="E2307" i="1"/>
  <c r="F2307" i="1"/>
  <c r="H2307" i="1"/>
  <c r="I2307" i="1"/>
  <c r="J2307" i="1"/>
  <c r="L2307" i="1"/>
  <c r="M2307" i="1"/>
  <c r="C2308" i="1"/>
  <c r="E2308" i="1"/>
  <c r="F2308" i="1"/>
  <c r="H2308" i="1"/>
  <c r="I2308" i="1"/>
  <c r="J2308" i="1"/>
  <c r="L2308" i="1"/>
  <c r="M2308" i="1"/>
  <c r="C2309" i="1"/>
  <c r="E2309" i="1"/>
  <c r="F2309" i="1"/>
  <c r="H2309" i="1"/>
  <c r="I2309" i="1"/>
  <c r="J2309" i="1"/>
  <c r="L2309" i="1"/>
  <c r="M2309" i="1"/>
  <c r="C2310" i="1"/>
  <c r="E2310" i="1"/>
  <c r="F2310" i="1"/>
  <c r="H2310" i="1"/>
  <c r="I2310" i="1"/>
  <c r="J2310" i="1"/>
  <c r="L2310" i="1"/>
  <c r="M2310" i="1"/>
  <c r="C2311" i="1"/>
  <c r="E2311" i="1"/>
  <c r="F2311" i="1"/>
  <c r="H2311" i="1"/>
  <c r="I2311" i="1"/>
  <c r="J2311" i="1"/>
  <c r="L2311" i="1"/>
  <c r="M2311" i="1"/>
  <c r="C2312" i="1"/>
  <c r="E2312" i="1"/>
  <c r="F2312" i="1"/>
  <c r="H2312" i="1"/>
  <c r="I2312" i="1"/>
  <c r="J2312" i="1"/>
  <c r="L2312" i="1"/>
  <c r="M2312" i="1"/>
  <c r="C2313" i="1"/>
  <c r="E2313" i="1"/>
  <c r="F2313" i="1"/>
  <c r="H2313" i="1"/>
  <c r="I2313" i="1"/>
  <c r="J2313" i="1"/>
  <c r="L2313" i="1"/>
  <c r="M2313" i="1"/>
  <c r="C2314" i="1"/>
  <c r="E2314" i="1"/>
  <c r="F2314" i="1"/>
  <c r="H2314" i="1"/>
  <c r="I2314" i="1"/>
  <c r="J2314" i="1"/>
  <c r="L2314" i="1"/>
  <c r="M2314" i="1"/>
  <c r="C2315" i="1"/>
  <c r="E2315" i="1"/>
  <c r="F2315" i="1"/>
  <c r="H2315" i="1"/>
  <c r="I2315" i="1"/>
  <c r="J2315" i="1"/>
  <c r="L2315" i="1"/>
  <c r="M2315" i="1"/>
  <c r="C2316" i="1"/>
  <c r="E2316" i="1"/>
  <c r="F2316" i="1"/>
  <c r="H2316" i="1"/>
  <c r="I2316" i="1"/>
  <c r="J2316" i="1"/>
  <c r="L2316" i="1"/>
  <c r="M2316" i="1"/>
  <c r="C2317" i="1"/>
  <c r="E2317" i="1"/>
  <c r="F2317" i="1"/>
  <c r="H2317" i="1"/>
  <c r="I2317" i="1"/>
  <c r="J2317" i="1"/>
  <c r="L2317" i="1"/>
  <c r="M2317" i="1"/>
  <c r="C2318" i="1"/>
  <c r="E2318" i="1"/>
  <c r="F2318" i="1"/>
  <c r="H2318" i="1"/>
  <c r="I2318" i="1"/>
  <c r="J2318" i="1"/>
  <c r="L2318" i="1"/>
  <c r="M2318" i="1"/>
  <c r="C2319" i="1"/>
  <c r="E2319" i="1"/>
  <c r="F2319" i="1"/>
  <c r="H2319" i="1"/>
  <c r="I2319" i="1"/>
  <c r="J2319" i="1"/>
  <c r="L2319" i="1"/>
  <c r="M2319" i="1"/>
  <c r="C2320" i="1"/>
  <c r="E2320" i="1"/>
  <c r="F2320" i="1"/>
  <c r="H2320" i="1"/>
  <c r="I2320" i="1"/>
  <c r="J2320" i="1"/>
  <c r="L2320" i="1"/>
  <c r="M2320" i="1"/>
  <c r="C2321" i="1"/>
  <c r="E2321" i="1"/>
  <c r="F2321" i="1"/>
  <c r="H2321" i="1"/>
  <c r="I2321" i="1"/>
  <c r="J2321" i="1"/>
  <c r="L2321" i="1"/>
  <c r="M2321" i="1"/>
  <c r="C2322" i="1"/>
  <c r="E2322" i="1"/>
  <c r="F2322" i="1"/>
  <c r="H2322" i="1"/>
  <c r="I2322" i="1"/>
  <c r="J2322" i="1"/>
  <c r="L2322" i="1"/>
  <c r="M2322" i="1"/>
  <c r="C2323" i="1"/>
  <c r="E2323" i="1"/>
  <c r="F2323" i="1"/>
  <c r="H2323" i="1"/>
  <c r="I2323" i="1"/>
  <c r="J2323" i="1"/>
  <c r="L2323" i="1"/>
  <c r="M2323" i="1"/>
  <c r="C2324" i="1"/>
  <c r="E2324" i="1"/>
  <c r="F2324" i="1"/>
  <c r="H2324" i="1"/>
  <c r="I2324" i="1"/>
  <c r="J2324" i="1"/>
  <c r="L2324" i="1"/>
  <c r="M2324" i="1"/>
  <c r="C2325" i="1"/>
  <c r="E2325" i="1"/>
  <c r="F2325" i="1"/>
  <c r="H2325" i="1"/>
  <c r="I2325" i="1"/>
  <c r="J2325" i="1"/>
  <c r="L2325" i="1"/>
  <c r="M2325" i="1"/>
  <c r="C2326" i="1"/>
  <c r="E2326" i="1"/>
  <c r="F2326" i="1"/>
  <c r="H2326" i="1"/>
  <c r="I2326" i="1"/>
  <c r="J2326" i="1"/>
  <c r="L2326" i="1"/>
  <c r="M2326" i="1"/>
  <c r="C2327" i="1"/>
  <c r="E2327" i="1"/>
  <c r="F2327" i="1"/>
  <c r="H2327" i="1"/>
  <c r="I2327" i="1"/>
  <c r="J2327" i="1"/>
  <c r="L2327" i="1"/>
  <c r="M2327" i="1"/>
  <c r="C2328" i="1"/>
  <c r="E2328" i="1"/>
  <c r="F2328" i="1"/>
  <c r="H2328" i="1"/>
  <c r="I2328" i="1"/>
  <c r="J2328" i="1"/>
  <c r="L2328" i="1"/>
  <c r="M2328" i="1"/>
  <c r="C2329" i="1"/>
  <c r="E2329" i="1"/>
  <c r="F2329" i="1"/>
  <c r="H2329" i="1"/>
  <c r="I2329" i="1"/>
  <c r="J2329" i="1"/>
  <c r="L2329" i="1"/>
  <c r="M2329" i="1"/>
  <c r="C2330" i="1"/>
  <c r="E2330" i="1"/>
  <c r="F2330" i="1"/>
  <c r="H2330" i="1"/>
  <c r="I2330" i="1"/>
  <c r="J2330" i="1"/>
  <c r="L2330" i="1"/>
  <c r="M2330" i="1"/>
  <c r="C2331" i="1"/>
  <c r="E2331" i="1"/>
  <c r="F2331" i="1"/>
  <c r="H2331" i="1"/>
  <c r="I2331" i="1"/>
  <c r="J2331" i="1"/>
  <c r="L2331" i="1"/>
  <c r="M2331" i="1"/>
  <c r="C2332" i="1"/>
  <c r="E2332" i="1"/>
  <c r="F2332" i="1"/>
  <c r="H2332" i="1"/>
  <c r="I2332" i="1"/>
  <c r="J2332" i="1"/>
  <c r="L2332" i="1"/>
  <c r="M2332" i="1"/>
  <c r="C2333" i="1"/>
  <c r="E2333" i="1"/>
  <c r="F2333" i="1"/>
  <c r="H2333" i="1"/>
  <c r="I2333" i="1"/>
  <c r="J2333" i="1"/>
  <c r="L2333" i="1"/>
  <c r="M2333" i="1"/>
  <c r="C2334" i="1"/>
  <c r="E2334" i="1"/>
  <c r="F2334" i="1"/>
  <c r="H2334" i="1"/>
  <c r="I2334" i="1"/>
  <c r="J2334" i="1"/>
  <c r="L2334" i="1"/>
  <c r="M2334" i="1"/>
  <c r="C2335" i="1"/>
  <c r="E2335" i="1"/>
  <c r="F2335" i="1"/>
  <c r="H2335" i="1"/>
  <c r="I2335" i="1"/>
  <c r="J2335" i="1"/>
  <c r="L2335" i="1"/>
  <c r="M2335" i="1"/>
  <c r="C2336" i="1"/>
  <c r="E2336" i="1"/>
  <c r="F2336" i="1"/>
  <c r="H2336" i="1"/>
  <c r="I2336" i="1"/>
  <c r="J2336" i="1"/>
  <c r="L2336" i="1"/>
  <c r="M2336" i="1"/>
  <c r="C2337" i="1"/>
  <c r="E2337" i="1"/>
  <c r="F2337" i="1"/>
  <c r="H2337" i="1"/>
  <c r="I2337" i="1"/>
  <c r="J2337" i="1"/>
  <c r="L2337" i="1"/>
  <c r="M2337" i="1"/>
  <c r="C2338" i="1"/>
  <c r="E2338" i="1"/>
  <c r="F2338" i="1"/>
  <c r="H2338" i="1"/>
  <c r="I2338" i="1"/>
  <c r="J2338" i="1"/>
  <c r="L2338" i="1"/>
  <c r="M2338" i="1"/>
  <c r="C2339" i="1"/>
  <c r="E2339" i="1"/>
  <c r="F2339" i="1"/>
  <c r="H2339" i="1"/>
  <c r="I2339" i="1"/>
  <c r="J2339" i="1"/>
  <c r="L2339" i="1"/>
  <c r="M2339" i="1"/>
  <c r="C2340" i="1"/>
  <c r="E2340" i="1"/>
  <c r="F2340" i="1"/>
  <c r="H2340" i="1"/>
  <c r="I2340" i="1"/>
  <c r="J2340" i="1"/>
  <c r="L2340" i="1"/>
  <c r="M2340" i="1"/>
  <c r="C2341" i="1"/>
  <c r="E2341" i="1"/>
  <c r="F2341" i="1"/>
  <c r="H2341" i="1"/>
  <c r="I2341" i="1"/>
  <c r="J2341" i="1"/>
  <c r="L2341" i="1"/>
  <c r="M2341" i="1"/>
  <c r="C2342" i="1"/>
  <c r="E2342" i="1"/>
  <c r="F2342" i="1"/>
  <c r="H2342" i="1"/>
  <c r="I2342" i="1"/>
  <c r="J2342" i="1"/>
  <c r="L2342" i="1"/>
  <c r="M2342" i="1"/>
  <c r="C2343" i="1"/>
  <c r="E2343" i="1"/>
  <c r="F2343" i="1"/>
  <c r="H2343" i="1"/>
  <c r="I2343" i="1"/>
  <c r="J2343" i="1"/>
  <c r="L2343" i="1"/>
  <c r="M2343" i="1"/>
  <c r="C2344" i="1"/>
  <c r="E2344" i="1"/>
  <c r="F2344" i="1"/>
  <c r="H2344" i="1"/>
  <c r="I2344" i="1"/>
  <c r="J2344" i="1"/>
  <c r="L2344" i="1"/>
  <c r="M2344" i="1"/>
  <c r="C2345" i="1"/>
  <c r="E2345" i="1"/>
  <c r="F2345" i="1"/>
  <c r="H2345" i="1"/>
  <c r="I2345" i="1"/>
  <c r="J2345" i="1"/>
  <c r="L2345" i="1"/>
  <c r="M2345" i="1"/>
  <c r="C2346" i="1"/>
  <c r="E2346" i="1"/>
  <c r="F2346" i="1"/>
  <c r="H2346" i="1"/>
  <c r="I2346" i="1"/>
  <c r="J2346" i="1"/>
  <c r="L2346" i="1"/>
  <c r="M2346" i="1"/>
  <c r="C2347" i="1"/>
  <c r="E2347" i="1"/>
  <c r="F2347" i="1"/>
  <c r="H2347" i="1"/>
  <c r="I2347" i="1"/>
  <c r="J2347" i="1"/>
  <c r="L2347" i="1"/>
  <c r="M2347" i="1"/>
  <c r="C2348" i="1"/>
  <c r="E2348" i="1"/>
  <c r="F2348" i="1"/>
  <c r="H2348" i="1"/>
  <c r="I2348" i="1"/>
  <c r="J2348" i="1"/>
  <c r="L2348" i="1"/>
  <c r="M2348" i="1"/>
  <c r="C2349" i="1"/>
  <c r="E2349" i="1"/>
  <c r="F2349" i="1"/>
  <c r="H2349" i="1"/>
  <c r="I2349" i="1"/>
  <c r="J2349" i="1"/>
  <c r="L2349" i="1"/>
  <c r="M2349" i="1"/>
  <c r="C2350" i="1"/>
  <c r="E2350" i="1"/>
  <c r="F2350" i="1"/>
  <c r="H2350" i="1"/>
  <c r="I2350" i="1"/>
  <c r="J2350" i="1"/>
  <c r="L2350" i="1"/>
  <c r="M2350" i="1"/>
  <c r="C2351" i="1"/>
  <c r="E2351" i="1"/>
  <c r="F2351" i="1"/>
  <c r="H2351" i="1"/>
  <c r="I2351" i="1"/>
  <c r="J2351" i="1"/>
  <c r="L2351" i="1"/>
  <c r="M2351" i="1"/>
  <c r="C2352" i="1"/>
  <c r="E2352" i="1"/>
  <c r="F2352" i="1"/>
  <c r="H2352" i="1"/>
  <c r="I2352" i="1"/>
  <c r="J2352" i="1"/>
  <c r="L2352" i="1"/>
  <c r="M2352" i="1"/>
  <c r="C2353" i="1"/>
  <c r="E2353" i="1"/>
  <c r="F2353" i="1"/>
  <c r="H2353" i="1"/>
  <c r="I2353" i="1"/>
  <c r="J2353" i="1"/>
  <c r="L2353" i="1"/>
  <c r="M2353" i="1"/>
  <c r="C2354" i="1"/>
  <c r="E2354" i="1"/>
  <c r="F2354" i="1"/>
  <c r="H2354" i="1"/>
  <c r="I2354" i="1"/>
  <c r="J2354" i="1"/>
  <c r="L2354" i="1"/>
  <c r="M2354" i="1"/>
  <c r="C2355" i="1"/>
  <c r="E2355" i="1"/>
  <c r="F2355" i="1"/>
  <c r="H2355" i="1"/>
  <c r="I2355" i="1"/>
  <c r="J2355" i="1"/>
  <c r="L2355" i="1"/>
  <c r="M2355" i="1"/>
  <c r="C2356" i="1"/>
  <c r="E2356" i="1"/>
  <c r="F2356" i="1"/>
  <c r="H2356" i="1"/>
  <c r="I2356" i="1"/>
  <c r="J2356" i="1"/>
  <c r="L2356" i="1"/>
  <c r="M2356" i="1"/>
  <c r="C2357" i="1"/>
  <c r="E2357" i="1"/>
  <c r="F2357" i="1"/>
  <c r="H2357" i="1"/>
  <c r="I2357" i="1"/>
  <c r="J2357" i="1"/>
  <c r="L2357" i="1"/>
  <c r="M2357" i="1"/>
  <c r="C2358" i="1"/>
  <c r="E2358" i="1"/>
  <c r="F2358" i="1"/>
  <c r="H2358" i="1"/>
  <c r="I2358" i="1"/>
  <c r="J2358" i="1"/>
  <c r="L2358" i="1"/>
  <c r="M2358" i="1"/>
  <c r="C2359" i="1"/>
  <c r="E2359" i="1"/>
  <c r="F2359" i="1"/>
  <c r="H2359" i="1"/>
  <c r="I2359" i="1"/>
  <c r="J2359" i="1"/>
  <c r="L2359" i="1"/>
  <c r="M2359" i="1"/>
  <c r="C2360" i="1"/>
  <c r="E2360" i="1"/>
  <c r="F2360" i="1"/>
  <c r="H2360" i="1"/>
  <c r="I2360" i="1"/>
  <c r="J2360" i="1"/>
  <c r="L2360" i="1"/>
  <c r="M2360" i="1"/>
  <c r="C2361" i="1"/>
  <c r="E2361" i="1"/>
  <c r="F2361" i="1"/>
  <c r="H2361" i="1"/>
  <c r="I2361" i="1"/>
  <c r="J2361" i="1"/>
  <c r="L2361" i="1"/>
  <c r="M2361" i="1"/>
  <c r="C2362" i="1"/>
  <c r="E2362" i="1"/>
  <c r="F2362" i="1"/>
  <c r="H2362" i="1"/>
  <c r="I2362" i="1"/>
  <c r="J2362" i="1"/>
  <c r="L2362" i="1"/>
  <c r="M2362" i="1"/>
  <c r="C2363" i="1"/>
  <c r="E2363" i="1"/>
  <c r="F2363" i="1"/>
  <c r="H2363" i="1"/>
  <c r="I2363" i="1"/>
  <c r="J2363" i="1"/>
  <c r="L2363" i="1"/>
  <c r="M2363" i="1"/>
  <c r="C2364" i="1"/>
  <c r="E2364" i="1"/>
  <c r="F2364" i="1"/>
  <c r="H2364" i="1"/>
  <c r="I2364" i="1"/>
  <c r="J2364" i="1"/>
  <c r="L2364" i="1"/>
  <c r="M2364" i="1"/>
  <c r="C2365" i="1"/>
  <c r="E2365" i="1"/>
  <c r="F2365" i="1"/>
  <c r="H2365" i="1"/>
  <c r="I2365" i="1"/>
  <c r="J2365" i="1"/>
  <c r="L2365" i="1"/>
  <c r="M2365" i="1"/>
  <c r="C2366" i="1"/>
  <c r="E2366" i="1"/>
  <c r="F2366" i="1"/>
  <c r="H2366" i="1"/>
  <c r="I2366" i="1"/>
  <c r="J2366" i="1"/>
  <c r="L2366" i="1"/>
  <c r="M2366" i="1"/>
  <c r="C2367" i="1"/>
  <c r="E2367" i="1"/>
  <c r="F2367" i="1"/>
  <c r="H2367" i="1"/>
  <c r="I2367" i="1"/>
  <c r="J2367" i="1"/>
  <c r="L2367" i="1"/>
  <c r="M2367" i="1"/>
  <c r="C2368" i="1"/>
  <c r="E2368" i="1"/>
  <c r="F2368" i="1"/>
  <c r="H2368" i="1"/>
  <c r="I2368" i="1"/>
  <c r="J2368" i="1"/>
  <c r="L2368" i="1"/>
  <c r="M2368" i="1"/>
  <c r="C2369" i="1"/>
  <c r="E2369" i="1"/>
  <c r="F2369" i="1"/>
  <c r="H2369" i="1"/>
  <c r="I2369" i="1"/>
  <c r="J2369" i="1"/>
  <c r="L2369" i="1"/>
  <c r="M2369" i="1"/>
  <c r="C2370" i="1"/>
  <c r="E2370" i="1"/>
  <c r="F2370" i="1"/>
  <c r="H2370" i="1"/>
  <c r="I2370" i="1"/>
  <c r="J2370" i="1"/>
  <c r="L2370" i="1"/>
  <c r="M2370" i="1"/>
  <c r="C2371" i="1"/>
  <c r="E2371" i="1"/>
  <c r="F2371" i="1"/>
  <c r="H2371" i="1"/>
  <c r="I2371" i="1"/>
  <c r="J2371" i="1"/>
  <c r="L2371" i="1"/>
  <c r="M2371" i="1"/>
  <c r="C2372" i="1"/>
  <c r="E2372" i="1"/>
  <c r="F2372" i="1"/>
  <c r="H2372" i="1"/>
  <c r="I2372" i="1"/>
  <c r="J2372" i="1"/>
  <c r="L2372" i="1"/>
  <c r="M2372" i="1"/>
  <c r="C2373" i="1"/>
  <c r="E2373" i="1"/>
  <c r="F2373" i="1"/>
  <c r="H2373" i="1"/>
  <c r="I2373" i="1"/>
  <c r="J2373" i="1"/>
  <c r="L2373" i="1"/>
  <c r="M2373" i="1"/>
  <c r="C2374" i="1"/>
  <c r="E2374" i="1"/>
  <c r="F2374" i="1"/>
  <c r="H2374" i="1"/>
  <c r="I2374" i="1"/>
  <c r="J2374" i="1"/>
  <c r="L2374" i="1"/>
  <c r="M2374" i="1"/>
  <c r="C2375" i="1"/>
  <c r="E2375" i="1"/>
  <c r="F2375" i="1"/>
  <c r="H2375" i="1"/>
  <c r="I2375" i="1"/>
  <c r="J2375" i="1"/>
  <c r="L2375" i="1"/>
  <c r="M2375" i="1"/>
  <c r="C2376" i="1"/>
  <c r="E2376" i="1"/>
  <c r="F2376" i="1"/>
  <c r="H2376" i="1"/>
  <c r="I2376" i="1"/>
  <c r="J2376" i="1"/>
  <c r="L2376" i="1"/>
  <c r="M2376" i="1"/>
  <c r="C2377" i="1"/>
  <c r="E2377" i="1"/>
  <c r="F2377" i="1"/>
  <c r="H2377" i="1"/>
  <c r="I2377" i="1"/>
  <c r="J2377" i="1"/>
  <c r="L2377" i="1"/>
  <c r="M2377" i="1"/>
  <c r="C2378" i="1"/>
  <c r="E2378" i="1"/>
  <c r="F2378" i="1"/>
  <c r="H2378" i="1"/>
  <c r="I2378" i="1"/>
  <c r="J2378" i="1"/>
  <c r="L2378" i="1"/>
  <c r="M2378" i="1"/>
  <c r="C2379" i="1"/>
  <c r="E2379" i="1"/>
  <c r="F2379" i="1"/>
  <c r="H2379" i="1"/>
  <c r="I2379" i="1"/>
  <c r="J2379" i="1"/>
  <c r="L2379" i="1"/>
  <c r="M2379" i="1"/>
  <c r="C2380" i="1"/>
  <c r="E2380" i="1"/>
  <c r="F2380" i="1"/>
  <c r="H2380" i="1"/>
  <c r="I2380" i="1"/>
  <c r="J2380" i="1"/>
  <c r="L2380" i="1"/>
  <c r="M2380" i="1"/>
  <c r="C2381" i="1"/>
  <c r="E2381" i="1"/>
  <c r="F2381" i="1"/>
  <c r="H2381" i="1"/>
  <c r="I2381" i="1"/>
  <c r="J2381" i="1"/>
  <c r="L2381" i="1"/>
  <c r="M2381" i="1"/>
  <c r="C2382" i="1"/>
  <c r="E2382" i="1"/>
  <c r="F2382" i="1"/>
  <c r="H2382" i="1"/>
  <c r="I2382" i="1"/>
  <c r="J2382" i="1"/>
  <c r="L2382" i="1"/>
  <c r="M2382" i="1"/>
  <c r="C2383" i="1"/>
  <c r="E2383" i="1"/>
  <c r="F2383" i="1"/>
  <c r="H2383" i="1"/>
  <c r="I2383" i="1"/>
  <c r="J2383" i="1"/>
  <c r="L2383" i="1"/>
  <c r="M2383" i="1"/>
  <c r="C2384" i="1"/>
  <c r="E2384" i="1"/>
  <c r="F2384" i="1"/>
  <c r="H2384" i="1"/>
  <c r="I2384" i="1"/>
  <c r="J2384" i="1"/>
  <c r="L2384" i="1"/>
  <c r="M2384" i="1"/>
  <c r="C2385" i="1"/>
  <c r="E2385" i="1"/>
  <c r="F2385" i="1"/>
  <c r="H2385" i="1"/>
  <c r="I2385" i="1"/>
  <c r="J2385" i="1"/>
  <c r="L2385" i="1"/>
  <c r="M2385" i="1"/>
  <c r="C2386" i="1"/>
  <c r="E2386" i="1"/>
  <c r="F2386" i="1"/>
  <c r="H2386" i="1"/>
  <c r="I2386" i="1"/>
  <c r="J2386" i="1"/>
  <c r="L2386" i="1"/>
  <c r="M2386" i="1"/>
  <c r="C2387" i="1"/>
  <c r="E2387" i="1"/>
  <c r="F2387" i="1"/>
  <c r="H2387" i="1"/>
  <c r="I2387" i="1"/>
  <c r="J2387" i="1"/>
  <c r="L2387" i="1"/>
  <c r="M2387" i="1"/>
  <c r="C2388" i="1"/>
  <c r="E2388" i="1"/>
  <c r="F2388" i="1"/>
  <c r="H2388" i="1"/>
  <c r="I2388" i="1"/>
  <c r="J2388" i="1"/>
  <c r="L2388" i="1"/>
  <c r="M2388" i="1"/>
  <c r="C2389" i="1"/>
  <c r="E2389" i="1"/>
  <c r="F2389" i="1"/>
  <c r="H2389" i="1"/>
  <c r="I2389" i="1"/>
  <c r="J2389" i="1"/>
  <c r="L2389" i="1"/>
  <c r="M2389" i="1"/>
  <c r="C2390" i="1"/>
  <c r="E2390" i="1"/>
  <c r="F2390" i="1"/>
  <c r="H2390" i="1"/>
  <c r="I2390" i="1"/>
  <c r="J2390" i="1"/>
  <c r="L2390" i="1"/>
  <c r="M2390" i="1"/>
  <c r="C2391" i="1"/>
  <c r="E2391" i="1"/>
  <c r="F2391" i="1"/>
  <c r="H2391" i="1"/>
  <c r="I2391" i="1"/>
  <c r="J2391" i="1"/>
  <c r="L2391" i="1"/>
  <c r="M2391" i="1"/>
  <c r="C2392" i="1"/>
  <c r="E2392" i="1"/>
  <c r="F2392" i="1"/>
  <c r="H2392" i="1"/>
  <c r="I2392" i="1"/>
  <c r="J2392" i="1"/>
  <c r="L2392" i="1"/>
  <c r="M2392" i="1"/>
  <c r="C2393" i="1"/>
  <c r="E2393" i="1"/>
  <c r="F2393" i="1"/>
  <c r="H2393" i="1"/>
  <c r="I2393" i="1"/>
  <c r="J2393" i="1"/>
  <c r="L2393" i="1"/>
  <c r="M2393" i="1"/>
  <c r="C2394" i="1"/>
  <c r="E2394" i="1"/>
  <c r="F2394" i="1"/>
  <c r="H2394" i="1"/>
  <c r="I2394" i="1"/>
  <c r="J2394" i="1"/>
  <c r="L2394" i="1"/>
  <c r="M2394" i="1"/>
  <c r="C2395" i="1"/>
  <c r="E2395" i="1"/>
  <c r="F2395" i="1"/>
  <c r="H2395" i="1"/>
  <c r="I2395" i="1"/>
  <c r="J2395" i="1"/>
  <c r="L2395" i="1"/>
  <c r="M2395" i="1"/>
  <c r="C2396" i="1"/>
  <c r="E2396" i="1"/>
  <c r="F2396" i="1"/>
  <c r="H2396" i="1"/>
  <c r="I2396" i="1"/>
  <c r="J2396" i="1"/>
  <c r="L2396" i="1"/>
  <c r="M2396" i="1"/>
  <c r="C2397" i="1"/>
  <c r="E2397" i="1"/>
  <c r="F2397" i="1"/>
  <c r="H2397" i="1"/>
  <c r="I2397" i="1"/>
  <c r="J2397" i="1"/>
  <c r="L2397" i="1"/>
  <c r="M2397" i="1"/>
  <c r="C2398" i="1"/>
  <c r="E2398" i="1"/>
  <c r="F2398" i="1"/>
  <c r="H2398" i="1"/>
  <c r="I2398" i="1"/>
  <c r="J2398" i="1"/>
  <c r="L2398" i="1"/>
  <c r="M2398" i="1"/>
  <c r="C2399" i="1"/>
  <c r="E2399" i="1"/>
  <c r="F2399" i="1"/>
  <c r="H2399" i="1"/>
  <c r="I2399" i="1"/>
  <c r="J2399" i="1"/>
  <c r="L2399" i="1"/>
  <c r="M2399" i="1"/>
  <c r="C2400" i="1"/>
  <c r="E2400" i="1"/>
  <c r="F2400" i="1"/>
  <c r="H2400" i="1"/>
  <c r="I2400" i="1"/>
  <c r="J2400" i="1"/>
  <c r="L2400" i="1"/>
  <c r="M2400" i="1"/>
  <c r="C2401" i="1"/>
  <c r="E2401" i="1"/>
  <c r="F2401" i="1"/>
  <c r="H2401" i="1"/>
  <c r="I2401" i="1"/>
  <c r="J2401" i="1"/>
  <c r="L2401" i="1"/>
  <c r="M2401" i="1"/>
  <c r="C2402" i="1"/>
  <c r="E2402" i="1"/>
  <c r="F2402" i="1"/>
  <c r="H2402" i="1"/>
  <c r="I2402" i="1"/>
  <c r="J2402" i="1"/>
  <c r="L2402" i="1"/>
  <c r="M2402" i="1"/>
  <c r="C2403" i="1"/>
  <c r="E2403" i="1"/>
  <c r="F2403" i="1"/>
  <c r="H2403" i="1"/>
  <c r="I2403" i="1"/>
  <c r="J2403" i="1"/>
  <c r="L2403" i="1"/>
  <c r="M2403" i="1"/>
  <c r="C2404" i="1"/>
  <c r="E2404" i="1"/>
  <c r="F2404" i="1"/>
  <c r="H2404" i="1"/>
  <c r="I2404" i="1"/>
  <c r="J2404" i="1"/>
  <c r="L2404" i="1"/>
  <c r="M2404" i="1"/>
  <c r="C2405" i="1"/>
  <c r="E2405" i="1"/>
  <c r="F2405" i="1"/>
  <c r="H2405" i="1"/>
  <c r="I2405" i="1"/>
  <c r="J2405" i="1"/>
  <c r="L2405" i="1"/>
  <c r="M2405" i="1"/>
  <c r="C2406" i="1"/>
  <c r="E2406" i="1"/>
  <c r="F2406" i="1"/>
  <c r="H2406" i="1"/>
  <c r="I2406" i="1"/>
  <c r="J2406" i="1"/>
  <c r="L2406" i="1"/>
  <c r="M2406" i="1"/>
  <c r="C2407" i="1"/>
  <c r="E2407" i="1"/>
  <c r="F2407" i="1"/>
  <c r="H2407" i="1"/>
  <c r="I2407" i="1"/>
  <c r="J2407" i="1"/>
  <c r="L2407" i="1"/>
  <c r="M2407" i="1"/>
  <c r="C2408" i="1"/>
  <c r="E2408" i="1"/>
  <c r="F2408" i="1"/>
  <c r="H2408" i="1"/>
  <c r="I2408" i="1"/>
  <c r="J2408" i="1"/>
  <c r="L2408" i="1"/>
  <c r="M2408" i="1"/>
  <c r="C2409" i="1"/>
  <c r="E2409" i="1"/>
  <c r="F2409" i="1"/>
  <c r="H2409" i="1"/>
  <c r="I2409" i="1"/>
  <c r="J2409" i="1"/>
  <c r="L2409" i="1"/>
  <c r="M2409" i="1"/>
  <c r="C2410" i="1"/>
  <c r="E2410" i="1"/>
  <c r="F2410" i="1"/>
  <c r="H2410" i="1"/>
  <c r="I2410" i="1"/>
  <c r="J2410" i="1"/>
  <c r="L2410" i="1"/>
  <c r="M2410" i="1"/>
  <c r="C2411" i="1"/>
  <c r="E2411" i="1"/>
  <c r="F2411" i="1"/>
  <c r="H2411" i="1"/>
  <c r="I2411" i="1"/>
  <c r="J2411" i="1"/>
  <c r="L2411" i="1"/>
  <c r="M2411" i="1"/>
  <c r="C2412" i="1"/>
  <c r="E2412" i="1"/>
  <c r="F2412" i="1"/>
  <c r="H2412" i="1"/>
  <c r="I2412" i="1"/>
  <c r="J2412" i="1"/>
  <c r="L2412" i="1"/>
  <c r="M2412" i="1"/>
  <c r="C2413" i="1"/>
  <c r="E2413" i="1"/>
  <c r="F2413" i="1"/>
  <c r="H2413" i="1"/>
  <c r="I2413" i="1"/>
  <c r="J2413" i="1"/>
  <c r="L2413" i="1"/>
  <c r="M2413" i="1"/>
  <c r="C2414" i="1"/>
  <c r="E2414" i="1"/>
  <c r="F2414" i="1"/>
  <c r="H2414" i="1"/>
  <c r="I2414" i="1"/>
  <c r="J2414" i="1"/>
  <c r="L2414" i="1"/>
  <c r="M2414" i="1"/>
  <c r="C2415" i="1"/>
  <c r="E2415" i="1"/>
  <c r="F2415" i="1"/>
  <c r="H2415" i="1"/>
  <c r="I2415" i="1"/>
  <c r="J2415" i="1"/>
  <c r="L2415" i="1"/>
  <c r="M2415" i="1"/>
  <c r="C2416" i="1"/>
  <c r="E2416" i="1"/>
  <c r="F2416" i="1"/>
  <c r="H2416" i="1"/>
  <c r="I2416" i="1"/>
  <c r="J2416" i="1"/>
  <c r="L2416" i="1"/>
  <c r="M2416" i="1"/>
  <c r="C2417" i="1"/>
  <c r="E2417" i="1"/>
  <c r="F2417" i="1"/>
  <c r="H2417" i="1"/>
  <c r="I2417" i="1"/>
  <c r="J2417" i="1"/>
  <c r="L2417" i="1"/>
  <c r="M2417" i="1"/>
  <c r="C2418" i="1"/>
  <c r="E2418" i="1"/>
  <c r="F2418" i="1"/>
  <c r="H2418" i="1"/>
  <c r="I2418" i="1"/>
  <c r="J2418" i="1"/>
  <c r="L2418" i="1"/>
  <c r="M2418" i="1"/>
  <c r="C2419" i="1"/>
  <c r="E2419" i="1"/>
  <c r="F2419" i="1"/>
  <c r="H2419" i="1"/>
  <c r="I2419" i="1"/>
  <c r="J2419" i="1"/>
  <c r="L2419" i="1"/>
  <c r="M2419" i="1"/>
  <c r="C2420" i="1"/>
  <c r="E2420" i="1"/>
  <c r="F2420" i="1"/>
  <c r="H2420" i="1"/>
  <c r="I2420" i="1"/>
  <c r="J2420" i="1"/>
  <c r="L2420" i="1"/>
  <c r="M2420" i="1"/>
  <c r="C2421" i="1"/>
  <c r="E2421" i="1"/>
  <c r="F2421" i="1"/>
  <c r="H2421" i="1"/>
  <c r="I2421" i="1"/>
  <c r="J2421" i="1"/>
  <c r="L2421" i="1"/>
  <c r="M2421" i="1"/>
  <c r="C2422" i="1"/>
  <c r="E2422" i="1"/>
  <c r="F2422" i="1"/>
  <c r="H2422" i="1"/>
  <c r="I2422" i="1"/>
  <c r="J2422" i="1"/>
  <c r="L2422" i="1"/>
  <c r="M2422" i="1"/>
  <c r="C2423" i="1"/>
  <c r="E2423" i="1"/>
  <c r="F2423" i="1"/>
  <c r="H2423" i="1"/>
  <c r="I2423" i="1"/>
  <c r="J2423" i="1"/>
  <c r="L2423" i="1"/>
  <c r="M2423" i="1"/>
  <c r="C2424" i="1"/>
  <c r="E2424" i="1"/>
  <c r="F2424" i="1"/>
  <c r="H2424" i="1"/>
  <c r="I2424" i="1"/>
  <c r="J2424" i="1"/>
  <c r="L2424" i="1"/>
  <c r="M2424" i="1"/>
  <c r="C2425" i="1"/>
  <c r="E2425" i="1"/>
  <c r="F2425" i="1"/>
  <c r="H2425" i="1"/>
  <c r="I2425" i="1"/>
  <c r="J2425" i="1"/>
  <c r="L2425" i="1"/>
  <c r="M2425" i="1"/>
  <c r="C2426" i="1"/>
  <c r="E2426" i="1"/>
  <c r="F2426" i="1"/>
  <c r="H2426" i="1"/>
  <c r="I2426" i="1"/>
  <c r="J2426" i="1"/>
  <c r="L2426" i="1"/>
  <c r="M2426" i="1"/>
  <c r="C2427" i="1"/>
  <c r="E2427" i="1"/>
  <c r="F2427" i="1"/>
  <c r="H2427" i="1"/>
  <c r="I2427" i="1"/>
  <c r="J2427" i="1"/>
  <c r="L2427" i="1"/>
  <c r="M2427" i="1"/>
  <c r="C2428" i="1"/>
  <c r="E2428" i="1"/>
  <c r="F2428" i="1"/>
  <c r="H2428" i="1"/>
  <c r="I2428" i="1"/>
  <c r="J2428" i="1"/>
  <c r="L2428" i="1"/>
  <c r="M2428" i="1"/>
  <c r="C2429" i="1"/>
  <c r="E2429" i="1"/>
  <c r="F2429" i="1"/>
  <c r="H2429" i="1"/>
  <c r="I2429" i="1"/>
  <c r="J2429" i="1"/>
  <c r="L2429" i="1"/>
  <c r="M2429" i="1"/>
  <c r="C2430" i="1"/>
  <c r="E2430" i="1"/>
  <c r="F2430" i="1"/>
  <c r="H2430" i="1"/>
  <c r="I2430" i="1"/>
  <c r="J2430" i="1"/>
  <c r="L2430" i="1"/>
  <c r="M2430" i="1"/>
  <c r="C2431" i="1"/>
  <c r="E2431" i="1"/>
  <c r="F2431" i="1"/>
  <c r="H2431" i="1"/>
  <c r="I2431" i="1"/>
  <c r="J2431" i="1"/>
  <c r="L2431" i="1"/>
  <c r="M2431" i="1"/>
  <c r="C2432" i="1"/>
  <c r="E2432" i="1"/>
  <c r="F2432" i="1"/>
  <c r="H2432" i="1"/>
  <c r="I2432" i="1"/>
  <c r="J2432" i="1"/>
  <c r="L2432" i="1"/>
  <c r="M2432" i="1"/>
  <c r="C2433" i="1"/>
  <c r="E2433" i="1"/>
  <c r="F2433" i="1"/>
  <c r="H2433" i="1"/>
  <c r="I2433" i="1"/>
  <c r="J2433" i="1"/>
  <c r="L2433" i="1"/>
  <c r="M2433" i="1"/>
  <c r="C2434" i="1"/>
  <c r="E2434" i="1"/>
  <c r="F2434" i="1"/>
  <c r="H2434" i="1"/>
  <c r="I2434" i="1"/>
  <c r="J2434" i="1"/>
  <c r="L2434" i="1"/>
  <c r="M2434" i="1"/>
  <c r="C2435" i="1"/>
  <c r="E2435" i="1"/>
  <c r="F2435" i="1"/>
  <c r="H2435" i="1"/>
  <c r="I2435" i="1"/>
  <c r="J2435" i="1"/>
  <c r="L2435" i="1"/>
  <c r="M2435" i="1"/>
  <c r="C2436" i="1"/>
  <c r="E2436" i="1"/>
  <c r="F2436" i="1"/>
  <c r="H2436" i="1"/>
  <c r="I2436" i="1"/>
  <c r="J2436" i="1"/>
  <c r="L2436" i="1"/>
  <c r="M2436" i="1"/>
  <c r="C2437" i="1"/>
  <c r="E2437" i="1"/>
  <c r="F2437" i="1"/>
  <c r="H2437" i="1"/>
  <c r="I2437" i="1"/>
  <c r="J2437" i="1"/>
  <c r="L2437" i="1"/>
  <c r="M2437" i="1"/>
  <c r="C2438" i="1"/>
  <c r="E2438" i="1"/>
  <c r="F2438" i="1"/>
  <c r="H2438" i="1"/>
  <c r="I2438" i="1"/>
  <c r="J2438" i="1"/>
  <c r="L2438" i="1"/>
  <c r="M2438" i="1"/>
  <c r="C2439" i="1"/>
  <c r="E2439" i="1"/>
  <c r="F2439" i="1"/>
  <c r="H2439" i="1"/>
  <c r="I2439" i="1"/>
  <c r="J2439" i="1"/>
  <c r="L2439" i="1"/>
  <c r="M2439" i="1"/>
  <c r="C2440" i="1"/>
  <c r="E2440" i="1"/>
  <c r="F2440" i="1"/>
  <c r="H2440" i="1"/>
  <c r="I2440" i="1"/>
  <c r="J2440" i="1"/>
  <c r="L2440" i="1"/>
  <c r="M2440" i="1"/>
  <c r="C2441" i="1"/>
  <c r="E2441" i="1"/>
  <c r="F2441" i="1"/>
  <c r="H2441" i="1"/>
  <c r="I2441" i="1"/>
  <c r="J2441" i="1"/>
  <c r="L2441" i="1"/>
  <c r="M2441" i="1"/>
  <c r="C2442" i="1"/>
  <c r="E2442" i="1"/>
  <c r="F2442" i="1"/>
  <c r="H2442" i="1"/>
  <c r="I2442" i="1"/>
  <c r="J2442" i="1"/>
  <c r="L2442" i="1"/>
  <c r="M2442" i="1"/>
  <c r="C2443" i="1"/>
  <c r="E2443" i="1"/>
  <c r="F2443" i="1"/>
  <c r="H2443" i="1"/>
  <c r="I2443" i="1"/>
  <c r="J2443" i="1"/>
  <c r="L2443" i="1"/>
  <c r="M2443" i="1"/>
  <c r="C2444" i="1"/>
  <c r="E2444" i="1"/>
  <c r="F2444" i="1"/>
  <c r="H2444" i="1"/>
  <c r="I2444" i="1"/>
  <c r="J2444" i="1"/>
  <c r="L2444" i="1"/>
  <c r="M2444" i="1"/>
  <c r="C2445" i="1"/>
  <c r="E2445" i="1"/>
  <c r="F2445" i="1"/>
  <c r="H2445" i="1"/>
  <c r="I2445" i="1"/>
  <c r="J2445" i="1"/>
  <c r="L2445" i="1"/>
  <c r="M2445" i="1"/>
  <c r="C2446" i="1"/>
  <c r="E2446" i="1"/>
  <c r="F2446" i="1"/>
  <c r="H2446" i="1"/>
  <c r="I2446" i="1"/>
  <c r="J2446" i="1"/>
  <c r="L2446" i="1"/>
  <c r="M2446" i="1"/>
  <c r="C2447" i="1"/>
  <c r="E2447" i="1"/>
  <c r="F2447" i="1"/>
  <c r="H2447" i="1"/>
  <c r="I2447" i="1"/>
  <c r="J2447" i="1"/>
  <c r="L2447" i="1"/>
  <c r="M2447" i="1"/>
  <c r="C2448" i="1"/>
  <c r="E2448" i="1"/>
  <c r="F2448" i="1"/>
  <c r="H2448" i="1"/>
  <c r="I2448" i="1"/>
  <c r="J2448" i="1"/>
  <c r="L2448" i="1"/>
  <c r="M2448" i="1"/>
  <c r="C2449" i="1"/>
  <c r="E2449" i="1"/>
  <c r="F2449" i="1"/>
  <c r="H2449" i="1"/>
  <c r="I2449" i="1"/>
  <c r="J2449" i="1"/>
  <c r="L2449" i="1"/>
  <c r="M2449" i="1"/>
  <c r="C2450" i="1"/>
  <c r="E2450" i="1"/>
  <c r="F2450" i="1"/>
  <c r="H2450" i="1"/>
  <c r="I2450" i="1"/>
  <c r="J2450" i="1"/>
  <c r="L2450" i="1"/>
  <c r="M2450" i="1"/>
  <c r="C2451" i="1"/>
  <c r="E2451" i="1"/>
  <c r="F2451" i="1"/>
  <c r="H2451" i="1"/>
  <c r="I2451" i="1"/>
  <c r="J2451" i="1"/>
  <c r="L2451" i="1"/>
  <c r="M2451" i="1"/>
  <c r="C2452" i="1"/>
  <c r="E2452" i="1"/>
  <c r="F2452" i="1"/>
  <c r="H2452" i="1"/>
  <c r="I2452" i="1"/>
  <c r="J2452" i="1"/>
  <c r="L2452" i="1"/>
  <c r="M2452" i="1"/>
  <c r="C2453" i="1"/>
  <c r="E2453" i="1"/>
  <c r="F2453" i="1"/>
  <c r="H2453" i="1"/>
  <c r="I2453" i="1"/>
  <c r="J2453" i="1"/>
  <c r="L2453" i="1"/>
  <c r="M2453" i="1"/>
  <c r="C2454" i="1"/>
  <c r="E2454" i="1"/>
  <c r="F2454" i="1"/>
  <c r="H2454" i="1"/>
  <c r="I2454" i="1"/>
  <c r="J2454" i="1"/>
  <c r="L2454" i="1"/>
  <c r="M2454" i="1"/>
  <c r="C2455" i="1"/>
  <c r="E2455" i="1"/>
  <c r="F2455" i="1"/>
  <c r="H2455" i="1"/>
  <c r="I2455" i="1"/>
  <c r="J2455" i="1"/>
  <c r="L2455" i="1"/>
  <c r="M2455" i="1"/>
  <c r="C2456" i="1"/>
  <c r="E2456" i="1"/>
  <c r="F2456" i="1"/>
  <c r="H2456" i="1"/>
  <c r="I2456" i="1"/>
  <c r="J2456" i="1"/>
  <c r="L2456" i="1"/>
  <c r="M2456" i="1"/>
  <c r="C2457" i="1"/>
  <c r="E2457" i="1"/>
  <c r="F2457" i="1"/>
  <c r="H2457" i="1"/>
  <c r="I2457" i="1"/>
  <c r="J2457" i="1"/>
  <c r="L2457" i="1"/>
  <c r="M2457" i="1"/>
  <c r="C2458" i="1"/>
  <c r="E2458" i="1"/>
  <c r="F2458" i="1"/>
  <c r="H2458" i="1"/>
  <c r="I2458" i="1"/>
  <c r="J2458" i="1"/>
  <c r="L2458" i="1"/>
  <c r="M2458" i="1"/>
  <c r="C2459" i="1"/>
  <c r="E2459" i="1"/>
  <c r="F2459" i="1"/>
  <c r="H2459" i="1"/>
  <c r="I2459" i="1"/>
  <c r="J2459" i="1"/>
  <c r="L2459" i="1"/>
  <c r="M2459" i="1"/>
  <c r="C2460" i="1"/>
  <c r="E2460" i="1"/>
  <c r="F2460" i="1"/>
  <c r="H2460" i="1"/>
  <c r="I2460" i="1"/>
  <c r="J2460" i="1"/>
  <c r="L2460" i="1"/>
  <c r="M2460" i="1"/>
  <c r="C2461" i="1"/>
  <c r="E2461" i="1"/>
  <c r="F2461" i="1"/>
  <c r="H2461" i="1"/>
  <c r="I2461" i="1"/>
  <c r="J2461" i="1"/>
  <c r="L2461" i="1"/>
  <c r="M2461" i="1"/>
  <c r="C2462" i="1"/>
  <c r="E2462" i="1"/>
  <c r="F2462" i="1"/>
  <c r="H2462" i="1"/>
  <c r="I2462" i="1"/>
  <c r="J2462" i="1"/>
  <c r="L2462" i="1"/>
  <c r="M2462" i="1"/>
  <c r="C2463" i="1"/>
  <c r="E2463" i="1"/>
  <c r="F2463" i="1"/>
  <c r="H2463" i="1"/>
  <c r="I2463" i="1"/>
  <c r="J2463" i="1"/>
  <c r="L2463" i="1"/>
  <c r="M2463" i="1"/>
  <c r="C2464" i="1"/>
  <c r="E2464" i="1"/>
  <c r="F2464" i="1"/>
  <c r="H2464" i="1"/>
  <c r="I2464" i="1"/>
  <c r="J2464" i="1"/>
  <c r="L2464" i="1"/>
  <c r="M2464" i="1"/>
  <c r="C2465" i="1"/>
  <c r="E2465" i="1"/>
  <c r="F2465" i="1"/>
  <c r="H2465" i="1"/>
  <c r="I2465" i="1"/>
  <c r="J2465" i="1"/>
  <c r="L2465" i="1"/>
  <c r="M2465" i="1"/>
  <c r="C2466" i="1"/>
  <c r="E2466" i="1"/>
  <c r="F2466" i="1"/>
  <c r="H2466" i="1"/>
  <c r="I2466" i="1"/>
  <c r="J2466" i="1"/>
  <c r="L2466" i="1"/>
  <c r="M2466" i="1"/>
  <c r="C2467" i="1"/>
  <c r="E2467" i="1"/>
  <c r="F2467" i="1"/>
  <c r="H2467" i="1"/>
  <c r="I2467" i="1"/>
  <c r="J2467" i="1"/>
  <c r="L2467" i="1"/>
  <c r="M2467" i="1"/>
  <c r="C2468" i="1"/>
  <c r="E2468" i="1"/>
  <c r="F2468" i="1"/>
  <c r="H2468" i="1"/>
  <c r="I2468" i="1"/>
  <c r="J2468" i="1"/>
  <c r="L2468" i="1"/>
  <c r="M2468" i="1"/>
  <c r="C2469" i="1"/>
  <c r="E2469" i="1"/>
  <c r="F2469" i="1"/>
  <c r="H2469" i="1"/>
  <c r="I2469" i="1"/>
  <c r="J2469" i="1"/>
  <c r="L2469" i="1"/>
  <c r="M2469" i="1"/>
  <c r="C2470" i="1"/>
  <c r="E2470" i="1"/>
  <c r="F2470" i="1"/>
  <c r="H2470" i="1"/>
  <c r="I2470" i="1"/>
  <c r="J2470" i="1"/>
  <c r="L2470" i="1"/>
  <c r="M2470" i="1"/>
  <c r="C2471" i="1"/>
  <c r="E2471" i="1"/>
  <c r="F2471" i="1"/>
  <c r="H2471" i="1"/>
  <c r="I2471" i="1"/>
  <c r="J2471" i="1"/>
  <c r="L2471" i="1"/>
  <c r="M2471" i="1"/>
  <c r="C2472" i="1"/>
  <c r="E2472" i="1"/>
  <c r="F2472" i="1"/>
  <c r="H2472" i="1"/>
  <c r="I2472" i="1"/>
  <c r="J2472" i="1"/>
  <c r="L2472" i="1"/>
  <c r="M2472" i="1"/>
  <c r="C2473" i="1"/>
  <c r="E2473" i="1"/>
  <c r="F2473" i="1"/>
  <c r="H2473" i="1"/>
  <c r="I2473" i="1"/>
  <c r="J2473" i="1"/>
  <c r="L2473" i="1"/>
  <c r="M2473" i="1"/>
  <c r="C2474" i="1"/>
  <c r="E2474" i="1"/>
  <c r="F2474" i="1"/>
  <c r="H2474" i="1"/>
  <c r="I2474" i="1"/>
  <c r="J2474" i="1"/>
  <c r="L2474" i="1"/>
  <c r="M2474" i="1"/>
  <c r="C2475" i="1"/>
  <c r="E2475" i="1"/>
  <c r="F2475" i="1"/>
  <c r="H2475" i="1"/>
  <c r="I2475" i="1"/>
  <c r="J2475" i="1"/>
  <c r="L2475" i="1"/>
  <c r="M2475" i="1"/>
  <c r="C2476" i="1"/>
  <c r="E2476" i="1"/>
  <c r="F2476" i="1"/>
  <c r="H2476" i="1"/>
  <c r="I2476" i="1"/>
  <c r="J2476" i="1"/>
  <c r="L2476" i="1"/>
  <c r="M2476" i="1"/>
  <c r="C2477" i="1"/>
  <c r="E2477" i="1"/>
  <c r="F2477" i="1"/>
  <c r="H2477" i="1"/>
  <c r="I2477" i="1"/>
  <c r="J2477" i="1"/>
  <c r="L2477" i="1"/>
  <c r="M2477" i="1"/>
  <c r="C2478" i="1"/>
  <c r="E2478" i="1"/>
  <c r="F2478" i="1"/>
  <c r="H2478" i="1"/>
  <c r="I2478" i="1"/>
  <c r="J2478" i="1"/>
  <c r="L2478" i="1"/>
  <c r="M2478" i="1"/>
  <c r="C2479" i="1"/>
  <c r="E2479" i="1"/>
  <c r="F2479" i="1"/>
  <c r="H2479" i="1"/>
  <c r="I2479" i="1"/>
  <c r="J2479" i="1"/>
  <c r="L2479" i="1"/>
  <c r="M2479" i="1"/>
  <c r="C2480" i="1"/>
  <c r="E2480" i="1"/>
  <c r="F2480" i="1"/>
  <c r="H2480" i="1"/>
  <c r="I2480" i="1"/>
  <c r="J2480" i="1"/>
  <c r="L2480" i="1"/>
  <c r="M2480" i="1"/>
  <c r="C2481" i="1"/>
  <c r="E2481" i="1"/>
  <c r="F2481" i="1"/>
  <c r="H2481" i="1"/>
  <c r="I2481" i="1"/>
  <c r="J2481" i="1"/>
  <c r="L2481" i="1"/>
  <c r="M2481" i="1"/>
  <c r="C2482" i="1"/>
  <c r="E2482" i="1"/>
  <c r="F2482" i="1"/>
  <c r="H2482" i="1"/>
  <c r="I2482" i="1"/>
  <c r="J2482" i="1"/>
  <c r="L2482" i="1"/>
  <c r="M2482" i="1"/>
  <c r="C2483" i="1"/>
  <c r="E2483" i="1"/>
  <c r="F2483" i="1"/>
  <c r="H2483" i="1"/>
  <c r="I2483" i="1"/>
  <c r="J2483" i="1"/>
  <c r="L2483" i="1"/>
  <c r="M2483" i="1"/>
  <c r="C2484" i="1"/>
  <c r="E2484" i="1"/>
  <c r="F2484" i="1"/>
  <c r="H2484" i="1"/>
  <c r="I2484" i="1"/>
  <c r="J2484" i="1"/>
  <c r="L2484" i="1"/>
  <c r="M2484" i="1"/>
  <c r="C2485" i="1"/>
  <c r="E2485" i="1"/>
  <c r="F2485" i="1"/>
  <c r="H2485" i="1"/>
  <c r="I2485" i="1"/>
  <c r="J2485" i="1"/>
  <c r="L2485" i="1"/>
  <c r="M2485" i="1"/>
  <c r="C2486" i="1"/>
  <c r="E2486" i="1"/>
  <c r="F2486" i="1"/>
  <c r="H2486" i="1"/>
  <c r="I2486" i="1"/>
  <c r="J2486" i="1"/>
  <c r="L2486" i="1"/>
  <c r="M2486" i="1"/>
  <c r="C2487" i="1"/>
  <c r="E2487" i="1"/>
  <c r="F2487" i="1"/>
  <c r="H2487" i="1"/>
  <c r="I2487" i="1"/>
  <c r="J2487" i="1"/>
  <c r="L2487" i="1"/>
  <c r="M2487" i="1"/>
  <c r="C2488" i="1"/>
  <c r="E2488" i="1"/>
  <c r="F2488" i="1"/>
  <c r="H2488" i="1"/>
  <c r="I2488" i="1"/>
  <c r="J2488" i="1"/>
  <c r="L2488" i="1"/>
  <c r="M2488" i="1"/>
  <c r="C2489" i="1"/>
  <c r="E2489" i="1"/>
  <c r="F2489" i="1"/>
  <c r="H2489" i="1"/>
  <c r="I2489" i="1"/>
  <c r="J2489" i="1"/>
  <c r="L2489" i="1"/>
  <c r="M2489" i="1"/>
  <c r="C2490" i="1"/>
  <c r="E2490" i="1"/>
  <c r="F2490" i="1"/>
  <c r="H2490" i="1"/>
  <c r="I2490" i="1"/>
  <c r="J2490" i="1"/>
  <c r="L2490" i="1"/>
  <c r="M2490" i="1"/>
  <c r="C2491" i="1"/>
  <c r="E2491" i="1"/>
  <c r="F2491" i="1"/>
  <c r="H2491" i="1"/>
  <c r="I2491" i="1"/>
  <c r="J2491" i="1"/>
  <c r="L2491" i="1"/>
  <c r="M2491" i="1"/>
  <c r="C2492" i="1"/>
  <c r="E2492" i="1"/>
  <c r="F2492" i="1"/>
  <c r="H2492" i="1"/>
  <c r="I2492" i="1"/>
  <c r="J2492" i="1"/>
  <c r="L2492" i="1"/>
  <c r="M2492" i="1"/>
  <c r="C2493" i="1"/>
  <c r="E2493" i="1"/>
  <c r="F2493" i="1"/>
  <c r="H2493" i="1"/>
  <c r="I2493" i="1"/>
  <c r="J2493" i="1"/>
  <c r="L2493" i="1"/>
  <c r="M2493" i="1"/>
  <c r="C2494" i="1"/>
  <c r="E2494" i="1"/>
  <c r="F2494" i="1"/>
  <c r="H2494" i="1"/>
  <c r="I2494" i="1"/>
  <c r="J2494" i="1"/>
  <c r="L2494" i="1"/>
  <c r="M2494" i="1"/>
  <c r="C2495" i="1"/>
  <c r="E2495" i="1"/>
  <c r="F2495" i="1"/>
  <c r="H2495" i="1"/>
  <c r="I2495" i="1"/>
  <c r="J2495" i="1"/>
  <c r="L2495" i="1"/>
  <c r="M2495" i="1"/>
  <c r="C2496" i="1"/>
  <c r="E2496" i="1"/>
  <c r="F2496" i="1"/>
  <c r="H2496" i="1"/>
  <c r="I2496" i="1"/>
  <c r="J2496" i="1"/>
  <c r="L2496" i="1"/>
  <c r="M2496" i="1"/>
  <c r="C2497" i="1"/>
  <c r="E2497" i="1"/>
  <c r="F2497" i="1"/>
  <c r="H2497" i="1"/>
  <c r="I2497" i="1"/>
  <c r="J2497" i="1"/>
  <c r="L2497" i="1"/>
  <c r="M2497" i="1"/>
  <c r="C2498" i="1"/>
  <c r="E2498" i="1"/>
  <c r="F2498" i="1"/>
  <c r="H2498" i="1"/>
  <c r="I2498" i="1"/>
  <c r="J2498" i="1"/>
  <c r="L2498" i="1"/>
  <c r="M2498" i="1"/>
  <c r="C2499" i="1"/>
  <c r="E2499" i="1"/>
  <c r="F2499" i="1"/>
  <c r="H2499" i="1"/>
  <c r="I2499" i="1"/>
  <c r="J2499" i="1"/>
  <c r="L2499" i="1"/>
  <c r="M2499" i="1"/>
  <c r="C2500" i="1"/>
  <c r="E2500" i="1"/>
  <c r="F2500" i="1"/>
  <c r="H2500" i="1"/>
  <c r="I2500" i="1"/>
  <c r="J2500" i="1"/>
  <c r="L2500" i="1"/>
  <c r="M2500" i="1"/>
  <c r="C2501" i="1"/>
  <c r="E2501" i="1"/>
  <c r="F2501" i="1"/>
  <c r="H2501" i="1"/>
  <c r="I2501" i="1"/>
  <c r="J2501" i="1"/>
  <c r="L2501" i="1"/>
  <c r="M2501" i="1"/>
  <c r="C2502" i="1"/>
  <c r="E2502" i="1"/>
  <c r="F2502" i="1"/>
  <c r="H2502" i="1"/>
  <c r="I2502" i="1"/>
  <c r="J2502" i="1"/>
  <c r="L2502" i="1"/>
  <c r="M2502" i="1"/>
  <c r="C2503" i="1"/>
  <c r="E2503" i="1"/>
  <c r="F2503" i="1"/>
  <c r="H2503" i="1"/>
  <c r="I2503" i="1"/>
  <c r="J2503" i="1"/>
  <c r="L2503" i="1"/>
  <c r="M2503" i="1"/>
  <c r="C2504" i="1"/>
  <c r="E2504" i="1"/>
  <c r="F2504" i="1"/>
  <c r="H2504" i="1"/>
  <c r="I2504" i="1"/>
  <c r="J2504" i="1"/>
  <c r="L2504" i="1"/>
  <c r="M2504" i="1"/>
  <c r="C2505" i="1"/>
  <c r="E2505" i="1"/>
  <c r="F2505" i="1"/>
  <c r="H2505" i="1"/>
  <c r="I2505" i="1"/>
  <c r="J2505" i="1"/>
  <c r="L2505" i="1"/>
  <c r="M2505" i="1"/>
  <c r="C2506" i="1"/>
  <c r="E2506" i="1"/>
  <c r="F2506" i="1"/>
  <c r="H2506" i="1"/>
  <c r="I2506" i="1"/>
  <c r="J2506" i="1"/>
  <c r="L2506" i="1"/>
  <c r="M2506" i="1"/>
  <c r="C2507" i="1"/>
  <c r="E2507" i="1"/>
  <c r="F2507" i="1"/>
  <c r="H2507" i="1"/>
  <c r="I2507" i="1"/>
  <c r="J2507" i="1"/>
  <c r="L2507" i="1"/>
  <c r="M2507" i="1"/>
  <c r="C2508" i="1"/>
  <c r="E2508" i="1"/>
  <c r="F2508" i="1"/>
  <c r="H2508" i="1"/>
  <c r="I2508" i="1"/>
  <c r="J2508" i="1"/>
  <c r="L2508" i="1"/>
  <c r="M2508" i="1"/>
  <c r="C2509" i="1"/>
  <c r="E2509" i="1"/>
  <c r="F2509" i="1"/>
  <c r="H2509" i="1"/>
  <c r="I2509" i="1"/>
  <c r="J2509" i="1"/>
  <c r="L2509" i="1"/>
  <c r="M2509" i="1"/>
  <c r="C2510" i="1"/>
  <c r="E2510" i="1"/>
  <c r="F2510" i="1"/>
  <c r="H2510" i="1"/>
  <c r="I2510" i="1"/>
  <c r="J2510" i="1"/>
  <c r="L2510" i="1"/>
  <c r="M2510" i="1"/>
  <c r="C2511" i="1"/>
  <c r="E2511" i="1"/>
  <c r="F2511" i="1"/>
  <c r="H2511" i="1"/>
  <c r="I2511" i="1"/>
  <c r="J2511" i="1"/>
  <c r="L2511" i="1"/>
  <c r="M2511" i="1"/>
  <c r="C2512" i="1"/>
  <c r="E2512" i="1"/>
  <c r="F2512" i="1"/>
  <c r="H2512" i="1"/>
  <c r="I2512" i="1"/>
  <c r="J2512" i="1"/>
  <c r="L2512" i="1"/>
  <c r="M2512" i="1"/>
  <c r="C2513" i="1"/>
  <c r="E2513" i="1"/>
  <c r="F2513" i="1"/>
  <c r="H2513" i="1"/>
  <c r="I2513" i="1"/>
  <c r="J2513" i="1"/>
  <c r="L2513" i="1"/>
  <c r="M2513" i="1"/>
  <c r="C2514" i="1"/>
  <c r="E2514" i="1"/>
  <c r="F2514" i="1"/>
  <c r="H2514" i="1"/>
  <c r="I2514" i="1"/>
  <c r="J2514" i="1"/>
  <c r="L2514" i="1"/>
  <c r="M2514" i="1"/>
  <c r="C2515" i="1"/>
  <c r="E2515" i="1"/>
  <c r="F2515" i="1"/>
  <c r="H2515" i="1"/>
  <c r="I2515" i="1"/>
  <c r="J2515" i="1"/>
  <c r="L2515" i="1"/>
  <c r="M2515" i="1"/>
  <c r="C2516" i="1"/>
  <c r="E2516" i="1"/>
  <c r="F2516" i="1"/>
  <c r="H2516" i="1"/>
  <c r="I2516" i="1"/>
  <c r="J2516" i="1"/>
  <c r="L2516" i="1"/>
  <c r="M2516" i="1"/>
  <c r="C2517" i="1"/>
  <c r="E2517" i="1"/>
  <c r="F2517" i="1"/>
  <c r="H2517" i="1"/>
  <c r="I2517" i="1"/>
  <c r="J2517" i="1"/>
  <c r="L2517" i="1"/>
  <c r="M2517" i="1"/>
  <c r="C2518" i="1"/>
  <c r="E2518" i="1"/>
  <c r="F2518" i="1"/>
  <c r="H2518" i="1"/>
  <c r="I2518" i="1"/>
  <c r="J2518" i="1"/>
  <c r="L2518" i="1"/>
  <c r="M2518" i="1"/>
  <c r="C2519" i="1"/>
  <c r="E2519" i="1"/>
  <c r="F2519" i="1"/>
  <c r="H2519" i="1"/>
  <c r="I2519" i="1"/>
  <c r="J2519" i="1"/>
  <c r="L2519" i="1"/>
  <c r="M2519" i="1"/>
  <c r="C2520" i="1"/>
  <c r="E2520" i="1"/>
  <c r="F2520" i="1"/>
  <c r="H2520" i="1"/>
  <c r="I2520" i="1"/>
  <c r="J2520" i="1"/>
  <c r="L2520" i="1"/>
  <c r="M2520" i="1"/>
  <c r="C2521" i="1"/>
  <c r="E2521" i="1"/>
  <c r="F2521" i="1"/>
  <c r="H2521" i="1"/>
  <c r="I2521" i="1"/>
  <c r="J2521" i="1"/>
  <c r="L2521" i="1"/>
  <c r="M2521" i="1"/>
  <c r="C2522" i="1"/>
  <c r="E2522" i="1"/>
  <c r="F2522" i="1"/>
  <c r="H2522" i="1"/>
  <c r="I2522" i="1"/>
  <c r="J2522" i="1"/>
  <c r="L2522" i="1"/>
  <c r="M2522" i="1"/>
  <c r="C2523" i="1"/>
  <c r="E2523" i="1"/>
  <c r="F2523" i="1"/>
  <c r="H2523" i="1"/>
  <c r="I2523" i="1"/>
  <c r="J2523" i="1"/>
  <c r="L2523" i="1"/>
  <c r="M2523" i="1"/>
  <c r="C2524" i="1"/>
  <c r="E2524" i="1"/>
  <c r="F2524" i="1"/>
  <c r="H2524" i="1"/>
  <c r="I2524" i="1"/>
  <c r="J2524" i="1"/>
  <c r="L2524" i="1"/>
  <c r="M2524" i="1"/>
  <c r="C2525" i="1"/>
  <c r="E2525" i="1"/>
  <c r="F2525" i="1"/>
  <c r="H2525" i="1"/>
  <c r="I2525" i="1"/>
  <c r="J2525" i="1"/>
  <c r="L2525" i="1"/>
  <c r="M2525" i="1"/>
  <c r="C2526" i="1"/>
  <c r="E2526" i="1"/>
  <c r="F2526" i="1"/>
  <c r="H2526" i="1"/>
  <c r="I2526" i="1"/>
  <c r="J2526" i="1"/>
  <c r="L2526" i="1"/>
  <c r="M2526" i="1"/>
  <c r="C2527" i="1"/>
  <c r="E2527" i="1"/>
  <c r="F2527" i="1"/>
  <c r="H2527" i="1"/>
  <c r="I2527" i="1"/>
  <c r="J2527" i="1"/>
  <c r="L2527" i="1"/>
  <c r="M2527" i="1"/>
  <c r="C2528" i="1"/>
  <c r="E2528" i="1"/>
  <c r="F2528" i="1"/>
  <c r="H2528" i="1"/>
  <c r="I2528" i="1"/>
  <c r="J2528" i="1"/>
  <c r="L2528" i="1"/>
  <c r="M2528" i="1"/>
  <c r="C2529" i="1"/>
  <c r="E2529" i="1"/>
  <c r="F2529" i="1"/>
  <c r="H2529" i="1"/>
  <c r="I2529" i="1"/>
  <c r="J2529" i="1"/>
  <c r="L2529" i="1"/>
  <c r="M2529" i="1"/>
  <c r="C2530" i="1"/>
  <c r="E2530" i="1"/>
  <c r="F2530" i="1"/>
  <c r="H2530" i="1"/>
  <c r="I2530" i="1"/>
  <c r="J2530" i="1"/>
  <c r="L2530" i="1"/>
  <c r="M2530" i="1"/>
  <c r="C2531" i="1"/>
  <c r="E2531" i="1"/>
  <c r="F2531" i="1"/>
  <c r="H2531" i="1"/>
  <c r="I2531" i="1"/>
  <c r="J2531" i="1"/>
  <c r="L2531" i="1"/>
  <c r="M2531" i="1"/>
  <c r="C2532" i="1"/>
  <c r="E2532" i="1"/>
  <c r="F2532" i="1"/>
  <c r="H2532" i="1"/>
  <c r="I2532" i="1"/>
  <c r="J2532" i="1"/>
  <c r="L2532" i="1"/>
  <c r="M2532" i="1"/>
  <c r="C2533" i="1"/>
  <c r="E2533" i="1"/>
  <c r="F2533" i="1"/>
  <c r="H2533" i="1"/>
  <c r="I2533" i="1"/>
  <c r="J2533" i="1"/>
  <c r="L2533" i="1"/>
  <c r="M2533" i="1"/>
  <c r="C2534" i="1"/>
  <c r="E2534" i="1"/>
  <c r="F2534" i="1"/>
  <c r="H2534" i="1"/>
  <c r="I2534" i="1"/>
  <c r="J2534" i="1"/>
  <c r="L2534" i="1"/>
  <c r="M2534" i="1"/>
  <c r="C2535" i="1"/>
  <c r="E2535" i="1"/>
  <c r="F2535" i="1"/>
  <c r="H2535" i="1"/>
  <c r="I2535" i="1"/>
  <c r="J2535" i="1"/>
  <c r="L2535" i="1"/>
  <c r="M2535" i="1"/>
  <c r="C2536" i="1"/>
  <c r="E2536" i="1"/>
  <c r="F2536" i="1"/>
  <c r="H2536" i="1"/>
  <c r="I2536" i="1"/>
  <c r="J2536" i="1"/>
  <c r="L2536" i="1"/>
  <c r="M2536" i="1"/>
  <c r="C2537" i="1"/>
  <c r="E2537" i="1"/>
  <c r="F2537" i="1"/>
  <c r="H2537" i="1"/>
  <c r="I2537" i="1"/>
  <c r="J2537" i="1"/>
  <c r="L2537" i="1"/>
  <c r="M2537" i="1"/>
  <c r="C2538" i="1"/>
  <c r="E2538" i="1"/>
  <c r="F2538" i="1"/>
  <c r="H2538" i="1"/>
  <c r="I2538" i="1"/>
  <c r="J2538" i="1"/>
  <c r="L2538" i="1"/>
  <c r="M2538" i="1"/>
  <c r="C2539" i="1"/>
  <c r="E2539" i="1"/>
  <c r="F2539" i="1"/>
  <c r="H2539" i="1"/>
  <c r="I2539" i="1"/>
  <c r="J2539" i="1"/>
  <c r="L2539" i="1"/>
  <c r="M2539" i="1"/>
  <c r="C2540" i="1"/>
  <c r="E2540" i="1"/>
  <c r="F2540" i="1"/>
  <c r="H2540" i="1"/>
  <c r="I2540" i="1"/>
  <c r="J2540" i="1"/>
  <c r="L2540" i="1"/>
  <c r="M2540" i="1"/>
  <c r="C2541" i="1"/>
  <c r="E2541" i="1"/>
  <c r="F2541" i="1"/>
  <c r="H2541" i="1"/>
  <c r="I2541" i="1"/>
  <c r="J2541" i="1"/>
  <c r="L2541" i="1"/>
  <c r="M2541" i="1"/>
  <c r="C2542" i="1"/>
  <c r="E2542" i="1"/>
  <c r="F2542" i="1"/>
  <c r="H2542" i="1"/>
  <c r="I2542" i="1"/>
  <c r="J2542" i="1"/>
  <c r="L2542" i="1"/>
  <c r="M2542" i="1"/>
  <c r="C2543" i="1"/>
  <c r="E2543" i="1"/>
  <c r="F2543" i="1"/>
  <c r="H2543" i="1"/>
  <c r="I2543" i="1"/>
  <c r="J2543" i="1"/>
  <c r="L2543" i="1"/>
  <c r="M2543" i="1"/>
  <c r="C2544" i="1"/>
  <c r="E2544" i="1"/>
  <c r="F2544" i="1"/>
  <c r="H2544" i="1"/>
  <c r="I2544" i="1"/>
  <c r="J2544" i="1"/>
  <c r="L2544" i="1"/>
  <c r="M2544" i="1"/>
  <c r="C2545" i="1"/>
  <c r="E2545" i="1"/>
  <c r="F2545" i="1"/>
  <c r="H2545" i="1"/>
  <c r="I2545" i="1"/>
  <c r="J2545" i="1"/>
  <c r="L2545" i="1"/>
  <c r="M2545" i="1"/>
  <c r="C2546" i="1"/>
  <c r="E2546" i="1"/>
  <c r="F2546" i="1"/>
  <c r="H2546" i="1"/>
  <c r="I2546" i="1"/>
  <c r="J2546" i="1"/>
  <c r="L2546" i="1"/>
  <c r="M2546" i="1"/>
  <c r="C2547" i="1"/>
  <c r="E2547" i="1"/>
  <c r="F2547" i="1"/>
  <c r="H2547" i="1"/>
  <c r="I2547" i="1"/>
  <c r="J2547" i="1"/>
  <c r="L2547" i="1"/>
  <c r="M2547" i="1"/>
  <c r="C2548" i="1"/>
  <c r="E2548" i="1"/>
  <c r="F2548" i="1"/>
  <c r="H2548" i="1"/>
  <c r="I2548" i="1"/>
  <c r="J2548" i="1"/>
  <c r="L2548" i="1"/>
  <c r="M2548" i="1"/>
  <c r="C2549" i="1"/>
  <c r="E2549" i="1"/>
  <c r="F2549" i="1"/>
  <c r="H2549" i="1"/>
  <c r="I2549" i="1"/>
  <c r="J2549" i="1"/>
  <c r="L2549" i="1"/>
  <c r="M2549" i="1"/>
  <c r="C2550" i="1"/>
  <c r="E2550" i="1"/>
  <c r="F2550" i="1"/>
  <c r="H2550" i="1"/>
  <c r="I2550" i="1"/>
  <c r="J2550" i="1"/>
  <c r="L2550" i="1"/>
  <c r="M2550" i="1"/>
  <c r="C2551" i="1"/>
  <c r="E2551" i="1"/>
  <c r="F2551" i="1"/>
  <c r="H2551" i="1"/>
  <c r="I2551" i="1"/>
  <c r="J2551" i="1"/>
  <c r="L2551" i="1"/>
  <c r="M2551" i="1"/>
  <c r="C2552" i="1"/>
  <c r="E2552" i="1"/>
  <c r="F2552" i="1"/>
  <c r="H2552" i="1"/>
  <c r="I2552" i="1"/>
  <c r="J2552" i="1"/>
  <c r="L2552" i="1"/>
  <c r="M2552" i="1"/>
  <c r="C2553" i="1"/>
  <c r="E2553" i="1"/>
  <c r="F2553" i="1"/>
  <c r="H2553" i="1"/>
  <c r="I2553" i="1"/>
  <c r="J2553" i="1"/>
  <c r="L2553" i="1"/>
  <c r="M2553" i="1"/>
  <c r="C2554" i="1"/>
  <c r="E2554" i="1"/>
  <c r="F2554" i="1"/>
  <c r="H2554" i="1"/>
  <c r="I2554" i="1"/>
  <c r="J2554" i="1"/>
  <c r="L2554" i="1"/>
  <c r="M2554" i="1"/>
  <c r="C2555" i="1"/>
  <c r="E2555" i="1"/>
  <c r="F2555" i="1"/>
  <c r="H2555" i="1"/>
  <c r="I2555" i="1"/>
  <c r="J2555" i="1"/>
  <c r="L2555" i="1"/>
  <c r="M2555" i="1"/>
  <c r="C2556" i="1"/>
  <c r="E2556" i="1"/>
  <c r="F2556" i="1"/>
  <c r="H2556" i="1"/>
  <c r="I2556" i="1"/>
  <c r="J2556" i="1"/>
  <c r="L2556" i="1"/>
  <c r="M2556" i="1"/>
  <c r="C2557" i="1"/>
  <c r="E2557" i="1"/>
  <c r="F2557" i="1"/>
  <c r="H2557" i="1"/>
  <c r="I2557" i="1"/>
  <c r="J2557" i="1"/>
  <c r="L2557" i="1"/>
  <c r="M2557" i="1"/>
  <c r="C2558" i="1"/>
  <c r="E2558" i="1"/>
  <c r="F2558" i="1"/>
  <c r="H2558" i="1"/>
  <c r="I2558" i="1"/>
  <c r="J2558" i="1"/>
  <c r="L2558" i="1"/>
  <c r="M2558" i="1"/>
  <c r="C2559" i="1"/>
  <c r="E2559" i="1"/>
  <c r="F2559" i="1"/>
  <c r="H2559" i="1"/>
  <c r="I2559" i="1"/>
  <c r="J2559" i="1"/>
  <c r="L2559" i="1"/>
  <c r="M2559" i="1"/>
  <c r="C2560" i="1"/>
  <c r="E2560" i="1"/>
  <c r="F2560" i="1"/>
  <c r="H2560" i="1"/>
  <c r="I2560" i="1"/>
  <c r="J2560" i="1"/>
  <c r="L2560" i="1"/>
  <c r="M2560" i="1"/>
  <c r="C2561" i="1"/>
  <c r="E2561" i="1"/>
  <c r="F2561" i="1"/>
  <c r="H2561" i="1"/>
  <c r="I2561" i="1"/>
  <c r="J2561" i="1"/>
  <c r="L2561" i="1"/>
  <c r="M2561" i="1"/>
  <c r="C2562" i="1"/>
  <c r="E2562" i="1"/>
  <c r="F2562" i="1"/>
  <c r="H2562" i="1"/>
  <c r="I2562" i="1"/>
  <c r="J2562" i="1"/>
  <c r="L2562" i="1"/>
  <c r="M2562" i="1"/>
  <c r="C2563" i="1"/>
  <c r="E2563" i="1"/>
  <c r="F2563" i="1"/>
  <c r="H2563" i="1"/>
  <c r="I2563" i="1"/>
  <c r="J2563" i="1"/>
  <c r="L2563" i="1"/>
  <c r="M2563" i="1"/>
  <c r="C2564" i="1"/>
  <c r="E2564" i="1"/>
  <c r="F2564" i="1"/>
  <c r="H2564" i="1"/>
  <c r="I2564" i="1"/>
  <c r="J2564" i="1"/>
  <c r="L2564" i="1"/>
  <c r="M2564" i="1"/>
  <c r="C2565" i="1"/>
  <c r="E2565" i="1"/>
  <c r="F2565" i="1"/>
  <c r="H2565" i="1"/>
  <c r="I2565" i="1"/>
  <c r="J2565" i="1"/>
  <c r="L2565" i="1"/>
  <c r="M2565" i="1"/>
  <c r="C2566" i="1"/>
  <c r="E2566" i="1"/>
  <c r="F2566" i="1"/>
  <c r="H2566" i="1"/>
  <c r="I2566" i="1"/>
  <c r="J2566" i="1"/>
  <c r="L2566" i="1"/>
  <c r="M2566" i="1"/>
  <c r="C2567" i="1"/>
  <c r="E2567" i="1"/>
  <c r="F2567" i="1"/>
  <c r="H2567" i="1"/>
  <c r="I2567" i="1"/>
  <c r="J2567" i="1"/>
  <c r="L2567" i="1"/>
  <c r="M2567" i="1"/>
  <c r="C2568" i="1"/>
  <c r="E2568" i="1"/>
  <c r="F2568" i="1"/>
  <c r="H2568" i="1"/>
  <c r="I2568" i="1"/>
  <c r="J2568" i="1"/>
  <c r="L2568" i="1"/>
  <c r="M2568" i="1"/>
  <c r="C2569" i="1"/>
  <c r="E2569" i="1"/>
  <c r="F2569" i="1"/>
  <c r="H2569" i="1"/>
  <c r="I2569" i="1"/>
  <c r="J2569" i="1"/>
  <c r="L2569" i="1"/>
  <c r="M2569" i="1"/>
  <c r="C2570" i="1"/>
  <c r="E2570" i="1"/>
  <c r="F2570" i="1"/>
  <c r="H2570" i="1"/>
  <c r="I2570" i="1"/>
  <c r="J2570" i="1"/>
  <c r="L2570" i="1"/>
  <c r="M2570" i="1"/>
  <c r="C2571" i="1"/>
  <c r="E2571" i="1"/>
  <c r="F2571" i="1"/>
  <c r="H2571" i="1"/>
  <c r="I2571" i="1"/>
  <c r="J2571" i="1"/>
  <c r="L2571" i="1"/>
  <c r="M2571" i="1"/>
  <c r="C2572" i="1"/>
  <c r="E2572" i="1"/>
  <c r="F2572" i="1"/>
  <c r="H2572" i="1"/>
  <c r="I2572" i="1"/>
  <c r="J2572" i="1"/>
  <c r="L2572" i="1"/>
  <c r="M2572" i="1"/>
  <c r="C2573" i="1"/>
  <c r="E2573" i="1"/>
  <c r="F2573" i="1"/>
  <c r="H2573" i="1"/>
  <c r="I2573" i="1"/>
  <c r="J2573" i="1"/>
  <c r="L2573" i="1"/>
  <c r="M2573" i="1"/>
  <c r="C2574" i="1"/>
  <c r="E2574" i="1"/>
  <c r="F2574" i="1"/>
  <c r="H2574" i="1"/>
  <c r="I2574" i="1"/>
  <c r="J2574" i="1"/>
  <c r="L2574" i="1"/>
  <c r="M2574" i="1"/>
  <c r="C2575" i="1"/>
  <c r="E2575" i="1"/>
  <c r="F2575" i="1"/>
  <c r="H2575" i="1"/>
  <c r="I2575" i="1"/>
  <c r="J2575" i="1"/>
  <c r="L2575" i="1"/>
  <c r="M2575" i="1"/>
  <c r="C2576" i="1"/>
  <c r="E2576" i="1"/>
  <c r="F2576" i="1"/>
  <c r="H2576" i="1"/>
  <c r="I2576" i="1"/>
  <c r="J2576" i="1"/>
  <c r="L2576" i="1"/>
  <c r="M2576" i="1"/>
  <c r="C2577" i="1"/>
  <c r="E2577" i="1"/>
  <c r="F2577" i="1"/>
  <c r="H2577" i="1"/>
  <c r="I2577" i="1"/>
  <c r="J2577" i="1"/>
  <c r="L2577" i="1"/>
  <c r="M2577" i="1"/>
  <c r="C2578" i="1"/>
  <c r="E2578" i="1"/>
  <c r="F2578" i="1"/>
  <c r="H2578" i="1"/>
  <c r="I2578" i="1"/>
  <c r="J2578" i="1"/>
  <c r="L2578" i="1"/>
  <c r="M2578" i="1"/>
  <c r="C2579" i="1"/>
  <c r="E2579" i="1"/>
  <c r="F2579" i="1"/>
  <c r="H2579" i="1"/>
  <c r="I2579" i="1"/>
  <c r="J2579" i="1"/>
  <c r="L2579" i="1"/>
  <c r="M2579" i="1"/>
  <c r="C2580" i="1"/>
  <c r="E2580" i="1"/>
  <c r="F2580" i="1"/>
  <c r="H2580" i="1"/>
  <c r="I2580" i="1"/>
  <c r="J2580" i="1"/>
  <c r="L2580" i="1"/>
  <c r="M2580" i="1"/>
  <c r="C2581" i="1"/>
  <c r="E2581" i="1"/>
  <c r="F2581" i="1"/>
  <c r="H2581" i="1"/>
  <c r="I2581" i="1"/>
  <c r="J2581" i="1"/>
  <c r="L2581" i="1"/>
  <c r="M2581" i="1"/>
  <c r="C2582" i="1"/>
  <c r="E2582" i="1"/>
  <c r="F2582" i="1"/>
  <c r="H2582" i="1"/>
  <c r="I2582" i="1"/>
  <c r="J2582" i="1"/>
  <c r="L2582" i="1"/>
  <c r="M2582" i="1"/>
  <c r="C2583" i="1"/>
  <c r="E2583" i="1"/>
  <c r="F2583" i="1"/>
  <c r="H2583" i="1"/>
  <c r="I2583" i="1"/>
  <c r="J2583" i="1"/>
  <c r="L2583" i="1"/>
  <c r="M2583" i="1"/>
  <c r="C2584" i="1"/>
  <c r="E2584" i="1"/>
  <c r="F2584" i="1"/>
  <c r="H2584" i="1"/>
  <c r="I2584" i="1"/>
  <c r="J2584" i="1"/>
  <c r="L2584" i="1"/>
  <c r="M2584" i="1"/>
  <c r="C2585" i="1"/>
  <c r="E2585" i="1"/>
  <c r="F2585" i="1"/>
  <c r="H2585" i="1"/>
  <c r="I2585" i="1"/>
  <c r="J2585" i="1"/>
  <c r="L2585" i="1"/>
  <c r="M2585" i="1"/>
  <c r="C2586" i="1"/>
  <c r="E2586" i="1"/>
  <c r="F2586" i="1"/>
  <c r="H2586" i="1"/>
  <c r="I2586" i="1"/>
  <c r="J2586" i="1"/>
  <c r="L2586" i="1"/>
  <c r="M2586" i="1"/>
  <c r="C2587" i="1"/>
  <c r="E2587" i="1"/>
  <c r="F2587" i="1"/>
  <c r="H2587" i="1"/>
  <c r="I2587" i="1"/>
  <c r="J2587" i="1"/>
  <c r="L2587" i="1"/>
  <c r="M2587" i="1"/>
  <c r="C2588" i="1"/>
  <c r="E2588" i="1"/>
  <c r="F2588" i="1"/>
  <c r="H2588" i="1"/>
  <c r="I2588" i="1"/>
  <c r="J2588" i="1"/>
  <c r="L2588" i="1"/>
  <c r="M2588" i="1"/>
  <c r="C2589" i="1"/>
  <c r="E2589" i="1"/>
  <c r="F2589" i="1"/>
  <c r="H2589" i="1"/>
  <c r="I2589" i="1"/>
  <c r="J2589" i="1"/>
  <c r="L2589" i="1"/>
  <c r="M2589" i="1"/>
  <c r="C2590" i="1"/>
  <c r="E2590" i="1"/>
  <c r="F2590" i="1"/>
  <c r="H2590" i="1"/>
  <c r="I2590" i="1"/>
  <c r="J2590" i="1"/>
  <c r="L2590" i="1"/>
  <c r="M2590" i="1"/>
  <c r="C2591" i="1"/>
  <c r="E2591" i="1"/>
  <c r="F2591" i="1"/>
  <c r="H2591" i="1"/>
  <c r="I2591" i="1"/>
  <c r="J2591" i="1"/>
  <c r="L2591" i="1"/>
  <c r="M2591" i="1"/>
  <c r="C2592" i="1"/>
  <c r="E2592" i="1"/>
  <c r="F2592" i="1"/>
  <c r="H2592" i="1"/>
  <c r="I2592" i="1"/>
  <c r="J2592" i="1"/>
  <c r="L2592" i="1"/>
  <c r="M2592" i="1"/>
  <c r="C2593" i="1"/>
  <c r="E2593" i="1"/>
  <c r="F2593" i="1"/>
  <c r="H2593" i="1"/>
  <c r="I2593" i="1"/>
  <c r="J2593" i="1"/>
  <c r="L2593" i="1"/>
  <c r="M2593" i="1"/>
  <c r="C2594" i="1"/>
  <c r="E2594" i="1"/>
  <c r="F2594" i="1"/>
  <c r="H2594" i="1"/>
  <c r="I2594" i="1"/>
  <c r="J2594" i="1"/>
  <c r="L2594" i="1"/>
  <c r="M2594" i="1"/>
  <c r="C2595" i="1"/>
  <c r="E2595" i="1"/>
  <c r="F2595" i="1"/>
  <c r="H2595" i="1"/>
  <c r="I2595" i="1"/>
  <c r="J2595" i="1"/>
  <c r="L2595" i="1"/>
  <c r="M2595" i="1"/>
  <c r="C2596" i="1"/>
  <c r="E2596" i="1"/>
  <c r="F2596" i="1"/>
  <c r="H2596" i="1"/>
  <c r="I2596" i="1"/>
  <c r="J2596" i="1"/>
  <c r="L2596" i="1"/>
  <c r="M2596" i="1"/>
  <c r="C2597" i="1"/>
  <c r="E2597" i="1"/>
  <c r="F2597" i="1"/>
  <c r="H2597" i="1"/>
  <c r="I2597" i="1"/>
  <c r="J2597" i="1"/>
  <c r="L2597" i="1"/>
  <c r="M2597" i="1"/>
  <c r="C2598" i="1"/>
  <c r="E2598" i="1"/>
  <c r="F2598" i="1"/>
  <c r="H2598" i="1"/>
  <c r="I2598" i="1"/>
  <c r="J2598" i="1"/>
  <c r="L2598" i="1"/>
  <c r="M2598" i="1"/>
  <c r="C2599" i="1"/>
  <c r="E2599" i="1"/>
  <c r="F2599" i="1"/>
  <c r="H2599" i="1"/>
  <c r="I2599" i="1"/>
  <c r="J2599" i="1"/>
  <c r="L2599" i="1"/>
  <c r="M2599" i="1"/>
  <c r="C2600" i="1"/>
  <c r="E2600" i="1"/>
  <c r="F2600" i="1"/>
  <c r="H2600" i="1"/>
  <c r="I2600" i="1"/>
  <c r="J2600" i="1"/>
  <c r="L2600" i="1"/>
  <c r="M2600" i="1"/>
  <c r="C2601" i="1"/>
  <c r="E2601" i="1"/>
  <c r="F2601" i="1"/>
  <c r="H2601" i="1"/>
  <c r="I2601" i="1"/>
  <c r="J2601" i="1"/>
  <c r="L2601" i="1"/>
  <c r="M2601" i="1"/>
  <c r="C2602" i="1"/>
  <c r="E2602" i="1"/>
  <c r="F2602" i="1"/>
  <c r="H2602" i="1"/>
  <c r="I2602" i="1"/>
  <c r="J2602" i="1"/>
  <c r="L2602" i="1"/>
  <c r="M2602" i="1"/>
  <c r="C2603" i="1"/>
  <c r="E2603" i="1"/>
  <c r="F2603" i="1"/>
  <c r="H2603" i="1"/>
  <c r="I2603" i="1"/>
  <c r="J2603" i="1"/>
  <c r="L2603" i="1"/>
  <c r="M2603" i="1"/>
  <c r="C2604" i="1"/>
  <c r="E2604" i="1"/>
  <c r="F2604" i="1"/>
  <c r="H2604" i="1"/>
  <c r="I2604" i="1"/>
  <c r="J2604" i="1"/>
  <c r="L2604" i="1"/>
  <c r="M2604" i="1"/>
  <c r="C2605" i="1"/>
  <c r="E2605" i="1"/>
  <c r="F2605" i="1"/>
  <c r="H2605" i="1"/>
  <c r="I2605" i="1"/>
  <c r="J2605" i="1"/>
  <c r="L2605" i="1"/>
  <c r="M2605" i="1"/>
  <c r="C2606" i="1"/>
  <c r="E2606" i="1"/>
  <c r="F2606" i="1"/>
  <c r="H2606" i="1"/>
  <c r="I2606" i="1"/>
  <c r="J2606" i="1"/>
  <c r="L2606" i="1"/>
  <c r="M2606" i="1"/>
  <c r="C2607" i="1"/>
  <c r="E2607" i="1"/>
  <c r="F2607" i="1"/>
  <c r="H2607" i="1"/>
  <c r="I2607" i="1"/>
  <c r="J2607" i="1"/>
  <c r="L2607" i="1"/>
  <c r="M2607" i="1"/>
  <c r="C2608" i="1"/>
  <c r="E2608" i="1"/>
  <c r="F2608" i="1"/>
  <c r="H2608" i="1"/>
  <c r="I2608" i="1"/>
  <c r="J2608" i="1"/>
  <c r="L2608" i="1"/>
  <c r="M2608" i="1"/>
  <c r="C2609" i="1"/>
  <c r="E2609" i="1"/>
  <c r="F2609" i="1"/>
  <c r="H2609" i="1"/>
  <c r="I2609" i="1"/>
  <c r="J2609" i="1"/>
  <c r="L2609" i="1"/>
  <c r="M2609" i="1"/>
  <c r="C2610" i="1"/>
  <c r="E2610" i="1"/>
  <c r="F2610" i="1"/>
  <c r="H2610" i="1"/>
  <c r="I2610" i="1"/>
  <c r="J2610" i="1"/>
  <c r="L2610" i="1"/>
  <c r="M2610" i="1"/>
  <c r="C2611" i="1"/>
  <c r="E2611" i="1"/>
  <c r="F2611" i="1"/>
  <c r="H2611" i="1"/>
  <c r="I2611" i="1"/>
  <c r="J2611" i="1"/>
  <c r="L2611" i="1"/>
  <c r="M2611" i="1"/>
  <c r="C2612" i="1"/>
  <c r="E2612" i="1"/>
  <c r="F2612" i="1"/>
  <c r="H2612" i="1"/>
  <c r="I2612" i="1"/>
  <c r="J2612" i="1"/>
  <c r="L2612" i="1"/>
  <c r="M2612" i="1"/>
  <c r="C2613" i="1"/>
  <c r="E2613" i="1"/>
  <c r="F2613" i="1"/>
  <c r="H2613" i="1"/>
  <c r="I2613" i="1"/>
  <c r="J2613" i="1"/>
  <c r="L2613" i="1"/>
  <c r="M2613" i="1"/>
  <c r="C2614" i="1"/>
  <c r="E2614" i="1"/>
  <c r="F2614" i="1"/>
  <c r="H2614" i="1"/>
  <c r="I2614" i="1"/>
  <c r="J2614" i="1"/>
  <c r="L2614" i="1"/>
  <c r="M2614" i="1"/>
  <c r="C2615" i="1"/>
  <c r="E2615" i="1"/>
  <c r="F2615" i="1"/>
  <c r="H2615" i="1"/>
  <c r="I2615" i="1"/>
  <c r="J2615" i="1"/>
  <c r="L2615" i="1"/>
  <c r="M2615" i="1"/>
  <c r="C2616" i="1"/>
  <c r="E2616" i="1"/>
  <c r="F2616" i="1"/>
  <c r="H2616" i="1"/>
  <c r="I2616" i="1"/>
  <c r="J2616" i="1"/>
  <c r="L2616" i="1"/>
  <c r="M2616" i="1"/>
  <c r="C2617" i="1"/>
  <c r="E2617" i="1"/>
  <c r="F2617" i="1"/>
  <c r="H2617" i="1"/>
  <c r="I2617" i="1"/>
  <c r="J2617" i="1"/>
  <c r="L2617" i="1"/>
  <c r="M2617" i="1"/>
  <c r="C2618" i="1"/>
  <c r="E2618" i="1"/>
  <c r="F2618" i="1"/>
  <c r="H2618" i="1"/>
  <c r="I2618" i="1"/>
  <c r="J2618" i="1"/>
  <c r="L2618" i="1"/>
  <c r="M2618" i="1"/>
  <c r="C2619" i="1"/>
  <c r="E2619" i="1"/>
  <c r="F2619" i="1"/>
  <c r="H2619" i="1"/>
  <c r="I2619" i="1"/>
  <c r="J2619" i="1"/>
  <c r="L2619" i="1"/>
  <c r="M2619" i="1"/>
  <c r="C2620" i="1"/>
  <c r="E2620" i="1"/>
  <c r="F2620" i="1"/>
  <c r="H2620" i="1"/>
  <c r="I2620" i="1"/>
  <c r="J2620" i="1"/>
  <c r="L2620" i="1"/>
  <c r="M2620" i="1"/>
  <c r="C2621" i="1"/>
  <c r="E2621" i="1"/>
  <c r="F2621" i="1"/>
  <c r="H2621" i="1"/>
  <c r="I2621" i="1"/>
  <c r="J2621" i="1"/>
  <c r="L2621" i="1"/>
  <c r="M2621" i="1"/>
  <c r="C2622" i="1"/>
  <c r="E2622" i="1"/>
  <c r="F2622" i="1"/>
  <c r="H2622" i="1"/>
  <c r="I2622" i="1"/>
  <c r="J2622" i="1"/>
  <c r="L2622" i="1"/>
  <c r="M2622" i="1"/>
  <c r="C2623" i="1"/>
  <c r="E2623" i="1"/>
  <c r="F2623" i="1"/>
  <c r="H2623" i="1"/>
  <c r="I2623" i="1"/>
  <c r="J2623" i="1"/>
  <c r="L2623" i="1"/>
  <c r="M2623" i="1"/>
  <c r="C2624" i="1"/>
  <c r="E2624" i="1"/>
  <c r="F2624" i="1"/>
  <c r="H2624" i="1"/>
  <c r="I2624" i="1"/>
  <c r="J2624" i="1"/>
  <c r="L2624" i="1"/>
  <c r="M2624" i="1"/>
  <c r="C2625" i="1"/>
  <c r="E2625" i="1"/>
  <c r="F2625" i="1"/>
  <c r="H2625" i="1"/>
  <c r="I2625" i="1"/>
  <c r="J2625" i="1"/>
  <c r="L2625" i="1"/>
  <c r="M2625" i="1"/>
  <c r="C2626" i="1"/>
  <c r="E2626" i="1"/>
  <c r="F2626" i="1"/>
  <c r="H2626" i="1"/>
  <c r="I2626" i="1"/>
  <c r="J2626" i="1"/>
  <c r="L2626" i="1"/>
  <c r="M2626" i="1"/>
  <c r="C2627" i="1"/>
  <c r="E2627" i="1"/>
  <c r="F2627" i="1"/>
  <c r="H2627" i="1"/>
  <c r="I2627" i="1"/>
  <c r="J2627" i="1"/>
  <c r="L2627" i="1"/>
  <c r="M2627" i="1"/>
  <c r="C2628" i="1"/>
  <c r="E2628" i="1"/>
  <c r="F2628" i="1"/>
  <c r="H2628" i="1"/>
  <c r="I2628" i="1"/>
  <c r="J2628" i="1"/>
  <c r="L2628" i="1"/>
  <c r="M2628" i="1"/>
  <c r="C2629" i="1"/>
  <c r="E2629" i="1"/>
  <c r="F2629" i="1"/>
  <c r="H2629" i="1"/>
  <c r="I2629" i="1"/>
  <c r="J2629" i="1"/>
  <c r="L2629" i="1"/>
  <c r="M2629" i="1"/>
  <c r="C2630" i="1"/>
  <c r="E2630" i="1"/>
  <c r="F2630" i="1"/>
  <c r="H2630" i="1"/>
  <c r="I2630" i="1"/>
  <c r="J2630" i="1"/>
  <c r="L2630" i="1"/>
  <c r="M2630" i="1"/>
  <c r="C2631" i="1"/>
  <c r="E2631" i="1"/>
  <c r="F2631" i="1"/>
  <c r="H2631" i="1"/>
  <c r="I2631" i="1"/>
  <c r="J2631" i="1"/>
  <c r="L2631" i="1"/>
  <c r="M2631" i="1"/>
  <c r="C2632" i="1"/>
  <c r="E2632" i="1"/>
  <c r="F2632" i="1"/>
  <c r="H2632" i="1"/>
  <c r="I2632" i="1"/>
  <c r="J2632" i="1"/>
  <c r="L2632" i="1"/>
  <c r="M2632" i="1"/>
  <c r="C2633" i="1"/>
  <c r="E2633" i="1"/>
  <c r="F2633" i="1"/>
  <c r="H2633" i="1"/>
  <c r="I2633" i="1"/>
  <c r="J2633" i="1"/>
  <c r="L2633" i="1"/>
  <c r="M2633" i="1"/>
  <c r="C2634" i="1"/>
  <c r="E2634" i="1"/>
  <c r="F2634" i="1"/>
  <c r="H2634" i="1"/>
  <c r="I2634" i="1"/>
  <c r="J2634" i="1"/>
  <c r="L2634" i="1"/>
  <c r="M2634" i="1"/>
  <c r="C2635" i="1"/>
  <c r="E2635" i="1"/>
  <c r="F2635" i="1"/>
  <c r="H2635" i="1"/>
  <c r="I2635" i="1"/>
  <c r="J2635" i="1"/>
  <c r="L2635" i="1"/>
  <c r="M2635" i="1"/>
  <c r="C2636" i="1"/>
  <c r="E2636" i="1"/>
  <c r="F2636" i="1"/>
  <c r="H2636" i="1"/>
  <c r="I2636" i="1"/>
  <c r="J2636" i="1"/>
  <c r="L2636" i="1"/>
  <c r="M2636" i="1"/>
  <c r="C2637" i="1"/>
  <c r="E2637" i="1"/>
  <c r="F2637" i="1"/>
  <c r="H2637" i="1"/>
  <c r="I2637" i="1"/>
  <c r="J2637" i="1"/>
  <c r="L2637" i="1"/>
  <c r="M2637" i="1"/>
  <c r="C2638" i="1"/>
  <c r="E2638" i="1"/>
  <c r="F2638" i="1"/>
  <c r="H2638" i="1"/>
  <c r="I2638" i="1"/>
  <c r="J2638" i="1"/>
  <c r="L2638" i="1"/>
  <c r="M2638" i="1"/>
  <c r="C2639" i="1"/>
  <c r="E2639" i="1"/>
  <c r="F2639" i="1"/>
  <c r="H2639" i="1"/>
  <c r="I2639" i="1"/>
  <c r="J2639" i="1"/>
  <c r="L2639" i="1"/>
  <c r="M2639" i="1"/>
  <c r="C2640" i="1"/>
  <c r="E2640" i="1"/>
  <c r="F2640" i="1"/>
  <c r="H2640" i="1"/>
  <c r="I2640" i="1"/>
  <c r="J2640" i="1"/>
  <c r="L2640" i="1"/>
  <c r="M2640" i="1"/>
  <c r="C2641" i="1"/>
  <c r="E2641" i="1"/>
  <c r="F2641" i="1"/>
  <c r="H2641" i="1"/>
  <c r="I2641" i="1"/>
  <c r="J2641" i="1"/>
  <c r="L2641" i="1"/>
  <c r="M2641" i="1"/>
  <c r="C2642" i="1"/>
  <c r="E2642" i="1"/>
  <c r="F2642" i="1"/>
  <c r="H2642" i="1"/>
  <c r="I2642" i="1"/>
  <c r="J2642" i="1"/>
  <c r="L2642" i="1"/>
  <c r="M2642" i="1"/>
  <c r="C2643" i="1"/>
  <c r="E2643" i="1"/>
  <c r="F2643" i="1"/>
  <c r="H2643" i="1"/>
  <c r="I2643" i="1"/>
  <c r="J2643" i="1"/>
  <c r="L2643" i="1"/>
  <c r="M2643" i="1"/>
  <c r="C2644" i="1"/>
  <c r="E2644" i="1"/>
  <c r="F2644" i="1"/>
  <c r="H2644" i="1"/>
  <c r="I2644" i="1"/>
  <c r="J2644" i="1"/>
  <c r="L2644" i="1"/>
  <c r="M2644" i="1"/>
  <c r="C2645" i="1"/>
  <c r="E2645" i="1"/>
  <c r="F2645" i="1"/>
  <c r="H2645" i="1"/>
  <c r="I2645" i="1"/>
  <c r="J2645" i="1"/>
  <c r="L2645" i="1"/>
  <c r="M2645" i="1"/>
  <c r="C2646" i="1"/>
  <c r="E2646" i="1"/>
  <c r="F2646" i="1"/>
  <c r="H2646" i="1"/>
  <c r="I2646" i="1"/>
  <c r="J2646" i="1"/>
  <c r="L2646" i="1"/>
  <c r="M2646" i="1"/>
  <c r="C2647" i="1"/>
  <c r="E2647" i="1"/>
  <c r="F2647" i="1"/>
  <c r="H2647" i="1"/>
  <c r="I2647" i="1"/>
  <c r="J2647" i="1"/>
  <c r="L2647" i="1"/>
  <c r="M2647" i="1"/>
  <c r="C2648" i="1"/>
  <c r="E2648" i="1"/>
  <c r="F2648" i="1"/>
  <c r="H2648" i="1"/>
  <c r="I2648" i="1"/>
  <c r="J2648" i="1"/>
  <c r="L2648" i="1"/>
  <c r="M2648" i="1"/>
  <c r="C2649" i="1"/>
  <c r="E2649" i="1"/>
  <c r="F2649" i="1"/>
  <c r="H2649" i="1"/>
  <c r="I2649" i="1"/>
  <c r="J2649" i="1"/>
  <c r="L2649" i="1"/>
  <c r="M2649" i="1"/>
  <c r="C2650" i="1"/>
  <c r="E2650" i="1"/>
  <c r="F2650" i="1"/>
  <c r="H2650" i="1"/>
  <c r="I2650" i="1"/>
  <c r="J2650" i="1"/>
  <c r="L2650" i="1"/>
  <c r="M2650" i="1"/>
  <c r="C2651" i="1"/>
  <c r="E2651" i="1"/>
  <c r="F2651" i="1"/>
  <c r="H2651" i="1"/>
  <c r="I2651" i="1"/>
  <c r="J2651" i="1"/>
  <c r="L2651" i="1"/>
  <c r="M2651" i="1"/>
  <c r="C2652" i="1"/>
  <c r="E2652" i="1"/>
  <c r="F2652" i="1"/>
  <c r="H2652" i="1"/>
  <c r="I2652" i="1"/>
  <c r="J2652" i="1"/>
  <c r="L2652" i="1"/>
  <c r="M2652" i="1"/>
  <c r="C2653" i="1"/>
  <c r="E2653" i="1"/>
  <c r="F2653" i="1"/>
  <c r="H2653" i="1"/>
  <c r="I2653" i="1"/>
  <c r="J2653" i="1"/>
  <c r="L2653" i="1"/>
  <c r="M2653" i="1"/>
  <c r="C2654" i="1"/>
  <c r="E2654" i="1"/>
  <c r="F2654" i="1"/>
  <c r="H2654" i="1"/>
  <c r="I2654" i="1"/>
  <c r="J2654" i="1"/>
  <c r="L2654" i="1"/>
  <c r="M2654" i="1"/>
  <c r="C2655" i="1"/>
  <c r="E2655" i="1"/>
  <c r="F2655" i="1"/>
  <c r="H2655" i="1"/>
  <c r="I2655" i="1"/>
  <c r="J2655" i="1"/>
  <c r="L2655" i="1"/>
  <c r="M2655" i="1"/>
  <c r="C2656" i="1"/>
  <c r="E2656" i="1"/>
  <c r="F2656" i="1"/>
  <c r="H2656" i="1"/>
  <c r="I2656" i="1"/>
  <c r="J2656" i="1"/>
  <c r="L2656" i="1"/>
  <c r="M2656" i="1"/>
  <c r="C2657" i="1"/>
  <c r="E2657" i="1"/>
  <c r="F2657" i="1"/>
  <c r="H2657" i="1"/>
  <c r="I2657" i="1"/>
  <c r="J2657" i="1"/>
  <c r="L2657" i="1"/>
  <c r="M2657" i="1"/>
  <c r="C2658" i="1"/>
  <c r="E2658" i="1"/>
  <c r="F2658" i="1"/>
  <c r="H2658" i="1"/>
  <c r="I2658" i="1"/>
  <c r="J2658" i="1"/>
  <c r="L2658" i="1"/>
  <c r="M2658" i="1"/>
  <c r="C2659" i="1"/>
  <c r="E2659" i="1"/>
  <c r="F2659" i="1"/>
  <c r="H2659" i="1"/>
  <c r="I2659" i="1"/>
  <c r="J2659" i="1"/>
  <c r="L2659" i="1"/>
  <c r="M2659" i="1"/>
  <c r="C2660" i="1"/>
  <c r="E2660" i="1"/>
  <c r="F2660" i="1"/>
  <c r="H2660" i="1"/>
  <c r="I2660" i="1"/>
  <c r="J2660" i="1"/>
  <c r="L2660" i="1"/>
  <c r="M2660" i="1"/>
  <c r="C2661" i="1"/>
  <c r="E2661" i="1"/>
  <c r="F2661" i="1"/>
  <c r="H2661" i="1"/>
  <c r="I2661" i="1"/>
  <c r="J2661" i="1"/>
  <c r="L2661" i="1"/>
  <c r="M2661" i="1"/>
  <c r="C2662" i="1"/>
  <c r="E2662" i="1"/>
  <c r="F2662" i="1"/>
  <c r="H2662" i="1"/>
  <c r="I2662" i="1"/>
  <c r="J2662" i="1"/>
  <c r="L2662" i="1"/>
  <c r="M2662" i="1"/>
  <c r="C2663" i="1"/>
  <c r="E2663" i="1"/>
  <c r="F2663" i="1"/>
  <c r="H2663" i="1"/>
  <c r="I2663" i="1"/>
  <c r="J2663" i="1"/>
  <c r="L2663" i="1"/>
  <c r="M2663" i="1"/>
  <c r="C2664" i="1"/>
  <c r="E2664" i="1"/>
  <c r="F2664" i="1"/>
  <c r="H2664" i="1"/>
  <c r="I2664" i="1"/>
  <c r="J2664" i="1"/>
  <c r="L2664" i="1"/>
  <c r="M2664" i="1"/>
  <c r="C2665" i="1"/>
  <c r="E2665" i="1"/>
  <c r="F2665" i="1"/>
  <c r="H2665" i="1"/>
  <c r="I2665" i="1"/>
  <c r="J2665" i="1"/>
  <c r="L2665" i="1"/>
  <c r="M2665" i="1"/>
  <c r="C2666" i="1"/>
  <c r="E2666" i="1"/>
  <c r="F2666" i="1"/>
  <c r="H2666" i="1"/>
  <c r="I2666" i="1"/>
  <c r="J2666" i="1"/>
  <c r="L2666" i="1"/>
  <c r="M2666" i="1"/>
  <c r="C2667" i="1"/>
  <c r="E2667" i="1"/>
  <c r="F2667" i="1"/>
  <c r="H2667" i="1"/>
  <c r="I2667" i="1"/>
  <c r="J2667" i="1"/>
  <c r="L2667" i="1"/>
  <c r="M2667" i="1"/>
  <c r="C2668" i="1"/>
  <c r="E2668" i="1"/>
  <c r="F2668" i="1"/>
  <c r="H2668" i="1"/>
  <c r="I2668" i="1"/>
  <c r="J2668" i="1"/>
  <c r="L2668" i="1"/>
  <c r="M2668" i="1"/>
  <c r="C2669" i="1"/>
  <c r="E2669" i="1"/>
  <c r="F2669" i="1"/>
  <c r="H2669" i="1"/>
  <c r="I2669" i="1"/>
  <c r="J2669" i="1"/>
  <c r="L2669" i="1"/>
  <c r="M2669" i="1"/>
  <c r="C2670" i="1"/>
  <c r="E2670" i="1"/>
  <c r="F2670" i="1"/>
  <c r="H2670" i="1"/>
  <c r="I2670" i="1"/>
  <c r="J2670" i="1"/>
  <c r="L2670" i="1"/>
  <c r="M2670" i="1"/>
  <c r="C2671" i="1"/>
  <c r="E2671" i="1"/>
  <c r="F2671" i="1"/>
  <c r="H2671" i="1"/>
  <c r="I2671" i="1"/>
  <c r="J2671" i="1"/>
  <c r="L2671" i="1"/>
  <c r="M2671" i="1"/>
  <c r="C2672" i="1"/>
  <c r="E2672" i="1"/>
  <c r="F2672" i="1"/>
  <c r="H2672" i="1"/>
  <c r="I2672" i="1"/>
  <c r="J2672" i="1"/>
  <c r="L2672" i="1"/>
  <c r="M2672" i="1"/>
  <c r="C2673" i="1"/>
  <c r="E2673" i="1"/>
  <c r="F2673" i="1"/>
  <c r="H2673" i="1"/>
  <c r="I2673" i="1"/>
  <c r="J2673" i="1"/>
  <c r="L2673" i="1"/>
  <c r="M2673" i="1"/>
  <c r="C2674" i="1"/>
  <c r="E2674" i="1"/>
  <c r="F2674" i="1"/>
  <c r="H2674" i="1"/>
  <c r="I2674" i="1"/>
  <c r="J2674" i="1"/>
  <c r="L2674" i="1"/>
  <c r="M2674" i="1"/>
  <c r="C2675" i="1"/>
  <c r="E2675" i="1"/>
  <c r="F2675" i="1"/>
  <c r="H2675" i="1"/>
  <c r="I2675" i="1"/>
  <c r="J2675" i="1"/>
  <c r="L2675" i="1"/>
  <c r="M2675" i="1"/>
  <c r="C2676" i="1"/>
  <c r="E2676" i="1"/>
  <c r="F2676" i="1"/>
  <c r="H2676" i="1"/>
  <c r="I2676" i="1"/>
  <c r="J2676" i="1"/>
  <c r="L2676" i="1"/>
  <c r="M2676" i="1"/>
  <c r="C2677" i="1"/>
  <c r="E2677" i="1"/>
  <c r="F2677" i="1"/>
  <c r="H2677" i="1"/>
  <c r="I2677" i="1"/>
  <c r="J2677" i="1"/>
  <c r="L2677" i="1"/>
  <c r="M2677" i="1"/>
  <c r="C2678" i="1"/>
  <c r="E2678" i="1"/>
  <c r="F2678" i="1"/>
  <c r="H2678" i="1"/>
  <c r="I2678" i="1"/>
  <c r="J2678" i="1"/>
  <c r="L2678" i="1"/>
  <c r="M2678" i="1"/>
  <c r="C2679" i="1"/>
  <c r="E2679" i="1"/>
  <c r="F2679" i="1"/>
  <c r="H2679" i="1"/>
  <c r="I2679" i="1"/>
  <c r="J2679" i="1"/>
  <c r="L2679" i="1"/>
  <c r="M2679" i="1"/>
  <c r="C2680" i="1"/>
  <c r="E2680" i="1"/>
  <c r="F2680" i="1"/>
  <c r="H2680" i="1"/>
  <c r="I2680" i="1"/>
  <c r="J2680" i="1"/>
  <c r="L2680" i="1"/>
  <c r="M2680" i="1"/>
  <c r="C2681" i="1"/>
  <c r="E2681" i="1"/>
  <c r="F2681" i="1"/>
  <c r="H2681" i="1"/>
  <c r="I2681" i="1"/>
  <c r="J2681" i="1"/>
  <c r="L2681" i="1"/>
  <c r="M2681" i="1"/>
  <c r="C2682" i="1"/>
  <c r="E2682" i="1"/>
  <c r="F2682" i="1"/>
  <c r="H2682" i="1"/>
  <c r="I2682" i="1"/>
  <c r="J2682" i="1"/>
  <c r="L2682" i="1"/>
  <c r="M2682" i="1"/>
  <c r="C2683" i="1"/>
  <c r="E2683" i="1"/>
  <c r="F2683" i="1"/>
  <c r="H2683" i="1"/>
  <c r="I2683" i="1"/>
  <c r="J2683" i="1"/>
  <c r="L2683" i="1"/>
  <c r="M2683" i="1"/>
  <c r="C2684" i="1"/>
  <c r="E2684" i="1"/>
  <c r="F2684" i="1"/>
  <c r="H2684" i="1"/>
  <c r="I2684" i="1"/>
  <c r="J2684" i="1"/>
  <c r="L2684" i="1"/>
  <c r="M2684" i="1"/>
  <c r="C2685" i="1"/>
  <c r="E2685" i="1"/>
  <c r="F2685" i="1"/>
  <c r="H2685" i="1"/>
  <c r="I2685" i="1"/>
  <c r="J2685" i="1"/>
  <c r="L2685" i="1"/>
  <c r="M2685" i="1"/>
  <c r="C2686" i="1"/>
  <c r="E2686" i="1"/>
  <c r="F2686" i="1"/>
  <c r="H2686" i="1"/>
  <c r="I2686" i="1"/>
  <c r="J2686" i="1"/>
  <c r="L2686" i="1"/>
  <c r="M2686" i="1"/>
  <c r="C2687" i="1"/>
  <c r="E2687" i="1"/>
  <c r="F2687" i="1"/>
  <c r="H2687" i="1"/>
  <c r="I2687" i="1"/>
  <c r="J2687" i="1"/>
  <c r="L2687" i="1"/>
  <c r="M2687" i="1"/>
  <c r="C2688" i="1"/>
  <c r="E2688" i="1"/>
  <c r="F2688" i="1"/>
  <c r="H2688" i="1"/>
  <c r="I2688" i="1"/>
  <c r="J2688" i="1"/>
  <c r="L2688" i="1"/>
  <c r="M2688" i="1"/>
  <c r="C2689" i="1"/>
  <c r="E2689" i="1"/>
  <c r="F2689" i="1"/>
  <c r="H2689" i="1"/>
  <c r="I2689" i="1"/>
  <c r="J2689" i="1"/>
  <c r="L2689" i="1"/>
  <c r="M2689" i="1"/>
  <c r="C2690" i="1"/>
  <c r="E2690" i="1"/>
  <c r="F2690" i="1"/>
  <c r="H2690" i="1"/>
  <c r="I2690" i="1"/>
  <c r="J2690" i="1"/>
  <c r="L2690" i="1"/>
  <c r="M2690" i="1"/>
  <c r="C2691" i="1"/>
  <c r="E2691" i="1"/>
  <c r="F2691" i="1"/>
  <c r="H2691" i="1"/>
  <c r="I2691" i="1"/>
  <c r="J2691" i="1"/>
  <c r="L2691" i="1"/>
  <c r="M2691" i="1"/>
  <c r="C2692" i="1"/>
  <c r="E2692" i="1"/>
  <c r="F2692" i="1"/>
  <c r="H2692" i="1"/>
  <c r="I2692" i="1"/>
  <c r="J2692" i="1"/>
  <c r="L2692" i="1"/>
  <c r="M2692" i="1"/>
  <c r="C2693" i="1"/>
  <c r="E2693" i="1"/>
  <c r="F2693" i="1"/>
  <c r="H2693" i="1"/>
  <c r="I2693" i="1"/>
  <c r="J2693" i="1"/>
  <c r="L2693" i="1"/>
  <c r="M2693" i="1"/>
  <c r="C2694" i="1"/>
  <c r="E2694" i="1"/>
  <c r="F2694" i="1"/>
  <c r="H2694" i="1"/>
  <c r="I2694" i="1"/>
  <c r="J2694" i="1"/>
  <c r="L2694" i="1"/>
  <c r="M2694" i="1"/>
  <c r="C2695" i="1"/>
  <c r="E2695" i="1"/>
  <c r="F2695" i="1"/>
  <c r="H2695" i="1"/>
  <c r="I2695" i="1"/>
  <c r="J2695" i="1"/>
  <c r="L2695" i="1"/>
  <c r="M2695" i="1"/>
  <c r="C2696" i="1"/>
  <c r="E2696" i="1"/>
  <c r="F2696" i="1"/>
  <c r="H2696" i="1"/>
  <c r="I2696" i="1"/>
  <c r="J2696" i="1"/>
  <c r="L2696" i="1"/>
  <c r="M2696" i="1"/>
  <c r="C2697" i="1"/>
  <c r="E2697" i="1"/>
  <c r="F2697" i="1"/>
  <c r="H2697" i="1"/>
  <c r="I2697" i="1"/>
  <c r="J2697" i="1"/>
  <c r="L2697" i="1"/>
  <c r="M2697" i="1"/>
  <c r="C2698" i="1"/>
  <c r="E2698" i="1"/>
  <c r="F2698" i="1"/>
  <c r="H2698" i="1"/>
  <c r="I2698" i="1"/>
  <c r="J2698" i="1"/>
  <c r="L2698" i="1"/>
  <c r="M2698" i="1"/>
  <c r="C2699" i="1"/>
  <c r="E2699" i="1"/>
  <c r="F2699" i="1"/>
  <c r="H2699" i="1"/>
  <c r="I2699" i="1"/>
  <c r="J2699" i="1"/>
  <c r="L2699" i="1"/>
  <c r="M2699" i="1"/>
  <c r="C2700" i="1"/>
  <c r="E2700" i="1"/>
  <c r="F2700" i="1"/>
  <c r="H2700" i="1"/>
  <c r="I2700" i="1"/>
  <c r="J2700" i="1"/>
  <c r="L2700" i="1"/>
  <c r="M2700" i="1"/>
  <c r="C2701" i="1"/>
  <c r="E2701" i="1"/>
  <c r="F2701" i="1"/>
  <c r="H2701" i="1"/>
  <c r="I2701" i="1"/>
  <c r="J2701" i="1"/>
  <c r="L2701" i="1"/>
  <c r="M2701" i="1"/>
  <c r="C2702" i="1"/>
  <c r="E2702" i="1"/>
  <c r="F2702" i="1"/>
  <c r="H2702" i="1"/>
  <c r="I2702" i="1"/>
  <c r="J2702" i="1"/>
  <c r="L2702" i="1"/>
  <c r="M2702" i="1"/>
  <c r="C2703" i="1"/>
  <c r="E2703" i="1"/>
  <c r="F2703" i="1"/>
  <c r="H2703" i="1"/>
  <c r="I2703" i="1"/>
  <c r="J2703" i="1"/>
  <c r="L2703" i="1"/>
  <c r="M2703" i="1"/>
  <c r="C2704" i="1"/>
  <c r="E2704" i="1"/>
  <c r="F2704" i="1"/>
  <c r="H2704" i="1"/>
  <c r="I2704" i="1"/>
  <c r="J2704" i="1"/>
  <c r="L2704" i="1"/>
  <c r="M2704" i="1"/>
  <c r="C2705" i="1"/>
  <c r="E2705" i="1"/>
  <c r="F2705" i="1"/>
  <c r="H2705" i="1"/>
  <c r="I2705" i="1"/>
  <c r="J2705" i="1"/>
  <c r="L2705" i="1"/>
  <c r="M2705" i="1"/>
  <c r="C2706" i="1"/>
  <c r="E2706" i="1"/>
  <c r="F2706" i="1"/>
  <c r="H2706" i="1"/>
  <c r="I2706" i="1"/>
  <c r="J2706" i="1"/>
  <c r="L2706" i="1"/>
  <c r="M2706" i="1"/>
  <c r="C2707" i="1"/>
  <c r="E2707" i="1"/>
  <c r="F2707" i="1"/>
  <c r="H2707" i="1"/>
  <c r="I2707" i="1"/>
  <c r="J2707" i="1"/>
  <c r="L2707" i="1"/>
  <c r="M2707" i="1"/>
  <c r="C2708" i="1"/>
  <c r="E2708" i="1"/>
  <c r="F2708" i="1"/>
  <c r="H2708" i="1"/>
  <c r="I2708" i="1"/>
  <c r="J2708" i="1"/>
  <c r="L2708" i="1"/>
  <c r="M2708" i="1"/>
  <c r="C2709" i="1"/>
  <c r="E2709" i="1"/>
  <c r="F2709" i="1"/>
  <c r="H2709" i="1"/>
  <c r="I2709" i="1"/>
  <c r="J2709" i="1"/>
  <c r="L2709" i="1"/>
  <c r="M2709" i="1"/>
  <c r="C2710" i="1"/>
  <c r="E2710" i="1"/>
  <c r="F2710" i="1"/>
  <c r="H2710" i="1"/>
  <c r="I2710" i="1"/>
  <c r="J2710" i="1"/>
  <c r="L2710" i="1"/>
  <c r="M2710" i="1"/>
  <c r="C2711" i="1"/>
  <c r="E2711" i="1"/>
  <c r="F2711" i="1"/>
  <c r="H2711" i="1"/>
  <c r="I2711" i="1"/>
  <c r="J2711" i="1"/>
  <c r="L2711" i="1"/>
  <c r="M2711" i="1"/>
  <c r="C2712" i="1"/>
  <c r="E2712" i="1"/>
  <c r="F2712" i="1"/>
  <c r="H2712" i="1"/>
  <c r="I2712" i="1"/>
  <c r="J2712" i="1"/>
  <c r="L2712" i="1"/>
  <c r="M2712" i="1"/>
  <c r="C2713" i="1"/>
  <c r="E2713" i="1"/>
  <c r="F2713" i="1"/>
  <c r="H2713" i="1"/>
  <c r="I2713" i="1"/>
  <c r="J2713" i="1"/>
  <c r="L2713" i="1"/>
  <c r="M2713" i="1"/>
  <c r="C2714" i="1"/>
  <c r="E2714" i="1"/>
  <c r="F2714" i="1"/>
  <c r="H2714" i="1"/>
  <c r="I2714" i="1"/>
  <c r="J2714" i="1"/>
  <c r="L2714" i="1"/>
  <c r="M2714" i="1"/>
  <c r="C2715" i="1"/>
  <c r="E2715" i="1"/>
  <c r="F2715" i="1"/>
  <c r="H2715" i="1"/>
  <c r="I2715" i="1"/>
  <c r="J2715" i="1"/>
  <c r="L2715" i="1"/>
  <c r="M2715" i="1"/>
  <c r="C2716" i="1"/>
  <c r="E2716" i="1"/>
  <c r="F2716" i="1"/>
  <c r="H2716" i="1"/>
  <c r="I2716" i="1"/>
  <c r="J2716" i="1"/>
  <c r="L2716" i="1"/>
  <c r="M2716" i="1"/>
  <c r="C2717" i="1"/>
  <c r="E2717" i="1"/>
  <c r="F2717" i="1"/>
  <c r="H2717" i="1"/>
  <c r="I2717" i="1"/>
  <c r="J2717" i="1"/>
  <c r="L2717" i="1"/>
  <c r="M2717" i="1"/>
  <c r="C2718" i="1"/>
  <c r="E2718" i="1"/>
  <c r="F2718" i="1"/>
  <c r="H2718" i="1"/>
  <c r="I2718" i="1"/>
  <c r="J2718" i="1"/>
  <c r="L2718" i="1"/>
  <c r="M2718" i="1"/>
  <c r="C2719" i="1"/>
  <c r="E2719" i="1"/>
  <c r="F2719" i="1"/>
  <c r="H2719" i="1"/>
  <c r="I2719" i="1"/>
  <c r="J2719" i="1"/>
  <c r="L2719" i="1"/>
  <c r="M2719" i="1"/>
  <c r="C2720" i="1"/>
  <c r="E2720" i="1"/>
  <c r="F2720" i="1"/>
  <c r="H2720" i="1"/>
  <c r="I2720" i="1"/>
  <c r="J2720" i="1"/>
  <c r="L2720" i="1"/>
  <c r="M2720" i="1"/>
  <c r="C2721" i="1"/>
  <c r="E2721" i="1"/>
  <c r="F2721" i="1"/>
  <c r="H2721" i="1"/>
  <c r="I2721" i="1"/>
  <c r="J2721" i="1"/>
  <c r="L2721" i="1"/>
  <c r="M2721" i="1"/>
  <c r="C2722" i="1"/>
  <c r="E2722" i="1"/>
  <c r="F2722" i="1"/>
  <c r="H2722" i="1"/>
  <c r="I2722" i="1"/>
  <c r="J2722" i="1"/>
  <c r="L2722" i="1"/>
  <c r="M2722" i="1"/>
  <c r="C2723" i="1"/>
  <c r="E2723" i="1"/>
  <c r="F2723" i="1"/>
  <c r="H2723" i="1"/>
  <c r="I2723" i="1"/>
  <c r="J2723" i="1"/>
  <c r="L2723" i="1"/>
  <c r="M2723" i="1"/>
  <c r="C2724" i="1"/>
  <c r="E2724" i="1"/>
  <c r="F2724" i="1"/>
  <c r="H2724" i="1"/>
  <c r="I2724" i="1"/>
  <c r="J2724" i="1"/>
  <c r="L2724" i="1"/>
  <c r="M2724" i="1"/>
  <c r="C2725" i="1"/>
  <c r="E2725" i="1"/>
  <c r="F2725" i="1"/>
  <c r="H2725" i="1"/>
  <c r="I2725" i="1"/>
  <c r="J2725" i="1"/>
  <c r="L2725" i="1"/>
  <c r="M2725" i="1"/>
  <c r="C2726" i="1"/>
  <c r="E2726" i="1"/>
  <c r="F2726" i="1"/>
  <c r="H2726" i="1"/>
  <c r="I2726" i="1"/>
  <c r="J2726" i="1"/>
  <c r="L2726" i="1"/>
  <c r="M2726" i="1"/>
  <c r="C2727" i="1"/>
  <c r="E2727" i="1"/>
  <c r="F2727" i="1"/>
  <c r="H2727" i="1"/>
  <c r="I2727" i="1"/>
  <c r="J2727" i="1"/>
  <c r="L2727" i="1"/>
  <c r="M2727" i="1"/>
  <c r="C2728" i="1"/>
  <c r="E2728" i="1"/>
  <c r="F2728" i="1"/>
  <c r="H2728" i="1"/>
  <c r="I2728" i="1"/>
  <c r="J2728" i="1"/>
  <c r="L2728" i="1"/>
  <c r="M2728" i="1"/>
  <c r="C2729" i="1"/>
  <c r="E2729" i="1"/>
  <c r="F2729" i="1"/>
  <c r="H2729" i="1"/>
  <c r="I2729" i="1"/>
  <c r="J2729" i="1"/>
  <c r="L2729" i="1"/>
  <c r="M2729" i="1"/>
  <c r="C2730" i="1"/>
  <c r="E2730" i="1"/>
  <c r="F2730" i="1"/>
  <c r="H2730" i="1"/>
  <c r="I2730" i="1"/>
  <c r="J2730" i="1"/>
  <c r="L2730" i="1"/>
  <c r="M2730" i="1"/>
  <c r="C2731" i="1"/>
  <c r="E2731" i="1"/>
  <c r="F2731" i="1"/>
  <c r="H2731" i="1"/>
  <c r="I2731" i="1"/>
  <c r="J2731" i="1"/>
  <c r="L2731" i="1"/>
  <c r="M2731" i="1"/>
  <c r="C2732" i="1"/>
  <c r="E2732" i="1"/>
  <c r="F2732" i="1"/>
  <c r="H2732" i="1"/>
  <c r="I2732" i="1"/>
  <c r="J2732" i="1"/>
  <c r="L2732" i="1"/>
  <c r="M2732" i="1"/>
  <c r="C2733" i="1"/>
  <c r="E2733" i="1"/>
  <c r="F2733" i="1"/>
  <c r="H2733" i="1"/>
  <c r="I2733" i="1"/>
  <c r="J2733" i="1"/>
  <c r="L2733" i="1"/>
  <c r="M2733" i="1"/>
  <c r="C2734" i="1"/>
  <c r="E2734" i="1"/>
  <c r="F2734" i="1"/>
  <c r="H2734" i="1"/>
  <c r="I2734" i="1"/>
  <c r="J2734" i="1"/>
  <c r="L2734" i="1"/>
  <c r="M2734" i="1"/>
  <c r="C2735" i="1"/>
  <c r="E2735" i="1"/>
  <c r="F2735" i="1"/>
  <c r="H2735" i="1"/>
  <c r="I2735" i="1"/>
  <c r="J2735" i="1"/>
  <c r="L2735" i="1"/>
  <c r="M2735" i="1"/>
  <c r="C2736" i="1"/>
  <c r="E2736" i="1"/>
  <c r="F2736" i="1"/>
  <c r="H2736" i="1"/>
  <c r="I2736" i="1"/>
  <c r="J2736" i="1"/>
  <c r="L2736" i="1"/>
  <c r="M2736" i="1"/>
  <c r="C2737" i="1"/>
  <c r="E2737" i="1"/>
  <c r="F2737" i="1"/>
  <c r="H2737" i="1"/>
  <c r="I2737" i="1"/>
  <c r="J2737" i="1"/>
  <c r="L2737" i="1"/>
  <c r="M2737" i="1"/>
  <c r="C2738" i="1"/>
  <c r="E2738" i="1"/>
  <c r="F2738" i="1"/>
  <c r="H2738" i="1"/>
  <c r="I2738" i="1"/>
  <c r="J2738" i="1"/>
  <c r="L2738" i="1"/>
  <c r="M2738" i="1"/>
  <c r="C2739" i="1"/>
  <c r="E2739" i="1"/>
  <c r="F2739" i="1"/>
  <c r="H2739" i="1"/>
  <c r="I2739" i="1"/>
  <c r="J2739" i="1"/>
  <c r="L2739" i="1"/>
  <c r="M2739" i="1"/>
  <c r="C2740" i="1"/>
  <c r="E2740" i="1"/>
  <c r="F2740" i="1"/>
  <c r="H2740" i="1"/>
  <c r="I2740" i="1"/>
  <c r="J2740" i="1"/>
  <c r="L2740" i="1"/>
  <c r="M2740" i="1"/>
  <c r="C2741" i="1"/>
  <c r="E2741" i="1"/>
  <c r="F2741" i="1"/>
  <c r="H2741" i="1"/>
  <c r="I2741" i="1"/>
  <c r="J2741" i="1"/>
  <c r="L2741" i="1"/>
  <c r="M2741" i="1"/>
  <c r="C2742" i="1"/>
  <c r="E2742" i="1"/>
  <c r="F2742" i="1"/>
  <c r="H2742" i="1"/>
  <c r="I2742" i="1"/>
  <c r="J2742" i="1"/>
  <c r="L2742" i="1"/>
  <c r="M2742" i="1"/>
  <c r="C2743" i="1"/>
  <c r="E2743" i="1"/>
  <c r="F2743" i="1"/>
  <c r="H2743" i="1"/>
  <c r="I2743" i="1"/>
  <c r="J2743" i="1"/>
  <c r="L2743" i="1"/>
  <c r="M2743" i="1"/>
  <c r="C2744" i="1"/>
  <c r="E2744" i="1"/>
  <c r="F2744" i="1"/>
  <c r="H2744" i="1"/>
  <c r="I2744" i="1"/>
  <c r="J2744" i="1"/>
  <c r="L2744" i="1"/>
  <c r="M2744" i="1"/>
  <c r="C2745" i="1"/>
  <c r="E2745" i="1"/>
  <c r="F2745" i="1"/>
  <c r="H2745" i="1"/>
  <c r="I2745" i="1"/>
  <c r="J2745" i="1"/>
  <c r="L2745" i="1"/>
  <c r="M2745" i="1"/>
  <c r="C2746" i="1"/>
  <c r="E2746" i="1"/>
  <c r="F2746" i="1"/>
  <c r="H2746" i="1"/>
  <c r="I2746" i="1"/>
  <c r="J2746" i="1"/>
  <c r="L2746" i="1"/>
  <c r="M2746" i="1"/>
  <c r="C2747" i="1"/>
  <c r="E2747" i="1"/>
  <c r="F2747" i="1"/>
  <c r="H2747" i="1"/>
  <c r="I2747" i="1"/>
  <c r="J2747" i="1"/>
  <c r="L2747" i="1"/>
  <c r="M2747" i="1"/>
  <c r="C2748" i="1"/>
  <c r="E2748" i="1"/>
  <c r="F2748" i="1"/>
  <c r="H2748" i="1"/>
  <c r="I2748" i="1"/>
  <c r="J2748" i="1"/>
  <c r="L2748" i="1"/>
  <c r="M2748" i="1"/>
  <c r="C2749" i="1"/>
  <c r="E2749" i="1"/>
  <c r="F2749" i="1"/>
  <c r="H2749" i="1"/>
  <c r="I2749" i="1"/>
  <c r="J2749" i="1"/>
  <c r="L2749" i="1"/>
  <c r="M2749" i="1"/>
  <c r="C2750" i="1"/>
  <c r="E2750" i="1"/>
  <c r="F2750" i="1"/>
  <c r="H2750" i="1"/>
  <c r="I2750" i="1"/>
  <c r="J2750" i="1"/>
  <c r="L2750" i="1"/>
  <c r="M2750" i="1"/>
  <c r="C2751" i="1"/>
  <c r="E2751" i="1"/>
  <c r="F2751" i="1"/>
  <c r="H2751" i="1"/>
  <c r="I2751" i="1"/>
  <c r="J2751" i="1"/>
  <c r="L2751" i="1"/>
  <c r="M2751" i="1"/>
  <c r="C2752" i="1"/>
  <c r="E2752" i="1"/>
  <c r="F2752" i="1"/>
  <c r="H2752" i="1"/>
  <c r="I2752" i="1"/>
  <c r="J2752" i="1"/>
  <c r="L2752" i="1"/>
  <c r="M2752" i="1"/>
  <c r="C2753" i="1"/>
  <c r="E2753" i="1"/>
  <c r="F2753" i="1"/>
  <c r="H2753" i="1"/>
  <c r="I2753" i="1"/>
  <c r="J2753" i="1"/>
  <c r="L2753" i="1"/>
  <c r="M2753" i="1"/>
  <c r="C2754" i="1"/>
  <c r="E2754" i="1"/>
  <c r="F2754" i="1"/>
  <c r="H2754" i="1"/>
  <c r="I2754" i="1"/>
  <c r="J2754" i="1"/>
  <c r="L2754" i="1"/>
  <c r="M2754" i="1"/>
  <c r="C2755" i="1"/>
  <c r="E2755" i="1"/>
  <c r="F2755" i="1"/>
  <c r="H2755" i="1"/>
  <c r="I2755" i="1"/>
  <c r="J2755" i="1"/>
  <c r="L2755" i="1"/>
  <c r="M2755" i="1"/>
  <c r="C2756" i="1"/>
  <c r="E2756" i="1"/>
  <c r="F2756" i="1"/>
  <c r="H2756" i="1"/>
  <c r="I2756" i="1"/>
  <c r="J2756" i="1"/>
  <c r="L2756" i="1"/>
  <c r="M2756" i="1"/>
  <c r="C2757" i="1"/>
  <c r="E2757" i="1"/>
  <c r="F2757" i="1"/>
  <c r="H2757" i="1"/>
  <c r="I2757" i="1"/>
  <c r="J2757" i="1"/>
  <c r="L2757" i="1"/>
  <c r="M2757" i="1"/>
  <c r="C2758" i="1"/>
  <c r="E2758" i="1"/>
  <c r="F2758" i="1"/>
  <c r="H2758" i="1"/>
  <c r="I2758" i="1"/>
  <c r="J2758" i="1"/>
  <c r="L2758" i="1"/>
  <c r="M2758" i="1"/>
  <c r="C2759" i="1"/>
  <c r="E2759" i="1"/>
  <c r="F2759" i="1"/>
  <c r="H2759" i="1"/>
  <c r="I2759" i="1"/>
  <c r="J2759" i="1"/>
  <c r="L2759" i="1"/>
  <c r="M2759" i="1"/>
  <c r="C2760" i="1"/>
  <c r="E2760" i="1"/>
  <c r="F2760" i="1"/>
  <c r="H2760" i="1"/>
  <c r="I2760" i="1"/>
  <c r="J2760" i="1"/>
  <c r="L2760" i="1"/>
  <c r="M2760" i="1"/>
  <c r="C2761" i="1"/>
  <c r="E2761" i="1"/>
  <c r="F2761" i="1"/>
  <c r="H2761" i="1"/>
  <c r="I2761" i="1"/>
  <c r="J2761" i="1"/>
  <c r="L2761" i="1"/>
  <c r="M2761" i="1"/>
  <c r="C2762" i="1"/>
  <c r="E2762" i="1"/>
  <c r="F2762" i="1"/>
  <c r="H2762" i="1"/>
  <c r="I2762" i="1"/>
  <c r="J2762" i="1"/>
  <c r="L2762" i="1"/>
  <c r="M2762" i="1"/>
  <c r="C2763" i="1"/>
  <c r="E2763" i="1"/>
  <c r="F2763" i="1"/>
  <c r="H2763" i="1"/>
  <c r="I2763" i="1"/>
  <c r="J2763" i="1"/>
  <c r="L2763" i="1"/>
  <c r="M2763" i="1"/>
  <c r="C2764" i="1"/>
  <c r="E2764" i="1"/>
  <c r="F2764" i="1"/>
  <c r="H2764" i="1"/>
  <c r="I2764" i="1"/>
  <c r="J2764" i="1"/>
  <c r="L2764" i="1"/>
  <c r="M2764" i="1"/>
  <c r="C2765" i="1"/>
  <c r="E2765" i="1"/>
  <c r="F2765" i="1"/>
  <c r="H2765" i="1"/>
  <c r="I2765" i="1"/>
  <c r="J2765" i="1"/>
  <c r="L2765" i="1"/>
  <c r="M2765" i="1"/>
  <c r="C2766" i="1"/>
  <c r="E2766" i="1"/>
  <c r="F2766" i="1"/>
  <c r="H2766" i="1"/>
  <c r="I2766" i="1"/>
  <c r="J2766" i="1"/>
  <c r="L2766" i="1"/>
  <c r="M2766" i="1"/>
  <c r="C2767" i="1"/>
  <c r="E2767" i="1"/>
  <c r="F2767" i="1"/>
  <c r="H2767" i="1"/>
  <c r="I2767" i="1"/>
  <c r="J2767" i="1"/>
  <c r="L2767" i="1"/>
  <c r="M2767" i="1"/>
  <c r="C2768" i="1"/>
  <c r="E2768" i="1"/>
  <c r="F2768" i="1"/>
  <c r="H2768" i="1"/>
  <c r="I2768" i="1"/>
  <c r="J2768" i="1"/>
  <c r="L2768" i="1"/>
  <c r="M2768" i="1"/>
  <c r="C2769" i="1"/>
  <c r="E2769" i="1"/>
  <c r="F2769" i="1"/>
  <c r="H2769" i="1"/>
  <c r="I2769" i="1"/>
  <c r="J2769" i="1"/>
  <c r="L2769" i="1"/>
  <c r="M2769" i="1"/>
  <c r="C2770" i="1"/>
  <c r="E2770" i="1"/>
  <c r="F2770" i="1"/>
  <c r="H2770" i="1"/>
  <c r="I2770" i="1"/>
  <c r="J2770" i="1"/>
  <c r="L2770" i="1"/>
  <c r="M2770" i="1"/>
  <c r="C2771" i="1"/>
  <c r="E2771" i="1"/>
  <c r="F2771" i="1"/>
  <c r="H2771" i="1"/>
  <c r="I2771" i="1"/>
  <c r="J2771" i="1"/>
  <c r="L2771" i="1"/>
  <c r="M2771" i="1"/>
  <c r="C2772" i="1"/>
  <c r="E2772" i="1"/>
  <c r="F2772" i="1"/>
  <c r="H2772" i="1"/>
  <c r="I2772" i="1"/>
  <c r="J2772" i="1"/>
  <c r="L2772" i="1"/>
  <c r="M2772" i="1"/>
  <c r="C2773" i="1"/>
  <c r="E2773" i="1"/>
  <c r="F2773" i="1"/>
  <c r="H2773" i="1"/>
  <c r="I2773" i="1"/>
  <c r="J2773" i="1"/>
  <c r="L2773" i="1"/>
  <c r="M2773" i="1"/>
  <c r="C2774" i="1"/>
  <c r="E2774" i="1"/>
  <c r="F2774" i="1"/>
  <c r="H2774" i="1"/>
  <c r="I2774" i="1"/>
  <c r="J2774" i="1"/>
  <c r="L2774" i="1"/>
  <c r="M2774" i="1"/>
  <c r="C2775" i="1"/>
  <c r="E2775" i="1"/>
  <c r="F2775" i="1"/>
  <c r="H2775" i="1"/>
  <c r="I2775" i="1"/>
  <c r="J2775" i="1"/>
  <c r="L2775" i="1"/>
  <c r="M2775" i="1"/>
  <c r="C2776" i="1"/>
  <c r="E2776" i="1"/>
  <c r="F2776" i="1"/>
  <c r="H2776" i="1"/>
  <c r="I2776" i="1"/>
  <c r="J2776" i="1"/>
  <c r="L2776" i="1"/>
  <c r="M2776" i="1"/>
  <c r="C2777" i="1"/>
  <c r="E2777" i="1"/>
  <c r="F2777" i="1"/>
  <c r="H2777" i="1"/>
  <c r="I2777" i="1"/>
  <c r="J2777" i="1"/>
  <c r="L2777" i="1"/>
  <c r="M2777" i="1"/>
  <c r="C2778" i="1"/>
  <c r="E2778" i="1"/>
  <c r="F2778" i="1"/>
  <c r="H2778" i="1"/>
  <c r="I2778" i="1"/>
  <c r="J2778" i="1"/>
  <c r="L2778" i="1"/>
  <c r="M2778" i="1"/>
  <c r="C2779" i="1"/>
  <c r="E2779" i="1"/>
  <c r="F2779" i="1"/>
  <c r="H2779" i="1"/>
  <c r="I2779" i="1"/>
  <c r="J2779" i="1"/>
  <c r="L2779" i="1"/>
  <c r="M2779" i="1"/>
  <c r="C2780" i="1"/>
  <c r="E2780" i="1"/>
  <c r="F2780" i="1"/>
  <c r="H2780" i="1"/>
  <c r="I2780" i="1"/>
  <c r="J2780" i="1"/>
  <c r="L2780" i="1"/>
  <c r="M2780" i="1"/>
  <c r="C2781" i="1"/>
  <c r="E2781" i="1"/>
  <c r="F2781" i="1"/>
  <c r="H2781" i="1"/>
  <c r="I2781" i="1"/>
  <c r="J2781" i="1"/>
  <c r="L2781" i="1"/>
  <c r="M2781" i="1"/>
  <c r="C2782" i="1"/>
  <c r="E2782" i="1"/>
  <c r="F2782" i="1"/>
  <c r="H2782" i="1"/>
  <c r="I2782" i="1"/>
  <c r="J2782" i="1"/>
  <c r="L2782" i="1"/>
  <c r="M2782" i="1"/>
  <c r="C2783" i="1"/>
  <c r="E2783" i="1"/>
  <c r="F2783" i="1"/>
  <c r="H2783" i="1"/>
  <c r="I2783" i="1"/>
  <c r="J2783" i="1"/>
  <c r="L2783" i="1"/>
  <c r="M2783" i="1"/>
  <c r="C2784" i="1"/>
  <c r="E2784" i="1"/>
  <c r="F2784" i="1"/>
  <c r="H2784" i="1"/>
  <c r="I2784" i="1"/>
  <c r="J2784" i="1"/>
  <c r="L2784" i="1"/>
  <c r="M2784" i="1"/>
  <c r="C2785" i="1"/>
  <c r="E2785" i="1"/>
  <c r="F2785" i="1"/>
  <c r="H2785" i="1"/>
  <c r="I2785" i="1"/>
  <c r="J2785" i="1"/>
  <c r="L2785" i="1"/>
  <c r="M2785" i="1"/>
  <c r="C2786" i="1"/>
  <c r="E2786" i="1"/>
  <c r="F2786" i="1"/>
  <c r="H2786" i="1"/>
  <c r="I2786" i="1"/>
  <c r="J2786" i="1"/>
  <c r="L2786" i="1"/>
  <c r="M2786" i="1"/>
  <c r="C2787" i="1"/>
  <c r="E2787" i="1"/>
  <c r="F2787" i="1"/>
  <c r="H2787" i="1"/>
  <c r="I2787" i="1"/>
  <c r="J2787" i="1"/>
  <c r="L2787" i="1"/>
  <c r="M2787" i="1"/>
  <c r="C2788" i="1"/>
  <c r="E2788" i="1"/>
  <c r="F2788" i="1"/>
  <c r="H2788" i="1"/>
  <c r="I2788" i="1"/>
  <c r="J2788" i="1"/>
  <c r="L2788" i="1"/>
  <c r="M2788" i="1"/>
  <c r="C2789" i="1"/>
  <c r="E2789" i="1"/>
  <c r="F2789" i="1"/>
  <c r="H2789" i="1"/>
  <c r="I2789" i="1"/>
  <c r="J2789" i="1"/>
  <c r="L2789" i="1"/>
  <c r="M2789" i="1"/>
  <c r="C2790" i="1"/>
  <c r="E2790" i="1"/>
  <c r="F2790" i="1"/>
  <c r="H2790" i="1"/>
  <c r="I2790" i="1"/>
  <c r="J2790" i="1"/>
  <c r="L2790" i="1"/>
  <c r="M2790" i="1"/>
  <c r="C2791" i="1"/>
  <c r="E2791" i="1"/>
  <c r="F2791" i="1"/>
  <c r="H2791" i="1"/>
  <c r="I2791" i="1"/>
  <c r="J2791" i="1"/>
  <c r="L2791" i="1"/>
  <c r="M2791" i="1"/>
  <c r="C2792" i="1"/>
  <c r="E2792" i="1"/>
  <c r="F2792" i="1"/>
  <c r="H2792" i="1"/>
  <c r="I2792" i="1"/>
  <c r="J2792" i="1"/>
  <c r="L2792" i="1"/>
  <c r="M2792" i="1"/>
  <c r="C2793" i="1"/>
  <c r="E2793" i="1"/>
  <c r="F2793" i="1"/>
  <c r="H2793" i="1"/>
  <c r="I2793" i="1"/>
  <c r="J2793" i="1"/>
  <c r="L2793" i="1"/>
  <c r="M2793" i="1"/>
  <c r="C2794" i="1"/>
  <c r="E2794" i="1"/>
  <c r="F2794" i="1"/>
  <c r="H2794" i="1"/>
  <c r="I2794" i="1"/>
  <c r="J2794" i="1"/>
  <c r="L2794" i="1"/>
  <c r="M2794" i="1"/>
  <c r="C2795" i="1"/>
  <c r="E2795" i="1"/>
  <c r="F2795" i="1"/>
  <c r="H2795" i="1"/>
  <c r="I2795" i="1"/>
  <c r="J2795" i="1"/>
  <c r="L2795" i="1"/>
  <c r="M2795" i="1"/>
  <c r="C2796" i="1"/>
  <c r="E2796" i="1"/>
  <c r="F2796" i="1"/>
  <c r="H2796" i="1"/>
  <c r="I2796" i="1"/>
  <c r="J2796" i="1"/>
  <c r="L2796" i="1"/>
  <c r="M2796" i="1"/>
  <c r="C2797" i="1"/>
  <c r="E2797" i="1"/>
  <c r="F2797" i="1"/>
  <c r="H2797" i="1"/>
  <c r="I2797" i="1"/>
  <c r="J2797" i="1"/>
  <c r="L2797" i="1"/>
  <c r="M2797" i="1"/>
  <c r="C2798" i="1"/>
  <c r="E2798" i="1"/>
  <c r="F2798" i="1"/>
  <c r="H2798" i="1"/>
  <c r="I2798" i="1"/>
  <c r="J2798" i="1"/>
  <c r="L2798" i="1"/>
  <c r="M2798" i="1"/>
  <c r="C2799" i="1"/>
  <c r="E2799" i="1"/>
  <c r="F2799" i="1"/>
  <c r="H2799" i="1"/>
  <c r="I2799" i="1"/>
  <c r="J2799" i="1"/>
  <c r="L2799" i="1"/>
  <c r="M2799" i="1"/>
  <c r="C2800" i="1"/>
  <c r="E2800" i="1"/>
  <c r="F2800" i="1"/>
  <c r="H2800" i="1"/>
  <c r="I2800" i="1"/>
  <c r="J2800" i="1"/>
  <c r="L2800" i="1"/>
  <c r="M2800" i="1"/>
  <c r="C2801" i="1"/>
  <c r="E2801" i="1"/>
  <c r="F2801" i="1"/>
  <c r="H2801" i="1"/>
  <c r="I2801" i="1"/>
  <c r="J2801" i="1"/>
  <c r="L2801" i="1"/>
  <c r="M2801" i="1"/>
  <c r="C2802" i="1"/>
  <c r="E2802" i="1"/>
  <c r="F2802" i="1"/>
  <c r="H2802" i="1"/>
  <c r="I2802" i="1"/>
  <c r="J2802" i="1"/>
  <c r="L2802" i="1"/>
  <c r="M2802" i="1"/>
  <c r="C2803" i="1"/>
  <c r="E2803" i="1"/>
  <c r="F2803" i="1"/>
  <c r="H2803" i="1"/>
  <c r="I2803" i="1"/>
  <c r="J2803" i="1"/>
  <c r="L2803" i="1"/>
  <c r="M2803" i="1"/>
  <c r="C2804" i="1"/>
  <c r="E2804" i="1"/>
  <c r="F2804" i="1"/>
  <c r="H2804" i="1"/>
  <c r="I2804" i="1"/>
  <c r="J2804" i="1"/>
  <c r="L2804" i="1"/>
  <c r="M2804" i="1"/>
  <c r="C2805" i="1"/>
  <c r="E2805" i="1"/>
  <c r="F2805" i="1"/>
  <c r="H2805" i="1"/>
  <c r="I2805" i="1"/>
  <c r="J2805" i="1"/>
  <c r="L2805" i="1"/>
  <c r="M2805" i="1"/>
  <c r="C2806" i="1"/>
  <c r="E2806" i="1"/>
  <c r="F2806" i="1"/>
  <c r="H2806" i="1"/>
  <c r="I2806" i="1"/>
  <c r="J2806" i="1"/>
  <c r="L2806" i="1"/>
  <c r="M2806" i="1"/>
  <c r="C2807" i="1"/>
  <c r="E2807" i="1"/>
  <c r="F2807" i="1"/>
  <c r="H2807" i="1"/>
  <c r="I2807" i="1"/>
  <c r="J2807" i="1"/>
  <c r="L2807" i="1"/>
  <c r="M2807" i="1"/>
  <c r="C2808" i="1"/>
  <c r="E2808" i="1"/>
  <c r="F2808" i="1"/>
  <c r="H2808" i="1"/>
  <c r="I2808" i="1"/>
  <c r="J2808" i="1"/>
  <c r="L2808" i="1"/>
  <c r="M2808" i="1"/>
  <c r="C2809" i="1"/>
  <c r="E2809" i="1"/>
  <c r="F2809" i="1"/>
  <c r="H2809" i="1"/>
  <c r="I2809" i="1"/>
  <c r="J2809" i="1"/>
  <c r="L2809" i="1"/>
  <c r="M2809" i="1"/>
  <c r="C2810" i="1"/>
  <c r="E2810" i="1"/>
  <c r="F2810" i="1"/>
  <c r="H2810" i="1"/>
  <c r="I2810" i="1"/>
  <c r="J2810" i="1"/>
  <c r="L2810" i="1"/>
  <c r="M2810" i="1"/>
  <c r="C2811" i="1"/>
  <c r="E2811" i="1"/>
  <c r="F2811" i="1"/>
  <c r="H2811" i="1"/>
  <c r="I2811" i="1"/>
  <c r="J2811" i="1"/>
  <c r="L2811" i="1"/>
  <c r="M2811" i="1"/>
  <c r="C2812" i="1"/>
  <c r="E2812" i="1"/>
  <c r="F2812" i="1"/>
  <c r="H2812" i="1"/>
  <c r="I2812" i="1"/>
  <c r="J2812" i="1"/>
  <c r="L2812" i="1"/>
  <c r="M2812" i="1"/>
  <c r="C2813" i="1"/>
  <c r="E2813" i="1"/>
  <c r="F2813" i="1"/>
  <c r="H2813" i="1"/>
  <c r="I2813" i="1"/>
  <c r="J2813" i="1"/>
  <c r="L2813" i="1"/>
  <c r="M2813" i="1"/>
  <c r="C2814" i="1"/>
  <c r="E2814" i="1"/>
  <c r="F2814" i="1"/>
  <c r="H2814" i="1"/>
  <c r="I2814" i="1"/>
  <c r="J2814" i="1"/>
  <c r="L2814" i="1"/>
  <c r="M2814" i="1"/>
  <c r="C2815" i="1"/>
  <c r="E2815" i="1"/>
  <c r="F2815" i="1"/>
  <c r="H2815" i="1"/>
  <c r="I2815" i="1"/>
  <c r="J2815" i="1"/>
  <c r="L2815" i="1"/>
  <c r="M2815" i="1"/>
  <c r="C2816" i="1"/>
  <c r="E2816" i="1"/>
  <c r="F2816" i="1"/>
  <c r="H2816" i="1"/>
  <c r="I2816" i="1"/>
  <c r="J2816" i="1"/>
  <c r="L2816" i="1"/>
  <c r="M2816" i="1"/>
  <c r="C2817" i="1"/>
  <c r="E2817" i="1"/>
  <c r="F2817" i="1"/>
  <c r="H2817" i="1"/>
  <c r="I2817" i="1"/>
  <c r="J2817" i="1"/>
  <c r="L2817" i="1"/>
  <c r="M2817" i="1"/>
  <c r="C2818" i="1"/>
  <c r="E2818" i="1"/>
  <c r="F2818" i="1"/>
  <c r="H2818" i="1"/>
  <c r="I2818" i="1"/>
  <c r="J2818" i="1"/>
  <c r="L2818" i="1"/>
  <c r="M2818" i="1"/>
  <c r="C2819" i="1"/>
  <c r="E2819" i="1"/>
  <c r="F2819" i="1"/>
  <c r="H2819" i="1"/>
  <c r="I2819" i="1"/>
  <c r="J2819" i="1"/>
  <c r="L2819" i="1"/>
  <c r="M2819" i="1"/>
  <c r="C2820" i="1"/>
  <c r="E2820" i="1"/>
  <c r="F2820" i="1"/>
  <c r="H2820" i="1"/>
  <c r="I2820" i="1"/>
  <c r="J2820" i="1"/>
  <c r="L2820" i="1"/>
  <c r="M2820" i="1"/>
  <c r="C2821" i="1"/>
  <c r="E2821" i="1"/>
  <c r="F2821" i="1"/>
  <c r="H2821" i="1"/>
  <c r="I2821" i="1"/>
  <c r="J2821" i="1"/>
  <c r="L2821" i="1"/>
  <c r="M2821" i="1"/>
  <c r="C2822" i="1"/>
  <c r="E2822" i="1"/>
  <c r="F2822" i="1"/>
  <c r="H2822" i="1"/>
  <c r="I2822" i="1"/>
  <c r="J2822" i="1"/>
  <c r="L2822" i="1"/>
  <c r="M2822" i="1"/>
  <c r="C2823" i="1"/>
  <c r="E2823" i="1"/>
  <c r="F2823" i="1"/>
  <c r="H2823" i="1"/>
  <c r="I2823" i="1"/>
  <c r="J2823" i="1"/>
  <c r="L2823" i="1"/>
  <c r="M2823" i="1"/>
  <c r="C2824" i="1"/>
  <c r="E2824" i="1"/>
  <c r="F2824" i="1"/>
  <c r="H2824" i="1"/>
  <c r="I2824" i="1"/>
  <c r="J2824" i="1"/>
  <c r="L2824" i="1"/>
  <c r="M2824" i="1"/>
  <c r="C2825" i="1"/>
  <c r="E2825" i="1"/>
  <c r="F2825" i="1"/>
  <c r="H2825" i="1"/>
  <c r="I2825" i="1"/>
  <c r="J2825" i="1"/>
  <c r="L2825" i="1"/>
  <c r="M2825" i="1"/>
  <c r="C2826" i="1"/>
  <c r="E2826" i="1"/>
  <c r="F2826" i="1"/>
  <c r="H2826" i="1"/>
  <c r="I2826" i="1"/>
  <c r="J2826" i="1"/>
  <c r="L2826" i="1"/>
  <c r="M2826" i="1"/>
  <c r="C2827" i="1"/>
  <c r="E2827" i="1"/>
  <c r="F2827" i="1"/>
  <c r="H2827" i="1"/>
  <c r="I2827" i="1"/>
  <c r="J2827" i="1"/>
  <c r="L2827" i="1"/>
  <c r="M2827" i="1"/>
  <c r="C2828" i="1"/>
  <c r="E2828" i="1"/>
  <c r="F2828" i="1"/>
  <c r="H2828" i="1"/>
  <c r="I2828" i="1"/>
  <c r="J2828" i="1"/>
  <c r="L2828" i="1"/>
  <c r="M2828" i="1"/>
  <c r="C2829" i="1"/>
  <c r="E2829" i="1"/>
  <c r="F2829" i="1"/>
  <c r="H2829" i="1"/>
  <c r="I2829" i="1"/>
  <c r="J2829" i="1"/>
  <c r="L2829" i="1"/>
  <c r="M2829" i="1"/>
  <c r="C2830" i="1"/>
  <c r="E2830" i="1"/>
  <c r="F2830" i="1"/>
  <c r="H2830" i="1"/>
  <c r="I2830" i="1"/>
  <c r="J2830" i="1"/>
  <c r="L2830" i="1"/>
  <c r="M2830" i="1"/>
  <c r="C2831" i="1"/>
  <c r="E2831" i="1"/>
  <c r="F2831" i="1"/>
  <c r="H2831" i="1"/>
  <c r="I2831" i="1"/>
  <c r="J2831" i="1"/>
  <c r="L2831" i="1"/>
  <c r="M2831" i="1"/>
  <c r="C2832" i="1"/>
  <c r="E2832" i="1"/>
  <c r="F2832" i="1"/>
  <c r="H2832" i="1"/>
  <c r="I2832" i="1"/>
  <c r="J2832" i="1"/>
  <c r="L2832" i="1"/>
  <c r="M2832" i="1"/>
  <c r="C2833" i="1"/>
  <c r="E2833" i="1"/>
  <c r="F2833" i="1"/>
  <c r="H2833" i="1"/>
  <c r="I2833" i="1"/>
  <c r="J2833" i="1"/>
  <c r="L2833" i="1"/>
  <c r="M2833" i="1"/>
  <c r="C2834" i="1"/>
  <c r="E2834" i="1"/>
  <c r="F2834" i="1"/>
  <c r="H2834" i="1"/>
  <c r="I2834" i="1"/>
  <c r="J2834" i="1"/>
  <c r="L2834" i="1"/>
  <c r="M2834" i="1"/>
  <c r="C2835" i="1"/>
  <c r="E2835" i="1"/>
  <c r="F2835" i="1"/>
  <c r="H2835" i="1"/>
  <c r="I2835" i="1"/>
  <c r="J2835" i="1"/>
  <c r="L2835" i="1"/>
  <c r="M2835" i="1"/>
  <c r="C2836" i="1"/>
  <c r="E2836" i="1"/>
  <c r="F2836" i="1"/>
  <c r="H2836" i="1"/>
  <c r="I2836" i="1"/>
  <c r="J2836" i="1"/>
  <c r="L2836" i="1"/>
  <c r="M2836" i="1"/>
  <c r="C2837" i="1"/>
  <c r="E2837" i="1"/>
  <c r="F2837" i="1"/>
  <c r="H2837" i="1"/>
  <c r="I2837" i="1"/>
  <c r="J2837" i="1"/>
  <c r="L2837" i="1"/>
  <c r="M2837" i="1"/>
  <c r="C2838" i="1"/>
  <c r="E2838" i="1"/>
  <c r="F2838" i="1"/>
  <c r="H2838" i="1"/>
  <c r="I2838" i="1"/>
  <c r="J2838" i="1"/>
  <c r="L2838" i="1"/>
  <c r="M2838" i="1"/>
  <c r="C2839" i="1"/>
  <c r="E2839" i="1"/>
  <c r="F2839" i="1"/>
  <c r="H2839" i="1"/>
  <c r="I2839" i="1"/>
  <c r="J2839" i="1"/>
  <c r="L2839" i="1"/>
  <c r="M2839" i="1"/>
  <c r="C2840" i="1"/>
  <c r="E2840" i="1"/>
  <c r="F2840" i="1"/>
  <c r="H2840" i="1"/>
  <c r="I2840" i="1"/>
  <c r="J2840" i="1"/>
  <c r="L2840" i="1"/>
  <c r="M2840" i="1"/>
  <c r="C2841" i="1"/>
  <c r="E2841" i="1"/>
  <c r="F2841" i="1"/>
  <c r="H2841" i="1"/>
  <c r="I2841" i="1"/>
  <c r="J2841" i="1"/>
  <c r="L2841" i="1"/>
  <c r="M2841" i="1"/>
  <c r="C2842" i="1"/>
  <c r="E2842" i="1"/>
  <c r="F2842" i="1"/>
  <c r="H2842" i="1"/>
  <c r="I2842" i="1"/>
  <c r="J2842" i="1"/>
  <c r="L2842" i="1"/>
  <c r="M2842" i="1"/>
  <c r="C2843" i="1"/>
  <c r="E2843" i="1"/>
  <c r="F2843" i="1"/>
  <c r="H2843" i="1"/>
  <c r="I2843" i="1"/>
  <c r="J2843" i="1"/>
  <c r="L2843" i="1"/>
  <c r="M2843" i="1"/>
  <c r="C2844" i="1"/>
  <c r="E2844" i="1"/>
  <c r="F2844" i="1"/>
  <c r="H2844" i="1"/>
  <c r="I2844" i="1"/>
  <c r="J2844" i="1"/>
  <c r="L2844" i="1"/>
  <c r="M2844" i="1"/>
  <c r="C2845" i="1"/>
  <c r="E2845" i="1"/>
  <c r="F2845" i="1"/>
  <c r="H2845" i="1"/>
  <c r="I2845" i="1"/>
  <c r="J2845" i="1"/>
  <c r="L2845" i="1"/>
  <c r="M2845" i="1"/>
  <c r="C2846" i="1"/>
  <c r="E2846" i="1"/>
  <c r="F2846" i="1"/>
  <c r="H2846" i="1"/>
  <c r="I2846" i="1"/>
  <c r="J2846" i="1"/>
  <c r="L2846" i="1"/>
  <c r="M2846" i="1"/>
  <c r="C2847" i="1"/>
  <c r="E2847" i="1"/>
  <c r="F2847" i="1"/>
  <c r="H2847" i="1"/>
  <c r="I2847" i="1"/>
  <c r="J2847" i="1"/>
  <c r="L2847" i="1"/>
  <c r="M2847" i="1"/>
  <c r="C2848" i="1"/>
  <c r="E2848" i="1"/>
  <c r="F2848" i="1"/>
  <c r="H2848" i="1"/>
  <c r="I2848" i="1"/>
  <c r="J2848" i="1"/>
  <c r="L2848" i="1"/>
  <c r="M2848" i="1"/>
  <c r="C2849" i="1"/>
  <c r="E2849" i="1"/>
  <c r="F2849" i="1"/>
  <c r="H2849" i="1"/>
  <c r="I2849" i="1"/>
  <c r="J2849" i="1"/>
  <c r="L2849" i="1"/>
  <c r="M2849" i="1"/>
  <c r="C2850" i="1"/>
  <c r="E2850" i="1"/>
  <c r="F2850" i="1"/>
  <c r="H2850" i="1"/>
  <c r="I2850" i="1"/>
  <c r="J2850" i="1"/>
  <c r="L2850" i="1"/>
  <c r="M2850" i="1"/>
  <c r="C2851" i="1"/>
  <c r="E2851" i="1"/>
  <c r="F2851" i="1"/>
  <c r="H2851" i="1"/>
  <c r="I2851" i="1"/>
  <c r="J2851" i="1"/>
  <c r="L2851" i="1"/>
  <c r="M2851" i="1"/>
  <c r="C2852" i="1"/>
  <c r="E2852" i="1"/>
  <c r="F2852" i="1"/>
  <c r="H2852" i="1"/>
  <c r="I2852" i="1"/>
  <c r="J2852" i="1"/>
  <c r="L2852" i="1"/>
  <c r="M2852" i="1"/>
  <c r="C2853" i="1"/>
  <c r="E2853" i="1"/>
  <c r="F2853" i="1"/>
  <c r="H2853" i="1"/>
  <c r="I2853" i="1"/>
  <c r="J2853" i="1"/>
  <c r="L2853" i="1"/>
  <c r="M2853" i="1"/>
  <c r="C2854" i="1"/>
  <c r="E2854" i="1"/>
  <c r="F2854" i="1"/>
  <c r="H2854" i="1"/>
  <c r="I2854" i="1"/>
  <c r="J2854" i="1"/>
  <c r="L2854" i="1"/>
  <c r="M2854" i="1"/>
  <c r="C2855" i="1"/>
  <c r="E2855" i="1"/>
  <c r="F2855" i="1"/>
  <c r="H2855" i="1"/>
  <c r="I2855" i="1"/>
  <c r="J2855" i="1"/>
  <c r="L2855" i="1"/>
  <c r="M2855" i="1"/>
  <c r="C2856" i="1"/>
  <c r="E2856" i="1"/>
  <c r="F2856" i="1"/>
  <c r="H2856" i="1"/>
  <c r="I2856" i="1"/>
  <c r="J2856" i="1"/>
  <c r="L2856" i="1"/>
  <c r="M2856" i="1"/>
  <c r="C2857" i="1"/>
  <c r="E2857" i="1"/>
  <c r="F2857" i="1"/>
  <c r="H2857" i="1"/>
  <c r="I2857" i="1"/>
  <c r="J2857" i="1"/>
  <c r="L2857" i="1"/>
  <c r="M2857" i="1"/>
  <c r="C2858" i="1"/>
  <c r="E2858" i="1"/>
  <c r="F2858" i="1"/>
  <c r="H2858" i="1"/>
  <c r="I2858" i="1"/>
  <c r="J2858" i="1"/>
  <c r="L2858" i="1"/>
  <c r="M2858" i="1"/>
  <c r="C2859" i="1"/>
  <c r="E2859" i="1"/>
  <c r="F2859" i="1"/>
  <c r="H2859" i="1"/>
  <c r="I2859" i="1"/>
  <c r="J2859" i="1"/>
  <c r="L2859" i="1"/>
  <c r="M2859" i="1"/>
  <c r="C2860" i="1"/>
  <c r="E2860" i="1"/>
  <c r="F2860" i="1"/>
  <c r="H2860" i="1"/>
  <c r="I2860" i="1"/>
  <c r="J2860" i="1"/>
  <c r="L2860" i="1"/>
  <c r="M2860" i="1"/>
  <c r="C2861" i="1"/>
  <c r="E2861" i="1"/>
  <c r="F2861" i="1"/>
  <c r="H2861" i="1"/>
  <c r="I2861" i="1"/>
  <c r="J2861" i="1"/>
  <c r="L2861" i="1"/>
  <c r="M2861" i="1"/>
  <c r="C2862" i="1"/>
  <c r="E2862" i="1"/>
  <c r="F2862" i="1"/>
  <c r="H2862" i="1"/>
  <c r="I2862" i="1"/>
  <c r="J2862" i="1"/>
  <c r="L2862" i="1"/>
  <c r="M2862" i="1"/>
  <c r="C2863" i="1"/>
  <c r="E2863" i="1"/>
  <c r="F2863" i="1"/>
  <c r="H2863" i="1"/>
  <c r="I2863" i="1"/>
  <c r="J2863" i="1"/>
  <c r="L2863" i="1"/>
  <c r="M2863" i="1"/>
  <c r="C2864" i="1"/>
  <c r="E2864" i="1"/>
  <c r="F2864" i="1"/>
  <c r="H2864" i="1"/>
  <c r="I2864" i="1"/>
  <c r="J2864" i="1"/>
  <c r="L2864" i="1"/>
  <c r="M2864" i="1"/>
  <c r="C2865" i="1"/>
  <c r="E2865" i="1"/>
  <c r="F2865" i="1"/>
  <c r="H2865" i="1"/>
  <c r="I2865" i="1"/>
  <c r="J2865" i="1"/>
  <c r="L2865" i="1"/>
  <c r="M2865" i="1"/>
  <c r="C2866" i="1"/>
  <c r="E2866" i="1"/>
  <c r="F2866" i="1"/>
  <c r="H2866" i="1"/>
  <c r="I2866" i="1"/>
  <c r="J2866" i="1"/>
  <c r="L2866" i="1"/>
  <c r="M2866" i="1"/>
  <c r="C2867" i="1"/>
  <c r="E2867" i="1"/>
  <c r="F2867" i="1"/>
  <c r="H2867" i="1"/>
  <c r="I2867" i="1"/>
  <c r="J2867" i="1"/>
  <c r="L2867" i="1"/>
  <c r="M2867" i="1"/>
  <c r="C2868" i="1"/>
  <c r="E2868" i="1"/>
  <c r="F2868" i="1"/>
  <c r="H2868" i="1"/>
  <c r="I2868" i="1"/>
  <c r="J2868" i="1"/>
  <c r="L2868" i="1"/>
  <c r="M2868" i="1"/>
  <c r="C2869" i="1"/>
  <c r="E2869" i="1"/>
  <c r="F2869" i="1"/>
  <c r="H2869" i="1"/>
  <c r="I2869" i="1"/>
  <c r="J2869" i="1"/>
  <c r="L2869" i="1"/>
  <c r="M2869" i="1"/>
  <c r="C2870" i="1"/>
  <c r="E2870" i="1"/>
  <c r="F2870" i="1"/>
  <c r="H2870" i="1"/>
  <c r="I2870" i="1"/>
  <c r="J2870" i="1"/>
  <c r="L2870" i="1"/>
  <c r="M2870" i="1"/>
  <c r="C2871" i="1"/>
  <c r="E2871" i="1"/>
  <c r="F2871" i="1"/>
  <c r="H2871" i="1"/>
  <c r="I2871" i="1"/>
  <c r="J2871" i="1"/>
  <c r="L2871" i="1"/>
  <c r="M2871" i="1"/>
  <c r="C2872" i="1"/>
  <c r="E2872" i="1"/>
  <c r="F2872" i="1"/>
  <c r="H2872" i="1"/>
  <c r="I2872" i="1"/>
  <c r="J2872" i="1"/>
  <c r="L2872" i="1"/>
  <c r="M2872" i="1"/>
  <c r="C2873" i="1"/>
  <c r="E2873" i="1"/>
  <c r="F2873" i="1"/>
  <c r="H2873" i="1"/>
  <c r="I2873" i="1"/>
  <c r="J2873" i="1"/>
  <c r="L2873" i="1"/>
  <c r="M2873" i="1"/>
  <c r="C2874" i="1"/>
  <c r="E2874" i="1"/>
  <c r="F2874" i="1"/>
  <c r="H2874" i="1"/>
  <c r="I2874" i="1"/>
  <c r="J2874" i="1"/>
  <c r="L2874" i="1"/>
  <c r="M2874" i="1"/>
  <c r="C2875" i="1"/>
  <c r="E2875" i="1"/>
  <c r="F2875" i="1"/>
  <c r="H2875" i="1"/>
  <c r="I2875" i="1"/>
  <c r="J2875" i="1"/>
  <c r="L2875" i="1"/>
  <c r="M2875" i="1"/>
  <c r="C2876" i="1"/>
  <c r="E2876" i="1"/>
  <c r="F2876" i="1"/>
  <c r="H2876" i="1"/>
  <c r="I2876" i="1"/>
  <c r="J2876" i="1"/>
  <c r="L2876" i="1"/>
  <c r="M2876" i="1"/>
  <c r="C2877" i="1"/>
  <c r="E2877" i="1"/>
  <c r="F2877" i="1"/>
  <c r="H2877" i="1"/>
  <c r="I2877" i="1"/>
  <c r="J2877" i="1"/>
  <c r="L2877" i="1"/>
  <c r="M2877" i="1"/>
  <c r="C2878" i="1"/>
  <c r="E2878" i="1"/>
  <c r="F2878" i="1"/>
  <c r="H2878" i="1"/>
  <c r="I2878" i="1"/>
  <c r="J2878" i="1"/>
  <c r="L2878" i="1"/>
  <c r="M2878" i="1"/>
  <c r="C2879" i="1"/>
  <c r="E2879" i="1"/>
  <c r="F2879" i="1"/>
  <c r="H2879" i="1"/>
  <c r="I2879" i="1"/>
  <c r="J2879" i="1"/>
  <c r="L2879" i="1"/>
  <c r="M2879" i="1"/>
  <c r="C2880" i="1"/>
  <c r="E2880" i="1"/>
  <c r="F2880" i="1"/>
  <c r="H2880" i="1"/>
  <c r="I2880" i="1"/>
  <c r="J2880" i="1"/>
  <c r="L2880" i="1"/>
  <c r="M2880" i="1"/>
  <c r="C2881" i="1"/>
  <c r="E2881" i="1"/>
  <c r="F2881" i="1"/>
  <c r="H2881" i="1"/>
  <c r="I2881" i="1"/>
  <c r="J2881" i="1"/>
  <c r="L2881" i="1"/>
  <c r="M2881" i="1"/>
  <c r="C2882" i="1"/>
  <c r="E2882" i="1"/>
  <c r="F2882" i="1"/>
  <c r="H2882" i="1"/>
  <c r="I2882" i="1"/>
  <c r="J2882" i="1"/>
  <c r="L2882" i="1"/>
  <c r="M2882" i="1"/>
  <c r="C2883" i="1"/>
  <c r="E2883" i="1"/>
  <c r="F2883" i="1"/>
  <c r="H2883" i="1"/>
  <c r="I2883" i="1"/>
  <c r="J2883" i="1"/>
  <c r="L2883" i="1"/>
  <c r="M2883" i="1"/>
  <c r="C2884" i="1"/>
  <c r="E2884" i="1"/>
  <c r="F2884" i="1"/>
  <c r="H2884" i="1"/>
  <c r="I2884" i="1"/>
  <c r="J2884" i="1"/>
  <c r="L2884" i="1"/>
  <c r="M2884" i="1"/>
  <c r="C2885" i="1"/>
  <c r="E2885" i="1"/>
  <c r="F2885" i="1"/>
  <c r="H2885" i="1"/>
  <c r="I2885" i="1"/>
  <c r="J2885" i="1"/>
  <c r="L2885" i="1"/>
  <c r="M2885" i="1"/>
  <c r="C2886" i="1"/>
  <c r="E2886" i="1"/>
  <c r="F2886" i="1"/>
  <c r="H2886" i="1"/>
  <c r="I2886" i="1"/>
  <c r="J2886" i="1"/>
  <c r="L2886" i="1"/>
  <c r="M2886" i="1"/>
  <c r="C2887" i="1"/>
  <c r="E2887" i="1"/>
  <c r="F2887" i="1"/>
  <c r="H2887" i="1"/>
  <c r="I2887" i="1"/>
  <c r="J2887" i="1"/>
  <c r="L2887" i="1"/>
  <c r="M2887" i="1"/>
  <c r="C2888" i="1"/>
  <c r="E2888" i="1"/>
  <c r="F2888" i="1"/>
  <c r="H2888" i="1"/>
  <c r="I2888" i="1"/>
  <c r="J2888" i="1"/>
  <c r="L2888" i="1"/>
  <c r="M2888" i="1"/>
  <c r="C2889" i="1"/>
  <c r="E2889" i="1"/>
  <c r="F2889" i="1"/>
  <c r="H2889" i="1"/>
  <c r="I2889" i="1"/>
  <c r="J2889" i="1"/>
  <c r="L2889" i="1"/>
  <c r="M2889" i="1"/>
  <c r="C2890" i="1"/>
  <c r="E2890" i="1"/>
  <c r="F2890" i="1"/>
  <c r="H2890" i="1"/>
  <c r="I2890" i="1"/>
  <c r="J2890" i="1"/>
  <c r="L2890" i="1"/>
  <c r="M2890" i="1"/>
  <c r="C2891" i="1"/>
  <c r="E2891" i="1"/>
  <c r="F2891" i="1"/>
  <c r="H2891" i="1"/>
  <c r="I2891" i="1"/>
  <c r="J2891" i="1"/>
  <c r="L2891" i="1"/>
  <c r="M2891" i="1"/>
  <c r="C2892" i="1"/>
  <c r="E2892" i="1"/>
  <c r="F2892" i="1"/>
  <c r="H2892" i="1"/>
  <c r="I2892" i="1"/>
  <c r="J2892" i="1"/>
  <c r="L2892" i="1"/>
  <c r="M2892" i="1"/>
  <c r="C2893" i="1"/>
  <c r="E2893" i="1"/>
  <c r="F2893" i="1"/>
  <c r="H2893" i="1"/>
  <c r="I2893" i="1"/>
  <c r="J2893" i="1"/>
  <c r="L2893" i="1"/>
  <c r="M2893" i="1"/>
  <c r="C2894" i="1"/>
  <c r="E2894" i="1"/>
  <c r="F2894" i="1"/>
  <c r="H2894" i="1"/>
  <c r="I2894" i="1"/>
  <c r="J2894" i="1"/>
  <c r="L2894" i="1"/>
  <c r="M2894" i="1"/>
  <c r="C2895" i="1"/>
  <c r="E2895" i="1"/>
  <c r="F2895" i="1"/>
  <c r="H2895" i="1"/>
  <c r="I2895" i="1"/>
  <c r="J2895" i="1"/>
  <c r="L2895" i="1"/>
  <c r="M2895" i="1"/>
  <c r="C2896" i="1"/>
  <c r="E2896" i="1"/>
  <c r="F2896" i="1"/>
  <c r="H2896" i="1"/>
  <c r="I2896" i="1"/>
  <c r="J2896" i="1"/>
  <c r="L2896" i="1"/>
  <c r="M2896" i="1"/>
  <c r="C2897" i="1"/>
  <c r="E2897" i="1"/>
  <c r="F2897" i="1"/>
  <c r="H2897" i="1"/>
  <c r="I2897" i="1"/>
  <c r="J2897" i="1"/>
  <c r="L2897" i="1"/>
  <c r="M2897" i="1"/>
  <c r="C2898" i="1"/>
  <c r="E2898" i="1"/>
  <c r="F2898" i="1"/>
  <c r="H2898" i="1"/>
  <c r="I2898" i="1"/>
  <c r="J2898" i="1"/>
  <c r="L2898" i="1"/>
  <c r="M2898" i="1"/>
  <c r="C2899" i="1"/>
  <c r="E2899" i="1"/>
  <c r="F2899" i="1"/>
  <c r="H2899" i="1"/>
  <c r="I2899" i="1"/>
  <c r="J2899" i="1"/>
  <c r="L2899" i="1"/>
  <c r="M2899" i="1"/>
  <c r="C2900" i="1"/>
  <c r="E2900" i="1"/>
  <c r="F2900" i="1"/>
  <c r="H2900" i="1"/>
  <c r="I2900" i="1"/>
  <c r="J2900" i="1"/>
  <c r="L2900" i="1"/>
  <c r="M2900" i="1"/>
  <c r="C2901" i="1"/>
  <c r="E2901" i="1"/>
  <c r="F2901" i="1"/>
  <c r="H2901" i="1"/>
  <c r="I2901" i="1"/>
  <c r="J2901" i="1"/>
  <c r="L2901" i="1"/>
  <c r="M2901" i="1"/>
  <c r="C2902" i="1"/>
  <c r="E2902" i="1"/>
  <c r="F2902" i="1"/>
  <c r="H2902" i="1"/>
  <c r="I2902" i="1"/>
  <c r="J2902" i="1"/>
  <c r="L2902" i="1"/>
  <c r="M2902" i="1"/>
  <c r="C2903" i="1"/>
  <c r="E2903" i="1"/>
  <c r="F2903" i="1"/>
  <c r="H2903" i="1"/>
  <c r="I2903" i="1"/>
  <c r="J2903" i="1"/>
  <c r="L2903" i="1"/>
  <c r="M2903" i="1"/>
  <c r="C2904" i="1"/>
  <c r="E2904" i="1"/>
  <c r="F2904" i="1"/>
  <c r="H2904" i="1"/>
  <c r="I2904" i="1"/>
  <c r="J2904" i="1"/>
  <c r="L2904" i="1"/>
  <c r="M2904" i="1"/>
  <c r="C2905" i="1"/>
  <c r="E2905" i="1"/>
  <c r="F2905" i="1"/>
  <c r="H2905" i="1"/>
  <c r="I2905" i="1"/>
  <c r="J2905" i="1"/>
  <c r="L2905" i="1"/>
  <c r="M2905" i="1"/>
  <c r="C2906" i="1"/>
  <c r="E2906" i="1"/>
  <c r="F2906" i="1"/>
  <c r="H2906" i="1"/>
  <c r="I2906" i="1"/>
  <c r="J2906" i="1"/>
  <c r="L2906" i="1"/>
  <c r="M2906" i="1"/>
  <c r="C2907" i="1"/>
  <c r="E2907" i="1"/>
  <c r="F2907" i="1"/>
  <c r="H2907" i="1"/>
  <c r="I2907" i="1"/>
  <c r="J2907" i="1"/>
  <c r="L2907" i="1"/>
  <c r="M2907" i="1"/>
  <c r="C2908" i="1"/>
  <c r="E2908" i="1"/>
  <c r="F2908" i="1"/>
  <c r="H2908" i="1"/>
  <c r="I2908" i="1"/>
  <c r="J2908" i="1"/>
  <c r="L2908" i="1"/>
  <c r="M2908" i="1"/>
  <c r="C2909" i="1"/>
  <c r="E2909" i="1"/>
  <c r="F2909" i="1"/>
  <c r="H2909" i="1"/>
  <c r="I2909" i="1"/>
  <c r="J2909" i="1"/>
  <c r="L2909" i="1"/>
  <c r="M2909" i="1"/>
  <c r="C2910" i="1"/>
  <c r="E2910" i="1"/>
  <c r="F2910" i="1"/>
  <c r="H2910" i="1"/>
  <c r="I2910" i="1"/>
  <c r="J2910" i="1"/>
  <c r="L2910" i="1"/>
  <c r="M2910" i="1"/>
  <c r="C2911" i="1"/>
  <c r="E2911" i="1"/>
  <c r="F2911" i="1"/>
  <c r="H2911" i="1"/>
  <c r="I2911" i="1"/>
  <c r="J2911" i="1"/>
  <c r="L2911" i="1"/>
  <c r="M2911" i="1"/>
  <c r="C2912" i="1"/>
  <c r="E2912" i="1"/>
  <c r="F2912" i="1"/>
  <c r="H2912" i="1"/>
  <c r="I2912" i="1"/>
  <c r="J2912" i="1"/>
  <c r="L2912" i="1"/>
  <c r="M2912" i="1"/>
  <c r="C2913" i="1"/>
  <c r="E2913" i="1"/>
  <c r="F2913" i="1"/>
  <c r="H2913" i="1"/>
  <c r="I2913" i="1"/>
  <c r="J2913" i="1"/>
  <c r="L2913" i="1"/>
  <c r="M2913" i="1"/>
  <c r="C2914" i="1"/>
  <c r="E2914" i="1"/>
  <c r="F2914" i="1"/>
  <c r="H2914" i="1"/>
  <c r="I2914" i="1"/>
  <c r="J2914" i="1"/>
  <c r="L2914" i="1"/>
  <c r="M2914" i="1"/>
  <c r="C2915" i="1"/>
  <c r="E2915" i="1"/>
  <c r="F2915" i="1"/>
  <c r="H2915" i="1"/>
  <c r="I2915" i="1"/>
  <c r="J2915" i="1"/>
  <c r="L2915" i="1"/>
  <c r="M2915" i="1"/>
  <c r="C2916" i="1"/>
  <c r="E2916" i="1"/>
  <c r="F2916" i="1"/>
  <c r="H2916" i="1"/>
  <c r="I2916" i="1"/>
  <c r="J2916" i="1"/>
  <c r="L2916" i="1"/>
  <c r="M2916" i="1"/>
  <c r="C2917" i="1"/>
  <c r="E2917" i="1"/>
  <c r="F2917" i="1"/>
  <c r="H2917" i="1"/>
  <c r="I2917" i="1"/>
  <c r="J2917" i="1"/>
  <c r="L2917" i="1"/>
  <c r="M2917" i="1"/>
  <c r="C2918" i="1"/>
  <c r="E2918" i="1"/>
  <c r="F2918" i="1"/>
  <c r="H2918" i="1"/>
  <c r="I2918" i="1"/>
  <c r="J2918" i="1"/>
  <c r="L2918" i="1"/>
  <c r="M2918" i="1"/>
  <c r="C2919" i="1"/>
  <c r="E2919" i="1"/>
  <c r="F2919" i="1"/>
  <c r="H2919" i="1"/>
  <c r="I2919" i="1"/>
  <c r="J2919" i="1"/>
  <c r="L2919" i="1"/>
  <c r="M2919" i="1"/>
  <c r="C2920" i="1"/>
  <c r="E2920" i="1"/>
  <c r="F2920" i="1"/>
  <c r="H2920" i="1"/>
  <c r="I2920" i="1"/>
  <c r="J2920" i="1"/>
  <c r="L2920" i="1"/>
  <c r="M2920" i="1"/>
  <c r="C2921" i="1"/>
  <c r="E2921" i="1"/>
  <c r="F2921" i="1"/>
  <c r="H2921" i="1"/>
  <c r="I2921" i="1"/>
  <c r="J2921" i="1"/>
  <c r="L2921" i="1"/>
  <c r="M2921" i="1"/>
  <c r="C2922" i="1"/>
  <c r="E2922" i="1"/>
  <c r="F2922" i="1"/>
  <c r="H2922" i="1"/>
  <c r="I2922" i="1"/>
  <c r="J2922" i="1"/>
  <c r="L2922" i="1"/>
  <c r="M2922" i="1"/>
  <c r="C2923" i="1"/>
  <c r="E2923" i="1"/>
  <c r="F2923" i="1"/>
  <c r="H2923" i="1"/>
  <c r="I2923" i="1"/>
  <c r="J2923" i="1"/>
  <c r="L2923" i="1"/>
  <c r="M2923" i="1"/>
  <c r="C2924" i="1"/>
  <c r="E2924" i="1"/>
  <c r="F2924" i="1"/>
  <c r="H2924" i="1"/>
  <c r="I2924" i="1"/>
  <c r="J2924" i="1"/>
  <c r="L2924" i="1"/>
  <c r="M2924" i="1"/>
  <c r="C2925" i="1"/>
  <c r="E2925" i="1"/>
  <c r="F2925" i="1"/>
  <c r="H2925" i="1"/>
  <c r="I2925" i="1"/>
  <c r="J2925" i="1"/>
  <c r="L2925" i="1"/>
  <c r="M2925" i="1"/>
  <c r="C2926" i="1"/>
  <c r="E2926" i="1"/>
  <c r="F2926" i="1"/>
  <c r="H2926" i="1"/>
  <c r="I2926" i="1"/>
  <c r="J2926" i="1"/>
  <c r="L2926" i="1"/>
  <c r="M2926" i="1"/>
  <c r="C2927" i="1"/>
  <c r="E2927" i="1"/>
  <c r="F2927" i="1"/>
  <c r="H2927" i="1"/>
  <c r="I2927" i="1"/>
  <c r="J2927" i="1"/>
  <c r="L2927" i="1"/>
  <c r="M2927" i="1"/>
  <c r="C2928" i="1"/>
  <c r="E2928" i="1"/>
  <c r="F2928" i="1"/>
  <c r="H2928" i="1"/>
  <c r="I2928" i="1"/>
  <c r="J2928" i="1"/>
  <c r="L2928" i="1"/>
  <c r="M2928" i="1"/>
  <c r="C2929" i="1"/>
  <c r="E2929" i="1"/>
  <c r="F2929" i="1"/>
  <c r="H2929" i="1"/>
  <c r="I2929" i="1"/>
  <c r="J2929" i="1"/>
  <c r="L2929" i="1"/>
  <c r="M2929" i="1"/>
  <c r="C2930" i="1"/>
  <c r="E2930" i="1"/>
  <c r="F2930" i="1"/>
  <c r="H2930" i="1"/>
  <c r="I2930" i="1"/>
  <c r="J2930" i="1"/>
  <c r="L2930" i="1"/>
  <c r="M2930" i="1"/>
  <c r="C2931" i="1"/>
  <c r="E2931" i="1"/>
  <c r="F2931" i="1"/>
  <c r="H2931" i="1"/>
  <c r="I2931" i="1"/>
  <c r="J2931" i="1"/>
  <c r="L2931" i="1"/>
  <c r="M2931" i="1"/>
  <c r="C2932" i="1"/>
  <c r="E2932" i="1"/>
  <c r="F2932" i="1"/>
  <c r="H2932" i="1"/>
  <c r="I2932" i="1"/>
  <c r="J2932" i="1"/>
  <c r="L2932" i="1"/>
  <c r="M2932" i="1"/>
  <c r="C2933" i="1"/>
  <c r="E2933" i="1"/>
  <c r="F2933" i="1"/>
  <c r="H2933" i="1"/>
  <c r="I2933" i="1"/>
  <c r="J2933" i="1"/>
  <c r="L2933" i="1"/>
  <c r="M2933" i="1"/>
  <c r="C2934" i="1"/>
  <c r="E2934" i="1"/>
  <c r="F2934" i="1"/>
  <c r="H2934" i="1"/>
  <c r="I2934" i="1"/>
  <c r="J2934" i="1"/>
  <c r="L2934" i="1"/>
  <c r="M2934" i="1"/>
  <c r="C2935" i="1"/>
  <c r="E2935" i="1"/>
  <c r="F2935" i="1"/>
  <c r="H2935" i="1"/>
  <c r="I2935" i="1"/>
  <c r="J2935" i="1"/>
  <c r="L2935" i="1"/>
  <c r="M2935" i="1"/>
  <c r="C2936" i="1"/>
  <c r="E2936" i="1"/>
  <c r="F2936" i="1"/>
  <c r="H2936" i="1"/>
  <c r="I2936" i="1"/>
  <c r="J2936" i="1"/>
  <c r="L2936" i="1"/>
  <c r="M2936" i="1"/>
  <c r="C2937" i="1"/>
  <c r="E2937" i="1"/>
  <c r="F2937" i="1"/>
  <c r="H2937" i="1"/>
  <c r="I2937" i="1"/>
  <c r="J2937" i="1"/>
  <c r="L2937" i="1"/>
  <c r="M2937" i="1"/>
  <c r="C2938" i="1"/>
  <c r="E2938" i="1"/>
  <c r="F2938" i="1"/>
  <c r="H2938" i="1"/>
  <c r="I2938" i="1"/>
  <c r="J2938" i="1"/>
  <c r="L2938" i="1"/>
  <c r="M2938" i="1"/>
  <c r="C2939" i="1"/>
  <c r="E2939" i="1"/>
  <c r="F2939" i="1"/>
  <c r="H2939" i="1"/>
  <c r="I2939" i="1"/>
  <c r="J2939" i="1"/>
  <c r="L2939" i="1"/>
  <c r="M2939" i="1"/>
  <c r="C2940" i="1"/>
  <c r="E2940" i="1"/>
  <c r="F2940" i="1"/>
  <c r="H2940" i="1"/>
  <c r="I2940" i="1"/>
  <c r="J2940" i="1"/>
  <c r="L2940" i="1"/>
  <c r="M2940" i="1"/>
  <c r="C2941" i="1"/>
  <c r="E2941" i="1"/>
  <c r="F2941" i="1"/>
  <c r="H2941" i="1"/>
  <c r="I2941" i="1"/>
  <c r="J2941" i="1"/>
  <c r="L2941" i="1"/>
  <c r="M2941" i="1"/>
  <c r="C2942" i="1"/>
  <c r="E2942" i="1"/>
  <c r="F2942" i="1"/>
  <c r="H2942" i="1"/>
  <c r="I2942" i="1"/>
  <c r="J2942" i="1"/>
  <c r="L2942" i="1"/>
  <c r="M2942" i="1"/>
  <c r="C2943" i="1"/>
  <c r="E2943" i="1"/>
  <c r="F2943" i="1"/>
  <c r="H2943" i="1"/>
  <c r="I2943" i="1"/>
  <c r="J2943" i="1"/>
  <c r="L2943" i="1"/>
  <c r="M2943" i="1"/>
  <c r="C2944" i="1"/>
  <c r="E2944" i="1"/>
  <c r="F2944" i="1"/>
  <c r="H2944" i="1"/>
  <c r="I2944" i="1"/>
  <c r="J2944" i="1"/>
  <c r="L2944" i="1"/>
  <c r="M2944" i="1"/>
  <c r="C2945" i="1"/>
  <c r="E2945" i="1"/>
  <c r="F2945" i="1"/>
  <c r="H2945" i="1"/>
  <c r="I2945" i="1"/>
  <c r="J2945" i="1"/>
  <c r="L2945" i="1"/>
  <c r="M2945" i="1"/>
  <c r="C2946" i="1"/>
  <c r="E2946" i="1"/>
  <c r="F2946" i="1"/>
  <c r="H2946" i="1"/>
  <c r="I2946" i="1"/>
  <c r="J2946" i="1"/>
  <c r="L2946" i="1"/>
  <c r="M2946" i="1"/>
  <c r="C2947" i="1"/>
  <c r="E2947" i="1"/>
  <c r="F2947" i="1"/>
  <c r="H2947" i="1"/>
  <c r="I2947" i="1"/>
  <c r="J2947" i="1"/>
  <c r="L2947" i="1"/>
  <c r="M2947" i="1"/>
  <c r="C2948" i="1"/>
  <c r="E2948" i="1"/>
  <c r="F2948" i="1"/>
  <c r="H2948" i="1"/>
  <c r="I2948" i="1"/>
  <c r="J2948" i="1"/>
  <c r="L2948" i="1"/>
  <c r="M2948" i="1"/>
  <c r="C2949" i="1"/>
  <c r="E2949" i="1"/>
  <c r="F2949" i="1"/>
  <c r="H2949" i="1"/>
  <c r="I2949" i="1"/>
  <c r="J2949" i="1"/>
  <c r="L2949" i="1"/>
  <c r="M2949" i="1"/>
  <c r="C2950" i="1"/>
  <c r="E2950" i="1"/>
  <c r="F2950" i="1"/>
  <c r="H2950" i="1"/>
  <c r="I2950" i="1"/>
  <c r="J2950" i="1"/>
  <c r="L2950" i="1"/>
  <c r="M2950" i="1"/>
  <c r="C2951" i="1"/>
  <c r="E2951" i="1"/>
  <c r="F2951" i="1"/>
  <c r="H2951" i="1"/>
  <c r="I2951" i="1"/>
  <c r="J2951" i="1"/>
  <c r="L2951" i="1"/>
  <c r="M2951" i="1"/>
  <c r="C2952" i="1"/>
  <c r="E2952" i="1"/>
  <c r="F2952" i="1"/>
  <c r="H2952" i="1"/>
  <c r="I2952" i="1"/>
  <c r="J2952" i="1"/>
  <c r="L2952" i="1"/>
  <c r="M2952" i="1"/>
  <c r="C2953" i="1"/>
  <c r="E2953" i="1"/>
  <c r="F2953" i="1"/>
  <c r="H2953" i="1"/>
  <c r="I2953" i="1"/>
  <c r="J2953" i="1"/>
  <c r="L2953" i="1"/>
  <c r="M2953" i="1"/>
  <c r="C2954" i="1"/>
  <c r="E2954" i="1"/>
  <c r="F2954" i="1"/>
  <c r="H2954" i="1"/>
  <c r="I2954" i="1"/>
  <c r="J2954" i="1"/>
  <c r="L2954" i="1"/>
  <c r="M2954" i="1"/>
  <c r="C2955" i="1"/>
  <c r="E2955" i="1"/>
  <c r="F2955" i="1"/>
  <c r="H2955" i="1"/>
  <c r="I2955" i="1"/>
  <c r="J2955" i="1"/>
  <c r="L2955" i="1"/>
  <c r="M2955" i="1"/>
  <c r="C2956" i="1"/>
  <c r="E2956" i="1"/>
  <c r="F2956" i="1"/>
  <c r="H2956" i="1"/>
  <c r="I2956" i="1"/>
  <c r="J2956" i="1"/>
  <c r="L2956" i="1"/>
  <c r="M2956" i="1"/>
  <c r="C2957" i="1"/>
  <c r="E2957" i="1"/>
  <c r="F2957" i="1"/>
  <c r="H2957" i="1"/>
  <c r="I2957" i="1"/>
  <c r="J2957" i="1"/>
  <c r="L2957" i="1"/>
  <c r="M2957" i="1"/>
  <c r="C2958" i="1"/>
  <c r="E2958" i="1"/>
  <c r="F2958" i="1"/>
  <c r="H2958" i="1"/>
  <c r="I2958" i="1"/>
  <c r="J2958" i="1"/>
  <c r="L2958" i="1"/>
  <c r="M2958" i="1"/>
  <c r="C2959" i="1"/>
  <c r="E2959" i="1"/>
  <c r="F2959" i="1"/>
  <c r="H2959" i="1"/>
  <c r="I2959" i="1"/>
  <c r="J2959" i="1"/>
  <c r="L2959" i="1"/>
  <c r="M2959" i="1"/>
  <c r="C2960" i="1"/>
  <c r="E2960" i="1"/>
  <c r="F2960" i="1"/>
  <c r="H2960" i="1"/>
  <c r="I2960" i="1"/>
  <c r="J2960" i="1"/>
  <c r="L2960" i="1"/>
  <c r="M2960" i="1"/>
  <c r="C2961" i="1"/>
  <c r="E2961" i="1"/>
  <c r="F2961" i="1"/>
  <c r="H2961" i="1"/>
  <c r="I2961" i="1"/>
  <c r="J2961" i="1"/>
  <c r="L2961" i="1"/>
  <c r="M2961" i="1"/>
  <c r="C2962" i="1"/>
  <c r="E2962" i="1"/>
  <c r="F2962" i="1"/>
  <c r="H2962" i="1"/>
  <c r="I2962" i="1"/>
  <c r="J2962" i="1"/>
  <c r="L2962" i="1"/>
  <c r="M2962" i="1"/>
  <c r="C2963" i="1"/>
  <c r="E2963" i="1"/>
  <c r="F2963" i="1"/>
  <c r="H2963" i="1"/>
  <c r="I2963" i="1"/>
  <c r="J2963" i="1"/>
  <c r="L2963" i="1"/>
  <c r="M2963" i="1"/>
  <c r="C2964" i="1"/>
  <c r="E2964" i="1"/>
  <c r="F2964" i="1"/>
  <c r="H2964" i="1"/>
  <c r="I2964" i="1"/>
  <c r="J2964" i="1"/>
  <c r="L2964" i="1"/>
  <c r="M2964" i="1"/>
  <c r="C2965" i="1"/>
  <c r="E2965" i="1"/>
  <c r="F2965" i="1"/>
  <c r="H2965" i="1"/>
  <c r="I2965" i="1"/>
  <c r="J2965" i="1"/>
  <c r="L2965" i="1"/>
  <c r="M2965" i="1"/>
  <c r="C2966" i="1"/>
  <c r="E2966" i="1"/>
  <c r="F2966" i="1"/>
  <c r="H2966" i="1"/>
  <c r="I2966" i="1"/>
  <c r="J2966" i="1"/>
  <c r="L2966" i="1"/>
  <c r="M2966" i="1"/>
  <c r="C2967" i="1"/>
  <c r="E2967" i="1"/>
  <c r="F2967" i="1"/>
  <c r="H2967" i="1"/>
  <c r="I2967" i="1"/>
  <c r="J2967" i="1"/>
  <c r="L2967" i="1"/>
  <c r="M2967" i="1"/>
  <c r="C2968" i="1"/>
  <c r="E2968" i="1"/>
  <c r="F2968" i="1"/>
  <c r="H2968" i="1"/>
  <c r="I2968" i="1"/>
  <c r="J2968" i="1"/>
  <c r="L2968" i="1"/>
  <c r="M2968" i="1"/>
  <c r="C2969" i="1"/>
  <c r="E2969" i="1"/>
  <c r="F2969" i="1"/>
  <c r="H2969" i="1"/>
  <c r="I2969" i="1"/>
  <c r="J2969" i="1"/>
  <c r="L2969" i="1"/>
  <c r="M2969" i="1"/>
  <c r="C2970" i="1"/>
  <c r="E2970" i="1"/>
  <c r="F2970" i="1"/>
  <c r="H2970" i="1"/>
  <c r="I2970" i="1"/>
  <c r="J2970" i="1"/>
  <c r="L2970" i="1"/>
  <c r="M2970" i="1"/>
  <c r="C2971" i="1"/>
  <c r="E2971" i="1"/>
  <c r="F2971" i="1"/>
  <c r="H2971" i="1"/>
  <c r="I2971" i="1"/>
  <c r="J2971" i="1"/>
  <c r="L2971" i="1"/>
  <c r="M2971" i="1"/>
  <c r="C2972" i="1"/>
  <c r="E2972" i="1"/>
  <c r="F2972" i="1"/>
  <c r="H2972" i="1"/>
  <c r="I2972" i="1"/>
  <c r="J2972" i="1"/>
  <c r="L2972" i="1"/>
  <c r="M2972" i="1"/>
  <c r="C2973" i="1"/>
  <c r="E2973" i="1"/>
  <c r="F2973" i="1"/>
  <c r="H2973" i="1"/>
  <c r="I2973" i="1"/>
  <c r="J2973" i="1"/>
  <c r="L2973" i="1"/>
  <c r="M2973" i="1"/>
  <c r="C2974" i="1"/>
  <c r="E2974" i="1"/>
  <c r="F2974" i="1"/>
  <c r="H2974" i="1"/>
  <c r="I2974" i="1"/>
  <c r="J2974" i="1"/>
  <c r="L2974" i="1"/>
  <c r="M2974" i="1"/>
  <c r="C2975" i="1"/>
  <c r="E2975" i="1"/>
  <c r="F2975" i="1"/>
  <c r="H2975" i="1"/>
  <c r="I2975" i="1"/>
  <c r="J2975" i="1"/>
  <c r="L2975" i="1"/>
  <c r="M2975" i="1"/>
  <c r="C2976" i="1"/>
  <c r="E2976" i="1"/>
  <c r="F2976" i="1"/>
  <c r="H2976" i="1"/>
  <c r="I2976" i="1"/>
  <c r="J2976" i="1"/>
  <c r="L2976" i="1"/>
  <c r="M2976" i="1"/>
  <c r="C2977" i="1"/>
  <c r="E2977" i="1"/>
  <c r="F2977" i="1"/>
  <c r="H2977" i="1"/>
  <c r="I2977" i="1"/>
  <c r="J2977" i="1"/>
  <c r="L2977" i="1"/>
  <c r="M2977" i="1"/>
  <c r="C2978" i="1"/>
  <c r="E2978" i="1"/>
  <c r="F2978" i="1"/>
  <c r="H2978" i="1"/>
  <c r="I2978" i="1"/>
  <c r="J2978" i="1"/>
  <c r="L2978" i="1"/>
  <c r="M2978" i="1"/>
  <c r="C2979" i="1"/>
  <c r="E2979" i="1"/>
  <c r="F2979" i="1"/>
  <c r="H2979" i="1"/>
  <c r="I2979" i="1"/>
  <c r="J2979" i="1"/>
  <c r="L2979" i="1"/>
  <c r="M2979" i="1"/>
  <c r="C2980" i="1"/>
  <c r="E2980" i="1"/>
  <c r="F2980" i="1"/>
  <c r="H2980" i="1"/>
  <c r="I2980" i="1"/>
  <c r="J2980" i="1"/>
  <c r="L2980" i="1"/>
  <c r="M2980" i="1"/>
  <c r="C2981" i="1"/>
  <c r="E2981" i="1"/>
  <c r="F2981" i="1"/>
  <c r="H2981" i="1"/>
  <c r="I2981" i="1"/>
  <c r="J2981" i="1"/>
  <c r="L2981" i="1"/>
  <c r="M2981" i="1"/>
  <c r="C2982" i="1"/>
  <c r="E2982" i="1"/>
  <c r="F2982" i="1"/>
  <c r="H2982" i="1"/>
  <c r="I2982" i="1"/>
  <c r="J2982" i="1"/>
  <c r="L2982" i="1"/>
  <c r="M2982" i="1"/>
  <c r="C2983" i="1"/>
  <c r="E2983" i="1"/>
  <c r="F2983" i="1"/>
  <c r="H2983" i="1"/>
  <c r="I2983" i="1"/>
  <c r="J2983" i="1"/>
  <c r="L2983" i="1"/>
  <c r="M2983" i="1"/>
  <c r="C2984" i="1"/>
  <c r="E2984" i="1"/>
  <c r="F2984" i="1"/>
  <c r="H2984" i="1"/>
  <c r="I2984" i="1"/>
  <c r="J2984" i="1"/>
  <c r="L2984" i="1"/>
  <c r="M2984" i="1"/>
  <c r="C2985" i="1"/>
  <c r="E2985" i="1"/>
  <c r="F2985" i="1"/>
  <c r="H2985" i="1"/>
  <c r="I2985" i="1"/>
  <c r="J2985" i="1"/>
  <c r="L2985" i="1"/>
  <c r="M2985" i="1"/>
  <c r="C2986" i="1"/>
  <c r="E2986" i="1"/>
  <c r="F2986" i="1"/>
  <c r="H2986" i="1"/>
  <c r="I2986" i="1"/>
  <c r="J2986" i="1"/>
  <c r="L2986" i="1"/>
  <c r="M2986" i="1"/>
  <c r="C2987" i="1"/>
  <c r="E2987" i="1"/>
  <c r="F2987" i="1"/>
  <c r="H2987" i="1"/>
  <c r="I2987" i="1"/>
  <c r="J2987" i="1"/>
  <c r="L2987" i="1"/>
  <c r="M2987" i="1"/>
  <c r="C2988" i="1"/>
  <c r="E2988" i="1"/>
  <c r="F2988" i="1"/>
  <c r="H2988" i="1"/>
  <c r="I2988" i="1"/>
  <c r="J2988" i="1"/>
  <c r="L2988" i="1"/>
  <c r="M2988" i="1"/>
  <c r="C2989" i="1"/>
  <c r="E2989" i="1"/>
  <c r="F2989" i="1"/>
  <c r="H2989" i="1"/>
  <c r="I2989" i="1"/>
  <c r="J2989" i="1"/>
  <c r="L2989" i="1"/>
  <c r="M2989" i="1"/>
  <c r="C2990" i="1"/>
  <c r="E2990" i="1"/>
  <c r="F2990" i="1"/>
  <c r="H2990" i="1"/>
  <c r="I2990" i="1"/>
  <c r="J2990" i="1"/>
  <c r="L2990" i="1"/>
  <c r="M2990" i="1"/>
  <c r="C2991" i="1"/>
  <c r="E2991" i="1"/>
  <c r="F2991" i="1"/>
  <c r="H2991" i="1"/>
  <c r="I2991" i="1"/>
  <c r="J2991" i="1"/>
  <c r="L2991" i="1"/>
  <c r="M2991" i="1"/>
  <c r="C2992" i="1"/>
  <c r="E2992" i="1"/>
  <c r="F2992" i="1"/>
  <c r="H2992" i="1"/>
  <c r="I2992" i="1"/>
  <c r="J2992" i="1"/>
  <c r="L2992" i="1"/>
  <c r="M2992" i="1"/>
  <c r="C2993" i="1"/>
  <c r="E2993" i="1"/>
  <c r="F2993" i="1"/>
  <c r="H2993" i="1"/>
  <c r="I2993" i="1"/>
  <c r="J2993" i="1"/>
  <c r="L2993" i="1"/>
  <c r="M2993" i="1"/>
  <c r="C2994" i="1"/>
  <c r="E2994" i="1"/>
  <c r="F2994" i="1"/>
  <c r="H2994" i="1"/>
  <c r="I2994" i="1"/>
  <c r="J2994" i="1"/>
  <c r="L2994" i="1"/>
  <c r="M2994" i="1"/>
  <c r="C2995" i="1"/>
  <c r="E2995" i="1"/>
  <c r="F2995" i="1"/>
  <c r="H2995" i="1"/>
  <c r="I2995" i="1"/>
  <c r="J2995" i="1"/>
  <c r="L2995" i="1"/>
  <c r="M2995" i="1"/>
  <c r="C2996" i="1"/>
  <c r="E2996" i="1"/>
  <c r="F2996" i="1"/>
  <c r="H2996" i="1"/>
  <c r="I2996" i="1"/>
  <c r="J2996" i="1"/>
  <c r="L2996" i="1"/>
  <c r="M2996" i="1"/>
  <c r="C2997" i="1"/>
  <c r="E2997" i="1"/>
  <c r="F2997" i="1"/>
  <c r="H2997" i="1"/>
  <c r="I2997" i="1"/>
  <c r="J2997" i="1"/>
  <c r="L2997" i="1"/>
  <c r="M2997" i="1"/>
  <c r="C2998" i="1"/>
  <c r="E2998" i="1"/>
  <c r="F2998" i="1"/>
  <c r="H2998" i="1"/>
  <c r="I2998" i="1"/>
  <c r="J2998" i="1"/>
  <c r="L2998" i="1"/>
  <c r="M2998" i="1"/>
  <c r="C2999" i="1"/>
  <c r="E2999" i="1"/>
  <c r="F2999" i="1"/>
  <c r="H2999" i="1"/>
  <c r="I2999" i="1"/>
  <c r="J2999" i="1"/>
  <c r="L2999" i="1"/>
  <c r="M2999" i="1"/>
  <c r="C3000" i="1"/>
  <c r="E3000" i="1"/>
  <c r="F3000" i="1"/>
  <c r="H3000" i="1"/>
  <c r="I3000" i="1"/>
  <c r="J3000" i="1"/>
  <c r="L3000" i="1"/>
  <c r="M3000" i="1"/>
  <c r="C3001" i="1"/>
  <c r="E3001" i="1"/>
  <c r="F3001" i="1"/>
  <c r="H3001" i="1"/>
  <c r="I3001" i="1"/>
  <c r="J3001" i="1"/>
  <c r="L3001" i="1"/>
  <c r="M3001" i="1"/>
  <c r="C3002" i="1"/>
  <c r="E3002" i="1"/>
  <c r="F3002" i="1"/>
  <c r="H3002" i="1"/>
  <c r="I3002" i="1"/>
  <c r="J3002" i="1"/>
  <c r="L3002" i="1"/>
  <c r="M3002" i="1"/>
  <c r="C3003" i="1"/>
  <c r="E3003" i="1"/>
  <c r="F3003" i="1"/>
  <c r="H3003" i="1"/>
  <c r="I3003" i="1"/>
  <c r="J3003" i="1"/>
  <c r="L3003" i="1"/>
  <c r="M3003" i="1"/>
  <c r="C3004" i="1"/>
  <c r="E3004" i="1"/>
  <c r="F3004" i="1"/>
  <c r="H3004" i="1"/>
  <c r="I3004" i="1"/>
  <c r="J3004" i="1"/>
  <c r="L3004" i="1"/>
  <c r="M3004" i="1"/>
  <c r="C3005" i="1"/>
  <c r="E3005" i="1"/>
  <c r="F3005" i="1"/>
  <c r="H3005" i="1"/>
  <c r="I3005" i="1"/>
  <c r="J3005" i="1"/>
  <c r="L3005" i="1"/>
  <c r="M3005" i="1"/>
  <c r="C3006" i="1"/>
  <c r="E3006" i="1"/>
  <c r="F3006" i="1"/>
  <c r="H3006" i="1"/>
  <c r="I3006" i="1"/>
  <c r="J3006" i="1"/>
  <c r="L3006" i="1"/>
  <c r="M3006" i="1"/>
  <c r="C3007" i="1"/>
  <c r="E3007" i="1"/>
  <c r="F3007" i="1"/>
  <c r="H3007" i="1"/>
  <c r="I3007" i="1"/>
  <c r="J3007" i="1"/>
  <c r="L3007" i="1"/>
  <c r="M3007" i="1"/>
  <c r="C3008" i="1"/>
  <c r="E3008" i="1"/>
  <c r="F3008" i="1"/>
  <c r="H3008" i="1"/>
  <c r="I3008" i="1"/>
  <c r="J3008" i="1"/>
  <c r="L3008" i="1"/>
  <c r="M3008" i="1"/>
  <c r="C3009" i="1"/>
  <c r="E3009" i="1"/>
  <c r="F3009" i="1"/>
  <c r="H3009" i="1"/>
  <c r="I3009" i="1"/>
  <c r="J3009" i="1"/>
  <c r="L3009" i="1"/>
  <c r="M3009" i="1"/>
  <c r="C3010" i="1"/>
  <c r="E3010" i="1"/>
  <c r="F3010" i="1"/>
  <c r="H3010" i="1"/>
  <c r="I3010" i="1"/>
  <c r="J3010" i="1"/>
  <c r="L3010" i="1"/>
  <c r="M3010" i="1"/>
  <c r="C3011" i="1"/>
  <c r="E3011" i="1"/>
  <c r="F3011" i="1"/>
  <c r="H3011" i="1"/>
  <c r="I3011" i="1"/>
  <c r="J3011" i="1"/>
  <c r="L3011" i="1"/>
  <c r="M3011" i="1"/>
  <c r="C3012" i="1"/>
  <c r="E3012" i="1"/>
  <c r="F3012" i="1"/>
  <c r="H3012" i="1"/>
  <c r="I3012" i="1"/>
  <c r="J3012" i="1"/>
  <c r="L3012" i="1"/>
  <c r="M3012" i="1"/>
  <c r="C3013" i="1"/>
  <c r="E3013" i="1"/>
  <c r="F3013" i="1"/>
  <c r="H3013" i="1"/>
  <c r="I3013" i="1"/>
  <c r="J3013" i="1"/>
  <c r="L3013" i="1"/>
  <c r="M3013" i="1"/>
  <c r="C3014" i="1"/>
  <c r="E3014" i="1"/>
  <c r="F3014" i="1"/>
  <c r="H3014" i="1"/>
  <c r="I3014" i="1"/>
  <c r="J3014" i="1"/>
  <c r="L3014" i="1"/>
  <c r="M3014" i="1"/>
  <c r="C3015" i="1"/>
  <c r="E3015" i="1"/>
  <c r="F3015" i="1"/>
  <c r="H3015" i="1"/>
  <c r="I3015" i="1"/>
  <c r="J3015" i="1"/>
  <c r="L3015" i="1"/>
  <c r="M3015" i="1"/>
  <c r="C3016" i="1"/>
  <c r="E3016" i="1"/>
  <c r="F3016" i="1"/>
  <c r="H3016" i="1"/>
  <c r="I3016" i="1"/>
  <c r="J3016" i="1"/>
  <c r="L3016" i="1"/>
  <c r="M3016" i="1"/>
  <c r="C3017" i="1"/>
  <c r="E3017" i="1"/>
  <c r="F3017" i="1"/>
  <c r="H3017" i="1"/>
  <c r="I3017" i="1"/>
  <c r="J3017" i="1"/>
  <c r="L3017" i="1"/>
  <c r="M3017" i="1"/>
  <c r="C3018" i="1"/>
  <c r="E3018" i="1"/>
  <c r="F3018" i="1"/>
  <c r="H3018" i="1"/>
  <c r="I3018" i="1"/>
  <c r="J3018" i="1"/>
  <c r="L3018" i="1"/>
  <c r="M3018" i="1"/>
  <c r="C3019" i="1"/>
  <c r="E3019" i="1"/>
  <c r="F3019" i="1"/>
  <c r="H3019" i="1"/>
  <c r="I3019" i="1"/>
  <c r="J3019" i="1"/>
  <c r="L3019" i="1"/>
  <c r="M3019" i="1"/>
  <c r="C3020" i="1"/>
  <c r="E3020" i="1"/>
  <c r="F3020" i="1"/>
  <c r="H3020" i="1"/>
  <c r="I3020" i="1"/>
  <c r="J3020" i="1"/>
  <c r="L3020" i="1"/>
  <c r="M3020" i="1"/>
  <c r="C3021" i="1"/>
  <c r="E3021" i="1"/>
  <c r="F3021" i="1"/>
  <c r="H3021" i="1"/>
  <c r="I3021" i="1"/>
  <c r="J3021" i="1"/>
  <c r="L3021" i="1"/>
  <c r="M3021" i="1"/>
  <c r="C3022" i="1"/>
  <c r="E3022" i="1"/>
  <c r="F3022" i="1"/>
  <c r="H3022" i="1"/>
  <c r="I3022" i="1"/>
  <c r="J3022" i="1"/>
  <c r="L3022" i="1"/>
  <c r="M3022" i="1"/>
  <c r="C3023" i="1"/>
  <c r="E3023" i="1"/>
  <c r="F3023" i="1"/>
  <c r="H3023" i="1"/>
  <c r="I3023" i="1"/>
  <c r="J3023" i="1"/>
  <c r="L3023" i="1"/>
  <c r="M3023" i="1"/>
  <c r="C3024" i="1"/>
  <c r="E3024" i="1"/>
  <c r="F3024" i="1"/>
  <c r="H3024" i="1"/>
  <c r="I3024" i="1"/>
  <c r="J3024" i="1"/>
  <c r="L3024" i="1"/>
  <c r="M3024" i="1"/>
  <c r="C3025" i="1"/>
  <c r="E3025" i="1"/>
  <c r="F3025" i="1"/>
  <c r="H3025" i="1"/>
  <c r="I3025" i="1"/>
  <c r="J3025" i="1"/>
  <c r="L3025" i="1"/>
  <c r="M3025" i="1"/>
  <c r="C3026" i="1"/>
  <c r="E3026" i="1"/>
  <c r="F3026" i="1"/>
  <c r="H3026" i="1"/>
  <c r="I3026" i="1"/>
  <c r="J3026" i="1"/>
  <c r="L3026" i="1"/>
  <c r="M3026" i="1"/>
  <c r="C3027" i="1"/>
  <c r="E3027" i="1"/>
  <c r="F3027" i="1"/>
  <c r="H3027" i="1"/>
  <c r="I3027" i="1"/>
  <c r="J3027" i="1"/>
  <c r="L3027" i="1"/>
  <c r="M3027" i="1"/>
  <c r="C3028" i="1"/>
  <c r="E3028" i="1"/>
  <c r="F3028" i="1"/>
  <c r="H3028" i="1"/>
  <c r="I3028" i="1"/>
  <c r="J3028" i="1"/>
  <c r="L3028" i="1"/>
  <c r="M3028" i="1"/>
  <c r="C3029" i="1"/>
  <c r="E3029" i="1"/>
  <c r="F3029" i="1"/>
  <c r="H3029" i="1"/>
  <c r="I3029" i="1"/>
  <c r="J3029" i="1"/>
  <c r="L3029" i="1"/>
  <c r="M3029" i="1"/>
  <c r="C3030" i="1"/>
  <c r="E3030" i="1"/>
  <c r="F3030" i="1"/>
  <c r="H3030" i="1"/>
  <c r="I3030" i="1"/>
  <c r="J3030" i="1"/>
  <c r="L3030" i="1"/>
  <c r="M3030" i="1"/>
  <c r="C3031" i="1"/>
  <c r="E3031" i="1"/>
  <c r="F3031" i="1"/>
  <c r="H3031" i="1"/>
  <c r="I3031" i="1"/>
  <c r="J3031" i="1"/>
  <c r="L3031" i="1"/>
  <c r="M3031" i="1"/>
  <c r="C3032" i="1"/>
  <c r="E3032" i="1"/>
  <c r="F3032" i="1"/>
  <c r="H3032" i="1"/>
  <c r="I3032" i="1"/>
  <c r="J3032" i="1"/>
  <c r="L3032" i="1"/>
  <c r="M3032" i="1"/>
  <c r="C3033" i="1"/>
  <c r="E3033" i="1"/>
  <c r="F3033" i="1"/>
  <c r="H3033" i="1"/>
  <c r="I3033" i="1"/>
  <c r="J3033" i="1"/>
  <c r="L3033" i="1"/>
  <c r="M3033" i="1"/>
  <c r="C3034" i="1"/>
  <c r="E3034" i="1"/>
  <c r="F3034" i="1"/>
  <c r="H3034" i="1"/>
  <c r="I3034" i="1"/>
  <c r="J3034" i="1"/>
  <c r="L3034" i="1"/>
  <c r="M3034" i="1"/>
  <c r="C3035" i="1"/>
  <c r="E3035" i="1"/>
  <c r="F3035" i="1"/>
  <c r="H3035" i="1"/>
  <c r="I3035" i="1"/>
  <c r="J3035" i="1"/>
  <c r="L3035" i="1"/>
  <c r="M3035" i="1"/>
  <c r="C3036" i="1"/>
  <c r="E3036" i="1"/>
  <c r="F3036" i="1"/>
  <c r="H3036" i="1"/>
  <c r="I3036" i="1"/>
  <c r="J3036" i="1"/>
  <c r="L3036" i="1"/>
  <c r="M3036" i="1"/>
  <c r="C3037" i="1"/>
  <c r="E3037" i="1"/>
  <c r="F3037" i="1"/>
  <c r="H3037" i="1"/>
  <c r="I3037" i="1"/>
  <c r="J3037" i="1"/>
  <c r="L3037" i="1"/>
  <c r="M3037" i="1"/>
  <c r="C3038" i="1"/>
  <c r="E3038" i="1"/>
  <c r="F3038" i="1"/>
  <c r="H3038" i="1"/>
  <c r="I3038" i="1"/>
  <c r="J3038" i="1"/>
  <c r="L3038" i="1"/>
  <c r="M3038" i="1"/>
  <c r="C3039" i="1"/>
  <c r="E3039" i="1"/>
  <c r="F3039" i="1"/>
  <c r="H3039" i="1"/>
  <c r="I3039" i="1"/>
  <c r="J3039" i="1"/>
  <c r="L3039" i="1"/>
  <c r="M3039" i="1"/>
  <c r="C3040" i="1"/>
  <c r="E3040" i="1"/>
  <c r="F3040" i="1"/>
  <c r="H3040" i="1"/>
  <c r="I3040" i="1"/>
  <c r="J3040" i="1"/>
  <c r="L3040" i="1"/>
  <c r="M3040" i="1"/>
  <c r="C3041" i="1"/>
  <c r="E3041" i="1"/>
  <c r="F3041" i="1"/>
  <c r="H3041" i="1"/>
  <c r="I3041" i="1"/>
  <c r="J3041" i="1"/>
  <c r="L3041" i="1"/>
  <c r="M3041" i="1"/>
  <c r="C3042" i="1"/>
  <c r="E3042" i="1"/>
  <c r="F3042" i="1"/>
  <c r="H3042" i="1"/>
  <c r="I3042" i="1"/>
  <c r="J3042" i="1"/>
  <c r="L3042" i="1"/>
  <c r="M3042" i="1"/>
  <c r="C3043" i="1"/>
  <c r="E3043" i="1"/>
  <c r="F3043" i="1"/>
  <c r="H3043" i="1"/>
  <c r="I3043" i="1"/>
  <c r="J3043" i="1"/>
  <c r="L3043" i="1"/>
  <c r="M3043" i="1"/>
  <c r="C3044" i="1"/>
  <c r="E3044" i="1"/>
  <c r="F3044" i="1"/>
  <c r="H3044" i="1"/>
  <c r="I3044" i="1"/>
  <c r="J3044" i="1"/>
  <c r="L3044" i="1"/>
  <c r="M3044" i="1"/>
  <c r="C3045" i="1"/>
  <c r="E3045" i="1"/>
  <c r="F3045" i="1"/>
  <c r="H3045" i="1"/>
  <c r="I3045" i="1"/>
  <c r="J3045" i="1"/>
  <c r="L3045" i="1"/>
  <c r="M3045" i="1"/>
  <c r="C3046" i="1"/>
  <c r="E3046" i="1"/>
  <c r="F3046" i="1"/>
  <c r="H3046" i="1"/>
  <c r="I3046" i="1"/>
  <c r="J3046" i="1"/>
  <c r="L3046" i="1"/>
  <c r="M3046" i="1"/>
  <c r="C3047" i="1"/>
  <c r="E3047" i="1"/>
  <c r="F3047" i="1"/>
  <c r="H3047" i="1"/>
  <c r="I3047" i="1"/>
  <c r="J3047" i="1"/>
  <c r="L3047" i="1"/>
  <c r="M3047" i="1"/>
  <c r="C3048" i="1"/>
  <c r="E3048" i="1"/>
  <c r="F3048" i="1"/>
  <c r="H3048" i="1"/>
  <c r="I3048" i="1"/>
  <c r="J3048" i="1"/>
  <c r="L3048" i="1"/>
  <c r="M3048" i="1"/>
  <c r="C3049" i="1"/>
  <c r="E3049" i="1"/>
  <c r="F3049" i="1"/>
  <c r="H3049" i="1"/>
  <c r="I3049" i="1"/>
  <c r="J3049" i="1"/>
  <c r="L3049" i="1"/>
  <c r="M3049" i="1"/>
  <c r="C3050" i="1"/>
  <c r="E3050" i="1"/>
  <c r="F3050" i="1"/>
  <c r="H3050" i="1"/>
  <c r="I3050" i="1"/>
  <c r="J3050" i="1"/>
  <c r="L3050" i="1"/>
  <c r="M3050" i="1"/>
  <c r="C3051" i="1"/>
  <c r="E3051" i="1"/>
  <c r="F3051" i="1"/>
  <c r="H3051" i="1"/>
  <c r="I3051" i="1"/>
  <c r="J3051" i="1"/>
  <c r="L3051" i="1"/>
  <c r="M3051" i="1"/>
  <c r="C3052" i="1"/>
  <c r="E3052" i="1"/>
  <c r="F3052" i="1"/>
  <c r="H3052" i="1"/>
  <c r="I3052" i="1"/>
  <c r="J3052" i="1"/>
  <c r="L3052" i="1"/>
  <c r="M3052" i="1"/>
  <c r="C3053" i="1"/>
  <c r="E3053" i="1"/>
  <c r="F3053" i="1"/>
  <c r="H3053" i="1"/>
  <c r="I3053" i="1"/>
  <c r="J3053" i="1"/>
  <c r="L3053" i="1"/>
  <c r="M3053" i="1"/>
  <c r="C3054" i="1"/>
  <c r="E3054" i="1"/>
  <c r="F3054" i="1"/>
  <c r="H3054" i="1"/>
  <c r="I3054" i="1"/>
  <c r="J3054" i="1"/>
  <c r="L3054" i="1"/>
  <c r="M3054" i="1"/>
  <c r="C3055" i="1"/>
  <c r="E3055" i="1"/>
  <c r="F3055" i="1"/>
  <c r="H3055" i="1"/>
  <c r="I3055" i="1"/>
  <c r="J3055" i="1"/>
  <c r="L3055" i="1"/>
  <c r="M3055" i="1"/>
  <c r="C3056" i="1"/>
  <c r="E3056" i="1"/>
  <c r="F3056" i="1"/>
  <c r="H3056" i="1"/>
  <c r="I3056" i="1"/>
  <c r="J3056" i="1"/>
  <c r="L3056" i="1"/>
  <c r="M3056" i="1"/>
  <c r="C3057" i="1"/>
  <c r="E3057" i="1"/>
  <c r="F3057" i="1"/>
  <c r="H3057" i="1"/>
  <c r="I3057" i="1"/>
  <c r="J3057" i="1"/>
  <c r="L3057" i="1"/>
  <c r="M3057" i="1"/>
  <c r="C3058" i="1"/>
  <c r="E3058" i="1"/>
  <c r="F3058" i="1"/>
  <c r="H3058" i="1"/>
  <c r="I3058" i="1"/>
  <c r="J3058" i="1"/>
  <c r="L3058" i="1"/>
  <c r="M3058" i="1"/>
  <c r="C3059" i="1"/>
  <c r="E3059" i="1"/>
  <c r="F3059" i="1"/>
  <c r="H3059" i="1"/>
  <c r="I3059" i="1"/>
  <c r="J3059" i="1"/>
  <c r="L3059" i="1"/>
  <c r="M3059" i="1"/>
  <c r="C3060" i="1"/>
  <c r="E3060" i="1"/>
  <c r="F3060" i="1"/>
  <c r="H3060" i="1"/>
  <c r="I3060" i="1"/>
  <c r="J3060" i="1"/>
  <c r="L3060" i="1"/>
  <c r="M3060" i="1"/>
  <c r="C3061" i="1"/>
  <c r="E3061" i="1"/>
  <c r="F3061" i="1"/>
  <c r="H3061" i="1"/>
  <c r="I3061" i="1"/>
  <c r="J3061" i="1"/>
  <c r="L3061" i="1"/>
  <c r="M3061" i="1"/>
  <c r="C3062" i="1"/>
  <c r="E3062" i="1"/>
  <c r="F3062" i="1"/>
  <c r="H3062" i="1"/>
  <c r="I3062" i="1"/>
  <c r="J3062" i="1"/>
  <c r="L3062" i="1"/>
  <c r="M3062" i="1"/>
  <c r="C3063" i="1"/>
  <c r="E3063" i="1"/>
  <c r="F3063" i="1"/>
  <c r="H3063" i="1"/>
  <c r="I3063" i="1"/>
  <c r="J3063" i="1"/>
  <c r="L3063" i="1"/>
  <c r="M3063" i="1"/>
  <c r="C3064" i="1"/>
  <c r="E3064" i="1"/>
  <c r="F3064" i="1"/>
  <c r="H3064" i="1"/>
  <c r="I3064" i="1"/>
  <c r="J3064" i="1"/>
  <c r="L3064" i="1"/>
  <c r="M3064" i="1"/>
  <c r="C3065" i="1"/>
  <c r="E3065" i="1"/>
  <c r="F3065" i="1"/>
  <c r="H3065" i="1"/>
  <c r="I3065" i="1"/>
  <c r="J3065" i="1"/>
  <c r="L3065" i="1"/>
  <c r="M3065" i="1"/>
  <c r="C3066" i="1"/>
  <c r="E3066" i="1"/>
  <c r="F3066" i="1"/>
  <c r="H3066" i="1"/>
  <c r="I3066" i="1"/>
  <c r="J3066" i="1"/>
  <c r="L3066" i="1"/>
  <c r="M3066" i="1"/>
  <c r="C3067" i="1"/>
  <c r="E3067" i="1"/>
  <c r="F3067" i="1"/>
  <c r="H3067" i="1"/>
  <c r="I3067" i="1"/>
  <c r="J3067" i="1"/>
  <c r="L3067" i="1"/>
  <c r="M3067" i="1"/>
  <c r="C3068" i="1"/>
  <c r="E3068" i="1"/>
  <c r="F3068" i="1"/>
  <c r="H3068" i="1"/>
  <c r="I3068" i="1"/>
  <c r="J3068" i="1"/>
  <c r="L3068" i="1"/>
  <c r="M3068" i="1"/>
  <c r="C3069" i="1"/>
  <c r="E3069" i="1"/>
  <c r="F3069" i="1"/>
  <c r="H3069" i="1"/>
  <c r="I3069" i="1"/>
  <c r="J3069" i="1"/>
  <c r="L3069" i="1"/>
  <c r="M3069" i="1"/>
  <c r="C3070" i="1"/>
  <c r="E3070" i="1"/>
  <c r="F3070" i="1"/>
  <c r="H3070" i="1"/>
  <c r="I3070" i="1"/>
  <c r="J3070" i="1"/>
  <c r="L3070" i="1"/>
  <c r="M3070" i="1"/>
  <c r="C3071" i="1"/>
  <c r="E3071" i="1"/>
  <c r="F3071" i="1"/>
  <c r="H3071" i="1"/>
  <c r="I3071" i="1"/>
  <c r="J3071" i="1"/>
  <c r="L3071" i="1"/>
  <c r="M3071" i="1"/>
  <c r="C3072" i="1"/>
  <c r="E3072" i="1"/>
  <c r="F3072" i="1"/>
  <c r="H3072" i="1"/>
  <c r="I3072" i="1"/>
  <c r="J3072" i="1"/>
  <c r="L3072" i="1"/>
  <c r="M3072" i="1"/>
  <c r="C3073" i="1"/>
  <c r="E3073" i="1"/>
  <c r="F3073" i="1"/>
  <c r="H3073" i="1"/>
  <c r="I3073" i="1"/>
  <c r="J3073" i="1"/>
  <c r="L3073" i="1"/>
  <c r="M3073" i="1"/>
  <c r="C3074" i="1"/>
  <c r="E3074" i="1"/>
  <c r="F3074" i="1"/>
  <c r="H3074" i="1"/>
  <c r="I3074" i="1"/>
  <c r="J3074" i="1"/>
  <c r="L3074" i="1"/>
  <c r="M3074" i="1"/>
  <c r="C3075" i="1"/>
  <c r="E3075" i="1"/>
  <c r="F3075" i="1"/>
  <c r="H3075" i="1"/>
  <c r="I3075" i="1"/>
  <c r="J3075" i="1"/>
  <c r="L3075" i="1"/>
  <c r="M3075" i="1"/>
  <c r="C3076" i="1"/>
  <c r="E3076" i="1"/>
  <c r="F3076" i="1"/>
  <c r="H3076" i="1"/>
  <c r="I3076" i="1"/>
  <c r="J3076" i="1"/>
  <c r="L3076" i="1"/>
  <c r="M3076" i="1"/>
  <c r="C3077" i="1"/>
  <c r="E3077" i="1"/>
  <c r="F3077" i="1"/>
  <c r="H3077" i="1"/>
  <c r="I3077" i="1"/>
  <c r="J3077" i="1"/>
  <c r="L3077" i="1"/>
  <c r="M3077" i="1"/>
  <c r="C3078" i="1"/>
  <c r="E3078" i="1"/>
  <c r="F3078" i="1"/>
  <c r="H3078" i="1"/>
  <c r="I3078" i="1"/>
  <c r="J3078" i="1"/>
  <c r="L3078" i="1"/>
  <c r="M3078" i="1"/>
  <c r="C3079" i="1"/>
  <c r="E3079" i="1"/>
  <c r="F3079" i="1"/>
  <c r="H3079" i="1"/>
  <c r="I3079" i="1"/>
  <c r="J3079" i="1"/>
  <c r="L3079" i="1"/>
  <c r="M3079" i="1"/>
  <c r="C3080" i="1"/>
  <c r="E3080" i="1"/>
  <c r="F3080" i="1"/>
  <c r="H3080" i="1"/>
  <c r="I3080" i="1"/>
  <c r="J3080" i="1"/>
  <c r="L3080" i="1"/>
  <c r="M3080" i="1"/>
  <c r="C3081" i="1"/>
  <c r="E3081" i="1"/>
  <c r="F3081" i="1"/>
  <c r="H3081" i="1"/>
  <c r="I3081" i="1"/>
  <c r="J3081" i="1"/>
  <c r="L3081" i="1"/>
  <c r="M3081" i="1"/>
  <c r="C3082" i="1"/>
  <c r="E3082" i="1"/>
  <c r="F3082" i="1"/>
  <c r="H3082" i="1"/>
  <c r="I3082" i="1"/>
  <c r="J3082" i="1"/>
  <c r="L3082" i="1"/>
  <c r="M3082" i="1"/>
  <c r="C3083" i="1"/>
  <c r="E3083" i="1"/>
  <c r="F3083" i="1"/>
  <c r="H3083" i="1"/>
  <c r="I3083" i="1"/>
  <c r="J3083" i="1"/>
  <c r="L3083" i="1"/>
  <c r="M3083" i="1"/>
  <c r="C3084" i="1"/>
  <c r="E3084" i="1"/>
  <c r="F3084" i="1"/>
  <c r="H3084" i="1"/>
  <c r="I3084" i="1"/>
  <c r="J3084" i="1"/>
  <c r="L3084" i="1"/>
  <c r="M3084" i="1"/>
  <c r="C3085" i="1"/>
  <c r="E3085" i="1"/>
  <c r="F3085" i="1"/>
  <c r="H3085" i="1"/>
  <c r="I3085" i="1"/>
  <c r="J3085" i="1"/>
  <c r="L3085" i="1"/>
  <c r="M3085" i="1"/>
  <c r="C3086" i="1"/>
  <c r="E3086" i="1"/>
  <c r="F3086" i="1"/>
  <c r="H3086" i="1"/>
  <c r="I3086" i="1"/>
  <c r="J3086" i="1"/>
  <c r="L3086" i="1"/>
  <c r="M3086" i="1"/>
  <c r="C3087" i="1"/>
  <c r="E3087" i="1"/>
  <c r="F3087" i="1"/>
  <c r="H3087" i="1"/>
  <c r="I3087" i="1"/>
  <c r="J3087" i="1"/>
  <c r="L3087" i="1"/>
  <c r="M3087" i="1"/>
  <c r="C3088" i="1"/>
  <c r="E3088" i="1"/>
  <c r="F3088" i="1"/>
  <c r="H3088" i="1"/>
  <c r="I3088" i="1"/>
  <c r="J3088" i="1"/>
  <c r="L3088" i="1"/>
  <c r="M3088" i="1"/>
  <c r="C3089" i="1"/>
  <c r="E3089" i="1"/>
  <c r="F3089" i="1"/>
  <c r="H3089" i="1"/>
  <c r="I3089" i="1"/>
  <c r="J3089" i="1"/>
  <c r="L3089" i="1"/>
  <c r="M3089" i="1"/>
  <c r="C3090" i="1"/>
  <c r="E3090" i="1"/>
  <c r="F3090" i="1"/>
  <c r="H3090" i="1"/>
  <c r="I3090" i="1"/>
  <c r="J3090" i="1"/>
  <c r="L3090" i="1"/>
  <c r="M3090" i="1"/>
  <c r="C3091" i="1"/>
  <c r="E3091" i="1"/>
  <c r="F3091" i="1"/>
  <c r="H3091" i="1"/>
  <c r="I3091" i="1"/>
  <c r="J3091" i="1"/>
  <c r="L3091" i="1"/>
  <c r="M3091" i="1"/>
  <c r="C3092" i="1"/>
  <c r="E3092" i="1"/>
  <c r="F3092" i="1"/>
  <c r="H3092" i="1"/>
  <c r="I3092" i="1"/>
  <c r="J3092" i="1"/>
  <c r="L3092" i="1"/>
  <c r="M3092" i="1"/>
  <c r="C3093" i="1"/>
  <c r="E3093" i="1"/>
  <c r="F3093" i="1"/>
  <c r="H3093" i="1"/>
  <c r="I3093" i="1"/>
  <c r="J3093" i="1"/>
  <c r="L3093" i="1"/>
  <c r="M3093" i="1"/>
  <c r="C3094" i="1"/>
  <c r="E3094" i="1"/>
  <c r="F3094" i="1"/>
  <c r="H3094" i="1"/>
  <c r="I3094" i="1"/>
  <c r="J3094" i="1"/>
  <c r="L3094" i="1"/>
  <c r="M3094" i="1"/>
  <c r="C3095" i="1"/>
  <c r="E3095" i="1"/>
  <c r="F3095" i="1"/>
  <c r="H3095" i="1"/>
  <c r="I3095" i="1"/>
  <c r="J3095" i="1"/>
  <c r="L3095" i="1"/>
  <c r="M3095" i="1"/>
  <c r="C3096" i="1"/>
  <c r="E3096" i="1"/>
  <c r="F3096" i="1"/>
  <c r="H3096" i="1"/>
  <c r="I3096" i="1"/>
  <c r="J3096" i="1"/>
  <c r="L3096" i="1"/>
  <c r="M3096" i="1"/>
  <c r="C3097" i="1"/>
  <c r="E3097" i="1"/>
  <c r="F3097" i="1"/>
  <c r="H3097" i="1"/>
  <c r="I3097" i="1"/>
  <c r="J3097" i="1"/>
  <c r="L3097" i="1"/>
  <c r="M3097" i="1"/>
  <c r="C3098" i="1"/>
  <c r="E3098" i="1"/>
  <c r="F3098" i="1"/>
  <c r="H3098" i="1"/>
  <c r="I3098" i="1"/>
  <c r="J3098" i="1"/>
  <c r="L3098" i="1"/>
  <c r="M3098" i="1"/>
  <c r="C3099" i="1"/>
  <c r="E3099" i="1"/>
  <c r="F3099" i="1"/>
  <c r="H3099" i="1"/>
  <c r="I3099" i="1"/>
  <c r="J3099" i="1"/>
  <c r="L3099" i="1"/>
  <c r="M3099" i="1"/>
  <c r="C3100" i="1"/>
  <c r="E3100" i="1"/>
  <c r="F3100" i="1"/>
  <c r="H3100" i="1"/>
  <c r="I3100" i="1"/>
  <c r="J3100" i="1"/>
  <c r="L3100" i="1"/>
  <c r="M3100" i="1"/>
  <c r="C3101" i="1"/>
  <c r="E3101" i="1"/>
  <c r="F3101" i="1"/>
  <c r="H3101" i="1"/>
  <c r="I3101" i="1"/>
  <c r="J3101" i="1"/>
  <c r="L3101" i="1"/>
  <c r="M3101" i="1"/>
  <c r="C3102" i="1"/>
  <c r="E3102" i="1"/>
  <c r="F3102" i="1"/>
  <c r="H3102" i="1"/>
  <c r="I3102" i="1"/>
  <c r="J3102" i="1"/>
  <c r="L3102" i="1"/>
  <c r="M3102" i="1"/>
  <c r="C3103" i="1"/>
  <c r="E3103" i="1"/>
  <c r="F3103" i="1"/>
  <c r="H3103" i="1"/>
  <c r="I3103" i="1"/>
  <c r="J3103" i="1"/>
  <c r="L3103" i="1"/>
  <c r="M3103" i="1"/>
  <c r="C3104" i="1"/>
  <c r="E3104" i="1"/>
  <c r="F3104" i="1"/>
  <c r="H3104" i="1"/>
  <c r="I3104" i="1"/>
  <c r="J3104" i="1"/>
  <c r="L3104" i="1"/>
  <c r="M3104" i="1"/>
  <c r="C3105" i="1"/>
  <c r="E3105" i="1"/>
  <c r="F3105" i="1"/>
  <c r="H3105" i="1"/>
  <c r="I3105" i="1"/>
  <c r="J3105" i="1"/>
  <c r="L3105" i="1"/>
  <c r="M3105" i="1"/>
  <c r="C3106" i="1"/>
  <c r="E3106" i="1"/>
  <c r="F3106" i="1"/>
  <c r="H3106" i="1"/>
  <c r="I3106" i="1"/>
  <c r="J3106" i="1"/>
  <c r="L3106" i="1"/>
  <c r="M3106" i="1"/>
  <c r="C3107" i="1"/>
  <c r="E3107" i="1"/>
  <c r="F3107" i="1"/>
  <c r="H3107" i="1"/>
  <c r="I3107" i="1"/>
  <c r="J3107" i="1"/>
  <c r="L3107" i="1"/>
  <c r="M3107" i="1"/>
  <c r="C3108" i="1"/>
  <c r="E3108" i="1"/>
  <c r="F3108" i="1"/>
  <c r="H3108" i="1"/>
  <c r="I3108" i="1"/>
  <c r="J3108" i="1"/>
  <c r="L3108" i="1"/>
  <c r="M3108" i="1"/>
  <c r="C3109" i="1"/>
  <c r="E3109" i="1"/>
  <c r="F3109" i="1"/>
  <c r="H3109" i="1"/>
  <c r="I3109" i="1"/>
  <c r="J3109" i="1"/>
  <c r="L3109" i="1"/>
  <c r="M3109" i="1"/>
  <c r="C3110" i="1"/>
  <c r="E3110" i="1"/>
  <c r="F3110" i="1"/>
  <c r="H3110" i="1"/>
  <c r="I3110" i="1"/>
  <c r="J3110" i="1"/>
  <c r="L3110" i="1"/>
  <c r="M3110" i="1"/>
  <c r="C3111" i="1"/>
  <c r="E3111" i="1"/>
  <c r="F3111" i="1"/>
  <c r="H3111" i="1"/>
  <c r="I3111" i="1"/>
  <c r="J3111" i="1"/>
  <c r="L3111" i="1"/>
  <c r="M3111" i="1"/>
  <c r="C3112" i="1"/>
  <c r="E3112" i="1"/>
  <c r="F3112" i="1"/>
  <c r="H3112" i="1"/>
  <c r="I3112" i="1"/>
  <c r="J3112" i="1"/>
  <c r="L3112" i="1"/>
  <c r="M3112" i="1"/>
  <c r="C3113" i="1"/>
  <c r="E3113" i="1"/>
  <c r="F3113" i="1"/>
  <c r="H3113" i="1"/>
  <c r="I3113" i="1"/>
  <c r="J3113" i="1"/>
  <c r="L3113" i="1"/>
  <c r="M3113" i="1"/>
  <c r="C3114" i="1"/>
  <c r="E3114" i="1"/>
  <c r="F3114" i="1"/>
  <c r="H3114" i="1"/>
  <c r="I3114" i="1"/>
  <c r="J3114" i="1"/>
  <c r="L3114" i="1"/>
  <c r="M3114" i="1"/>
  <c r="C3115" i="1"/>
  <c r="E3115" i="1"/>
  <c r="F3115" i="1"/>
  <c r="H3115" i="1"/>
  <c r="I3115" i="1"/>
  <c r="J3115" i="1"/>
  <c r="L3115" i="1"/>
  <c r="M3115" i="1"/>
  <c r="C3116" i="1"/>
  <c r="E3116" i="1"/>
  <c r="F3116" i="1"/>
  <c r="H3116" i="1"/>
  <c r="I3116" i="1"/>
  <c r="J3116" i="1"/>
  <c r="L3116" i="1"/>
  <c r="M3116" i="1"/>
  <c r="C3117" i="1"/>
  <c r="E3117" i="1"/>
  <c r="F3117" i="1"/>
  <c r="H3117" i="1"/>
  <c r="I3117" i="1"/>
  <c r="J3117" i="1"/>
  <c r="L3117" i="1"/>
  <c r="M3117" i="1"/>
  <c r="C3118" i="1"/>
  <c r="E3118" i="1"/>
  <c r="F3118" i="1"/>
  <c r="H3118" i="1"/>
  <c r="I3118" i="1"/>
  <c r="J3118" i="1"/>
  <c r="L3118" i="1"/>
  <c r="M3118" i="1"/>
  <c r="C3119" i="1"/>
  <c r="E3119" i="1"/>
  <c r="F3119" i="1"/>
  <c r="H3119" i="1"/>
  <c r="I3119" i="1"/>
  <c r="J3119" i="1"/>
  <c r="L3119" i="1"/>
  <c r="M3119" i="1"/>
  <c r="C3120" i="1"/>
  <c r="E3120" i="1"/>
  <c r="F3120" i="1"/>
  <c r="H3120" i="1"/>
  <c r="I3120" i="1"/>
  <c r="J3120" i="1"/>
  <c r="L3120" i="1"/>
  <c r="M3120" i="1"/>
  <c r="C3121" i="1"/>
  <c r="E3121" i="1"/>
  <c r="F3121" i="1"/>
  <c r="H3121" i="1"/>
  <c r="I3121" i="1"/>
  <c r="J3121" i="1"/>
  <c r="L3121" i="1"/>
  <c r="M3121" i="1"/>
  <c r="C3122" i="1"/>
  <c r="E3122" i="1"/>
  <c r="F3122" i="1"/>
  <c r="H3122" i="1"/>
  <c r="I3122" i="1"/>
  <c r="J3122" i="1"/>
  <c r="L3122" i="1"/>
  <c r="M3122" i="1"/>
  <c r="C3123" i="1"/>
  <c r="E3123" i="1"/>
  <c r="F3123" i="1"/>
  <c r="H3123" i="1"/>
  <c r="I3123" i="1"/>
  <c r="J3123" i="1"/>
  <c r="L3123" i="1"/>
  <c r="M3123" i="1"/>
  <c r="C3124" i="1"/>
  <c r="E3124" i="1"/>
  <c r="F3124" i="1"/>
  <c r="H3124" i="1"/>
  <c r="I3124" i="1"/>
  <c r="J3124" i="1"/>
  <c r="L3124" i="1"/>
  <c r="M3124" i="1"/>
  <c r="C3125" i="1"/>
  <c r="E3125" i="1"/>
  <c r="F3125" i="1"/>
  <c r="H3125" i="1"/>
  <c r="I3125" i="1"/>
  <c r="J3125" i="1"/>
  <c r="L3125" i="1"/>
  <c r="M3125" i="1"/>
  <c r="C3126" i="1"/>
  <c r="E3126" i="1"/>
  <c r="F3126" i="1"/>
  <c r="H3126" i="1"/>
  <c r="I3126" i="1"/>
  <c r="J3126" i="1"/>
  <c r="L3126" i="1"/>
  <c r="M3126" i="1"/>
  <c r="C3127" i="1"/>
  <c r="E3127" i="1"/>
  <c r="F3127" i="1"/>
  <c r="H3127" i="1"/>
  <c r="I3127" i="1"/>
  <c r="J3127" i="1"/>
  <c r="L3127" i="1"/>
  <c r="M3127" i="1"/>
  <c r="C3128" i="1"/>
  <c r="E3128" i="1"/>
  <c r="F3128" i="1"/>
  <c r="H3128" i="1"/>
  <c r="I3128" i="1"/>
  <c r="J3128" i="1"/>
  <c r="L3128" i="1"/>
  <c r="M3128" i="1"/>
  <c r="C3129" i="1"/>
  <c r="E3129" i="1"/>
  <c r="F3129" i="1"/>
  <c r="H3129" i="1"/>
  <c r="I3129" i="1"/>
  <c r="J3129" i="1"/>
  <c r="L3129" i="1"/>
  <c r="M3129" i="1"/>
  <c r="C3130" i="1"/>
  <c r="E3130" i="1"/>
  <c r="F3130" i="1"/>
  <c r="H3130" i="1"/>
  <c r="I3130" i="1"/>
  <c r="J3130" i="1"/>
  <c r="L3130" i="1"/>
  <c r="M3130" i="1"/>
  <c r="C3131" i="1"/>
  <c r="E3131" i="1"/>
  <c r="F3131" i="1"/>
  <c r="H3131" i="1"/>
  <c r="I3131" i="1"/>
  <c r="J3131" i="1"/>
  <c r="L3131" i="1"/>
  <c r="M3131" i="1"/>
  <c r="C3132" i="1"/>
  <c r="E3132" i="1"/>
  <c r="F3132" i="1"/>
  <c r="H3132" i="1"/>
  <c r="I3132" i="1"/>
  <c r="J3132" i="1"/>
  <c r="L3132" i="1"/>
  <c r="M3132" i="1"/>
  <c r="C3133" i="1"/>
  <c r="E3133" i="1"/>
  <c r="F3133" i="1"/>
  <c r="H3133" i="1"/>
  <c r="I3133" i="1"/>
  <c r="J3133" i="1"/>
  <c r="L3133" i="1"/>
  <c r="M3133" i="1"/>
  <c r="C3134" i="1"/>
  <c r="E3134" i="1"/>
  <c r="F3134" i="1"/>
  <c r="H3134" i="1"/>
  <c r="I3134" i="1"/>
  <c r="J3134" i="1"/>
  <c r="L3134" i="1"/>
  <c r="M3134" i="1"/>
  <c r="C3135" i="1"/>
  <c r="E3135" i="1"/>
  <c r="F3135" i="1"/>
  <c r="H3135" i="1"/>
  <c r="I3135" i="1"/>
  <c r="J3135" i="1"/>
  <c r="L3135" i="1"/>
  <c r="M3135" i="1"/>
  <c r="C3136" i="1"/>
  <c r="E3136" i="1"/>
  <c r="F3136" i="1"/>
  <c r="H3136" i="1"/>
  <c r="I3136" i="1"/>
  <c r="J3136" i="1"/>
  <c r="L3136" i="1"/>
  <c r="M3136" i="1"/>
  <c r="C3137" i="1"/>
  <c r="E3137" i="1"/>
  <c r="F3137" i="1"/>
  <c r="H3137" i="1"/>
  <c r="I3137" i="1"/>
  <c r="J3137" i="1"/>
  <c r="L3137" i="1"/>
  <c r="M3137" i="1"/>
  <c r="C3138" i="1"/>
  <c r="E3138" i="1"/>
  <c r="F3138" i="1"/>
  <c r="H3138" i="1"/>
  <c r="I3138" i="1"/>
  <c r="J3138" i="1"/>
  <c r="L3138" i="1"/>
  <c r="M3138" i="1"/>
  <c r="C3139" i="1"/>
  <c r="E3139" i="1"/>
  <c r="F3139" i="1"/>
  <c r="H3139" i="1"/>
  <c r="I3139" i="1"/>
  <c r="J3139" i="1"/>
  <c r="L3139" i="1"/>
  <c r="M3139" i="1"/>
  <c r="C3140" i="1"/>
  <c r="E3140" i="1"/>
  <c r="F3140" i="1"/>
  <c r="H3140" i="1"/>
  <c r="I3140" i="1"/>
  <c r="J3140" i="1"/>
  <c r="L3140" i="1"/>
  <c r="M3140" i="1"/>
  <c r="C3141" i="1"/>
  <c r="E3141" i="1"/>
  <c r="F3141" i="1"/>
  <c r="H3141" i="1"/>
  <c r="I3141" i="1"/>
  <c r="J3141" i="1"/>
  <c r="L3141" i="1"/>
  <c r="M3141" i="1"/>
  <c r="C3142" i="1"/>
  <c r="E3142" i="1"/>
  <c r="F3142" i="1"/>
  <c r="H3142" i="1"/>
  <c r="I3142" i="1"/>
  <c r="J3142" i="1"/>
  <c r="L3142" i="1"/>
  <c r="M3142" i="1"/>
  <c r="C3143" i="1"/>
  <c r="E3143" i="1"/>
  <c r="F3143" i="1"/>
  <c r="H3143" i="1"/>
  <c r="I3143" i="1"/>
  <c r="J3143" i="1"/>
  <c r="L3143" i="1"/>
  <c r="M3143" i="1"/>
  <c r="C3144" i="1"/>
  <c r="E3144" i="1"/>
  <c r="F3144" i="1"/>
  <c r="H3144" i="1"/>
  <c r="I3144" i="1"/>
  <c r="J3144" i="1"/>
  <c r="L3144" i="1"/>
  <c r="M3144" i="1"/>
  <c r="C3145" i="1"/>
  <c r="E3145" i="1"/>
  <c r="F3145" i="1"/>
  <c r="H3145" i="1"/>
  <c r="I3145" i="1"/>
  <c r="J3145" i="1"/>
  <c r="L3145" i="1"/>
  <c r="M3145" i="1"/>
  <c r="C3146" i="1"/>
  <c r="E3146" i="1"/>
  <c r="F3146" i="1"/>
  <c r="H3146" i="1"/>
  <c r="I3146" i="1"/>
  <c r="J3146" i="1"/>
  <c r="L3146" i="1"/>
  <c r="M3146" i="1"/>
  <c r="C3147" i="1"/>
  <c r="E3147" i="1"/>
  <c r="F3147" i="1"/>
  <c r="H3147" i="1"/>
  <c r="I3147" i="1"/>
  <c r="J3147" i="1"/>
  <c r="L3147" i="1"/>
  <c r="M3147" i="1"/>
  <c r="C3148" i="1"/>
  <c r="E3148" i="1"/>
  <c r="F3148" i="1"/>
  <c r="H3148" i="1"/>
  <c r="I3148" i="1"/>
  <c r="J3148" i="1"/>
  <c r="L3148" i="1"/>
  <c r="M3148" i="1"/>
  <c r="C3149" i="1"/>
  <c r="E3149" i="1"/>
  <c r="F3149" i="1"/>
  <c r="H3149" i="1"/>
  <c r="I3149" i="1"/>
  <c r="J3149" i="1"/>
  <c r="L3149" i="1"/>
  <c r="M3149" i="1"/>
  <c r="C3150" i="1"/>
  <c r="E3150" i="1"/>
  <c r="F3150" i="1"/>
  <c r="H3150" i="1"/>
  <c r="I3150" i="1"/>
  <c r="J3150" i="1"/>
  <c r="L3150" i="1"/>
  <c r="M3150" i="1"/>
  <c r="C3151" i="1"/>
  <c r="E3151" i="1"/>
  <c r="F3151" i="1"/>
  <c r="H3151" i="1"/>
  <c r="I3151" i="1"/>
  <c r="J3151" i="1"/>
  <c r="L3151" i="1"/>
  <c r="M3151" i="1"/>
  <c r="C3152" i="1"/>
  <c r="E3152" i="1"/>
  <c r="F3152" i="1"/>
  <c r="H3152" i="1"/>
  <c r="I3152" i="1"/>
  <c r="J3152" i="1"/>
  <c r="L3152" i="1"/>
  <c r="M3152" i="1"/>
  <c r="C3153" i="1"/>
  <c r="E3153" i="1"/>
  <c r="F3153" i="1"/>
  <c r="H3153" i="1"/>
  <c r="I3153" i="1"/>
  <c r="J3153" i="1"/>
  <c r="L3153" i="1"/>
  <c r="M3153" i="1"/>
  <c r="C3154" i="1"/>
  <c r="E3154" i="1"/>
  <c r="F3154" i="1"/>
  <c r="H3154" i="1"/>
  <c r="I3154" i="1"/>
  <c r="J3154" i="1"/>
  <c r="L3154" i="1"/>
  <c r="M3154" i="1"/>
  <c r="C3155" i="1"/>
  <c r="E3155" i="1"/>
  <c r="F3155" i="1"/>
  <c r="H3155" i="1"/>
  <c r="I3155" i="1"/>
  <c r="J3155" i="1"/>
  <c r="L3155" i="1"/>
  <c r="M3155" i="1"/>
  <c r="C3156" i="1"/>
  <c r="E3156" i="1"/>
  <c r="F3156" i="1"/>
  <c r="H3156" i="1"/>
  <c r="I3156" i="1"/>
  <c r="J3156" i="1"/>
  <c r="L3156" i="1"/>
  <c r="M3156" i="1"/>
  <c r="C3157" i="1"/>
  <c r="E3157" i="1"/>
  <c r="F3157" i="1"/>
  <c r="H3157" i="1"/>
  <c r="I3157" i="1"/>
  <c r="J3157" i="1"/>
  <c r="L3157" i="1"/>
  <c r="M3157" i="1"/>
  <c r="C3158" i="1"/>
  <c r="E3158" i="1"/>
  <c r="F3158" i="1"/>
  <c r="H3158" i="1"/>
  <c r="I3158" i="1"/>
  <c r="J3158" i="1"/>
  <c r="L3158" i="1"/>
  <c r="M3158" i="1"/>
  <c r="C3159" i="1"/>
  <c r="E3159" i="1"/>
  <c r="F3159" i="1"/>
  <c r="H3159" i="1"/>
  <c r="I3159" i="1"/>
  <c r="J3159" i="1"/>
  <c r="L3159" i="1"/>
  <c r="M3159" i="1"/>
  <c r="C3160" i="1"/>
  <c r="E3160" i="1"/>
  <c r="F3160" i="1"/>
  <c r="H3160" i="1"/>
  <c r="I3160" i="1"/>
  <c r="J3160" i="1"/>
  <c r="L3160" i="1"/>
  <c r="M3160" i="1"/>
  <c r="C3161" i="1"/>
  <c r="E3161" i="1"/>
  <c r="F3161" i="1"/>
  <c r="H3161" i="1"/>
  <c r="I3161" i="1"/>
  <c r="J3161" i="1"/>
  <c r="L3161" i="1"/>
  <c r="M3161" i="1"/>
  <c r="C3162" i="1"/>
  <c r="E3162" i="1"/>
  <c r="F3162" i="1"/>
  <c r="H3162" i="1"/>
  <c r="I3162" i="1"/>
  <c r="J3162" i="1"/>
  <c r="L3162" i="1"/>
  <c r="M3162" i="1"/>
  <c r="C3163" i="1"/>
  <c r="E3163" i="1"/>
  <c r="F3163" i="1"/>
  <c r="H3163" i="1"/>
  <c r="I3163" i="1"/>
  <c r="J3163" i="1"/>
  <c r="L3163" i="1"/>
  <c r="M3163" i="1"/>
  <c r="C3164" i="1"/>
  <c r="E3164" i="1"/>
  <c r="F3164" i="1"/>
  <c r="H3164" i="1"/>
  <c r="I3164" i="1"/>
  <c r="J3164" i="1"/>
  <c r="L3164" i="1"/>
  <c r="M3164" i="1"/>
  <c r="C3165" i="1"/>
  <c r="E3165" i="1"/>
  <c r="F3165" i="1"/>
  <c r="H3165" i="1"/>
  <c r="I3165" i="1"/>
  <c r="J3165" i="1"/>
  <c r="L3165" i="1"/>
  <c r="M3165" i="1"/>
  <c r="C3166" i="1"/>
  <c r="E3166" i="1"/>
  <c r="F3166" i="1"/>
  <c r="H3166" i="1"/>
  <c r="I3166" i="1"/>
  <c r="J3166" i="1"/>
  <c r="L3166" i="1"/>
  <c r="M3166" i="1"/>
  <c r="C3167" i="1"/>
  <c r="E3167" i="1"/>
  <c r="F3167" i="1"/>
  <c r="H3167" i="1"/>
  <c r="I3167" i="1"/>
  <c r="J3167" i="1"/>
  <c r="L3167" i="1"/>
  <c r="M3167" i="1"/>
  <c r="C3168" i="1"/>
  <c r="E3168" i="1"/>
  <c r="F3168" i="1"/>
  <c r="H3168" i="1"/>
  <c r="I3168" i="1"/>
  <c r="J3168" i="1"/>
  <c r="L3168" i="1"/>
  <c r="M3168" i="1"/>
  <c r="C3169" i="1"/>
  <c r="E3169" i="1"/>
  <c r="F3169" i="1"/>
  <c r="H3169" i="1"/>
  <c r="I3169" i="1"/>
  <c r="J3169" i="1"/>
  <c r="L3169" i="1"/>
  <c r="M3169" i="1"/>
  <c r="C3170" i="1"/>
  <c r="E3170" i="1"/>
  <c r="F3170" i="1"/>
  <c r="H3170" i="1"/>
  <c r="I3170" i="1"/>
  <c r="J3170" i="1"/>
  <c r="L3170" i="1"/>
  <c r="M3170" i="1"/>
  <c r="C3171" i="1"/>
  <c r="E3171" i="1"/>
  <c r="F3171" i="1"/>
  <c r="H3171" i="1"/>
  <c r="I3171" i="1"/>
  <c r="J3171" i="1"/>
  <c r="L3171" i="1"/>
  <c r="M3171" i="1"/>
  <c r="C3172" i="1"/>
  <c r="E3172" i="1"/>
  <c r="F3172" i="1"/>
  <c r="H3172" i="1"/>
  <c r="I3172" i="1"/>
  <c r="J3172" i="1"/>
  <c r="L3172" i="1"/>
  <c r="M3172" i="1"/>
  <c r="C3173" i="1"/>
  <c r="E3173" i="1"/>
  <c r="F3173" i="1"/>
  <c r="H3173" i="1"/>
  <c r="I3173" i="1"/>
  <c r="J3173" i="1"/>
  <c r="L3173" i="1"/>
  <c r="M3173" i="1"/>
  <c r="C3174" i="1"/>
  <c r="E3174" i="1"/>
  <c r="F3174" i="1"/>
  <c r="H3174" i="1"/>
  <c r="I3174" i="1"/>
  <c r="J3174" i="1"/>
  <c r="L3174" i="1"/>
  <c r="M3174" i="1"/>
  <c r="C3175" i="1"/>
  <c r="E3175" i="1"/>
  <c r="F3175" i="1"/>
  <c r="H3175" i="1"/>
  <c r="I3175" i="1"/>
  <c r="J3175" i="1"/>
  <c r="L3175" i="1"/>
  <c r="M3175" i="1"/>
  <c r="C3176" i="1"/>
  <c r="E3176" i="1"/>
  <c r="F3176" i="1"/>
  <c r="H3176" i="1"/>
  <c r="I3176" i="1"/>
  <c r="J3176" i="1"/>
  <c r="L3176" i="1"/>
  <c r="M3176" i="1"/>
  <c r="C3177" i="1"/>
  <c r="E3177" i="1"/>
  <c r="F3177" i="1"/>
  <c r="H3177" i="1"/>
  <c r="I3177" i="1"/>
  <c r="J3177" i="1"/>
  <c r="L3177" i="1"/>
  <c r="M3177" i="1"/>
  <c r="C3178" i="1"/>
  <c r="E3178" i="1"/>
  <c r="F3178" i="1"/>
  <c r="H3178" i="1"/>
  <c r="I3178" i="1"/>
  <c r="J3178" i="1"/>
  <c r="L3178" i="1"/>
  <c r="M3178" i="1"/>
  <c r="C3179" i="1"/>
  <c r="E3179" i="1"/>
  <c r="F3179" i="1"/>
  <c r="H3179" i="1"/>
  <c r="I3179" i="1"/>
  <c r="J3179" i="1"/>
  <c r="L3179" i="1"/>
  <c r="M3179" i="1"/>
  <c r="C3180" i="1"/>
  <c r="E3180" i="1"/>
  <c r="F3180" i="1"/>
  <c r="H3180" i="1"/>
  <c r="I3180" i="1"/>
  <c r="J3180" i="1"/>
  <c r="L3180" i="1"/>
  <c r="M3180" i="1"/>
  <c r="C3181" i="1"/>
  <c r="E3181" i="1"/>
  <c r="F3181" i="1"/>
  <c r="H3181" i="1"/>
  <c r="I3181" i="1"/>
  <c r="J3181" i="1"/>
  <c r="L3181" i="1"/>
  <c r="M3181" i="1"/>
  <c r="C3182" i="1"/>
  <c r="E3182" i="1"/>
  <c r="F3182" i="1"/>
  <c r="H3182" i="1"/>
  <c r="I3182" i="1"/>
  <c r="J3182" i="1"/>
  <c r="L3182" i="1"/>
  <c r="M3182" i="1"/>
  <c r="C3183" i="1"/>
  <c r="E3183" i="1"/>
  <c r="F3183" i="1"/>
  <c r="H3183" i="1"/>
  <c r="I3183" i="1"/>
  <c r="J3183" i="1"/>
  <c r="L3183" i="1"/>
  <c r="M3183" i="1"/>
  <c r="C3184" i="1"/>
  <c r="E3184" i="1"/>
  <c r="F3184" i="1"/>
  <c r="H3184" i="1"/>
  <c r="I3184" i="1"/>
  <c r="J3184" i="1"/>
  <c r="L3184" i="1"/>
  <c r="M3184" i="1"/>
  <c r="C3185" i="1"/>
  <c r="E3185" i="1"/>
  <c r="F3185" i="1"/>
  <c r="H3185" i="1"/>
  <c r="I3185" i="1"/>
  <c r="J3185" i="1"/>
  <c r="L3185" i="1"/>
  <c r="M3185" i="1"/>
  <c r="C3186" i="1"/>
  <c r="E3186" i="1"/>
  <c r="F3186" i="1"/>
  <c r="H3186" i="1"/>
  <c r="I3186" i="1"/>
  <c r="J3186" i="1"/>
  <c r="L3186" i="1"/>
  <c r="M3186" i="1"/>
  <c r="C3187" i="1"/>
  <c r="E3187" i="1"/>
  <c r="F3187" i="1"/>
  <c r="H3187" i="1"/>
  <c r="I3187" i="1"/>
  <c r="J3187" i="1"/>
  <c r="L3187" i="1"/>
  <c r="M3187" i="1"/>
  <c r="C3188" i="1"/>
  <c r="E3188" i="1"/>
  <c r="F3188" i="1"/>
  <c r="H3188" i="1"/>
  <c r="I3188" i="1"/>
  <c r="J3188" i="1"/>
  <c r="L3188" i="1"/>
  <c r="M3188" i="1"/>
  <c r="C3189" i="1"/>
  <c r="E3189" i="1"/>
  <c r="F3189" i="1"/>
  <c r="H3189" i="1"/>
  <c r="I3189" i="1"/>
  <c r="J3189" i="1"/>
  <c r="L3189" i="1"/>
  <c r="M3189" i="1"/>
  <c r="C3190" i="1"/>
  <c r="E3190" i="1"/>
  <c r="F3190" i="1"/>
  <c r="H3190" i="1"/>
  <c r="I3190" i="1"/>
  <c r="J3190" i="1"/>
  <c r="L3190" i="1"/>
  <c r="M3190" i="1"/>
  <c r="C3191" i="1"/>
  <c r="E3191" i="1"/>
  <c r="F3191" i="1"/>
  <c r="H3191" i="1"/>
  <c r="I3191" i="1"/>
  <c r="J3191" i="1"/>
  <c r="L3191" i="1"/>
  <c r="M3191" i="1"/>
  <c r="C3192" i="1"/>
  <c r="E3192" i="1"/>
  <c r="F3192" i="1"/>
  <c r="H3192" i="1"/>
  <c r="I3192" i="1"/>
  <c r="J3192" i="1"/>
  <c r="L3192" i="1"/>
  <c r="M3192" i="1"/>
  <c r="C3193" i="1"/>
  <c r="E3193" i="1"/>
  <c r="F3193" i="1"/>
  <c r="H3193" i="1"/>
  <c r="I3193" i="1"/>
  <c r="J3193" i="1"/>
  <c r="L3193" i="1"/>
  <c r="M3193" i="1"/>
  <c r="C3194" i="1"/>
  <c r="E3194" i="1"/>
  <c r="F3194" i="1"/>
  <c r="H3194" i="1"/>
  <c r="I3194" i="1"/>
  <c r="J3194" i="1"/>
  <c r="L3194" i="1"/>
  <c r="M3194" i="1"/>
  <c r="C3195" i="1"/>
  <c r="E3195" i="1"/>
  <c r="F3195" i="1"/>
  <c r="H3195" i="1"/>
  <c r="I3195" i="1"/>
  <c r="J3195" i="1"/>
  <c r="L3195" i="1"/>
  <c r="M3195" i="1"/>
  <c r="C3196" i="1"/>
  <c r="E3196" i="1"/>
  <c r="F3196" i="1"/>
  <c r="H3196" i="1"/>
  <c r="I3196" i="1"/>
  <c r="J3196" i="1"/>
  <c r="L3196" i="1"/>
  <c r="M3196" i="1"/>
  <c r="C3197" i="1"/>
  <c r="E3197" i="1"/>
  <c r="F3197" i="1"/>
  <c r="H3197" i="1"/>
  <c r="I3197" i="1"/>
  <c r="J3197" i="1"/>
  <c r="L3197" i="1"/>
  <c r="M3197" i="1"/>
  <c r="C3198" i="1"/>
  <c r="E3198" i="1"/>
  <c r="F3198" i="1"/>
  <c r="H3198" i="1"/>
  <c r="I3198" i="1"/>
  <c r="J3198" i="1"/>
  <c r="L3198" i="1"/>
  <c r="M3198" i="1"/>
  <c r="C3199" i="1"/>
  <c r="E3199" i="1"/>
  <c r="F3199" i="1"/>
  <c r="H3199" i="1"/>
  <c r="I3199" i="1"/>
  <c r="J3199" i="1"/>
  <c r="L3199" i="1"/>
  <c r="M3199" i="1"/>
  <c r="C3200" i="1"/>
  <c r="E3200" i="1"/>
  <c r="F3200" i="1"/>
  <c r="H3200" i="1"/>
  <c r="I3200" i="1"/>
  <c r="J3200" i="1"/>
  <c r="L3200" i="1"/>
  <c r="M3200" i="1"/>
  <c r="C3201" i="1"/>
  <c r="E3201" i="1"/>
  <c r="F3201" i="1"/>
  <c r="H3201" i="1"/>
  <c r="I3201" i="1"/>
  <c r="J3201" i="1"/>
  <c r="L3201" i="1"/>
  <c r="M3201" i="1"/>
  <c r="C3202" i="1"/>
  <c r="E3202" i="1"/>
  <c r="F3202" i="1"/>
  <c r="H3202" i="1"/>
  <c r="I3202" i="1"/>
  <c r="J3202" i="1"/>
  <c r="L3202" i="1"/>
  <c r="M3202" i="1"/>
  <c r="C3203" i="1"/>
  <c r="E3203" i="1"/>
  <c r="F3203" i="1"/>
  <c r="H3203" i="1"/>
  <c r="I3203" i="1"/>
  <c r="J3203" i="1"/>
  <c r="L3203" i="1"/>
  <c r="M3203" i="1"/>
  <c r="C3204" i="1"/>
  <c r="E3204" i="1"/>
  <c r="F3204" i="1"/>
  <c r="H3204" i="1"/>
  <c r="I3204" i="1"/>
  <c r="J3204" i="1"/>
  <c r="L3204" i="1"/>
  <c r="M3204" i="1"/>
  <c r="C3205" i="1"/>
  <c r="E3205" i="1"/>
  <c r="F3205" i="1"/>
  <c r="H3205" i="1"/>
  <c r="I3205" i="1"/>
  <c r="J3205" i="1"/>
  <c r="L3205" i="1"/>
  <c r="M3205" i="1"/>
  <c r="C3206" i="1"/>
  <c r="E3206" i="1"/>
  <c r="F3206" i="1"/>
  <c r="H3206" i="1"/>
  <c r="I3206" i="1"/>
  <c r="J3206" i="1"/>
  <c r="L3206" i="1"/>
  <c r="M3206" i="1"/>
  <c r="C3207" i="1"/>
  <c r="E3207" i="1"/>
  <c r="F3207" i="1"/>
  <c r="H3207" i="1"/>
  <c r="I3207" i="1"/>
  <c r="J3207" i="1"/>
  <c r="L3207" i="1"/>
  <c r="M3207" i="1"/>
  <c r="C3208" i="1"/>
  <c r="E3208" i="1"/>
  <c r="F3208" i="1"/>
  <c r="H3208" i="1"/>
  <c r="I3208" i="1"/>
  <c r="J3208" i="1"/>
  <c r="L3208" i="1"/>
  <c r="M3208" i="1"/>
  <c r="C3209" i="1"/>
  <c r="E3209" i="1"/>
  <c r="F3209" i="1"/>
  <c r="H3209" i="1"/>
  <c r="I3209" i="1"/>
  <c r="J3209" i="1"/>
  <c r="L3209" i="1"/>
  <c r="M3209" i="1"/>
  <c r="C3210" i="1"/>
  <c r="E3210" i="1"/>
  <c r="F3210" i="1"/>
  <c r="H3210" i="1"/>
  <c r="I3210" i="1"/>
  <c r="J3210" i="1"/>
  <c r="L3210" i="1"/>
  <c r="M3210" i="1"/>
  <c r="C3211" i="1"/>
  <c r="E3211" i="1"/>
  <c r="F3211" i="1"/>
  <c r="H3211" i="1"/>
  <c r="I3211" i="1"/>
  <c r="J3211" i="1"/>
  <c r="L3211" i="1"/>
  <c r="M3211" i="1"/>
  <c r="C3212" i="1"/>
  <c r="E3212" i="1"/>
  <c r="F3212" i="1"/>
  <c r="H3212" i="1"/>
  <c r="I3212" i="1"/>
  <c r="J3212" i="1"/>
  <c r="L3212" i="1"/>
  <c r="M3212" i="1"/>
  <c r="C3213" i="1"/>
  <c r="E3213" i="1"/>
  <c r="F3213" i="1"/>
  <c r="H3213" i="1"/>
  <c r="I3213" i="1"/>
  <c r="J3213" i="1"/>
  <c r="L3213" i="1"/>
  <c r="M3213" i="1"/>
  <c r="C3214" i="1"/>
  <c r="E3214" i="1"/>
  <c r="F3214" i="1"/>
  <c r="H3214" i="1"/>
  <c r="I3214" i="1"/>
  <c r="J3214" i="1"/>
  <c r="L3214" i="1"/>
  <c r="M3214" i="1"/>
  <c r="C3215" i="1"/>
  <c r="E3215" i="1"/>
  <c r="F3215" i="1"/>
  <c r="H3215" i="1"/>
  <c r="I3215" i="1"/>
  <c r="J3215" i="1"/>
  <c r="L3215" i="1"/>
  <c r="M3215" i="1"/>
  <c r="C3216" i="1"/>
  <c r="E3216" i="1"/>
  <c r="F3216" i="1"/>
  <c r="H3216" i="1"/>
  <c r="I3216" i="1"/>
  <c r="J3216" i="1"/>
  <c r="L3216" i="1"/>
  <c r="M3216" i="1"/>
  <c r="C3217" i="1"/>
  <c r="E3217" i="1"/>
  <c r="F3217" i="1"/>
  <c r="H3217" i="1"/>
  <c r="I3217" i="1"/>
  <c r="J3217" i="1"/>
  <c r="L3217" i="1"/>
  <c r="M3217" i="1"/>
  <c r="C3218" i="1"/>
  <c r="E3218" i="1"/>
  <c r="F3218" i="1"/>
  <c r="H3218" i="1"/>
  <c r="I3218" i="1"/>
  <c r="J3218" i="1"/>
  <c r="L3218" i="1"/>
  <c r="M3218" i="1"/>
  <c r="C3219" i="1"/>
  <c r="E3219" i="1"/>
  <c r="F3219" i="1"/>
  <c r="H3219" i="1"/>
  <c r="I3219" i="1"/>
  <c r="J3219" i="1"/>
  <c r="L3219" i="1"/>
  <c r="M3219" i="1"/>
  <c r="C3220" i="1"/>
  <c r="E3220" i="1"/>
  <c r="F3220" i="1"/>
  <c r="H3220" i="1"/>
  <c r="I3220" i="1"/>
  <c r="J3220" i="1"/>
  <c r="L3220" i="1"/>
  <c r="M3220" i="1"/>
  <c r="C3221" i="1"/>
  <c r="E3221" i="1"/>
  <c r="F3221" i="1"/>
  <c r="H3221" i="1"/>
  <c r="I3221" i="1"/>
  <c r="J3221" i="1"/>
  <c r="L3221" i="1"/>
  <c r="M3221" i="1"/>
  <c r="C3222" i="1"/>
  <c r="E3222" i="1"/>
  <c r="F3222" i="1"/>
  <c r="H3222" i="1"/>
  <c r="I3222" i="1"/>
  <c r="J3222" i="1"/>
  <c r="L3222" i="1"/>
  <c r="M3222" i="1"/>
  <c r="C3223" i="1"/>
  <c r="E3223" i="1"/>
  <c r="F3223" i="1"/>
  <c r="H3223" i="1"/>
  <c r="I3223" i="1"/>
  <c r="J3223" i="1"/>
  <c r="L3223" i="1"/>
  <c r="M3223" i="1"/>
  <c r="C3224" i="1"/>
  <c r="E3224" i="1"/>
  <c r="F3224" i="1"/>
  <c r="H3224" i="1"/>
  <c r="I3224" i="1"/>
  <c r="J3224" i="1"/>
  <c r="L3224" i="1"/>
  <c r="M3224" i="1"/>
  <c r="C3225" i="1"/>
  <c r="E3225" i="1"/>
  <c r="F3225" i="1"/>
  <c r="H3225" i="1"/>
  <c r="I3225" i="1"/>
  <c r="J3225" i="1"/>
  <c r="L3225" i="1"/>
  <c r="M3225" i="1"/>
  <c r="C3226" i="1"/>
  <c r="E3226" i="1"/>
  <c r="F3226" i="1"/>
  <c r="H3226" i="1"/>
  <c r="I3226" i="1"/>
  <c r="J3226" i="1"/>
  <c r="L3226" i="1"/>
  <c r="M3226" i="1"/>
  <c r="C3227" i="1"/>
  <c r="E3227" i="1"/>
  <c r="F3227" i="1"/>
  <c r="H3227" i="1"/>
  <c r="I3227" i="1"/>
  <c r="J3227" i="1"/>
  <c r="L3227" i="1"/>
  <c r="M3227" i="1"/>
  <c r="C3228" i="1"/>
  <c r="E3228" i="1"/>
  <c r="F3228" i="1"/>
  <c r="H3228" i="1"/>
  <c r="I3228" i="1"/>
  <c r="J3228" i="1"/>
  <c r="L3228" i="1"/>
  <c r="M3228" i="1"/>
  <c r="C3229" i="1"/>
  <c r="E3229" i="1"/>
  <c r="F3229" i="1"/>
  <c r="H3229" i="1"/>
  <c r="I3229" i="1"/>
  <c r="J3229" i="1"/>
  <c r="L3229" i="1"/>
  <c r="M3229" i="1"/>
  <c r="C3230" i="1"/>
  <c r="E3230" i="1"/>
  <c r="F3230" i="1"/>
  <c r="H3230" i="1"/>
  <c r="I3230" i="1"/>
  <c r="J3230" i="1"/>
  <c r="L3230" i="1"/>
  <c r="M3230" i="1"/>
  <c r="C3231" i="1"/>
  <c r="E3231" i="1"/>
  <c r="F3231" i="1"/>
  <c r="H3231" i="1"/>
  <c r="I3231" i="1"/>
  <c r="J3231" i="1"/>
  <c r="L3231" i="1"/>
  <c r="M3231" i="1"/>
  <c r="C3232" i="1"/>
  <c r="E3232" i="1"/>
  <c r="F3232" i="1"/>
  <c r="H3232" i="1"/>
  <c r="I3232" i="1"/>
  <c r="J3232" i="1"/>
  <c r="L3232" i="1"/>
  <c r="M3232" i="1"/>
  <c r="C3233" i="1"/>
  <c r="E3233" i="1"/>
  <c r="F3233" i="1"/>
  <c r="H3233" i="1"/>
  <c r="I3233" i="1"/>
  <c r="J3233" i="1"/>
  <c r="L3233" i="1"/>
  <c r="M3233" i="1"/>
  <c r="C3234" i="1"/>
  <c r="E3234" i="1"/>
  <c r="F3234" i="1"/>
  <c r="H3234" i="1"/>
  <c r="I3234" i="1"/>
  <c r="J3234" i="1"/>
  <c r="L3234" i="1"/>
  <c r="M3234" i="1"/>
  <c r="C3235" i="1"/>
  <c r="E3235" i="1"/>
  <c r="F3235" i="1"/>
  <c r="H3235" i="1"/>
  <c r="I3235" i="1"/>
  <c r="J3235" i="1"/>
  <c r="L3235" i="1"/>
  <c r="M3235" i="1"/>
  <c r="C3236" i="1"/>
  <c r="E3236" i="1"/>
  <c r="F3236" i="1"/>
  <c r="H3236" i="1"/>
  <c r="I3236" i="1"/>
  <c r="J3236" i="1"/>
  <c r="L3236" i="1"/>
  <c r="M3236" i="1"/>
  <c r="C3237" i="1"/>
  <c r="E3237" i="1"/>
  <c r="F3237" i="1"/>
  <c r="H3237" i="1"/>
  <c r="I3237" i="1"/>
  <c r="J3237" i="1"/>
  <c r="L3237" i="1"/>
  <c r="M3237" i="1"/>
  <c r="C3238" i="1"/>
  <c r="E3238" i="1"/>
  <c r="F3238" i="1"/>
  <c r="H3238" i="1"/>
  <c r="I3238" i="1"/>
  <c r="J3238" i="1"/>
  <c r="L3238" i="1"/>
  <c r="M3238" i="1"/>
  <c r="C3239" i="1"/>
  <c r="E3239" i="1"/>
  <c r="F3239" i="1"/>
  <c r="H3239" i="1"/>
  <c r="I3239" i="1"/>
  <c r="J3239" i="1"/>
  <c r="L3239" i="1"/>
  <c r="M3239" i="1"/>
  <c r="C3240" i="1"/>
  <c r="E3240" i="1"/>
  <c r="F3240" i="1"/>
  <c r="H3240" i="1"/>
  <c r="I3240" i="1"/>
  <c r="J3240" i="1"/>
  <c r="L3240" i="1"/>
  <c r="M3240" i="1"/>
  <c r="C3241" i="1"/>
  <c r="E3241" i="1"/>
  <c r="F3241" i="1"/>
  <c r="H3241" i="1"/>
  <c r="I3241" i="1"/>
  <c r="J3241" i="1"/>
  <c r="L3241" i="1"/>
  <c r="M3241" i="1"/>
  <c r="C3242" i="1"/>
  <c r="E3242" i="1"/>
  <c r="F3242" i="1"/>
  <c r="H3242" i="1"/>
  <c r="I3242" i="1"/>
  <c r="J3242" i="1"/>
  <c r="L3242" i="1"/>
  <c r="M3242" i="1"/>
  <c r="C3243" i="1"/>
  <c r="E3243" i="1"/>
  <c r="F3243" i="1"/>
  <c r="H3243" i="1"/>
  <c r="I3243" i="1"/>
  <c r="J3243" i="1"/>
  <c r="L3243" i="1"/>
  <c r="M3243" i="1"/>
  <c r="C3244" i="1"/>
  <c r="E3244" i="1"/>
  <c r="F3244" i="1"/>
  <c r="H3244" i="1"/>
  <c r="I3244" i="1"/>
  <c r="J3244" i="1"/>
  <c r="L3244" i="1"/>
  <c r="M3244" i="1"/>
  <c r="C3245" i="1"/>
  <c r="E3245" i="1"/>
  <c r="F3245" i="1"/>
  <c r="H3245" i="1"/>
  <c r="I3245" i="1"/>
  <c r="J3245" i="1"/>
  <c r="L3245" i="1"/>
  <c r="M3245" i="1"/>
  <c r="C3246" i="1"/>
  <c r="E3246" i="1"/>
  <c r="F3246" i="1"/>
  <c r="H3246" i="1"/>
  <c r="I3246" i="1"/>
  <c r="J3246" i="1"/>
  <c r="L3246" i="1"/>
  <c r="M3246" i="1"/>
  <c r="C3247" i="1"/>
  <c r="E3247" i="1"/>
  <c r="F3247" i="1"/>
  <c r="H3247" i="1"/>
  <c r="I3247" i="1"/>
  <c r="J3247" i="1"/>
  <c r="L3247" i="1"/>
  <c r="M3247" i="1"/>
  <c r="C3248" i="1"/>
  <c r="E3248" i="1"/>
  <c r="F3248" i="1"/>
  <c r="H3248" i="1"/>
  <c r="I3248" i="1"/>
  <c r="J3248" i="1"/>
  <c r="L3248" i="1"/>
  <c r="M3248" i="1"/>
  <c r="C3249" i="1"/>
  <c r="E3249" i="1"/>
  <c r="F3249" i="1"/>
  <c r="H3249" i="1"/>
  <c r="I3249" i="1"/>
  <c r="J3249" i="1"/>
  <c r="L3249" i="1"/>
  <c r="M3249" i="1"/>
  <c r="C3250" i="1"/>
  <c r="E3250" i="1"/>
  <c r="F3250" i="1"/>
  <c r="H3250" i="1"/>
  <c r="I3250" i="1"/>
  <c r="J3250" i="1"/>
  <c r="L3250" i="1"/>
  <c r="M3250" i="1"/>
  <c r="C3251" i="1"/>
  <c r="E3251" i="1"/>
  <c r="F3251" i="1"/>
  <c r="H3251" i="1"/>
  <c r="I3251" i="1"/>
  <c r="J3251" i="1"/>
  <c r="L3251" i="1"/>
  <c r="M3251" i="1"/>
  <c r="C3252" i="1"/>
  <c r="E3252" i="1"/>
  <c r="F3252" i="1"/>
  <c r="H3252" i="1"/>
  <c r="I3252" i="1"/>
  <c r="J3252" i="1"/>
  <c r="L3252" i="1"/>
  <c r="M3252" i="1"/>
  <c r="C3253" i="1"/>
  <c r="E3253" i="1"/>
  <c r="F3253" i="1"/>
  <c r="H3253" i="1"/>
  <c r="I3253" i="1"/>
  <c r="J3253" i="1"/>
  <c r="L3253" i="1"/>
  <c r="M3253" i="1"/>
  <c r="C3254" i="1"/>
  <c r="E3254" i="1"/>
  <c r="F3254" i="1"/>
  <c r="H3254" i="1"/>
  <c r="I3254" i="1"/>
  <c r="J3254" i="1"/>
  <c r="L3254" i="1"/>
  <c r="M3254" i="1"/>
  <c r="C3255" i="1"/>
  <c r="E3255" i="1"/>
  <c r="F3255" i="1"/>
  <c r="H3255" i="1"/>
  <c r="I3255" i="1"/>
  <c r="J3255" i="1"/>
  <c r="L3255" i="1"/>
  <c r="M3255" i="1"/>
  <c r="C3256" i="1"/>
  <c r="E3256" i="1"/>
  <c r="F3256" i="1"/>
  <c r="H3256" i="1"/>
  <c r="I3256" i="1"/>
  <c r="J3256" i="1"/>
  <c r="L3256" i="1"/>
  <c r="M3256" i="1"/>
  <c r="C3257" i="1"/>
  <c r="E3257" i="1"/>
  <c r="F3257" i="1"/>
  <c r="H3257" i="1"/>
  <c r="I3257" i="1"/>
  <c r="J3257" i="1"/>
  <c r="L3257" i="1"/>
  <c r="M3257" i="1"/>
  <c r="C3258" i="1"/>
  <c r="E3258" i="1"/>
  <c r="F3258" i="1"/>
  <c r="H3258" i="1"/>
  <c r="I3258" i="1"/>
  <c r="J3258" i="1"/>
  <c r="L3258" i="1"/>
  <c r="M3258" i="1"/>
  <c r="C3259" i="1"/>
  <c r="E3259" i="1"/>
  <c r="F3259" i="1"/>
  <c r="H3259" i="1"/>
  <c r="I3259" i="1"/>
  <c r="J3259" i="1"/>
  <c r="L3259" i="1"/>
  <c r="M3259" i="1"/>
  <c r="C3260" i="1"/>
  <c r="E3260" i="1"/>
  <c r="F3260" i="1"/>
  <c r="H3260" i="1"/>
  <c r="I3260" i="1"/>
  <c r="J3260" i="1"/>
  <c r="L3260" i="1"/>
  <c r="M3260" i="1"/>
  <c r="C3261" i="1"/>
  <c r="E3261" i="1"/>
  <c r="F3261" i="1"/>
  <c r="H3261" i="1"/>
  <c r="I3261" i="1"/>
  <c r="J3261" i="1"/>
  <c r="L3261" i="1"/>
  <c r="M3261" i="1"/>
  <c r="C3262" i="1"/>
  <c r="E3262" i="1"/>
  <c r="F3262" i="1"/>
  <c r="H3262" i="1"/>
  <c r="I3262" i="1"/>
  <c r="J3262" i="1"/>
  <c r="L3262" i="1"/>
  <c r="M3262" i="1"/>
  <c r="C3263" i="1"/>
  <c r="E3263" i="1"/>
  <c r="F3263" i="1"/>
  <c r="H3263" i="1"/>
  <c r="I3263" i="1"/>
  <c r="J3263" i="1"/>
  <c r="L3263" i="1"/>
  <c r="M3263" i="1"/>
  <c r="C3264" i="1"/>
  <c r="E3264" i="1"/>
  <c r="F3264" i="1"/>
  <c r="H3264" i="1"/>
  <c r="I3264" i="1"/>
  <c r="J3264" i="1"/>
  <c r="L3264" i="1"/>
  <c r="M3264" i="1"/>
  <c r="C3265" i="1"/>
  <c r="E3265" i="1"/>
  <c r="F3265" i="1"/>
  <c r="H3265" i="1"/>
  <c r="I3265" i="1"/>
  <c r="J3265" i="1"/>
  <c r="L3265" i="1"/>
  <c r="M3265" i="1"/>
  <c r="C3266" i="1"/>
  <c r="E3266" i="1"/>
  <c r="F3266" i="1"/>
  <c r="H3266" i="1"/>
  <c r="I3266" i="1"/>
  <c r="J3266" i="1"/>
  <c r="L3266" i="1"/>
  <c r="M3266" i="1"/>
  <c r="C3267" i="1"/>
  <c r="E3267" i="1"/>
  <c r="F3267" i="1"/>
  <c r="H3267" i="1"/>
  <c r="I3267" i="1"/>
  <c r="J3267" i="1"/>
  <c r="L3267" i="1"/>
  <c r="M3267" i="1"/>
  <c r="C3268" i="1"/>
  <c r="E3268" i="1"/>
  <c r="F3268" i="1"/>
  <c r="H3268" i="1"/>
  <c r="I3268" i="1"/>
  <c r="J3268" i="1"/>
  <c r="L3268" i="1"/>
  <c r="M3268" i="1"/>
  <c r="C3269" i="1"/>
  <c r="E3269" i="1"/>
  <c r="F3269" i="1"/>
  <c r="H3269" i="1"/>
  <c r="I3269" i="1"/>
  <c r="J3269" i="1"/>
  <c r="L3269" i="1"/>
  <c r="M3269" i="1"/>
  <c r="C3270" i="1"/>
  <c r="E3270" i="1"/>
  <c r="F3270" i="1"/>
  <c r="H3270" i="1"/>
  <c r="I3270" i="1"/>
  <c r="J3270" i="1"/>
  <c r="L3270" i="1"/>
  <c r="M3270" i="1"/>
  <c r="C3271" i="1"/>
  <c r="E3271" i="1"/>
  <c r="F3271" i="1"/>
  <c r="H3271" i="1"/>
  <c r="I3271" i="1"/>
  <c r="J3271" i="1"/>
  <c r="L3271" i="1"/>
  <c r="M3271" i="1"/>
  <c r="C3272" i="1"/>
  <c r="E3272" i="1"/>
  <c r="F3272" i="1"/>
  <c r="H3272" i="1"/>
  <c r="I3272" i="1"/>
  <c r="J3272" i="1"/>
  <c r="L3272" i="1"/>
  <c r="M3272" i="1"/>
  <c r="C3273" i="1"/>
  <c r="E3273" i="1"/>
  <c r="F3273" i="1"/>
  <c r="H3273" i="1"/>
  <c r="I3273" i="1"/>
  <c r="J3273" i="1"/>
  <c r="L3273" i="1"/>
  <c r="M3273" i="1"/>
  <c r="C3274" i="1"/>
  <c r="E3274" i="1"/>
  <c r="F3274" i="1"/>
  <c r="H3274" i="1"/>
  <c r="I3274" i="1"/>
  <c r="J3274" i="1"/>
  <c r="L3274" i="1"/>
  <c r="M3274" i="1"/>
  <c r="C3275" i="1"/>
  <c r="E3275" i="1"/>
  <c r="F3275" i="1"/>
  <c r="H3275" i="1"/>
  <c r="I3275" i="1"/>
  <c r="J3275" i="1"/>
  <c r="L3275" i="1"/>
  <c r="M3275" i="1"/>
  <c r="C3276" i="1"/>
  <c r="E3276" i="1"/>
  <c r="F3276" i="1"/>
  <c r="H3276" i="1"/>
  <c r="I3276" i="1"/>
  <c r="J3276" i="1"/>
  <c r="L3276" i="1"/>
  <c r="M3276" i="1"/>
  <c r="C3277" i="1"/>
  <c r="E3277" i="1"/>
  <c r="F3277" i="1"/>
  <c r="H3277" i="1"/>
  <c r="I3277" i="1"/>
  <c r="J3277" i="1"/>
  <c r="L3277" i="1"/>
  <c r="M3277" i="1"/>
  <c r="C3278" i="1"/>
  <c r="E3278" i="1"/>
  <c r="F3278" i="1"/>
  <c r="H3278" i="1"/>
  <c r="I3278" i="1"/>
  <c r="J3278" i="1"/>
  <c r="L3278" i="1"/>
  <c r="M3278" i="1"/>
  <c r="C3279" i="1"/>
  <c r="E3279" i="1"/>
  <c r="F3279" i="1"/>
  <c r="H3279" i="1"/>
  <c r="I3279" i="1"/>
  <c r="J3279" i="1"/>
  <c r="L3279" i="1"/>
  <c r="M3279" i="1"/>
  <c r="C3280" i="1"/>
  <c r="E3280" i="1"/>
  <c r="F3280" i="1"/>
  <c r="H3280" i="1"/>
  <c r="I3280" i="1"/>
  <c r="J3280" i="1"/>
  <c r="L3280" i="1"/>
  <c r="M3280" i="1"/>
  <c r="C3281" i="1"/>
  <c r="E3281" i="1"/>
  <c r="F3281" i="1"/>
  <c r="H3281" i="1"/>
  <c r="I3281" i="1"/>
  <c r="J3281" i="1"/>
  <c r="L3281" i="1"/>
  <c r="M3281" i="1"/>
  <c r="C3282" i="1"/>
  <c r="E3282" i="1"/>
  <c r="F3282" i="1"/>
  <c r="H3282" i="1"/>
  <c r="I3282" i="1"/>
  <c r="J3282" i="1"/>
  <c r="L3282" i="1"/>
  <c r="M3282" i="1"/>
  <c r="C3283" i="1"/>
  <c r="E3283" i="1"/>
  <c r="F3283" i="1"/>
  <c r="H3283" i="1"/>
  <c r="I3283" i="1"/>
  <c r="J3283" i="1"/>
  <c r="L3283" i="1"/>
  <c r="M3283" i="1"/>
  <c r="C3284" i="1"/>
  <c r="E3284" i="1"/>
  <c r="F3284" i="1"/>
  <c r="H3284" i="1"/>
  <c r="I3284" i="1"/>
  <c r="J3284" i="1"/>
  <c r="L3284" i="1"/>
  <c r="M3284" i="1"/>
  <c r="C3285" i="1"/>
  <c r="E3285" i="1"/>
  <c r="F3285" i="1"/>
  <c r="H3285" i="1"/>
  <c r="I3285" i="1"/>
  <c r="J3285" i="1"/>
  <c r="L3285" i="1"/>
  <c r="M3285" i="1"/>
  <c r="C3286" i="1"/>
  <c r="E3286" i="1"/>
  <c r="F3286" i="1"/>
  <c r="H3286" i="1"/>
  <c r="I3286" i="1"/>
  <c r="J3286" i="1"/>
  <c r="L3286" i="1"/>
  <c r="M3286" i="1"/>
  <c r="C3287" i="1"/>
  <c r="E3287" i="1"/>
  <c r="F3287" i="1"/>
  <c r="H3287" i="1"/>
  <c r="I3287" i="1"/>
  <c r="J3287" i="1"/>
  <c r="L3287" i="1"/>
  <c r="M3287" i="1"/>
  <c r="C3288" i="1"/>
  <c r="E3288" i="1"/>
  <c r="F3288" i="1"/>
  <c r="H3288" i="1"/>
  <c r="I3288" i="1"/>
  <c r="J3288" i="1"/>
  <c r="L3288" i="1"/>
  <c r="M3288" i="1"/>
  <c r="C3289" i="1"/>
  <c r="E3289" i="1"/>
  <c r="F3289" i="1"/>
  <c r="H3289" i="1"/>
  <c r="I3289" i="1"/>
  <c r="J3289" i="1"/>
  <c r="L3289" i="1"/>
  <c r="M3289" i="1"/>
  <c r="C3290" i="1"/>
  <c r="E3290" i="1"/>
  <c r="F3290" i="1"/>
  <c r="H3290" i="1"/>
  <c r="I3290" i="1"/>
  <c r="J3290" i="1"/>
  <c r="L3290" i="1"/>
  <c r="M3290" i="1"/>
  <c r="C3291" i="1"/>
  <c r="E3291" i="1"/>
  <c r="F3291" i="1"/>
  <c r="H3291" i="1"/>
  <c r="I3291" i="1"/>
  <c r="J3291" i="1"/>
  <c r="L3291" i="1"/>
  <c r="M3291" i="1"/>
  <c r="C3292" i="1"/>
  <c r="E3292" i="1"/>
  <c r="F3292" i="1"/>
  <c r="H3292" i="1"/>
  <c r="I3292" i="1"/>
  <c r="J3292" i="1"/>
  <c r="L3292" i="1"/>
  <c r="M3292" i="1"/>
  <c r="C3293" i="1"/>
  <c r="E3293" i="1"/>
  <c r="F3293" i="1"/>
  <c r="H3293" i="1"/>
  <c r="I3293" i="1"/>
  <c r="J3293" i="1"/>
  <c r="L3293" i="1"/>
  <c r="M3293" i="1"/>
  <c r="C3294" i="1"/>
  <c r="E3294" i="1"/>
  <c r="F3294" i="1"/>
  <c r="H3294" i="1"/>
  <c r="I3294" i="1"/>
  <c r="J3294" i="1"/>
  <c r="L3294" i="1"/>
  <c r="M3294" i="1"/>
  <c r="C3295" i="1"/>
  <c r="E3295" i="1"/>
  <c r="F3295" i="1"/>
  <c r="H3295" i="1"/>
  <c r="I3295" i="1"/>
  <c r="J3295" i="1"/>
  <c r="L3295" i="1"/>
  <c r="M3295" i="1"/>
  <c r="C3296" i="1"/>
  <c r="E3296" i="1"/>
  <c r="F3296" i="1"/>
  <c r="H3296" i="1"/>
  <c r="I3296" i="1"/>
  <c r="J3296" i="1"/>
  <c r="L3296" i="1"/>
  <c r="M3296" i="1"/>
  <c r="C3297" i="1"/>
  <c r="E3297" i="1"/>
  <c r="F3297" i="1"/>
  <c r="H3297" i="1"/>
  <c r="I3297" i="1"/>
  <c r="J3297" i="1"/>
  <c r="L3297" i="1"/>
  <c r="M3297" i="1"/>
  <c r="C3298" i="1"/>
  <c r="E3298" i="1"/>
  <c r="F3298" i="1"/>
  <c r="H3298" i="1"/>
  <c r="I3298" i="1"/>
  <c r="J3298" i="1"/>
  <c r="L3298" i="1"/>
  <c r="M3298" i="1"/>
  <c r="C3299" i="1"/>
  <c r="E3299" i="1"/>
  <c r="F3299" i="1"/>
  <c r="H3299" i="1"/>
  <c r="I3299" i="1"/>
  <c r="J3299" i="1"/>
  <c r="L3299" i="1"/>
  <c r="M3299" i="1"/>
  <c r="C3300" i="1"/>
  <c r="E3300" i="1"/>
  <c r="F3300" i="1"/>
  <c r="H3300" i="1"/>
  <c r="I3300" i="1"/>
  <c r="J3300" i="1"/>
  <c r="L3300" i="1"/>
  <c r="M3300" i="1"/>
  <c r="C3301" i="1"/>
  <c r="E3301" i="1"/>
  <c r="F3301" i="1"/>
  <c r="H3301" i="1"/>
  <c r="I3301" i="1"/>
  <c r="J3301" i="1"/>
  <c r="L3301" i="1"/>
  <c r="M3301" i="1"/>
  <c r="C3302" i="1"/>
  <c r="E3302" i="1"/>
  <c r="F3302" i="1"/>
  <c r="H3302" i="1"/>
  <c r="I3302" i="1"/>
  <c r="J3302" i="1"/>
  <c r="L3302" i="1"/>
  <c r="M3302" i="1"/>
  <c r="C3303" i="1"/>
  <c r="E3303" i="1"/>
  <c r="F3303" i="1"/>
  <c r="H3303" i="1"/>
  <c r="I3303" i="1"/>
  <c r="J3303" i="1"/>
  <c r="L3303" i="1"/>
  <c r="M3303" i="1"/>
  <c r="C3304" i="1"/>
  <c r="E3304" i="1"/>
  <c r="F3304" i="1"/>
  <c r="H3304" i="1"/>
  <c r="I3304" i="1"/>
  <c r="J3304" i="1"/>
  <c r="L3304" i="1"/>
  <c r="M3304" i="1"/>
  <c r="C3305" i="1"/>
  <c r="E3305" i="1"/>
  <c r="F3305" i="1"/>
  <c r="H3305" i="1"/>
  <c r="I3305" i="1"/>
  <c r="J3305" i="1"/>
  <c r="L3305" i="1"/>
  <c r="M3305" i="1"/>
  <c r="C3306" i="1"/>
  <c r="E3306" i="1"/>
  <c r="F3306" i="1"/>
  <c r="H3306" i="1"/>
  <c r="I3306" i="1"/>
  <c r="J3306" i="1"/>
  <c r="L3306" i="1"/>
  <c r="M3306" i="1"/>
  <c r="C3307" i="1"/>
  <c r="E3307" i="1"/>
  <c r="F3307" i="1"/>
  <c r="H3307" i="1"/>
  <c r="I3307" i="1"/>
  <c r="J3307" i="1"/>
  <c r="L3307" i="1"/>
  <c r="M3307" i="1"/>
  <c r="C3308" i="1"/>
  <c r="E3308" i="1"/>
  <c r="F3308" i="1"/>
  <c r="H3308" i="1"/>
  <c r="I3308" i="1"/>
  <c r="J3308" i="1"/>
  <c r="L3308" i="1"/>
  <c r="M3308" i="1"/>
  <c r="C3309" i="1"/>
  <c r="E3309" i="1"/>
  <c r="F3309" i="1"/>
  <c r="H3309" i="1"/>
  <c r="I3309" i="1"/>
  <c r="J3309" i="1"/>
  <c r="L3309" i="1"/>
  <c r="M3309" i="1"/>
  <c r="C3310" i="1"/>
  <c r="E3310" i="1"/>
  <c r="F3310" i="1"/>
  <c r="H3310" i="1"/>
  <c r="I3310" i="1"/>
  <c r="J3310" i="1"/>
  <c r="L3310" i="1"/>
  <c r="M3310" i="1"/>
  <c r="C3311" i="1"/>
  <c r="E3311" i="1"/>
  <c r="F3311" i="1"/>
  <c r="H3311" i="1"/>
  <c r="I3311" i="1"/>
  <c r="J3311" i="1"/>
  <c r="L3311" i="1"/>
  <c r="M3311" i="1"/>
  <c r="C3312" i="1"/>
  <c r="E3312" i="1"/>
  <c r="F3312" i="1"/>
  <c r="H3312" i="1"/>
  <c r="I3312" i="1"/>
  <c r="J3312" i="1"/>
  <c r="L3312" i="1"/>
  <c r="M3312" i="1"/>
  <c r="C3313" i="1"/>
  <c r="E3313" i="1"/>
  <c r="F3313" i="1"/>
  <c r="H3313" i="1"/>
  <c r="I3313" i="1"/>
  <c r="J3313" i="1"/>
  <c r="L3313" i="1"/>
  <c r="M3313" i="1"/>
  <c r="C3314" i="1"/>
  <c r="E3314" i="1"/>
  <c r="F3314" i="1"/>
  <c r="H3314" i="1"/>
  <c r="I3314" i="1"/>
  <c r="J3314" i="1"/>
  <c r="L3314" i="1"/>
  <c r="M3314" i="1"/>
  <c r="C3315" i="1"/>
  <c r="E3315" i="1"/>
  <c r="F3315" i="1"/>
  <c r="H3315" i="1"/>
  <c r="I3315" i="1"/>
  <c r="J3315" i="1"/>
  <c r="L3315" i="1"/>
  <c r="M3315" i="1"/>
  <c r="C3316" i="1"/>
  <c r="E3316" i="1"/>
  <c r="F3316" i="1"/>
  <c r="H3316" i="1"/>
  <c r="I3316" i="1"/>
  <c r="J3316" i="1"/>
  <c r="L3316" i="1"/>
  <c r="M3316" i="1"/>
  <c r="C3317" i="1"/>
  <c r="E3317" i="1"/>
  <c r="F3317" i="1"/>
  <c r="H3317" i="1"/>
  <c r="I3317" i="1"/>
  <c r="J3317" i="1"/>
  <c r="L3317" i="1"/>
  <c r="M3317" i="1"/>
  <c r="C3318" i="1"/>
  <c r="E3318" i="1"/>
  <c r="F3318" i="1"/>
  <c r="H3318" i="1"/>
  <c r="I3318" i="1"/>
  <c r="J3318" i="1"/>
  <c r="L3318" i="1"/>
  <c r="M3318" i="1"/>
  <c r="C3319" i="1"/>
  <c r="E3319" i="1"/>
  <c r="F3319" i="1"/>
  <c r="H3319" i="1"/>
  <c r="I3319" i="1"/>
  <c r="J3319" i="1"/>
  <c r="L3319" i="1"/>
  <c r="M3319" i="1"/>
  <c r="C3320" i="1"/>
  <c r="E3320" i="1"/>
  <c r="F3320" i="1"/>
  <c r="H3320" i="1"/>
  <c r="I3320" i="1"/>
  <c r="J3320" i="1"/>
  <c r="L3320" i="1"/>
  <c r="M3320" i="1"/>
  <c r="C3321" i="1"/>
  <c r="E3321" i="1"/>
  <c r="F3321" i="1"/>
  <c r="H3321" i="1"/>
  <c r="I3321" i="1"/>
  <c r="J3321" i="1"/>
  <c r="L3321" i="1"/>
  <c r="M3321" i="1"/>
  <c r="C3322" i="1"/>
  <c r="E3322" i="1"/>
  <c r="F3322" i="1"/>
  <c r="H3322" i="1"/>
  <c r="I3322" i="1"/>
  <c r="J3322" i="1"/>
  <c r="L3322" i="1"/>
  <c r="M3322" i="1"/>
  <c r="C3323" i="1"/>
  <c r="E3323" i="1"/>
  <c r="F3323" i="1"/>
  <c r="H3323" i="1"/>
  <c r="I3323" i="1"/>
  <c r="J3323" i="1"/>
  <c r="L3323" i="1"/>
  <c r="M3323" i="1"/>
  <c r="C3324" i="1"/>
  <c r="E3324" i="1"/>
  <c r="F3324" i="1"/>
  <c r="H3324" i="1"/>
  <c r="I3324" i="1"/>
  <c r="J3324" i="1"/>
  <c r="L3324" i="1"/>
  <c r="M3324" i="1"/>
  <c r="C3325" i="1"/>
  <c r="E3325" i="1"/>
  <c r="F3325" i="1"/>
  <c r="H3325" i="1"/>
  <c r="I3325" i="1"/>
  <c r="J3325" i="1"/>
  <c r="L3325" i="1"/>
  <c r="M3325" i="1"/>
  <c r="C3326" i="1"/>
  <c r="E3326" i="1"/>
  <c r="F3326" i="1"/>
  <c r="H3326" i="1"/>
  <c r="I3326" i="1"/>
  <c r="J3326" i="1"/>
  <c r="L3326" i="1"/>
  <c r="M3326" i="1"/>
  <c r="C3327" i="1"/>
  <c r="E3327" i="1"/>
  <c r="F3327" i="1"/>
  <c r="H3327" i="1"/>
  <c r="I3327" i="1"/>
  <c r="J3327" i="1"/>
  <c r="L3327" i="1"/>
  <c r="M3327" i="1"/>
  <c r="C3328" i="1"/>
  <c r="E3328" i="1"/>
  <c r="F3328" i="1"/>
  <c r="H3328" i="1"/>
  <c r="I3328" i="1"/>
  <c r="J3328" i="1"/>
  <c r="L3328" i="1"/>
  <c r="M3328" i="1"/>
  <c r="C3329" i="1"/>
  <c r="E3329" i="1"/>
  <c r="F3329" i="1"/>
  <c r="H3329" i="1"/>
  <c r="I3329" i="1"/>
  <c r="J3329" i="1"/>
  <c r="L3329" i="1"/>
  <c r="M3329" i="1"/>
  <c r="C3330" i="1"/>
  <c r="E3330" i="1"/>
  <c r="F3330" i="1"/>
  <c r="H3330" i="1"/>
  <c r="I3330" i="1"/>
  <c r="J3330" i="1"/>
  <c r="L3330" i="1"/>
  <c r="M3330" i="1"/>
  <c r="C3331" i="1"/>
  <c r="E3331" i="1"/>
  <c r="F3331" i="1"/>
  <c r="H3331" i="1"/>
  <c r="I3331" i="1"/>
  <c r="J3331" i="1"/>
  <c r="L3331" i="1"/>
  <c r="M3331" i="1"/>
  <c r="C3332" i="1"/>
  <c r="E3332" i="1"/>
  <c r="F3332" i="1"/>
  <c r="H3332" i="1"/>
  <c r="I3332" i="1"/>
  <c r="J3332" i="1"/>
  <c r="L3332" i="1"/>
  <c r="M3332" i="1"/>
  <c r="C3333" i="1"/>
  <c r="E3333" i="1"/>
  <c r="F3333" i="1"/>
  <c r="H3333" i="1"/>
  <c r="I3333" i="1"/>
  <c r="J3333" i="1"/>
  <c r="L3333" i="1"/>
  <c r="M3333" i="1"/>
  <c r="C3334" i="1"/>
  <c r="E3334" i="1"/>
  <c r="F3334" i="1"/>
  <c r="H3334" i="1"/>
  <c r="I3334" i="1"/>
  <c r="J3334" i="1"/>
  <c r="L3334" i="1"/>
  <c r="M3334" i="1"/>
  <c r="C3335" i="1"/>
  <c r="E3335" i="1"/>
  <c r="F3335" i="1"/>
  <c r="H3335" i="1"/>
  <c r="I3335" i="1"/>
  <c r="J3335" i="1"/>
  <c r="L3335" i="1"/>
  <c r="M3335" i="1"/>
  <c r="C3336" i="1"/>
  <c r="E3336" i="1"/>
  <c r="F3336" i="1"/>
  <c r="H3336" i="1"/>
  <c r="I3336" i="1"/>
  <c r="J3336" i="1"/>
  <c r="L3336" i="1"/>
  <c r="M3336" i="1"/>
  <c r="C3337" i="1"/>
  <c r="E3337" i="1"/>
  <c r="F3337" i="1"/>
  <c r="H3337" i="1"/>
  <c r="I3337" i="1"/>
  <c r="J3337" i="1"/>
  <c r="L3337" i="1"/>
  <c r="M3337" i="1"/>
  <c r="C3338" i="1"/>
  <c r="E3338" i="1"/>
  <c r="F3338" i="1"/>
  <c r="H3338" i="1"/>
  <c r="I3338" i="1"/>
  <c r="J3338" i="1"/>
  <c r="L3338" i="1"/>
  <c r="M3338" i="1"/>
  <c r="C3339" i="1"/>
  <c r="E3339" i="1"/>
  <c r="F3339" i="1"/>
  <c r="H3339" i="1"/>
  <c r="I3339" i="1"/>
  <c r="J3339" i="1"/>
  <c r="L3339" i="1"/>
  <c r="M3339" i="1"/>
  <c r="C3340" i="1"/>
  <c r="E3340" i="1"/>
  <c r="F3340" i="1"/>
  <c r="H3340" i="1"/>
  <c r="I3340" i="1"/>
  <c r="J3340" i="1"/>
  <c r="L3340" i="1"/>
  <c r="M3340" i="1"/>
  <c r="C3341" i="1"/>
  <c r="E3341" i="1"/>
  <c r="F3341" i="1"/>
  <c r="H3341" i="1"/>
  <c r="I3341" i="1"/>
  <c r="J3341" i="1"/>
  <c r="L3341" i="1"/>
  <c r="M3341" i="1"/>
  <c r="C3342" i="1"/>
  <c r="E3342" i="1"/>
  <c r="F3342" i="1"/>
  <c r="H3342" i="1"/>
  <c r="I3342" i="1"/>
  <c r="J3342" i="1"/>
  <c r="L3342" i="1"/>
  <c r="M3342" i="1"/>
  <c r="C3343" i="1"/>
  <c r="E3343" i="1"/>
  <c r="F3343" i="1"/>
  <c r="H3343" i="1"/>
  <c r="I3343" i="1"/>
  <c r="J3343" i="1"/>
  <c r="L3343" i="1"/>
  <c r="M3343" i="1"/>
  <c r="C3344" i="1"/>
  <c r="E3344" i="1"/>
  <c r="F3344" i="1"/>
  <c r="H3344" i="1"/>
  <c r="I3344" i="1"/>
  <c r="J3344" i="1"/>
  <c r="L3344" i="1"/>
  <c r="M3344" i="1"/>
  <c r="C3345" i="1"/>
  <c r="E3345" i="1"/>
  <c r="F3345" i="1"/>
  <c r="H3345" i="1"/>
  <c r="I3345" i="1"/>
  <c r="J3345" i="1"/>
  <c r="L3345" i="1"/>
  <c r="M3345" i="1"/>
  <c r="C3346" i="1"/>
  <c r="E3346" i="1"/>
  <c r="F3346" i="1"/>
  <c r="H3346" i="1"/>
  <c r="I3346" i="1"/>
  <c r="J3346" i="1"/>
  <c r="L3346" i="1"/>
  <c r="M3346" i="1"/>
  <c r="C3347" i="1"/>
  <c r="E3347" i="1"/>
  <c r="F3347" i="1"/>
  <c r="H3347" i="1"/>
  <c r="I3347" i="1"/>
  <c r="J3347" i="1"/>
  <c r="L3347" i="1"/>
  <c r="M3347" i="1"/>
  <c r="C3348" i="1"/>
  <c r="E3348" i="1"/>
  <c r="F3348" i="1"/>
  <c r="H3348" i="1"/>
  <c r="I3348" i="1"/>
  <c r="J3348" i="1"/>
  <c r="L3348" i="1"/>
  <c r="M3348" i="1"/>
  <c r="C3349" i="1"/>
  <c r="E3349" i="1"/>
  <c r="F3349" i="1"/>
  <c r="H3349" i="1"/>
  <c r="I3349" i="1"/>
  <c r="J3349" i="1"/>
  <c r="L3349" i="1"/>
  <c r="M3349" i="1"/>
  <c r="C3350" i="1"/>
  <c r="E3350" i="1"/>
  <c r="F3350" i="1"/>
  <c r="H3350" i="1"/>
  <c r="I3350" i="1"/>
  <c r="J3350" i="1"/>
  <c r="L3350" i="1"/>
  <c r="M3350" i="1"/>
  <c r="C3351" i="1"/>
  <c r="E3351" i="1"/>
  <c r="F3351" i="1"/>
  <c r="H3351" i="1"/>
  <c r="I3351" i="1"/>
  <c r="J3351" i="1"/>
  <c r="L3351" i="1"/>
  <c r="M3351" i="1"/>
  <c r="C3352" i="1"/>
  <c r="E3352" i="1"/>
  <c r="F3352" i="1"/>
  <c r="H3352" i="1"/>
  <c r="I3352" i="1"/>
  <c r="J3352" i="1"/>
  <c r="L3352" i="1"/>
  <c r="M3352" i="1"/>
  <c r="C3353" i="1"/>
  <c r="E3353" i="1"/>
  <c r="F3353" i="1"/>
  <c r="H3353" i="1"/>
  <c r="I3353" i="1"/>
  <c r="J3353" i="1"/>
  <c r="L3353" i="1"/>
  <c r="M3353" i="1"/>
  <c r="C3354" i="1"/>
  <c r="E3354" i="1"/>
  <c r="F3354" i="1"/>
  <c r="H3354" i="1"/>
  <c r="I3354" i="1"/>
  <c r="J3354" i="1"/>
  <c r="L3354" i="1"/>
  <c r="M3354" i="1"/>
  <c r="C3355" i="1"/>
  <c r="E3355" i="1"/>
  <c r="F3355" i="1"/>
  <c r="H3355" i="1"/>
  <c r="I3355" i="1"/>
  <c r="J3355" i="1"/>
  <c r="L3355" i="1"/>
  <c r="M3355" i="1"/>
  <c r="C3356" i="1"/>
  <c r="E3356" i="1"/>
  <c r="F3356" i="1"/>
  <c r="H3356" i="1"/>
  <c r="I3356" i="1"/>
  <c r="J3356" i="1"/>
  <c r="L3356" i="1"/>
  <c r="M3356" i="1"/>
  <c r="C3357" i="1"/>
  <c r="E3357" i="1"/>
  <c r="F3357" i="1"/>
  <c r="H3357" i="1"/>
  <c r="I3357" i="1"/>
  <c r="J3357" i="1"/>
  <c r="L3357" i="1"/>
  <c r="M3357" i="1"/>
  <c r="C3358" i="1"/>
  <c r="E3358" i="1"/>
  <c r="F3358" i="1"/>
  <c r="H3358" i="1"/>
  <c r="I3358" i="1"/>
  <c r="J3358" i="1"/>
  <c r="L3358" i="1"/>
  <c r="M3358" i="1"/>
  <c r="C3359" i="1"/>
  <c r="E3359" i="1"/>
  <c r="F3359" i="1"/>
  <c r="H3359" i="1"/>
  <c r="I3359" i="1"/>
  <c r="J3359" i="1"/>
  <c r="L3359" i="1"/>
  <c r="M3359" i="1"/>
  <c r="C3360" i="1"/>
  <c r="E3360" i="1"/>
  <c r="F3360" i="1"/>
  <c r="H3360" i="1"/>
  <c r="I3360" i="1"/>
  <c r="J3360" i="1"/>
  <c r="L3360" i="1"/>
  <c r="M3360" i="1"/>
  <c r="C3361" i="1"/>
  <c r="E3361" i="1"/>
  <c r="F3361" i="1"/>
  <c r="H3361" i="1"/>
  <c r="I3361" i="1"/>
  <c r="J3361" i="1"/>
  <c r="L3361" i="1"/>
  <c r="M3361" i="1"/>
  <c r="C3362" i="1"/>
  <c r="E3362" i="1"/>
  <c r="F3362" i="1"/>
  <c r="H3362" i="1"/>
  <c r="I3362" i="1"/>
  <c r="J3362" i="1"/>
  <c r="L3362" i="1"/>
  <c r="M3362" i="1"/>
  <c r="C3363" i="1"/>
  <c r="E3363" i="1"/>
  <c r="F3363" i="1"/>
  <c r="H3363" i="1"/>
  <c r="I3363" i="1"/>
  <c r="J3363" i="1"/>
  <c r="L3363" i="1"/>
  <c r="M3363" i="1"/>
  <c r="C3364" i="1"/>
  <c r="E3364" i="1"/>
  <c r="F3364" i="1"/>
  <c r="H3364" i="1"/>
  <c r="I3364" i="1"/>
  <c r="J3364" i="1"/>
  <c r="L3364" i="1"/>
  <c r="M3364" i="1"/>
  <c r="C3365" i="1"/>
  <c r="E3365" i="1"/>
  <c r="F3365" i="1"/>
  <c r="H3365" i="1"/>
  <c r="I3365" i="1"/>
  <c r="J3365" i="1"/>
  <c r="L3365" i="1"/>
  <c r="M3365" i="1"/>
  <c r="C3366" i="1"/>
  <c r="E3366" i="1"/>
  <c r="F3366" i="1"/>
  <c r="H3366" i="1"/>
  <c r="I3366" i="1"/>
  <c r="J3366" i="1"/>
  <c r="L3366" i="1"/>
  <c r="M3366" i="1"/>
  <c r="C3367" i="1"/>
  <c r="E3367" i="1"/>
  <c r="F3367" i="1"/>
  <c r="H3367" i="1"/>
  <c r="I3367" i="1"/>
  <c r="J3367" i="1"/>
  <c r="L3367" i="1"/>
  <c r="M3367" i="1"/>
  <c r="C3368" i="1"/>
  <c r="E3368" i="1"/>
  <c r="F3368" i="1"/>
  <c r="H3368" i="1"/>
  <c r="I3368" i="1"/>
  <c r="J3368" i="1"/>
  <c r="L3368" i="1"/>
  <c r="M3368" i="1"/>
  <c r="C3369" i="1"/>
  <c r="E3369" i="1"/>
  <c r="F3369" i="1"/>
  <c r="H3369" i="1"/>
  <c r="I3369" i="1"/>
  <c r="J3369" i="1"/>
  <c r="L3369" i="1"/>
  <c r="M3369" i="1"/>
  <c r="C3370" i="1"/>
  <c r="E3370" i="1"/>
  <c r="F3370" i="1"/>
  <c r="H3370" i="1"/>
  <c r="I3370" i="1"/>
  <c r="J3370" i="1"/>
  <c r="L3370" i="1"/>
  <c r="M3370" i="1"/>
  <c r="C3371" i="1"/>
  <c r="E3371" i="1"/>
  <c r="F3371" i="1"/>
  <c r="H3371" i="1"/>
  <c r="I3371" i="1"/>
  <c r="J3371" i="1"/>
  <c r="L3371" i="1"/>
  <c r="M3371" i="1"/>
  <c r="C3372" i="1"/>
  <c r="E3372" i="1"/>
  <c r="F3372" i="1"/>
  <c r="H3372" i="1"/>
  <c r="I3372" i="1"/>
  <c r="J3372" i="1"/>
  <c r="L3372" i="1"/>
  <c r="M3372" i="1"/>
  <c r="C3373" i="1"/>
  <c r="E3373" i="1"/>
  <c r="F3373" i="1"/>
  <c r="H3373" i="1"/>
  <c r="I3373" i="1"/>
  <c r="J3373" i="1"/>
  <c r="L3373" i="1"/>
  <c r="M3373" i="1"/>
  <c r="C3374" i="1"/>
  <c r="E3374" i="1"/>
  <c r="F3374" i="1"/>
  <c r="H3374" i="1"/>
  <c r="I3374" i="1"/>
  <c r="J3374" i="1"/>
  <c r="L3374" i="1"/>
  <c r="M3374" i="1"/>
  <c r="C3375" i="1"/>
  <c r="E3375" i="1"/>
  <c r="F3375" i="1"/>
  <c r="H3375" i="1"/>
  <c r="I3375" i="1"/>
  <c r="J3375" i="1"/>
  <c r="L3375" i="1"/>
  <c r="M3375" i="1"/>
  <c r="C3376" i="1"/>
  <c r="E3376" i="1"/>
  <c r="F3376" i="1"/>
  <c r="H3376" i="1"/>
  <c r="I3376" i="1"/>
  <c r="J3376" i="1"/>
  <c r="L3376" i="1"/>
  <c r="M3376" i="1"/>
  <c r="C3377" i="1"/>
  <c r="E3377" i="1"/>
  <c r="F3377" i="1"/>
  <c r="H3377" i="1"/>
  <c r="I3377" i="1"/>
  <c r="J3377" i="1"/>
  <c r="L3377" i="1"/>
  <c r="M3377" i="1"/>
  <c r="C3378" i="1"/>
  <c r="E3378" i="1"/>
  <c r="F3378" i="1"/>
  <c r="H3378" i="1"/>
  <c r="I3378" i="1"/>
  <c r="J3378" i="1"/>
  <c r="L3378" i="1"/>
  <c r="M3378" i="1"/>
  <c r="C3379" i="1"/>
  <c r="E3379" i="1"/>
  <c r="F3379" i="1"/>
  <c r="H3379" i="1"/>
  <c r="I3379" i="1"/>
  <c r="J3379" i="1"/>
  <c r="L3379" i="1"/>
  <c r="M3379" i="1"/>
  <c r="C3380" i="1"/>
  <c r="E3380" i="1"/>
  <c r="F3380" i="1"/>
  <c r="H3380" i="1"/>
  <c r="I3380" i="1"/>
  <c r="J3380" i="1"/>
  <c r="L3380" i="1"/>
  <c r="M3380" i="1"/>
  <c r="C3381" i="1"/>
  <c r="E3381" i="1"/>
  <c r="F3381" i="1"/>
  <c r="H3381" i="1"/>
  <c r="I3381" i="1"/>
  <c r="J3381" i="1"/>
  <c r="L3381" i="1"/>
  <c r="M3381" i="1"/>
  <c r="C3382" i="1"/>
  <c r="E3382" i="1"/>
  <c r="F3382" i="1"/>
  <c r="H3382" i="1"/>
  <c r="I3382" i="1"/>
  <c r="J3382" i="1"/>
  <c r="L3382" i="1"/>
  <c r="M3382" i="1"/>
  <c r="C3383" i="1"/>
  <c r="E3383" i="1"/>
  <c r="F3383" i="1"/>
  <c r="H3383" i="1"/>
  <c r="I3383" i="1"/>
  <c r="J3383" i="1"/>
  <c r="L3383" i="1"/>
  <c r="M3383" i="1"/>
  <c r="C3384" i="1"/>
  <c r="E3384" i="1"/>
  <c r="F3384" i="1"/>
  <c r="H3384" i="1"/>
  <c r="I3384" i="1"/>
  <c r="J3384" i="1"/>
  <c r="L3384" i="1"/>
  <c r="M3384" i="1"/>
  <c r="C3385" i="1"/>
  <c r="E3385" i="1"/>
  <c r="F3385" i="1"/>
  <c r="H3385" i="1"/>
  <c r="I3385" i="1"/>
  <c r="J3385" i="1"/>
  <c r="L3385" i="1"/>
  <c r="M3385" i="1"/>
  <c r="C3386" i="1"/>
  <c r="E3386" i="1"/>
  <c r="F3386" i="1"/>
  <c r="H3386" i="1"/>
  <c r="I3386" i="1"/>
  <c r="J3386" i="1"/>
  <c r="L3386" i="1"/>
  <c r="M3386" i="1"/>
  <c r="C3387" i="1"/>
  <c r="E3387" i="1"/>
  <c r="F3387" i="1"/>
  <c r="H3387" i="1"/>
  <c r="I3387" i="1"/>
  <c r="J3387" i="1"/>
  <c r="L3387" i="1"/>
  <c r="M3387" i="1"/>
  <c r="C3388" i="1"/>
  <c r="E3388" i="1"/>
  <c r="F3388" i="1"/>
  <c r="H3388" i="1"/>
  <c r="I3388" i="1"/>
  <c r="J3388" i="1"/>
  <c r="L3388" i="1"/>
  <c r="M3388" i="1"/>
  <c r="C3389" i="1"/>
  <c r="E3389" i="1"/>
  <c r="F3389" i="1"/>
  <c r="H3389" i="1"/>
  <c r="I3389" i="1"/>
  <c r="J3389" i="1"/>
  <c r="L3389" i="1"/>
  <c r="M3389" i="1"/>
  <c r="C3390" i="1"/>
  <c r="E3390" i="1"/>
  <c r="F3390" i="1"/>
  <c r="H3390" i="1"/>
  <c r="I3390" i="1"/>
  <c r="J3390" i="1"/>
  <c r="L3390" i="1"/>
  <c r="M3390" i="1"/>
  <c r="C3391" i="1"/>
  <c r="E3391" i="1"/>
  <c r="F3391" i="1"/>
  <c r="H3391" i="1"/>
  <c r="I3391" i="1"/>
  <c r="J3391" i="1"/>
  <c r="L3391" i="1"/>
  <c r="M3391" i="1"/>
  <c r="C3392" i="1"/>
  <c r="E3392" i="1"/>
  <c r="F3392" i="1"/>
  <c r="H3392" i="1"/>
  <c r="I3392" i="1"/>
  <c r="J3392" i="1"/>
  <c r="L3392" i="1"/>
  <c r="M3392" i="1"/>
  <c r="C3393" i="1"/>
  <c r="E3393" i="1"/>
  <c r="F3393" i="1"/>
  <c r="H3393" i="1"/>
  <c r="I3393" i="1"/>
  <c r="J3393" i="1"/>
  <c r="L3393" i="1"/>
  <c r="M3393" i="1"/>
  <c r="C3394" i="1"/>
  <c r="E3394" i="1"/>
  <c r="F3394" i="1"/>
  <c r="H3394" i="1"/>
  <c r="I3394" i="1"/>
  <c r="J3394" i="1"/>
  <c r="L3394" i="1"/>
  <c r="M3394" i="1"/>
  <c r="C3395" i="1"/>
  <c r="E3395" i="1"/>
  <c r="F3395" i="1"/>
  <c r="H3395" i="1"/>
  <c r="I3395" i="1"/>
  <c r="J3395" i="1"/>
  <c r="L3395" i="1"/>
  <c r="M3395" i="1"/>
  <c r="C3396" i="1"/>
  <c r="E3396" i="1"/>
  <c r="F3396" i="1"/>
  <c r="H3396" i="1"/>
  <c r="I3396" i="1"/>
  <c r="J3396" i="1"/>
  <c r="L3396" i="1"/>
  <c r="M3396" i="1"/>
  <c r="C3397" i="1"/>
  <c r="E3397" i="1"/>
  <c r="F3397" i="1"/>
  <c r="H3397" i="1"/>
  <c r="I3397" i="1"/>
  <c r="J3397" i="1"/>
  <c r="L3397" i="1"/>
  <c r="M3397" i="1"/>
  <c r="C3398" i="1"/>
  <c r="E3398" i="1"/>
  <c r="F3398" i="1"/>
  <c r="H3398" i="1"/>
  <c r="I3398" i="1"/>
  <c r="J3398" i="1"/>
  <c r="L3398" i="1"/>
  <c r="M3398" i="1"/>
  <c r="C3399" i="1"/>
  <c r="E3399" i="1"/>
  <c r="F3399" i="1"/>
  <c r="H3399" i="1"/>
  <c r="I3399" i="1"/>
  <c r="J3399" i="1"/>
  <c r="L3399" i="1"/>
  <c r="M3399" i="1"/>
  <c r="C3400" i="1"/>
  <c r="E3400" i="1"/>
  <c r="F3400" i="1"/>
  <c r="H3400" i="1"/>
  <c r="I3400" i="1"/>
  <c r="J3400" i="1"/>
  <c r="L3400" i="1"/>
  <c r="M3400" i="1"/>
  <c r="C3401" i="1"/>
  <c r="E3401" i="1"/>
  <c r="F3401" i="1"/>
  <c r="H3401" i="1"/>
  <c r="I3401" i="1"/>
  <c r="J3401" i="1"/>
  <c r="L3401" i="1"/>
  <c r="M3401" i="1"/>
  <c r="C3402" i="1"/>
  <c r="E3402" i="1"/>
  <c r="F3402" i="1"/>
  <c r="H3402" i="1"/>
  <c r="I3402" i="1"/>
  <c r="J3402" i="1"/>
  <c r="L3402" i="1"/>
  <c r="M3402" i="1"/>
  <c r="C3403" i="1"/>
  <c r="E3403" i="1"/>
  <c r="F3403" i="1"/>
  <c r="H3403" i="1"/>
  <c r="I3403" i="1"/>
  <c r="J3403" i="1"/>
  <c r="L3403" i="1"/>
  <c r="M3403" i="1"/>
  <c r="C3404" i="1"/>
  <c r="E3404" i="1"/>
  <c r="F3404" i="1"/>
  <c r="H3404" i="1"/>
  <c r="I3404" i="1"/>
  <c r="J3404" i="1"/>
  <c r="L3404" i="1"/>
  <c r="M3404" i="1"/>
  <c r="C3405" i="1"/>
  <c r="E3405" i="1"/>
  <c r="F3405" i="1"/>
  <c r="H3405" i="1"/>
  <c r="I3405" i="1"/>
  <c r="J3405" i="1"/>
  <c r="L3405" i="1"/>
  <c r="M3405" i="1"/>
  <c r="C3406" i="1"/>
  <c r="E3406" i="1"/>
  <c r="F3406" i="1"/>
  <c r="H3406" i="1"/>
  <c r="I3406" i="1"/>
  <c r="J3406" i="1"/>
  <c r="L3406" i="1"/>
  <c r="M3406" i="1"/>
  <c r="C3407" i="1"/>
  <c r="E3407" i="1"/>
  <c r="F3407" i="1"/>
  <c r="H3407" i="1"/>
  <c r="I3407" i="1"/>
  <c r="J3407" i="1"/>
  <c r="L3407" i="1"/>
  <c r="M3407" i="1"/>
  <c r="C3408" i="1"/>
  <c r="E3408" i="1"/>
  <c r="F3408" i="1"/>
  <c r="H3408" i="1"/>
  <c r="I3408" i="1"/>
  <c r="J3408" i="1"/>
  <c r="L3408" i="1"/>
  <c r="M3408" i="1"/>
  <c r="C3409" i="1"/>
  <c r="E3409" i="1"/>
  <c r="F3409" i="1"/>
  <c r="H3409" i="1"/>
  <c r="I3409" i="1"/>
  <c r="J3409" i="1"/>
  <c r="L3409" i="1"/>
  <c r="M3409" i="1"/>
  <c r="C3410" i="1"/>
  <c r="E3410" i="1"/>
  <c r="F3410" i="1"/>
  <c r="H3410" i="1"/>
  <c r="I3410" i="1"/>
  <c r="J3410" i="1"/>
  <c r="L3410" i="1"/>
  <c r="M3410" i="1"/>
  <c r="C3411" i="1"/>
  <c r="E3411" i="1"/>
  <c r="F3411" i="1"/>
  <c r="H3411" i="1"/>
  <c r="I3411" i="1"/>
  <c r="J3411" i="1"/>
  <c r="L3411" i="1"/>
  <c r="M3411" i="1"/>
  <c r="C3412" i="1"/>
  <c r="E3412" i="1"/>
  <c r="F3412" i="1"/>
  <c r="H3412" i="1"/>
  <c r="I3412" i="1"/>
  <c r="J3412" i="1"/>
  <c r="L3412" i="1"/>
  <c r="M3412" i="1"/>
  <c r="C3413" i="1"/>
  <c r="E3413" i="1"/>
  <c r="F3413" i="1"/>
  <c r="H3413" i="1"/>
  <c r="I3413" i="1"/>
  <c r="J3413" i="1"/>
  <c r="L3413" i="1"/>
  <c r="M3413" i="1"/>
  <c r="C3414" i="1"/>
  <c r="E3414" i="1"/>
  <c r="F3414" i="1"/>
  <c r="H3414" i="1"/>
  <c r="I3414" i="1"/>
  <c r="J3414" i="1"/>
  <c r="L3414" i="1"/>
  <c r="M3414" i="1"/>
  <c r="C3415" i="1"/>
  <c r="E3415" i="1"/>
  <c r="F3415" i="1"/>
  <c r="H3415" i="1"/>
  <c r="I3415" i="1"/>
  <c r="J3415" i="1"/>
  <c r="L3415" i="1"/>
  <c r="M3415" i="1"/>
  <c r="C3416" i="1"/>
  <c r="E3416" i="1"/>
  <c r="F3416" i="1"/>
  <c r="H3416" i="1"/>
  <c r="I3416" i="1"/>
  <c r="J3416" i="1"/>
  <c r="L3416" i="1"/>
  <c r="M3416" i="1"/>
  <c r="C3417" i="1"/>
  <c r="E3417" i="1"/>
  <c r="F3417" i="1"/>
  <c r="H3417" i="1"/>
  <c r="I3417" i="1"/>
  <c r="J3417" i="1"/>
  <c r="L3417" i="1"/>
  <c r="M3417" i="1"/>
  <c r="C3418" i="1"/>
  <c r="E3418" i="1"/>
  <c r="F3418" i="1"/>
  <c r="H3418" i="1"/>
  <c r="I3418" i="1"/>
  <c r="J3418" i="1"/>
  <c r="L3418" i="1"/>
  <c r="M3418" i="1"/>
  <c r="C3419" i="1"/>
  <c r="E3419" i="1"/>
  <c r="F3419" i="1"/>
  <c r="H3419" i="1"/>
  <c r="I3419" i="1"/>
  <c r="J3419" i="1"/>
  <c r="L3419" i="1"/>
  <c r="M3419" i="1"/>
  <c r="C3420" i="1"/>
  <c r="E3420" i="1"/>
  <c r="F3420" i="1"/>
  <c r="H3420" i="1"/>
  <c r="I3420" i="1"/>
  <c r="J3420" i="1"/>
  <c r="L3420" i="1"/>
  <c r="M3420" i="1"/>
  <c r="C3421" i="1"/>
  <c r="E3421" i="1"/>
  <c r="F3421" i="1"/>
  <c r="H3421" i="1"/>
  <c r="I3421" i="1"/>
  <c r="J3421" i="1"/>
  <c r="L3421" i="1"/>
  <c r="M3421" i="1"/>
  <c r="C3422" i="1"/>
  <c r="E3422" i="1"/>
  <c r="F3422" i="1"/>
  <c r="H3422" i="1"/>
  <c r="I3422" i="1"/>
  <c r="J3422" i="1"/>
  <c r="L3422" i="1"/>
  <c r="M3422" i="1"/>
  <c r="C3423" i="1"/>
  <c r="E3423" i="1"/>
  <c r="F3423" i="1"/>
  <c r="H3423" i="1"/>
  <c r="I3423" i="1"/>
  <c r="J3423" i="1"/>
  <c r="L3423" i="1"/>
  <c r="M3423" i="1"/>
  <c r="C3424" i="1"/>
  <c r="E3424" i="1"/>
  <c r="F3424" i="1"/>
  <c r="H3424" i="1"/>
  <c r="I3424" i="1"/>
  <c r="J3424" i="1"/>
  <c r="L3424" i="1"/>
  <c r="M3424" i="1"/>
  <c r="C3425" i="1"/>
  <c r="E3425" i="1"/>
  <c r="F3425" i="1"/>
  <c r="H3425" i="1"/>
  <c r="I3425" i="1"/>
  <c r="J3425" i="1"/>
  <c r="L3425" i="1"/>
  <c r="M3425" i="1"/>
  <c r="C3426" i="1"/>
  <c r="E3426" i="1"/>
  <c r="F3426" i="1"/>
  <c r="H3426" i="1"/>
  <c r="I3426" i="1"/>
  <c r="J3426" i="1"/>
  <c r="L3426" i="1"/>
  <c r="M3426" i="1"/>
  <c r="C3427" i="1"/>
  <c r="E3427" i="1"/>
  <c r="F3427" i="1"/>
  <c r="H3427" i="1"/>
  <c r="I3427" i="1"/>
  <c r="J3427" i="1"/>
  <c r="L3427" i="1"/>
  <c r="M3427" i="1"/>
  <c r="C3428" i="1"/>
  <c r="E3428" i="1"/>
  <c r="F3428" i="1"/>
  <c r="H3428" i="1"/>
  <c r="I3428" i="1"/>
  <c r="J3428" i="1"/>
  <c r="L3428" i="1"/>
  <c r="M3428" i="1"/>
  <c r="C3429" i="1"/>
  <c r="E3429" i="1"/>
  <c r="F3429" i="1"/>
  <c r="H3429" i="1"/>
  <c r="I3429" i="1"/>
  <c r="J3429" i="1"/>
  <c r="L3429" i="1"/>
  <c r="M3429" i="1"/>
  <c r="C3430" i="1"/>
  <c r="E3430" i="1"/>
  <c r="F3430" i="1"/>
  <c r="H3430" i="1"/>
  <c r="I3430" i="1"/>
  <c r="J3430" i="1"/>
  <c r="L3430" i="1"/>
  <c r="M3430" i="1"/>
  <c r="C3431" i="1"/>
  <c r="E3431" i="1"/>
  <c r="F3431" i="1"/>
  <c r="H3431" i="1"/>
  <c r="I3431" i="1"/>
  <c r="J3431" i="1"/>
  <c r="L3431" i="1"/>
  <c r="M3431" i="1"/>
  <c r="C3432" i="1"/>
  <c r="E3432" i="1"/>
  <c r="F3432" i="1"/>
  <c r="H3432" i="1"/>
  <c r="I3432" i="1"/>
  <c r="J3432" i="1"/>
  <c r="L3432" i="1"/>
  <c r="M3432" i="1"/>
  <c r="C3433" i="1"/>
  <c r="E3433" i="1"/>
  <c r="F3433" i="1"/>
  <c r="H3433" i="1"/>
  <c r="I3433" i="1"/>
  <c r="J3433" i="1"/>
  <c r="L3433" i="1"/>
  <c r="M3433" i="1"/>
  <c r="C3434" i="1"/>
  <c r="E3434" i="1"/>
  <c r="F3434" i="1"/>
  <c r="H3434" i="1"/>
  <c r="I3434" i="1"/>
  <c r="J3434" i="1"/>
  <c r="L3434" i="1"/>
  <c r="M3434" i="1"/>
  <c r="C3435" i="1"/>
  <c r="E3435" i="1"/>
  <c r="F3435" i="1"/>
  <c r="H3435" i="1"/>
  <c r="I3435" i="1"/>
  <c r="J3435" i="1"/>
  <c r="L3435" i="1"/>
  <c r="M3435" i="1"/>
  <c r="C3436" i="1"/>
  <c r="E3436" i="1"/>
  <c r="F3436" i="1"/>
  <c r="H3436" i="1"/>
  <c r="I3436" i="1"/>
  <c r="J3436" i="1"/>
  <c r="L3436" i="1"/>
  <c r="M3436" i="1"/>
  <c r="C3437" i="1"/>
  <c r="E3437" i="1"/>
  <c r="F3437" i="1"/>
  <c r="H3437" i="1"/>
  <c r="I3437" i="1"/>
  <c r="J3437" i="1"/>
  <c r="L3437" i="1"/>
  <c r="M3437" i="1"/>
  <c r="C3438" i="1"/>
  <c r="E3438" i="1"/>
  <c r="F3438" i="1"/>
  <c r="H3438" i="1"/>
  <c r="I3438" i="1"/>
  <c r="J3438" i="1"/>
  <c r="L3438" i="1"/>
  <c r="M3438" i="1"/>
  <c r="C3439" i="1"/>
  <c r="E3439" i="1"/>
  <c r="F3439" i="1"/>
  <c r="H3439" i="1"/>
  <c r="I3439" i="1"/>
  <c r="J3439" i="1"/>
  <c r="L3439" i="1"/>
  <c r="M3439" i="1"/>
  <c r="C3440" i="1"/>
  <c r="E3440" i="1"/>
  <c r="F3440" i="1"/>
  <c r="H3440" i="1"/>
  <c r="I3440" i="1"/>
  <c r="J3440" i="1"/>
  <c r="L3440" i="1"/>
  <c r="M3440" i="1"/>
  <c r="C3441" i="1"/>
  <c r="E3441" i="1"/>
  <c r="F3441" i="1"/>
  <c r="H3441" i="1"/>
  <c r="I3441" i="1"/>
  <c r="J3441" i="1"/>
  <c r="L3441" i="1"/>
  <c r="M3441" i="1"/>
  <c r="C3442" i="1"/>
  <c r="E3442" i="1"/>
  <c r="F3442" i="1"/>
  <c r="H3442" i="1"/>
  <c r="I3442" i="1"/>
  <c r="J3442" i="1"/>
  <c r="L3442" i="1"/>
  <c r="M3442" i="1"/>
  <c r="C3443" i="1"/>
  <c r="E3443" i="1"/>
  <c r="F3443" i="1"/>
  <c r="H3443" i="1"/>
  <c r="I3443" i="1"/>
  <c r="J3443" i="1"/>
  <c r="L3443" i="1"/>
  <c r="M3443" i="1"/>
  <c r="C3444" i="1"/>
  <c r="E3444" i="1"/>
  <c r="F3444" i="1"/>
  <c r="H3444" i="1"/>
  <c r="I3444" i="1"/>
  <c r="J3444" i="1"/>
  <c r="L3444" i="1"/>
  <c r="M3444" i="1"/>
  <c r="C3445" i="1"/>
  <c r="E3445" i="1"/>
  <c r="F3445" i="1"/>
  <c r="H3445" i="1"/>
  <c r="I3445" i="1"/>
  <c r="J3445" i="1"/>
  <c r="L3445" i="1"/>
  <c r="M3445" i="1"/>
  <c r="C3446" i="1"/>
  <c r="E3446" i="1"/>
  <c r="F3446" i="1"/>
  <c r="H3446" i="1"/>
  <c r="I3446" i="1"/>
  <c r="J3446" i="1"/>
  <c r="L3446" i="1"/>
  <c r="M3446" i="1"/>
  <c r="C3447" i="1"/>
  <c r="E3447" i="1"/>
  <c r="F3447" i="1"/>
  <c r="H3447" i="1"/>
  <c r="I3447" i="1"/>
  <c r="J3447" i="1"/>
  <c r="L3447" i="1"/>
  <c r="M3447" i="1"/>
  <c r="C3448" i="1"/>
  <c r="E3448" i="1"/>
  <c r="F3448" i="1"/>
  <c r="H3448" i="1"/>
  <c r="I3448" i="1"/>
  <c r="J3448" i="1"/>
  <c r="L3448" i="1"/>
  <c r="M3448" i="1"/>
  <c r="C3449" i="1"/>
  <c r="E3449" i="1"/>
  <c r="F3449" i="1"/>
  <c r="H3449" i="1"/>
  <c r="I3449" i="1"/>
  <c r="J3449" i="1"/>
  <c r="L3449" i="1"/>
  <c r="M3449" i="1"/>
  <c r="C3450" i="1"/>
  <c r="E3450" i="1"/>
  <c r="F3450" i="1"/>
  <c r="H3450" i="1"/>
  <c r="I3450" i="1"/>
  <c r="J3450" i="1"/>
  <c r="L3450" i="1"/>
  <c r="M3450" i="1"/>
  <c r="C3451" i="1"/>
  <c r="E3451" i="1"/>
  <c r="F3451" i="1"/>
  <c r="H3451" i="1"/>
  <c r="I3451" i="1"/>
  <c r="J3451" i="1"/>
  <c r="L3451" i="1"/>
  <c r="M3451" i="1"/>
  <c r="C3452" i="1"/>
  <c r="E3452" i="1"/>
  <c r="F3452" i="1"/>
  <c r="H3452" i="1"/>
  <c r="I3452" i="1"/>
  <c r="J3452" i="1"/>
  <c r="L3452" i="1"/>
  <c r="M3452" i="1"/>
  <c r="C3453" i="1"/>
  <c r="E3453" i="1"/>
  <c r="F3453" i="1"/>
  <c r="H3453" i="1"/>
  <c r="I3453" i="1"/>
  <c r="J3453" i="1"/>
  <c r="L3453" i="1"/>
  <c r="M3453" i="1"/>
  <c r="C3454" i="1"/>
  <c r="E3454" i="1"/>
  <c r="F3454" i="1"/>
  <c r="H3454" i="1"/>
  <c r="I3454" i="1"/>
  <c r="J3454" i="1"/>
  <c r="L3454" i="1"/>
  <c r="M3454" i="1"/>
  <c r="C3455" i="1"/>
  <c r="E3455" i="1"/>
  <c r="F3455" i="1"/>
  <c r="H3455" i="1"/>
  <c r="I3455" i="1"/>
  <c r="J3455" i="1"/>
  <c r="L3455" i="1"/>
  <c r="M3455" i="1"/>
  <c r="C3456" i="1"/>
  <c r="E3456" i="1"/>
  <c r="F3456" i="1"/>
  <c r="H3456" i="1"/>
  <c r="I3456" i="1"/>
  <c r="J3456" i="1"/>
  <c r="L3456" i="1"/>
  <c r="M3456" i="1"/>
  <c r="C3457" i="1"/>
  <c r="E3457" i="1"/>
  <c r="F3457" i="1"/>
  <c r="H3457" i="1"/>
  <c r="I3457" i="1"/>
  <c r="J3457" i="1"/>
  <c r="L3457" i="1"/>
  <c r="M3457" i="1"/>
  <c r="C3458" i="1"/>
  <c r="E3458" i="1"/>
  <c r="F3458" i="1"/>
  <c r="H3458" i="1"/>
  <c r="I3458" i="1"/>
  <c r="J3458" i="1"/>
  <c r="L3458" i="1"/>
  <c r="M3458" i="1"/>
  <c r="C3459" i="1"/>
  <c r="E3459" i="1"/>
  <c r="F3459" i="1"/>
  <c r="H3459" i="1"/>
  <c r="I3459" i="1"/>
  <c r="J3459" i="1"/>
  <c r="L3459" i="1"/>
  <c r="M3459" i="1"/>
  <c r="C3460" i="1"/>
  <c r="E3460" i="1"/>
  <c r="F3460" i="1"/>
  <c r="H3460" i="1"/>
  <c r="I3460" i="1"/>
  <c r="J3460" i="1"/>
  <c r="L3460" i="1"/>
  <c r="M3460" i="1"/>
  <c r="C3461" i="1"/>
  <c r="E3461" i="1"/>
  <c r="F3461" i="1"/>
  <c r="H3461" i="1"/>
  <c r="I3461" i="1"/>
  <c r="J3461" i="1"/>
  <c r="L3461" i="1"/>
  <c r="M3461" i="1"/>
  <c r="C3462" i="1"/>
  <c r="E3462" i="1"/>
  <c r="F3462" i="1"/>
  <c r="H3462" i="1"/>
  <c r="I3462" i="1"/>
  <c r="J3462" i="1"/>
  <c r="L3462" i="1"/>
  <c r="M3462" i="1"/>
  <c r="C3463" i="1"/>
  <c r="E3463" i="1"/>
  <c r="F3463" i="1"/>
  <c r="H3463" i="1"/>
  <c r="I3463" i="1"/>
  <c r="J3463" i="1"/>
  <c r="L3463" i="1"/>
  <c r="M3463" i="1"/>
  <c r="C3464" i="1"/>
  <c r="E3464" i="1"/>
  <c r="F3464" i="1"/>
  <c r="H3464" i="1"/>
  <c r="I3464" i="1"/>
  <c r="J3464" i="1"/>
  <c r="L3464" i="1"/>
  <c r="M3464" i="1"/>
  <c r="C3465" i="1"/>
  <c r="E3465" i="1"/>
  <c r="F3465" i="1"/>
  <c r="H3465" i="1"/>
  <c r="I3465" i="1"/>
  <c r="J3465" i="1"/>
  <c r="L3465" i="1"/>
  <c r="M3465" i="1"/>
  <c r="C3466" i="1"/>
  <c r="E3466" i="1"/>
  <c r="F3466" i="1"/>
  <c r="H3466" i="1"/>
  <c r="I3466" i="1"/>
  <c r="J3466" i="1"/>
  <c r="L3466" i="1"/>
  <c r="M3466" i="1"/>
  <c r="C3467" i="1"/>
  <c r="E3467" i="1"/>
  <c r="F3467" i="1"/>
  <c r="H3467" i="1"/>
  <c r="I3467" i="1"/>
  <c r="J3467" i="1"/>
  <c r="L3467" i="1"/>
  <c r="M3467" i="1"/>
  <c r="C3468" i="1"/>
  <c r="E3468" i="1"/>
  <c r="F3468" i="1"/>
  <c r="H3468" i="1"/>
  <c r="I3468" i="1"/>
  <c r="J3468" i="1"/>
  <c r="L3468" i="1"/>
  <c r="M3468" i="1"/>
  <c r="C3469" i="1"/>
  <c r="E3469" i="1"/>
  <c r="F3469" i="1"/>
  <c r="H3469" i="1"/>
  <c r="I3469" i="1"/>
  <c r="J3469" i="1"/>
  <c r="L3469" i="1"/>
  <c r="M3469" i="1"/>
  <c r="C3470" i="1"/>
  <c r="E3470" i="1"/>
  <c r="F3470" i="1"/>
  <c r="H3470" i="1"/>
  <c r="I3470" i="1"/>
  <c r="J3470" i="1"/>
  <c r="L3470" i="1"/>
  <c r="M3470" i="1"/>
  <c r="C3471" i="1"/>
  <c r="E3471" i="1"/>
  <c r="F3471" i="1"/>
  <c r="H3471" i="1"/>
  <c r="I3471" i="1"/>
  <c r="J3471" i="1"/>
  <c r="L3471" i="1"/>
  <c r="M3471" i="1"/>
  <c r="C3472" i="1"/>
  <c r="E3472" i="1"/>
  <c r="F3472" i="1"/>
  <c r="H3472" i="1"/>
  <c r="I3472" i="1"/>
  <c r="J3472" i="1"/>
  <c r="L3472" i="1"/>
  <c r="M3472" i="1"/>
  <c r="C3473" i="1"/>
  <c r="E3473" i="1"/>
  <c r="F3473" i="1"/>
  <c r="H3473" i="1"/>
  <c r="I3473" i="1"/>
  <c r="J3473" i="1"/>
  <c r="L3473" i="1"/>
  <c r="M3473" i="1"/>
  <c r="C3474" i="1"/>
  <c r="E3474" i="1"/>
  <c r="F3474" i="1"/>
  <c r="H3474" i="1"/>
  <c r="I3474" i="1"/>
  <c r="J3474" i="1"/>
  <c r="L3474" i="1"/>
  <c r="M3474" i="1"/>
  <c r="C3475" i="1"/>
  <c r="E3475" i="1"/>
  <c r="F3475" i="1"/>
  <c r="H3475" i="1"/>
  <c r="I3475" i="1"/>
  <c r="J3475" i="1"/>
  <c r="L3475" i="1"/>
  <c r="M3475" i="1"/>
  <c r="C3476" i="1"/>
  <c r="E3476" i="1"/>
  <c r="F3476" i="1"/>
  <c r="H3476" i="1"/>
  <c r="I3476" i="1"/>
  <c r="J3476" i="1"/>
  <c r="L3476" i="1"/>
  <c r="M3476" i="1"/>
  <c r="C3477" i="1"/>
  <c r="E3477" i="1"/>
  <c r="F3477" i="1"/>
  <c r="H3477" i="1"/>
  <c r="I3477" i="1"/>
  <c r="J3477" i="1"/>
  <c r="L3477" i="1"/>
  <c r="M3477" i="1"/>
  <c r="C3478" i="1"/>
  <c r="E3478" i="1"/>
  <c r="F3478" i="1"/>
  <c r="H3478" i="1"/>
  <c r="I3478" i="1"/>
  <c r="J3478" i="1"/>
  <c r="L3478" i="1"/>
  <c r="M3478" i="1"/>
  <c r="C3479" i="1"/>
  <c r="E3479" i="1"/>
  <c r="F3479" i="1"/>
  <c r="H3479" i="1"/>
  <c r="I3479" i="1"/>
  <c r="J3479" i="1"/>
  <c r="L3479" i="1"/>
  <c r="M3479" i="1"/>
  <c r="C3480" i="1"/>
  <c r="E3480" i="1"/>
  <c r="F3480" i="1"/>
  <c r="H3480" i="1"/>
  <c r="I3480" i="1"/>
  <c r="J3480" i="1"/>
  <c r="L3480" i="1"/>
  <c r="M3480" i="1"/>
  <c r="C3481" i="1"/>
  <c r="E3481" i="1"/>
  <c r="F3481" i="1"/>
  <c r="H3481" i="1"/>
  <c r="I3481" i="1"/>
  <c r="J3481" i="1"/>
  <c r="L3481" i="1"/>
  <c r="M3481" i="1"/>
  <c r="C3482" i="1"/>
  <c r="E3482" i="1"/>
  <c r="F3482" i="1"/>
  <c r="H3482" i="1"/>
  <c r="I3482" i="1"/>
  <c r="J3482" i="1"/>
  <c r="L3482" i="1"/>
  <c r="M3482" i="1"/>
  <c r="C3483" i="1"/>
  <c r="E3483" i="1"/>
  <c r="F3483" i="1"/>
  <c r="H3483" i="1"/>
  <c r="I3483" i="1"/>
  <c r="J3483" i="1"/>
  <c r="L3483" i="1"/>
  <c r="M3483" i="1"/>
  <c r="C3484" i="1"/>
  <c r="E3484" i="1"/>
  <c r="F3484" i="1"/>
  <c r="H3484" i="1"/>
  <c r="I3484" i="1"/>
  <c r="J3484" i="1"/>
  <c r="L3484" i="1"/>
  <c r="M3484" i="1"/>
  <c r="C3485" i="1"/>
  <c r="E3485" i="1"/>
  <c r="F3485" i="1"/>
  <c r="H3485" i="1"/>
  <c r="I3485" i="1"/>
  <c r="J3485" i="1"/>
  <c r="L3485" i="1"/>
  <c r="M3485" i="1"/>
  <c r="C3486" i="1"/>
  <c r="E3486" i="1"/>
  <c r="F3486" i="1"/>
  <c r="H3486" i="1"/>
  <c r="I3486" i="1"/>
  <c r="J3486" i="1"/>
  <c r="L3486" i="1"/>
  <c r="M3486" i="1"/>
  <c r="C3487" i="1"/>
  <c r="E3487" i="1"/>
  <c r="F3487" i="1"/>
  <c r="H3487" i="1"/>
  <c r="I3487" i="1"/>
  <c r="J3487" i="1"/>
  <c r="L3487" i="1"/>
  <c r="M3487" i="1"/>
  <c r="C3488" i="1"/>
  <c r="E3488" i="1"/>
  <c r="F3488" i="1"/>
  <c r="H3488" i="1"/>
  <c r="I3488" i="1"/>
  <c r="J3488" i="1"/>
  <c r="L3488" i="1"/>
  <c r="M3488" i="1"/>
  <c r="C3489" i="1"/>
  <c r="E3489" i="1"/>
  <c r="F3489" i="1"/>
  <c r="H3489" i="1"/>
  <c r="I3489" i="1"/>
  <c r="J3489" i="1"/>
  <c r="L3489" i="1"/>
  <c r="M3489" i="1"/>
  <c r="C3490" i="1"/>
  <c r="E3490" i="1"/>
  <c r="F3490" i="1"/>
  <c r="H3490" i="1"/>
  <c r="I3490" i="1"/>
  <c r="J3490" i="1"/>
  <c r="L3490" i="1"/>
  <c r="M3490" i="1"/>
  <c r="C3491" i="1"/>
  <c r="E3491" i="1"/>
  <c r="F3491" i="1"/>
  <c r="H3491" i="1"/>
  <c r="I3491" i="1"/>
  <c r="J3491" i="1"/>
  <c r="L3491" i="1"/>
  <c r="M3491" i="1"/>
  <c r="C3492" i="1"/>
  <c r="E3492" i="1"/>
  <c r="F3492" i="1"/>
  <c r="H3492" i="1"/>
  <c r="I3492" i="1"/>
  <c r="J3492" i="1"/>
  <c r="L3492" i="1"/>
  <c r="M3492" i="1"/>
  <c r="C3493" i="1"/>
  <c r="E3493" i="1"/>
  <c r="F3493" i="1"/>
  <c r="H3493" i="1"/>
  <c r="I3493" i="1"/>
  <c r="J3493" i="1"/>
  <c r="L3493" i="1"/>
  <c r="M3493" i="1"/>
  <c r="C3494" i="1"/>
  <c r="E3494" i="1"/>
  <c r="F3494" i="1"/>
  <c r="H3494" i="1"/>
  <c r="I3494" i="1"/>
  <c r="J3494" i="1"/>
  <c r="L3494" i="1"/>
  <c r="M3494" i="1"/>
  <c r="C3495" i="1"/>
  <c r="E3495" i="1"/>
  <c r="F3495" i="1"/>
  <c r="H3495" i="1"/>
  <c r="I3495" i="1"/>
  <c r="J3495" i="1"/>
  <c r="L3495" i="1"/>
  <c r="M3495" i="1"/>
  <c r="C3496" i="1"/>
  <c r="E3496" i="1"/>
  <c r="F3496" i="1"/>
  <c r="H3496" i="1"/>
  <c r="I3496" i="1"/>
  <c r="J3496" i="1"/>
  <c r="L3496" i="1"/>
  <c r="M3496" i="1"/>
  <c r="C3497" i="1"/>
  <c r="E3497" i="1"/>
  <c r="F3497" i="1"/>
  <c r="H3497" i="1"/>
  <c r="I3497" i="1"/>
  <c r="J3497" i="1"/>
  <c r="L3497" i="1"/>
  <c r="M3497" i="1"/>
  <c r="C3498" i="1"/>
  <c r="E3498" i="1"/>
  <c r="F3498" i="1"/>
  <c r="H3498" i="1"/>
  <c r="I3498" i="1"/>
  <c r="J3498" i="1"/>
  <c r="L3498" i="1"/>
  <c r="M3498" i="1"/>
  <c r="C3499" i="1"/>
  <c r="E3499" i="1"/>
  <c r="F3499" i="1"/>
  <c r="H3499" i="1"/>
  <c r="I3499" i="1"/>
  <c r="J3499" i="1"/>
  <c r="L3499" i="1"/>
  <c r="M3499" i="1"/>
  <c r="C3500" i="1"/>
  <c r="E3500" i="1"/>
  <c r="F3500" i="1"/>
  <c r="H3500" i="1"/>
  <c r="I3500" i="1"/>
  <c r="J3500" i="1"/>
  <c r="L3500" i="1"/>
  <c r="M3500" i="1"/>
  <c r="C3501" i="1"/>
  <c r="E3501" i="1"/>
  <c r="F3501" i="1"/>
  <c r="H3501" i="1"/>
  <c r="I3501" i="1"/>
  <c r="J3501" i="1"/>
  <c r="L3501" i="1"/>
  <c r="M3501" i="1"/>
  <c r="C3502" i="1"/>
  <c r="E3502" i="1"/>
  <c r="F3502" i="1"/>
  <c r="H3502" i="1"/>
  <c r="I3502" i="1"/>
  <c r="J3502" i="1"/>
  <c r="L3502" i="1"/>
  <c r="M3502" i="1"/>
  <c r="C3503" i="1"/>
  <c r="E3503" i="1"/>
  <c r="F3503" i="1"/>
  <c r="H3503" i="1"/>
  <c r="I3503" i="1"/>
  <c r="J3503" i="1"/>
  <c r="L3503" i="1"/>
  <c r="M3503" i="1"/>
  <c r="C3504" i="1"/>
  <c r="E3504" i="1"/>
  <c r="F3504" i="1"/>
  <c r="H3504" i="1"/>
  <c r="I3504" i="1"/>
  <c r="J3504" i="1"/>
  <c r="L3504" i="1"/>
  <c r="M3504" i="1"/>
  <c r="C3505" i="1"/>
  <c r="E3505" i="1"/>
  <c r="F3505" i="1"/>
  <c r="H3505" i="1"/>
  <c r="I3505" i="1"/>
  <c r="J3505" i="1"/>
  <c r="L3505" i="1"/>
  <c r="M3505" i="1"/>
  <c r="C3506" i="1"/>
  <c r="E3506" i="1"/>
  <c r="F3506" i="1"/>
  <c r="H3506" i="1"/>
  <c r="I3506" i="1"/>
  <c r="J3506" i="1"/>
  <c r="L3506" i="1"/>
  <c r="M3506" i="1"/>
  <c r="C3507" i="1"/>
  <c r="E3507" i="1"/>
  <c r="F3507" i="1"/>
  <c r="H3507" i="1"/>
  <c r="I3507" i="1"/>
  <c r="J3507" i="1"/>
  <c r="L3507" i="1"/>
  <c r="M3507" i="1"/>
  <c r="C3508" i="1"/>
  <c r="E3508" i="1"/>
  <c r="F3508" i="1"/>
  <c r="H3508" i="1"/>
  <c r="I3508" i="1"/>
  <c r="J3508" i="1"/>
  <c r="L3508" i="1"/>
  <c r="M3508" i="1"/>
  <c r="C3509" i="1"/>
  <c r="E3509" i="1"/>
  <c r="F3509" i="1"/>
  <c r="H3509" i="1"/>
  <c r="I3509" i="1"/>
  <c r="J3509" i="1"/>
  <c r="L3509" i="1"/>
  <c r="M3509" i="1"/>
  <c r="C3510" i="1"/>
  <c r="E3510" i="1"/>
  <c r="F3510" i="1"/>
  <c r="H3510" i="1"/>
  <c r="I3510" i="1"/>
  <c r="J3510" i="1"/>
  <c r="L3510" i="1"/>
  <c r="M3510" i="1"/>
  <c r="C3511" i="1"/>
  <c r="E3511" i="1"/>
  <c r="F3511" i="1"/>
  <c r="H3511" i="1"/>
  <c r="I3511" i="1"/>
  <c r="J3511" i="1"/>
  <c r="L3511" i="1"/>
  <c r="M3511" i="1"/>
  <c r="C3512" i="1"/>
  <c r="E3512" i="1"/>
  <c r="F3512" i="1"/>
  <c r="H3512" i="1"/>
  <c r="I3512" i="1"/>
  <c r="J3512" i="1"/>
  <c r="L3512" i="1"/>
  <c r="M3512" i="1"/>
  <c r="C3513" i="1"/>
  <c r="E3513" i="1"/>
  <c r="F3513" i="1"/>
  <c r="H3513" i="1"/>
  <c r="I3513" i="1"/>
  <c r="J3513" i="1"/>
  <c r="L3513" i="1"/>
  <c r="M3513" i="1"/>
  <c r="C3514" i="1"/>
  <c r="E3514" i="1"/>
  <c r="F3514" i="1"/>
  <c r="H3514" i="1"/>
  <c r="I3514" i="1"/>
  <c r="J3514" i="1"/>
  <c r="L3514" i="1"/>
  <c r="M3514" i="1"/>
  <c r="C3515" i="1"/>
  <c r="E3515" i="1"/>
  <c r="F3515" i="1"/>
  <c r="H3515" i="1"/>
  <c r="I3515" i="1"/>
  <c r="J3515" i="1"/>
  <c r="L3515" i="1"/>
  <c r="M3515" i="1"/>
  <c r="C3516" i="1"/>
  <c r="E3516" i="1"/>
  <c r="F3516" i="1"/>
  <c r="H3516" i="1"/>
  <c r="I3516" i="1"/>
  <c r="J3516" i="1"/>
  <c r="L3516" i="1"/>
  <c r="M3516" i="1"/>
  <c r="C3517" i="1"/>
  <c r="E3517" i="1"/>
  <c r="F3517" i="1"/>
  <c r="H3517" i="1"/>
  <c r="I3517" i="1"/>
  <c r="J3517" i="1"/>
  <c r="L3517" i="1"/>
  <c r="M3517" i="1"/>
  <c r="C3518" i="1"/>
  <c r="E3518" i="1"/>
  <c r="F3518" i="1"/>
  <c r="H3518" i="1"/>
  <c r="I3518" i="1"/>
  <c r="J3518" i="1"/>
  <c r="L3518" i="1"/>
  <c r="M3518" i="1"/>
  <c r="C3519" i="1"/>
  <c r="E3519" i="1"/>
  <c r="F3519" i="1"/>
  <c r="H3519" i="1"/>
  <c r="I3519" i="1"/>
  <c r="J3519" i="1"/>
  <c r="L3519" i="1"/>
  <c r="M3519" i="1"/>
  <c r="C3520" i="1"/>
  <c r="E3520" i="1"/>
  <c r="F3520" i="1"/>
  <c r="H3520" i="1"/>
  <c r="I3520" i="1"/>
  <c r="J3520" i="1"/>
  <c r="L3520" i="1"/>
  <c r="M3520" i="1"/>
  <c r="C3521" i="1"/>
  <c r="E3521" i="1"/>
  <c r="F3521" i="1"/>
  <c r="H3521" i="1"/>
  <c r="I3521" i="1"/>
  <c r="J3521" i="1"/>
  <c r="L3521" i="1"/>
  <c r="M3521" i="1"/>
  <c r="C3522" i="1"/>
  <c r="E3522" i="1"/>
  <c r="F3522" i="1"/>
  <c r="H3522" i="1"/>
  <c r="I3522" i="1"/>
  <c r="J3522" i="1"/>
  <c r="L3522" i="1"/>
  <c r="M3522" i="1"/>
  <c r="C3523" i="1"/>
  <c r="E3523" i="1"/>
  <c r="F3523" i="1"/>
  <c r="H3523" i="1"/>
  <c r="I3523" i="1"/>
  <c r="J3523" i="1"/>
  <c r="L3523" i="1"/>
  <c r="M3523" i="1"/>
  <c r="C3524" i="1"/>
  <c r="E3524" i="1"/>
  <c r="F3524" i="1"/>
  <c r="H3524" i="1"/>
  <c r="I3524" i="1"/>
  <c r="J3524" i="1"/>
  <c r="L3524" i="1"/>
  <c r="M3524" i="1"/>
  <c r="C3525" i="1"/>
  <c r="E3525" i="1"/>
  <c r="F3525" i="1"/>
  <c r="H3525" i="1"/>
  <c r="I3525" i="1"/>
  <c r="J3525" i="1"/>
  <c r="L3525" i="1"/>
  <c r="M3525" i="1"/>
  <c r="C3526" i="1"/>
  <c r="E3526" i="1"/>
  <c r="F3526" i="1"/>
  <c r="H3526" i="1"/>
  <c r="I3526" i="1"/>
  <c r="J3526" i="1"/>
  <c r="L3526" i="1"/>
  <c r="M3526" i="1"/>
  <c r="C3527" i="1"/>
  <c r="E3527" i="1"/>
  <c r="F3527" i="1"/>
  <c r="H3527" i="1"/>
  <c r="I3527" i="1"/>
  <c r="J3527" i="1"/>
  <c r="L3527" i="1"/>
  <c r="M3527" i="1"/>
  <c r="C3528" i="1"/>
  <c r="E3528" i="1"/>
  <c r="F3528" i="1"/>
  <c r="H3528" i="1"/>
  <c r="I3528" i="1"/>
  <c r="J3528" i="1"/>
  <c r="L3528" i="1"/>
  <c r="M3528" i="1"/>
  <c r="C3529" i="1"/>
  <c r="E3529" i="1"/>
  <c r="F3529" i="1"/>
  <c r="H3529" i="1"/>
  <c r="I3529" i="1"/>
  <c r="J3529" i="1"/>
  <c r="L3529" i="1"/>
  <c r="M3529" i="1"/>
  <c r="C3530" i="1"/>
  <c r="E3530" i="1"/>
  <c r="F3530" i="1"/>
  <c r="H3530" i="1"/>
  <c r="I3530" i="1"/>
  <c r="J3530" i="1"/>
  <c r="L3530" i="1"/>
  <c r="M3530" i="1"/>
  <c r="C3531" i="1"/>
  <c r="E3531" i="1"/>
  <c r="F3531" i="1"/>
  <c r="H3531" i="1"/>
  <c r="I3531" i="1"/>
  <c r="J3531" i="1"/>
  <c r="L3531" i="1"/>
  <c r="M3531" i="1"/>
  <c r="C3532" i="1"/>
  <c r="E3532" i="1"/>
  <c r="F3532" i="1"/>
  <c r="H3532" i="1"/>
  <c r="I3532" i="1"/>
  <c r="J3532" i="1"/>
  <c r="L3532" i="1"/>
  <c r="M3532" i="1"/>
  <c r="C3533" i="1"/>
  <c r="E3533" i="1"/>
  <c r="F3533" i="1"/>
  <c r="H3533" i="1"/>
  <c r="I3533" i="1"/>
  <c r="J3533" i="1"/>
  <c r="L3533" i="1"/>
  <c r="M3533" i="1"/>
  <c r="C3534" i="1"/>
  <c r="E3534" i="1"/>
  <c r="F3534" i="1"/>
  <c r="H3534" i="1"/>
  <c r="I3534" i="1"/>
  <c r="J3534" i="1"/>
  <c r="L3534" i="1"/>
  <c r="M3534" i="1"/>
  <c r="C3535" i="1"/>
  <c r="E3535" i="1"/>
  <c r="F3535" i="1"/>
  <c r="H3535" i="1"/>
  <c r="I3535" i="1"/>
  <c r="J3535" i="1"/>
  <c r="L3535" i="1"/>
  <c r="M3535" i="1"/>
  <c r="C3536" i="1"/>
  <c r="E3536" i="1"/>
  <c r="F3536" i="1"/>
  <c r="H3536" i="1"/>
  <c r="I3536" i="1"/>
  <c r="J3536" i="1"/>
  <c r="L3536" i="1"/>
  <c r="M3536" i="1"/>
  <c r="C3537" i="1"/>
  <c r="E3537" i="1"/>
  <c r="F3537" i="1"/>
  <c r="H3537" i="1"/>
  <c r="I3537" i="1"/>
  <c r="J3537" i="1"/>
  <c r="L3537" i="1"/>
  <c r="M3537" i="1"/>
  <c r="C3538" i="1"/>
  <c r="E3538" i="1"/>
  <c r="F3538" i="1"/>
  <c r="H3538" i="1"/>
  <c r="I3538" i="1"/>
  <c r="J3538" i="1"/>
  <c r="L3538" i="1"/>
  <c r="M3538" i="1"/>
  <c r="C3539" i="1"/>
  <c r="E3539" i="1"/>
  <c r="F3539" i="1"/>
  <c r="H3539" i="1"/>
  <c r="I3539" i="1"/>
  <c r="J3539" i="1"/>
  <c r="L3539" i="1"/>
  <c r="M3539" i="1"/>
  <c r="C3540" i="1"/>
  <c r="E3540" i="1"/>
  <c r="F3540" i="1"/>
  <c r="H3540" i="1"/>
  <c r="I3540" i="1"/>
  <c r="J3540" i="1"/>
  <c r="L3540" i="1"/>
  <c r="M3540" i="1"/>
  <c r="C3541" i="1"/>
  <c r="E3541" i="1"/>
  <c r="F3541" i="1"/>
  <c r="H3541" i="1"/>
  <c r="I3541" i="1"/>
  <c r="J3541" i="1"/>
  <c r="L3541" i="1"/>
  <c r="M3541" i="1"/>
  <c r="C3542" i="1"/>
  <c r="E3542" i="1"/>
  <c r="F3542" i="1"/>
  <c r="H3542" i="1"/>
  <c r="I3542" i="1"/>
  <c r="J3542" i="1"/>
  <c r="L3542" i="1"/>
  <c r="M3542" i="1"/>
  <c r="C3543" i="1"/>
  <c r="E3543" i="1"/>
  <c r="F3543" i="1"/>
  <c r="H3543" i="1"/>
  <c r="I3543" i="1"/>
  <c r="J3543" i="1"/>
  <c r="L3543" i="1"/>
  <c r="M3543" i="1"/>
  <c r="C3544" i="1"/>
  <c r="E3544" i="1"/>
  <c r="F3544" i="1"/>
  <c r="H3544" i="1"/>
  <c r="I3544" i="1"/>
  <c r="J3544" i="1"/>
  <c r="L3544" i="1"/>
  <c r="M3544" i="1"/>
  <c r="C3545" i="1"/>
  <c r="E3545" i="1"/>
  <c r="F3545" i="1"/>
  <c r="H3545" i="1"/>
  <c r="I3545" i="1"/>
  <c r="J3545" i="1"/>
  <c r="L3545" i="1"/>
  <c r="M3545" i="1"/>
  <c r="C3546" i="1"/>
  <c r="E3546" i="1"/>
  <c r="F3546" i="1"/>
  <c r="H3546" i="1"/>
  <c r="I3546" i="1"/>
  <c r="J3546" i="1"/>
  <c r="L3546" i="1"/>
  <c r="M3546" i="1"/>
  <c r="C3547" i="1"/>
  <c r="E3547" i="1"/>
  <c r="F3547" i="1"/>
  <c r="H3547" i="1"/>
  <c r="I3547" i="1"/>
  <c r="J3547" i="1"/>
  <c r="L3547" i="1"/>
  <c r="M3547" i="1"/>
  <c r="C3548" i="1"/>
  <c r="E3548" i="1"/>
  <c r="F3548" i="1"/>
  <c r="H3548" i="1"/>
  <c r="I3548" i="1"/>
  <c r="J3548" i="1"/>
  <c r="L3548" i="1"/>
  <c r="M3548" i="1"/>
  <c r="C3549" i="1"/>
  <c r="E3549" i="1"/>
  <c r="F3549" i="1"/>
  <c r="H3549" i="1"/>
  <c r="I3549" i="1"/>
  <c r="J3549" i="1"/>
  <c r="L3549" i="1"/>
  <c r="M3549" i="1"/>
  <c r="C3550" i="1"/>
  <c r="E3550" i="1"/>
  <c r="F3550" i="1"/>
  <c r="H3550" i="1"/>
  <c r="I3550" i="1"/>
  <c r="J3550" i="1"/>
  <c r="L3550" i="1"/>
  <c r="M3550" i="1"/>
  <c r="C3551" i="1"/>
  <c r="E3551" i="1"/>
  <c r="F3551" i="1"/>
  <c r="H3551" i="1"/>
  <c r="I3551" i="1"/>
  <c r="J3551" i="1"/>
  <c r="L3551" i="1"/>
  <c r="M3551" i="1"/>
  <c r="C3552" i="1"/>
  <c r="E3552" i="1"/>
  <c r="F3552" i="1"/>
  <c r="H3552" i="1"/>
  <c r="I3552" i="1"/>
  <c r="J3552" i="1"/>
  <c r="L3552" i="1"/>
  <c r="M3552" i="1"/>
  <c r="C3553" i="1"/>
  <c r="E3553" i="1"/>
  <c r="F3553" i="1"/>
  <c r="H3553" i="1"/>
  <c r="I3553" i="1"/>
  <c r="J3553" i="1"/>
  <c r="L3553" i="1"/>
  <c r="M3553" i="1"/>
  <c r="C3554" i="1"/>
  <c r="E3554" i="1"/>
  <c r="F3554" i="1"/>
  <c r="H3554" i="1"/>
  <c r="I3554" i="1"/>
  <c r="J3554" i="1"/>
  <c r="L3554" i="1"/>
  <c r="M3554" i="1"/>
  <c r="C3555" i="1"/>
  <c r="E3555" i="1"/>
  <c r="F3555" i="1"/>
  <c r="H3555" i="1"/>
  <c r="I3555" i="1"/>
  <c r="J3555" i="1"/>
  <c r="L3555" i="1"/>
  <c r="M3555" i="1"/>
  <c r="C3556" i="1"/>
  <c r="E3556" i="1"/>
  <c r="F3556" i="1"/>
  <c r="H3556" i="1"/>
  <c r="I3556" i="1"/>
  <c r="J3556" i="1"/>
  <c r="L3556" i="1"/>
  <c r="M3556" i="1"/>
  <c r="C3557" i="1"/>
  <c r="E3557" i="1"/>
  <c r="F3557" i="1"/>
  <c r="H3557" i="1"/>
  <c r="I3557" i="1"/>
  <c r="J3557" i="1"/>
  <c r="L3557" i="1"/>
  <c r="M3557" i="1"/>
  <c r="C3558" i="1"/>
  <c r="E3558" i="1"/>
  <c r="F3558" i="1"/>
  <c r="H3558" i="1"/>
  <c r="I3558" i="1"/>
  <c r="J3558" i="1"/>
  <c r="L3558" i="1"/>
  <c r="M3558" i="1"/>
  <c r="C3559" i="1"/>
  <c r="E3559" i="1"/>
  <c r="F3559" i="1"/>
  <c r="H3559" i="1"/>
  <c r="I3559" i="1"/>
  <c r="J3559" i="1"/>
  <c r="L3559" i="1"/>
  <c r="M3559" i="1"/>
  <c r="C3560" i="1"/>
  <c r="E3560" i="1"/>
  <c r="F3560" i="1"/>
  <c r="H3560" i="1"/>
  <c r="I3560" i="1"/>
  <c r="J3560" i="1"/>
  <c r="L3560" i="1"/>
  <c r="M3560" i="1"/>
  <c r="C3561" i="1"/>
  <c r="E3561" i="1"/>
  <c r="F3561" i="1"/>
  <c r="H3561" i="1"/>
  <c r="I3561" i="1"/>
  <c r="J3561" i="1"/>
  <c r="L3561" i="1"/>
  <c r="M3561" i="1"/>
  <c r="C3562" i="1"/>
  <c r="E3562" i="1"/>
  <c r="F3562" i="1"/>
  <c r="H3562" i="1"/>
  <c r="I3562" i="1"/>
  <c r="J3562" i="1"/>
  <c r="L3562" i="1"/>
  <c r="M3562" i="1"/>
  <c r="C3563" i="1"/>
  <c r="E3563" i="1"/>
  <c r="F3563" i="1"/>
  <c r="H3563" i="1"/>
  <c r="I3563" i="1"/>
  <c r="J3563" i="1"/>
  <c r="L3563" i="1"/>
  <c r="M3563" i="1"/>
  <c r="C3564" i="1"/>
  <c r="E3564" i="1"/>
  <c r="F3564" i="1"/>
  <c r="H3564" i="1"/>
  <c r="I3564" i="1"/>
  <c r="J3564" i="1"/>
  <c r="L3564" i="1"/>
  <c r="M3564" i="1"/>
  <c r="C3565" i="1"/>
  <c r="E3565" i="1"/>
  <c r="F3565" i="1"/>
  <c r="H3565" i="1"/>
  <c r="I3565" i="1"/>
  <c r="J3565" i="1"/>
  <c r="L3565" i="1"/>
  <c r="M3565" i="1"/>
  <c r="C3566" i="1"/>
  <c r="E3566" i="1"/>
  <c r="F3566" i="1"/>
  <c r="H3566" i="1"/>
  <c r="I3566" i="1"/>
  <c r="J3566" i="1"/>
  <c r="L3566" i="1"/>
  <c r="M3566" i="1"/>
  <c r="C3567" i="1"/>
  <c r="E3567" i="1"/>
  <c r="F3567" i="1"/>
  <c r="H3567" i="1"/>
  <c r="I3567" i="1"/>
  <c r="J3567" i="1"/>
  <c r="L3567" i="1"/>
  <c r="M3567" i="1"/>
  <c r="C3568" i="1"/>
  <c r="E3568" i="1"/>
  <c r="F3568" i="1"/>
  <c r="H3568" i="1"/>
  <c r="I3568" i="1"/>
  <c r="J3568" i="1"/>
  <c r="L3568" i="1"/>
  <c r="M3568" i="1"/>
  <c r="C3569" i="1"/>
  <c r="E3569" i="1"/>
  <c r="F3569" i="1"/>
  <c r="H3569" i="1"/>
  <c r="I3569" i="1"/>
  <c r="J3569" i="1"/>
  <c r="L3569" i="1"/>
  <c r="M3569" i="1"/>
  <c r="C3570" i="1"/>
  <c r="E3570" i="1"/>
  <c r="F3570" i="1"/>
  <c r="H3570" i="1"/>
  <c r="I3570" i="1"/>
  <c r="J3570" i="1"/>
  <c r="L3570" i="1"/>
  <c r="M3570" i="1"/>
  <c r="C3571" i="1"/>
  <c r="E3571" i="1"/>
  <c r="F3571" i="1"/>
  <c r="H3571" i="1"/>
  <c r="I3571" i="1"/>
  <c r="J3571" i="1"/>
  <c r="L3571" i="1"/>
  <c r="M3571" i="1"/>
  <c r="C3572" i="1"/>
  <c r="E3572" i="1"/>
  <c r="F3572" i="1"/>
  <c r="H3572" i="1"/>
  <c r="I3572" i="1"/>
  <c r="J3572" i="1"/>
  <c r="L3572" i="1"/>
  <c r="M3572" i="1"/>
  <c r="C3573" i="1"/>
  <c r="E3573" i="1"/>
  <c r="F3573" i="1"/>
  <c r="H3573" i="1"/>
  <c r="I3573" i="1"/>
  <c r="J3573" i="1"/>
  <c r="L3573" i="1"/>
  <c r="M3573" i="1"/>
  <c r="C3574" i="1"/>
  <c r="E3574" i="1"/>
  <c r="F3574" i="1"/>
  <c r="H3574" i="1"/>
  <c r="I3574" i="1"/>
  <c r="J3574" i="1"/>
  <c r="L3574" i="1"/>
  <c r="M3574" i="1"/>
  <c r="C3575" i="1"/>
  <c r="E3575" i="1"/>
  <c r="F3575" i="1"/>
  <c r="H3575" i="1"/>
  <c r="I3575" i="1"/>
  <c r="J3575" i="1"/>
  <c r="L3575" i="1"/>
  <c r="M3575" i="1"/>
  <c r="C3576" i="1"/>
  <c r="E3576" i="1"/>
  <c r="F3576" i="1"/>
  <c r="H3576" i="1"/>
  <c r="I3576" i="1"/>
  <c r="J3576" i="1"/>
  <c r="L3576" i="1"/>
  <c r="M3576" i="1"/>
  <c r="C3577" i="1"/>
  <c r="E3577" i="1"/>
  <c r="F3577" i="1"/>
  <c r="H3577" i="1"/>
  <c r="I3577" i="1"/>
  <c r="J3577" i="1"/>
  <c r="L3577" i="1"/>
  <c r="M3577" i="1"/>
  <c r="C3578" i="1"/>
  <c r="E3578" i="1"/>
  <c r="F3578" i="1"/>
  <c r="H3578" i="1"/>
  <c r="I3578" i="1"/>
  <c r="J3578" i="1"/>
  <c r="L3578" i="1"/>
  <c r="M3578" i="1"/>
  <c r="C3579" i="1"/>
  <c r="E3579" i="1"/>
  <c r="F3579" i="1"/>
  <c r="H3579" i="1"/>
  <c r="I3579" i="1"/>
  <c r="J3579" i="1"/>
  <c r="L3579" i="1"/>
  <c r="M3579" i="1"/>
  <c r="C3580" i="1"/>
  <c r="E3580" i="1"/>
  <c r="F3580" i="1"/>
  <c r="H3580" i="1"/>
  <c r="I3580" i="1"/>
  <c r="J3580" i="1"/>
  <c r="L3580" i="1"/>
  <c r="M3580" i="1"/>
  <c r="C3581" i="1"/>
  <c r="E3581" i="1"/>
  <c r="F3581" i="1"/>
  <c r="H3581" i="1"/>
  <c r="I3581" i="1"/>
  <c r="J3581" i="1"/>
  <c r="L3581" i="1"/>
  <c r="M3581" i="1"/>
  <c r="C3582" i="1"/>
  <c r="E3582" i="1"/>
  <c r="F3582" i="1"/>
  <c r="H3582" i="1"/>
  <c r="I3582" i="1"/>
  <c r="J3582" i="1"/>
  <c r="L3582" i="1"/>
  <c r="M3582" i="1"/>
  <c r="C3583" i="1"/>
  <c r="E3583" i="1"/>
  <c r="F3583" i="1"/>
  <c r="H3583" i="1"/>
  <c r="I3583" i="1"/>
  <c r="J3583" i="1"/>
  <c r="L3583" i="1"/>
  <c r="M3583" i="1"/>
  <c r="C3584" i="1"/>
  <c r="E3584" i="1"/>
  <c r="F3584" i="1"/>
  <c r="H3584" i="1"/>
  <c r="I3584" i="1"/>
  <c r="J3584" i="1"/>
  <c r="L3584" i="1"/>
  <c r="M3584" i="1"/>
  <c r="C3585" i="1"/>
  <c r="E3585" i="1"/>
  <c r="F3585" i="1"/>
  <c r="H3585" i="1"/>
  <c r="I3585" i="1"/>
  <c r="J3585" i="1"/>
  <c r="L3585" i="1"/>
  <c r="M3585" i="1"/>
  <c r="C3586" i="1"/>
  <c r="E3586" i="1"/>
  <c r="F3586" i="1"/>
  <c r="H3586" i="1"/>
  <c r="I3586" i="1"/>
  <c r="J3586" i="1"/>
  <c r="L3586" i="1"/>
  <c r="M3586" i="1"/>
  <c r="C3587" i="1"/>
  <c r="E3587" i="1"/>
  <c r="F3587" i="1"/>
  <c r="H3587" i="1"/>
  <c r="I3587" i="1"/>
  <c r="J3587" i="1"/>
  <c r="L3587" i="1"/>
  <c r="M3587" i="1"/>
  <c r="C3588" i="1"/>
  <c r="E3588" i="1"/>
  <c r="F3588" i="1"/>
  <c r="H3588" i="1"/>
  <c r="I3588" i="1"/>
  <c r="J3588" i="1"/>
  <c r="L3588" i="1"/>
  <c r="M3588" i="1"/>
  <c r="C3589" i="1"/>
  <c r="E3589" i="1"/>
  <c r="F3589" i="1"/>
  <c r="H3589" i="1"/>
  <c r="I3589" i="1"/>
  <c r="J3589" i="1"/>
  <c r="L3589" i="1"/>
  <c r="M3589" i="1"/>
  <c r="C3590" i="1"/>
  <c r="E3590" i="1"/>
  <c r="F3590" i="1"/>
  <c r="H3590" i="1"/>
  <c r="I3590" i="1"/>
  <c r="J3590" i="1"/>
  <c r="L3590" i="1"/>
  <c r="M3590" i="1"/>
  <c r="C3591" i="1"/>
  <c r="E3591" i="1"/>
  <c r="F3591" i="1"/>
  <c r="H3591" i="1"/>
  <c r="I3591" i="1"/>
  <c r="J3591" i="1"/>
  <c r="L3591" i="1"/>
  <c r="M3591" i="1"/>
  <c r="C3592" i="1"/>
  <c r="E3592" i="1"/>
  <c r="F3592" i="1"/>
  <c r="H3592" i="1"/>
  <c r="I3592" i="1"/>
  <c r="J3592" i="1"/>
  <c r="L3592" i="1"/>
  <c r="M3592" i="1"/>
  <c r="C3593" i="1"/>
  <c r="E3593" i="1"/>
  <c r="F3593" i="1"/>
  <c r="H3593" i="1"/>
  <c r="I3593" i="1"/>
  <c r="J3593" i="1"/>
  <c r="L3593" i="1"/>
  <c r="M3593" i="1"/>
  <c r="C3594" i="1"/>
  <c r="E3594" i="1"/>
  <c r="F3594" i="1"/>
  <c r="H3594" i="1"/>
  <c r="I3594" i="1"/>
  <c r="J3594" i="1"/>
  <c r="L3594" i="1"/>
  <c r="M3594" i="1"/>
  <c r="C3595" i="1"/>
  <c r="E3595" i="1"/>
  <c r="F3595" i="1"/>
  <c r="H3595" i="1"/>
  <c r="I3595" i="1"/>
  <c r="J3595" i="1"/>
  <c r="L3595" i="1"/>
  <c r="M3595" i="1"/>
  <c r="C3596" i="1"/>
  <c r="E3596" i="1"/>
  <c r="F3596" i="1"/>
  <c r="H3596" i="1"/>
  <c r="I3596" i="1"/>
  <c r="J3596" i="1"/>
  <c r="L3596" i="1"/>
  <c r="M3596" i="1"/>
  <c r="C3597" i="1"/>
  <c r="E3597" i="1"/>
  <c r="F3597" i="1"/>
  <c r="H3597" i="1"/>
  <c r="I3597" i="1"/>
  <c r="J3597" i="1"/>
  <c r="L3597" i="1"/>
  <c r="M3597" i="1"/>
  <c r="C3598" i="1"/>
  <c r="E3598" i="1"/>
  <c r="F3598" i="1"/>
  <c r="H3598" i="1"/>
  <c r="I3598" i="1"/>
  <c r="J3598" i="1"/>
  <c r="L3598" i="1"/>
  <c r="M3598" i="1"/>
  <c r="C3599" i="1"/>
  <c r="E3599" i="1"/>
  <c r="F3599" i="1"/>
  <c r="H3599" i="1"/>
  <c r="I3599" i="1"/>
  <c r="J3599" i="1"/>
  <c r="L3599" i="1"/>
  <c r="M3599" i="1"/>
  <c r="C3600" i="1"/>
  <c r="E3600" i="1"/>
  <c r="F3600" i="1"/>
  <c r="H3600" i="1"/>
  <c r="I3600" i="1"/>
  <c r="J3600" i="1"/>
  <c r="L3600" i="1"/>
  <c r="M3600" i="1"/>
  <c r="C3601" i="1"/>
  <c r="E3601" i="1"/>
  <c r="F3601" i="1"/>
  <c r="H3601" i="1"/>
  <c r="I3601" i="1"/>
  <c r="J3601" i="1"/>
  <c r="L3601" i="1"/>
  <c r="M3601" i="1"/>
  <c r="C3602" i="1"/>
  <c r="E3602" i="1"/>
  <c r="F3602" i="1"/>
  <c r="H3602" i="1"/>
  <c r="I3602" i="1"/>
  <c r="J3602" i="1"/>
  <c r="L3602" i="1"/>
  <c r="M3602" i="1"/>
  <c r="C3603" i="1"/>
  <c r="E3603" i="1"/>
  <c r="F3603" i="1"/>
  <c r="H3603" i="1"/>
  <c r="I3603" i="1"/>
  <c r="J3603" i="1"/>
  <c r="L3603" i="1"/>
  <c r="M3603" i="1"/>
  <c r="C3604" i="1"/>
  <c r="E3604" i="1"/>
  <c r="F3604" i="1"/>
  <c r="H3604" i="1"/>
  <c r="I3604" i="1"/>
  <c r="J3604" i="1"/>
  <c r="L3604" i="1"/>
  <c r="M3604" i="1"/>
  <c r="C3605" i="1"/>
  <c r="E3605" i="1"/>
  <c r="F3605" i="1"/>
  <c r="H3605" i="1"/>
  <c r="I3605" i="1"/>
  <c r="J3605" i="1"/>
  <c r="L3605" i="1"/>
  <c r="M3605" i="1"/>
  <c r="C3606" i="1"/>
  <c r="E3606" i="1"/>
  <c r="F3606" i="1"/>
  <c r="H3606" i="1"/>
  <c r="I3606" i="1"/>
  <c r="J3606" i="1"/>
  <c r="L3606" i="1"/>
  <c r="M3606" i="1"/>
  <c r="C3607" i="1"/>
  <c r="E3607" i="1"/>
  <c r="F3607" i="1"/>
  <c r="H3607" i="1"/>
  <c r="I3607" i="1"/>
  <c r="J3607" i="1"/>
  <c r="L3607" i="1"/>
  <c r="M3607" i="1"/>
  <c r="C3608" i="1"/>
  <c r="E3608" i="1"/>
  <c r="F3608" i="1"/>
  <c r="H3608" i="1"/>
  <c r="I3608" i="1"/>
  <c r="J3608" i="1"/>
  <c r="L3608" i="1"/>
  <c r="M3608" i="1"/>
  <c r="C3609" i="1"/>
  <c r="E3609" i="1"/>
  <c r="F3609" i="1"/>
  <c r="H3609" i="1"/>
  <c r="I3609" i="1"/>
  <c r="J3609" i="1"/>
  <c r="L3609" i="1"/>
  <c r="M3609" i="1"/>
  <c r="C3610" i="1"/>
  <c r="E3610" i="1"/>
  <c r="F3610" i="1"/>
  <c r="H3610" i="1"/>
  <c r="I3610" i="1"/>
  <c r="J3610" i="1"/>
  <c r="L3610" i="1"/>
  <c r="M3610" i="1"/>
  <c r="C3611" i="1"/>
  <c r="E3611" i="1"/>
  <c r="F3611" i="1"/>
  <c r="H3611" i="1"/>
  <c r="I3611" i="1"/>
  <c r="J3611" i="1"/>
  <c r="L3611" i="1"/>
  <c r="M3611" i="1"/>
  <c r="C3612" i="1"/>
  <c r="E3612" i="1"/>
  <c r="F3612" i="1"/>
  <c r="H3612" i="1"/>
  <c r="I3612" i="1"/>
  <c r="J3612" i="1"/>
  <c r="L3612" i="1"/>
  <c r="M3612" i="1"/>
  <c r="C3613" i="1"/>
  <c r="E3613" i="1"/>
  <c r="F3613" i="1"/>
  <c r="H3613" i="1"/>
  <c r="I3613" i="1"/>
  <c r="J3613" i="1"/>
  <c r="L3613" i="1"/>
  <c r="M3613" i="1"/>
  <c r="C3614" i="1"/>
  <c r="E3614" i="1"/>
  <c r="F3614" i="1"/>
  <c r="H3614" i="1"/>
  <c r="I3614" i="1"/>
  <c r="J3614" i="1"/>
  <c r="L3614" i="1"/>
  <c r="M3614" i="1"/>
  <c r="C3615" i="1"/>
  <c r="E3615" i="1"/>
  <c r="F3615" i="1"/>
  <c r="H3615" i="1"/>
  <c r="I3615" i="1"/>
  <c r="J3615" i="1"/>
  <c r="L3615" i="1"/>
  <c r="M3615" i="1"/>
  <c r="C3616" i="1"/>
  <c r="E3616" i="1"/>
  <c r="F3616" i="1"/>
  <c r="H3616" i="1"/>
  <c r="I3616" i="1"/>
  <c r="J3616" i="1"/>
  <c r="L3616" i="1"/>
  <c r="M3616" i="1"/>
  <c r="C3617" i="1"/>
  <c r="E3617" i="1"/>
  <c r="F3617" i="1"/>
  <c r="H3617" i="1"/>
  <c r="I3617" i="1"/>
  <c r="J3617" i="1"/>
  <c r="L3617" i="1"/>
  <c r="M3617" i="1"/>
  <c r="C3618" i="1"/>
  <c r="E3618" i="1"/>
  <c r="F3618" i="1"/>
  <c r="H3618" i="1"/>
  <c r="I3618" i="1"/>
  <c r="J3618" i="1"/>
  <c r="L3618" i="1"/>
  <c r="M3618" i="1"/>
  <c r="C3619" i="1"/>
  <c r="E3619" i="1"/>
  <c r="F3619" i="1"/>
  <c r="H3619" i="1"/>
  <c r="I3619" i="1"/>
  <c r="J3619" i="1"/>
  <c r="L3619" i="1"/>
  <c r="M3619" i="1"/>
  <c r="C3620" i="1"/>
  <c r="E3620" i="1"/>
  <c r="F3620" i="1"/>
  <c r="H3620" i="1"/>
  <c r="I3620" i="1"/>
  <c r="J3620" i="1"/>
  <c r="L3620" i="1"/>
  <c r="M3620" i="1"/>
  <c r="C3621" i="1"/>
  <c r="E3621" i="1"/>
  <c r="F3621" i="1"/>
  <c r="H3621" i="1"/>
  <c r="I3621" i="1"/>
  <c r="J3621" i="1"/>
  <c r="L3621" i="1"/>
  <c r="M3621" i="1"/>
  <c r="C3622" i="1"/>
  <c r="E3622" i="1"/>
  <c r="F3622" i="1"/>
  <c r="H3622" i="1"/>
  <c r="I3622" i="1"/>
  <c r="J3622" i="1"/>
  <c r="L3622" i="1"/>
  <c r="M3622" i="1"/>
  <c r="C3623" i="1"/>
  <c r="E3623" i="1"/>
  <c r="F3623" i="1"/>
  <c r="H3623" i="1"/>
  <c r="I3623" i="1"/>
  <c r="J3623" i="1"/>
  <c r="L3623" i="1"/>
  <c r="M3623" i="1"/>
  <c r="C3624" i="1"/>
  <c r="E3624" i="1"/>
  <c r="F3624" i="1"/>
  <c r="H3624" i="1"/>
  <c r="I3624" i="1"/>
  <c r="J3624" i="1"/>
  <c r="L3624" i="1"/>
  <c r="M3624" i="1"/>
  <c r="C3625" i="1"/>
  <c r="E3625" i="1"/>
  <c r="F3625" i="1"/>
  <c r="H3625" i="1"/>
  <c r="I3625" i="1"/>
  <c r="J3625" i="1"/>
  <c r="L3625" i="1"/>
  <c r="M3625" i="1"/>
  <c r="C3626" i="1"/>
  <c r="E3626" i="1"/>
  <c r="F3626" i="1"/>
  <c r="H3626" i="1"/>
  <c r="I3626" i="1"/>
  <c r="J3626" i="1"/>
  <c r="L3626" i="1"/>
  <c r="M3626" i="1"/>
  <c r="C3627" i="1"/>
  <c r="E3627" i="1"/>
  <c r="F3627" i="1"/>
  <c r="H3627" i="1"/>
  <c r="I3627" i="1"/>
  <c r="J3627" i="1"/>
  <c r="L3627" i="1"/>
  <c r="M3627" i="1"/>
  <c r="C3628" i="1"/>
  <c r="E3628" i="1"/>
  <c r="F3628" i="1"/>
  <c r="H3628" i="1"/>
  <c r="I3628" i="1"/>
  <c r="J3628" i="1"/>
  <c r="L3628" i="1"/>
  <c r="M3628" i="1"/>
  <c r="C3629" i="1"/>
  <c r="E3629" i="1"/>
  <c r="F3629" i="1"/>
  <c r="H3629" i="1"/>
  <c r="I3629" i="1"/>
  <c r="J3629" i="1"/>
  <c r="L3629" i="1"/>
  <c r="M3629" i="1"/>
  <c r="C3630" i="1"/>
  <c r="E3630" i="1"/>
  <c r="F3630" i="1"/>
  <c r="H3630" i="1"/>
  <c r="I3630" i="1"/>
  <c r="J3630" i="1"/>
  <c r="L3630" i="1"/>
  <c r="M3630" i="1"/>
  <c r="C3631" i="1"/>
  <c r="E3631" i="1"/>
  <c r="F3631" i="1"/>
  <c r="H3631" i="1"/>
  <c r="I3631" i="1"/>
  <c r="J3631" i="1"/>
  <c r="L3631" i="1"/>
  <c r="M3631" i="1"/>
  <c r="C3632" i="1"/>
  <c r="E3632" i="1"/>
  <c r="F3632" i="1"/>
  <c r="H3632" i="1"/>
  <c r="I3632" i="1"/>
  <c r="J3632" i="1"/>
  <c r="L3632" i="1"/>
  <c r="M3632" i="1"/>
  <c r="C3633" i="1"/>
  <c r="E3633" i="1"/>
  <c r="F3633" i="1"/>
  <c r="H3633" i="1"/>
  <c r="I3633" i="1"/>
  <c r="J3633" i="1"/>
  <c r="L3633" i="1"/>
  <c r="M3633" i="1"/>
  <c r="C3634" i="1"/>
  <c r="E3634" i="1"/>
  <c r="F3634" i="1"/>
  <c r="H3634" i="1"/>
  <c r="I3634" i="1"/>
  <c r="J3634" i="1"/>
  <c r="L3634" i="1"/>
  <c r="M3634" i="1"/>
  <c r="C3635" i="1"/>
  <c r="E3635" i="1"/>
  <c r="F3635" i="1"/>
  <c r="H3635" i="1"/>
  <c r="I3635" i="1"/>
  <c r="J3635" i="1"/>
  <c r="L3635" i="1"/>
  <c r="M3635" i="1"/>
  <c r="C3636" i="1"/>
  <c r="E3636" i="1"/>
  <c r="F3636" i="1"/>
  <c r="H3636" i="1"/>
  <c r="I3636" i="1"/>
  <c r="J3636" i="1"/>
  <c r="L3636" i="1"/>
  <c r="M3636" i="1"/>
  <c r="C3637" i="1"/>
  <c r="E3637" i="1"/>
  <c r="F3637" i="1"/>
  <c r="H3637" i="1"/>
  <c r="I3637" i="1"/>
  <c r="J3637" i="1"/>
  <c r="L3637" i="1"/>
  <c r="M3637" i="1"/>
  <c r="C3638" i="1"/>
  <c r="E3638" i="1"/>
  <c r="F3638" i="1"/>
  <c r="H3638" i="1"/>
  <c r="I3638" i="1"/>
  <c r="J3638" i="1"/>
  <c r="L3638" i="1"/>
  <c r="M3638" i="1"/>
  <c r="C3639" i="1"/>
  <c r="E3639" i="1"/>
  <c r="F3639" i="1"/>
  <c r="H3639" i="1"/>
  <c r="I3639" i="1"/>
  <c r="J3639" i="1"/>
  <c r="L3639" i="1"/>
  <c r="M3639" i="1"/>
  <c r="C3640" i="1"/>
  <c r="E3640" i="1"/>
  <c r="F3640" i="1"/>
  <c r="H3640" i="1"/>
  <c r="I3640" i="1"/>
  <c r="J3640" i="1"/>
  <c r="L3640" i="1"/>
  <c r="M3640" i="1"/>
  <c r="C3641" i="1"/>
  <c r="E3641" i="1"/>
  <c r="F3641" i="1"/>
  <c r="H3641" i="1"/>
  <c r="I3641" i="1"/>
  <c r="J3641" i="1"/>
  <c r="L3641" i="1"/>
  <c r="M3641" i="1"/>
  <c r="C3642" i="1"/>
  <c r="E3642" i="1"/>
  <c r="F3642" i="1"/>
  <c r="H3642" i="1"/>
  <c r="I3642" i="1"/>
  <c r="J3642" i="1"/>
  <c r="L3642" i="1"/>
  <c r="M3642" i="1"/>
  <c r="C3643" i="1"/>
  <c r="E3643" i="1"/>
  <c r="F3643" i="1"/>
  <c r="H3643" i="1"/>
  <c r="I3643" i="1"/>
  <c r="J3643" i="1"/>
  <c r="L3643" i="1"/>
  <c r="M3643" i="1"/>
  <c r="C3644" i="1"/>
  <c r="E3644" i="1"/>
  <c r="F3644" i="1"/>
  <c r="H3644" i="1"/>
  <c r="I3644" i="1"/>
  <c r="J3644" i="1"/>
  <c r="L3644" i="1"/>
  <c r="M3644" i="1"/>
  <c r="C3645" i="1"/>
  <c r="E3645" i="1"/>
  <c r="F3645" i="1"/>
  <c r="H3645" i="1"/>
  <c r="I3645" i="1"/>
  <c r="J3645" i="1"/>
  <c r="L3645" i="1"/>
  <c r="M3645" i="1"/>
  <c r="C3646" i="1"/>
  <c r="E3646" i="1"/>
  <c r="F3646" i="1"/>
  <c r="H3646" i="1"/>
  <c r="I3646" i="1"/>
  <c r="J3646" i="1"/>
  <c r="L3646" i="1"/>
  <c r="M3646" i="1"/>
  <c r="C3647" i="1"/>
  <c r="E3647" i="1"/>
  <c r="F3647" i="1"/>
  <c r="H3647" i="1"/>
  <c r="I3647" i="1"/>
  <c r="J3647" i="1"/>
  <c r="L3647" i="1"/>
  <c r="M3647" i="1"/>
  <c r="C3648" i="1"/>
  <c r="E3648" i="1"/>
  <c r="F3648" i="1"/>
  <c r="H3648" i="1"/>
  <c r="I3648" i="1"/>
  <c r="J3648" i="1"/>
  <c r="L3648" i="1"/>
  <c r="M3648" i="1"/>
  <c r="C3649" i="1"/>
  <c r="E3649" i="1"/>
  <c r="F3649" i="1"/>
  <c r="H3649" i="1"/>
  <c r="I3649" i="1"/>
  <c r="J3649" i="1"/>
  <c r="L3649" i="1"/>
  <c r="M3649" i="1"/>
  <c r="C3650" i="1"/>
  <c r="E3650" i="1"/>
  <c r="F3650" i="1"/>
  <c r="H3650" i="1"/>
  <c r="I3650" i="1"/>
  <c r="J3650" i="1"/>
  <c r="L3650" i="1"/>
  <c r="M3650" i="1"/>
  <c r="C3651" i="1"/>
  <c r="E3651" i="1"/>
  <c r="F3651" i="1"/>
  <c r="H3651" i="1"/>
  <c r="I3651" i="1"/>
  <c r="J3651" i="1"/>
  <c r="L3651" i="1"/>
  <c r="M3651" i="1"/>
  <c r="C3652" i="1"/>
  <c r="E3652" i="1"/>
  <c r="F3652" i="1"/>
  <c r="H3652" i="1"/>
  <c r="I3652" i="1"/>
  <c r="J3652" i="1"/>
  <c r="L3652" i="1"/>
  <c r="M3652" i="1"/>
  <c r="C3653" i="1"/>
  <c r="E3653" i="1"/>
  <c r="F3653" i="1"/>
  <c r="H3653" i="1"/>
  <c r="I3653" i="1"/>
  <c r="J3653" i="1"/>
  <c r="L3653" i="1"/>
  <c r="M3653" i="1"/>
  <c r="C3654" i="1"/>
  <c r="E3654" i="1"/>
  <c r="F3654" i="1"/>
  <c r="H3654" i="1"/>
  <c r="I3654" i="1"/>
  <c r="J3654" i="1"/>
  <c r="L3654" i="1"/>
  <c r="M3654" i="1"/>
  <c r="C3655" i="1"/>
  <c r="E3655" i="1"/>
  <c r="F3655" i="1"/>
  <c r="H3655" i="1"/>
  <c r="I3655" i="1"/>
  <c r="J3655" i="1"/>
  <c r="L3655" i="1"/>
  <c r="M3655" i="1"/>
  <c r="C3656" i="1"/>
  <c r="E3656" i="1"/>
  <c r="F3656" i="1"/>
  <c r="H3656" i="1"/>
  <c r="I3656" i="1"/>
  <c r="J3656" i="1"/>
  <c r="L3656" i="1"/>
  <c r="M3656" i="1"/>
  <c r="C3657" i="1"/>
  <c r="E3657" i="1"/>
  <c r="F3657" i="1"/>
  <c r="H3657" i="1"/>
  <c r="I3657" i="1"/>
  <c r="J3657" i="1"/>
  <c r="L3657" i="1"/>
  <c r="M3657" i="1"/>
  <c r="C3658" i="1"/>
  <c r="E3658" i="1"/>
  <c r="F3658" i="1"/>
  <c r="H3658" i="1"/>
  <c r="I3658" i="1"/>
  <c r="J3658" i="1"/>
  <c r="L3658" i="1"/>
  <c r="M3658" i="1"/>
  <c r="C3659" i="1"/>
  <c r="E3659" i="1"/>
  <c r="F3659" i="1"/>
  <c r="H3659" i="1"/>
  <c r="I3659" i="1"/>
  <c r="J3659" i="1"/>
  <c r="L3659" i="1"/>
  <c r="M3659" i="1"/>
  <c r="C3660" i="1"/>
  <c r="E3660" i="1"/>
  <c r="F3660" i="1"/>
  <c r="H3660" i="1"/>
  <c r="I3660" i="1"/>
  <c r="J3660" i="1"/>
  <c r="L3660" i="1"/>
  <c r="M3660" i="1"/>
  <c r="C3661" i="1"/>
  <c r="E3661" i="1"/>
  <c r="F3661" i="1"/>
  <c r="H3661" i="1"/>
  <c r="I3661" i="1"/>
  <c r="J3661" i="1"/>
  <c r="L3661" i="1"/>
  <c r="M3661" i="1"/>
  <c r="C3662" i="1"/>
  <c r="E3662" i="1"/>
  <c r="F3662" i="1"/>
  <c r="H3662" i="1"/>
  <c r="I3662" i="1"/>
  <c r="J3662" i="1"/>
  <c r="L3662" i="1"/>
  <c r="M3662" i="1"/>
  <c r="C3663" i="1"/>
  <c r="E3663" i="1"/>
  <c r="F3663" i="1"/>
  <c r="H3663" i="1"/>
  <c r="I3663" i="1"/>
  <c r="J3663" i="1"/>
  <c r="L3663" i="1"/>
  <c r="M3663" i="1"/>
  <c r="C3664" i="1"/>
  <c r="E3664" i="1"/>
  <c r="F3664" i="1"/>
  <c r="H3664" i="1"/>
  <c r="I3664" i="1"/>
  <c r="J3664" i="1"/>
  <c r="L3664" i="1"/>
  <c r="M3664" i="1"/>
  <c r="C3665" i="1"/>
  <c r="E3665" i="1"/>
  <c r="F3665" i="1"/>
  <c r="H3665" i="1"/>
  <c r="I3665" i="1"/>
  <c r="J3665" i="1"/>
  <c r="L3665" i="1"/>
  <c r="M3665" i="1"/>
  <c r="C3666" i="1"/>
  <c r="E3666" i="1"/>
  <c r="F3666" i="1"/>
  <c r="H3666" i="1"/>
  <c r="I3666" i="1"/>
  <c r="J3666" i="1"/>
  <c r="L3666" i="1"/>
  <c r="M3666" i="1"/>
  <c r="C3667" i="1"/>
  <c r="E3667" i="1"/>
  <c r="F3667" i="1"/>
  <c r="H3667" i="1"/>
  <c r="I3667" i="1"/>
  <c r="J3667" i="1"/>
  <c r="L3667" i="1"/>
  <c r="M3667" i="1"/>
  <c r="C3668" i="1"/>
  <c r="E3668" i="1"/>
  <c r="F3668" i="1"/>
  <c r="H3668" i="1"/>
  <c r="I3668" i="1"/>
  <c r="J3668" i="1"/>
  <c r="L3668" i="1"/>
  <c r="M3668" i="1"/>
  <c r="C3669" i="1"/>
  <c r="E3669" i="1"/>
  <c r="F3669" i="1"/>
  <c r="H3669" i="1"/>
  <c r="I3669" i="1"/>
  <c r="J3669" i="1"/>
  <c r="L3669" i="1"/>
  <c r="M3669" i="1"/>
  <c r="C3670" i="1"/>
  <c r="E3670" i="1"/>
  <c r="F3670" i="1"/>
  <c r="H3670" i="1"/>
  <c r="I3670" i="1"/>
  <c r="J3670" i="1"/>
  <c r="L3670" i="1"/>
  <c r="M3670" i="1"/>
  <c r="C3671" i="1"/>
  <c r="E3671" i="1"/>
  <c r="F3671" i="1"/>
  <c r="H3671" i="1"/>
  <c r="I3671" i="1"/>
  <c r="J3671" i="1"/>
  <c r="L3671" i="1"/>
  <c r="M3671" i="1"/>
  <c r="C3672" i="1"/>
  <c r="E3672" i="1"/>
  <c r="F3672" i="1"/>
  <c r="H3672" i="1"/>
  <c r="I3672" i="1"/>
  <c r="J3672" i="1"/>
  <c r="L3672" i="1"/>
  <c r="M3672" i="1"/>
  <c r="C3673" i="1"/>
  <c r="E3673" i="1"/>
  <c r="F3673" i="1"/>
  <c r="H3673" i="1"/>
  <c r="I3673" i="1"/>
  <c r="J3673" i="1"/>
  <c r="L3673" i="1"/>
  <c r="M3673" i="1"/>
  <c r="C3674" i="1"/>
  <c r="E3674" i="1"/>
  <c r="F3674" i="1"/>
  <c r="H3674" i="1"/>
  <c r="I3674" i="1"/>
  <c r="J3674" i="1"/>
  <c r="L3674" i="1"/>
  <c r="M3674" i="1"/>
  <c r="C3675" i="1"/>
  <c r="E3675" i="1"/>
  <c r="F3675" i="1"/>
  <c r="H3675" i="1"/>
  <c r="I3675" i="1"/>
  <c r="J3675" i="1"/>
  <c r="L3675" i="1"/>
  <c r="M3675" i="1"/>
  <c r="C3676" i="1"/>
  <c r="E3676" i="1"/>
  <c r="F3676" i="1"/>
  <c r="H3676" i="1"/>
  <c r="I3676" i="1"/>
  <c r="J3676" i="1"/>
  <c r="L3676" i="1"/>
  <c r="M3676" i="1"/>
  <c r="C3677" i="1"/>
  <c r="E3677" i="1"/>
  <c r="F3677" i="1"/>
  <c r="H3677" i="1"/>
  <c r="I3677" i="1"/>
  <c r="J3677" i="1"/>
  <c r="L3677" i="1"/>
  <c r="M3677" i="1"/>
  <c r="C3678" i="1"/>
  <c r="E3678" i="1"/>
  <c r="F3678" i="1"/>
  <c r="H3678" i="1"/>
  <c r="I3678" i="1"/>
  <c r="J3678" i="1"/>
  <c r="L3678" i="1"/>
  <c r="M3678" i="1"/>
  <c r="C3679" i="1"/>
  <c r="E3679" i="1"/>
  <c r="F3679" i="1"/>
  <c r="H3679" i="1"/>
  <c r="I3679" i="1"/>
  <c r="J3679" i="1"/>
  <c r="L3679" i="1"/>
  <c r="M3679" i="1"/>
  <c r="C3680" i="1"/>
  <c r="E3680" i="1"/>
  <c r="F3680" i="1"/>
  <c r="H3680" i="1"/>
  <c r="I3680" i="1"/>
  <c r="J3680" i="1"/>
  <c r="L3680" i="1"/>
  <c r="M3680" i="1"/>
  <c r="C3681" i="1"/>
  <c r="E3681" i="1"/>
  <c r="F3681" i="1"/>
  <c r="H3681" i="1"/>
  <c r="I3681" i="1"/>
  <c r="J3681" i="1"/>
  <c r="L3681" i="1"/>
  <c r="M3681" i="1"/>
  <c r="C3682" i="1"/>
  <c r="E3682" i="1"/>
  <c r="F3682" i="1"/>
  <c r="H3682" i="1"/>
  <c r="I3682" i="1"/>
  <c r="J3682" i="1"/>
  <c r="L3682" i="1"/>
  <c r="M3682" i="1"/>
  <c r="C3683" i="1"/>
  <c r="E3683" i="1"/>
  <c r="F3683" i="1"/>
  <c r="H3683" i="1"/>
  <c r="I3683" i="1"/>
  <c r="J3683" i="1"/>
  <c r="L3683" i="1"/>
  <c r="M3683" i="1"/>
  <c r="C3684" i="1"/>
  <c r="E3684" i="1"/>
  <c r="F3684" i="1"/>
  <c r="H3684" i="1"/>
  <c r="I3684" i="1"/>
  <c r="J3684" i="1"/>
  <c r="L3684" i="1"/>
  <c r="M3684" i="1"/>
  <c r="C3685" i="1"/>
  <c r="E3685" i="1"/>
  <c r="F3685" i="1"/>
  <c r="H3685" i="1"/>
  <c r="I3685" i="1"/>
  <c r="J3685" i="1"/>
  <c r="L3685" i="1"/>
  <c r="M3685" i="1"/>
  <c r="C3686" i="1"/>
  <c r="E3686" i="1"/>
  <c r="F3686" i="1"/>
  <c r="H3686" i="1"/>
  <c r="I3686" i="1"/>
  <c r="J3686" i="1"/>
  <c r="L3686" i="1"/>
  <c r="M3686" i="1"/>
  <c r="C3687" i="1"/>
  <c r="E3687" i="1"/>
  <c r="F3687" i="1"/>
  <c r="H3687" i="1"/>
  <c r="I3687" i="1"/>
  <c r="J3687" i="1"/>
  <c r="L3687" i="1"/>
  <c r="M3687" i="1"/>
  <c r="C3688" i="1"/>
  <c r="E3688" i="1"/>
  <c r="F3688" i="1"/>
  <c r="H3688" i="1"/>
  <c r="I3688" i="1"/>
  <c r="J3688" i="1"/>
  <c r="L3688" i="1"/>
  <c r="M3688" i="1"/>
  <c r="C3689" i="1"/>
  <c r="E3689" i="1"/>
  <c r="F3689" i="1"/>
  <c r="H3689" i="1"/>
  <c r="I3689" i="1"/>
  <c r="J3689" i="1"/>
  <c r="L3689" i="1"/>
  <c r="M3689" i="1"/>
  <c r="C3690" i="1"/>
  <c r="E3690" i="1"/>
  <c r="F3690" i="1"/>
  <c r="H3690" i="1"/>
  <c r="I3690" i="1"/>
  <c r="J3690" i="1"/>
  <c r="L3690" i="1"/>
  <c r="M3690" i="1"/>
  <c r="C3691" i="1"/>
  <c r="E3691" i="1"/>
  <c r="F3691" i="1"/>
  <c r="H3691" i="1"/>
  <c r="I3691" i="1"/>
  <c r="J3691" i="1"/>
  <c r="L3691" i="1"/>
  <c r="M3691" i="1"/>
  <c r="C3692" i="1"/>
  <c r="E3692" i="1"/>
  <c r="F3692" i="1"/>
  <c r="H3692" i="1"/>
  <c r="I3692" i="1"/>
  <c r="J3692" i="1"/>
  <c r="L3692" i="1"/>
  <c r="M3692" i="1"/>
  <c r="C3693" i="1"/>
  <c r="E3693" i="1"/>
  <c r="F3693" i="1"/>
  <c r="H3693" i="1"/>
  <c r="I3693" i="1"/>
  <c r="J3693" i="1"/>
  <c r="L3693" i="1"/>
  <c r="M3693" i="1"/>
  <c r="C3694" i="1"/>
  <c r="E3694" i="1"/>
  <c r="F3694" i="1"/>
  <c r="H3694" i="1"/>
  <c r="I3694" i="1"/>
  <c r="J3694" i="1"/>
  <c r="L3694" i="1"/>
  <c r="M3694" i="1"/>
  <c r="C3695" i="1"/>
  <c r="E3695" i="1"/>
  <c r="F3695" i="1"/>
  <c r="H3695" i="1"/>
  <c r="I3695" i="1"/>
  <c r="J3695" i="1"/>
  <c r="L3695" i="1"/>
  <c r="M3695" i="1"/>
  <c r="C3696" i="1"/>
  <c r="E3696" i="1"/>
  <c r="F3696" i="1"/>
  <c r="H3696" i="1"/>
  <c r="I3696" i="1"/>
  <c r="J3696" i="1"/>
  <c r="L3696" i="1"/>
  <c r="M3696" i="1"/>
  <c r="C3697" i="1"/>
  <c r="E3697" i="1"/>
  <c r="F3697" i="1"/>
  <c r="H3697" i="1"/>
  <c r="I3697" i="1"/>
  <c r="J3697" i="1"/>
  <c r="L3697" i="1"/>
  <c r="M3697" i="1"/>
  <c r="C3698" i="1"/>
  <c r="E3698" i="1"/>
  <c r="F3698" i="1"/>
  <c r="H3698" i="1"/>
  <c r="I3698" i="1"/>
  <c r="J3698" i="1"/>
  <c r="L3698" i="1"/>
  <c r="M3698" i="1"/>
  <c r="C3699" i="1"/>
  <c r="E3699" i="1"/>
  <c r="F3699" i="1"/>
  <c r="H3699" i="1"/>
  <c r="I3699" i="1"/>
  <c r="J3699" i="1"/>
  <c r="L3699" i="1"/>
  <c r="M3699" i="1"/>
  <c r="C3700" i="1"/>
  <c r="E3700" i="1"/>
  <c r="F3700" i="1"/>
  <c r="H3700" i="1"/>
  <c r="I3700" i="1"/>
  <c r="J3700" i="1"/>
  <c r="L3700" i="1"/>
  <c r="M3700" i="1"/>
  <c r="C3701" i="1"/>
  <c r="E3701" i="1"/>
  <c r="F3701" i="1"/>
  <c r="H3701" i="1"/>
  <c r="I3701" i="1"/>
  <c r="J3701" i="1"/>
  <c r="L3701" i="1"/>
  <c r="M3701" i="1"/>
  <c r="C3702" i="1"/>
  <c r="E3702" i="1"/>
  <c r="F3702" i="1"/>
  <c r="H3702" i="1"/>
  <c r="I3702" i="1"/>
  <c r="J3702" i="1"/>
  <c r="L3702" i="1"/>
  <c r="M3702" i="1"/>
  <c r="C3703" i="1"/>
  <c r="E3703" i="1"/>
  <c r="F3703" i="1"/>
  <c r="H3703" i="1"/>
  <c r="I3703" i="1"/>
  <c r="J3703" i="1"/>
  <c r="L3703" i="1"/>
  <c r="M3703" i="1"/>
  <c r="C3704" i="1"/>
  <c r="E3704" i="1"/>
  <c r="F3704" i="1"/>
  <c r="H3704" i="1"/>
  <c r="I3704" i="1"/>
  <c r="J3704" i="1"/>
  <c r="L3704" i="1"/>
  <c r="M3704" i="1"/>
  <c r="C3705" i="1"/>
  <c r="E3705" i="1"/>
  <c r="F3705" i="1"/>
  <c r="H3705" i="1"/>
  <c r="I3705" i="1"/>
  <c r="J3705" i="1"/>
  <c r="L3705" i="1"/>
  <c r="M3705" i="1"/>
  <c r="C3706" i="1"/>
  <c r="E3706" i="1"/>
  <c r="F3706" i="1"/>
  <c r="H3706" i="1"/>
  <c r="I3706" i="1"/>
  <c r="J3706" i="1"/>
  <c r="L3706" i="1"/>
  <c r="M3706" i="1"/>
  <c r="C3707" i="1"/>
  <c r="E3707" i="1"/>
  <c r="F3707" i="1"/>
  <c r="H3707" i="1"/>
  <c r="I3707" i="1"/>
  <c r="J3707" i="1"/>
  <c r="L3707" i="1"/>
  <c r="M3707" i="1"/>
  <c r="C3708" i="1"/>
  <c r="E3708" i="1"/>
  <c r="F3708" i="1"/>
  <c r="H3708" i="1"/>
  <c r="I3708" i="1"/>
  <c r="J3708" i="1"/>
  <c r="L3708" i="1"/>
  <c r="M3708" i="1"/>
  <c r="C3709" i="1"/>
  <c r="E3709" i="1"/>
  <c r="F3709" i="1"/>
  <c r="H3709" i="1"/>
  <c r="I3709" i="1"/>
  <c r="J3709" i="1"/>
  <c r="L3709" i="1"/>
  <c r="M3709" i="1"/>
  <c r="C3710" i="1"/>
  <c r="E3710" i="1"/>
  <c r="F3710" i="1"/>
  <c r="H3710" i="1"/>
  <c r="I3710" i="1"/>
  <c r="J3710" i="1"/>
  <c r="L3710" i="1"/>
  <c r="M3710" i="1"/>
  <c r="C3711" i="1"/>
  <c r="E3711" i="1"/>
  <c r="F3711" i="1"/>
  <c r="H3711" i="1"/>
  <c r="I3711" i="1"/>
  <c r="J3711" i="1"/>
  <c r="L3711" i="1"/>
  <c r="M3711" i="1"/>
  <c r="C3712" i="1"/>
  <c r="E3712" i="1"/>
  <c r="F3712" i="1"/>
  <c r="H3712" i="1"/>
  <c r="I3712" i="1"/>
  <c r="J3712" i="1"/>
  <c r="L3712" i="1"/>
  <c r="M3712" i="1"/>
  <c r="C3713" i="1"/>
  <c r="E3713" i="1"/>
  <c r="F3713" i="1"/>
  <c r="H3713" i="1"/>
  <c r="I3713" i="1"/>
  <c r="J3713" i="1"/>
  <c r="L3713" i="1"/>
  <c r="M3713" i="1"/>
  <c r="C3714" i="1"/>
  <c r="E3714" i="1"/>
  <c r="F3714" i="1"/>
  <c r="H3714" i="1"/>
  <c r="I3714" i="1"/>
  <c r="J3714" i="1"/>
  <c r="L3714" i="1"/>
  <c r="M3714" i="1"/>
  <c r="C3715" i="1"/>
  <c r="E3715" i="1"/>
  <c r="F3715" i="1"/>
  <c r="H3715" i="1"/>
  <c r="I3715" i="1"/>
  <c r="J3715" i="1"/>
  <c r="L3715" i="1"/>
  <c r="M3715" i="1"/>
  <c r="C3716" i="1"/>
  <c r="E3716" i="1"/>
  <c r="F3716" i="1"/>
  <c r="H3716" i="1"/>
  <c r="I3716" i="1"/>
  <c r="J3716" i="1"/>
  <c r="L3716" i="1"/>
  <c r="M3716" i="1"/>
  <c r="C3717" i="1"/>
  <c r="E3717" i="1"/>
  <c r="F3717" i="1"/>
  <c r="H3717" i="1"/>
  <c r="I3717" i="1"/>
  <c r="J3717" i="1"/>
  <c r="L3717" i="1"/>
  <c r="M3717" i="1"/>
  <c r="C3718" i="1"/>
  <c r="E3718" i="1"/>
  <c r="F3718" i="1"/>
  <c r="H3718" i="1"/>
  <c r="I3718" i="1"/>
  <c r="J3718" i="1"/>
  <c r="L3718" i="1"/>
  <c r="M3718" i="1"/>
  <c r="C3719" i="1"/>
  <c r="E3719" i="1"/>
  <c r="F3719" i="1"/>
  <c r="H3719" i="1"/>
  <c r="I3719" i="1"/>
  <c r="J3719" i="1"/>
  <c r="L3719" i="1"/>
  <c r="M3719" i="1"/>
  <c r="C3720" i="1"/>
  <c r="E3720" i="1"/>
  <c r="F3720" i="1"/>
  <c r="H3720" i="1"/>
  <c r="I3720" i="1"/>
  <c r="J3720" i="1"/>
  <c r="L3720" i="1"/>
  <c r="M3720" i="1"/>
  <c r="C3721" i="1"/>
  <c r="E3721" i="1"/>
  <c r="F3721" i="1"/>
  <c r="H3721" i="1"/>
  <c r="I3721" i="1"/>
  <c r="J3721" i="1"/>
  <c r="L3721" i="1"/>
  <c r="M3721" i="1"/>
  <c r="C3722" i="1"/>
  <c r="E3722" i="1"/>
  <c r="F3722" i="1"/>
  <c r="H3722" i="1"/>
  <c r="I3722" i="1"/>
  <c r="J3722" i="1"/>
  <c r="L3722" i="1"/>
  <c r="M3722" i="1"/>
  <c r="C3723" i="1"/>
  <c r="E3723" i="1"/>
  <c r="F3723" i="1"/>
  <c r="H3723" i="1"/>
  <c r="I3723" i="1"/>
  <c r="J3723" i="1"/>
  <c r="L3723" i="1"/>
  <c r="M3723" i="1"/>
  <c r="C3724" i="1"/>
  <c r="E3724" i="1"/>
  <c r="F3724" i="1"/>
  <c r="H3724" i="1"/>
  <c r="I3724" i="1"/>
  <c r="J3724" i="1"/>
  <c r="L3724" i="1"/>
  <c r="M3724" i="1"/>
  <c r="C3725" i="1"/>
  <c r="E3725" i="1"/>
  <c r="F3725" i="1"/>
  <c r="H3725" i="1"/>
  <c r="I3725" i="1"/>
  <c r="J3725" i="1"/>
  <c r="L3725" i="1"/>
  <c r="M3725" i="1"/>
  <c r="C3726" i="1"/>
  <c r="E3726" i="1"/>
  <c r="F3726" i="1"/>
  <c r="H3726" i="1"/>
  <c r="I3726" i="1"/>
  <c r="J3726" i="1"/>
  <c r="L3726" i="1"/>
  <c r="M3726" i="1"/>
  <c r="C3727" i="1"/>
  <c r="E3727" i="1"/>
  <c r="F3727" i="1"/>
  <c r="H3727" i="1"/>
  <c r="I3727" i="1"/>
  <c r="J3727" i="1"/>
  <c r="L3727" i="1"/>
  <c r="M3727" i="1"/>
  <c r="C3728" i="1"/>
  <c r="E3728" i="1"/>
  <c r="F3728" i="1"/>
  <c r="H3728" i="1"/>
  <c r="I3728" i="1"/>
  <c r="J3728" i="1"/>
  <c r="L3728" i="1"/>
  <c r="M3728" i="1"/>
  <c r="C3729" i="1"/>
  <c r="E3729" i="1"/>
  <c r="F3729" i="1"/>
  <c r="H3729" i="1"/>
  <c r="I3729" i="1"/>
  <c r="J3729" i="1"/>
  <c r="L3729" i="1"/>
  <c r="M3729" i="1"/>
  <c r="C3730" i="1"/>
  <c r="E3730" i="1"/>
  <c r="F3730" i="1"/>
  <c r="H3730" i="1"/>
  <c r="I3730" i="1"/>
  <c r="J3730" i="1"/>
  <c r="L3730" i="1"/>
  <c r="M3730" i="1"/>
  <c r="C3731" i="1"/>
  <c r="E3731" i="1"/>
  <c r="F3731" i="1"/>
  <c r="H3731" i="1"/>
  <c r="I3731" i="1"/>
  <c r="J3731" i="1"/>
  <c r="L3731" i="1"/>
  <c r="M3731" i="1"/>
  <c r="C3732" i="1"/>
  <c r="E3732" i="1"/>
  <c r="F3732" i="1"/>
  <c r="H3732" i="1"/>
  <c r="I3732" i="1"/>
  <c r="J3732" i="1"/>
  <c r="L3732" i="1"/>
  <c r="M3732" i="1"/>
  <c r="C3733" i="1"/>
  <c r="E3733" i="1"/>
  <c r="F3733" i="1"/>
  <c r="H3733" i="1"/>
  <c r="I3733" i="1"/>
  <c r="J3733" i="1"/>
  <c r="L3733" i="1"/>
  <c r="M3733" i="1"/>
  <c r="C3734" i="1"/>
  <c r="E3734" i="1"/>
  <c r="F3734" i="1"/>
  <c r="H3734" i="1"/>
  <c r="I3734" i="1"/>
  <c r="J3734" i="1"/>
  <c r="L3734" i="1"/>
  <c r="M3734" i="1"/>
  <c r="C3735" i="1"/>
  <c r="E3735" i="1"/>
  <c r="F3735" i="1"/>
  <c r="H3735" i="1"/>
  <c r="I3735" i="1"/>
  <c r="J3735" i="1"/>
  <c r="L3735" i="1"/>
  <c r="M3735" i="1"/>
  <c r="C3736" i="1"/>
  <c r="E3736" i="1"/>
  <c r="F3736" i="1"/>
  <c r="H3736" i="1"/>
  <c r="I3736" i="1"/>
  <c r="J3736" i="1"/>
  <c r="L3736" i="1"/>
  <c r="M3736" i="1"/>
  <c r="C3737" i="1"/>
  <c r="E3737" i="1"/>
  <c r="F3737" i="1"/>
  <c r="H3737" i="1"/>
  <c r="I3737" i="1"/>
  <c r="J3737" i="1"/>
  <c r="L3737" i="1"/>
  <c r="M3737" i="1"/>
  <c r="C3738" i="1"/>
  <c r="E3738" i="1"/>
  <c r="F3738" i="1"/>
  <c r="H3738" i="1"/>
  <c r="I3738" i="1"/>
  <c r="J3738" i="1"/>
  <c r="L3738" i="1"/>
  <c r="M3738" i="1"/>
  <c r="C3739" i="1"/>
  <c r="E3739" i="1"/>
  <c r="F3739" i="1"/>
  <c r="H3739" i="1"/>
  <c r="I3739" i="1"/>
  <c r="J3739" i="1"/>
  <c r="L3739" i="1"/>
  <c r="M3739" i="1"/>
  <c r="C3740" i="1"/>
  <c r="E3740" i="1"/>
  <c r="F3740" i="1"/>
  <c r="H3740" i="1"/>
  <c r="I3740" i="1"/>
  <c r="J3740" i="1"/>
  <c r="L3740" i="1"/>
  <c r="M3740" i="1"/>
  <c r="C3741" i="1"/>
  <c r="E3741" i="1"/>
  <c r="F3741" i="1"/>
  <c r="H3741" i="1"/>
  <c r="I3741" i="1"/>
  <c r="J3741" i="1"/>
  <c r="L3741" i="1"/>
  <c r="M3741" i="1"/>
  <c r="C3742" i="1"/>
  <c r="E3742" i="1"/>
  <c r="F3742" i="1"/>
  <c r="H3742" i="1"/>
  <c r="I3742" i="1"/>
  <c r="J3742" i="1"/>
  <c r="L3742" i="1"/>
  <c r="M3742" i="1"/>
  <c r="C3743" i="1"/>
  <c r="E3743" i="1"/>
  <c r="F3743" i="1"/>
  <c r="H3743" i="1"/>
  <c r="I3743" i="1"/>
  <c r="J3743" i="1"/>
  <c r="L3743" i="1"/>
  <c r="M3743" i="1"/>
  <c r="C3744" i="1"/>
  <c r="E3744" i="1"/>
  <c r="F3744" i="1"/>
  <c r="H3744" i="1"/>
  <c r="I3744" i="1"/>
  <c r="J3744" i="1"/>
  <c r="L3744" i="1"/>
  <c r="M3744" i="1"/>
  <c r="C3745" i="1"/>
  <c r="E3745" i="1"/>
  <c r="F3745" i="1"/>
  <c r="H3745" i="1"/>
  <c r="I3745" i="1"/>
  <c r="J3745" i="1"/>
  <c r="L3745" i="1"/>
  <c r="M3745" i="1"/>
  <c r="C3746" i="1"/>
  <c r="E3746" i="1"/>
  <c r="F3746" i="1"/>
  <c r="H3746" i="1"/>
  <c r="I3746" i="1"/>
  <c r="J3746" i="1"/>
  <c r="L3746" i="1"/>
  <c r="M3746" i="1"/>
  <c r="C3747" i="1"/>
  <c r="E3747" i="1"/>
  <c r="F3747" i="1"/>
  <c r="H3747" i="1"/>
  <c r="I3747" i="1"/>
  <c r="J3747" i="1"/>
  <c r="L3747" i="1"/>
  <c r="M3747" i="1"/>
  <c r="C3748" i="1"/>
  <c r="E3748" i="1"/>
  <c r="F3748" i="1"/>
  <c r="H3748" i="1"/>
  <c r="I3748" i="1"/>
  <c r="J3748" i="1"/>
  <c r="L3748" i="1"/>
  <c r="M3748" i="1"/>
  <c r="C3749" i="1"/>
  <c r="E3749" i="1"/>
  <c r="F3749" i="1"/>
  <c r="H3749" i="1"/>
  <c r="I3749" i="1"/>
  <c r="J3749" i="1"/>
  <c r="L3749" i="1"/>
  <c r="M3749" i="1"/>
  <c r="C3750" i="1"/>
  <c r="E3750" i="1"/>
  <c r="F3750" i="1"/>
  <c r="H3750" i="1"/>
  <c r="I3750" i="1"/>
  <c r="J3750" i="1"/>
  <c r="L3750" i="1"/>
  <c r="M3750" i="1"/>
  <c r="C3751" i="1"/>
  <c r="E3751" i="1"/>
  <c r="F3751" i="1"/>
  <c r="H3751" i="1"/>
  <c r="I3751" i="1"/>
  <c r="J3751" i="1"/>
  <c r="L3751" i="1"/>
  <c r="M3751" i="1"/>
  <c r="C3752" i="1"/>
  <c r="E3752" i="1"/>
  <c r="F3752" i="1"/>
  <c r="H3752" i="1"/>
  <c r="I3752" i="1"/>
  <c r="J3752" i="1"/>
  <c r="L3752" i="1"/>
  <c r="M3752" i="1"/>
  <c r="C3753" i="1"/>
  <c r="E3753" i="1"/>
  <c r="F3753" i="1"/>
  <c r="H3753" i="1"/>
  <c r="I3753" i="1"/>
  <c r="J3753" i="1"/>
  <c r="L3753" i="1"/>
  <c r="M3753" i="1"/>
  <c r="C3754" i="1"/>
  <c r="E3754" i="1"/>
  <c r="F3754" i="1"/>
  <c r="H3754" i="1"/>
  <c r="I3754" i="1"/>
  <c r="J3754" i="1"/>
  <c r="L3754" i="1"/>
  <c r="M3754" i="1"/>
  <c r="C3755" i="1"/>
  <c r="E3755" i="1"/>
  <c r="F3755" i="1"/>
  <c r="H3755" i="1"/>
  <c r="I3755" i="1"/>
  <c r="J3755" i="1"/>
  <c r="L3755" i="1"/>
  <c r="M3755" i="1"/>
  <c r="C3756" i="1"/>
  <c r="E3756" i="1"/>
  <c r="F3756" i="1"/>
  <c r="H3756" i="1"/>
  <c r="I3756" i="1"/>
  <c r="J3756" i="1"/>
  <c r="L3756" i="1"/>
  <c r="M3756" i="1"/>
  <c r="C3757" i="1"/>
  <c r="E3757" i="1"/>
  <c r="F3757" i="1"/>
  <c r="H3757" i="1"/>
  <c r="I3757" i="1"/>
  <c r="J3757" i="1"/>
  <c r="L3757" i="1"/>
  <c r="M3757" i="1"/>
  <c r="C3758" i="1"/>
  <c r="E3758" i="1"/>
  <c r="F3758" i="1"/>
  <c r="H3758" i="1"/>
  <c r="I3758" i="1"/>
  <c r="J3758" i="1"/>
  <c r="L3758" i="1"/>
  <c r="M3758" i="1"/>
  <c r="C3759" i="1"/>
  <c r="E3759" i="1"/>
  <c r="F3759" i="1"/>
  <c r="H3759" i="1"/>
  <c r="I3759" i="1"/>
  <c r="J3759" i="1"/>
  <c r="L3759" i="1"/>
  <c r="M3759" i="1"/>
  <c r="C3760" i="1"/>
  <c r="E3760" i="1"/>
  <c r="F3760" i="1"/>
  <c r="H3760" i="1"/>
  <c r="I3760" i="1"/>
  <c r="J3760" i="1"/>
  <c r="L3760" i="1"/>
  <c r="M3760" i="1"/>
  <c r="C3761" i="1"/>
  <c r="E3761" i="1"/>
  <c r="F3761" i="1"/>
  <c r="H3761" i="1"/>
  <c r="I3761" i="1"/>
  <c r="J3761" i="1"/>
  <c r="L3761" i="1"/>
  <c r="M3761" i="1"/>
  <c r="C3762" i="1"/>
  <c r="E3762" i="1"/>
  <c r="F3762" i="1"/>
  <c r="H3762" i="1"/>
  <c r="I3762" i="1"/>
  <c r="J3762" i="1"/>
  <c r="L3762" i="1"/>
  <c r="M3762" i="1"/>
  <c r="C3763" i="1"/>
  <c r="E3763" i="1"/>
  <c r="F3763" i="1"/>
  <c r="H3763" i="1"/>
  <c r="I3763" i="1"/>
  <c r="J3763" i="1"/>
  <c r="L3763" i="1"/>
  <c r="M3763" i="1"/>
  <c r="C3764" i="1"/>
  <c r="E3764" i="1"/>
  <c r="F3764" i="1"/>
  <c r="H3764" i="1"/>
  <c r="I3764" i="1"/>
  <c r="J3764" i="1"/>
  <c r="L3764" i="1"/>
  <c r="M3764" i="1"/>
  <c r="C3765" i="1"/>
  <c r="E3765" i="1"/>
  <c r="F3765" i="1"/>
  <c r="H3765" i="1"/>
  <c r="I3765" i="1"/>
  <c r="J3765" i="1"/>
  <c r="L3765" i="1"/>
  <c r="M3765" i="1"/>
  <c r="C3766" i="1"/>
  <c r="E3766" i="1"/>
  <c r="F3766" i="1"/>
  <c r="H3766" i="1"/>
  <c r="I3766" i="1"/>
  <c r="J3766" i="1"/>
  <c r="L3766" i="1"/>
  <c r="M3766" i="1"/>
  <c r="C3767" i="1"/>
  <c r="E3767" i="1"/>
  <c r="F3767" i="1"/>
  <c r="H3767" i="1"/>
  <c r="I3767" i="1"/>
  <c r="J3767" i="1"/>
  <c r="L3767" i="1"/>
  <c r="M3767" i="1"/>
  <c r="C3768" i="1"/>
  <c r="E3768" i="1"/>
  <c r="F3768" i="1"/>
  <c r="H3768" i="1"/>
  <c r="I3768" i="1"/>
  <c r="J3768" i="1"/>
  <c r="L3768" i="1"/>
  <c r="M3768" i="1"/>
  <c r="C3769" i="1"/>
  <c r="E3769" i="1"/>
  <c r="F3769" i="1"/>
  <c r="H3769" i="1"/>
  <c r="I3769" i="1"/>
  <c r="J3769" i="1"/>
  <c r="L3769" i="1"/>
  <c r="M3769" i="1"/>
  <c r="C3770" i="1"/>
  <c r="E3770" i="1"/>
  <c r="F3770" i="1"/>
  <c r="H3770" i="1"/>
  <c r="I3770" i="1"/>
  <c r="J3770" i="1"/>
  <c r="L3770" i="1"/>
  <c r="M3770" i="1"/>
  <c r="C3771" i="1"/>
  <c r="E3771" i="1"/>
  <c r="F3771" i="1"/>
  <c r="H3771" i="1"/>
  <c r="I3771" i="1"/>
  <c r="J3771" i="1"/>
  <c r="L3771" i="1"/>
  <c r="M3771" i="1"/>
  <c r="C3772" i="1"/>
  <c r="E3772" i="1"/>
  <c r="F3772" i="1"/>
  <c r="H3772" i="1"/>
  <c r="I3772" i="1"/>
  <c r="J3772" i="1"/>
  <c r="L3772" i="1"/>
  <c r="M3772" i="1"/>
  <c r="C3773" i="1"/>
  <c r="E3773" i="1"/>
  <c r="F3773" i="1"/>
  <c r="H3773" i="1"/>
  <c r="I3773" i="1"/>
  <c r="J3773" i="1"/>
  <c r="L3773" i="1"/>
  <c r="M3773" i="1"/>
  <c r="C3774" i="1"/>
  <c r="E3774" i="1"/>
  <c r="F3774" i="1"/>
  <c r="H3774" i="1"/>
  <c r="I3774" i="1"/>
  <c r="J3774" i="1"/>
  <c r="L3774" i="1"/>
  <c r="M3774" i="1"/>
  <c r="C3775" i="1"/>
  <c r="E3775" i="1"/>
  <c r="F3775" i="1"/>
  <c r="H3775" i="1"/>
  <c r="I3775" i="1"/>
  <c r="J3775" i="1"/>
  <c r="L3775" i="1"/>
  <c r="M3775" i="1"/>
  <c r="C3776" i="1"/>
  <c r="E3776" i="1"/>
  <c r="F3776" i="1"/>
  <c r="H3776" i="1"/>
  <c r="I3776" i="1"/>
  <c r="J3776" i="1"/>
  <c r="L3776" i="1"/>
  <c r="M3776" i="1"/>
  <c r="C3777" i="1"/>
  <c r="E3777" i="1"/>
  <c r="F3777" i="1"/>
  <c r="H3777" i="1"/>
  <c r="I3777" i="1"/>
  <c r="J3777" i="1"/>
  <c r="L3777" i="1"/>
  <c r="M3777" i="1"/>
  <c r="C3778" i="1"/>
  <c r="E3778" i="1"/>
  <c r="F3778" i="1"/>
  <c r="H3778" i="1"/>
  <c r="I3778" i="1"/>
  <c r="J3778" i="1"/>
  <c r="L3778" i="1"/>
  <c r="M3778" i="1"/>
  <c r="C3779" i="1"/>
  <c r="E3779" i="1"/>
  <c r="F3779" i="1"/>
  <c r="H3779" i="1"/>
  <c r="I3779" i="1"/>
  <c r="J3779" i="1"/>
  <c r="L3779" i="1"/>
  <c r="M3779" i="1"/>
  <c r="C3780" i="1"/>
  <c r="E3780" i="1"/>
  <c r="F3780" i="1"/>
  <c r="H3780" i="1"/>
  <c r="I3780" i="1"/>
  <c r="J3780" i="1"/>
  <c r="L3780" i="1"/>
  <c r="M3780" i="1"/>
  <c r="C3781" i="1"/>
  <c r="E3781" i="1"/>
  <c r="F3781" i="1"/>
  <c r="H3781" i="1"/>
  <c r="I3781" i="1"/>
  <c r="J3781" i="1"/>
  <c r="L3781" i="1"/>
  <c r="M3781" i="1"/>
  <c r="C3782" i="1"/>
  <c r="E3782" i="1"/>
  <c r="F3782" i="1"/>
  <c r="H3782" i="1"/>
  <c r="I3782" i="1"/>
  <c r="J3782" i="1"/>
  <c r="L3782" i="1"/>
  <c r="M3782" i="1"/>
  <c r="C3783" i="1"/>
  <c r="E3783" i="1"/>
  <c r="F3783" i="1"/>
  <c r="H3783" i="1"/>
  <c r="I3783" i="1"/>
  <c r="J3783" i="1"/>
  <c r="L3783" i="1"/>
  <c r="M3783" i="1"/>
  <c r="C3784" i="1"/>
  <c r="E3784" i="1"/>
  <c r="F3784" i="1"/>
  <c r="H3784" i="1"/>
  <c r="I3784" i="1"/>
  <c r="J3784" i="1"/>
  <c r="L3784" i="1"/>
  <c r="M3784" i="1"/>
  <c r="C3785" i="1"/>
  <c r="E3785" i="1"/>
  <c r="F3785" i="1"/>
  <c r="H3785" i="1"/>
  <c r="I3785" i="1"/>
  <c r="J3785" i="1"/>
  <c r="L3785" i="1"/>
  <c r="M3785" i="1"/>
  <c r="C3786" i="1"/>
  <c r="E3786" i="1"/>
  <c r="F3786" i="1"/>
  <c r="H3786" i="1"/>
  <c r="I3786" i="1"/>
  <c r="J3786" i="1"/>
  <c r="L3786" i="1"/>
  <c r="M3786" i="1"/>
  <c r="C3787" i="1"/>
  <c r="E3787" i="1"/>
  <c r="F3787" i="1"/>
  <c r="H3787" i="1"/>
  <c r="I3787" i="1"/>
  <c r="J3787" i="1"/>
  <c r="L3787" i="1"/>
  <c r="M3787" i="1"/>
  <c r="C3788" i="1"/>
  <c r="E3788" i="1"/>
  <c r="F3788" i="1"/>
  <c r="H3788" i="1"/>
  <c r="I3788" i="1"/>
  <c r="J3788" i="1"/>
  <c r="L3788" i="1"/>
  <c r="M3788" i="1"/>
  <c r="C3789" i="1"/>
  <c r="E3789" i="1"/>
  <c r="F3789" i="1"/>
  <c r="H3789" i="1"/>
  <c r="I3789" i="1"/>
  <c r="J3789" i="1"/>
  <c r="L3789" i="1"/>
  <c r="M3789" i="1"/>
  <c r="C3790" i="1"/>
  <c r="E3790" i="1"/>
  <c r="F3790" i="1"/>
  <c r="H3790" i="1"/>
  <c r="I3790" i="1"/>
  <c r="J3790" i="1"/>
  <c r="L3790" i="1"/>
  <c r="M3790" i="1"/>
  <c r="C3791" i="1"/>
  <c r="E3791" i="1"/>
  <c r="F3791" i="1"/>
  <c r="H3791" i="1"/>
  <c r="I3791" i="1"/>
  <c r="J3791" i="1"/>
  <c r="L3791" i="1"/>
  <c r="M3791" i="1"/>
  <c r="C3792" i="1"/>
  <c r="E3792" i="1"/>
  <c r="F3792" i="1"/>
  <c r="H3792" i="1"/>
  <c r="I3792" i="1"/>
  <c r="J3792" i="1"/>
  <c r="L3792" i="1"/>
  <c r="M3792" i="1"/>
  <c r="C3793" i="1"/>
  <c r="E3793" i="1"/>
  <c r="F3793" i="1"/>
  <c r="H3793" i="1"/>
  <c r="I3793" i="1"/>
  <c r="J3793" i="1"/>
  <c r="L3793" i="1"/>
  <c r="M3793" i="1"/>
  <c r="C3794" i="1"/>
  <c r="E3794" i="1"/>
  <c r="F3794" i="1"/>
  <c r="H3794" i="1"/>
  <c r="I3794" i="1"/>
  <c r="J3794" i="1"/>
  <c r="L3794" i="1"/>
  <c r="M3794" i="1"/>
  <c r="C3795" i="1"/>
  <c r="E3795" i="1"/>
  <c r="F3795" i="1"/>
  <c r="H3795" i="1"/>
  <c r="I3795" i="1"/>
  <c r="J3795" i="1"/>
  <c r="L3795" i="1"/>
  <c r="M3795" i="1"/>
  <c r="C3796" i="1"/>
  <c r="E3796" i="1"/>
  <c r="F3796" i="1"/>
  <c r="H3796" i="1"/>
  <c r="I3796" i="1"/>
  <c r="J3796" i="1"/>
  <c r="L3796" i="1"/>
  <c r="M3796" i="1"/>
  <c r="C3797" i="1"/>
  <c r="E3797" i="1"/>
  <c r="F3797" i="1"/>
  <c r="H3797" i="1"/>
  <c r="I3797" i="1"/>
  <c r="J3797" i="1"/>
  <c r="L3797" i="1"/>
  <c r="M3797" i="1"/>
  <c r="C3798" i="1"/>
  <c r="E3798" i="1"/>
  <c r="F3798" i="1"/>
  <c r="H3798" i="1"/>
  <c r="I3798" i="1"/>
  <c r="J3798" i="1"/>
  <c r="L3798" i="1"/>
  <c r="M3798" i="1"/>
  <c r="C3799" i="1"/>
  <c r="E3799" i="1"/>
  <c r="F3799" i="1"/>
  <c r="H3799" i="1"/>
  <c r="I3799" i="1"/>
  <c r="J3799" i="1"/>
  <c r="L3799" i="1"/>
  <c r="M3799" i="1"/>
  <c r="C3800" i="1"/>
  <c r="E3800" i="1"/>
  <c r="F3800" i="1"/>
  <c r="H3800" i="1"/>
  <c r="I3800" i="1"/>
  <c r="J3800" i="1"/>
  <c r="L3800" i="1"/>
  <c r="M3800" i="1"/>
  <c r="C3801" i="1"/>
  <c r="E3801" i="1"/>
  <c r="F3801" i="1"/>
  <c r="H3801" i="1"/>
  <c r="I3801" i="1"/>
  <c r="J3801" i="1"/>
  <c r="L3801" i="1"/>
  <c r="M3801" i="1"/>
  <c r="C3802" i="1"/>
  <c r="E3802" i="1"/>
  <c r="F3802" i="1"/>
  <c r="H3802" i="1"/>
  <c r="I3802" i="1"/>
  <c r="J3802" i="1"/>
  <c r="L3802" i="1"/>
  <c r="M3802" i="1"/>
  <c r="C3803" i="1"/>
  <c r="E3803" i="1"/>
  <c r="F3803" i="1"/>
  <c r="H3803" i="1"/>
  <c r="I3803" i="1"/>
  <c r="J3803" i="1"/>
  <c r="L3803" i="1"/>
  <c r="M3803" i="1"/>
  <c r="C3804" i="1"/>
  <c r="E3804" i="1"/>
  <c r="F3804" i="1"/>
  <c r="H3804" i="1"/>
  <c r="I3804" i="1"/>
  <c r="J3804" i="1"/>
  <c r="L3804" i="1"/>
  <c r="M3804" i="1"/>
  <c r="C3805" i="1"/>
  <c r="E3805" i="1"/>
  <c r="F3805" i="1"/>
  <c r="H3805" i="1"/>
  <c r="I3805" i="1"/>
  <c r="J3805" i="1"/>
  <c r="L3805" i="1"/>
  <c r="M3805" i="1"/>
  <c r="C3806" i="1"/>
  <c r="E3806" i="1"/>
  <c r="F3806" i="1"/>
  <c r="H3806" i="1"/>
  <c r="I3806" i="1"/>
  <c r="J3806" i="1"/>
  <c r="L3806" i="1"/>
  <c r="M3806" i="1"/>
  <c r="C3807" i="1"/>
  <c r="E3807" i="1"/>
  <c r="F3807" i="1"/>
  <c r="H3807" i="1"/>
  <c r="I3807" i="1"/>
  <c r="J3807" i="1"/>
  <c r="L3807" i="1"/>
  <c r="M3807" i="1"/>
  <c r="C3808" i="1"/>
  <c r="E3808" i="1"/>
  <c r="F3808" i="1"/>
  <c r="H3808" i="1"/>
  <c r="I3808" i="1"/>
  <c r="J3808" i="1"/>
  <c r="L3808" i="1"/>
  <c r="M3808" i="1"/>
  <c r="C3809" i="1"/>
  <c r="E3809" i="1"/>
  <c r="F3809" i="1"/>
  <c r="H3809" i="1"/>
  <c r="I3809" i="1"/>
  <c r="J3809" i="1"/>
  <c r="L3809" i="1"/>
  <c r="M3809" i="1"/>
  <c r="C3810" i="1"/>
  <c r="E3810" i="1"/>
  <c r="F3810" i="1"/>
  <c r="H3810" i="1"/>
  <c r="I3810" i="1"/>
  <c r="J3810" i="1"/>
  <c r="L3810" i="1"/>
  <c r="M3810" i="1"/>
  <c r="C3811" i="1"/>
  <c r="E3811" i="1"/>
  <c r="F3811" i="1"/>
  <c r="H3811" i="1"/>
  <c r="I3811" i="1"/>
  <c r="J3811" i="1"/>
  <c r="L3811" i="1"/>
  <c r="M3811" i="1"/>
  <c r="C3812" i="1"/>
  <c r="E3812" i="1"/>
  <c r="F3812" i="1"/>
  <c r="H3812" i="1"/>
  <c r="I3812" i="1"/>
  <c r="J3812" i="1"/>
  <c r="L3812" i="1"/>
  <c r="M3812" i="1"/>
  <c r="C3813" i="1"/>
  <c r="E3813" i="1"/>
  <c r="F3813" i="1"/>
  <c r="H3813" i="1"/>
  <c r="I3813" i="1"/>
  <c r="J3813" i="1"/>
  <c r="L3813" i="1"/>
  <c r="M3813" i="1"/>
  <c r="C3814" i="1"/>
  <c r="E3814" i="1"/>
  <c r="F3814" i="1"/>
  <c r="H3814" i="1"/>
  <c r="I3814" i="1"/>
  <c r="J3814" i="1"/>
  <c r="L3814" i="1"/>
  <c r="M3814" i="1"/>
  <c r="C3815" i="1"/>
  <c r="E3815" i="1"/>
  <c r="F3815" i="1"/>
  <c r="H3815" i="1"/>
  <c r="I3815" i="1"/>
  <c r="J3815" i="1"/>
  <c r="L3815" i="1"/>
  <c r="M3815" i="1"/>
  <c r="C3816" i="1"/>
  <c r="E3816" i="1"/>
  <c r="F3816" i="1"/>
  <c r="H3816" i="1"/>
  <c r="I3816" i="1"/>
  <c r="J3816" i="1"/>
  <c r="L3816" i="1"/>
  <c r="M3816" i="1"/>
  <c r="C3817" i="1"/>
  <c r="E3817" i="1"/>
  <c r="F3817" i="1"/>
  <c r="H3817" i="1"/>
  <c r="I3817" i="1"/>
  <c r="J3817" i="1"/>
  <c r="L3817" i="1"/>
  <c r="M3817" i="1"/>
  <c r="C3818" i="1"/>
  <c r="E3818" i="1"/>
  <c r="F3818" i="1"/>
  <c r="H3818" i="1"/>
  <c r="I3818" i="1"/>
  <c r="J3818" i="1"/>
  <c r="L3818" i="1"/>
  <c r="M3818" i="1"/>
  <c r="C3819" i="1"/>
  <c r="E3819" i="1"/>
  <c r="F3819" i="1"/>
  <c r="H3819" i="1"/>
  <c r="I3819" i="1"/>
  <c r="J3819" i="1"/>
  <c r="L3819" i="1"/>
  <c r="M3819" i="1"/>
  <c r="C3820" i="1"/>
  <c r="E3820" i="1"/>
  <c r="F3820" i="1"/>
  <c r="H3820" i="1"/>
  <c r="I3820" i="1"/>
  <c r="J3820" i="1"/>
  <c r="L3820" i="1"/>
  <c r="M3820" i="1"/>
  <c r="C3821" i="1"/>
  <c r="E3821" i="1"/>
  <c r="F3821" i="1"/>
  <c r="H3821" i="1"/>
  <c r="I3821" i="1"/>
  <c r="J3821" i="1"/>
  <c r="L3821" i="1"/>
  <c r="M3821" i="1"/>
  <c r="C3822" i="1"/>
  <c r="E3822" i="1"/>
  <c r="F3822" i="1"/>
  <c r="H3822" i="1"/>
  <c r="I3822" i="1"/>
  <c r="J3822" i="1"/>
  <c r="L3822" i="1"/>
  <c r="M3822" i="1"/>
  <c r="C3823" i="1"/>
  <c r="E3823" i="1"/>
  <c r="F3823" i="1"/>
  <c r="H3823" i="1"/>
  <c r="I3823" i="1"/>
  <c r="J3823" i="1"/>
  <c r="L3823" i="1"/>
  <c r="M3823" i="1"/>
  <c r="C3824" i="1"/>
  <c r="E3824" i="1"/>
  <c r="F3824" i="1"/>
  <c r="H3824" i="1"/>
  <c r="I3824" i="1"/>
  <c r="J3824" i="1"/>
  <c r="L3824" i="1"/>
  <c r="M3824" i="1"/>
  <c r="C3825" i="1"/>
  <c r="E3825" i="1"/>
  <c r="F3825" i="1"/>
  <c r="H3825" i="1"/>
  <c r="I3825" i="1"/>
  <c r="J3825" i="1"/>
  <c r="L3825" i="1"/>
  <c r="M3825" i="1"/>
  <c r="C3826" i="1"/>
  <c r="E3826" i="1"/>
  <c r="F3826" i="1"/>
  <c r="H3826" i="1"/>
  <c r="I3826" i="1"/>
  <c r="J3826" i="1"/>
  <c r="L3826" i="1"/>
  <c r="M3826" i="1"/>
  <c r="C3827" i="1"/>
  <c r="E3827" i="1"/>
  <c r="F3827" i="1"/>
  <c r="H3827" i="1"/>
  <c r="I3827" i="1"/>
  <c r="J3827" i="1"/>
  <c r="L3827" i="1"/>
  <c r="M3827" i="1"/>
  <c r="C3828" i="1"/>
  <c r="E3828" i="1"/>
  <c r="F3828" i="1"/>
  <c r="H3828" i="1"/>
  <c r="I3828" i="1"/>
  <c r="J3828" i="1"/>
  <c r="L3828" i="1"/>
  <c r="M3828" i="1"/>
  <c r="C3829" i="1"/>
  <c r="E3829" i="1"/>
  <c r="F3829" i="1"/>
  <c r="H3829" i="1"/>
  <c r="I3829" i="1"/>
  <c r="J3829" i="1"/>
  <c r="L3829" i="1"/>
  <c r="M3829" i="1"/>
  <c r="C3830" i="1"/>
  <c r="E3830" i="1"/>
  <c r="F3830" i="1"/>
  <c r="H3830" i="1"/>
  <c r="I3830" i="1"/>
  <c r="J3830" i="1"/>
  <c r="L3830" i="1"/>
  <c r="M3830" i="1"/>
  <c r="C3831" i="1"/>
  <c r="E3831" i="1"/>
  <c r="F3831" i="1"/>
  <c r="H3831" i="1"/>
  <c r="I3831" i="1"/>
  <c r="J3831" i="1"/>
  <c r="L3831" i="1"/>
  <c r="M3831" i="1"/>
  <c r="C3832" i="1"/>
  <c r="E3832" i="1"/>
  <c r="F3832" i="1"/>
  <c r="H3832" i="1"/>
  <c r="I3832" i="1"/>
  <c r="J3832" i="1"/>
  <c r="L3832" i="1"/>
  <c r="M3832" i="1"/>
  <c r="C3833" i="1"/>
  <c r="E3833" i="1"/>
  <c r="F3833" i="1"/>
  <c r="H3833" i="1"/>
  <c r="I3833" i="1"/>
  <c r="J3833" i="1"/>
  <c r="L3833" i="1"/>
  <c r="M3833" i="1"/>
  <c r="C3834" i="1"/>
  <c r="E3834" i="1"/>
  <c r="F3834" i="1"/>
  <c r="H3834" i="1"/>
  <c r="I3834" i="1"/>
  <c r="J3834" i="1"/>
  <c r="L3834" i="1"/>
  <c r="M3834" i="1"/>
  <c r="C3835" i="1"/>
  <c r="E3835" i="1"/>
  <c r="F3835" i="1"/>
  <c r="H3835" i="1"/>
  <c r="I3835" i="1"/>
  <c r="J3835" i="1"/>
  <c r="L3835" i="1"/>
  <c r="M3835" i="1"/>
  <c r="C3836" i="1"/>
  <c r="E3836" i="1"/>
  <c r="F3836" i="1"/>
  <c r="H3836" i="1"/>
  <c r="I3836" i="1"/>
  <c r="J3836" i="1"/>
  <c r="L3836" i="1"/>
  <c r="M3836" i="1"/>
  <c r="C3837" i="1"/>
  <c r="E3837" i="1"/>
  <c r="F3837" i="1"/>
  <c r="H3837" i="1"/>
  <c r="I3837" i="1"/>
  <c r="J3837" i="1"/>
  <c r="L3837" i="1"/>
  <c r="M3837" i="1"/>
  <c r="C3838" i="1"/>
  <c r="E3838" i="1"/>
  <c r="F3838" i="1"/>
  <c r="H3838" i="1"/>
  <c r="I3838" i="1"/>
  <c r="J3838" i="1"/>
  <c r="L3838" i="1"/>
  <c r="M3838" i="1"/>
  <c r="C3839" i="1"/>
  <c r="E3839" i="1"/>
  <c r="F3839" i="1"/>
  <c r="H3839" i="1"/>
  <c r="I3839" i="1"/>
  <c r="J3839" i="1"/>
  <c r="L3839" i="1"/>
  <c r="M3839" i="1"/>
  <c r="C3840" i="1"/>
  <c r="E3840" i="1"/>
  <c r="F3840" i="1"/>
  <c r="H3840" i="1"/>
  <c r="I3840" i="1"/>
  <c r="J3840" i="1"/>
  <c r="L3840" i="1"/>
  <c r="M3840" i="1"/>
  <c r="C3841" i="1"/>
  <c r="E3841" i="1"/>
  <c r="F3841" i="1"/>
  <c r="H3841" i="1"/>
  <c r="I3841" i="1"/>
  <c r="J3841" i="1"/>
  <c r="L3841" i="1"/>
  <c r="M3841" i="1"/>
  <c r="C3842" i="1"/>
  <c r="E3842" i="1"/>
  <c r="F3842" i="1"/>
  <c r="H3842" i="1"/>
  <c r="I3842" i="1"/>
  <c r="J3842" i="1"/>
  <c r="L3842" i="1"/>
  <c r="M3842" i="1"/>
  <c r="C3843" i="1"/>
  <c r="E3843" i="1"/>
  <c r="F3843" i="1"/>
  <c r="H3843" i="1"/>
  <c r="I3843" i="1"/>
  <c r="J3843" i="1"/>
  <c r="L3843" i="1"/>
  <c r="M3843" i="1"/>
  <c r="C3844" i="1"/>
  <c r="E3844" i="1"/>
  <c r="F3844" i="1"/>
  <c r="H3844" i="1"/>
  <c r="I3844" i="1"/>
  <c r="J3844" i="1"/>
  <c r="L3844" i="1"/>
  <c r="M3844" i="1"/>
  <c r="C3845" i="1"/>
  <c r="E3845" i="1"/>
  <c r="F3845" i="1"/>
  <c r="H3845" i="1"/>
  <c r="I3845" i="1"/>
  <c r="J3845" i="1"/>
  <c r="L3845" i="1"/>
  <c r="M3845" i="1"/>
  <c r="C3846" i="1"/>
  <c r="E3846" i="1"/>
  <c r="F3846" i="1"/>
  <c r="H3846" i="1"/>
  <c r="I3846" i="1"/>
  <c r="J3846" i="1"/>
  <c r="L3846" i="1"/>
  <c r="M3846" i="1"/>
  <c r="C3847" i="1"/>
  <c r="E3847" i="1"/>
  <c r="F3847" i="1"/>
  <c r="H3847" i="1"/>
  <c r="I3847" i="1"/>
  <c r="J3847" i="1"/>
  <c r="L3847" i="1"/>
  <c r="M3847" i="1"/>
  <c r="C3848" i="1"/>
  <c r="E3848" i="1"/>
  <c r="F3848" i="1"/>
  <c r="H3848" i="1"/>
  <c r="I3848" i="1"/>
  <c r="J3848" i="1"/>
  <c r="L3848" i="1"/>
  <c r="M3848" i="1"/>
  <c r="C3849" i="1"/>
  <c r="E3849" i="1"/>
  <c r="F3849" i="1"/>
  <c r="H3849" i="1"/>
  <c r="I3849" i="1"/>
  <c r="J3849" i="1"/>
  <c r="L3849" i="1"/>
  <c r="M3849" i="1"/>
  <c r="C3850" i="1"/>
  <c r="E3850" i="1"/>
  <c r="F3850" i="1"/>
  <c r="H3850" i="1"/>
  <c r="I3850" i="1"/>
  <c r="J3850" i="1"/>
  <c r="L3850" i="1"/>
  <c r="M3850" i="1"/>
  <c r="C3851" i="1"/>
  <c r="E3851" i="1"/>
  <c r="F3851" i="1"/>
  <c r="H3851" i="1"/>
  <c r="I3851" i="1"/>
  <c r="J3851" i="1"/>
  <c r="L3851" i="1"/>
  <c r="M3851" i="1"/>
  <c r="C3852" i="1"/>
  <c r="E3852" i="1"/>
  <c r="F3852" i="1"/>
  <c r="H3852" i="1"/>
  <c r="I3852" i="1"/>
  <c r="J3852" i="1"/>
  <c r="L3852" i="1"/>
  <c r="M3852" i="1"/>
  <c r="C3853" i="1"/>
  <c r="E3853" i="1"/>
  <c r="F3853" i="1"/>
  <c r="H3853" i="1"/>
  <c r="I3853" i="1"/>
  <c r="J3853" i="1"/>
  <c r="L3853" i="1"/>
  <c r="M3853" i="1"/>
  <c r="C3854" i="1"/>
  <c r="E3854" i="1"/>
  <c r="F3854" i="1"/>
  <c r="H3854" i="1"/>
  <c r="I3854" i="1"/>
  <c r="J3854" i="1"/>
  <c r="L3854" i="1"/>
  <c r="M3854" i="1"/>
  <c r="C3855" i="1"/>
  <c r="E3855" i="1"/>
  <c r="F3855" i="1"/>
  <c r="H3855" i="1"/>
  <c r="I3855" i="1"/>
  <c r="J3855" i="1"/>
  <c r="L3855" i="1"/>
  <c r="M3855" i="1"/>
  <c r="C3856" i="1"/>
  <c r="E3856" i="1"/>
  <c r="F3856" i="1"/>
  <c r="H3856" i="1"/>
  <c r="I3856" i="1"/>
  <c r="J3856" i="1"/>
  <c r="L3856" i="1"/>
  <c r="M3856" i="1"/>
  <c r="C3857" i="1"/>
  <c r="E3857" i="1"/>
  <c r="F3857" i="1"/>
  <c r="H3857" i="1"/>
  <c r="I3857" i="1"/>
  <c r="J3857" i="1"/>
  <c r="L3857" i="1"/>
  <c r="M3857" i="1"/>
  <c r="C3858" i="1"/>
  <c r="E3858" i="1"/>
  <c r="F3858" i="1"/>
  <c r="H3858" i="1"/>
  <c r="I3858" i="1"/>
  <c r="J3858" i="1"/>
  <c r="L3858" i="1"/>
  <c r="M3858" i="1"/>
  <c r="C3859" i="1"/>
  <c r="E3859" i="1"/>
  <c r="F3859" i="1"/>
  <c r="H3859" i="1"/>
  <c r="I3859" i="1"/>
  <c r="J3859" i="1"/>
  <c r="L3859" i="1"/>
  <c r="M3859" i="1"/>
  <c r="C3860" i="1"/>
  <c r="E3860" i="1"/>
  <c r="F3860" i="1"/>
  <c r="H3860" i="1"/>
  <c r="I3860" i="1"/>
  <c r="J3860" i="1"/>
  <c r="L3860" i="1"/>
  <c r="M3860" i="1"/>
  <c r="C3861" i="1"/>
  <c r="E3861" i="1"/>
  <c r="F3861" i="1"/>
  <c r="H3861" i="1"/>
  <c r="I3861" i="1"/>
  <c r="J3861" i="1"/>
  <c r="L3861" i="1"/>
  <c r="M3861" i="1"/>
  <c r="C3862" i="1"/>
  <c r="E3862" i="1"/>
  <c r="F3862" i="1"/>
  <c r="H3862" i="1"/>
  <c r="I3862" i="1"/>
  <c r="J3862" i="1"/>
  <c r="L3862" i="1"/>
  <c r="M3862" i="1"/>
  <c r="C3863" i="1"/>
  <c r="E3863" i="1"/>
  <c r="F3863" i="1"/>
  <c r="H3863" i="1"/>
  <c r="I3863" i="1"/>
  <c r="J3863" i="1"/>
  <c r="L3863" i="1"/>
  <c r="M3863" i="1"/>
  <c r="C3864" i="1"/>
  <c r="E3864" i="1"/>
  <c r="F3864" i="1"/>
  <c r="H3864" i="1"/>
  <c r="I3864" i="1"/>
  <c r="J3864" i="1"/>
  <c r="L3864" i="1"/>
  <c r="M3864" i="1"/>
  <c r="C3865" i="1"/>
  <c r="E3865" i="1"/>
  <c r="F3865" i="1"/>
  <c r="H3865" i="1"/>
  <c r="I3865" i="1"/>
  <c r="J3865" i="1"/>
  <c r="L3865" i="1"/>
  <c r="M3865" i="1"/>
  <c r="C3866" i="1"/>
  <c r="E3866" i="1"/>
  <c r="F3866" i="1"/>
  <c r="H3866" i="1"/>
  <c r="I3866" i="1"/>
  <c r="J3866" i="1"/>
  <c r="L3866" i="1"/>
  <c r="M3866" i="1"/>
  <c r="C3867" i="1"/>
  <c r="E3867" i="1"/>
  <c r="F3867" i="1"/>
  <c r="H3867" i="1"/>
  <c r="I3867" i="1"/>
  <c r="J3867" i="1"/>
  <c r="L3867" i="1"/>
  <c r="M3867" i="1"/>
  <c r="C3868" i="1"/>
  <c r="E3868" i="1"/>
  <c r="F3868" i="1"/>
  <c r="H3868" i="1"/>
  <c r="I3868" i="1"/>
  <c r="J3868" i="1"/>
  <c r="L3868" i="1"/>
  <c r="M3868" i="1"/>
  <c r="C3869" i="1"/>
  <c r="E3869" i="1"/>
  <c r="F3869" i="1"/>
  <c r="H3869" i="1"/>
  <c r="I3869" i="1"/>
  <c r="J3869" i="1"/>
  <c r="L3869" i="1"/>
  <c r="M3869" i="1"/>
  <c r="C3870" i="1"/>
  <c r="E3870" i="1"/>
  <c r="F3870" i="1"/>
  <c r="H3870" i="1"/>
  <c r="I3870" i="1"/>
  <c r="J3870" i="1"/>
  <c r="L3870" i="1"/>
  <c r="M3870" i="1"/>
  <c r="C3871" i="1"/>
  <c r="E3871" i="1"/>
  <c r="F3871" i="1"/>
  <c r="H3871" i="1"/>
  <c r="I3871" i="1"/>
  <c r="J3871" i="1"/>
  <c r="L3871" i="1"/>
  <c r="M3871" i="1"/>
  <c r="C3872" i="1"/>
  <c r="E3872" i="1"/>
  <c r="F3872" i="1"/>
  <c r="H3872" i="1"/>
  <c r="I3872" i="1"/>
  <c r="J3872" i="1"/>
  <c r="L3872" i="1"/>
  <c r="M3872" i="1"/>
  <c r="C3873" i="1"/>
  <c r="E3873" i="1"/>
  <c r="F3873" i="1"/>
  <c r="H3873" i="1"/>
  <c r="I3873" i="1"/>
  <c r="J3873" i="1"/>
  <c r="L3873" i="1"/>
  <c r="M3873" i="1"/>
  <c r="C3874" i="1"/>
  <c r="E3874" i="1"/>
  <c r="F3874" i="1"/>
  <c r="H3874" i="1"/>
  <c r="I3874" i="1"/>
  <c r="J3874" i="1"/>
  <c r="L3874" i="1"/>
  <c r="M3874" i="1"/>
  <c r="C3875" i="1"/>
  <c r="E3875" i="1"/>
  <c r="F3875" i="1"/>
  <c r="H3875" i="1"/>
  <c r="I3875" i="1"/>
  <c r="J3875" i="1"/>
  <c r="L3875" i="1"/>
  <c r="M3875" i="1"/>
  <c r="C3876" i="1"/>
  <c r="E3876" i="1"/>
  <c r="F3876" i="1"/>
  <c r="H3876" i="1"/>
  <c r="I3876" i="1"/>
  <c r="J3876" i="1"/>
  <c r="L3876" i="1"/>
  <c r="M3876" i="1"/>
  <c r="C3877" i="1"/>
  <c r="E3877" i="1"/>
  <c r="F3877" i="1"/>
  <c r="H3877" i="1"/>
  <c r="I3877" i="1"/>
  <c r="J3877" i="1"/>
  <c r="L3877" i="1"/>
  <c r="M3877" i="1"/>
  <c r="C3878" i="1"/>
  <c r="E3878" i="1"/>
  <c r="F3878" i="1"/>
  <c r="H3878" i="1"/>
  <c r="I3878" i="1"/>
  <c r="J3878" i="1"/>
  <c r="L3878" i="1"/>
  <c r="M3878" i="1"/>
  <c r="C3879" i="1"/>
  <c r="E3879" i="1"/>
  <c r="F3879" i="1"/>
  <c r="H3879" i="1"/>
  <c r="I3879" i="1"/>
  <c r="J3879" i="1"/>
  <c r="L3879" i="1"/>
  <c r="M3879" i="1"/>
  <c r="C3880" i="1"/>
  <c r="E3880" i="1"/>
  <c r="F3880" i="1"/>
  <c r="H3880" i="1"/>
  <c r="I3880" i="1"/>
  <c r="J3880" i="1"/>
  <c r="L3880" i="1"/>
  <c r="M3880" i="1"/>
  <c r="C3881" i="1"/>
  <c r="E3881" i="1"/>
  <c r="F3881" i="1"/>
  <c r="H3881" i="1"/>
  <c r="I3881" i="1"/>
  <c r="J3881" i="1"/>
  <c r="L3881" i="1"/>
  <c r="M3881" i="1"/>
  <c r="C3882" i="1"/>
  <c r="E3882" i="1"/>
  <c r="F3882" i="1"/>
  <c r="H3882" i="1"/>
  <c r="I3882" i="1"/>
  <c r="J3882" i="1"/>
  <c r="L3882" i="1"/>
  <c r="M3882" i="1"/>
  <c r="C3883" i="1"/>
  <c r="E3883" i="1"/>
  <c r="F3883" i="1"/>
  <c r="H3883" i="1"/>
  <c r="I3883" i="1"/>
  <c r="J3883" i="1"/>
  <c r="L3883" i="1"/>
  <c r="M3883" i="1"/>
  <c r="C3884" i="1"/>
  <c r="E3884" i="1"/>
  <c r="F3884" i="1"/>
  <c r="H3884" i="1"/>
  <c r="I3884" i="1"/>
  <c r="J3884" i="1"/>
  <c r="L3884" i="1"/>
  <c r="M3884" i="1"/>
  <c r="C3885" i="1"/>
  <c r="E3885" i="1"/>
  <c r="F3885" i="1"/>
  <c r="H3885" i="1"/>
  <c r="I3885" i="1"/>
  <c r="J3885" i="1"/>
  <c r="L3885" i="1"/>
  <c r="M3885" i="1"/>
  <c r="C3886" i="1"/>
  <c r="E3886" i="1"/>
  <c r="F3886" i="1"/>
  <c r="H3886" i="1"/>
  <c r="I3886" i="1"/>
  <c r="J3886" i="1"/>
  <c r="L3886" i="1"/>
  <c r="M3886" i="1"/>
  <c r="C3887" i="1"/>
  <c r="E3887" i="1"/>
  <c r="F3887" i="1"/>
  <c r="H3887" i="1"/>
  <c r="I3887" i="1"/>
  <c r="J3887" i="1"/>
  <c r="L3887" i="1"/>
  <c r="M3887" i="1"/>
  <c r="C3888" i="1"/>
  <c r="E3888" i="1"/>
  <c r="F3888" i="1"/>
  <c r="H3888" i="1"/>
  <c r="I3888" i="1"/>
  <c r="J3888" i="1"/>
  <c r="L3888" i="1"/>
  <c r="M3888" i="1"/>
  <c r="C3889" i="1"/>
  <c r="E3889" i="1"/>
  <c r="F3889" i="1"/>
  <c r="H3889" i="1"/>
  <c r="I3889" i="1"/>
  <c r="J3889" i="1"/>
  <c r="L3889" i="1"/>
  <c r="M3889" i="1"/>
  <c r="C3890" i="1"/>
  <c r="E3890" i="1"/>
  <c r="F3890" i="1"/>
  <c r="H3890" i="1"/>
  <c r="I3890" i="1"/>
  <c r="J3890" i="1"/>
  <c r="L3890" i="1"/>
  <c r="M3890" i="1"/>
  <c r="C3891" i="1"/>
  <c r="E3891" i="1"/>
  <c r="F3891" i="1"/>
  <c r="H3891" i="1"/>
  <c r="I3891" i="1"/>
  <c r="J3891" i="1"/>
  <c r="L3891" i="1"/>
  <c r="M3891" i="1"/>
  <c r="C3892" i="1"/>
  <c r="E3892" i="1"/>
  <c r="F3892" i="1"/>
  <c r="H3892" i="1"/>
  <c r="I3892" i="1"/>
  <c r="J3892" i="1"/>
  <c r="L3892" i="1"/>
  <c r="M3892" i="1"/>
  <c r="C3893" i="1"/>
  <c r="E3893" i="1"/>
  <c r="F3893" i="1"/>
  <c r="H3893" i="1"/>
  <c r="I3893" i="1"/>
  <c r="J3893" i="1"/>
  <c r="L3893" i="1"/>
  <c r="M3893" i="1"/>
  <c r="C3894" i="1"/>
  <c r="E3894" i="1"/>
  <c r="F3894" i="1"/>
  <c r="H3894" i="1"/>
  <c r="I3894" i="1"/>
  <c r="J3894" i="1"/>
  <c r="L3894" i="1"/>
  <c r="M3894" i="1"/>
  <c r="C3895" i="1"/>
  <c r="E3895" i="1"/>
  <c r="F3895" i="1"/>
  <c r="H3895" i="1"/>
  <c r="I3895" i="1"/>
  <c r="J3895" i="1"/>
  <c r="L3895" i="1"/>
  <c r="M3895" i="1"/>
  <c r="C3896" i="1"/>
  <c r="E3896" i="1"/>
  <c r="F3896" i="1"/>
  <c r="H3896" i="1"/>
  <c r="I3896" i="1"/>
  <c r="J3896" i="1"/>
  <c r="L3896" i="1"/>
  <c r="M3896" i="1"/>
  <c r="C3897" i="1"/>
  <c r="E3897" i="1"/>
  <c r="F3897" i="1"/>
  <c r="H3897" i="1"/>
  <c r="I3897" i="1"/>
  <c r="J3897" i="1"/>
  <c r="L3897" i="1"/>
  <c r="M3897" i="1"/>
  <c r="C3898" i="1"/>
  <c r="E3898" i="1"/>
  <c r="F3898" i="1"/>
  <c r="H3898" i="1"/>
  <c r="I3898" i="1"/>
  <c r="J3898" i="1"/>
  <c r="L3898" i="1"/>
  <c r="M3898" i="1"/>
  <c r="C3899" i="1"/>
  <c r="E3899" i="1"/>
  <c r="F3899" i="1"/>
  <c r="H3899" i="1"/>
  <c r="I3899" i="1"/>
  <c r="J3899" i="1"/>
  <c r="L3899" i="1"/>
  <c r="M3899" i="1"/>
  <c r="C3900" i="1"/>
  <c r="E3900" i="1"/>
  <c r="F3900" i="1"/>
  <c r="H3900" i="1"/>
  <c r="I3900" i="1"/>
  <c r="J3900" i="1"/>
  <c r="L3900" i="1"/>
  <c r="M3900" i="1"/>
  <c r="C3901" i="1"/>
  <c r="E3901" i="1"/>
  <c r="F3901" i="1"/>
  <c r="H3901" i="1"/>
  <c r="I3901" i="1"/>
  <c r="J3901" i="1"/>
  <c r="L3901" i="1"/>
  <c r="M3901" i="1"/>
  <c r="C3902" i="1"/>
  <c r="E3902" i="1"/>
  <c r="F3902" i="1"/>
  <c r="H3902" i="1"/>
  <c r="I3902" i="1"/>
  <c r="J3902" i="1"/>
  <c r="L3902" i="1"/>
  <c r="M3902" i="1"/>
  <c r="C3903" i="1"/>
  <c r="E3903" i="1"/>
  <c r="F3903" i="1"/>
  <c r="H3903" i="1"/>
  <c r="I3903" i="1"/>
  <c r="J3903" i="1"/>
  <c r="L3903" i="1"/>
  <c r="M3903" i="1"/>
  <c r="C3904" i="1"/>
  <c r="E3904" i="1"/>
  <c r="F3904" i="1"/>
  <c r="H3904" i="1"/>
  <c r="I3904" i="1"/>
  <c r="J3904" i="1"/>
  <c r="L3904" i="1"/>
  <c r="M3904" i="1"/>
  <c r="C3905" i="1"/>
  <c r="E3905" i="1"/>
  <c r="F3905" i="1"/>
  <c r="H3905" i="1"/>
  <c r="I3905" i="1"/>
  <c r="J3905" i="1"/>
  <c r="L3905" i="1"/>
  <c r="M3905" i="1"/>
  <c r="C3906" i="1"/>
  <c r="E3906" i="1"/>
  <c r="F3906" i="1"/>
  <c r="H3906" i="1"/>
  <c r="I3906" i="1"/>
  <c r="J3906" i="1"/>
  <c r="L3906" i="1"/>
  <c r="M3906" i="1"/>
  <c r="C3907" i="1"/>
  <c r="E3907" i="1"/>
  <c r="F3907" i="1"/>
  <c r="H3907" i="1"/>
  <c r="I3907" i="1"/>
  <c r="J3907" i="1"/>
  <c r="L3907" i="1"/>
  <c r="M3907" i="1"/>
  <c r="C3908" i="1"/>
  <c r="E3908" i="1"/>
  <c r="F3908" i="1"/>
  <c r="H3908" i="1"/>
  <c r="I3908" i="1"/>
  <c r="J3908" i="1"/>
  <c r="L3908" i="1"/>
  <c r="M3908" i="1"/>
  <c r="C3909" i="1"/>
  <c r="E3909" i="1"/>
  <c r="F3909" i="1"/>
  <c r="H3909" i="1"/>
  <c r="I3909" i="1"/>
  <c r="J3909" i="1"/>
  <c r="L3909" i="1"/>
  <c r="M3909" i="1"/>
  <c r="C3910" i="1"/>
  <c r="E3910" i="1"/>
  <c r="F3910" i="1"/>
  <c r="H3910" i="1"/>
  <c r="I3910" i="1"/>
  <c r="J3910" i="1"/>
  <c r="L3910" i="1"/>
  <c r="M3910" i="1"/>
  <c r="C3911" i="1"/>
  <c r="E3911" i="1"/>
  <c r="F3911" i="1"/>
  <c r="H3911" i="1"/>
  <c r="I3911" i="1"/>
  <c r="J3911" i="1"/>
  <c r="L3911" i="1"/>
  <c r="M3911" i="1"/>
  <c r="C3912" i="1"/>
  <c r="E3912" i="1"/>
  <c r="F3912" i="1"/>
  <c r="H3912" i="1"/>
  <c r="I3912" i="1"/>
  <c r="J3912" i="1"/>
  <c r="L3912" i="1"/>
  <c r="M3912" i="1"/>
  <c r="C3913" i="1"/>
  <c r="E3913" i="1"/>
  <c r="F3913" i="1"/>
  <c r="H3913" i="1"/>
  <c r="I3913" i="1"/>
  <c r="J3913" i="1"/>
  <c r="L3913" i="1"/>
  <c r="M3913" i="1"/>
  <c r="C3914" i="1"/>
  <c r="E3914" i="1"/>
  <c r="F3914" i="1"/>
  <c r="H3914" i="1"/>
  <c r="I3914" i="1"/>
  <c r="J3914" i="1"/>
  <c r="L3914" i="1"/>
  <c r="M3914" i="1"/>
  <c r="C3915" i="1"/>
  <c r="E3915" i="1"/>
  <c r="F3915" i="1"/>
  <c r="H3915" i="1"/>
  <c r="I3915" i="1"/>
  <c r="J3915" i="1"/>
  <c r="L3915" i="1"/>
  <c r="M3915" i="1"/>
  <c r="C3916" i="1"/>
  <c r="E3916" i="1"/>
  <c r="F3916" i="1"/>
  <c r="H3916" i="1"/>
  <c r="I3916" i="1"/>
  <c r="J3916" i="1"/>
  <c r="L3916" i="1"/>
  <c r="M3916" i="1"/>
  <c r="C3917" i="1"/>
  <c r="E3917" i="1"/>
  <c r="F3917" i="1"/>
  <c r="H3917" i="1"/>
  <c r="I3917" i="1"/>
  <c r="J3917" i="1"/>
  <c r="L3917" i="1"/>
  <c r="M3917" i="1"/>
  <c r="C3918" i="1"/>
  <c r="E3918" i="1"/>
  <c r="F3918" i="1"/>
  <c r="H3918" i="1"/>
  <c r="I3918" i="1"/>
  <c r="J3918" i="1"/>
  <c r="L3918" i="1"/>
  <c r="M3918" i="1"/>
  <c r="C3919" i="1"/>
  <c r="E3919" i="1"/>
  <c r="F3919" i="1"/>
  <c r="H3919" i="1"/>
  <c r="I3919" i="1"/>
  <c r="J3919" i="1"/>
  <c r="L3919" i="1"/>
  <c r="M3919" i="1"/>
  <c r="C3920" i="1"/>
  <c r="E3920" i="1"/>
  <c r="F3920" i="1"/>
  <c r="H3920" i="1"/>
  <c r="I3920" i="1"/>
  <c r="J3920" i="1"/>
  <c r="L3920" i="1"/>
  <c r="M3920" i="1"/>
  <c r="C3921" i="1"/>
  <c r="E3921" i="1"/>
  <c r="F3921" i="1"/>
  <c r="H3921" i="1"/>
  <c r="I3921" i="1"/>
  <c r="J3921" i="1"/>
  <c r="L3921" i="1"/>
  <c r="M3921" i="1"/>
  <c r="C3922" i="1"/>
  <c r="E3922" i="1"/>
  <c r="F3922" i="1"/>
  <c r="H3922" i="1"/>
  <c r="I3922" i="1"/>
  <c r="J3922" i="1"/>
  <c r="L3922" i="1"/>
  <c r="M3922" i="1"/>
  <c r="C3923" i="1"/>
  <c r="E3923" i="1"/>
  <c r="F3923" i="1"/>
  <c r="H3923" i="1"/>
  <c r="I3923" i="1"/>
  <c r="J3923" i="1"/>
  <c r="L3923" i="1"/>
  <c r="M3923" i="1"/>
  <c r="C3924" i="1"/>
  <c r="E3924" i="1"/>
  <c r="F3924" i="1"/>
  <c r="H3924" i="1"/>
  <c r="I3924" i="1"/>
  <c r="J3924" i="1"/>
  <c r="L3924" i="1"/>
  <c r="M3924" i="1"/>
  <c r="C3925" i="1"/>
  <c r="E3925" i="1"/>
  <c r="F3925" i="1"/>
  <c r="H3925" i="1"/>
  <c r="I3925" i="1"/>
  <c r="J3925" i="1"/>
  <c r="L3925" i="1"/>
  <c r="M3925" i="1"/>
  <c r="C3926" i="1"/>
  <c r="E3926" i="1"/>
  <c r="F3926" i="1"/>
  <c r="H3926" i="1"/>
  <c r="I3926" i="1"/>
  <c r="J3926" i="1"/>
  <c r="L3926" i="1"/>
  <c r="M3926" i="1"/>
  <c r="C3927" i="1"/>
  <c r="E3927" i="1"/>
  <c r="F3927" i="1"/>
  <c r="H3927" i="1"/>
  <c r="I3927" i="1"/>
  <c r="J3927" i="1"/>
  <c r="L3927" i="1"/>
  <c r="M3927" i="1"/>
  <c r="C3928" i="1"/>
  <c r="E3928" i="1"/>
  <c r="F3928" i="1"/>
  <c r="H3928" i="1"/>
  <c r="I3928" i="1"/>
  <c r="J3928" i="1"/>
  <c r="L3928" i="1"/>
  <c r="M3928" i="1"/>
  <c r="C3929" i="1"/>
  <c r="E3929" i="1"/>
  <c r="F3929" i="1"/>
  <c r="H3929" i="1"/>
  <c r="I3929" i="1"/>
  <c r="J3929" i="1"/>
  <c r="L3929" i="1"/>
  <c r="M3929" i="1"/>
  <c r="C3930" i="1"/>
  <c r="E3930" i="1"/>
  <c r="F3930" i="1"/>
  <c r="H3930" i="1"/>
  <c r="I3930" i="1"/>
  <c r="J3930" i="1"/>
  <c r="L3930" i="1"/>
  <c r="M3930" i="1"/>
  <c r="C3931" i="1"/>
  <c r="E3931" i="1"/>
  <c r="F3931" i="1"/>
  <c r="H3931" i="1"/>
  <c r="I3931" i="1"/>
  <c r="J3931" i="1"/>
  <c r="L3931" i="1"/>
  <c r="M3931" i="1"/>
  <c r="C3932" i="1"/>
  <c r="E3932" i="1"/>
  <c r="F3932" i="1"/>
  <c r="H3932" i="1"/>
  <c r="I3932" i="1"/>
  <c r="J3932" i="1"/>
  <c r="L3932" i="1"/>
  <c r="M3932" i="1"/>
  <c r="C3933" i="1"/>
  <c r="E3933" i="1"/>
  <c r="F3933" i="1"/>
  <c r="H3933" i="1"/>
  <c r="I3933" i="1"/>
  <c r="J3933" i="1"/>
  <c r="L3933" i="1"/>
  <c r="M3933" i="1"/>
  <c r="C3934" i="1"/>
  <c r="E3934" i="1"/>
  <c r="F3934" i="1"/>
  <c r="H3934" i="1"/>
  <c r="I3934" i="1"/>
  <c r="J3934" i="1"/>
  <c r="L3934" i="1"/>
  <c r="M3934" i="1"/>
  <c r="C3935" i="1"/>
  <c r="E3935" i="1"/>
  <c r="F3935" i="1"/>
  <c r="H3935" i="1"/>
  <c r="I3935" i="1"/>
  <c r="J3935" i="1"/>
  <c r="L3935" i="1"/>
  <c r="M3935" i="1"/>
  <c r="C3936" i="1"/>
  <c r="E3936" i="1"/>
  <c r="F3936" i="1"/>
  <c r="H3936" i="1"/>
  <c r="I3936" i="1"/>
  <c r="J3936" i="1"/>
  <c r="L3936" i="1"/>
  <c r="M3936" i="1"/>
  <c r="C3937" i="1"/>
  <c r="E3937" i="1"/>
  <c r="F3937" i="1"/>
  <c r="H3937" i="1"/>
  <c r="I3937" i="1"/>
  <c r="J3937" i="1"/>
  <c r="L3937" i="1"/>
  <c r="M3937" i="1"/>
  <c r="C3938" i="1"/>
  <c r="E3938" i="1"/>
  <c r="F3938" i="1"/>
  <c r="H3938" i="1"/>
  <c r="I3938" i="1"/>
  <c r="J3938" i="1"/>
  <c r="L3938" i="1"/>
  <c r="M3938" i="1"/>
  <c r="C3939" i="1"/>
  <c r="E3939" i="1"/>
  <c r="F3939" i="1"/>
  <c r="H3939" i="1"/>
  <c r="I3939" i="1"/>
  <c r="J3939" i="1"/>
  <c r="L3939" i="1"/>
  <c r="M3939" i="1"/>
  <c r="C3940" i="1"/>
  <c r="E3940" i="1"/>
  <c r="F3940" i="1"/>
  <c r="H3940" i="1"/>
  <c r="I3940" i="1"/>
  <c r="J3940" i="1"/>
  <c r="L3940" i="1"/>
  <c r="M3940" i="1"/>
  <c r="C3941" i="1"/>
  <c r="E3941" i="1"/>
  <c r="F3941" i="1"/>
  <c r="H3941" i="1"/>
  <c r="I3941" i="1"/>
  <c r="J3941" i="1"/>
  <c r="L3941" i="1"/>
  <c r="M3941" i="1"/>
  <c r="C3942" i="1"/>
  <c r="E3942" i="1"/>
  <c r="F3942" i="1"/>
  <c r="H3942" i="1"/>
  <c r="I3942" i="1"/>
  <c r="J3942" i="1"/>
  <c r="L3942" i="1"/>
  <c r="M3942" i="1"/>
  <c r="C3943" i="1"/>
  <c r="E3943" i="1"/>
  <c r="F3943" i="1"/>
  <c r="H3943" i="1"/>
  <c r="I3943" i="1"/>
  <c r="J3943" i="1"/>
  <c r="L3943" i="1"/>
  <c r="M3943" i="1"/>
  <c r="C3944" i="1"/>
  <c r="E3944" i="1"/>
  <c r="F3944" i="1"/>
  <c r="H3944" i="1"/>
  <c r="I3944" i="1"/>
  <c r="J3944" i="1"/>
  <c r="L3944" i="1"/>
  <c r="M3944" i="1"/>
  <c r="C3945" i="1"/>
  <c r="E3945" i="1"/>
  <c r="F3945" i="1"/>
  <c r="H3945" i="1"/>
  <c r="I3945" i="1"/>
  <c r="J3945" i="1"/>
  <c r="L3945" i="1"/>
  <c r="M3945" i="1"/>
  <c r="C3946" i="1"/>
  <c r="E3946" i="1"/>
  <c r="F3946" i="1"/>
  <c r="H3946" i="1"/>
  <c r="I3946" i="1"/>
  <c r="J3946" i="1"/>
  <c r="L3946" i="1"/>
  <c r="M3946" i="1"/>
  <c r="C3947" i="1"/>
  <c r="E3947" i="1"/>
  <c r="F3947" i="1"/>
  <c r="H3947" i="1"/>
  <c r="I3947" i="1"/>
  <c r="J3947" i="1"/>
  <c r="L3947" i="1"/>
  <c r="M3947" i="1"/>
  <c r="C3948" i="1"/>
  <c r="E3948" i="1"/>
  <c r="F3948" i="1"/>
  <c r="H3948" i="1"/>
  <c r="I3948" i="1"/>
  <c r="J3948" i="1"/>
  <c r="L3948" i="1"/>
  <c r="M3948" i="1"/>
  <c r="C3949" i="1"/>
  <c r="E3949" i="1"/>
  <c r="F3949" i="1"/>
  <c r="H3949" i="1"/>
  <c r="I3949" i="1"/>
  <c r="J3949" i="1"/>
  <c r="L3949" i="1"/>
  <c r="M3949" i="1"/>
  <c r="C3950" i="1"/>
  <c r="E3950" i="1"/>
  <c r="F3950" i="1"/>
  <c r="H3950" i="1"/>
  <c r="I3950" i="1"/>
  <c r="J3950" i="1"/>
  <c r="L3950" i="1"/>
  <c r="M3950" i="1"/>
  <c r="C3951" i="1"/>
  <c r="E3951" i="1"/>
  <c r="F3951" i="1"/>
  <c r="H3951" i="1"/>
  <c r="I3951" i="1"/>
  <c r="J3951" i="1"/>
  <c r="L3951" i="1"/>
  <c r="M3951" i="1"/>
  <c r="C3952" i="1"/>
  <c r="E3952" i="1"/>
  <c r="F3952" i="1"/>
  <c r="H3952" i="1"/>
  <c r="I3952" i="1"/>
  <c r="J3952" i="1"/>
  <c r="L3952" i="1"/>
  <c r="M3952" i="1"/>
  <c r="C3953" i="1"/>
  <c r="E3953" i="1"/>
  <c r="F3953" i="1"/>
  <c r="H3953" i="1"/>
  <c r="I3953" i="1"/>
  <c r="J3953" i="1"/>
  <c r="L3953" i="1"/>
  <c r="M3953" i="1"/>
  <c r="C3954" i="1"/>
  <c r="E3954" i="1"/>
  <c r="F3954" i="1"/>
  <c r="H3954" i="1"/>
  <c r="I3954" i="1"/>
  <c r="J3954" i="1"/>
  <c r="L3954" i="1"/>
  <c r="M3954" i="1"/>
  <c r="C3955" i="1"/>
  <c r="E3955" i="1"/>
  <c r="F3955" i="1"/>
  <c r="H3955" i="1"/>
  <c r="I3955" i="1"/>
  <c r="J3955" i="1"/>
  <c r="L3955" i="1"/>
  <c r="M3955" i="1"/>
  <c r="C3956" i="1"/>
  <c r="E3956" i="1"/>
  <c r="F3956" i="1"/>
  <c r="H3956" i="1"/>
  <c r="I3956" i="1"/>
  <c r="J3956" i="1"/>
  <c r="L3956" i="1"/>
  <c r="M3956" i="1"/>
  <c r="C3957" i="1"/>
  <c r="E3957" i="1"/>
  <c r="F3957" i="1"/>
  <c r="H3957" i="1"/>
  <c r="I3957" i="1"/>
  <c r="J3957" i="1"/>
  <c r="L3957" i="1"/>
  <c r="M3957" i="1"/>
  <c r="C3958" i="1"/>
  <c r="E3958" i="1"/>
  <c r="F3958" i="1"/>
  <c r="H3958" i="1"/>
  <c r="I3958" i="1"/>
  <c r="J3958" i="1"/>
  <c r="L3958" i="1"/>
  <c r="M3958" i="1"/>
  <c r="C3959" i="1"/>
  <c r="E3959" i="1"/>
  <c r="F3959" i="1"/>
  <c r="H3959" i="1"/>
  <c r="I3959" i="1"/>
  <c r="J3959" i="1"/>
  <c r="L3959" i="1"/>
  <c r="M3959" i="1"/>
  <c r="C3960" i="1"/>
  <c r="E3960" i="1"/>
  <c r="F3960" i="1"/>
  <c r="H3960" i="1"/>
  <c r="I3960" i="1"/>
  <c r="J3960" i="1"/>
  <c r="L3960" i="1"/>
  <c r="M3960" i="1"/>
  <c r="C3961" i="1"/>
  <c r="E3961" i="1"/>
  <c r="F3961" i="1"/>
  <c r="H3961" i="1"/>
  <c r="I3961" i="1"/>
  <c r="J3961" i="1"/>
  <c r="L3961" i="1"/>
  <c r="M3961" i="1"/>
  <c r="C3962" i="1"/>
  <c r="E3962" i="1"/>
  <c r="F3962" i="1"/>
  <c r="H3962" i="1"/>
  <c r="I3962" i="1"/>
  <c r="J3962" i="1"/>
  <c r="L3962" i="1"/>
  <c r="M3962" i="1"/>
  <c r="C3963" i="1"/>
  <c r="E3963" i="1"/>
  <c r="F3963" i="1"/>
  <c r="H3963" i="1"/>
  <c r="I3963" i="1"/>
  <c r="J3963" i="1"/>
  <c r="L3963" i="1"/>
  <c r="M3963" i="1"/>
  <c r="C3964" i="1"/>
  <c r="E3964" i="1"/>
  <c r="F3964" i="1"/>
  <c r="H3964" i="1"/>
  <c r="I3964" i="1"/>
  <c r="J3964" i="1"/>
  <c r="L3964" i="1"/>
  <c r="M3964" i="1"/>
  <c r="C3965" i="1"/>
  <c r="E3965" i="1"/>
  <c r="F3965" i="1"/>
  <c r="H3965" i="1"/>
  <c r="I3965" i="1"/>
  <c r="J3965" i="1"/>
  <c r="L3965" i="1"/>
  <c r="M3965" i="1"/>
  <c r="C3966" i="1"/>
  <c r="E3966" i="1"/>
  <c r="F3966" i="1"/>
  <c r="H3966" i="1"/>
  <c r="I3966" i="1"/>
  <c r="J3966" i="1"/>
  <c r="L3966" i="1"/>
  <c r="M3966" i="1"/>
  <c r="C3967" i="1"/>
  <c r="E3967" i="1"/>
  <c r="F3967" i="1"/>
  <c r="H3967" i="1"/>
  <c r="I3967" i="1"/>
  <c r="J3967" i="1"/>
  <c r="L3967" i="1"/>
  <c r="M3967" i="1"/>
  <c r="C3968" i="1"/>
  <c r="E3968" i="1"/>
  <c r="F3968" i="1"/>
  <c r="H3968" i="1"/>
  <c r="I3968" i="1"/>
  <c r="J3968" i="1"/>
  <c r="L3968" i="1"/>
  <c r="M3968" i="1"/>
  <c r="C3969" i="1"/>
  <c r="E3969" i="1"/>
  <c r="F3969" i="1"/>
  <c r="H3969" i="1"/>
  <c r="I3969" i="1"/>
  <c r="J3969" i="1"/>
  <c r="L3969" i="1"/>
  <c r="M3969" i="1"/>
  <c r="C3970" i="1"/>
  <c r="E3970" i="1"/>
  <c r="F3970" i="1"/>
  <c r="H3970" i="1"/>
  <c r="I3970" i="1"/>
  <c r="J3970" i="1"/>
  <c r="L3970" i="1"/>
  <c r="M3970" i="1"/>
  <c r="C3971" i="1"/>
  <c r="E3971" i="1"/>
  <c r="F3971" i="1"/>
  <c r="H3971" i="1"/>
  <c r="I3971" i="1"/>
  <c r="J3971" i="1"/>
  <c r="L3971" i="1"/>
  <c r="M3971" i="1"/>
  <c r="C3972" i="1"/>
  <c r="E3972" i="1"/>
  <c r="F3972" i="1"/>
  <c r="H3972" i="1"/>
  <c r="I3972" i="1"/>
  <c r="J3972" i="1"/>
  <c r="L3972" i="1"/>
  <c r="M3972" i="1"/>
  <c r="C3973" i="1"/>
  <c r="E3973" i="1"/>
  <c r="F3973" i="1"/>
  <c r="H3973" i="1"/>
  <c r="I3973" i="1"/>
  <c r="J3973" i="1"/>
  <c r="L3973" i="1"/>
  <c r="M3973" i="1"/>
  <c r="C3974" i="1"/>
  <c r="E3974" i="1"/>
  <c r="F3974" i="1"/>
  <c r="H3974" i="1"/>
  <c r="I3974" i="1"/>
  <c r="J3974" i="1"/>
  <c r="L3974" i="1"/>
  <c r="M3974" i="1"/>
  <c r="C3975" i="1"/>
  <c r="E3975" i="1"/>
  <c r="F3975" i="1"/>
  <c r="H3975" i="1"/>
  <c r="I3975" i="1"/>
  <c r="J3975" i="1"/>
  <c r="L3975" i="1"/>
  <c r="M3975" i="1"/>
  <c r="C3976" i="1"/>
  <c r="E3976" i="1"/>
  <c r="F3976" i="1"/>
  <c r="H3976" i="1"/>
  <c r="I3976" i="1"/>
  <c r="J3976" i="1"/>
  <c r="L3976" i="1"/>
  <c r="M3976" i="1"/>
  <c r="C3977" i="1"/>
  <c r="E3977" i="1"/>
  <c r="F3977" i="1"/>
  <c r="H3977" i="1"/>
  <c r="I3977" i="1"/>
  <c r="J3977" i="1"/>
  <c r="L3977" i="1"/>
  <c r="M3977" i="1"/>
  <c r="C3978" i="1"/>
  <c r="E3978" i="1"/>
  <c r="F3978" i="1"/>
  <c r="H3978" i="1"/>
  <c r="I3978" i="1"/>
  <c r="J3978" i="1"/>
  <c r="L3978" i="1"/>
  <c r="M3978" i="1"/>
  <c r="C3979" i="1"/>
  <c r="E3979" i="1"/>
  <c r="F3979" i="1"/>
  <c r="H3979" i="1"/>
  <c r="I3979" i="1"/>
  <c r="J3979" i="1"/>
  <c r="L3979" i="1"/>
  <c r="M3979" i="1"/>
  <c r="C3980" i="1"/>
  <c r="E3980" i="1"/>
  <c r="F3980" i="1"/>
  <c r="H3980" i="1"/>
  <c r="I3980" i="1"/>
  <c r="J3980" i="1"/>
  <c r="L3980" i="1"/>
  <c r="M3980" i="1"/>
  <c r="C3981" i="1"/>
  <c r="E3981" i="1"/>
  <c r="F3981" i="1"/>
  <c r="H3981" i="1"/>
  <c r="I3981" i="1"/>
  <c r="J3981" i="1"/>
  <c r="L3981" i="1"/>
  <c r="M3981" i="1"/>
  <c r="C3982" i="1"/>
  <c r="E3982" i="1"/>
  <c r="F3982" i="1"/>
  <c r="H3982" i="1"/>
  <c r="I3982" i="1"/>
  <c r="J3982" i="1"/>
  <c r="L3982" i="1"/>
  <c r="M3982" i="1"/>
  <c r="C3983" i="1"/>
  <c r="E3983" i="1"/>
  <c r="F3983" i="1"/>
  <c r="H3983" i="1"/>
  <c r="I3983" i="1"/>
  <c r="J3983" i="1"/>
  <c r="L3983" i="1"/>
  <c r="M3983" i="1"/>
  <c r="C3984" i="1"/>
  <c r="E3984" i="1"/>
  <c r="F3984" i="1"/>
  <c r="H3984" i="1"/>
  <c r="I3984" i="1"/>
  <c r="J3984" i="1"/>
  <c r="L3984" i="1"/>
  <c r="M3984" i="1"/>
  <c r="C3985" i="1"/>
  <c r="E3985" i="1"/>
  <c r="F3985" i="1"/>
  <c r="H3985" i="1"/>
  <c r="I3985" i="1"/>
  <c r="J3985" i="1"/>
  <c r="L3985" i="1"/>
  <c r="M3985" i="1"/>
  <c r="C3986" i="1"/>
  <c r="E3986" i="1"/>
  <c r="F3986" i="1"/>
  <c r="H3986" i="1"/>
  <c r="I3986" i="1"/>
  <c r="J3986" i="1"/>
  <c r="L3986" i="1"/>
  <c r="M3986" i="1"/>
  <c r="C3987" i="1"/>
  <c r="E3987" i="1"/>
  <c r="F3987" i="1"/>
  <c r="H3987" i="1"/>
  <c r="I3987" i="1"/>
  <c r="J3987" i="1"/>
  <c r="L3987" i="1"/>
  <c r="M3987" i="1"/>
  <c r="C3988" i="1"/>
  <c r="E3988" i="1"/>
  <c r="F3988" i="1"/>
  <c r="H3988" i="1"/>
  <c r="I3988" i="1"/>
  <c r="J3988" i="1"/>
  <c r="L3988" i="1"/>
  <c r="M3988" i="1"/>
  <c r="C3989" i="1"/>
  <c r="E3989" i="1"/>
  <c r="F3989" i="1"/>
  <c r="H3989" i="1"/>
  <c r="I3989" i="1"/>
  <c r="J3989" i="1"/>
  <c r="L3989" i="1"/>
  <c r="M3989" i="1"/>
  <c r="C3990" i="1"/>
  <c r="E3990" i="1"/>
  <c r="F3990" i="1"/>
  <c r="H3990" i="1"/>
  <c r="I3990" i="1"/>
  <c r="J3990" i="1"/>
  <c r="L3990" i="1"/>
  <c r="M3990" i="1"/>
  <c r="C3991" i="1"/>
  <c r="E3991" i="1"/>
  <c r="F3991" i="1"/>
  <c r="H3991" i="1"/>
  <c r="I3991" i="1"/>
  <c r="J3991" i="1"/>
  <c r="L3991" i="1"/>
  <c r="M3991" i="1"/>
  <c r="C3992" i="1"/>
  <c r="E3992" i="1"/>
  <c r="F3992" i="1"/>
  <c r="H3992" i="1"/>
  <c r="I3992" i="1"/>
  <c r="J3992" i="1"/>
  <c r="L3992" i="1"/>
  <c r="M3992" i="1"/>
  <c r="C3993" i="1"/>
  <c r="E3993" i="1"/>
  <c r="F3993" i="1"/>
  <c r="H3993" i="1"/>
  <c r="I3993" i="1"/>
  <c r="J3993" i="1"/>
  <c r="L3993" i="1"/>
  <c r="M3993" i="1"/>
  <c r="C3994" i="1"/>
  <c r="E3994" i="1"/>
  <c r="F3994" i="1"/>
  <c r="H3994" i="1"/>
  <c r="I3994" i="1"/>
  <c r="J3994" i="1"/>
  <c r="L3994" i="1"/>
  <c r="M3994" i="1"/>
  <c r="C3995" i="1"/>
  <c r="E3995" i="1"/>
  <c r="F3995" i="1"/>
  <c r="H3995" i="1"/>
  <c r="I3995" i="1"/>
  <c r="J3995" i="1"/>
  <c r="L3995" i="1"/>
  <c r="M3995" i="1"/>
  <c r="C3996" i="1"/>
  <c r="E3996" i="1"/>
  <c r="F3996" i="1"/>
  <c r="H3996" i="1"/>
  <c r="I3996" i="1"/>
  <c r="J3996" i="1"/>
  <c r="L3996" i="1"/>
  <c r="M3996" i="1"/>
  <c r="C3997" i="1"/>
  <c r="E3997" i="1"/>
  <c r="F3997" i="1"/>
  <c r="H3997" i="1"/>
  <c r="I3997" i="1"/>
  <c r="J3997" i="1"/>
  <c r="L3997" i="1"/>
  <c r="M3997" i="1"/>
  <c r="C3998" i="1"/>
  <c r="E3998" i="1"/>
  <c r="F3998" i="1"/>
  <c r="H3998" i="1"/>
  <c r="I3998" i="1"/>
  <c r="J3998" i="1"/>
  <c r="L3998" i="1"/>
  <c r="M3998" i="1"/>
  <c r="C3999" i="1"/>
  <c r="E3999" i="1"/>
  <c r="F3999" i="1"/>
  <c r="H3999" i="1"/>
  <c r="I3999" i="1"/>
  <c r="J3999" i="1"/>
  <c r="L3999" i="1"/>
  <c r="M3999" i="1"/>
  <c r="C4000" i="1"/>
  <c r="E4000" i="1"/>
  <c r="F4000" i="1"/>
  <c r="H4000" i="1"/>
  <c r="I4000" i="1"/>
  <c r="J4000" i="1"/>
  <c r="L4000" i="1"/>
  <c r="M4000" i="1"/>
  <c r="C4001" i="1"/>
  <c r="E4001" i="1"/>
  <c r="F4001" i="1"/>
  <c r="H4001" i="1"/>
  <c r="I4001" i="1"/>
  <c r="J4001" i="1"/>
  <c r="L4001" i="1"/>
  <c r="M4001" i="1"/>
  <c r="C4002" i="1"/>
  <c r="E4002" i="1"/>
  <c r="F4002" i="1"/>
  <c r="H4002" i="1"/>
  <c r="I4002" i="1"/>
  <c r="J4002" i="1"/>
  <c r="L4002" i="1"/>
  <c r="M4002" i="1"/>
  <c r="C4003" i="1"/>
  <c r="E4003" i="1"/>
  <c r="F4003" i="1"/>
  <c r="H4003" i="1"/>
  <c r="I4003" i="1"/>
  <c r="J4003" i="1"/>
  <c r="L4003" i="1"/>
  <c r="M4003" i="1"/>
  <c r="C4004" i="1"/>
  <c r="E4004" i="1"/>
  <c r="F4004" i="1"/>
  <c r="H4004" i="1"/>
  <c r="I4004" i="1"/>
  <c r="J4004" i="1"/>
  <c r="L4004" i="1"/>
  <c r="M4004" i="1"/>
  <c r="C4005" i="1"/>
  <c r="E4005" i="1"/>
  <c r="F4005" i="1"/>
  <c r="H4005" i="1"/>
  <c r="I4005" i="1"/>
  <c r="J4005" i="1"/>
  <c r="L4005" i="1"/>
  <c r="M4005" i="1"/>
  <c r="C4006" i="1"/>
  <c r="E4006" i="1"/>
  <c r="F4006" i="1"/>
  <c r="H4006" i="1"/>
  <c r="I4006" i="1"/>
  <c r="J4006" i="1"/>
  <c r="L4006" i="1"/>
  <c r="M4006" i="1"/>
  <c r="C4007" i="1"/>
  <c r="E4007" i="1"/>
  <c r="F4007" i="1"/>
  <c r="H4007" i="1"/>
  <c r="I4007" i="1"/>
  <c r="J4007" i="1"/>
  <c r="L4007" i="1"/>
  <c r="M4007" i="1"/>
  <c r="C4008" i="1"/>
  <c r="E4008" i="1"/>
  <c r="F4008" i="1"/>
  <c r="H4008" i="1"/>
  <c r="I4008" i="1"/>
  <c r="J4008" i="1"/>
  <c r="L4008" i="1"/>
  <c r="M4008" i="1"/>
  <c r="C4009" i="1"/>
  <c r="E4009" i="1"/>
  <c r="F4009" i="1"/>
  <c r="H4009" i="1"/>
  <c r="I4009" i="1"/>
  <c r="J4009" i="1"/>
  <c r="L4009" i="1"/>
  <c r="M4009" i="1"/>
  <c r="C4010" i="1"/>
  <c r="E4010" i="1"/>
  <c r="F4010" i="1"/>
  <c r="H4010" i="1"/>
  <c r="I4010" i="1"/>
  <c r="J4010" i="1"/>
  <c r="L4010" i="1"/>
  <c r="M4010" i="1"/>
  <c r="C4011" i="1"/>
  <c r="E4011" i="1"/>
  <c r="F4011" i="1"/>
  <c r="H4011" i="1"/>
  <c r="I4011" i="1"/>
  <c r="J4011" i="1"/>
  <c r="L4011" i="1"/>
  <c r="M4011" i="1"/>
  <c r="C4012" i="1"/>
  <c r="E4012" i="1"/>
  <c r="F4012" i="1"/>
  <c r="H4012" i="1"/>
  <c r="I4012" i="1"/>
  <c r="J4012" i="1"/>
  <c r="L4012" i="1"/>
  <c r="M4012" i="1"/>
  <c r="C4013" i="1"/>
  <c r="E4013" i="1"/>
  <c r="F4013" i="1"/>
  <c r="H4013" i="1"/>
  <c r="I4013" i="1"/>
  <c r="J4013" i="1"/>
  <c r="L4013" i="1"/>
  <c r="M4013" i="1"/>
  <c r="C4014" i="1"/>
  <c r="E4014" i="1"/>
  <c r="F4014" i="1"/>
  <c r="H4014" i="1"/>
  <c r="I4014" i="1"/>
  <c r="J4014" i="1"/>
  <c r="L4014" i="1"/>
  <c r="M4014" i="1"/>
  <c r="C4015" i="1"/>
  <c r="E4015" i="1"/>
  <c r="F4015" i="1"/>
  <c r="H4015" i="1"/>
  <c r="I4015" i="1"/>
  <c r="J4015" i="1"/>
  <c r="L4015" i="1"/>
  <c r="M4015" i="1"/>
  <c r="C4016" i="1"/>
  <c r="E4016" i="1"/>
  <c r="F4016" i="1"/>
  <c r="H4016" i="1"/>
  <c r="I4016" i="1"/>
  <c r="J4016" i="1"/>
  <c r="L4016" i="1"/>
  <c r="M4016" i="1"/>
  <c r="C4017" i="1"/>
  <c r="E4017" i="1"/>
  <c r="F4017" i="1"/>
  <c r="H4017" i="1"/>
  <c r="I4017" i="1"/>
  <c r="J4017" i="1"/>
  <c r="L4017" i="1"/>
  <c r="M4017" i="1"/>
  <c r="C4018" i="1"/>
  <c r="E4018" i="1"/>
  <c r="F4018" i="1"/>
  <c r="H4018" i="1"/>
  <c r="I4018" i="1"/>
  <c r="J4018" i="1"/>
  <c r="L4018" i="1"/>
  <c r="M4018" i="1"/>
  <c r="C4019" i="1"/>
  <c r="E4019" i="1"/>
  <c r="F4019" i="1"/>
  <c r="H4019" i="1"/>
  <c r="I4019" i="1"/>
  <c r="J4019" i="1"/>
  <c r="L4019" i="1"/>
  <c r="M4019" i="1"/>
  <c r="C4020" i="1"/>
  <c r="E4020" i="1"/>
  <c r="F4020" i="1"/>
  <c r="H4020" i="1"/>
  <c r="I4020" i="1"/>
  <c r="J4020" i="1"/>
  <c r="L4020" i="1"/>
  <c r="M4020" i="1"/>
  <c r="C4021" i="1"/>
  <c r="E4021" i="1"/>
  <c r="F4021" i="1"/>
  <c r="H4021" i="1"/>
  <c r="I4021" i="1"/>
  <c r="J4021" i="1"/>
  <c r="L4021" i="1"/>
  <c r="M4021" i="1"/>
  <c r="C4022" i="1"/>
  <c r="E4022" i="1"/>
  <c r="F4022" i="1"/>
  <c r="H4022" i="1"/>
  <c r="I4022" i="1"/>
  <c r="J4022" i="1"/>
  <c r="L4022" i="1"/>
  <c r="M4022" i="1"/>
  <c r="C4023" i="1"/>
  <c r="E4023" i="1"/>
  <c r="F4023" i="1"/>
  <c r="H4023" i="1"/>
  <c r="I4023" i="1"/>
  <c r="J4023" i="1"/>
  <c r="L4023" i="1"/>
  <c r="M4023" i="1"/>
  <c r="C4024" i="1"/>
  <c r="E4024" i="1"/>
  <c r="F4024" i="1"/>
  <c r="H4024" i="1"/>
  <c r="I4024" i="1"/>
  <c r="J4024" i="1"/>
  <c r="L4024" i="1"/>
  <c r="M4024" i="1"/>
  <c r="C4025" i="1"/>
  <c r="E4025" i="1"/>
  <c r="F4025" i="1"/>
  <c r="H4025" i="1"/>
  <c r="I4025" i="1"/>
  <c r="J4025" i="1"/>
  <c r="L4025" i="1"/>
  <c r="M4025" i="1"/>
  <c r="C4026" i="1"/>
  <c r="E4026" i="1"/>
  <c r="F4026" i="1"/>
  <c r="H4026" i="1"/>
  <c r="I4026" i="1"/>
  <c r="J4026" i="1"/>
  <c r="L4026" i="1"/>
  <c r="M4026" i="1"/>
  <c r="C4027" i="1"/>
  <c r="E4027" i="1"/>
  <c r="F4027" i="1"/>
  <c r="H4027" i="1"/>
  <c r="I4027" i="1"/>
  <c r="J4027" i="1"/>
  <c r="L4027" i="1"/>
  <c r="M4027" i="1"/>
  <c r="C4028" i="1"/>
  <c r="E4028" i="1"/>
  <c r="F4028" i="1"/>
  <c r="H4028" i="1"/>
  <c r="I4028" i="1"/>
  <c r="J4028" i="1"/>
  <c r="L4028" i="1"/>
  <c r="M4028" i="1"/>
  <c r="C4029" i="1"/>
  <c r="E4029" i="1"/>
  <c r="F4029" i="1"/>
  <c r="H4029" i="1"/>
  <c r="I4029" i="1"/>
  <c r="J4029" i="1"/>
  <c r="L4029" i="1"/>
  <c r="M4029" i="1"/>
  <c r="C4030" i="1"/>
  <c r="E4030" i="1"/>
  <c r="F4030" i="1"/>
  <c r="H4030" i="1"/>
  <c r="I4030" i="1"/>
  <c r="J4030" i="1"/>
  <c r="L4030" i="1"/>
  <c r="M4030" i="1"/>
  <c r="C4031" i="1"/>
  <c r="E4031" i="1"/>
  <c r="F4031" i="1"/>
  <c r="H4031" i="1"/>
  <c r="I4031" i="1"/>
  <c r="J4031" i="1"/>
  <c r="L4031" i="1"/>
  <c r="M4031" i="1"/>
  <c r="C4032" i="1"/>
  <c r="E4032" i="1"/>
  <c r="F4032" i="1"/>
  <c r="H4032" i="1"/>
  <c r="I4032" i="1"/>
  <c r="J4032" i="1"/>
  <c r="L4032" i="1"/>
  <c r="M4032" i="1"/>
  <c r="C4033" i="1"/>
  <c r="E4033" i="1"/>
  <c r="F4033" i="1"/>
  <c r="H4033" i="1"/>
  <c r="I4033" i="1"/>
  <c r="J4033" i="1"/>
  <c r="L4033" i="1"/>
  <c r="M4033" i="1"/>
  <c r="C4034" i="1"/>
  <c r="E4034" i="1"/>
  <c r="F4034" i="1"/>
  <c r="H4034" i="1"/>
  <c r="I4034" i="1"/>
  <c r="J4034" i="1"/>
  <c r="L4034" i="1"/>
  <c r="M4034" i="1"/>
  <c r="C4035" i="1"/>
  <c r="E4035" i="1"/>
  <c r="F4035" i="1"/>
  <c r="H4035" i="1"/>
  <c r="I4035" i="1"/>
  <c r="J4035" i="1"/>
  <c r="L4035" i="1"/>
  <c r="M4035" i="1"/>
  <c r="C4036" i="1"/>
  <c r="E4036" i="1"/>
  <c r="F4036" i="1"/>
  <c r="H4036" i="1"/>
  <c r="I4036" i="1"/>
  <c r="J4036" i="1"/>
  <c r="L4036" i="1"/>
  <c r="M4036" i="1"/>
  <c r="C4037" i="1"/>
  <c r="E4037" i="1"/>
  <c r="F4037" i="1"/>
  <c r="H4037" i="1"/>
  <c r="I4037" i="1"/>
  <c r="J4037" i="1"/>
  <c r="L4037" i="1"/>
  <c r="M4037" i="1"/>
  <c r="C4038" i="1"/>
  <c r="E4038" i="1"/>
  <c r="F4038" i="1"/>
  <c r="H4038" i="1"/>
  <c r="I4038" i="1"/>
  <c r="J4038" i="1"/>
  <c r="L4038" i="1"/>
  <c r="M4038" i="1"/>
  <c r="C4039" i="1"/>
  <c r="E4039" i="1"/>
  <c r="F4039" i="1"/>
  <c r="H4039" i="1"/>
  <c r="I4039" i="1"/>
  <c r="J4039" i="1"/>
  <c r="L4039" i="1"/>
  <c r="M4039" i="1"/>
  <c r="C4040" i="1"/>
  <c r="E4040" i="1"/>
  <c r="F4040" i="1"/>
  <c r="H4040" i="1"/>
  <c r="I4040" i="1"/>
  <c r="J4040" i="1"/>
  <c r="L4040" i="1"/>
  <c r="M4040" i="1"/>
  <c r="C4041" i="1"/>
  <c r="E4041" i="1"/>
  <c r="F4041" i="1"/>
  <c r="H4041" i="1"/>
  <c r="I4041" i="1"/>
  <c r="J4041" i="1"/>
  <c r="L4041" i="1"/>
  <c r="M4041" i="1"/>
  <c r="C4042" i="1"/>
  <c r="E4042" i="1"/>
  <c r="F4042" i="1"/>
  <c r="H4042" i="1"/>
  <c r="I4042" i="1"/>
  <c r="J4042" i="1"/>
  <c r="L4042" i="1"/>
  <c r="M4042" i="1"/>
  <c r="C4043" i="1"/>
  <c r="E4043" i="1"/>
  <c r="F4043" i="1"/>
  <c r="H4043" i="1"/>
  <c r="I4043" i="1"/>
  <c r="J4043" i="1"/>
  <c r="L4043" i="1"/>
  <c r="M4043" i="1"/>
  <c r="C4044" i="1"/>
  <c r="E4044" i="1"/>
  <c r="F4044" i="1"/>
  <c r="H4044" i="1"/>
  <c r="I4044" i="1"/>
  <c r="J4044" i="1"/>
  <c r="L4044" i="1"/>
  <c r="M4044" i="1"/>
  <c r="C4045" i="1"/>
  <c r="E4045" i="1"/>
  <c r="F4045" i="1"/>
  <c r="H4045" i="1"/>
  <c r="I4045" i="1"/>
  <c r="J4045" i="1"/>
  <c r="L4045" i="1"/>
  <c r="M4045" i="1"/>
  <c r="C4046" i="1"/>
  <c r="E4046" i="1"/>
  <c r="F4046" i="1"/>
  <c r="H4046" i="1"/>
  <c r="I4046" i="1"/>
  <c r="J4046" i="1"/>
  <c r="L4046" i="1"/>
  <c r="M4046" i="1"/>
  <c r="C4047" i="1"/>
  <c r="E4047" i="1"/>
  <c r="F4047" i="1"/>
  <c r="H4047" i="1"/>
  <c r="I4047" i="1"/>
  <c r="J4047" i="1"/>
  <c r="L4047" i="1"/>
  <c r="M4047" i="1"/>
  <c r="C4048" i="1"/>
  <c r="E4048" i="1"/>
  <c r="F4048" i="1"/>
  <c r="H4048" i="1"/>
  <c r="I4048" i="1"/>
  <c r="J4048" i="1"/>
  <c r="L4048" i="1"/>
  <c r="M4048" i="1"/>
  <c r="C4049" i="1"/>
  <c r="E4049" i="1"/>
  <c r="F4049" i="1"/>
  <c r="H4049" i="1"/>
  <c r="I4049" i="1"/>
  <c r="J4049" i="1"/>
  <c r="L4049" i="1"/>
  <c r="M4049" i="1"/>
  <c r="C4050" i="1"/>
  <c r="E4050" i="1"/>
  <c r="F4050" i="1"/>
  <c r="H4050" i="1"/>
  <c r="I4050" i="1"/>
  <c r="J4050" i="1"/>
  <c r="L4050" i="1"/>
  <c r="M4050" i="1"/>
  <c r="C4051" i="1"/>
  <c r="E4051" i="1"/>
  <c r="F4051" i="1"/>
  <c r="H4051" i="1"/>
  <c r="I4051" i="1"/>
  <c r="J4051" i="1"/>
  <c r="L4051" i="1"/>
  <c r="M4051" i="1"/>
  <c r="C4052" i="1"/>
  <c r="E4052" i="1"/>
  <c r="F4052" i="1"/>
  <c r="H4052" i="1"/>
  <c r="I4052" i="1"/>
  <c r="J4052" i="1"/>
  <c r="L4052" i="1"/>
  <c r="M4052" i="1"/>
  <c r="C4053" i="1"/>
  <c r="E4053" i="1"/>
  <c r="F4053" i="1"/>
  <c r="H4053" i="1"/>
  <c r="I4053" i="1"/>
  <c r="J4053" i="1"/>
  <c r="L4053" i="1"/>
  <c r="M4053" i="1"/>
  <c r="C4054" i="1"/>
  <c r="E4054" i="1"/>
  <c r="F4054" i="1"/>
  <c r="H4054" i="1"/>
  <c r="I4054" i="1"/>
  <c r="J4054" i="1"/>
  <c r="L4054" i="1"/>
  <c r="M4054" i="1"/>
  <c r="C4055" i="1"/>
  <c r="E4055" i="1"/>
  <c r="F4055" i="1"/>
  <c r="H4055" i="1"/>
  <c r="I4055" i="1"/>
  <c r="J4055" i="1"/>
  <c r="L4055" i="1"/>
  <c r="M4055" i="1"/>
  <c r="C4056" i="1"/>
  <c r="E4056" i="1"/>
  <c r="F4056" i="1"/>
  <c r="H4056" i="1"/>
  <c r="I4056" i="1"/>
  <c r="J4056" i="1"/>
  <c r="L4056" i="1"/>
  <c r="M4056" i="1"/>
  <c r="C4057" i="1"/>
  <c r="E4057" i="1"/>
  <c r="F4057" i="1"/>
  <c r="H4057" i="1"/>
  <c r="I4057" i="1"/>
  <c r="J4057" i="1"/>
  <c r="L4057" i="1"/>
  <c r="M4057" i="1"/>
  <c r="C4058" i="1"/>
  <c r="E4058" i="1"/>
  <c r="F4058" i="1"/>
  <c r="H4058" i="1"/>
  <c r="I4058" i="1"/>
  <c r="J4058" i="1"/>
  <c r="L4058" i="1"/>
  <c r="M4058" i="1"/>
  <c r="C4059" i="1"/>
  <c r="E4059" i="1"/>
  <c r="F4059" i="1"/>
  <c r="H4059" i="1"/>
  <c r="I4059" i="1"/>
  <c r="J4059" i="1"/>
  <c r="L4059" i="1"/>
  <c r="M4059" i="1"/>
  <c r="C4060" i="1"/>
  <c r="E4060" i="1"/>
  <c r="F4060" i="1"/>
  <c r="H4060" i="1"/>
  <c r="I4060" i="1"/>
  <c r="J4060" i="1"/>
  <c r="L4060" i="1"/>
  <c r="M4060" i="1"/>
  <c r="C4061" i="1"/>
  <c r="E4061" i="1"/>
  <c r="F4061" i="1"/>
  <c r="H4061" i="1"/>
  <c r="I4061" i="1"/>
  <c r="J4061" i="1"/>
  <c r="L4061" i="1"/>
  <c r="M4061" i="1"/>
  <c r="C4062" i="1"/>
  <c r="E4062" i="1"/>
  <c r="F4062" i="1"/>
  <c r="H4062" i="1"/>
  <c r="I4062" i="1"/>
  <c r="J4062" i="1"/>
  <c r="L4062" i="1"/>
  <c r="M4062" i="1"/>
  <c r="C4063" i="1"/>
  <c r="E4063" i="1"/>
  <c r="F4063" i="1"/>
  <c r="H4063" i="1"/>
  <c r="I4063" i="1"/>
  <c r="J4063" i="1"/>
  <c r="L4063" i="1"/>
  <c r="M4063" i="1"/>
  <c r="C4064" i="1"/>
  <c r="E4064" i="1"/>
  <c r="F4064" i="1"/>
  <c r="H4064" i="1"/>
  <c r="I4064" i="1"/>
  <c r="J4064" i="1"/>
  <c r="L4064" i="1"/>
  <c r="M4064" i="1"/>
  <c r="C4065" i="1"/>
  <c r="E4065" i="1"/>
  <c r="F4065" i="1"/>
  <c r="H4065" i="1"/>
  <c r="I4065" i="1"/>
  <c r="J4065" i="1"/>
  <c r="L4065" i="1"/>
  <c r="M4065" i="1"/>
  <c r="C4066" i="1"/>
  <c r="E4066" i="1"/>
  <c r="F4066" i="1"/>
  <c r="H4066" i="1"/>
  <c r="I4066" i="1"/>
  <c r="J4066" i="1"/>
  <c r="L4066" i="1"/>
  <c r="M4066" i="1"/>
  <c r="C4067" i="1"/>
  <c r="E4067" i="1"/>
  <c r="F4067" i="1"/>
  <c r="H4067" i="1"/>
  <c r="I4067" i="1"/>
  <c r="J4067" i="1"/>
  <c r="L4067" i="1"/>
  <c r="M4067" i="1"/>
  <c r="C4068" i="1"/>
  <c r="E4068" i="1"/>
  <c r="F4068" i="1"/>
  <c r="H4068" i="1"/>
  <c r="I4068" i="1"/>
  <c r="J4068" i="1"/>
  <c r="L4068" i="1"/>
  <c r="M4068" i="1"/>
  <c r="C4069" i="1"/>
  <c r="E4069" i="1"/>
  <c r="F4069" i="1"/>
  <c r="H4069" i="1"/>
  <c r="I4069" i="1"/>
  <c r="J4069" i="1"/>
  <c r="L4069" i="1"/>
  <c r="M4069" i="1"/>
  <c r="C4070" i="1"/>
  <c r="E4070" i="1"/>
  <c r="F4070" i="1"/>
  <c r="H4070" i="1"/>
  <c r="I4070" i="1"/>
  <c r="J4070" i="1"/>
  <c r="L4070" i="1"/>
  <c r="M4070" i="1"/>
  <c r="C4071" i="1"/>
  <c r="E4071" i="1"/>
  <c r="F4071" i="1"/>
  <c r="H4071" i="1"/>
  <c r="I4071" i="1"/>
  <c r="J4071" i="1"/>
  <c r="L4071" i="1"/>
  <c r="M4071" i="1"/>
  <c r="C4072" i="1"/>
  <c r="E4072" i="1"/>
  <c r="F4072" i="1"/>
  <c r="H4072" i="1"/>
  <c r="I4072" i="1"/>
  <c r="J4072" i="1"/>
  <c r="L4072" i="1"/>
  <c r="M4072" i="1"/>
  <c r="C4073" i="1"/>
  <c r="E4073" i="1"/>
  <c r="F4073" i="1"/>
  <c r="H4073" i="1"/>
  <c r="I4073" i="1"/>
  <c r="J4073" i="1"/>
  <c r="L4073" i="1"/>
  <c r="M4073" i="1"/>
  <c r="C4074" i="1"/>
  <c r="E4074" i="1"/>
  <c r="F4074" i="1"/>
  <c r="H4074" i="1"/>
  <c r="I4074" i="1"/>
  <c r="J4074" i="1"/>
  <c r="L4074" i="1"/>
  <c r="M4074" i="1"/>
  <c r="C4075" i="1"/>
  <c r="E4075" i="1"/>
  <c r="F4075" i="1"/>
  <c r="H4075" i="1"/>
  <c r="I4075" i="1"/>
  <c r="J4075" i="1"/>
  <c r="L4075" i="1"/>
  <c r="M4075" i="1"/>
  <c r="C4076" i="1"/>
  <c r="E4076" i="1"/>
  <c r="F4076" i="1"/>
  <c r="H4076" i="1"/>
  <c r="I4076" i="1"/>
  <c r="J4076" i="1"/>
  <c r="L4076" i="1"/>
  <c r="M4076" i="1"/>
  <c r="C4077" i="1"/>
  <c r="E4077" i="1"/>
  <c r="F4077" i="1"/>
  <c r="H4077" i="1"/>
  <c r="I4077" i="1"/>
  <c r="J4077" i="1"/>
  <c r="L4077" i="1"/>
  <c r="M4077" i="1"/>
  <c r="C4078" i="1"/>
  <c r="E4078" i="1"/>
  <c r="F4078" i="1"/>
  <c r="H4078" i="1"/>
  <c r="I4078" i="1"/>
  <c r="J4078" i="1"/>
  <c r="L4078" i="1"/>
  <c r="M4078" i="1"/>
  <c r="C4079" i="1"/>
  <c r="E4079" i="1"/>
  <c r="F4079" i="1"/>
  <c r="H4079" i="1"/>
  <c r="I4079" i="1"/>
  <c r="J4079" i="1"/>
  <c r="L4079" i="1"/>
  <c r="M4079" i="1"/>
  <c r="C4080" i="1"/>
  <c r="E4080" i="1"/>
  <c r="F4080" i="1"/>
  <c r="H4080" i="1"/>
  <c r="I4080" i="1"/>
  <c r="J4080" i="1"/>
  <c r="L4080" i="1"/>
  <c r="M4080" i="1"/>
  <c r="C4081" i="1"/>
  <c r="E4081" i="1"/>
  <c r="F4081" i="1"/>
  <c r="H4081" i="1"/>
  <c r="I4081" i="1"/>
  <c r="J4081" i="1"/>
  <c r="L4081" i="1"/>
  <c r="M4081" i="1"/>
  <c r="C4082" i="1"/>
  <c r="E4082" i="1"/>
  <c r="F4082" i="1"/>
  <c r="H4082" i="1"/>
  <c r="I4082" i="1"/>
  <c r="J4082" i="1"/>
  <c r="L4082" i="1"/>
  <c r="M4082" i="1"/>
  <c r="C4083" i="1"/>
  <c r="E4083" i="1"/>
  <c r="F4083" i="1"/>
  <c r="H4083" i="1"/>
  <c r="I4083" i="1"/>
  <c r="J4083" i="1"/>
  <c r="L4083" i="1"/>
  <c r="M4083" i="1"/>
  <c r="C4084" i="1"/>
  <c r="E4084" i="1"/>
  <c r="F4084" i="1"/>
  <c r="H4084" i="1"/>
  <c r="I4084" i="1"/>
  <c r="J4084" i="1"/>
  <c r="L4084" i="1"/>
  <c r="M4084" i="1"/>
  <c r="C4085" i="1"/>
  <c r="E4085" i="1"/>
  <c r="F4085" i="1"/>
  <c r="H4085" i="1"/>
  <c r="I4085" i="1"/>
  <c r="J4085" i="1"/>
  <c r="L4085" i="1"/>
  <c r="M4085" i="1"/>
  <c r="C4086" i="1"/>
  <c r="E4086" i="1"/>
  <c r="F4086" i="1"/>
  <c r="H4086" i="1"/>
  <c r="I4086" i="1"/>
  <c r="J4086" i="1"/>
  <c r="L4086" i="1"/>
  <c r="M4086" i="1"/>
  <c r="C4087" i="1"/>
  <c r="E4087" i="1"/>
  <c r="F4087" i="1"/>
  <c r="H4087" i="1"/>
  <c r="I4087" i="1"/>
  <c r="J4087" i="1"/>
  <c r="L4087" i="1"/>
  <c r="M4087" i="1"/>
  <c r="C4088" i="1"/>
  <c r="E4088" i="1"/>
  <c r="F4088" i="1"/>
  <c r="H4088" i="1"/>
  <c r="I4088" i="1"/>
  <c r="J4088" i="1"/>
  <c r="L4088" i="1"/>
  <c r="M4088" i="1"/>
  <c r="C4089" i="1"/>
  <c r="E4089" i="1"/>
  <c r="F4089" i="1"/>
  <c r="H4089" i="1"/>
  <c r="I4089" i="1"/>
  <c r="J4089" i="1"/>
  <c r="L4089" i="1"/>
  <c r="M4089" i="1"/>
  <c r="C4090" i="1"/>
  <c r="E4090" i="1"/>
  <c r="F4090" i="1"/>
  <c r="H4090" i="1"/>
  <c r="I4090" i="1"/>
  <c r="J4090" i="1"/>
  <c r="L4090" i="1"/>
  <c r="M4090" i="1"/>
  <c r="C4091" i="1"/>
  <c r="E4091" i="1"/>
  <c r="F4091" i="1"/>
  <c r="H4091" i="1"/>
  <c r="I4091" i="1"/>
  <c r="J4091" i="1"/>
  <c r="L4091" i="1"/>
  <c r="M4091" i="1"/>
  <c r="C4092" i="1"/>
  <c r="E4092" i="1"/>
  <c r="F4092" i="1"/>
  <c r="H4092" i="1"/>
  <c r="I4092" i="1"/>
  <c r="J4092" i="1"/>
  <c r="L4092" i="1"/>
  <c r="M4092" i="1"/>
  <c r="C4093" i="1"/>
  <c r="E4093" i="1"/>
  <c r="F4093" i="1"/>
  <c r="H4093" i="1"/>
  <c r="I4093" i="1"/>
  <c r="J4093" i="1"/>
  <c r="L4093" i="1"/>
  <c r="M4093" i="1"/>
  <c r="C4094" i="1"/>
  <c r="E4094" i="1"/>
  <c r="F4094" i="1"/>
  <c r="H4094" i="1"/>
  <c r="I4094" i="1"/>
  <c r="J4094" i="1"/>
  <c r="L4094" i="1"/>
  <c r="M4094" i="1"/>
  <c r="C4095" i="1"/>
  <c r="E4095" i="1"/>
  <c r="F4095" i="1"/>
  <c r="H4095" i="1"/>
  <c r="I4095" i="1"/>
  <c r="J4095" i="1"/>
  <c r="L4095" i="1"/>
  <c r="M4095" i="1"/>
  <c r="C4096" i="1"/>
  <c r="E4096" i="1"/>
  <c r="F4096" i="1"/>
  <c r="H4096" i="1"/>
  <c r="I4096" i="1"/>
  <c r="J4096" i="1"/>
  <c r="L4096" i="1"/>
  <c r="M4096" i="1"/>
  <c r="C4097" i="1"/>
  <c r="E4097" i="1"/>
  <c r="F4097" i="1"/>
  <c r="H4097" i="1"/>
  <c r="I4097" i="1"/>
  <c r="J4097" i="1"/>
  <c r="L4097" i="1"/>
  <c r="M4097" i="1"/>
  <c r="C4098" i="1"/>
  <c r="E4098" i="1"/>
  <c r="F4098" i="1"/>
  <c r="H4098" i="1"/>
  <c r="I4098" i="1"/>
  <c r="J4098" i="1"/>
  <c r="L4098" i="1"/>
  <c r="M4098" i="1"/>
  <c r="C4099" i="1"/>
  <c r="E4099" i="1"/>
  <c r="F4099" i="1"/>
  <c r="H4099" i="1"/>
  <c r="I4099" i="1"/>
  <c r="J4099" i="1"/>
  <c r="L4099" i="1"/>
  <c r="M4099" i="1"/>
  <c r="C4100" i="1"/>
  <c r="E4100" i="1"/>
  <c r="F4100" i="1"/>
  <c r="H4100" i="1"/>
  <c r="I4100" i="1"/>
  <c r="J4100" i="1"/>
  <c r="L4100" i="1"/>
  <c r="M4100" i="1"/>
  <c r="C4101" i="1"/>
  <c r="E4101" i="1"/>
  <c r="F4101" i="1"/>
  <c r="H4101" i="1"/>
  <c r="I4101" i="1"/>
  <c r="J4101" i="1"/>
  <c r="L4101" i="1"/>
  <c r="M4101" i="1"/>
  <c r="C4102" i="1"/>
  <c r="E4102" i="1"/>
  <c r="F4102" i="1"/>
  <c r="H4102" i="1"/>
  <c r="I4102" i="1"/>
  <c r="J4102" i="1"/>
  <c r="L4102" i="1"/>
  <c r="M4102" i="1"/>
  <c r="C4103" i="1"/>
  <c r="E4103" i="1"/>
  <c r="F4103" i="1"/>
  <c r="H4103" i="1"/>
  <c r="I4103" i="1"/>
  <c r="J4103" i="1"/>
  <c r="L4103" i="1"/>
  <c r="M4103" i="1"/>
  <c r="C4104" i="1"/>
  <c r="E4104" i="1"/>
  <c r="F4104" i="1"/>
  <c r="H4104" i="1"/>
  <c r="I4104" i="1"/>
  <c r="J4104" i="1"/>
  <c r="L4104" i="1"/>
  <c r="M4104" i="1"/>
  <c r="C4105" i="1"/>
  <c r="E4105" i="1"/>
  <c r="F4105" i="1"/>
  <c r="H4105" i="1"/>
  <c r="I4105" i="1"/>
  <c r="J4105" i="1"/>
  <c r="L4105" i="1"/>
  <c r="M4105" i="1"/>
  <c r="C4106" i="1"/>
  <c r="E4106" i="1"/>
  <c r="F4106" i="1"/>
  <c r="H4106" i="1"/>
  <c r="I4106" i="1"/>
  <c r="J4106" i="1"/>
  <c r="L4106" i="1"/>
  <c r="M4106" i="1"/>
  <c r="C4107" i="1"/>
  <c r="E4107" i="1"/>
  <c r="F4107" i="1"/>
  <c r="H4107" i="1"/>
  <c r="I4107" i="1"/>
  <c r="J4107" i="1"/>
  <c r="L4107" i="1"/>
  <c r="M4107" i="1"/>
  <c r="C4108" i="1"/>
  <c r="E4108" i="1"/>
  <c r="F4108" i="1"/>
  <c r="H4108" i="1"/>
  <c r="I4108" i="1"/>
  <c r="J4108" i="1"/>
  <c r="L4108" i="1"/>
  <c r="M4108" i="1"/>
  <c r="C4109" i="1"/>
  <c r="E4109" i="1"/>
  <c r="F4109" i="1"/>
  <c r="H4109" i="1"/>
  <c r="I4109" i="1"/>
  <c r="J4109" i="1"/>
  <c r="L4109" i="1"/>
  <c r="M4109" i="1"/>
  <c r="C4110" i="1"/>
  <c r="E4110" i="1"/>
  <c r="F4110" i="1"/>
  <c r="H4110" i="1"/>
  <c r="I4110" i="1"/>
  <c r="J4110" i="1"/>
  <c r="L4110" i="1"/>
  <c r="M4110" i="1"/>
  <c r="C4111" i="1"/>
  <c r="E4111" i="1"/>
  <c r="F4111" i="1"/>
  <c r="H4111" i="1"/>
  <c r="I4111" i="1"/>
  <c r="J4111" i="1"/>
  <c r="L4111" i="1"/>
  <c r="M4111" i="1"/>
  <c r="C4112" i="1"/>
  <c r="E4112" i="1"/>
  <c r="F4112" i="1"/>
  <c r="H4112" i="1"/>
  <c r="I4112" i="1"/>
  <c r="J4112" i="1"/>
  <c r="L4112" i="1"/>
  <c r="M4112" i="1"/>
  <c r="C4113" i="1"/>
  <c r="E4113" i="1"/>
  <c r="F4113" i="1"/>
  <c r="H4113" i="1"/>
  <c r="I4113" i="1"/>
  <c r="J4113" i="1"/>
  <c r="L4113" i="1"/>
  <c r="M4113" i="1"/>
  <c r="C4114" i="1"/>
  <c r="E4114" i="1"/>
  <c r="F4114" i="1"/>
  <c r="H4114" i="1"/>
  <c r="I4114" i="1"/>
  <c r="J4114" i="1"/>
  <c r="L4114" i="1"/>
  <c r="M4114" i="1"/>
  <c r="C4115" i="1"/>
  <c r="E4115" i="1"/>
  <c r="F4115" i="1"/>
  <c r="H4115" i="1"/>
  <c r="I4115" i="1"/>
  <c r="J4115" i="1"/>
  <c r="L4115" i="1"/>
  <c r="M4115" i="1"/>
  <c r="C4116" i="1"/>
  <c r="E4116" i="1"/>
  <c r="F4116" i="1"/>
  <c r="H4116" i="1"/>
  <c r="I4116" i="1"/>
  <c r="J4116" i="1"/>
  <c r="L4116" i="1"/>
  <c r="M4116" i="1"/>
  <c r="C4117" i="1"/>
  <c r="E4117" i="1"/>
  <c r="F4117" i="1"/>
  <c r="H4117" i="1"/>
  <c r="I4117" i="1"/>
  <c r="J4117" i="1"/>
  <c r="L4117" i="1"/>
  <c r="M4117" i="1"/>
  <c r="C4118" i="1"/>
  <c r="E4118" i="1"/>
  <c r="F4118" i="1"/>
  <c r="H4118" i="1"/>
  <c r="I4118" i="1"/>
  <c r="J4118" i="1"/>
  <c r="L4118" i="1"/>
  <c r="M4118" i="1"/>
  <c r="C4119" i="1"/>
  <c r="E4119" i="1"/>
  <c r="F4119" i="1"/>
  <c r="H4119" i="1"/>
  <c r="I4119" i="1"/>
  <c r="J4119" i="1"/>
  <c r="L4119" i="1"/>
  <c r="M4119" i="1"/>
  <c r="C4120" i="1"/>
  <c r="E4120" i="1"/>
  <c r="F4120" i="1"/>
  <c r="H4120" i="1"/>
  <c r="I4120" i="1"/>
  <c r="J4120" i="1"/>
  <c r="L4120" i="1"/>
  <c r="M4120" i="1"/>
  <c r="C4121" i="1"/>
  <c r="E4121" i="1"/>
  <c r="F4121" i="1"/>
  <c r="H4121" i="1"/>
  <c r="I4121" i="1"/>
  <c r="J4121" i="1"/>
  <c r="L4121" i="1"/>
  <c r="M4121" i="1"/>
  <c r="C4122" i="1"/>
  <c r="E4122" i="1"/>
  <c r="F4122" i="1"/>
  <c r="H4122" i="1"/>
  <c r="I4122" i="1"/>
  <c r="J4122" i="1"/>
  <c r="L4122" i="1"/>
  <c r="M4122" i="1"/>
  <c r="C4123" i="1"/>
  <c r="E4123" i="1"/>
  <c r="F4123" i="1"/>
  <c r="H4123" i="1"/>
  <c r="I4123" i="1"/>
  <c r="J4123" i="1"/>
  <c r="L4123" i="1"/>
  <c r="M4123" i="1"/>
  <c r="C4124" i="1"/>
  <c r="E4124" i="1"/>
  <c r="F4124" i="1"/>
  <c r="H4124" i="1"/>
  <c r="I4124" i="1"/>
  <c r="J4124" i="1"/>
  <c r="L4124" i="1"/>
  <c r="M4124" i="1"/>
  <c r="C4125" i="1"/>
  <c r="E4125" i="1"/>
  <c r="F4125" i="1"/>
  <c r="H4125" i="1"/>
  <c r="I4125" i="1"/>
  <c r="J4125" i="1"/>
  <c r="L4125" i="1"/>
  <c r="M4125" i="1"/>
  <c r="C4126" i="1"/>
  <c r="E4126" i="1"/>
  <c r="F4126" i="1"/>
  <c r="H4126" i="1"/>
  <c r="I4126" i="1"/>
  <c r="J4126" i="1"/>
  <c r="L4126" i="1"/>
  <c r="M4126" i="1"/>
  <c r="C4127" i="1"/>
  <c r="E4127" i="1"/>
  <c r="F4127" i="1"/>
  <c r="H4127" i="1"/>
  <c r="I4127" i="1"/>
  <c r="J4127" i="1"/>
  <c r="L4127" i="1"/>
  <c r="M4127" i="1"/>
  <c r="C4128" i="1"/>
  <c r="E4128" i="1"/>
  <c r="F4128" i="1"/>
  <c r="H4128" i="1"/>
  <c r="I4128" i="1"/>
  <c r="J4128" i="1"/>
  <c r="L4128" i="1"/>
  <c r="M4128" i="1"/>
  <c r="C4129" i="1"/>
  <c r="E4129" i="1"/>
  <c r="F4129" i="1"/>
  <c r="H4129" i="1"/>
  <c r="I4129" i="1"/>
  <c r="J4129" i="1"/>
  <c r="L4129" i="1"/>
  <c r="M4129" i="1"/>
  <c r="C4130" i="1"/>
  <c r="E4130" i="1"/>
  <c r="F4130" i="1"/>
  <c r="H4130" i="1"/>
  <c r="I4130" i="1"/>
  <c r="J4130" i="1"/>
  <c r="L4130" i="1"/>
  <c r="M4130" i="1"/>
  <c r="C4131" i="1"/>
  <c r="E4131" i="1"/>
  <c r="F4131" i="1"/>
  <c r="H4131" i="1"/>
  <c r="I4131" i="1"/>
  <c r="J4131" i="1"/>
  <c r="L4131" i="1"/>
  <c r="M4131" i="1"/>
  <c r="C4132" i="1"/>
  <c r="E4132" i="1"/>
  <c r="F4132" i="1"/>
  <c r="H4132" i="1"/>
  <c r="I4132" i="1"/>
  <c r="J4132" i="1"/>
  <c r="L4132" i="1"/>
  <c r="M4132" i="1"/>
  <c r="C4133" i="1"/>
  <c r="E4133" i="1"/>
  <c r="F4133" i="1"/>
  <c r="H4133" i="1"/>
  <c r="I4133" i="1"/>
  <c r="J4133" i="1"/>
  <c r="L4133" i="1"/>
  <c r="M4133" i="1"/>
  <c r="C4134" i="1"/>
  <c r="E4134" i="1"/>
  <c r="F4134" i="1"/>
  <c r="H4134" i="1"/>
  <c r="I4134" i="1"/>
  <c r="J4134" i="1"/>
  <c r="L4134" i="1"/>
  <c r="M4134" i="1"/>
  <c r="C4135" i="1"/>
  <c r="E4135" i="1"/>
  <c r="F4135" i="1"/>
  <c r="H4135" i="1"/>
  <c r="I4135" i="1"/>
  <c r="J4135" i="1"/>
  <c r="L4135" i="1"/>
  <c r="M4135" i="1"/>
  <c r="C4136" i="1"/>
  <c r="E4136" i="1"/>
  <c r="F4136" i="1"/>
  <c r="H4136" i="1"/>
  <c r="I4136" i="1"/>
  <c r="J4136" i="1"/>
  <c r="L4136" i="1"/>
  <c r="M4136" i="1"/>
  <c r="C4137" i="1"/>
  <c r="E4137" i="1"/>
  <c r="F4137" i="1"/>
  <c r="H4137" i="1"/>
  <c r="I4137" i="1"/>
  <c r="J4137" i="1"/>
  <c r="L4137" i="1"/>
  <c r="M4137" i="1"/>
  <c r="C4138" i="1"/>
  <c r="E4138" i="1"/>
  <c r="F4138" i="1"/>
  <c r="H4138" i="1"/>
  <c r="I4138" i="1"/>
  <c r="J4138" i="1"/>
  <c r="L4138" i="1"/>
  <c r="M4138" i="1"/>
  <c r="C4139" i="1"/>
  <c r="E4139" i="1"/>
  <c r="F4139" i="1"/>
  <c r="H4139" i="1"/>
  <c r="I4139" i="1"/>
  <c r="J4139" i="1"/>
  <c r="L4139" i="1"/>
  <c r="M4139" i="1"/>
  <c r="C4140" i="1"/>
  <c r="E4140" i="1"/>
  <c r="F4140" i="1"/>
  <c r="H4140" i="1"/>
  <c r="I4140" i="1"/>
  <c r="J4140" i="1"/>
  <c r="L4140" i="1"/>
  <c r="M4140" i="1"/>
  <c r="C4141" i="1"/>
  <c r="E4141" i="1"/>
  <c r="F4141" i="1"/>
  <c r="H4141" i="1"/>
  <c r="I4141" i="1"/>
  <c r="J4141" i="1"/>
  <c r="L4141" i="1"/>
  <c r="M4141" i="1"/>
  <c r="C4142" i="1"/>
  <c r="E4142" i="1"/>
  <c r="F4142" i="1"/>
  <c r="H4142" i="1"/>
  <c r="I4142" i="1"/>
  <c r="J4142" i="1"/>
  <c r="L4142" i="1"/>
  <c r="M4142" i="1"/>
  <c r="C4143" i="1"/>
  <c r="E4143" i="1"/>
  <c r="F4143" i="1"/>
  <c r="H4143" i="1"/>
  <c r="I4143" i="1"/>
  <c r="J4143" i="1"/>
  <c r="L4143" i="1"/>
  <c r="M4143" i="1"/>
  <c r="C4144" i="1"/>
  <c r="E4144" i="1"/>
  <c r="F4144" i="1"/>
  <c r="H4144" i="1"/>
  <c r="I4144" i="1"/>
  <c r="J4144" i="1"/>
  <c r="L4144" i="1"/>
  <c r="M4144" i="1"/>
  <c r="C4145" i="1"/>
  <c r="E4145" i="1"/>
  <c r="F4145" i="1"/>
  <c r="H4145" i="1"/>
  <c r="I4145" i="1"/>
  <c r="J4145" i="1"/>
  <c r="L4145" i="1"/>
  <c r="M4145" i="1"/>
  <c r="C4146" i="1"/>
  <c r="E4146" i="1"/>
  <c r="F4146" i="1"/>
  <c r="H4146" i="1"/>
  <c r="I4146" i="1"/>
  <c r="J4146" i="1"/>
  <c r="L4146" i="1"/>
  <c r="M4146" i="1"/>
  <c r="C4147" i="1"/>
  <c r="E4147" i="1"/>
  <c r="F4147" i="1"/>
  <c r="H4147" i="1"/>
  <c r="I4147" i="1"/>
  <c r="J4147" i="1"/>
  <c r="L4147" i="1"/>
  <c r="M4147" i="1"/>
  <c r="C4148" i="1"/>
  <c r="E4148" i="1"/>
  <c r="F4148" i="1"/>
  <c r="H4148" i="1"/>
  <c r="I4148" i="1"/>
  <c r="J4148" i="1"/>
  <c r="L4148" i="1"/>
  <c r="M4148" i="1"/>
  <c r="C4149" i="1"/>
  <c r="E4149" i="1"/>
  <c r="F4149" i="1"/>
  <c r="H4149" i="1"/>
  <c r="I4149" i="1"/>
  <c r="J4149" i="1"/>
  <c r="L4149" i="1"/>
  <c r="M4149" i="1"/>
  <c r="C4150" i="1"/>
  <c r="E4150" i="1"/>
  <c r="F4150" i="1"/>
  <c r="H4150" i="1"/>
  <c r="I4150" i="1"/>
  <c r="J4150" i="1"/>
  <c r="L4150" i="1"/>
  <c r="M4150" i="1"/>
  <c r="C4151" i="1"/>
  <c r="E4151" i="1"/>
  <c r="F4151" i="1"/>
  <c r="H4151" i="1"/>
  <c r="I4151" i="1"/>
  <c r="J4151" i="1"/>
  <c r="L4151" i="1"/>
  <c r="M4151" i="1"/>
  <c r="C4152" i="1"/>
  <c r="E4152" i="1"/>
  <c r="F4152" i="1"/>
  <c r="H4152" i="1"/>
  <c r="I4152" i="1"/>
  <c r="J4152" i="1"/>
  <c r="L4152" i="1"/>
  <c r="M4152" i="1"/>
  <c r="C4153" i="1"/>
  <c r="E4153" i="1"/>
  <c r="F4153" i="1"/>
  <c r="H4153" i="1"/>
  <c r="I4153" i="1"/>
  <c r="J4153" i="1"/>
  <c r="L4153" i="1"/>
  <c r="M4153" i="1"/>
  <c r="C4154" i="1"/>
  <c r="E4154" i="1"/>
  <c r="F4154" i="1"/>
  <c r="H4154" i="1"/>
  <c r="I4154" i="1"/>
  <c r="J4154" i="1"/>
  <c r="L4154" i="1"/>
  <c r="M4154" i="1"/>
  <c r="C4155" i="1"/>
  <c r="E4155" i="1"/>
  <c r="F4155" i="1"/>
  <c r="H4155" i="1"/>
  <c r="I4155" i="1"/>
  <c r="J4155" i="1"/>
  <c r="L4155" i="1"/>
  <c r="M4155" i="1"/>
  <c r="C4156" i="1"/>
  <c r="E4156" i="1"/>
  <c r="F4156" i="1"/>
  <c r="H4156" i="1"/>
  <c r="I4156" i="1"/>
  <c r="J4156" i="1"/>
  <c r="L4156" i="1"/>
  <c r="M4156" i="1"/>
  <c r="C4157" i="1"/>
  <c r="E4157" i="1"/>
  <c r="F4157" i="1"/>
  <c r="H4157" i="1"/>
  <c r="I4157" i="1"/>
  <c r="J4157" i="1"/>
  <c r="L4157" i="1"/>
  <c r="M4157" i="1"/>
  <c r="C4158" i="1"/>
  <c r="E4158" i="1"/>
  <c r="F4158" i="1"/>
  <c r="H4158" i="1"/>
  <c r="I4158" i="1"/>
  <c r="J4158" i="1"/>
  <c r="L4158" i="1"/>
  <c r="M4158" i="1"/>
  <c r="C4159" i="1"/>
  <c r="E4159" i="1"/>
  <c r="F4159" i="1"/>
  <c r="H4159" i="1"/>
  <c r="I4159" i="1"/>
  <c r="J4159" i="1"/>
  <c r="L4159" i="1"/>
  <c r="M4159" i="1"/>
  <c r="C4160" i="1"/>
  <c r="E4160" i="1"/>
  <c r="F4160" i="1"/>
  <c r="H4160" i="1"/>
  <c r="I4160" i="1"/>
  <c r="J4160" i="1"/>
  <c r="L4160" i="1"/>
  <c r="M4160" i="1"/>
  <c r="C4161" i="1"/>
  <c r="E4161" i="1"/>
  <c r="F4161" i="1"/>
  <c r="H4161" i="1"/>
  <c r="I4161" i="1"/>
  <c r="J4161" i="1"/>
  <c r="L4161" i="1"/>
  <c r="M4161" i="1"/>
  <c r="C4162" i="1"/>
  <c r="E4162" i="1"/>
  <c r="F4162" i="1"/>
  <c r="H4162" i="1"/>
  <c r="I4162" i="1"/>
  <c r="J4162" i="1"/>
  <c r="L4162" i="1"/>
  <c r="M4162" i="1"/>
  <c r="C4163" i="1"/>
  <c r="E4163" i="1"/>
  <c r="F4163" i="1"/>
  <c r="H4163" i="1"/>
  <c r="I4163" i="1"/>
  <c r="J4163" i="1"/>
  <c r="L4163" i="1"/>
  <c r="M4163" i="1"/>
  <c r="C4164" i="1"/>
  <c r="E4164" i="1"/>
  <c r="F4164" i="1"/>
  <c r="H4164" i="1"/>
  <c r="I4164" i="1"/>
  <c r="J4164" i="1"/>
  <c r="L4164" i="1"/>
  <c r="M4164" i="1"/>
  <c r="C4165" i="1"/>
  <c r="E4165" i="1"/>
  <c r="F4165" i="1"/>
  <c r="H4165" i="1"/>
  <c r="I4165" i="1"/>
  <c r="J4165" i="1"/>
  <c r="L4165" i="1"/>
  <c r="M4165" i="1"/>
  <c r="C4166" i="1"/>
  <c r="E4166" i="1"/>
  <c r="F4166" i="1"/>
  <c r="H4166" i="1"/>
  <c r="I4166" i="1"/>
  <c r="J4166" i="1"/>
  <c r="L4166" i="1"/>
  <c r="M4166" i="1"/>
  <c r="C4167" i="1"/>
  <c r="E4167" i="1"/>
  <c r="F4167" i="1"/>
  <c r="H4167" i="1"/>
  <c r="I4167" i="1"/>
  <c r="J4167" i="1"/>
  <c r="L4167" i="1"/>
  <c r="M4167" i="1"/>
  <c r="C4168" i="1"/>
  <c r="E4168" i="1"/>
  <c r="F4168" i="1"/>
  <c r="H4168" i="1"/>
  <c r="I4168" i="1"/>
  <c r="J4168" i="1"/>
  <c r="L4168" i="1"/>
  <c r="M4168" i="1"/>
  <c r="C4169" i="1"/>
  <c r="E4169" i="1"/>
  <c r="F4169" i="1"/>
  <c r="H4169" i="1"/>
  <c r="I4169" i="1"/>
  <c r="J4169" i="1"/>
  <c r="L4169" i="1"/>
  <c r="M4169" i="1"/>
  <c r="C4170" i="1"/>
  <c r="E4170" i="1"/>
  <c r="F4170" i="1"/>
  <c r="H4170" i="1"/>
  <c r="I4170" i="1"/>
  <c r="J4170" i="1"/>
  <c r="L4170" i="1"/>
  <c r="M4170" i="1"/>
  <c r="C4171" i="1"/>
  <c r="E4171" i="1"/>
  <c r="F4171" i="1"/>
  <c r="H4171" i="1"/>
  <c r="I4171" i="1"/>
  <c r="J4171" i="1"/>
  <c r="L4171" i="1"/>
  <c r="M4171" i="1"/>
  <c r="C4172" i="1"/>
  <c r="E4172" i="1"/>
  <c r="F4172" i="1"/>
  <c r="H4172" i="1"/>
  <c r="I4172" i="1"/>
  <c r="J4172" i="1"/>
  <c r="L4172" i="1"/>
  <c r="M4172" i="1"/>
  <c r="C4173" i="1"/>
  <c r="E4173" i="1"/>
  <c r="F4173" i="1"/>
  <c r="H4173" i="1"/>
  <c r="I4173" i="1"/>
  <c r="J4173" i="1"/>
  <c r="L4173" i="1"/>
  <c r="M4173" i="1"/>
  <c r="C4174" i="1"/>
  <c r="E4174" i="1"/>
  <c r="F4174" i="1"/>
  <c r="H4174" i="1"/>
  <c r="I4174" i="1"/>
  <c r="J4174" i="1"/>
  <c r="L4174" i="1"/>
  <c r="M4174" i="1"/>
  <c r="C4175" i="1"/>
  <c r="E4175" i="1"/>
  <c r="F4175" i="1"/>
  <c r="H4175" i="1"/>
  <c r="I4175" i="1"/>
  <c r="J4175" i="1"/>
  <c r="L4175" i="1"/>
  <c r="M4175" i="1"/>
  <c r="C4176" i="1"/>
  <c r="E4176" i="1"/>
  <c r="F4176" i="1"/>
  <c r="H4176" i="1"/>
  <c r="I4176" i="1"/>
  <c r="J4176" i="1"/>
  <c r="L4176" i="1"/>
  <c r="M4176" i="1"/>
  <c r="C4177" i="1"/>
  <c r="E4177" i="1"/>
  <c r="F4177" i="1"/>
  <c r="H4177" i="1"/>
  <c r="I4177" i="1"/>
  <c r="J4177" i="1"/>
  <c r="L4177" i="1"/>
  <c r="M4177" i="1"/>
  <c r="C4178" i="1"/>
  <c r="E4178" i="1"/>
  <c r="F4178" i="1"/>
  <c r="H4178" i="1"/>
  <c r="I4178" i="1"/>
  <c r="J4178" i="1"/>
  <c r="L4178" i="1"/>
  <c r="M4178" i="1"/>
  <c r="C4179" i="1"/>
  <c r="E4179" i="1"/>
  <c r="F4179" i="1"/>
  <c r="H4179" i="1"/>
  <c r="I4179" i="1"/>
  <c r="J4179" i="1"/>
  <c r="L4179" i="1"/>
  <c r="M4179" i="1"/>
  <c r="C4180" i="1"/>
  <c r="E4180" i="1"/>
  <c r="F4180" i="1"/>
  <c r="H4180" i="1"/>
  <c r="I4180" i="1"/>
  <c r="J4180" i="1"/>
  <c r="L4180" i="1"/>
  <c r="M4180" i="1"/>
  <c r="C4181" i="1"/>
  <c r="E4181" i="1"/>
  <c r="F4181" i="1"/>
  <c r="H4181" i="1"/>
  <c r="I4181" i="1"/>
  <c r="J4181" i="1"/>
  <c r="L4181" i="1"/>
  <c r="M4181" i="1"/>
  <c r="C4182" i="1"/>
  <c r="E4182" i="1"/>
  <c r="F4182" i="1"/>
  <c r="H4182" i="1"/>
  <c r="I4182" i="1"/>
  <c r="J4182" i="1"/>
  <c r="L4182" i="1"/>
  <c r="M4182" i="1"/>
  <c r="C4183" i="1"/>
  <c r="E4183" i="1"/>
  <c r="F4183" i="1"/>
  <c r="H4183" i="1"/>
  <c r="I4183" i="1"/>
  <c r="J4183" i="1"/>
  <c r="L4183" i="1"/>
  <c r="M4183" i="1"/>
  <c r="C4184" i="1"/>
  <c r="E4184" i="1"/>
  <c r="F4184" i="1"/>
  <c r="H4184" i="1"/>
  <c r="I4184" i="1"/>
  <c r="J4184" i="1"/>
  <c r="L4184" i="1"/>
  <c r="M4184" i="1"/>
  <c r="C4185" i="1"/>
  <c r="E4185" i="1"/>
  <c r="F4185" i="1"/>
  <c r="H4185" i="1"/>
  <c r="I4185" i="1"/>
  <c r="J4185" i="1"/>
  <c r="L4185" i="1"/>
  <c r="M4185" i="1"/>
  <c r="C4186" i="1"/>
  <c r="E4186" i="1"/>
  <c r="F4186" i="1"/>
  <c r="H4186" i="1"/>
  <c r="I4186" i="1"/>
  <c r="J4186" i="1"/>
  <c r="L4186" i="1"/>
  <c r="M4186" i="1"/>
  <c r="C4187" i="1"/>
  <c r="E4187" i="1"/>
  <c r="F4187" i="1"/>
  <c r="H4187" i="1"/>
  <c r="I4187" i="1"/>
  <c r="J4187" i="1"/>
  <c r="L4187" i="1"/>
  <c r="M4187" i="1"/>
  <c r="C4188" i="1"/>
  <c r="E4188" i="1"/>
  <c r="F4188" i="1"/>
  <c r="H4188" i="1"/>
  <c r="I4188" i="1"/>
  <c r="J4188" i="1"/>
  <c r="L4188" i="1"/>
  <c r="M4188" i="1"/>
  <c r="C4189" i="1"/>
  <c r="E4189" i="1"/>
  <c r="F4189" i="1"/>
  <c r="H4189" i="1"/>
  <c r="I4189" i="1"/>
  <c r="J4189" i="1"/>
  <c r="L4189" i="1"/>
  <c r="M4189" i="1"/>
  <c r="C4190" i="1"/>
  <c r="E4190" i="1"/>
  <c r="F4190" i="1"/>
  <c r="H4190" i="1"/>
  <c r="I4190" i="1"/>
  <c r="J4190" i="1"/>
  <c r="L4190" i="1"/>
  <c r="M4190" i="1"/>
  <c r="C4191" i="1"/>
  <c r="E4191" i="1"/>
  <c r="F4191" i="1"/>
  <c r="H4191" i="1"/>
  <c r="I4191" i="1"/>
  <c r="J4191" i="1"/>
  <c r="L4191" i="1"/>
  <c r="M4191" i="1"/>
  <c r="C4192" i="1"/>
  <c r="E4192" i="1"/>
  <c r="F4192" i="1"/>
  <c r="H4192" i="1"/>
  <c r="I4192" i="1"/>
  <c r="J4192" i="1"/>
  <c r="L4192" i="1"/>
  <c r="M4192" i="1"/>
  <c r="C4193" i="1"/>
  <c r="E4193" i="1"/>
  <c r="F4193" i="1"/>
  <c r="H4193" i="1"/>
  <c r="I4193" i="1"/>
  <c r="J4193" i="1"/>
  <c r="L4193" i="1"/>
  <c r="M4193" i="1"/>
  <c r="C4194" i="1"/>
  <c r="E4194" i="1"/>
  <c r="F4194" i="1"/>
  <c r="H4194" i="1"/>
  <c r="I4194" i="1"/>
  <c r="J4194" i="1"/>
  <c r="L4194" i="1"/>
  <c r="M4194" i="1"/>
  <c r="C4195" i="1"/>
  <c r="E4195" i="1"/>
  <c r="F4195" i="1"/>
  <c r="H4195" i="1"/>
  <c r="I4195" i="1"/>
  <c r="J4195" i="1"/>
  <c r="L4195" i="1"/>
  <c r="M4195" i="1"/>
  <c r="C4196" i="1"/>
  <c r="E4196" i="1"/>
  <c r="F4196" i="1"/>
  <c r="H4196" i="1"/>
  <c r="I4196" i="1"/>
  <c r="J4196" i="1"/>
  <c r="L4196" i="1"/>
  <c r="M4196" i="1"/>
  <c r="C4197" i="1"/>
  <c r="E4197" i="1"/>
  <c r="F4197" i="1"/>
  <c r="H4197" i="1"/>
  <c r="I4197" i="1"/>
  <c r="J4197" i="1"/>
  <c r="L4197" i="1"/>
  <c r="M4197" i="1"/>
  <c r="C4198" i="1"/>
  <c r="E4198" i="1"/>
  <c r="F4198" i="1"/>
  <c r="H4198" i="1"/>
  <c r="I4198" i="1"/>
  <c r="J4198" i="1"/>
  <c r="L4198" i="1"/>
  <c r="M4198" i="1"/>
  <c r="C4199" i="1"/>
  <c r="E4199" i="1"/>
  <c r="F4199" i="1"/>
  <c r="H4199" i="1"/>
  <c r="I4199" i="1"/>
  <c r="J4199" i="1"/>
  <c r="L4199" i="1"/>
  <c r="M4199" i="1"/>
  <c r="C4200" i="1"/>
  <c r="E4200" i="1"/>
  <c r="F4200" i="1"/>
  <c r="H4200" i="1"/>
  <c r="I4200" i="1"/>
  <c r="J4200" i="1"/>
  <c r="L4200" i="1"/>
  <c r="M4200" i="1"/>
  <c r="C4201" i="1"/>
  <c r="E4201" i="1"/>
  <c r="F4201" i="1"/>
  <c r="H4201" i="1"/>
  <c r="I4201" i="1"/>
  <c r="J4201" i="1"/>
  <c r="L4201" i="1"/>
  <c r="M4201" i="1"/>
  <c r="C4202" i="1"/>
  <c r="E4202" i="1"/>
  <c r="F4202" i="1"/>
  <c r="H4202" i="1"/>
  <c r="I4202" i="1"/>
  <c r="J4202" i="1"/>
  <c r="L4202" i="1"/>
  <c r="M4202" i="1"/>
  <c r="C4203" i="1"/>
  <c r="E4203" i="1"/>
  <c r="F4203" i="1"/>
  <c r="H4203" i="1"/>
  <c r="I4203" i="1"/>
  <c r="J4203" i="1"/>
  <c r="L4203" i="1"/>
  <c r="M4203" i="1"/>
  <c r="C4204" i="1"/>
  <c r="E4204" i="1"/>
  <c r="F4204" i="1"/>
  <c r="H4204" i="1"/>
  <c r="I4204" i="1"/>
  <c r="J4204" i="1"/>
  <c r="L4204" i="1"/>
  <c r="M4204" i="1"/>
  <c r="C4205" i="1"/>
  <c r="E4205" i="1"/>
  <c r="F4205" i="1"/>
  <c r="H4205" i="1"/>
  <c r="I4205" i="1"/>
  <c r="J4205" i="1"/>
  <c r="L4205" i="1"/>
  <c r="M4205" i="1"/>
  <c r="C4206" i="1"/>
  <c r="E4206" i="1"/>
  <c r="F4206" i="1"/>
  <c r="H4206" i="1"/>
  <c r="I4206" i="1"/>
  <c r="J4206" i="1"/>
  <c r="L4206" i="1"/>
  <c r="M4206" i="1"/>
  <c r="C4207" i="1"/>
  <c r="E4207" i="1"/>
  <c r="F4207" i="1"/>
  <c r="H4207" i="1"/>
  <c r="I4207" i="1"/>
  <c r="J4207" i="1"/>
  <c r="L4207" i="1"/>
  <c r="M4207" i="1"/>
  <c r="C4208" i="1"/>
  <c r="E4208" i="1"/>
  <c r="F4208" i="1"/>
  <c r="H4208" i="1"/>
  <c r="I4208" i="1"/>
  <c r="J4208" i="1"/>
  <c r="L4208" i="1"/>
  <c r="M4208" i="1"/>
  <c r="C4209" i="1"/>
  <c r="E4209" i="1"/>
  <c r="F4209" i="1"/>
  <c r="H4209" i="1"/>
  <c r="I4209" i="1"/>
  <c r="J4209" i="1"/>
  <c r="L4209" i="1"/>
  <c r="M4209" i="1"/>
  <c r="C4210" i="1"/>
  <c r="E4210" i="1"/>
  <c r="F4210" i="1"/>
  <c r="H4210" i="1"/>
  <c r="I4210" i="1"/>
  <c r="J4210" i="1"/>
  <c r="L4210" i="1"/>
  <c r="M4210" i="1"/>
  <c r="C4211" i="1"/>
  <c r="E4211" i="1"/>
  <c r="F4211" i="1"/>
  <c r="H4211" i="1"/>
  <c r="I4211" i="1"/>
  <c r="J4211" i="1"/>
  <c r="L4211" i="1"/>
  <c r="M4211" i="1"/>
  <c r="C4212" i="1"/>
  <c r="E4212" i="1"/>
  <c r="F4212" i="1"/>
  <c r="H4212" i="1"/>
  <c r="I4212" i="1"/>
  <c r="J4212" i="1"/>
  <c r="L4212" i="1"/>
  <c r="M4212" i="1"/>
  <c r="C4213" i="1"/>
  <c r="E4213" i="1"/>
  <c r="F4213" i="1"/>
  <c r="H4213" i="1"/>
  <c r="I4213" i="1"/>
  <c r="J4213" i="1"/>
  <c r="L4213" i="1"/>
  <c r="M4213" i="1"/>
  <c r="C4214" i="1"/>
  <c r="E4214" i="1"/>
  <c r="F4214" i="1"/>
  <c r="H4214" i="1"/>
  <c r="I4214" i="1"/>
  <c r="J4214" i="1"/>
  <c r="L4214" i="1"/>
  <c r="M4214" i="1"/>
  <c r="C4215" i="1"/>
  <c r="E4215" i="1"/>
  <c r="F4215" i="1"/>
  <c r="H4215" i="1"/>
  <c r="I4215" i="1"/>
  <c r="J4215" i="1"/>
  <c r="L4215" i="1"/>
  <c r="M4215" i="1"/>
  <c r="C4216" i="1"/>
  <c r="E4216" i="1"/>
  <c r="F4216" i="1"/>
  <c r="H4216" i="1"/>
  <c r="I4216" i="1"/>
  <c r="J4216" i="1"/>
  <c r="L4216" i="1"/>
  <c r="M4216" i="1"/>
  <c r="C4217" i="1"/>
  <c r="E4217" i="1"/>
  <c r="F4217" i="1"/>
  <c r="H4217" i="1"/>
  <c r="I4217" i="1"/>
  <c r="J4217" i="1"/>
  <c r="L4217" i="1"/>
  <c r="M4217" i="1"/>
  <c r="C4218" i="1"/>
  <c r="E4218" i="1"/>
  <c r="F4218" i="1"/>
  <c r="H4218" i="1"/>
  <c r="I4218" i="1"/>
  <c r="J4218" i="1"/>
  <c r="L4218" i="1"/>
  <c r="M4218" i="1"/>
  <c r="C4219" i="1"/>
  <c r="E4219" i="1"/>
  <c r="F4219" i="1"/>
  <c r="H4219" i="1"/>
  <c r="I4219" i="1"/>
  <c r="J4219" i="1"/>
  <c r="L4219" i="1"/>
  <c r="M4219" i="1"/>
  <c r="C4220" i="1"/>
  <c r="E4220" i="1"/>
  <c r="F4220" i="1"/>
  <c r="H4220" i="1"/>
  <c r="I4220" i="1"/>
  <c r="J4220" i="1"/>
  <c r="L4220" i="1"/>
  <c r="M4220" i="1"/>
  <c r="C4221" i="1"/>
  <c r="E4221" i="1"/>
  <c r="F4221" i="1"/>
  <c r="H4221" i="1"/>
  <c r="I4221" i="1"/>
  <c r="J4221" i="1"/>
  <c r="L4221" i="1"/>
  <c r="M4221" i="1"/>
  <c r="C4222" i="1"/>
  <c r="E4222" i="1"/>
  <c r="F4222" i="1"/>
  <c r="H4222" i="1"/>
  <c r="I4222" i="1"/>
  <c r="J4222" i="1"/>
  <c r="L4222" i="1"/>
  <c r="M4222" i="1"/>
  <c r="C4223" i="1"/>
  <c r="E4223" i="1"/>
  <c r="F4223" i="1"/>
  <c r="H4223" i="1"/>
  <c r="I4223" i="1"/>
  <c r="J4223" i="1"/>
  <c r="L4223" i="1"/>
  <c r="M4223" i="1"/>
  <c r="C4224" i="1"/>
  <c r="E4224" i="1"/>
  <c r="F4224" i="1"/>
  <c r="H4224" i="1"/>
  <c r="I4224" i="1"/>
  <c r="J4224" i="1"/>
  <c r="L4224" i="1"/>
  <c r="M4224" i="1"/>
  <c r="C4225" i="1"/>
  <c r="E4225" i="1"/>
  <c r="F4225" i="1"/>
  <c r="H4225" i="1"/>
  <c r="I4225" i="1"/>
  <c r="J4225" i="1"/>
  <c r="L4225" i="1"/>
  <c r="M4225" i="1"/>
  <c r="C4226" i="1"/>
  <c r="E4226" i="1"/>
  <c r="F4226" i="1"/>
  <c r="H4226" i="1"/>
  <c r="I4226" i="1"/>
  <c r="J4226" i="1"/>
  <c r="L4226" i="1"/>
  <c r="M4226" i="1"/>
  <c r="C4227" i="1"/>
  <c r="E4227" i="1"/>
  <c r="F4227" i="1"/>
  <c r="H4227" i="1"/>
  <c r="I4227" i="1"/>
  <c r="J4227" i="1"/>
  <c r="L4227" i="1"/>
  <c r="M4227" i="1"/>
  <c r="C4228" i="1"/>
  <c r="E4228" i="1"/>
  <c r="F4228" i="1"/>
  <c r="H4228" i="1"/>
  <c r="I4228" i="1"/>
  <c r="J4228" i="1"/>
  <c r="L4228" i="1"/>
  <c r="M4228" i="1"/>
  <c r="C4229" i="1"/>
  <c r="E4229" i="1"/>
  <c r="F4229" i="1"/>
  <c r="H4229" i="1"/>
  <c r="I4229" i="1"/>
  <c r="J4229" i="1"/>
  <c r="L4229" i="1"/>
  <c r="M4229" i="1"/>
  <c r="C4230" i="1"/>
  <c r="E4230" i="1"/>
  <c r="F4230" i="1"/>
  <c r="H4230" i="1"/>
  <c r="I4230" i="1"/>
  <c r="J4230" i="1"/>
  <c r="L4230" i="1"/>
  <c r="M4230" i="1"/>
  <c r="C4231" i="1"/>
  <c r="E4231" i="1"/>
  <c r="F4231" i="1"/>
  <c r="H4231" i="1"/>
  <c r="I4231" i="1"/>
  <c r="J4231" i="1"/>
  <c r="L4231" i="1"/>
  <c r="M4231" i="1"/>
  <c r="C4232" i="1"/>
  <c r="E4232" i="1"/>
  <c r="F4232" i="1"/>
  <c r="H4232" i="1"/>
  <c r="I4232" i="1"/>
  <c r="J4232" i="1"/>
  <c r="L4232" i="1"/>
  <c r="M4232" i="1"/>
  <c r="C4233" i="1"/>
  <c r="E4233" i="1"/>
  <c r="F4233" i="1"/>
  <c r="H4233" i="1"/>
  <c r="I4233" i="1"/>
  <c r="J4233" i="1"/>
  <c r="L4233" i="1"/>
  <c r="M4233" i="1"/>
  <c r="C4234" i="1"/>
  <c r="E4234" i="1"/>
  <c r="F4234" i="1"/>
  <c r="H4234" i="1"/>
  <c r="I4234" i="1"/>
  <c r="J4234" i="1"/>
  <c r="L4234" i="1"/>
  <c r="M4234" i="1"/>
  <c r="C4235" i="1"/>
  <c r="E4235" i="1"/>
  <c r="F4235" i="1"/>
  <c r="H4235" i="1"/>
  <c r="I4235" i="1"/>
  <c r="J4235" i="1"/>
  <c r="L4235" i="1"/>
  <c r="M4235" i="1"/>
  <c r="C4236" i="1"/>
  <c r="E4236" i="1"/>
  <c r="F4236" i="1"/>
  <c r="H4236" i="1"/>
  <c r="I4236" i="1"/>
  <c r="J4236" i="1"/>
  <c r="L4236" i="1"/>
  <c r="M4236" i="1"/>
  <c r="C4237" i="1"/>
  <c r="E4237" i="1"/>
  <c r="F4237" i="1"/>
  <c r="H4237" i="1"/>
  <c r="I4237" i="1"/>
  <c r="J4237" i="1"/>
  <c r="L4237" i="1"/>
  <c r="M4237" i="1"/>
  <c r="C4238" i="1"/>
  <c r="E4238" i="1"/>
  <c r="F4238" i="1"/>
  <c r="H4238" i="1"/>
  <c r="I4238" i="1"/>
  <c r="J4238" i="1"/>
  <c r="L4238" i="1"/>
  <c r="M4238" i="1"/>
  <c r="C4239" i="1"/>
  <c r="E4239" i="1"/>
  <c r="F4239" i="1"/>
  <c r="H4239" i="1"/>
  <c r="I4239" i="1"/>
  <c r="J4239" i="1"/>
  <c r="L4239" i="1"/>
  <c r="M4239" i="1"/>
  <c r="C4240" i="1"/>
  <c r="E4240" i="1"/>
  <c r="F4240" i="1"/>
  <c r="H4240" i="1"/>
  <c r="I4240" i="1"/>
  <c r="J4240" i="1"/>
  <c r="L4240" i="1"/>
  <c r="M4240" i="1"/>
  <c r="C4241" i="1"/>
  <c r="E4241" i="1"/>
  <c r="F4241" i="1"/>
  <c r="H4241" i="1"/>
  <c r="I4241" i="1"/>
  <c r="J4241" i="1"/>
  <c r="L4241" i="1"/>
  <c r="M4241" i="1"/>
  <c r="C4242" i="1"/>
  <c r="E4242" i="1"/>
  <c r="F4242" i="1"/>
  <c r="H4242" i="1"/>
  <c r="I4242" i="1"/>
  <c r="J4242" i="1"/>
  <c r="L4242" i="1"/>
  <c r="M4242" i="1"/>
  <c r="C4243" i="1"/>
  <c r="E4243" i="1"/>
  <c r="F4243" i="1"/>
  <c r="H4243" i="1"/>
  <c r="I4243" i="1"/>
  <c r="J4243" i="1"/>
  <c r="L4243" i="1"/>
  <c r="M4243" i="1"/>
  <c r="C4244" i="1"/>
  <c r="E4244" i="1"/>
  <c r="F4244" i="1"/>
  <c r="H4244" i="1"/>
  <c r="I4244" i="1"/>
  <c r="J4244" i="1"/>
  <c r="L4244" i="1"/>
  <c r="M4244" i="1"/>
  <c r="C4245" i="1"/>
  <c r="E4245" i="1"/>
  <c r="F4245" i="1"/>
  <c r="H4245" i="1"/>
  <c r="I4245" i="1"/>
  <c r="J4245" i="1"/>
  <c r="L4245" i="1"/>
  <c r="M4245" i="1"/>
  <c r="C4246" i="1"/>
  <c r="E4246" i="1"/>
  <c r="F4246" i="1"/>
  <c r="H4246" i="1"/>
  <c r="I4246" i="1"/>
  <c r="J4246" i="1"/>
  <c r="L4246" i="1"/>
  <c r="M4246" i="1"/>
  <c r="C4247" i="1"/>
  <c r="E4247" i="1"/>
  <c r="F4247" i="1"/>
  <c r="H4247" i="1"/>
  <c r="I4247" i="1"/>
  <c r="J4247" i="1"/>
  <c r="L4247" i="1"/>
  <c r="M4247" i="1"/>
  <c r="C4248" i="1"/>
  <c r="E4248" i="1"/>
  <c r="F4248" i="1"/>
  <c r="H4248" i="1"/>
  <c r="I4248" i="1"/>
  <c r="J4248" i="1"/>
  <c r="L4248" i="1"/>
  <c r="M4248" i="1"/>
  <c r="C4249" i="1"/>
  <c r="E4249" i="1"/>
  <c r="F4249" i="1"/>
  <c r="H4249" i="1"/>
  <c r="I4249" i="1"/>
  <c r="J4249" i="1"/>
  <c r="L4249" i="1"/>
  <c r="M4249" i="1"/>
  <c r="C4250" i="1"/>
  <c r="E4250" i="1"/>
  <c r="F4250" i="1"/>
  <c r="H4250" i="1"/>
  <c r="I4250" i="1"/>
  <c r="J4250" i="1"/>
  <c r="L4250" i="1"/>
  <c r="M4250" i="1"/>
  <c r="C4251" i="1"/>
  <c r="E4251" i="1"/>
  <c r="F4251" i="1"/>
  <c r="H4251" i="1"/>
  <c r="I4251" i="1"/>
  <c r="J4251" i="1"/>
  <c r="L4251" i="1"/>
  <c r="M4251" i="1"/>
  <c r="C4252" i="1"/>
  <c r="E4252" i="1"/>
  <c r="F4252" i="1"/>
  <c r="H4252" i="1"/>
  <c r="I4252" i="1"/>
  <c r="J4252" i="1"/>
  <c r="L4252" i="1"/>
  <c r="M4252" i="1"/>
  <c r="C4253" i="1"/>
  <c r="E4253" i="1"/>
  <c r="F4253" i="1"/>
  <c r="H4253" i="1"/>
  <c r="I4253" i="1"/>
  <c r="J4253" i="1"/>
  <c r="L4253" i="1"/>
  <c r="M4253" i="1"/>
  <c r="C4254" i="1"/>
  <c r="E4254" i="1"/>
  <c r="F4254" i="1"/>
  <c r="H4254" i="1"/>
  <c r="I4254" i="1"/>
  <c r="J4254" i="1"/>
  <c r="L4254" i="1"/>
  <c r="M4254" i="1"/>
  <c r="C4255" i="1"/>
  <c r="E4255" i="1"/>
  <c r="F4255" i="1"/>
  <c r="H4255" i="1"/>
  <c r="I4255" i="1"/>
  <c r="J4255" i="1"/>
  <c r="L4255" i="1"/>
  <c r="M4255" i="1"/>
  <c r="C4256" i="1"/>
  <c r="E4256" i="1"/>
  <c r="F4256" i="1"/>
  <c r="H4256" i="1"/>
  <c r="I4256" i="1"/>
  <c r="J4256" i="1"/>
  <c r="L4256" i="1"/>
  <c r="M4256" i="1"/>
  <c r="C4257" i="1"/>
  <c r="E4257" i="1"/>
  <c r="F4257" i="1"/>
  <c r="H4257" i="1"/>
  <c r="I4257" i="1"/>
  <c r="J4257" i="1"/>
  <c r="L4257" i="1"/>
  <c r="M4257" i="1"/>
  <c r="C4258" i="1"/>
  <c r="E4258" i="1"/>
  <c r="F4258" i="1"/>
  <c r="H4258" i="1"/>
  <c r="I4258" i="1"/>
  <c r="J4258" i="1"/>
  <c r="L4258" i="1"/>
  <c r="M4258" i="1"/>
  <c r="C4259" i="1"/>
  <c r="E4259" i="1"/>
  <c r="F4259" i="1"/>
  <c r="H4259" i="1"/>
  <c r="I4259" i="1"/>
  <c r="J4259" i="1"/>
  <c r="L4259" i="1"/>
  <c r="M4259" i="1"/>
  <c r="C4260" i="1"/>
  <c r="E4260" i="1"/>
  <c r="F4260" i="1"/>
  <c r="H4260" i="1"/>
  <c r="I4260" i="1"/>
  <c r="J4260" i="1"/>
  <c r="L4260" i="1"/>
  <c r="M4260" i="1"/>
  <c r="C4261" i="1"/>
  <c r="E4261" i="1"/>
  <c r="F4261" i="1"/>
  <c r="H4261" i="1"/>
  <c r="I4261" i="1"/>
  <c r="J4261" i="1"/>
  <c r="L4261" i="1"/>
  <c r="M4261" i="1"/>
  <c r="C4262" i="1"/>
  <c r="E4262" i="1"/>
  <c r="F4262" i="1"/>
  <c r="H4262" i="1"/>
  <c r="I4262" i="1"/>
  <c r="J4262" i="1"/>
  <c r="L4262" i="1"/>
  <c r="M4262" i="1"/>
  <c r="C4263" i="1"/>
  <c r="E4263" i="1"/>
  <c r="F4263" i="1"/>
  <c r="H4263" i="1"/>
  <c r="I4263" i="1"/>
  <c r="J4263" i="1"/>
  <c r="L4263" i="1"/>
  <c r="M4263" i="1"/>
  <c r="C4264" i="1"/>
  <c r="E4264" i="1"/>
  <c r="F4264" i="1"/>
  <c r="H4264" i="1"/>
  <c r="I4264" i="1"/>
  <c r="J4264" i="1"/>
  <c r="L4264" i="1"/>
  <c r="M4264" i="1"/>
  <c r="C4265" i="1"/>
  <c r="E4265" i="1"/>
  <c r="F4265" i="1"/>
  <c r="H4265" i="1"/>
  <c r="I4265" i="1"/>
  <c r="J4265" i="1"/>
  <c r="L4265" i="1"/>
  <c r="M4265" i="1"/>
  <c r="C4266" i="1"/>
  <c r="E4266" i="1"/>
  <c r="F4266" i="1"/>
  <c r="H4266" i="1"/>
  <c r="I4266" i="1"/>
  <c r="J4266" i="1"/>
  <c r="L4266" i="1"/>
  <c r="M4266" i="1"/>
  <c r="C4267" i="1"/>
  <c r="E4267" i="1"/>
  <c r="F4267" i="1"/>
  <c r="H4267" i="1"/>
  <c r="I4267" i="1"/>
  <c r="J4267" i="1"/>
  <c r="L4267" i="1"/>
  <c r="M4267" i="1"/>
  <c r="C4268" i="1"/>
  <c r="E4268" i="1"/>
  <c r="F4268" i="1"/>
  <c r="H4268" i="1"/>
  <c r="I4268" i="1"/>
  <c r="J4268" i="1"/>
  <c r="L4268" i="1"/>
  <c r="M4268" i="1"/>
  <c r="C4269" i="1"/>
  <c r="E4269" i="1"/>
  <c r="F4269" i="1"/>
  <c r="H4269" i="1"/>
  <c r="I4269" i="1"/>
  <c r="J4269" i="1"/>
  <c r="L4269" i="1"/>
  <c r="M4269" i="1"/>
  <c r="C4270" i="1"/>
  <c r="E4270" i="1"/>
  <c r="F4270" i="1"/>
  <c r="H4270" i="1"/>
  <c r="I4270" i="1"/>
  <c r="J4270" i="1"/>
  <c r="L4270" i="1"/>
  <c r="M4270" i="1"/>
  <c r="C4271" i="1"/>
  <c r="E4271" i="1"/>
  <c r="F4271" i="1"/>
  <c r="H4271" i="1"/>
  <c r="I4271" i="1"/>
  <c r="J4271" i="1"/>
  <c r="L4271" i="1"/>
  <c r="M4271" i="1"/>
  <c r="C4272" i="1"/>
  <c r="E4272" i="1"/>
  <c r="F4272" i="1"/>
  <c r="H4272" i="1"/>
  <c r="I4272" i="1"/>
  <c r="J4272" i="1"/>
  <c r="L4272" i="1"/>
  <c r="M4272" i="1"/>
  <c r="C4273" i="1"/>
  <c r="E4273" i="1"/>
  <c r="F4273" i="1"/>
  <c r="H4273" i="1"/>
  <c r="I4273" i="1"/>
  <c r="J4273" i="1"/>
  <c r="L4273" i="1"/>
  <c r="M4273" i="1"/>
  <c r="C4274" i="1"/>
  <c r="E4274" i="1"/>
  <c r="F4274" i="1"/>
  <c r="H4274" i="1"/>
  <c r="I4274" i="1"/>
  <c r="J4274" i="1"/>
  <c r="L4274" i="1"/>
  <c r="M4274" i="1"/>
  <c r="C4275" i="1"/>
  <c r="E4275" i="1"/>
  <c r="F4275" i="1"/>
  <c r="H4275" i="1"/>
  <c r="I4275" i="1"/>
  <c r="J4275" i="1"/>
  <c r="L4275" i="1"/>
  <c r="M4275" i="1"/>
  <c r="C4276" i="1"/>
  <c r="E4276" i="1"/>
  <c r="F4276" i="1"/>
  <c r="H4276" i="1"/>
  <c r="I4276" i="1"/>
  <c r="J4276" i="1"/>
  <c r="L4276" i="1"/>
  <c r="M4276" i="1"/>
  <c r="C4277" i="1"/>
  <c r="E4277" i="1"/>
  <c r="F4277" i="1"/>
  <c r="H4277" i="1"/>
  <c r="I4277" i="1"/>
  <c r="J4277" i="1"/>
  <c r="L4277" i="1"/>
  <c r="M4277" i="1"/>
  <c r="C4278" i="1"/>
  <c r="E4278" i="1"/>
  <c r="F4278" i="1"/>
  <c r="H4278" i="1"/>
  <c r="I4278" i="1"/>
  <c r="J4278" i="1"/>
  <c r="L4278" i="1"/>
  <c r="M4278" i="1"/>
  <c r="C4279" i="1"/>
  <c r="E4279" i="1"/>
  <c r="F4279" i="1"/>
  <c r="H4279" i="1"/>
  <c r="I4279" i="1"/>
  <c r="J4279" i="1"/>
  <c r="L4279" i="1"/>
  <c r="M4279" i="1"/>
  <c r="C4280" i="1"/>
  <c r="E4280" i="1"/>
  <c r="F4280" i="1"/>
  <c r="H4280" i="1"/>
  <c r="I4280" i="1"/>
  <c r="J4280" i="1"/>
  <c r="L4280" i="1"/>
  <c r="M4280" i="1"/>
  <c r="C4281" i="1"/>
  <c r="E4281" i="1"/>
  <c r="F4281" i="1"/>
  <c r="H4281" i="1"/>
  <c r="I4281" i="1"/>
  <c r="J4281" i="1"/>
  <c r="L4281" i="1"/>
  <c r="M4281" i="1"/>
  <c r="C4282" i="1"/>
  <c r="E4282" i="1"/>
  <c r="F4282" i="1"/>
  <c r="H4282" i="1"/>
  <c r="I4282" i="1"/>
  <c r="J4282" i="1"/>
  <c r="L4282" i="1"/>
  <c r="M4282" i="1"/>
  <c r="C4283" i="1"/>
  <c r="E4283" i="1"/>
  <c r="F4283" i="1"/>
  <c r="H4283" i="1"/>
  <c r="I4283" i="1"/>
  <c r="J4283" i="1"/>
  <c r="L4283" i="1"/>
  <c r="M4283" i="1"/>
  <c r="C4284" i="1"/>
  <c r="E4284" i="1"/>
  <c r="F4284" i="1"/>
  <c r="H4284" i="1"/>
  <c r="I4284" i="1"/>
  <c r="J4284" i="1"/>
  <c r="L4284" i="1"/>
  <c r="M4284" i="1"/>
  <c r="C4285" i="1"/>
  <c r="E4285" i="1"/>
  <c r="F4285" i="1"/>
  <c r="H4285" i="1"/>
  <c r="I4285" i="1"/>
  <c r="J4285" i="1"/>
  <c r="L4285" i="1"/>
  <c r="M4285" i="1"/>
  <c r="C4286" i="1"/>
  <c r="E4286" i="1"/>
  <c r="F4286" i="1"/>
  <c r="H4286" i="1"/>
  <c r="I4286" i="1"/>
  <c r="J4286" i="1"/>
  <c r="L4286" i="1"/>
  <c r="M4286" i="1"/>
  <c r="C4287" i="1"/>
  <c r="E4287" i="1"/>
  <c r="F4287" i="1"/>
  <c r="H4287" i="1"/>
  <c r="I4287" i="1"/>
  <c r="J4287" i="1"/>
  <c r="L4287" i="1"/>
  <c r="M4287" i="1"/>
  <c r="C4288" i="1"/>
  <c r="E4288" i="1"/>
  <c r="F4288" i="1"/>
  <c r="H4288" i="1"/>
  <c r="I4288" i="1"/>
  <c r="J4288" i="1"/>
  <c r="L4288" i="1"/>
  <c r="M4288" i="1"/>
  <c r="C4289" i="1"/>
  <c r="E4289" i="1"/>
  <c r="F4289" i="1"/>
  <c r="H4289" i="1"/>
  <c r="I4289" i="1"/>
  <c r="J4289" i="1"/>
  <c r="L4289" i="1"/>
  <c r="M4289" i="1"/>
  <c r="C4290" i="1"/>
  <c r="E4290" i="1"/>
  <c r="F4290" i="1"/>
  <c r="H4290" i="1"/>
  <c r="I4290" i="1"/>
  <c r="J4290" i="1"/>
  <c r="L4290" i="1"/>
  <c r="M4290" i="1"/>
  <c r="C4291" i="1"/>
  <c r="E4291" i="1"/>
  <c r="F4291" i="1"/>
  <c r="H4291" i="1"/>
  <c r="I4291" i="1"/>
  <c r="J4291" i="1"/>
  <c r="L4291" i="1"/>
  <c r="M4291" i="1"/>
  <c r="C4292" i="1"/>
  <c r="E4292" i="1"/>
  <c r="F4292" i="1"/>
  <c r="H4292" i="1"/>
  <c r="I4292" i="1"/>
  <c r="J4292" i="1"/>
  <c r="L4292" i="1"/>
  <c r="M4292" i="1"/>
  <c r="C4293" i="1"/>
  <c r="E4293" i="1"/>
  <c r="F4293" i="1"/>
  <c r="H4293" i="1"/>
  <c r="I4293" i="1"/>
  <c r="J4293" i="1"/>
  <c r="L4293" i="1"/>
  <c r="M4293" i="1"/>
  <c r="C4294" i="1"/>
  <c r="E4294" i="1"/>
  <c r="F4294" i="1"/>
  <c r="H4294" i="1"/>
  <c r="I4294" i="1"/>
  <c r="J4294" i="1"/>
  <c r="L4294" i="1"/>
  <c r="M4294" i="1"/>
  <c r="C4295" i="1"/>
  <c r="E4295" i="1"/>
  <c r="F4295" i="1"/>
  <c r="H4295" i="1"/>
  <c r="I4295" i="1"/>
  <c r="J4295" i="1"/>
  <c r="L4295" i="1"/>
  <c r="M4295" i="1"/>
  <c r="C4296" i="1"/>
  <c r="E4296" i="1"/>
  <c r="F4296" i="1"/>
  <c r="H4296" i="1"/>
  <c r="I4296" i="1"/>
  <c r="J4296" i="1"/>
  <c r="L4296" i="1"/>
  <c r="M4296" i="1"/>
  <c r="C4297" i="1"/>
  <c r="E4297" i="1"/>
  <c r="F4297" i="1"/>
  <c r="H4297" i="1"/>
  <c r="I4297" i="1"/>
  <c r="J4297" i="1"/>
  <c r="L4297" i="1"/>
  <c r="M4297" i="1"/>
  <c r="C4298" i="1"/>
  <c r="E4298" i="1"/>
  <c r="F4298" i="1"/>
  <c r="H4298" i="1"/>
  <c r="I4298" i="1"/>
  <c r="J4298" i="1"/>
  <c r="L4298" i="1"/>
  <c r="M4298" i="1"/>
  <c r="C4299" i="1"/>
  <c r="E4299" i="1"/>
  <c r="F4299" i="1"/>
  <c r="H4299" i="1"/>
  <c r="I4299" i="1"/>
  <c r="J4299" i="1"/>
  <c r="L4299" i="1"/>
  <c r="M4299" i="1"/>
  <c r="C4300" i="1"/>
  <c r="E4300" i="1"/>
  <c r="F4300" i="1"/>
  <c r="H4300" i="1"/>
  <c r="I4300" i="1"/>
  <c r="J4300" i="1"/>
  <c r="L4300" i="1"/>
  <c r="M4300" i="1"/>
  <c r="C4301" i="1"/>
  <c r="E4301" i="1"/>
  <c r="F4301" i="1"/>
  <c r="H4301" i="1"/>
  <c r="I4301" i="1"/>
  <c r="J4301" i="1"/>
  <c r="L4301" i="1"/>
  <c r="M4301" i="1"/>
  <c r="C4302" i="1"/>
  <c r="E4302" i="1"/>
  <c r="F4302" i="1"/>
  <c r="H4302" i="1"/>
  <c r="I4302" i="1"/>
  <c r="J4302" i="1"/>
  <c r="L4302" i="1"/>
  <c r="M4302" i="1"/>
  <c r="C4303" i="1"/>
  <c r="E4303" i="1"/>
  <c r="F4303" i="1"/>
  <c r="H4303" i="1"/>
  <c r="I4303" i="1"/>
  <c r="J4303" i="1"/>
  <c r="L4303" i="1"/>
  <c r="M4303" i="1"/>
  <c r="C4304" i="1"/>
  <c r="E4304" i="1"/>
  <c r="F4304" i="1"/>
  <c r="H4304" i="1"/>
  <c r="I4304" i="1"/>
  <c r="J4304" i="1"/>
  <c r="L4304" i="1"/>
  <c r="M4304" i="1"/>
  <c r="C4305" i="1"/>
  <c r="E4305" i="1"/>
  <c r="F4305" i="1"/>
  <c r="H4305" i="1"/>
  <c r="I4305" i="1"/>
  <c r="J4305" i="1"/>
  <c r="L4305" i="1"/>
  <c r="M4305" i="1"/>
  <c r="C4306" i="1"/>
  <c r="E4306" i="1"/>
  <c r="F4306" i="1"/>
  <c r="H4306" i="1"/>
  <c r="I4306" i="1"/>
  <c r="J4306" i="1"/>
  <c r="L4306" i="1"/>
  <c r="M4306" i="1"/>
  <c r="C4307" i="1"/>
  <c r="E4307" i="1"/>
  <c r="F4307" i="1"/>
  <c r="H4307" i="1"/>
  <c r="I4307" i="1"/>
  <c r="J4307" i="1"/>
  <c r="L4307" i="1"/>
  <c r="M4307" i="1"/>
  <c r="C4308" i="1"/>
  <c r="E4308" i="1"/>
  <c r="F4308" i="1"/>
  <c r="H4308" i="1"/>
  <c r="I4308" i="1"/>
  <c r="J4308" i="1"/>
  <c r="L4308" i="1"/>
  <c r="M4308" i="1"/>
  <c r="C4309" i="1"/>
  <c r="E4309" i="1"/>
  <c r="F4309" i="1"/>
  <c r="H4309" i="1"/>
  <c r="I4309" i="1"/>
  <c r="J4309" i="1"/>
  <c r="L4309" i="1"/>
  <c r="M4309" i="1"/>
  <c r="C4310" i="1"/>
  <c r="E4310" i="1"/>
  <c r="F4310" i="1"/>
  <c r="H4310" i="1"/>
  <c r="I4310" i="1"/>
  <c r="J4310" i="1"/>
  <c r="L4310" i="1"/>
  <c r="M4310" i="1"/>
  <c r="C4311" i="1"/>
  <c r="E4311" i="1"/>
  <c r="F4311" i="1"/>
  <c r="H4311" i="1"/>
  <c r="I4311" i="1"/>
  <c r="J4311" i="1"/>
  <c r="L4311" i="1"/>
  <c r="M4311" i="1"/>
  <c r="C4312" i="1"/>
  <c r="E4312" i="1"/>
  <c r="F4312" i="1"/>
  <c r="H4312" i="1"/>
  <c r="I4312" i="1"/>
  <c r="J4312" i="1"/>
  <c r="L4312" i="1"/>
  <c r="M4312" i="1"/>
  <c r="C4313" i="1"/>
  <c r="E4313" i="1"/>
  <c r="F4313" i="1"/>
  <c r="H4313" i="1"/>
  <c r="I4313" i="1"/>
  <c r="J4313" i="1"/>
  <c r="L4313" i="1"/>
  <c r="M4313" i="1"/>
  <c r="C4314" i="1"/>
  <c r="E4314" i="1"/>
  <c r="F4314" i="1"/>
  <c r="H4314" i="1"/>
  <c r="I4314" i="1"/>
  <c r="J4314" i="1"/>
  <c r="L4314" i="1"/>
  <c r="M4314" i="1"/>
  <c r="C4315" i="1"/>
  <c r="E4315" i="1"/>
  <c r="F4315" i="1"/>
  <c r="H4315" i="1"/>
  <c r="I4315" i="1"/>
  <c r="J4315" i="1"/>
  <c r="L4315" i="1"/>
  <c r="M4315" i="1"/>
  <c r="C4316" i="1"/>
  <c r="E4316" i="1"/>
  <c r="F4316" i="1"/>
  <c r="H4316" i="1"/>
  <c r="I4316" i="1"/>
  <c r="J4316" i="1"/>
  <c r="L4316" i="1"/>
  <c r="M4316" i="1"/>
  <c r="C4317" i="1"/>
  <c r="E4317" i="1"/>
  <c r="F4317" i="1"/>
  <c r="H4317" i="1"/>
  <c r="I4317" i="1"/>
  <c r="J4317" i="1"/>
  <c r="L4317" i="1"/>
  <c r="M4317" i="1"/>
  <c r="C4318" i="1"/>
  <c r="E4318" i="1"/>
  <c r="F4318" i="1"/>
  <c r="H4318" i="1"/>
  <c r="I4318" i="1"/>
  <c r="J4318" i="1"/>
  <c r="L4318" i="1"/>
  <c r="M4318" i="1"/>
  <c r="C4319" i="1"/>
  <c r="E4319" i="1"/>
  <c r="F4319" i="1"/>
  <c r="H4319" i="1"/>
  <c r="I4319" i="1"/>
  <c r="J4319" i="1"/>
  <c r="L4319" i="1"/>
  <c r="M4319" i="1"/>
  <c r="C4320" i="1"/>
  <c r="E4320" i="1"/>
  <c r="F4320" i="1"/>
  <c r="H4320" i="1"/>
  <c r="I4320" i="1"/>
  <c r="J4320" i="1"/>
  <c r="L4320" i="1"/>
  <c r="M4320" i="1"/>
  <c r="C4321" i="1"/>
  <c r="E4321" i="1"/>
  <c r="F4321" i="1"/>
  <c r="H4321" i="1"/>
  <c r="I4321" i="1"/>
  <c r="J4321" i="1"/>
  <c r="L4321" i="1"/>
  <c r="M4321" i="1"/>
  <c r="C4322" i="1"/>
  <c r="E4322" i="1"/>
  <c r="F4322" i="1"/>
  <c r="H4322" i="1"/>
  <c r="I4322" i="1"/>
  <c r="J4322" i="1"/>
  <c r="L4322" i="1"/>
  <c r="M4322" i="1"/>
  <c r="C4323" i="1"/>
  <c r="E4323" i="1"/>
  <c r="F4323" i="1"/>
  <c r="H4323" i="1"/>
  <c r="I4323" i="1"/>
  <c r="J4323" i="1"/>
  <c r="L4323" i="1"/>
  <c r="M4323" i="1"/>
  <c r="C4324" i="1"/>
  <c r="E4324" i="1"/>
  <c r="F4324" i="1"/>
  <c r="H4324" i="1"/>
  <c r="I4324" i="1"/>
  <c r="J4324" i="1"/>
  <c r="L4324" i="1"/>
  <c r="M4324" i="1"/>
  <c r="C4325" i="1"/>
  <c r="E4325" i="1"/>
  <c r="F4325" i="1"/>
  <c r="H4325" i="1"/>
  <c r="I4325" i="1"/>
  <c r="J4325" i="1"/>
  <c r="L4325" i="1"/>
  <c r="M4325" i="1"/>
  <c r="C4326" i="1"/>
  <c r="E4326" i="1"/>
  <c r="F4326" i="1"/>
  <c r="H4326" i="1"/>
  <c r="I4326" i="1"/>
  <c r="J4326" i="1"/>
  <c r="L4326" i="1"/>
  <c r="M4326" i="1"/>
  <c r="C4327" i="1"/>
  <c r="E4327" i="1"/>
  <c r="F4327" i="1"/>
  <c r="H4327" i="1"/>
  <c r="I4327" i="1"/>
  <c r="J4327" i="1"/>
  <c r="L4327" i="1"/>
  <c r="M4327" i="1"/>
  <c r="C4328" i="1"/>
  <c r="E4328" i="1"/>
  <c r="F4328" i="1"/>
  <c r="H4328" i="1"/>
  <c r="I4328" i="1"/>
  <c r="J4328" i="1"/>
  <c r="L4328" i="1"/>
  <c r="M4328" i="1"/>
  <c r="C4329" i="1"/>
  <c r="E4329" i="1"/>
  <c r="F4329" i="1"/>
  <c r="H4329" i="1"/>
  <c r="I4329" i="1"/>
  <c r="J4329" i="1"/>
  <c r="L4329" i="1"/>
  <c r="M4329" i="1"/>
  <c r="C4330" i="1"/>
  <c r="E4330" i="1"/>
  <c r="F4330" i="1"/>
  <c r="H4330" i="1"/>
  <c r="I4330" i="1"/>
  <c r="J4330" i="1"/>
  <c r="L4330" i="1"/>
  <c r="M4330" i="1"/>
  <c r="C4331" i="1"/>
  <c r="E4331" i="1"/>
  <c r="F4331" i="1"/>
  <c r="H4331" i="1"/>
  <c r="I4331" i="1"/>
  <c r="J4331" i="1"/>
  <c r="L4331" i="1"/>
  <c r="M4331" i="1"/>
  <c r="C4332" i="1"/>
  <c r="E4332" i="1"/>
  <c r="F4332" i="1"/>
  <c r="H4332" i="1"/>
  <c r="I4332" i="1"/>
  <c r="J4332" i="1"/>
  <c r="L4332" i="1"/>
  <c r="M4332" i="1"/>
  <c r="C4333" i="1"/>
  <c r="E4333" i="1"/>
  <c r="F4333" i="1"/>
  <c r="H4333" i="1"/>
  <c r="I4333" i="1"/>
  <c r="J4333" i="1"/>
  <c r="L4333" i="1"/>
  <c r="M4333" i="1"/>
  <c r="C4334" i="1"/>
  <c r="E4334" i="1"/>
  <c r="F4334" i="1"/>
  <c r="H4334" i="1"/>
  <c r="I4334" i="1"/>
  <c r="J4334" i="1"/>
  <c r="L4334" i="1"/>
  <c r="M4334" i="1"/>
  <c r="C4335" i="1"/>
  <c r="E4335" i="1"/>
  <c r="F4335" i="1"/>
  <c r="H4335" i="1"/>
  <c r="I4335" i="1"/>
  <c r="J4335" i="1"/>
  <c r="L4335" i="1"/>
  <c r="M4335" i="1"/>
  <c r="C4336" i="1"/>
  <c r="E4336" i="1"/>
  <c r="F4336" i="1"/>
  <c r="H4336" i="1"/>
  <c r="I4336" i="1"/>
  <c r="J4336" i="1"/>
  <c r="L4336" i="1"/>
  <c r="M4336" i="1"/>
  <c r="C4337" i="1"/>
  <c r="E4337" i="1"/>
  <c r="F4337" i="1"/>
  <c r="H4337" i="1"/>
  <c r="I4337" i="1"/>
  <c r="J4337" i="1"/>
  <c r="L4337" i="1"/>
  <c r="M4337" i="1"/>
  <c r="C4338" i="1"/>
  <c r="E4338" i="1"/>
  <c r="F4338" i="1"/>
  <c r="H4338" i="1"/>
  <c r="I4338" i="1"/>
  <c r="J4338" i="1"/>
  <c r="L4338" i="1"/>
  <c r="M4338" i="1"/>
  <c r="C4339" i="1"/>
  <c r="E4339" i="1"/>
  <c r="F4339" i="1"/>
  <c r="H4339" i="1"/>
  <c r="I4339" i="1"/>
  <c r="J4339" i="1"/>
  <c r="L4339" i="1"/>
  <c r="M4339" i="1"/>
  <c r="C4340" i="1"/>
  <c r="E4340" i="1"/>
  <c r="F4340" i="1"/>
  <c r="H4340" i="1"/>
  <c r="I4340" i="1"/>
  <c r="J4340" i="1"/>
  <c r="L4340" i="1"/>
  <c r="M4340" i="1"/>
  <c r="C4341" i="1"/>
  <c r="E4341" i="1"/>
  <c r="F4341" i="1"/>
  <c r="H4341" i="1"/>
  <c r="I4341" i="1"/>
  <c r="J4341" i="1"/>
  <c r="L4341" i="1"/>
  <c r="M4341" i="1"/>
  <c r="C4342" i="1"/>
  <c r="E4342" i="1"/>
  <c r="F4342" i="1"/>
  <c r="H4342" i="1"/>
  <c r="I4342" i="1"/>
  <c r="J4342" i="1"/>
  <c r="L4342" i="1"/>
  <c r="M4342" i="1"/>
  <c r="C4343" i="1"/>
  <c r="E4343" i="1"/>
  <c r="F4343" i="1"/>
  <c r="H4343" i="1"/>
  <c r="I4343" i="1"/>
  <c r="J4343" i="1"/>
  <c r="L4343" i="1"/>
  <c r="M4343" i="1"/>
  <c r="C4344" i="1"/>
  <c r="E4344" i="1"/>
  <c r="F4344" i="1"/>
  <c r="H4344" i="1"/>
  <c r="I4344" i="1"/>
  <c r="J4344" i="1"/>
  <c r="L4344" i="1"/>
  <c r="M4344" i="1"/>
  <c r="C4345" i="1"/>
  <c r="E4345" i="1"/>
  <c r="F4345" i="1"/>
  <c r="H4345" i="1"/>
  <c r="I4345" i="1"/>
  <c r="J4345" i="1"/>
  <c r="L4345" i="1"/>
  <c r="M4345" i="1"/>
  <c r="C4346" i="1"/>
  <c r="E4346" i="1"/>
  <c r="F4346" i="1"/>
  <c r="H4346" i="1"/>
  <c r="I4346" i="1"/>
  <c r="J4346" i="1"/>
  <c r="L4346" i="1"/>
  <c r="M4346" i="1"/>
  <c r="C4347" i="1"/>
  <c r="E4347" i="1"/>
  <c r="F4347" i="1"/>
  <c r="H4347" i="1"/>
  <c r="I4347" i="1"/>
  <c r="J4347" i="1"/>
  <c r="L4347" i="1"/>
  <c r="M4347" i="1"/>
  <c r="C4348" i="1"/>
  <c r="E4348" i="1"/>
  <c r="F4348" i="1"/>
  <c r="H4348" i="1"/>
  <c r="I4348" i="1"/>
  <c r="J4348" i="1"/>
  <c r="L4348" i="1"/>
  <c r="M4348" i="1"/>
  <c r="C4349" i="1"/>
  <c r="E4349" i="1"/>
  <c r="F4349" i="1"/>
  <c r="H4349" i="1"/>
  <c r="I4349" i="1"/>
  <c r="J4349" i="1"/>
  <c r="L4349" i="1"/>
  <c r="M4349" i="1"/>
  <c r="C4350" i="1"/>
  <c r="E4350" i="1"/>
  <c r="F4350" i="1"/>
  <c r="H4350" i="1"/>
  <c r="I4350" i="1"/>
  <c r="J4350" i="1"/>
  <c r="L4350" i="1"/>
  <c r="M4350" i="1"/>
  <c r="C4351" i="1"/>
  <c r="E4351" i="1"/>
  <c r="F4351" i="1"/>
  <c r="H4351" i="1"/>
  <c r="I4351" i="1"/>
  <c r="J4351" i="1"/>
  <c r="L4351" i="1"/>
  <c r="M4351" i="1"/>
  <c r="C4352" i="1"/>
  <c r="E4352" i="1"/>
  <c r="F4352" i="1"/>
  <c r="H4352" i="1"/>
  <c r="I4352" i="1"/>
  <c r="J4352" i="1"/>
  <c r="L4352" i="1"/>
  <c r="M4352" i="1"/>
  <c r="C4353" i="1"/>
  <c r="E4353" i="1"/>
  <c r="F4353" i="1"/>
  <c r="H4353" i="1"/>
  <c r="I4353" i="1"/>
  <c r="J4353" i="1"/>
  <c r="L4353" i="1"/>
  <c r="M4353" i="1"/>
  <c r="C4354" i="1"/>
  <c r="E4354" i="1"/>
  <c r="F4354" i="1"/>
  <c r="H4354" i="1"/>
  <c r="I4354" i="1"/>
  <c r="J4354" i="1"/>
  <c r="L4354" i="1"/>
  <c r="M4354" i="1"/>
  <c r="C4355" i="1"/>
  <c r="E4355" i="1"/>
  <c r="F4355" i="1"/>
  <c r="H4355" i="1"/>
  <c r="I4355" i="1"/>
  <c r="J4355" i="1"/>
  <c r="L4355" i="1"/>
  <c r="M4355" i="1"/>
  <c r="C4356" i="1"/>
  <c r="E4356" i="1"/>
  <c r="F4356" i="1"/>
  <c r="H4356" i="1"/>
  <c r="I4356" i="1"/>
  <c r="J4356" i="1"/>
  <c r="L4356" i="1"/>
  <c r="M4356" i="1"/>
  <c r="C4357" i="1"/>
  <c r="E4357" i="1"/>
  <c r="F4357" i="1"/>
  <c r="H4357" i="1"/>
  <c r="I4357" i="1"/>
  <c r="J4357" i="1"/>
  <c r="L4357" i="1"/>
  <c r="M4357" i="1"/>
  <c r="C4358" i="1"/>
  <c r="E4358" i="1"/>
  <c r="F4358" i="1"/>
  <c r="H4358" i="1"/>
  <c r="I4358" i="1"/>
  <c r="J4358" i="1"/>
  <c r="L4358" i="1"/>
  <c r="M4358" i="1"/>
  <c r="C4359" i="1"/>
  <c r="E4359" i="1"/>
  <c r="F4359" i="1"/>
  <c r="H4359" i="1"/>
  <c r="I4359" i="1"/>
  <c r="J4359" i="1"/>
  <c r="L4359" i="1"/>
  <c r="M4359" i="1"/>
  <c r="C4360" i="1"/>
  <c r="E4360" i="1"/>
  <c r="F4360" i="1"/>
  <c r="H4360" i="1"/>
  <c r="I4360" i="1"/>
  <c r="J4360" i="1"/>
  <c r="L4360" i="1"/>
  <c r="M4360" i="1"/>
  <c r="C4361" i="1"/>
  <c r="E4361" i="1"/>
  <c r="F4361" i="1"/>
  <c r="H4361" i="1"/>
  <c r="I4361" i="1"/>
  <c r="J4361" i="1"/>
  <c r="L4361" i="1"/>
  <c r="M4361" i="1"/>
  <c r="C4362" i="1"/>
  <c r="E4362" i="1"/>
  <c r="F4362" i="1"/>
  <c r="H4362" i="1"/>
  <c r="I4362" i="1"/>
  <c r="J4362" i="1"/>
  <c r="L4362" i="1"/>
  <c r="M4362" i="1"/>
  <c r="C4363" i="1"/>
  <c r="E4363" i="1"/>
  <c r="F4363" i="1"/>
  <c r="H4363" i="1"/>
  <c r="I4363" i="1"/>
  <c r="J4363" i="1"/>
  <c r="L4363" i="1"/>
  <c r="M4363" i="1"/>
  <c r="C4364" i="1"/>
  <c r="E4364" i="1"/>
  <c r="F4364" i="1"/>
  <c r="H4364" i="1"/>
  <c r="I4364" i="1"/>
  <c r="J4364" i="1"/>
  <c r="L4364" i="1"/>
  <c r="M4364" i="1"/>
  <c r="C4365" i="1"/>
  <c r="E4365" i="1"/>
  <c r="F4365" i="1"/>
  <c r="H4365" i="1"/>
  <c r="I4365" i="1"/>
  <c r="J4365" i="1"/>
  <c r="L4365" i="1"/>
  <c r="M4365" i="1"/>
  <c r="C4366" i="1"/>
  <c r="E4366" i="1"/>
  <c r="F4366" i="1"/>
  <c r="H4366" i="1"/>
  <c r="I4366" i="1"/>
  <c r="J4366" i="1"/>
  <c r="L4366" i="1"/>
  <c r="M4366" i="1"/>
  <c r="C4367" i="1"/>
  <c r="E4367" i="1"/>
  <c r="F4367" i="1"/>
  <c r="H4367" i="1"/>
  <c r="I4367" i="1"/>
  <c r="J4367" i="1"/>
  <c r="L4367" i="1"/>
  <c r="M4367" i="1"/>
  <c r="C4368" i="1"/>
  <c r="E4368" i="1"/>
  <c r="F4368" i="1"/>
  <c r="H4368" i="1"/>
  <c r="I4368" i="1"/>
  <c r="J4368" i="1"/>
  <c r="L4368" i="1"/>
  <c r="M4368" i="1"/>
  <c r="C4369" i="1"/>
  <c r="E4369" i="1"/>
  <c r="F4369" i="1"/>
  <c r="H4369" i="1"/>
  <c r="I4369" i="1"/>
  <c r="J4369" i="1"/>
  <c r="L4369" i="1"/>
  <c r="M4369" i="1"/>
  <c r="C4370" i="1"/>
  <c r="E4370" i="1"/>
  <c r="F4370" i="1"/>
  <c r="H4370" i="1"/>
  <c r="I4370" i="1"/>
  <c r="J4370" i="1"/>
  <c r="L4370" i="1"/>
  <c r="M4370" i="1"/>
  <c r="C4371" i="1"/>
  <c r="E4371" i="1"/>
  <c r="F4371" i="1"/>
  <c r="H4371" i="1"/>
  <c r="I4371" i="1"/>
  <c r="J4371" i="1"/>
  <c r="L4371" i="1"/>
  <c r="M4371" i="1"/>
  <c r="C4372" i="1"/>
  <c r="E4372" i="1"/>
  <c r="F4372" i="1"/>
  <c r="H4372" i="1"/>
  <c r="I4372" i="1"/>
  <c r="J4372" i="1"/>
  <c r="L4372" i="1"/>
  <c r="M4372" i="1"/>
  <c r="C4373" i="1"/>
  <c r="E4373" i="1"/>
  <c r="F4373" i="1"/>
  <c r="H4373" i="1"/>
  <c r="I4373" i="1"/>
  <c r="J4373" i="1"/>
  <c r="L4373" i="1"/>
  <c r="M4373" i="1"/>
  <c r="C4374" i="1"/>
  <c r="E4374" i="1"/>
  <c r="F4374" i="1"/>
  <c r="H4374" i="1"/>
  <c r="I4374" i="1"/>
  <c r="J4374" i="1"/>
  <c r="L4374" i="1"/>
  <c r="M4374" i="1"/>
  <c r="C4375" i="1"/>
  <c r="E4375" i="1"/>
  <c r="F4375" i="1"/>
  <c r="H4375" i="1"/>
  <c r="I4375" i="1"/>
  <c r="J4375" i="1"/>
  <c r="L4375" i="1"/>
  <c r="M4375" i="1"/>
  <c r="C4376" i="1"/>
  <c r="E4376" i="1"/>
  <c r="F4376" i="1"/>
  <c r="H4376" i="1"/>
  <c r="I4376" i="1"/>
  <c r="J4376" i="1"/>
  <c r="L4376" i="1"/>
  <c r="M4376" i="1"/>
  <c r="C4377" i="1"/>
  <c r="E4377" i="1"/>
  <c r="F4377" i="1"/>
  <c r="H4377" i="1"/>
  <c r="I4377" i="1"/>
  <c r="J4377" i="1"/>
  <c r="L4377" i="1"/>
  <c r="M4377" i="1"/>
  <c r="C4378" i="1"/>
  <c r="E4378" i="1"/>
  <c r="F4378" i="1"/>
  <c r="H4378" i="1"/>
  <c r="I4378" i="1"/>
  <c r="J4378" i="1"/>
  <c r="L4378" i="1"/>
  <c r="M4378" i="1"/>
  <c r="C4379" i="1"/>
  <c r="E4379" i="1"/>
  <c r="F4379" i="1"/>
  <c r="H4379" i="1"/>
  <c r="I4379" i="1"/>
  <c r="J4379" i="1"/>
  <c r="L4379" i="1"/>
  <c r="M4379" i="1"/>
  <c r="C4380" i="1"/>
  <c r="E4380" i="1"/>
  <c r="F4380" i="1"/>
  <c r="H4380" i="1"/>
  <c r="I4380" i="1"/>
  <c r="J4380" i="1"/>
  <c r="L4380" i="1"/>
  <c r="M4380" i="1"/>
  <c r="C4381" i="1"/>
  <c r="E4381" i="1"/>
  <c r="F4381" i="1"/>
  <c r="H4381" i="1"/>
  <c r="I4381" i="1"/>
  <c r="J4381" i="1"/>
  <c r="L4381" i="1"/>
  <c r="M4381" i="1"/>
  <c r="C4382" i="1"/>
  <c r="E4382" i="1"/>
  <c r="F4382" i="1"/>
  <c r="H4382" i="1"/>
  <c r="I4382" i="1"/>
  <c r="J4382" i="1"/>
  <c r="L4382" i="1"/>
  <c r="M4382" i="1"/>
  <c r="C4383" i="1"/>
  <c r="E4383" i="1"/>
  <c r="F4383" i="1"/>
  <c r="H4383" i="1"/>
  <c r="I4383" i="1"/>
  <c r="J4383" i="1"/>
  <c r="L4383" i="1"/>
  <c r="M4383" i="1"/>
  <c r="C4384" i="1"/>
  <c r="E4384" i="1"/>
  <c r="F4384" i="1"/>
  <c r="H4384" i="1"/>
  <c r="I4384" i="1"/>
  <c r="J4384" i="1"/>
  <c r="L4384" i="1"/>
  <c r="M4384" i="1"/>
  <c r="C4385" i="1"/>
  <c r="E4385" i="1"/>
  <c r="F4385" i="1"/>
  <c r="H4385" i="1"/>
  <c r="I4385" i="1"/>
  <c r="J4385" i="1"/>
  <c r="L4385" i="1"/>
  <c r="M4385" i="1"/>
  <c r="C4386" i="1"/>
  <c r="E4386" i="1"/>
  <c r="F4386" i="1"/>
  <c r="H4386" i="1"/>
  <c r="I4386" i="1"/>
  <c r="J4386" i="1"/>
  <c r="L4386" i="1"/>
  <c r="M4386" i="1"/>
  <c r="C4387" i="1"/>
  <c r="E4387" i="1"/>
  <c r="F4387" i="1"/>
  <c r="H4387" i="1"/>
  <c r="I4387" i="1"/>
  <c r="J4387" i="1"/>
  <c r="L4387" i="1"/>
  <c r="M4387" i="1"/>
  <c r="C4388" i="1"/>
  <c r="E4388" i="1"/>
  <c r="F4388" i="1"/>
  <c r="H4388" i="1"/>
  <c r="I4388" i="1"/>
  <c r="J4388" i="1"/>
  <c r="L4388" i="1"/>
  <c r="M4388" i="1"/>
  <c r="C4389" i="1"/>
  <c r="E4389" i="1"/>
  <c r="F4389" i="1"/>
  <c r="H4389" i="1"/>
  <c r="I4389" i="1"/>
  <c r="J4389" i="1"/>
  <c r="L4389" i="1"/>
  <c r="M4389" i="1"/>
  <c r="C4390" i="1"/>
  <c r="E4390" i="1"/>
  <c r="F4390" i="1"/>
  <c r="H4390" i="1"/>
  <c r="I4390" i="1"/>
  <c r="J4390" i="1"/>
  <c r="L4390" i="1"/>
  <c r="M4390" i="1"/>
  <c r="C4391" i="1"/>
  <c r="E4391" i="1"/>
  <c r="F4391" i="1"/>
  <c r="H4391" i="1"/>
  <c r="I4391" i="1"/>
  <c r="J4391" i="1"/>
  <c r="L4391" i="1"/>
  <c r="M4391" i="1"/>
  <c r="C4392" i="1"/>
  <c r="E4392" i="1"/>
  <c r="F4392" i="1"/>
  <c r="H4392" i="1"/>
  <c r="I4392" i="1"/>
  <c r="J4392" i="1"/>
  <c r="L4392" i="1"/>
  <c r="M4392" i="1"/>
  <c r="C4393" i="1"/>
  <c r="E4393" i="1"/>
  <c r="F4393" i="1"/>
  <c r="H4393" i="1"/>
  <c r="I4393" i="1"/>
  <c r="J4393" i="1"/>
  <c r="L4393" i="1"/>
  <c r="M4393" i="1"/>
  <c r="C4394" i="1"/>
  <c r="E4394" i="1"/>
  <c r="F4394" i="1"/>
  <c r="H4394" i="1"/>
  <c r="I4394" i="1"/>
  <c r="J4394" i="1"/>
  <c r="L4394" i="1"/>
  <c r="M4394" i="1"/>
  <c r="C4395" i="1"/>
  <c r="E4395" i="1"/>
  <c r="F4395" i="1"/>
  <c r="H4395" i="1"/>
  <c r="I4395" i="1"/>
  <c r="J4395" i="1"/>
  <c r="L4395" i="1"/>
  <c r="M4395" i="1"/>
  <c r="C4396" i="1"/>
  <c r="E4396" i="1"/>
  <c r="F4396" i="1"/>
  <c r="H4396" i="1"/>
  <c r="I4396" i="1"/>
  <c r="J4396" i="1"/>
  <c r="L4396" i="1"/>
  <c r="M4396" i="1"/>
  <c r="C4397" i="1"/>
  <c r="E4397" i="1"/>
  <c r="F4397" i="1"/>
  <c r="H4397" i="1"/>
  <c r="I4397" i="1"/>
  <c r="J4397" i="1"/>
  <c r="L4397" i="1"/>
  <c r="M4397" i="1"/>
  <c r="C4398" i="1"/>
  <c r="E4398" i="1"/>
  <c r="F4398" i="1"/>
  <c r="H4398" i="1"/>
  <c r="I4398" i="1"/>
  <c r="J4398" i="1"/>
  <c r="L4398" i="1"/>
  <c r="M4398" i="1"/>
  <c r="C4399" i="1"/>
  <c r="E4399" i="1"/>
  <c r="F4399" i="1"/>
  <c r="H4399" i="1"/>
  <c r="I4399" i="1"/>
  <c r="J4399" i="1"/>
  <c r="L4399" i="1"/>
  <c r="M4399" i="1"/>
  <c r="C4400" i="1"/>
  <c r="E4400" i="1"/>
  <c r="F4400" i="1"/>
  <c r="H4400" i="1"/>
  <c r="I4400" i="1"/>
  <c r="J4400" i="1"/>
  <c r="L4400" i="1"/>
  <c r="M4400" i="1"/>
  <c r="C4401" i="1"/>
  <c r="E4401" i="1"/>
  <c r="F4401" i="1"/>
  <c r="H4401" i="1"/>
  <c r="I4401" i="1"/>
  <c r="J4401" i="1"/>
  <c r="L4401" i="1"/>
  <c r="M4401" i="1"/>
  <c r="C4402" i="1"/>
  <c r="E4402" i="1"/>
  <c r="F4402" i="1"/>
  <c r="H4402" i="1"/>
  <c r="I4402" i="1"/>
  <c r="J4402" i="1"/>
  <c r="L4402" i="1"/>
  <c r="M4402" i="1"/>
  <c r="C4403" i="1"/>
  <c r="E4403" i="1"/>
  <c r="F4403" i="1"/>
  <c r="H4403" i="1"/>
  <c r="I4403" i="1"/>
  <c r="J4403" i="1"/>
  <c r="L4403" i="1"/>
  <c r="M4403" i="1"/>
  <c r="C4404" i="1"/>
  <c r="E4404" i="1"/>
  <c r="F4404" i="1"/>
  <c r="H4404" i="1"/>
  <c r="I4404" i="1"/>
  <c r="J4404" i="1"/>
  <c r="L4404" i="1"/>
  <c r="M4404" i="1"/>
  <c r="C4405" i="1"/>
  <c r="E4405" i="1"/>
  <c r="F4405" i="1"/>
  <c r="H4405" i="1"/>
  <c r="I4405" i="1"/>
  <c r="J4405" i="1"/>
  <c r="L4405" i="1"/>
  <c r="M4405" i="1"/>
  <c r="C4406" i="1"/>
  <c r="E4406" i="1"/>
  <c r="F4406" i="1"/>
  <c r="H4406" i="1"/>
  <c r="I4406" i="1"/>
  <c r="J4406" i="1"/>
  <c r="L4406" i="1"/>
  <c r="M4406" i="1"/>
  <c r="C4407" i="1"/>
  <c r="E4407" i="1"/>
  <c r="F4407" i="1"/>
  <c r="H4407" i="1"/>
  <c r="I4407" i="1"/>
  <c r="J4407" i="1"/>
  <c r="L4407" i="1"/>
  <c r="M4407" i="1"/>
  <c r="C4408" i="1"/>
  <c r="E4408" i="1"/>
  <c r="F4408" i="1"/>
  <c r="H4408" i="1"/>
  <c r="I4408" i="1"/>
  <c r="J4408" i="1"/>
  <c r="L4408" i="1"/>
  <c r="M4408" i="1"/>
  <c r="C4409" i="1"/>
  <c r="E4409" i="1"/>
  <c r="F4409" i="1"/>
  <c r="H4409" i="1"/>
  <c r="I4409" i="1"/>
  <c r="J4409" i="1"/>
  <c r="L4409" i="1"/>
  <c r="M4409" i="1"/>
  <c r="C4410" i="1"/>
  <c r="E4410" i="1"/>
  <c r="F4410" i="1"/>
  <c r="H4410" i="1"/>
  <c r="I4410" i="1"/>
  <c r="J4410" i="1"/>
  <c r="L4410" i="1"/>
  <c r="M4410" i="1"/>
  <c r="C4411" i="1"/>
  <c r="E4411" i="1"/>
  <c r="F4411" i="1"/>
  <c r="H4411" i="1"/>
  <c r="I4411" i="1"/>
  <c r="J4411" i="1"/>
  <c r="L4411" i="1"/>
  <c r="M4411" i="1"/>
  <c r="C4412" i="1"/>
  <c r="E4412" i="1"/>
  <c r="F4412" i="1"/>
  <c r="H4412" i="1"/>
  <c r="I4412" i="1"/>
  <c r="J4412" i="1"/>
  <c r="L4412" i="1"/>
  <c r="M4412" i="1"/>
  <c r="C4413" i="1"/>
  <c r="E4413" i="1"/>
  <c r="F4413" i="1"/>
  <c r="H4413" i="1"/>
  <c r="I4413" i="1"/>
  <c r="J4413" i="1"/>
  <c r="L4413" i="1"/>
  <c r="M4413" i="1"/>
  <c r="C4414" i="1"/>
  <c r="E4414" i="1"/>
  <c r="F4414" i="1"/>
  <c r="H4414" i="1"/>
  <c r="I4414" i="1"/>
  <c r="J4414" i="1"/>
  <c r="L4414" i="1"/>
  <c r="M4414" i="1"/>
  <c r="C4415" i="1"/>
  <c r="E4415" i="1"/>
  <c r="F4415" i="1"/>
  <c r="H4415" i="1"/>
  <c r="I4415" i="1"/>
  <c r="J4415" i="1"/>
  <c r="L4415" i="1"/>
  <c r="M4415" i="1"/>
  <c r="C4416" i="1"/>
  <c r="E4416" i="1"/>
  <c r="F4416" i="1"/>
  <c r="H4416" i="1"/>
  <c r="I4416" i="1"/>
  <c r="J4416" i="1"/>
  <c r="L4416" i="1"/>
  <c r="M4416" i="1"/>
  <c r="C4417" i="1"/>
  <c r="E4417" i="1"/>
  <c r="F4417" i="1"/>
  <c r="H4417" i="1"/>
  <c r="I4417" i="1"/>
  <c r="J4417" i="1"/>
  <c r="L4417" i="1"/>
  <c r="M4417" i="1"/>
  <c r="C4418" i="1"/>
  <c r="E4418" i="1"/>
  <c r="F4418" i="1"/>
  <c r="H4418" i="1"/>
  <c r="I4418" i="1"/>
  <c r="J4418" i="1"/>
  <c r="L4418" i="1"/>
  <c r="M4418" i="1"/>
  <c r="C4419" i="1"/>
  <c r="E4419" i="1"/>
  <c r="F4419" i="1"/>
  <c r="H4419" i="1"/>
  <c r="I4419" i="1"/>
  <c r="J4419" i="1"/>
  <c r="L4419" i="1"/>
  <c r="M4419" i="1"/>
  <c r="C4420" i="1"/>
  <c r="E4420" i="1"/>
  <c r="F4420" i="1"/>
  <c r="H4420" i="1"/>
  <c r="I4420" i="1"/>
  <c r="J4420" i="1"/>
  <c r="L4420" i="1"/>
  <c r="M4420" i="1"/>
  <c r="C4421" i="1"/>
  <c r="E4421" i="1"/>
  <c r="F4421" i="1"/>
  <c r="H4421" i="1"/>
  <c r="I4421" i="1"/>
  <c r="J4421" i="1"/>
  <c r="L4421" i="1"/>
  <c r="M4421" i="1"/>
  <c r="C4422" i="1"/>
  <c r="E4422" i="1"/>
  <c r="F4422" i="1"/>
  <c r="H4422" i="1"/>
  <c r="I4422" i="1"/>
  <c r="J4422" i="1"/>
  <c r="L4422" i="1"/>
  <c r="M4422" i="1"/>
  <c r="C4423" i="1"/>
  <c r="E4423" i="1"/>
  <c r="F4423" i="1"/>
  <c r="H4423" i="1"/>
  <c r="I4423" i="1"/>
  <c r="J4423" i="1"/>
  <c r="L4423" i="1"/>
  <c r="M4423" i="1"/>
  <c r="C4424" i="1"/>
  <c r="E4424" i="1"/>
  <c r="F4424" i="1"/>
  <c r="H4424" i="1"/>
  <c r="I4424" i="1"/>
  <c r="J4424" i="1"/>
  <c r="L4424" i="1"/>
  <c r="M4424" i="1"/>
  <c r="C4425" i="1"/>
  <c r="E4425" i="1"/>
  <c r="F4425" i="1"/>
  <c r="H4425" i="1"/>
  <c r="I4425" i="1"/>
  <c r="J4425" i="1"/>
  <c r="L4425" i="1"/>
  <c r="M4425" i="1"/>
  <c r="C4426" i="1"/>
  <c r="E4426" i="1"/>
  <c r="F4426" i="1"/>
  <c r="H4426" i="1"/>
  <c r="I4426" i="1"/>
  <c r="J4426" i="1"/>
  <c r="L4426" i="1"/>
  <c r="M4426" i="1"/>
  <c r="C4427" i="1"/>
  <c r="E4427" i="1"/>
  <c r="F4427" i="1"/>
  <c r="H4427" i="1"/>
  <c r="I4427" i="1"/>
  <c r="J4427" i="1"/>
  <c r="L4427" i="1"/>
  <c r="M4427" i="1"/>
  <c r="C4428" i="1"/>
  <c r="E4428" i="1"/>
  <c r="F4428" i="1"/>
  <c r="H4428" i="1"/>
  <c r="I4428" i="1"/>
  <c r="J4428" i="1"/>
  <c r="L4428" i="1"/>
  <c r="M4428" i="1"/>
  <c r="C4429" i="1"/>
  <c r="E4429" i="1"/>
  <c r="F4429" i="1"/>
  <c r="H4429" i="1"/>
  <c r="I4429" i="1"/>
  <c r="J4429" i="1"/>
  <c r="L4429" i="1"/>
  <c r="M4429" i="1"/>
  <c r="C4430" i="1"/>
  <c r="E4430" i="1"/>
  <c r="F4430" i="1"/>
  <c r="H4430" i="1"/>
  <c r="I4430" i="1"/>
  <c r="J4430" i="1"/>
  <c r="L4430" i="1"/>
  <c r="M4430" i="1"/>
  <c r="C4431" i="1"/>
  <c r="E4431" i="1"/>
  <c r="F4431" i="1"/>
  <c r="H4431" i="1"/>
  <c r="I4431" i="1"/>
  <c r="J4431" i="1"/>
  <c r="L4431" i="1"/>
  <c r="M4431" i="1"/>
  <c r="C4432" i="1"/>
  <c r="E4432" i="1"/>
  <c r="F4432" i="1"/>
  <c r="H4432" i="1"/>
  <c r="I4432" i="1"/>
  <c r="J4432" i="1"/>
  <c r="L4432" i="1"/>
  <c r="M4432" i="1"/>
  <c r="C4433" i="1"/>
  <c r="E4433" i="1"/>
  <c r="F4433" i="1"/>
  <c r="H4433" i="1"/>
  <c r="I4433" i="1"/>
  <c r="J4433" i="1"/>
  <c r="L4433" i="1"/>
  <c r="M4433" i="1"/>
  <c r="C4434" i="1"/>
  <c r="E4434" i="1"/>
  <c r="F4434" i="1"/>
  <c r="H4434" i="1"/>
  <c r="I4434" i="1"/>
  <c r="J4434" i="1"/>
  <c r="L4434" i="1"/>
  <c r="M4434" i="1"/>
  <c r="C4435" i="1"/>
  <c r="E4435" i="1"/>
  <c r="F4435" i="1"/>
  <c r="H4435" i="1"/>
  <c r="I4435" i="1"/>
  <c r="J4435" i="1"/>
  <c r="L4435" i="1"/>
  <c r="M4435" i="1"/>
  <c r="C4436" i="1"/>
  <c r="E4436" i="1"/>
  <c r="F4436" i="1"/>
  <c r="H4436" i="1"/>
  <c r="I4436" i="1"/>
  <c r="J4436" i="1"/>
  <c r="L4436" i="1"/>
  <c r="M4436" i="1"/>
  <c r="C4437" i="1"/>
  <c r="E4437" i="1"/>
  <c r="F4437" i="1"/>
  <c r="H4437" i="1"/>
  <c r="I4437" i="1"/>
  <c r="J4437" i="1"/>
  <c r="L4437" i="1"/>
  <c r="M4437" i="1"/>
  <c r="C4438" i="1"/>
  <c r="E4438" i="1"/>
  <c r="F4438" i="1"/>
  <c r="H4438" i="1"/>
  <c r="I4438" i="1"/>
  <c r="J4438" i="1"/>
  <c r="L4438" i="1"/>
  <c r="M4438" i="1"/>
  <c r="C4439" i="1"/>
  <c r="E4439" i="1"/>
  <c r="F4439" i="1"/>
  <c r="H4439" i="1"/>
  <c r="I4439" i="1"/>
  <c r="J4439" i="1"/>
  <c r="L4439" i="1"/>
  <c r="M4439" i="1"/>
  <c r="C4440" i="1"/>
  <c r="E4440" i="1"/>
  <c r="F4440" i="1"/>
  <c r="H4440" i="1"/>
  <c r="I4440" i="1"/>
  <c r="J4440" i="1"/>
  <c r="L4440" i="1"/>
  <c r="M4440" i="1"/>
  <c r="C4441" i="1"/>
  <c r="E4441" i="1"/>
  <c r="F4441" i="1"/>
  <c r="H4441" i="1"/>
  <c r="I4441" i="1"/>
  <c r="J4441" i="1"/>
  <c r="L4441" i="1"/>
  <c r="M4441" i="1"/>
  <c r="C4442" i="1"/>
  <c r="E4442" i="1"/>
  <c r="F4442" i="1"/>
  <c r="H4442" i="1"/>
  <c r="I4442" i="1"/>
  <c r="J4442" i="1"/>
  <c r="L4442" i="1"/>
  <c r="M4442" i="1"/>
  <c r="C4443" i="1"/>
  <c r="E4443" i="1"/>
  <c r="F4443" i="1"/>
  <c r="H4443" i="1"/>
  <c r="I4443" i="1"/>
  <c r="J4443" i="1"/>
  <c r="L4443" i="1"/>
  <c r="M4443" i="1"/>
  <c r="C4444" i="1"/>
  <c r="E4444" i="1"/>
  <c r="F4444" i="1"/>
  <c r="H4444" i="1"/>
  <c r="I4444" i="1"/>
  <c r="J4444" i="1"/>
  <c r="L4444" i="1"/>
  <c r="M4444" i="1"/>
  <c r="C4445" i="1"/>
  <c r="E4445" i="1"/>
  <c r="F4445" i="1"/>
  <c r="H4445" i="1"/>
  <c r="I4445" i="1"/>
  <c r="J4445" i="1"/>
  <c r="L4445" i="1"/>
  <c r="M4445" i="1"/>
  <c r="C4446" i="1"/>
  <c r="E4446" i="1"/>
  <c r="F4446" i="1"/>
  <c r="H4446" i="1"/>
  <c r="I4446" i="1"/>
  <c r="J4446" i="1"/>
  <c r="L4446" i="1"/>
  <c r="M4446" i="1"/>
  <c r="C4447" i="1"/>
  <c r="E4447" i="1"/>
  <c r="F4447" i="1"/>
  <c r="H4447" i="1"/>
  <c r="I4447" i="1"/>
  <c r="J4447" i="1"/>
  <c r="L4447" i="1"/>
  <c r="M4447" i="1"/>
  <c r="C4448" i="1"/>
  <c r="E4448" i="1"/>
  <c r="F4448" i="1"/>
  <c r="H4448" i="1"/>
  <c r="I4448" i="1"/>
  <c r="J4448" i="1"/>
  <c r="L4448" i="1"/>
  <c r="M4448" i="1"/>
  <c r="C4449" i="1"/>
  <c r="E4449" i="1"/>
  <c r="F4449" i="1"/>
  <c r="H4449" i="1"/>
  <c r="I4449" i="1"/>
  <c r="J4449" i="1"/>
  <c r="L4449" i="1"/>
  <c r="M4449" i="1"/>
  <c r="C4450" i="1"/>
  <c r="E4450" i="1"/>
  <c r="F4450" i="1"/>
  <c r="H4450" i="1"/>
  <c r="I4450" i="1"/>
  <c r="J4450" i="1"/>
  <c r="L4450" i="1"/>
  <c r="M4450" i="1"/>
  <c r="C4451" i="1"/>
  <c r="E4451" i="1"/>
  <c r="F4451" i="1"/>
  <c r="H4451" i="1"/>
  <c r="I4451" i="1"/>
  <c r="J4451" i="1"/>
  <c r="L4451" i="1"/>
  <c r="M4451" i="1"/>
  <c r="C4452" i="1"/>
  <c r="E4452" i="1"/>
  <c r="F4452" i="1"/>
  <c r="H4452" i="1"/>
  <c r="I4452" i="1"/>
  <c r="J4452" i="1"/>
  <c r="L4452" i="1"/>
  <c r="M4452" i="1"/>
  <c r="C4453" i="1"/>
  <c r="E4453" i="1"/>
  <c r="F4453" i="1"/>
  <c r="H4453" i="1"/>
  <c r="I4453" i="1"/>
  <c r="J4453" i="1"/>
  <c r="L4453" i="1"/>
  <c r="M4453" i="1"/>
  <c r="C4454" i="1"/>
  <c r="E4454" i="1"/>
  <c r="F4454" i="1"/>
  <c r="H4454" i="1"/>
  <c r="I4454" i="1"/>
  <c r="J4454" i="1"/>
  <c r="L4454" i="1"/>
  <c r="M4454" i="1"/>
  <c r="C4455" i="1"/>
  <c r="E4455" i="1"/>
  <c r="F4455" i="1"/>
  <c r="H4455" i="1"/>
  <c r="I4455" i="1"/>
  <c r="J4455" i="1"/>
  <c r="L4455" i="1"/>
  <c r="M4455" i="1"/>
  <c r="C4456" i="1"/>
  <c r="E4456" i="1"/>
  <c r="F4456" i="1"/>
  <c r="H4456" i="1"/>
  <c r="I4456" i="1"/>
  <c r="J4456" i="1"/>
  <c r="L4456" i="1"/>
  <c r="M4456" i="1"/>
  <c r="C4457" i="1"/>
  <c r="E4457" i="1"/>
  <c r="F4457" i="1"/>
  <c r="H4457" i="1"/>
  <c r="I4457" i="1"/>
  <c r="J4457" i="1"/>
  <c r="L4457" i="1"/>
  <c r="M4457" i="1"/>
  <c r="C4458" i="1"/>
  <c r="E4458" i="1"/>
  <c r="F4458" i="1"/>
  <c r="H4458" i="1"/>
  <c r="I4458" i="1"/>
  <c r="J4458" i="1"/>
  <c r="L4458" i="1"/>
  <c r="M4458" i="1"/>
  <c r="C4459" i="1"/>
  <c r="E4459" i="1"/>
  <c r="F4459" i="1"/>
  <c r="H4459" i="1"/>
  <c r="I4459" i="1"/>
  <c r="J4459" i="1"/>
  <c r="L4459" i="1"/>
  <c r="M4459" i="1"/>
  <c r="C4460" i="1"/>
  <c r="E4460" i="1"/>
  <c r="F4460" i="1"/>
  <c r="H4460" i="1"/>
  <c r="I4460" i="1"/>
  <c r="J4460" i="1"/>
  <c r="L4460" i="1"/>
  <c r="M4460" i="1"/>
  <c r="C4461" i="1"/>
  <c r="E4461" i="1"/>
  <c r="F4461" i="1"/>
  <c r="H4461" i="1"/>
  <c r="I4461" i="1"/>
  <c r="J4461" i="1"/>
  <c r="L4461" i="1"/>
  <c r="M4461" i="1"/>
  <c r="C4462" i="1"/>
  <c r="E4462" i="1"/>
  <c r="F4462" i="1"/>
  <c r="H4462" i="1"/>
  <c r="I4462" i="1"/>
  <c r="J4462" i="1"/>
  <c r="L4462" i="1"/>
  <c r="M4462" i="1"/>
  <c r="C4463" i="1"/>
  <c r="E4463" i="1"/>
  <c r="F4463" i="1"/>
  <c r="H4463" i="1"/>
  <c r="I4463" i="1"/>
  <c r="J4463" i="1"/>
  <c r="L4463" i="1"/>
  <c r="M4463" i="1"/>
  <c r="C4464" i="1"/>
  <c r="E4464" i="1"/>
  <c r="F4464" i="1"/>
  <c r="H4464" i="1"/>
  <c r="I4464" i="1"/>
  <c r="J4464" i="1"/>
  <c r="L4464" i="1"/>
  <c r="M4464" i="1"/>
  <c r="C4465" i="1"/>
  <c r="E4465" i="1"/>
  <c r="F4465" i="1"/>
  <c r="H4465" i="1"/>
  <c r="I4465" i="1"/>
  <c r="J4465" i="1"/>
  <c r="L4465" i="1"/>
  <c r="M4465" i="1"/>
  <c r="C4466" i="1"/>
  <c r="E4466" i="1"/>
  <c r="F4466" i="1"/>
  <c r="H4466" i="1"/>
  <c r="I4466" i="1"/>
  <c r="J4466" i="1"/>
  <c r="L4466" i="1"/>
  <c r="M4466" i="1"/>
  <c r="C4467" i="1"/>
  <c r="E4467" i="1"/>
  <c r="F4467" i="1"/>
  <c r="H4467" i="1"/>
  <c r="I4467" i="1"/>
  <c r="J4467" i="1"/>
  <c r="L4467" i="1"/>
  <c r="M4467" i="1"/>
  <c r="C4468" i="1"/>
  <c r="E4468" i="1"/>
  <c r="F4468" i="1"/>
  <c r="H4468" i="1"/>
  <c r="I4468" i="1"/>
  <c r="J4468" i="1"/>
  <c r="L4468" i="1"/>
  <c r="M4468" i="1"/>
  <c r="C4469" i="1"/>
  <c r="E4469" i="1"/>
  <c r="F4469" i="1"/>
  <c r="H4469" i="1"/>
  <c r="I4469" i="1"/>
  <c r="J4469" i="1"/>
  <c r="L4469" i="1"/>
  <c r="M4469" i="1"/>
  <c r="C4470" i="1"/>
  <c r="E4470" i="1"/>
  <c r="F4470" i="1"/>
  <c r="H4470" i="1"/>
  <c r="I4470" i="1"/>
  <c r="J4470" i="1"/>
  <c r="L4470" i="1"/>
  <c r="M4470" i="1"/>
  <c r="C4471" i="1"/>
  <c r="E4471" i="1"/>
  <c r="F4471" i="1"/>
  <c r="H4471" i="1"/>
  <c r="I4471" i="1"/>
  <c r="J4471" i="1"/>
  <c r="L4471" i="1"/>
  <c r="M4471" i="1"/>
  <c r="C4472" i="1"/>
  <c r="E4472" i="1"/>
  <c r="F4472" i="1"/>
  <c r="H4472" i="1"/>
  <c r="I4472" i="1"/>
  <c r="J4472" i="1"/>
  <c r="L4472" i="1"/>
  <c r="M4472" i="1"/>
  <c r="C4473" i="1"/>
  <c r="E4473" i="1"/>
  <c r="F4473" i="1"/>
  <c r="H4473" i="1"/>
  <c r="I4473" i="1"/>
  <c r="J4473" i="1"/>
  <c r="L4473" i="1"/>
  <c r="M4473" i="1"/>
  <c r="C4474" i="1"/>
  <c r="E4474" i="1"/>
  <c r="F4474" i="1"/>
  <c r="H4474" i="1"/>
  <c r="I4474" i="1"/>
  <c r="J4474" i="1"/>
  <c r="L4474" i="1"/>
  <c r="M4474" i="1"/>
  <c r="C4475" i="1"/>
  <c r="E4475" i="1"/>
  <c r="F4475" i="1"/>
  <c r="H4475" i="1"/>
  <c r="I4475" i="1"/>
  <c r="J4475" i="1"/>
  <c r="L4475" i="1"/>
  <c r="M4475" i="1"/>
  <c r="C4476" i="1"/>
  <c r="E4476" i="1"/>
  <c r="F4476" i="1"/>
  <c r="H4476" i="1"/>
  <c r="I4476" i="1"/>
  <c r="J4476" i="1"/>
  <c r="L4476" i="1"/>
  <c r="M4476" i="1"/>
  <c r="C4477" i="1"/>
  <c r="E4477" i="1"/>
  <c r="F4477" i="1"/>
  <c r="H4477" i="1"/>
  <c r="I4477" i="1"/>
  <c r="J4477" i="1"/>
  <c r="L4477" i="1"/>
  <c r="M4477" i="1"/>
  <c r="C4478" i="1"/>
  <c r="E4478" i="1"/>
  <c r="F4478" i="1"/>
  <c r="H4478" i="1"/>
  <c r="I4478" i="1"/>
  <c r="J4478" i="1"/>
  <c r="L4478" i="1"/>
  <c r="M4478" i="1"/>
  <c r="C4479" i="1"/>
  <c r="E4479" i="1"/>
  <c r="F4479" i="1"/>
  <c r="H4479" i="1"/>
  <c r="I4479" i="1"/>
  <c r="J4479" i="1"/>
  <c r="L4479" i="1"/>
  <c r="M4479" i="1"/>
  <c r="C4480" i="1"/>
  <c r="E4480" i="1"/>
  <c r="F4480" i="1"/>
  <c r="H4480" i="1"/>
  <c r="I4480" i="1"/>
  <c r="J4480" i="1"/>
  <c r="L4480" i="1"/>
  <c r="M4480" i="1"/>
  <c r="C4481" i="1"/>
  <c r="E4481" i="1"/>
  <c r="F4481" i="1"/>
  <c r="H4481" i="1"/>
  <c r="I4481" i="1"/>
  <c r="J4481" i="1"/>
  <c r="L4481" i="1"/>
  <c r="M4481" i="1"/>
  <c r="C4482" i="1"/>
  <c r="E4482" i="1"/>
  <c r="F4482" i="1"/>
  <c r="H4482" i="1"/>
  <c r="I4482" i="1"/>
  <c r="J4482" i="1"/>
  <c r="L4482" i="1"/>
  <c r="M4482" i="1"/>
  <c r="C4483" i="1"/>
  <c r="E4483" i="1"/>
  <c r="F4483" i="1"/>
  <c r="H4483" i="1"/>
  <c r="I4483" i="1"/>
  <c r="J4483" i="1"/>
  <c r="L4483" i="1"/>
  <c r="M4483" i="1"/>
  <c r="C4484" i="1"/>
  <c r="E4484" i="1"/>
  <c r="F4484" i="1"/>
  <c r="H4484" i="1"/>
  <c r="I4484" i="1"/>
  <c r="J4484" i="1"/>
  <c r="L4484" i="1"/>
  <c r="M4484" i="1"/>
  <c r="C4485" i="1"/>
  <c r="E4485" i="1"/>
  <c r="F4485" i="1"/>
  <c r="H4485" i="1"/>
  <c r="I4485" i="1"/>
  <c r="J4485" i="1"/>
  <c r="L4485" i="1"/>
  <c r="M4485" i="1"/>
  <c r="C4486" i="1"/>
  <c r="E4486" i="1"/>
  <c r="F4486" i="1"/>
  <c r="H4486" i="1"/>
  <c r="I4486" i="1"/>
  <c r="J4486" i="1"/>
  <c r="L4486" i="1"/>
  <c r="M4486" i="1"/>
  <c r="C4487" i="1"/>
  <c r="E4487" i="1"/>
  <c r="F4487" i="1"/>
  <c r="H4487" i="1"/>
  <c r="I4487" i="1"/>
  <c r="J4487" i="1"/>
  <c r="L4487" i="1"/>
  <c r="M4487" i="1"/>
  <c r="C4488" i="1"/>
  <c r="E4488" i="1"/>
  <c r="F4488" i="1"/>
  <c r="H4488" i="1"/>
  <c r="I4488" i="1"/>
  <c r="J4488" i="1"/>
  <c r="L4488" i="1"/>
  <c r="M4488" i="1"/>
  <c r="C4489" i="1"/>
  <c r="E4489" i="1"/>
  <c r="F4489" i="1"/>
  <c r="H4489" i="1"/>
  <c r="I4489" i="1"/>
  <c r="J4489" i="1"/>
  <c r="L4489" i="1"/>
  <c r="M4489" i="1"/>
  <c r="C4490" i="1"/>
  <c r="E4490" i="1"/>
  <c r="F4490" i="1"/>
  <c r="H4490" i="1"/>
  <c r="I4490" i="1"/>
  <c r="J4490" i="1"/>
  <c r="L4490" i="1"/>
  <c r="M4490" i="1"/>
  <c r="C4491" i="1"/>
  <c r="E4491" i="1"/>
  <c r="F4491" i="1"/>
  <c r="H4491" i="1"/>
  <c r="I4491" i="1"/>
  <c r="J4491" i="1"/>
  <c r="L4491" i="1"/>
  <c r="M4491" i="1"/>
  <c r="C4492" i="1"/>
  <c r="E4492" i="1"/>
  <c r="F4492" i="1"/>
  <c r="H4492" i="1"/>
  <c r="I4492" i="1"/>
  <c r="J4492" i="1"/>
  <c r="L4492" i="1"/>
  <c r="M4492" i="1"/>
  <c r="C4493" i="1"/>
  <c r="E4493" i="1"/>
  <c r="F4493" i="1"/>
  <c r="H4493" i="1"/>
  <c r="I4493" i="1"/>
  <c r="J4493" i="1"/>
  <c r="L4493" i="1"/>
  <c r="M4493" i="1"/>
  <c r="C4494" i="1"/>
  <c r="E4494" i="1"/>
  <c r="F4494" i="1"/>
  <c r="H4494" i="1"/>
  <c r="I4494" i="1"/>
  <c r="J4494" i="1"/>
  <c r="L4494" i="1"/>
  <c r="M4494" i="1"/>
  <c r="C4495" i="1"/>
  <c r="E4495" i="1"/>
  <c r="F4495" i="1"/>
  <c r="H4495" i="1"/>
  <c r="I4495" i="1"/>
  <c r="J4495" i="1"/>
  <c r="L4495" i="1"/>
  <c r="M4495" i="1"/>
  <c r="C4496" i="1"/>
  <c r="E4496" i="1"/>
  <c r="F4496" i="1"/>
  <c r="H4496" i="1"/>
  <c r="I4496" i="1"/>
  <c r="J4496" i="1"/>
  <c r="L4496" i="1"/>
  <c r="M4496" i="1"/>
  <c r="C4497" i="1"/>
  <c r="E4497" i="1"/>
  <c r="F4497" i="1"/>
  <c r="H4497" i="1"/>
  <c r="I4497" i="1"/>
  <c r="J4497" i="1"/>
  <c r="L4497" i="1"/>
  <c r="M4497" i="1"/>
  <c r="C4498" i="1"/>
  <c r="E4498" i="1"/>
  <c r="F4498" i="1"/>
  <c r="H4498" i="1"/>
  <c r="I4498" i="1"/>
  <c r="J4498" i="1"/>
  <c r="L4498" i="1"/>
  <c r="M4498" i="1"/>
  <c r="C4499" i="1"/>
  <c r="E4499" i="1"/>
  <c r="F4499" i="1"/>
  <c r="H4499" i="1"/>
  <c r="I4499" i="1"/>
  <c r="J4499" i="1"/>
  <c r="L4499" i="1"/>
  <c r="M4499" i="1"/>
  <c r="C4500" i="1"/>
  <c r="E4500" i="1"/>
  <c r="F4500" i="1"/>
  <c r="H4500" i="1"/>
  <c r="I4500" i="1"/>
  <c r="J4500" i="1"/>
  <c r="L4500" i="1"/>
  <c r="M4500" i="1"/>
  <c r="C4501" i="1"/>
  <c r="E4501" i="1"/>
  <c r="F4501" i="1"/>
  <c r="H4501" i="1"/>
  <c r="I4501" i="1"/>
  <c r="J4501" i="1"/>
  <c r="L4501" i="1"/>
  <c r="M4501" i="1"/>
  <c r="C4502" i="1"/>
  <c r="E4502" i="1"/>
  <c r="F4502" i="1"/>
  <c r="H4502" i="1"/>
  <c r="I4502" i="1"/>
  <c r="J4502" i="1"/>
  <c r="L4502" i="1"/>
  <c r="M4502" i="1"/>
  <c r="C4503" i="1"/>
  <c r="E4503" i="1"/>
  <c r="F4503" i="1"/>
  <c r="H4503" i="1"/>
  <c r="I4503" i="1"/>
  <c r="J4503" i="1"/>
  <c r="L4503" i="1"/>
  <c r="M4503" i="1"/>
  <c r="C4504" i="1"/>
  <c r="E4504" i="1"/>
  <c r="F4504" i="1"/>
  <c r="H4504" i="1"/>
  <c r="I4504" i="1"/>
  <c r="J4504" i="1"/>
  <c r="L4504" i="1"/>
  <c r="M4504" i="1"/>
  <c r="C4505" i="1"/>
  <c r="E4505" i="1"/>
  <c r="F4505" i="1"/>
  <c r="H4505" i="1"/>
  <c r="I4505" i="1"/>
  <c r="J4505" i="1"/>
  <c r="L4505" i="1"/>
  <c r="M4505" i="1"/>
  <c r="C4506" i="1"/>
  <c r="E4506" i="1"/>
  <c r="F4506" i="1"/>
  <c r="H4506" i="1"/>
  <c r="I4506" i="1"/>
  <c r="J4506" i="1"/>
  <c r="L4506" i="1"/>
  <c r="M4506" i="1"/>
  <c r="C4507" i="1"/>
  <c r="E4507" i="1"/>
  <c r="F4507" i="1"/>
  <c r="H4507" i="1"/>
  <c r="I4507" i="1"/>
  <c r="J4507" i="1"/>
  <c r="L4507" i="1"/>
  <c r="M4507" i="1"/>
  <c r="C4508" i="1"/>
  <c r="E4508" i="1"/>
  <c r="F4508" i="1"/>
  <c r="H4508" i="1"/>
  <c r="I4508" i="1"/>
  <c r="J4508" i="1"/>
  <c r="L4508" i="1"/>
  <c r="M4508" i="1"/>
  <c r="C4509" i="1"/>
  <c r="E4509" i="1"/>
  <c r="F4509" i="1"/>
  <c r="H4509" i="1"/>
  <c r="I4509" i="1"/>
  <c r="J4509" i="1"/>
  <c r="L4509" i="1"/>
  <c r="M4509" i="1"/>
  <c r="C4510" i="1"/>
  <c r="E4510" i="1"/>
  <c r="F4510" i="1"/>
  <c r="H4510" i="1"/>
  <c r="I4510" i="1"/>
  <c r="J4510" i="1"/>
  <c r="L4510" i="1"/>
  <c r="M4510" i="1"/>
  <c r="C4511" i="1"/>
  <c r="E4511" i="1"/>
  <c r="F4511" i="1"/>
  <c r="H4511" i="1"/>
  <c r="I4511" i="1"/>
  <c r="J4511" i="1"/>
  <c r="L4511" i="1"/>
  <c r="M4511" i="1"/>
  <c r="C4512" i="1"/>
  <c r="E4512" i="1"/>
  <c r="F4512" i="1"/>
  <c r="H4512" i="1"/>
  <c r="I4512" i="1"/>
  <c r="J4512" i="1"/>
  <c r="L4512" i="1"/>
  <c r="M4512" i="1"/>
  <c r="C4513" i="1"/>
  <c r="E4513" i="1"/>
  <c r="F4513" i="1"/>
  <c r="H4513" i="1"/>
  <c r="I4513" i="1"/>
  <c r="J4513" i="1"/>
  <c r="L4513" i="1"/>
  <c r="M4513" i="1"/>
  <c r="C4514" i="1"/>
  <c r="E4514" i="1"/>
  <c r="F4514" i="1"/>
  <c r="H4514" i="1"/>
  <c r="I4514" i="1"/>
  <c r="J4514" i="1"/>
  <c r="L4514" i="1"/>
  <c r="M4514" i="1"/>
  <c r="C4515" i="1"/>
  <c r="E4515" i="1"/>
  <c r="F4515" i="1"/>
  <c r="H4515" i="1"/>
  <c r="I4515" i="1"/>
  <c r="J4515" i="1"/>
  <c r="L4515" i="1"/>
  <c r="M4515" i="1"/>
  <c r="C4516" i="1"/>
  <c r="E4516" i="1"/>
  <c r="F4516" i="1"/>
  <c r="H4516" i="1"/>
  <c r="I4516" i="1"/>
  <c r="J4516" i="1"/>
  <c r="L4516" i="1"/>
  <c r="M4516" i="1"/>
  <c r="C4517" i="1"/>
  <c r="E4517" i="1"/>
  <c r="F4517" i="1"/>
  <c r="H4517" i="1"/>
  <c r="I4517" i="1"/>
  <c r="J4517" i="1"/>
  <c r="L4517" i="1"/>
  <c r="M4517" i="1"/>
  <c r="C4518" i="1"/>
  <c r="E4518" i="1"/>
  <c r="F4518" i="1"/>
  <c r="H4518" i="1"/>
  <c r="I4518" i="1"/>
  <c r="J4518" i="1"/>
  <c r="L4518" i="1"/>
  <c r="M4518" i="1"/>
  <c r="C4519" i="1"/>
  <c r="E4519" i="1"/>
  <c r="F4519" i="1"/>
  <c r="H4519" i="1"/>
  <c r="I4519" i="1"/>
  <c r="J4519" i="1"/>
  <c r="L4519" i="1"/>
  <c r="M4519" i="1"/>
  <c r="C4520" i="1"/>
  <c r="E4520" i="1"/>
  <c r="F4520" i="1"/>
  <c r="H4520" i="1"/>
  <c r="I4520" i="1"/>
  <c r="J4520" i="1"/>
  <c r="L4520" i="1"/>
  <c r="M4520" i="1"/>
  <c r="C4521" i="1"/>
  <c r="E4521" i="1"/>
  <c r="F4521" i="1"/>
  <c r="H4521" i="1"/>
  <c r="I4521" i="1"/>
  <c r="J4521" i="1"/>
  <c r="L4521" i="1"/>
  <c r="M4521" i="1"/>
  <c r="C4522" i="1"/>
  <c r="E4522" i="1"/>
  <c r="F4522" i="1"/>
  <c r="H4522" i="1"/>
  <c r="I4522" i="1"/>
  <c r="J4522" i="1"/>
  <c r="L4522" i="1"/>
  <c r="M4522" i="1"/>
  <c r="C4523" i="1"/>
  <c r="E4523" i="1"/>
  <c r="F4523" i="1"/>
  <c r="H4523" i="1"/>
  <c r="I4523" i="1"/>
  <c r="J4523" i="1"/>
  <c r="L4523" i="1"/>
  <c r="M4523" i="1"/>
  <c r="C4524" i="1"/>
  <c r="E4524" i="1"/>
  <c r="F4524" i="1"/>
  <c r="H4524" i="1"/>
  <c r="I4524" i="1"/>
  <c r="J4524" i="1"/>
  <c r="L4524" i="1"/>
  <c r="M4524" i="1"/>
  <c r="C4525" i="1"/>
  <c r="E4525" i="1"/>
  <c r="F4525" i="1"/>
  <c r="H4525" i="1"/>
  <c r="I4525" i="1"/>
  <c r="J4525" i="1"/>
  <c r="L4525" i="1"/>
  <c r="M4525" i="1"/>
  <c r="C4526" i="1"/>
  <c r="E4526" i="1"/>
  <c r="F4526" i="1"/>
  <c r="H4526" i="1"/>
  <c r="I4526" i="1"/>
  <c r="J4526" i="1"/>
  <c r="L4526" i="1"/>
  <c r="M4526" i="1"/>
  <c r="C4527" i="1"/>
  <c r="E4527" i="1"/>
  <c r="F4527" i="1"/>
  <c r="H4527" i="1"/>
  <c r="I4527" i="1"/>
  <c r="J4527" i="1"/>
  <c r="L4527" i="1"/>
  <c r="M4527" i="1"/>
  <c r="C4528" i="1"/>
  <c r="E4528" i="1"/>
  <c r="F4528" i="1"/>
  <c r="H4528" i="1"/>
  <c r="I4528" i="1"/>
  <c r="J4528" i="1"/>
  <c r="L4528" i="1"/>
  <c r="M4528" i="1"/>
  <c r="C4529" i="1"/>
  <c r="E4529" i="1"/>
  <c r="F4529" i="1"/>
  <c r="H4529" i="1"/>
  <c r="I4529" i="1"/>
  <c r="J4529" i="1"/>
  <c r="L4529" i="1"/>
  <c r="M4529" i="1"/>
  <c r="C4530" i="1"/>
  <c r="E4530" i="1"/>
  <c r="F4530" i="1"/>
  <c r="H4530" i="1"/>
  <c r="I4530" i="1"/>
  <c r="J4530" i="1"/>
  <c r="L4530" i="1"/>
  <c r="M4530" i="1"/>
  <c r="C4531" i="1"/>
  <c r="E4531" i="1"/>
  <c r="F4531" i="1"/>
  <c r="H4531" i="1"/>
  <c r="I4531" i="1"/>
  <c r="J4531" i="1"/>
  <c r="L4531" i="1"/>
  <c r="M4531" i="1"/>
  <c r="C4532" i="1"/>
  <c r="E4532" i="1"/>
  <c r="F4532" i="1"/>
  <c r="H4532" i="1"/>
  <c r="I4532" i="1"/>
  <c r="J4532" i="1"/>
  <c r="L4532" i="1"/>
  <c r="M4532" i="1"/>
  <c r="C4533" i="1"/>
  <c r="E4533" i="1"/>
  <c r="F4533" i="1"/>
  <c r="H4533" i="1"/>
  <c r="I4533" i="1"/>
  <c r="J4533" i="1"/>
  <c r="L4533" i="1"/>
  <c r="M4533" i="1"/>
  <c r="C4534" i="1"/>
  <c r="E4534" i="1"/>
  <c r="F4534" i="1"/>
  <c r="H4534" i="1"/>
  <c r="I4534" i="1"/>
  <c r="J4534" i="1"/>
  <c r="L4534" i="1"/>
  <c r="M4534" i="1"/>
  <c r="C4535" i="1"/>
  <c r="E4535" i="1"/>
  <c r="F4535" i="1"/>
  <c r="H4535" i="1"/>
  <c r="I4535" i="1"/>
  <c r="J4535" i="1"/>
  <c r="L4535" i="1"/>
  <c r="M4535" i="1"/>
  <c r="C4536" i="1"/>
  <c r="E4536" i="1"/>
  <c r="F4536" i="1"/>
  <c r="H4536" i="1"/>
  <c r="I4536" i="1"/>
  <c r="J4536" i="1"/>
  <c r="L4536" i="1"/>
  <c r="M4536" i="1"/>
  <c r="C4537" i="1"/>
  <c r="E4537" i="1"/>
  <c r="F4537" i="1"/>
  <c r="H4537" i="1"/>
  <c r="I4537" i="1"/>
  <c r="J4537" i="1"/>
  <c r="L4537" i="1"/>
  <c r="M4537" i="1"/>
  <c r="C4538" i="1"/>
  <c r="E4538" i="1"/>
  <c r="F4538" i="1"/>
  <c r="H4538" i="1"/>
  <c r="I4538" i="1"/>
  <c r="J4538" i="1"/>
  <c r="L4538" i="1"/>
  <c r="M4538" i="1"/>
  <c r="C4539" i="1"/>
  <c r="E4539" i="1"/>
  <c r="F4539" i="1"/>
  <c r="H4539" i="1"/>
  <c r="I4539" i="1"/>
  <c r="J4539" i="1"/>
  <c r="L4539" i="1"/>
  <c r="M4539" i="1"/>
  <c r="C4540" i="1"/>
  <c r="E4540" i="1"/>
  <c r="F4540" i="1"/>
  <c r="H4540" i="1"/>
  <c r="I4540" i="1"/>
  <c r="J4540" i="1"/>
  <c r="L4540" i="1"/>
  <c r="M4540" i="1"/>
  <c r="C4541" i="1"/>
  <c r="E4541" i="1"/>
  <c r="F4541" i="1"/>
  <c r="H4541" i="1"/>
  <c r="I4541" i="1"/>
  <c r="J4541" i="1"/>
  <c r="L4541" i="1"/>
  <c r="M4541" i="1"/>
  <c r="C4542" i="1"/>
  <c r="E4542" i="1"/>
  <c r="F4542" i="1"/>
  <c r="H4542" i="1"/>
  <c r="I4542" i="1"/>
  <c r="J4542" i="1"/>
  <c r="L4542" i="1"/>
  <c r="M4542" i="1"/>
  <c r="C4543" i="1"/>
  <c r="E4543" i="1"/>
  <c r="F4543" i="1"/>
  <c r="H4543" i="1"/>
  <c r="I4543" i="1"/>
  <c r="J4543" i="1"/>
  <c r="L4543" i="1"/>
  <c r="M4543" i="1"/>
  <c r="C4544" i="1"/>
  <c r="E4544" i="1"/>
  <c r="F4544" i="1"/>
  <c r="H4544" i="1"/>
  <c r="I4544" i="1"/>
  <c r="J4544" i="1"/>
  <c r="L4544" i="1"/>
  <c r="M4544" i="1"/>
  <c r="C4545" i="1"/>
  <c r="E4545" i="1"/>
  <c r="F4545" i="1"/>
  <c r="H4545" i="1"/>
  <c r="I4545" i="1"/>
  <c r="J4545" i="1"/>
  <c r="L4545" i="1"/>
  <c r="M4545" i="1"/>
  <c r="C4546" i="1"/>
  <c r="E4546" i="1"/>
  <c r="F4546" i="1"/>
  <c r="H4546" i="1"/>
  <c r="I4546" i="1"/>
  <c r="J4546" i="1"/>
  <c r="L4546" i="1"/>
  <c r="M4546" i="1"/>
  <c r="C4547" i="1"/>
  <c r="E4547" i="1"/>
  <c r="F4547" i="1"/>
  <c r="H4547" i="1"/>
  <c r="I4547" i="1"/>
  <c r="J4547" i="1"/>
  <c r="L4547" i="1"/>
  <c r="M4547" i="1"/>
  <c r="C4548" i="1"/>
  <c r="E4548" i="1"/>
  <c r="F4548" i="1"/>
  <c r="H4548" i="1"/>
  <c r="I4548" i="1"/>
  <c r="J4548" i="1"/>
  <c r="L4548" i="1"/>
  <c r="M4548" i="1"/>
  <c r="C4549" i="1"/>
  <c r="E4549" i="1"/>
  <c r="F4549" i="1"/>
  <c r="H4549" i="1"/>
  <c r="I4549" i="1"/>
  <c r="J4549" i="1"/>
  <c r="L4549" i="1"/>
  <c r="M4549" i="1"/>
  <c r="C4550" i="1"/>
  <c r="E4550" i="1"/>
  <c r="F4550" i="1"/>
  <c r="H4550" i="1"/>
  <c r="I4550" i="1"/>
  <c r="J4550" i="1"/>
  <c r="L4550" i="1"/>
  <c r="M4550" i="1"/>
  <c r="C4551" i="1"/>
  <c r="E4551" i="1"/>
  <c r="F4551" i="1"/>
  <c r="H4551" i="1"/>
  <c r="I4551" i="1"/>
  <c r="J4551" i="1"/>
  <c r="L4551" i="1"/>
  <c r="M4551" i="1"/>
  <c r="C4552" i="1"/>
  <c r="E4552" i="1"/>
  <c r="F4552" i="1"/>
  <c r="H4552" i="1"/>
  <c r="I4552" i="1"/>
  <c r="J4552" i="1"/>
  <c r="L4552" i="1"/>
  <c r="M4552" i="1"/>
  <c r="C4553" i="1"/>
  <c r="E4553" i="1"/>
  <c r="F4553" i="1"/>
  <c r="H4553" i="1"/>
  <c r="I4553" i="1"/>
  <c r="J4553" i="1"/>
  <c r="L4553" i="1"/>
  <c r="M4553" i="1"/>
  <c r="C4554" i="1"/>
  <c r="E4554" i="1"/>
  <c r="F4554" i="1"/>
  <c r="H4554" i="1"/>
  <c r="I4554" i="1"/>
  <c r="J4554" i="1"/>
  <c r="L4554" i="1"/>
  <c r="M4554" i="1"/>
  <c r="C4555" i="1"/>
  <c r="E4555" i="1"/>
  <c r="F4555" i="1"/>
  <c r="H4555" i="1"/>
  <c r="I4555" i="1"/>
  <c r="J4555" i="1"/>
  <c r="L4555" i="1"/>
  <c r="M4555" i="1"/>
  <c r="C4556" i="1"/>
  <c r="E4556" i="1"/>
  <c r="F4556" i="1"/>
  <c r="H4556" i="1"/>
  <c r="I4556" i="1"/>
  <c r="J4556" i="1"/>
  <c r="L4556" i="1"/>
  <c r="M4556" i="1"/>
  <c r="C4557" i="1"/>
  <c r="E4557" i="1"/>
  <c r="F4557" i="1"/>
  <c r="H4557" i="1"/>
  <c r="I4557" i="1"/>
  <c r="J4557" i="1"/>
  <c r="L4557" i="1"/>
  <c r="M4557" i="1"/>
  <c r="C4558" i="1"/>
  <c r="E4558" i="1"/>
  <c r="F4558" i="1"/>
  <c r="H4558" i="1"/>
  <c r="I4558" i="1"/>
  <c r="J4558" i="1"/>
  <c r="L4558" i="1"/>
  <c r="M4558" i="1"/>
  <c r="C4559" i="1"/>
  <c r="E4559" i="1"/>
  <c r="F4559" i="1"/>
  <c r="H4559" i="1"/>
  <c r="I4559" i="1"/>
  <c r="J4559" i="1"/>
  <c r="L4559" i="1"/>
  <c r="M4559" i="1"/>
  <c r="C4560" i="1"/>
  <c r="E4560" i="1"/>
  <c r="F4560" i="1"/>
  <c r="H4560" i="1"/>
  <c r="I4560" i="1"/>
  <c r="J4560" i="1"/>
  <c r="L4560" i="1"/>
  <c r="M4560" i="1"/>
  <c r="C4561" i="1"/>
  <c r="E4561" i="1"/>
  <c r="F4561" i="1"/>
  <c r="H4561" i="1"/>
  <c r="I4561" i="1"/>
  <c r="J4561" i="1"/>
  <c r="L4561" i="1"/>
  <c r="M4561" i="1"/>
  <c r="C4562" i="1"/>
  <c r="E4562" i="1"/>
  <c r="F4562" i="1"/>
  <c r="H4562" i="1"/>
  <c r="I4562" i="1"/>
  <c r="J4562" i="1"/>
  <c r="L4562" i="1"/>
  <c r="M4562" i="1"/>
  <c r="C4563" i="1"/>
  <c r="E4563" i="1"/>
  <c r="F4563" i="1"/>
  <c r="H4563" i="1"/>
  <c r="I4563" i="1"/>
  <c r="J4563" i="1"/>
  <c r="L4563" i="1"/>
  <c r="M4563" i="1"/>
  <c r="C4564" i="1"/>
  <c r="E4564" i="1"/>
  <c r="F4564" i="1"/>
  <c r="H4564" i="1"/>
  <c r="I4564" i="1"/>
  <c r="J4564" i="1"/>
  <c r="L4564" i="1"/>
  <c r="M4564" i="1"/>
  <c r="C4565" i="1"/>
  <c r="E4565" i="1"/>
  <c r="F4565" i="1"/>
  <c r="H4565" i="1"/>
  <c r="I4565" i="1"/>
  <c r="J4565" i="1"/>
  <c r="L4565" i="1"/>
  <c r="M4565" i="1"/>
  <c r="C4566" i="1"/>
  <c r="E4566" i="1"/>
  <c r="F4566" i="1"/>
  <c r="H4566" i="1"/>
  <c r="I4566" i="1"/>
  <c r="J4566" i="1"/>
  <c r="L4566" i="1"/>
  <c r="M4566" i="1"/>
  <c r="C4567" i="1"/>
  <c r="E4567" i="1"/>
  <c r="F4567" i="1"/>
  <c r="H4567" i="1"/>
  <c r="I4567" i="1"/>
  <c r="J4567" i="1"/>
  <c r="L4567" i="1"/>
  <c r="M4567" i="1"/>
  <c r="C4568" i="1"/>
  <c r="E4568" i="1"/>
  <c r="F4568" i="1"/>
  <c r="H4568" i="1"/>
  <c r="I4568" i="1"/>
  <c r="J4568" i="1"/>
  <c r="L4568" i="1"/>
  <c r="M4568" i="1"/>
  <c r="C4569" i="1"/>
  <c r="E4569" i="1"/>
  <c r="F4569" i="1"/>
  <c r="H4569" i="1"/>
  <c r="I4569" i="1"/>
  <c r="J4569" i="1"/>
  <c r="L4569" i="1"/>
  <c r="M4569" i="1"/>
  <c r="C4570" i="1"/>
  <c r="E4570" i="1"/>
  <c r="F4570" i="1"/>
  <c r="H4570" i="1"/>
  <c r="I4570" i="1"/>
  <c r="J4570" i="1"/>
  <c r="L4570" i="1"/>
  <c r="M4570" i="1"/>
  <c r="C4571" i="1"/>
  <c r="E4571" i="1"/>
  <c r="F4571" i="1"/>
  <c r="H4571" i="1"/>
  <c r="I4571" i="1"/>
  <c r="J4571" i="1"/>
  <c r="L4571" i="1"/>
  <c r="M4571" i="1"/>
  <c r="C4572" i="1"/>
  <c r="E4572" i="1"/>
  <c r="F4572" i="1"/>
  <c r="H4572" i="1"/>
  <c r="I4572" i="1"/>
  <c r="J4572" i="1"/>
  <c r="L4572" i="1"/>
  <c r="M4572" i="1"/>
  <c r="C4573" i="1"/>
  <c r="E4573" i="1"/>
  <c r="F4573" i="1"/>
  <c r="H4573" i="1"/>
  <c r="I4573" i="1"/>
  <c r="J4573" i="1"/>
  <c r="L4573" i="1"/>
  <c r="M4573" i="1"/>
  <c r="C4574" i="1"/>
  <c r="E4574" i="1"/>
  <c r="F4574" i="1"/>
  <c r="H4574" i="1"/>
  <c r="I4574" i="1"/>
  <c r="J4574" i="1"/>
  <c r="L4574" i="1"/>
  <c r="M4574" i="1"/>
  <c r="C4575" i="1"/>
  <c r="E4575" i="1"/>
  <c r="F4575" i="1"/>
  <c r="H4575" i="1"/>
  <c r="I4575" i="1"/>
  <c r="J4575" i="1"/>
  <c r="L4575" i="1"/>
  <c r="M4575" i="1"/>
  <c r="C4576" i="1"/>
  <c r="E4576" i="1"/>
  <c r="F4576" i="1"/>
  <c r="H4576" i="1"/>
  <c r="I4576" i="1"/>
  <c r="J4576" i="1"/>
  <c r="L4576" i="1"/>
  <c r="M4576" i="1"/>
  <c r="C4577" i="1"/>
  <c r="E4577" i="1"/>
  <c r="F4577" i="1"/>
  <c r="H4577" i="1"/>
  <c r="I4577" i="1"/>
  <c r="J4577" i="1"/>
  <c r="L4577" i="1"/>
  <c r="M4577" i="1"/>
  <c r="C4578" i="1"/>
  <c r="E4578" i="1"/>
  <c r="F4578" i="1"/>
  <c r="H4578" i="1"/>
  <c r="I4578" i="1"/>
  <c r="J4578" i="1"/>
  <c r="L4578" i="1"/>
  <c r="M4578" i="1"/>
  <c r="C4579" i="1"/>
  <c r="E4579" i="1"/>
  <c r="F4579" i="1"/>
  <c r="H4579" i="1"/>
  <c r="I4579" i="1"/>
  <c r="J4579" i="1"/>
  <c r="L4579" i="1"/>
  <c r="M4579" i="1"/>
  <c r="C4580" i="1"/>
  <c r="E4580" i="1"/>
  <c r="F4580" i="1"/>
  <c r="H4580" i="1"/>
  <c r="I4580" i="1"/>
  <c r="J4580" i="1"/>
  <c r="L4580" i="1"/>
  <c r="M4580" i="1"/>
  <c r="C4581" i="1"/>
  <c r="E4581" i="1"/>
  <c r="F4581" i="1"/>
  <c r="H4581" i="1"/>
  <c r="I4581" i="1"/>
  <c r="J4581" i="1"/>
  <c r="L4581" i="1"/>
  <c r="M4581" i="1"/>
  <c r="C4582" i="1"/>
  <c r="E4582" i="1"/>
  <c r="F4582" i="1"/>
  <c r="H4582" i="1"/>
  <c r="I4582" i="1"/>
  <c r="J4582" i="1"/>
  <c r="L4582" i="1"/>
  <c r="M4582" i="1"/>
  <c r="C4583" i="1"/>
  <c r="E4583" i="1"/>
  <c r="F4583" i="1"/>
  <c r="H4583" i="1"/>
  <c r="I4583" i="1"/>
  <c r="J4583" i="1"/>
  <c r="L4583" i="1"/>
  <c r="M4583" i="1"/>
  <c r="C4584" i="1"/>
  <c r="E4584" i="1"/>
  <c r="F4584" i="1"/>
  <c r="H4584" i="1"/>
  <c r="I4584" i="1"/>
  <c r="J4584" i="1"/>
  <c r="L4584" i="1"/>
  <c r="M4584" i="1"/>
  <c r="C4585" i="1"/>
  <c r="E4585" i="1"/>
  <c r="F4585" i="1"/>
  <c r="H4585" i="1"/>
  <c r="I4585" i="1"/>
  <c r="J4585" i="1"/>
  <c r="L4585" i="1"/>
  <c r="M4585" i="1"/>
  <c r="C4586" i="1"/>
  <c r="E4586" i="1"/>
  <c r="F4586" i="1"/>
  <c r="H4586" i="1"/>
  <c r="I4586" i="1"/>
  <c r="J4586" i="1"/>
  <c r="L4586" i="1"/>
  <c r="M4586" i="1"/>
  <c r="C4587" i="1"/>
  <c r="E4587" i="1"/>
  <c r="F4587" i="1"/>
  <c r="H4587" i="1"/>
  <c r="I4587" i="1"/>
  <c r="J4587" i="1"/>
  <c r="L4587" i="1"/>
  <c r="M4587" i="1"/>
  <c r="C4588" i="1"/>
  <c r="E4588" i="1"/>
  <c r="F4588" i="1"/>
  <c r="H4588" i="1"/>
  <c r="I4588" i="1"/>
  <c r="J4588" i="1"/>
  <c r="L4588" i="1"/>
  <c r="M4588" i="1"/>
  <c r="C4589" i="1"/>
  <c r="E4589" i="1"/>
  <c r="F4589" i="1"/>
  <c r="H4589" i="1"/>
  <c r="I4589" i="1"/>
  <c r="J4589" i="1"/>
  <c r="L4589" i="1"/>
  <c r="M4589" i="1"/>
  <c r="C4590" i="1"/>
  <c r="E4590" i="1"/>
  <c r="F4590" i="1"/>
  <c r="H4590" i="1"/>
  <c r="I4590" i="1"/>
  <c r="J4590" i="1"/>
  <c r="L4590" i="1"/>
  <c r="M4590" i="1"/>
  <c r="C4591" i="1"/>
  <c r="E4591" i="1"/>
  <c r="F4591" i="1"/>
  <c r="H4591" i="1"/>
  <c r="I4591" i="1"/>
  <c r="J4591" i="1"/>
  <c r="L4591" i="1"/>
  <c r="M4591" i="1"/>
  <c r="C4592" i="1"/>
  <c r="E4592" i="1"/>
  <c r="F4592" i="1"/>
  <c r="H4592" i="1"/>
  <c r="I4592" i="1"/>
  <c r="J4592" i="1"/>
  <c r="L4592" i="1"/>
  <c r="M4592" i="1"/>
  <c r="C4593" i="1"/>
  <c r="E4593" i="1"/>
  <c r="F4593" i="1"/>
  <c r="H4593" i="1"/>
  <c r="I4593" i="1"/>
  <c r="J4593" i="1"/>
  <c r="L4593" i="1"/>
  <c r="M4593" i="1"/>
  <c r="C4594" i="1"/>
  <c r="E4594" i="1"/>
  <c r="F4594" i="1"/>
  <c r="H4594" i="1"/>
  <c r="I4594" i="1"/>
  <c r="J4594" i="1"/>
  <c r="L4594" i="1"/>
  <c r="M4594" i="1"/>
  <c r="C4595" i="1"/>
  <c r="E4595" i="1"/>
  <c r="F4595" i="1"/>
  <c r="H4595" i="1"/>
  <c r="I4595" i="1"/>
  <c r="J4595" i="1"/>
  <c r="L4595" i="1"/>
  <c r="M4595" i="1"/>
  <c r="C4596" i="1"/>
  <c r="E4596" i="1"/>
  <c r="F4596" i="1"/>
  <c r="H4596" i="1"/>
  <c r="I4596" i="1"/>
  <c r="J4596" i="1"/>
  <c r="L4596" i="1"/>
  <c r="M4596" i="1"/>
  <c r="C4597" i="1"/>
  <c r="E4597" i="1"/>
  <c r="F4597" i="1"/>
  <c r="H4597" i="1"/>
  <c r="I4597" i="1"/>
  <c r="J4597" i="1"/>
  <c r="L4597" i="1"/>
  <c r="M4597" i="1"/>
  <c r="C4598" i="1"/>
  <c r="E4598" i="1"/>
  <c r="F4598" i="1"/>
  <c r="H4598" i="1"/>
  <c r="I4598" i="1"/>
  <c r="J4598" i="1"/>
  <c r="L4598" i="1"/>
  <c r="M4598" i="1"/>
  <c r="C4599" i="1"/>
  <c r="E4599" i="1"/>
  <c r="F4599" i="1"/>
  <c r="H4599" i="1"/>
  <c r="I4599" i="1"/>
  <c r="J4599" i="1"/>
  <c r="L4599" i="1"/>
  <c r="M4599" i="1"/>
  <c r="C4600" i="1"/>
  <c r="E4600" i="1"/>
  <c r="F4600" i="1"/>
  <c r="H4600" i="1"/>
  <c r="I4600" i="1"/>
  <c r="J4600" i="1"/>
  <c r="L4600" i="1"/>
  <c r="M4600" i="1"/>
  <c r="C4601" i="1"/>
  <c r="E4601" i="1"/>
  <c r="F4601" i="1"/>
  <c r="H4601" i="1"/>
  <c r="I4601" i="1"/>
  <c r="J4601" i="1"/>
  <c r="L4601" i="1"/>
  <c r="M4601" i="1"/>
  <c r="C4602" i="1"/>
  <c r="E4602" i="1"/>
  <c r="F4602" i="1"/>
  <c r="H4602" i="1"/>
  <c r="I4602" i="1"/>
  <c r="J4602" i="1"/>
  <c r="L4602" i="1"/>
  <c r="M4602" i="1"/>
  <c r="C4603" i="1"/>
  <c r="E4603" i="1"/>
  <c r="F4603" i="1"/>
  <c r="H4603" i="1"/>
  <c r="I4603" i="1"/>
  <c r="J4603" i="1"/>
  <c r="L4603" i="1"/>
  <c r="M4603" i="1"/>
  <c r="C4604" i="1"/>
  <c r="E4604" i="1"/>
  <c r="F4604" i="1"/>
  <c r="H4604" i="1"/>
  <c r="I4604" i="1"/>
  <c r="J4604" i="1"/>
  <c r="L4604" i="1"/>
  <c r="M4604" i="1"/>
  <c r="C4605" i="1"/>
  <c r="E4605" i="1"/>
  <c r="F4605" i="1"/>
  <c r="H4605" i="1"/>
  <c r="I4605" i="1"/>
  <c r="J4605" i="1"/>
  <c r="L4605" i="1"/>
  <c r="M4605" i="1"/>
  <c r="C4606" i="1"/>
  <c r="E4606" i="1"/>
  <c r="F4606" i="1"/>
  <c r="H4606" i="1"/>
  <c r="I4606" i="1"/>
  <c r="J4606" i="1"/>
  <c r="L4606" i="1"/>
  <c r="M4606" i="1"/>
  <c r="C4607" i="1"/>
  <c r="E4607" i="1"/>
  <c r="F4607" i="1"/>
  <c r="H4607" i="1"/>
  <c r="I4607" i="1"/>
  <c r="J4607" i="1"/>
  <c r="L4607" i="1"/>
  <c r="M4607" i="1"/>
  <c r="C4608" i="1"/>
  <c r="E4608" i="1"/>
  <c r="F4608" i="1"/>
  <c r="H4608" i="1"/>
  <c r="I4608" i="1"/>
  <c r="J4608" i="1"/>
  <c r="L4608" i="1"/>
  <c r="M4608" i="1"/>
  <c r="C4609" i="1"/>
  <c r="E4609" i="1"/>
  <c r="F4609" i="1"/>
  <c r="H4609" i="1"/>
  <c r="I4609" i="1"/>
  <c r="J4609" i="1"/>
  <c r="L4609" i="1"/>
  <c r="M4609" i="1"/>
  <c r="C4610" i="1"/>
  <c r="E4610" i="1"/>
  <c r="F4610" i="1"/>
  <c r="H4610" i="1"/>
  <c r="I4610" i="1"/>
  <c r="J4610" i="1"/>
  <c r="L4610" i="1"/>
  <c r="M4610" i="1"/>
  <c r="C4611" i="1"/>
  <c r="E4611" i="1"/>
  <c r="F4611" i="1"/>
  <c r="H4611" i="1"/>
  <c r="I4611" i="1"/>
  <c r="J4611" i="1"/>
  <c r="L4611" i="1"/>
  <c r="M4611" i="1"/>
  <c r="C4612" i="1"/>
  <c r="E4612" i="1"/>
  <c r="F4612" i="1"/>
  <c r="H4612" i="1"/>
  <c r="I4612" i="1"/>
  <c r="J4612" i="1"/>
  <c r="L4612" i="1"/>
  <c r="M4612" i="1"/>
  <c r="C4613" i="1"/>
  <c r="E4613" i="1"/>
  <c r="F4613" i="1"/>
  <c r="H4613" i="1"/>
  <c r="I4613" i="1"/>
  <c r="J4613" i="1"/>
  <c r="L4613" i="1"/>
  <c r="M4613" i="1"/>
  <c r="C4614" i="1"/>
  <c r="E4614" i="1"/>
  <c r="F4614" i="1"/>
  <c r="H4614" i="1"/>
  <c r="I4614" i="1"/>
  <c r="J4614" i="1"/>
  <c r="L4614" i="1"/>
  <c r="M4614" i="1"/>
  <c r="C4615" i="1"/>
  <c r="E4615" i="1"/>
  <c r="F4615" i="1"/>
  <c r="H4615" i="1"/>
  <c r="I4615" i="1"/>
  <c r="J4615" i="1"/>
  <c r="L4615" i="1"/>
  <c r="M4615" i="1"/>
  <c r="C4616" i="1"/>
  <c r="E4616" i="1"/>
  <c r="F4616" i="1"/>
  <c r="H4616" i="1"/>
  <c r="I4616" i="1"/>
  <c r="J4616" i="1"/>
  <c r="L4616" i="1"/>
  <c r="M4616" i="1"/>
  <c r="C4617" i="1"/>
  <c r="E4617" i="1"/>
  <c r="F4617" i="1"/>
  <c r="H4617" i="1"/>
  <c r="I4617" i="1"/>
  <c r="J4617" i="1"/>
  <c r="L4617" i="1"/>
  <c r="M4617" i="1"/>
  <c r="C4618" i="1"/>
  <c r="E4618" i="1"/>
  <c r="F4618" i="1"/>
  <c r="H4618" i="1"/>
  <c r="I4618" i="1"/>
  <c r="J4618" i="1"/>
  <c r="L4618" i="1"/>
  <c r="M4618" i="1"/>
  <c r="C4619" i="1"/>
  <c r="E4619" i="1"/>
  <c r="F4619" i="1"/>
  <c r="H4619" i="1"/>
  <c r="I4619" i="1"/>
  <c r="J4619" i="1"/>
  <c r="L4619" i="1"/>
  <c r="M4619" i="1"/>
  <c r="C4620" i="1"/>
  <c r="E4620" i="1"/>
  <c r="F4620" i="1"/>
  <c r="H4620" i="1"/>
  <c r="I4620" i="1"/>
  <c r="J4620" i="1"/>
  <c r="L4620" i="1"/>
  <c r="M4620" i="1"/>
  <c r="C4621" i="1"/>
  <c r="E4621" i="1"/>
  <c r="F4621" i="1"/>
  <c r="H4621" i="1"/>
  <c r="I4621" i="1"/>
  <c r="J4621" i="1"/>
  <c r="L4621" i="1"/>
  <c r="M4621" i="1"/>
  <c r="C4622" i="1"/>
  <c r="E4622" i="1"/>
  <c r="F4622" i="1"/>
  <c r="H4622" i="1"/>
  <c r="I4622" i="1"/>
  <c r="J4622" i="1"/>
  <c r="L4622" i="1"/>
  <c r="M4622" i="1"/>
  <c r="C4623" i="1"/>
  <c r="E4623" i="1"/>
  <c r="F4623" i="1"/>
  <c r="H4623" i="1"/>
  <c r="I4623" i="1"/>
  <c r="J4623" i="1"/>
  <c r="L4623" i="1"/>
  <c r="M4623" i="1"/>
  <c r="C4624" i="1"/>
  <c r="E4624" i="1"/>
  <c r="F4624" i="1"/>
  <c r="H4624" i="1"/>
  <c r="I4624" i="1"/>
  <c r="J4624" i="1"/>
  <c r="L4624" i="1"/>
  <c r="M4624" i="1"/>
  <c r="C4625" i="1"/>
  <c r="E4625" i="1"/>
  <c r="F4625" i="1"/>
  <c r="H4625" i="1"/>
  <c r="I4625" i="1"/>
  <c r="J4625" i="1"/>
  <c r="L4625" i="1"/>
  <c r="M4625" i="1"/>
  <c r="C4626" i="1"/>
  <c r="E4626" i="1"/>
  <c r="F4626" i="1"/>
  <c r="H4626" i="1"/>
  <c r="I4626" i="1"/>
  <c r="J4626" i="1"/>
  <c r="L4626" i="1"/>
  <c r="M4626" i="1"/>
  <c r="C4627" i="1"/>
  <c r="E4627" i="1"/>
  <c r="F4627" i="1"/>
  <c r="H4627" i="1"/>
  <c r="I4627" i="1"/>
  <c r="J4627" i="1"/>
  <c r="L4627" i="1"/>
  <c r="M4627" i="1"/>
  <c r="C4628" i="1"/>
  <c r="E4628" i="1"/>
  <c r="F4628" i="1"/>
  <c r="H4628" i="1"/>
  <c r="I4628" i="1"/>
  <c r="J4628" i="1"/>
  <c r="L4628" i="1"/>
  <c r="M4628" i="1"/>
  <c r="C4629" i="1"/>
  <c r="E4629" i="1"/>
  <c r="F4629" i="1"/>
  <c r="H4629" i="1"/>
  <c r="I4629" i="1"/>
  <c r="J4629" i="1"/>
  <c r="L4629" i="1"/>
  <c r="M4629" i="1"/>
  <c r="C4630" i="1"/>
  <c r="E4630" i="1"/>
  <c r="F4630" i="1"/>
  <c r="H4630" i="1"/>
  <c r="I4630" i="1"/>
  <c r="J4630" i="1"/>
  <c r="L4630" i="1"/>
  <c r="M4630" i="1"/>
  <c r="C4631" i="1"/>
  <c r="E4631" i="1"/>
  <c r="F4631" i="1"/>
  <c r="H4631" i="1"/>
  <c r="I4631" i="1"/>
  <c r="J4631" i="1"/>
  <c r="L4631" i="1"/>
  <c r="M4631" i="1"/>
  <c r="C4632" i="1"/>
  <c r="E4632" i="1"/>
  <c r="F4632" i="1"/>
  <c r="H4632" i="1"/>
  <c r="I4632" i="1"/>
  <c r="J4632" i="1"/>
  <c r="L4632" i="1"/>
  <c r="M4632" i="1"/>
  <c r="C4633" i="1"/>
  <c r="E4633" i="1"/>
  <c r="F4633" i="1"/>
  <c r="H4633" i="1"/>
  <c r="I4633" i="1"/>
  <c r="J4633" i="1"/>
  <c r="L4633" i="1"/>
  <c r="M4633" i="1"/>
  <c r="C4634" i="1"/>
  <c r="E4634" i="1"/>
  <c r="F4634" i="1"/>
  <c r="H4634" i="1"/>
  <c r="I4634" i="1"/>
  <c r="J4634" i="1"/>
  <c r="L4634" i="1"/>
  <c r="M4634" i="1"/>
  <c r="C4635" i="1"/>
  <c r="E4635" i="1"/>
  <c r="F4635" i="1"/>
  <c r="H4635" i="1"/>
  <c r="I4635" i="1"/>
  <c r="J4635" i="1"/>
  <c r="L4635" i="1"/>
  <c r="M4635" i="1"/>
  <c r="C4636" i="1"/>
  <c r="E4636" i="1"/>
  <c r="F4636" i="1"/>
  <c r="H4636" i="1"/>
  <c r="I4636" i="1"/>
  <c r="J4636" i="1"/>
  <c r="L4636" i="1"/>
  <c r="M4636" i="1"/>
  <c r="C4637" i="1"/>
  <c r="E4637" i="1"/>
  <c r="F4637" i="1"/>
  <c r="H4637" i="1"/>
  <c r="I4637" i="1"/>
  <c r="J4637" i="1"/>
  <c r="L4637" i="1"/>
  <c r="M4637" i="1"/>
  <c r="C4638" i="1"/>
  <c r="E4638" i="1"/>
  <c r="F4638" i="1"/>
  <c r="H4638" i="1"/>
  <c r="I4638" i="1"/>
  <c r="J4638" i="1"/>
  <c r="L4638" i="1"/>
  <c r="M4638" i="1"/>
  <c r="C4639" i="1"/>
  <c r="E4639" i="1"/>
  <c r="F4639" i="1"/>
  <c r="H4639" i="1"/>
  <c r="I4639" i="1"/>
  <c r="J4639" i="1"/>
  <c r="L4639" i="1"/>
  <c r="M4639" i="1"/>
  <c r="C4640" i="1"/>
  <c r="E4640" i="1"/>
  <c r="F4640" i="1"/>
  <c r="H4640" i="1"/>
  <c r="I4640" i="1"/>
  <c r="J4640" i="1"/>
  <c r="L4640" i="1"/>
  <c r="M4640" i="1"/>
  <c r="C4641" i="1"/>
  <c r="E4641" i="1"/>
  <c r="F4641" i="1"/>
  <c r="H4641" i="1"/>
  <c r="I4641" i="1"/>
  <c r="J4641" i="1"/>
  <c r="L4641" i="1"/>
  <c r="M4641" i="1"/>
  <c r="C4642" i="1"/>
  <c r="E4642" i="1"/>
  <c r="F4642" i="1"/>
  <c r="H4642" i="1"/>
  <c r="I4642" i="1"/>
  <c r="J4642" i="1"/>
  <c r="L4642" i="1"/>
  <c r="M4642" i="1"/>
  <c r="C4643" i="1"/>
  <c r="E4643" i="1"/>
  <c r="F4643" i="1"/>
  <c r="H4643" i="1"/>
  <c r="I4643" i="1"/>
  <c r="J4643" i="1"/>
  <c r="L4643" i="1"/>
  <c r="M4643" i="1"/>
  <c r="C4644" i="1"/>
  <c r="E4644" i="1"/>
  <c r="F4644" i="1"/>
  <c r="H4644" i="1"/>
  <c r="I4644" i="1"/>
  <c r="J4644" i="1"/>
  <c r="L4644" i="1"/>
  <c r="M4644" i="1"/>
  <c r="C4645" i="1"/>
  <c r="E4645" i="1"/>
  <c r="F4645" i="1"/>
  <c r="H4645" i="1"/>
  <c r="I4645" i="1"/>
  <c r="J4645" i="1"/>
  <c r="L4645" i="1"/>
  <c r="M4645" i="1"/>
  <c r="C4646" i="1"/>
  <c r="E4646" i="1"/>
  <c r="F4646" i="1"/>
  <c r="H4646" i="1"/>
  <c r="I4646" i="1"/>
  <c r="J4646" i="1"/>
  <c r="L4646" i="1"/>
  <c r="M4646" i="1"/>
  <c r="C4647" i="1"/>
  <c r="E4647" i="1"/>
  <c r="F4647" i="1"/>
  <c r="H4647" i="1"/>
  <c r="I4647" i="1"/>
  <c r="J4647" i="1"/>
  <c r="L4647" i="1"/>
  <c r="M4647" i="1"/>
  <c r="C4648" i="1"/>
  <c r="E4648" i="1"/>
  <c r="F4648" i="1"/>
  <c r="H4648" i="1"/>
  <c r="I4648" i="1"/>
  <c r="J4648" i="1"/>
  <c r="L4648" i="1"/>
  <c r="M4648" i="1"/>
  <c r="C4649" i="1"/>
  <c r="E4649" i="1"/>
  <c r="F4649" i="1"/>
  <c r="H4649" i="1"/>
  <c r="I4649" i="1"/>
  <c r="J4649" i="1"/>
  <c r="L4649" i="1"/>
  <c r="M4649" i="1"/>
  <c r="C4650" i="1"/>
  <c r="E4650" i="1"/>
  <c r="F4650" i="1"/>
  <c r="H4650" i="1"/>
  <c r="I4650" i="1"/>
  <c r="J4650" i="1"/>
  <c r="L4650" i="1"/>
  <c r="M4650" i="1"/>
  <c r="C4651" i="1"/>
  <c r="E4651" i="1"/>
  <c r="F4651" i="1"/>
  <c r="H4651" i="1"/>
  <c r="I4651" i="1"/>
  <c r="J4651" i="1"/>
  <c r="L4651" i="1"/>
  <c r="M4651" i="1"/>
  <c r="C4652" i="1"/>
  <c r="E4652" i="1"/>
  <c r="F4652" i="1"/>
  <c r="H4652" i="1"/>
  <c r="I4652" i="1"/>
  <c r="J4652" i="1"/>
  <c r="L4652" i="1"/>
  <c r="M4652" i="1"/>
  <c r="C4653" i="1"/>
  <c r="E4653" i="1"/>
  <c r="F4653" i="1"/>
  <c r="H4653" i="1"/>
  <c r="I4653" i="1"/>
  <c r="J4653" i="1"/>
  <c r="L4653" i="1"/>
  <c r="M4653" i="1"/>
  <c r="C4654" i="1"/>
  <c r="E4654" i="1"/>
  <c r="F4654" i="1"/>
  <c r="H4654" i="1"/>
  <c r="I4654" i="1"/>
  <c r="J4654" i="1"/>
  <c r="L4654" i="1"/>
  <c r="M4654" i="1"/>
  <c r="C4655" i="1"/>
  <c r="E4655" i="1"/>
  <c r="F4655" i="1"/>
  <c r="H4655" i="1"/>
  <c r="I4655" i="1"/>
  <c r="J4655" i="1"/>
  <c r="L4655" i="1"/>
  <c r="M4655" i="1"/>
  <c r="C4656" i="1"/>
  <c r="E4656" i="1"/>
  <c r="F4656" i="1"/>
  <c r="H4656" i="1"/>
  <c r="I4656" i="1"/>
  <c r="J4656" i="1"/>
  <c r="L4656" i="1"/>
  <c r="M4656" i="1"/>
  <c r="C4657" i="1"/>
  <c r="E4657" i="1"/>
  <c r="F4657" i="1"/>
  <c r="H4657" i="1"/>
  <c r="I4657" i="1"/>
  <c r="J4657" i="1"/>
  <c r="L4657" i="1"/>
  <c r="M4657" i="1"/>
  <c r="C4658" i="1"/>
  <c r="E4658" i="1"/>
  <c r="F4658" i="1"/>
  <c r="H4658" i="1"/>
  <c r="I4658" i="1"/>
  <c r="J4658" i="1"/>
  <c r="L4658" i="1"/>
  <c r="M4658" i="1"/>
  <c r="C4659" i="1"/>
  <c r="E4659" i="1"/>
  <c r="F4659" i="1"/>
  <c r="H4659" i="1"/>
  <c r="I4659" i="1"/>
  <c r="J4659" i="1"/>
  <c r="L4659" i="1"/>
  <c r="M4659" i="1"/>
  <c r="C4660" i="1"/>
  <c r="E4660" i="1"/>
  <c r="F4660" i="1"/>
  <c r="H4660" i="1"/>
  <c r="I4660" i="1"/>
  <c r="J4660" i="1"/>
  <c r="L4660" i="1"/>
  <c r="M4660" i="1"/>
  <c r="C4661" i="1"/>
  <c r="E4661" i="1"/>
  <c r="F4661" i="1"/>
  <c r="H4661" i="1"/>
  <c r="I4661" i="1"/>
  <c r="J4661" i="1"/>
  <c r="L4661" i="1"/>
  <c r="M4661" i="1"/>
  <c r="C4662" i="1"/>
  <c r="E4662" i="1"/>
  <c r="F4662" i="1"/>
  <c r="H4662" i="1"/>
  <c r="I4662" i="1"/>
  <c r="J4662" i="1"/>
  <c r="L4662" i="1"/>
  <c r="M4662" i="1"/>
  <c r="C4663" i="1"/>
  <c r="E4663" i="1"/>
  <c r="F4663" i="1"/>
  <c r="H4663" i="1"/>
  <c r="I4663" i="1"/>
  <c r="J4663" i="1"/>
  <c r="L4663" i="1"/>
  <c r="M4663" i="1"/>
  <c r="C4664" i="1"/>
  <c r="E4664" i="1"/>
  <c r="F4664" i="1"/>
  <c r="H4664" i="1"/>
  <c r="I4664" i="1"/>
  <c r="J4664" i="1"/>
  <c r="L4664" i="1"/>
  <c r="M4664" i="1"/>
  <c r="C4665" i="1"/>
  <c r="E4665" i="1"/>
  <c r="F4665" i="1"/>
  <c r="H4665" i="1"/>
  <c r="I4665" i="1"/>
  <c r="J4665" i="1"/>
  <c r="L4665" i="1"/>
  <c r="M4665" i="1"/>
  <c r="C4666" i="1"/>
  <c r="E4666" i="1"/>
  <c r="F4666" i="1"/>
  <c r="H4666" i="1"/>
  <c r="I4666" i="1"/>
  <c r="J4666" i="1"/>
  <c r="L4666" i="1"/>
  <c r="M4666" i="1"/>
  <c r="C4667" i="1"/>
  <c r="E4667" i="1"/>
  <c r="F4667" i="1"/>
  <c r="H4667" i="1"/>
  <c r="I4667" i="1"/>
  <c r="J4667" i="1"/>
  <c r="L4667" i="1"/>
  <c r="M4667" i="1"/>
  <c r="C4668" i="1"/>
  <c r="E4668" i="1"/>
  <c r="F4668" i="1"/>
  <c r="H4668" i="1"/>
  <c r="I4668" i="1"/>
  <c r="J4668" i="1"/>
  <c r="L4668" i="1"/>
  <c r="M4668" i="1"/>
  <c r="C4669" i="1"/>
  <c r="E4669" i="1"/>
  <c r="F4669" i="1"/>
  <c r="H4669" i="1"/>
  <c r="I4669" i="1"/>
  <c r="J4669" i="1"/>
  <c r="L4669" i="1"/>
  <c r="M4669" i="1"/>
  <c r="C4670" i="1"/>
  <c r="E4670" i="1"/>
  <c r="F4670" i="1"/>
  <c r="H4670" i="1"/>
  <c r="I4670" i="1"/>
  <c r="J4670" i="1"/>
  <c r="L4670" i="1"/>
  <c r="M4670" i="1"/>
  <c r="C4671" i="1"/>
  <c r="E4671" i="1"/>
  <c r="F4671" i="1"/>
  <c r="H4671" i="1"/>
  <c r="I4671" i="1"/>
  <c r="J4671" i="1"/>
  <c r="L4671" i="1"/>
  <c r="M4671" i="1"/>
  <c r="C4672" i="1"/>
  <c r="E4672" i="1"/>
  <c r="F4672" i="1"/>
  <c r="H4672" i="1"/>
  <c r="I4672" i="1"/>
  <c r="J4672" i="1"/>
  <c r="L4672" i="1"/>
  <c r="M4672" i="1"/>
  <c r="C4673" i="1"/>
  <c r="E4673" i="1"/>
  <c r="F4673" i="1"/>
  <c r="H4673" i="1"/>
  <c r="I4673" i="1"/>
  <c r="J4673" i="1"/>
  <c r="L4673" i="1"/>
  <c r="M4673" i="1"/>
  <c r="C4674" i="1"/>
  <c r="E4674" i="1"/>
  <c r="F4674" i="1"/>
  <c r="H4674" i="1"/>
  <c r="I4674" i="1"/>
  <c r="J4674" i="1"/>
  <c r="L4674" i="1"/>
  <c r="M4674" i="1"/>
  <c r="C4675" i="1"/>
  <c r="E4675" i="1"/>
  <c r="F4675" i="1"/>
  <c r="H4675" i="1"/>
  <c r="I4675" i="1"/>
  <c r="J4675" i="1"/>
  <c r="L4675" i="1"/>
  <c r="M4675" i="1"/>
  <c r="C4676" i="1"/>
  <c r="E4676" i="1"/>
  <c r="F4676" i="1"/>
  <c r="H4676" i="1"/>
  <c r="I4676" i="1"/>
  <c r="J4676" i="1"/>
  <c r="L4676" i="1"/>
  <c r="M4676" i="1"/>
  <c r="C4677" i="1"/>
  <c r="E4677" i="1"/>
  <c r="F4677" i="1"/>
  <c r="H4677" i="1"/>
  <c r="I4677" i="1"/>
  <c r="J4677" i="1"/>
  <c r="L4677" i="1"/>
  <c r="M4677" i="1"/>
  <c r="C4678" i="1"/>
  <c r="E4678" i="1"/>
  <c r="F4678" i="1"/>
  <c r="H4678" i="1"/>
  <c r="I4678" i="1"/>
  <c r="J4678" i="1"/>
  <c r="L4678" i="1"/>
  <c r="M4678" i="1"/>
  <c r="C4679" i="1"/>
  <c r="E4679" i="1"/>
  <c r="F4679" i="1"/>
  <c r="H4679" i="1"/>
  <c r="I4679" i="1"/>
  <c r="J4679" i="1"/>
  <c r="L4679" i="1"/>
  <c r="M4679" i="1"/>
  <c r="C4680" i="1"/>
  <c r="E4680" i="1"/>
  <c r="F4680" i="1"/>
  <c r="H4680" i="1"/>
  <c r="I4680" i="1"/>
  <c r="J4680" i="1"/>
  <c r="L4680" i="1"/>
  <c r="M4680" i="1"/>
  <c r="C4681" i="1"/>
  <c r="E4681" i="1"/>
  <c r="F4681" i="1"/>
  <c r="H4681" i="1"/>
  <c r="I4681" i="1"/>
  <c r="J4681" i="1"/>
  <c r="L4681" i="1"/>
  <c r="M4681" i="1"/>
  <c r="C4682" i="1"/>
  <c r="E4682" i="1"/>
  <c r="F4682" i="1"/>
  <c r="H4682" i="1"/>
  <c r="I4682" i="1"/>
  <c r="J4682" i="1"/>
  <c r="L4682" i="1"/>
  <c r="M4682" i="1"/>
  <c r="C4683" i="1"/>
  <c r="E4683" i="1"/>
  <c r="F4683" i="1"/>
  <c r="H4683" i="1"/>
  <c r="I4683" i="1"/>
  <c r="J4683" i="1"/>
  <c r="L4683" i="1"/>
  <c r="M4683" i="1"/>
  <c r="C4684" i="1"/>
  <c r="E4684" i="1"/>
  <c r="F4684" i="1"/>
  <c r="H4684" i="1"/>
  <c r="I4684" i="1"/>
  <c r="J4684" i="1"/>
  <c r="L4684" i="1"/>
  <c r="M4684" i="1"/>
  <c r="C4685" i="1"/>
  <c r="E4685" i="1"/>
  <c r="F4685" i="1"/>
  <c r="H4685" i="1"/>
  <c r="I4685" i="1"/>
  <c r="J4685" i="1"/>
  <c r="L4685" i="1"/>
  <c r="M4685" i="1"/>
  <c r="C4686" i="1"/>
  <c r="E4686" i="1"/>
  <c r="F4686" i="1"/>
  <c r="H4686" i="1"/>
  <c r="I4686" i="1"/>
  <c r="J4686" i="1"/>
  <c r="L4686" i="1"/>
  <c r="M4686" i="1"/>
  <c r="C4687" i="1"/>
  <c r="E4687" i="1"/>
  <c r="F4687" i="1"/>
  <c r="H4687" i="1"/>
  <c r="I4687" i="1"/>
  <c r="J4687" i="1"/>
  <c r="L4687" i="1"/>
  <c r="M4687" i="1"/>
  <c r="C4688" i="1"/>
  <c r="E4688" i="1"/>
  <c r="F4688" i="1"/>
  <c r="H4688" i="1"/>
  <c r="I4688" i="1"/>
  <c r="J4688" i="1"/>
  <c r="L4688" i="1"/>
  <c r="M4688" i="1"/>
  <c r="C4689" i="1"/>
  <c r="E4689" i="1"/>
  <c r="F4689" i="1"/>
  <c r="H4689" i="1"/>
  <c r="I4689" i="1"/>
  <c r="J4689" i="1"/>
  <c r="L4689" i="1"/>
  <c r="M4689" i="1"/>
  <c r="C4690" i="1"/>
  <c r="E4690" i="1"/>
  <c r="F4690" i="1"/>
  <c r="H4690" i="1"/>
  <c r="I4690" i="1"/>
  <c r="J4690" i="1"/>
  <c r="L4690" i="1"/>
  <c r="M4690" i="1"/>
  <c r="C4691" i="1"/>
  <c r="E4691" i="1"/>
  <c r="F4691" i="1"/>
  <c r="H4691" i="1"/>
  <c r="I4691" i="1"/>
  <c r="J4691" i="1"/>
  <c r="L4691" i="1"/>
  <c r="M4691" i="1"/>
  <c r="C4692" i="1"/>
  <c r="E4692" i="1"/>
  <c r="F4692" i="1"/>
  <c r="H4692" i="1"/>
  <c r="I4692" i="1"/>
  <c r="J4692" i="1"/>
  <c r="L4692" i="1"/>
  <c r="M4692" i="1"/>
  <c r="C4693" i="1"/>
  <c r="E4693" i="1"/>
  <c r="F4693" i="1"/>
  <c r="H4693" i="1"/>
  <c r="I4693" i="1"/>
  <c r="J4693" i="1"/>
  <c r="L4693" i="1"/>
  <c r="M4693" i="1"/>
  <c r="C4694" i="1"/>
  <c r="E4694" i="1"/>
  <c r="F4694" i="1"/>
  <c r="H4694" i="1"/>
  <c r="I4694" i="1"/>
  <c r="J4694" i="1"/>
  <c r="L4694" i="1"/>
  <c r="M4694" i="1"/>
  <c r="C4695" i="1"/>
  <c r="E4695" i="1"/>
  <c r="F4695" i="1"/>
  <c r="H4695" i="1"/>
  <c r="I4695" i="1"/>
  <c r="J4695" i="1"/>
  <c r="L4695" i="1"/>
  <c r="M4695" i="1"/>
  <c r="C4696" i="1"/>
  <c r="E4696" i="1"/>
  <c r="F4696" i="1"/>
  <c r="H4696" i="1"/>
  <c r="I4696" i="1"/>
  <c r="J4696" i="1"/>
  <c r="L4696" i="1"/>
  <c r="M4696" i="1"/>
  <c r="C4697" i="1"/>
  <c r="E4697" i="1"/>
  <c r="F4697" i="1"/>
  <c r="H4697" i="1"/>
  <c r="I4697" i="1"/>
  <c r="J4697" i="1"/>
  <c r="L4697" i="1"/>
  <c r="M4697" i="1"/>
  <c r="C4698" i="1"/>
  <c r="E4698" i="1"/>
  <c r="F4698" i="1"/>
  <c r="H4698" i="1"/>
  <c r="I4698" i="1"/>
  <c r="J4698" i="1"/>
  <c r="L4698" i="1"/>
  <c r="M4698" i="1"/>
  <c r="C4699" i="1"/>
  <c r="E4699" i="1"/>
  <c r="F4699" i="1"/>
  <c r="H4699" i="1"/>
  <c r="I4699" i="1"/>
  <c r="J4699" i="1"/>
  <c r="L4699" i="1"/>
  <c r="M4699" i="1"/>
  <c r="C4700" i="1"/>
  <c r="E4700" i="1"/>
  <c r="F4700" i="1"/>
  <c r="H4700" i="1"/>
  <c r="I4700" i="1"/>
  <c r="J4700" i="1"/>
  <c r="L4700" i="1"/>
  <c r="M4700" i="1"/>
  <c r="C4701" i="1"/>
  <c r="E4701" i="1"/>
  <c r="F4701" i="1"/>
  <c r="H4701" i="1"/>
  <c r="I4701" i="1"/>
  <c r="J4701" i="1"/>
  <c r="L4701" i="1"/>
  <c r="M4701" i="1"/>
  <c r="C4702" i="1"/>
  <c r="E4702" i="1"/>
  <c r="F4702" i="1"/>
  <c r="H4702" i="1"/>
  <c r="I4702" i="1"/>
  <c r="J4702" i="1"/>
  <c r="L4702" i="1"/>
  <c r="M4702" i="1"/>
  <c r="C4703" i="1"/>
  <c r="E4703" i="1"/>
  <c r="F4703" i="1"/>
  <c r="H4703" i="1"/>
  <c r="I4703" i="1"/>
  <c r="J4703" i="1"/>
  <c r="L4703" i="1"/>
  <c r="M4703" i="1"/>
  <c r="C4704" i="1"/>
  <c r="E4704" i="1"/>
  <c r="F4704" i="1"/>
  <c r="H4704" i="1"/>
  <c r="I4704" i="1"/>
  <c r="J4704" i="1"/>
  <c r="L4704" i="1"/>
  <c r="M4704" i="1"/>
  <c r="C4705" i="1"/>
  <c r="E4705" i="1"/>
  <c r="F4705" i="1"/>
  <c r="H4705" i="1"/>
  <c r="I4705" i="1"/>
  <c r="J4705" i="1"/>
  <c r="L4705" i="1"/>
  <c r="M4705" i="1"/>
  <c r="C4706" i="1"/>
  <c r="E4706" i="1"/>
  <c r="F4706" i="1"/>
  <c r="H4706" i="1"/>
  <c r="I4706" i="1"/>
  <c r="J4706" i="1"/>
  <c r="L4706" i="1"/>
  <c r="M4706" i="1"/>
  <c r="C4707" i="1"/>
  <c r="E4707" i="1"/>
  <c r="F4707" i="1"/>
  <c r="H4707" i="1"/>
  <c r="I4707" i="1"/>
  <c r="J4707" i="1"/>
  <c r="L4707" i="1"/>
  <c r="M4707" i="1"/>
  <c r="C4708" i="1"/>
  <c r="E4708" i="1"/>
  <c r="F4708" i="1"/>
  <c r="H4708" i="1"/>
  <c r="I4708" i="1"/>
  <c r="J4708" i="1"/>
  <c r="L4708" i="1"/>
  <c r="M4708" i="1"/>
  <c r="C4709" i="1"/>
  <c r="E4709" i="1"/>
  <c r="F4709" i="1"/>
  <c r="H4709" i="1"/>
  <c r="I4709" i="1"/>
  <c r="J4709" i="1"/>
  <c r="L4709" i="1"/>
  <c r="M4709" i="1"/>
  <c r="C4710" i="1"/>
  <c r="E4710" i="1"/>
  <c r="F4710" i="1"/>
  <c r="H4710" i="1"/>
  <c r="I4710" i="1"/>
  <c r="J4710" i="1"/>
  <c r="L4710" i="1"/>
  <c r="M4710" i="1"/>
  <c r="C4711" i="1"/>
  <c r="E4711" i="1"/>
  <c r="F4711" i="1"/>
  <c r="H4711" i="1"/>
  <c r="I4711" i="1"/>
  <c r="J4711" i="1"/>
  <c r="L4711" i="1"/>
  <c r="M4711" i="1"/>
  <c r="C4712" i="1"/>
  <c r="E4712" i="1"/>
  <c r="F4712" i="1"/>
  <c r="H4712" i="1"/>
  <c r="I4712" i="1"/>
  <c r="J4712" i="1"/>
  <c r="L4712" i="1"/>
  <c r="M4712" i="1"/>
  <c r="C4713" i="1"/>
  <c r="E4713" i="1"/>
  <c r="F4713" i="1"/>
  <c r="H4713" i="1"/>
  <c r="I4713" i="1"/>
  <c r="J4713" i="1"/>
  <c r="L4713" i="1"/>
  <c r="M4713" i="1"/>
  <c r="C4714" i="1"/>
  <c r="E4714" i="1"/>
  <c r="F4714" i="1"/>
  <c r="H4714" i="1"/>
  <c r="I4714" i="1"/>
  <c r="J4714" i="1"/>
  <c r="L4714" i="1"/>
  <c r="M4714" i="1"/>
  <c r="C4715" i="1"/>
  <c r="E4715" i="1"/>
  <c r="F4715" i="1"/>
  <c r="H4715" i="1"/>
  <c r="I4715" i="1"/>
  <c r="J4715" i="1"/>
  <c r="L4715" i="1"/>
  <c r="M4715" i="1"/>
  <c r="C4716" i="1"/>
  <c r="E4716" i="1"/>
  <c r="F4716" i="1"/>
  <c r="H4716" i="1"/>
  <c r="I4716" i="1"/>
  <c r="J4716" i="1"/>
  <c r="L4716" i="1"/>
  <c r="M4716" i="1"/>
  <c r="C4717" i="1"/>
  <c r="E4717" i="1"/>
  <c r="F4717" i="1"/>
  <c r="H4717" i="1"/>
  <c r="I4717" i="1"/>
  <c r="J4717" i="1"/>
  <c r="L4717" i="1"/>
  <c r="M4717" i="1"/>
  <c r="C4718" i="1"/>
  <c r="E4718" i="1"/>
  <c r="F4718" i="1"/>
  <c r="H4718" i="1"/>
  <c r="I4718" i="1"/>
  <c r="J4718" i="1"/>
  <c r="L4718" i="1"/>
  <c r="M4718" i="1"/>
  <c r="C4719" i="1"/>
  <c r="E4719" i="1"/>
  <c r="F4719" i="1"/>
  <c r="H4719" i="1"/>
  <c r="I4719" i="1"/>
  <c r="J4719" i="1"/>
  <c r="L4719" i="1"/>
  <c r="M4719" i="1"/>
  <c r="C4720" i="1"/>
  <c r="E4720" i="1"/>
  <c r="F4720" i="1"/>
  <c r="H4720" i="1"/>
  <c r="I4720" i="1"/>
  <c r="J4720" i="1"/>
  <c r="L4720" i="1"/>
  <c r="M4720" i="1"/>
  <c r="C4721" i="1"/>
  <c r="E4721" i="1"/>
  <c r="F4721" i="1"/>
  <c r="H4721" i="1"/>
  <c r="I4721" i="1"/>
  <c r="J4721" i="1"/>
  <c r="L4721" i="1"/>
  <c r="M4721" i="1"/>
  <c r="C4722" i="1"/>
  <c r="E4722" i="1"/>
  <c r="F4722" i="1"/>
  <c r="H4722" i="1"/>
  <c r="I4722" i="1"/>
  <c r="J4722" i="1"/>
  <c r="L4722" i="1"/>
  <c r="M4722" i="1"/>
  <c r="C4723" i="1"/>
  <c r="E4723" i="1"/>
  <c r="F4723" i="1"/>
  <c r="H4723" i="1"/>
  <c r="I4723" i="1"/>
  <c r="J4723" i="1"/>
  <c r="L4723" i="1"/>
  <c r="M4723" i="1"/>
  <c r="C4724" i="1"/>
  <c r="E4724" i="1"/>
  <c r="F4724" i="1"/>
  <c r="H4724" i="1"/>
  <c r="I4724" i="1"/>
  <c r="J4724" i="1"/>
  <c r="L4724" i="1"/>
  <c r="M4724" i="1"/>
  <c r="C4725" i="1"/>
  <c r="E4725" i="1"/>
  <c r="F4725" i="1"/>
  <c r="H4725" i="1"/>
  <c r="I4725" i="1"/>
  <c r="J4725" i="1"/>
  <c r="L4725" i="1"/>
  <c r="M4725" i="1"/>
  <c r="C4726" i="1"/>
  <c r="E4726" i="1"/>
  <c r="F4726" i="1"/>
  <c r="H4726" i="1"/>
  <c r="I4726" i="1"/>
  <c r="J4726" i="1"/>
  <c r="L4726" i="1"/>
  <c r="M4726" i="1"/>
  <c r="C4727" i="1"/>
  <c r="E4727" i="1"/>
  <c r="F4727" i="1"/>
  <c r="H4727" i="1"/>
  <c r="I4727" i="1"/>
  <c r="J4727" i="1"/>
  <c r="L4727" i="1"/>
  <c r="M4727" i="1"/>
  <c r="C4728" i="1"/>
  <c r="E4728" i="1"/>
  <c r="F4728" i="1"/>
  <c r="H4728" i="1"/>
  <c r="I4728" i="1"/>
  <c r="J4728" i="1"/>
  <c r="L4728" i="1"/>
  <c r="M4728" i="1"/>
  <c r="C4729" i="1"/>
  <c r="E4729" i="1"/>
  <c r="F4729" i="1"/>
  <c r="H4729" i="1"/>
  <c r="I4729" i="1"/>
  <c r="J4729" i="1"/>
  <c r="L4729" i="1"/>
  <c r="M4729" i="1"/>
  <c r="C4730" i="1"/>
  <c r="E4730" i="1"/>
  <c r="F4730" i="1"/>
  <c r="H4730" i="1"/>
  <c r="I4730" i="1"/>
  <c r="J4730" i="1"/>
  <c r="L4730" i="1"/>
  <c r="M4730" i="1"/>
  <c r="C4731" i="1"/>
  <c r="E4731" i="1"/>
  <c r="F4731" i="1"/>
  <c r="H4731" i="1"/>
  <c r="I4731" i="1"/>
  <c r="J4731" i="1"/>
  <c r="L4731" i="1"/>
  <c r="M4731" i="1"/>
  <c r="C4732" i="1"/>
  <c r="E4732" i="1"/>
  <c r="F4732" i="1"/>
  <c r="H4732" i="1"/>
  <c r="I4732" i="1"/>
  <c r="J4732" i="1"/>
  <c r="L4732" i="1"/>
  <c r="M4732" i="1"/>
  <c r="C4733" i="1"/>
  <c r="E4733" i="1"/>
  <c r="F4733" i="1"/>
  <c r="H4733" i="1"/>
  <c r="I4733" i="1"/>
  <c r="J4733" i="1"/>
  <c r="L4733" i="1"/>
  <c r="M4733" i="1"/>
  <c r="C4734" i="1"/>
  <c r="E4734" i="1"/>
  <c r="F4734" i="1"/>
  <c r="H4734" i="1"/>
  <c r="I4734" i="1"/>
  <c r="J4734" i="1"/>
  <c r="L4734" i="1"/>
  <c r="M4734" i="1"/>
  <c r="C4735" i="1"/>
  <c r="E4735" i="1"/>
  <c r="F4735" i="1"/>
  <c r="H4735" i="1"/>
  <c r="I4735" i="1"/>
  <c r="J4735" i="1"/>
  <c r="L4735" i="1"/>
  <c r="M4735" i="1"/>
  <c r="C4736" i="1"/>
  <c r="E4736" i="1"/>
  <c r="F4736" i="1"/>
  <c r="H4736" i="1"/>
  <c r="I4736" i="1"/>
  <c r="J4736" i="1"/>
  <c r="L4736" i="1"/>
  <c r="M4736" i="1"/>
  <c r="C4737" i="1"/>
  <c r="E4737" i="1"/>
  <c r="F4737" i="1"/>
  <c r="H4737" i="1"/>
  <c r="I4737" i="1"/>
  <c r="J4737" i="1"/>
  <c r="L4737" i="1"/>
  <c r="M4737" i="1"/>
  <c r="C4738" i="1"/>
  <c r="E4738" i="1"/>
  <c r="F4738" i="1"/>
  <c r="H4738" i="1"/>
  <c r="I4738" i="1"/>
  <c r="J4738" i="1"/>
  <c r="L4738" i="1"/>
  <c r="M4738" i="1"/>
  <c r="C4739" i="1"/>
  <c r="E4739" i="1"/>
  <c r="F4739" i="1"/>
  <c r="H4739" i="1"/>
  <c r="I4739" i="1"/>
  <c r="J4739" i="1"/>
  <c r="L4739" i="1"/>
  <c r="M4739" i="1"/>
  <c r="C4740" i="1"/>
  <c r="E4740" i="1"/>
  <c r="F4740" i="1"/>
  <c r="H4740" i="1"/>
  <c r="I4740" i="1"/>
  <c r="J4740" i="1"/>
  <c r="L4740" i="1"/>
  <c r="M4740" i="1"/>
  <c r="C4741" i="1"/>
  <c r="E4741" i="1"/>
  <c r="F4741" i="1"/>
  <c r="H4741" i="1"/>
  <c r="I4741" i="1"/>
  <c r="J4741" i="1"/>
  <c r="L4741" i="1"/>
  <c r="M4741" i="1"/>
  <c r="C4742" i="1"/>
  <c r="E4742" i="1"/>
  <c r="F4742" i="1"/>
  <c r="H4742" i="1"/>
  <c r="I4742" i="1"/>
  <c r="J4742" i="1"/>
  <c r="L4742" i="1"/>
  <c r="M4742" i="1"/>
  <c r="C4743" i="1"/>
  <c r="E4743" i="1"/>
  <c r="F4743" i="1"/>
  <c r="H4743" i="1"/>
  <c r="I4743" i="1"/>
  <c r="J4743" i="1"/>
  <c r="L4743" i="1"/>
  <c r="M4743" i="1"/>
  <c r="C4744" i="1"/>
  <c r="E4744" i="1"/>
  <c r="F4744" i="1"/>
  <c r="H4744" i="1"/>
  <c r="I4744" i="1"/>
  <c r="J4744" i="1"/>
  <c r="L4744" i="1"/>
  <c r="M4744" i="1"/>
  <c r="C4745" i="1"/>
  <c r="E4745" i="1"/>
  <c r="F4745" i="1"/>
  <c r="H4745" i="1"/>
  <c r="I4745" i="1"/>
  <c r="J4745" i="1"/>
  <c r="L4745" i="1"/>
  <c r="M4745" i="1"/>
  <c r="C4746" i="1"/>
  <c r="E4746" i="1"/>
  <c r="F4746" i="1"/>
  <c r="H4746" i="1"/>
  <c r="I4746" i="1"/>
  <c r="J4746" i="1"/>
  <c r="L4746" i="1"/>
  <c r="M4746" i="1"/>
  <c r="C4747" i="1"/>
  <c r="E4747" i="1"/>
  <c r="F4747" i="1"/>
  <c r="H4747" i="1"/>
  <c r="I4747" i="1"/>
  <c r="J4747" i="1"/>
  <c r="L4747" i="1"/>
  <c r="M4747" i="1"/>
  <c r="C4748" i="1"/>
  <c r="E4748" i="1"/>
  <c r="F4748" i="1"/>
  <c r="H4748" i="1"/>
  <c r="I4748" i="1"/>
  <c r="J4748" i="1"/>
  <c r="L4748" i="1"/>
  <c r="M4748" i="1"/>
  <c r="C4749" i="1"/>
  <c r="E4749" i="1"/>
  <c r="F4749" i="1"/>
  <c r="H4749" i="1"/>
  <c r="I4749" i="1"/>
  <c r="J4749" i="1"/>
  <c r="L4749" i="1"/>
  <c r="M4749" i="1"/>
  <c r="C4750" i="1"/>
  <c r="E4750" i="1"/>
  <c r="F4750" i="1"/>
  <c r="H4750" i="1"/>
  <c r="I4750" i="1"/>
  <c r="J4750" i="1"/>
  <c r="L4750" i="1"/>
  <c r="M4750" i="1"/>
  <c r="C4751" i="1"/>
  <c r="E4751" i="1"/>
  <c r="F4751" i="1"/>
  <c r="H4751" i="1"/>
  <c r="I4751" i="1"/>
  <c r="J4751" i="1"/>
  <c r="L4751" i="1"/>
  <c r="M4751" i="1"/>
  <c r="C4752" i="1"/>
  <c r="E4752" i="1"/>
  <c r="F4752" i="1"/>
  <c r="H4752" i="1"/>
  <c r="I4752" i="1"/>
  <c r="J4752" i="1"/>
  <c r="L4752" i="1"/>
  <c r="M4752" i="1"/>
  <c r="C4753" i="1"/>
  <c r="E4753" i="1"/>
  <c r="F4753" i="1"/>
  <c r="H4753" i="1"/>
  <c r="I4753" i="1"/>
  <c r="J4753" i="1"/>
  <c r="L4753" i="1"/>
  <c r="M4753" i="1"/>
  <c r="C4754" i="1"/>
  <c r="E4754" i="1"/>
  <c r="F4754" i="1"/>
  <c r="H4754" i="1"/>
  <c r="I4754" i="1"/>
  <c r="J4754" i="1"/>
  <c r="L4754" i="1"/>
  <c r="M4754" i="1"/>
  <c r="C4755" i="1"/>
  <c r="E4755" i="1"/>
  <c r="F4755" i="1"/>
  <c r="H4755" i="1"/>
  <c r="I4755" i="1"/>
  <c r="J4755" i="1"/>
  <c r="L4755" i="1"/>
  <c r="M4755" i="1"/>
  <c r="C4756" i="1"/>
  <c r="E4756" i="1"/>
  <c r="F4756" i="1"/>
  <c r="H4756" i="1"/>
  <c r="I4756" i="1"/>
  <c r="J4756" i="1"/>
  <c r="L4756" i="1"/>
  <c r="M4756" i="1"/>
  <c r="C4757" i="1"/>
  <c r="E4757" i="1"/>
  <c r="F4757" i="1"/>
  <c r="H4757" i="1"/>
  <c r="I4757" i="1"/>
  <c r="J4757" i="1"/>
  <c r="L4757" i="1"/>
  <c r="M4757" i="1"/>
  <c r="C4758" i="1"/>
  <c r="E4758" i="1"/>
  <c r="F4758" i="1"/>
  <c r="H4758" i="1"/>
  <c r="I4758" i="1"/>
  <c r="J4758" i="1"/>
  <c r="L4758" i="1"/>
  <c r="M4758" i="1"/>
  <c r="C4759" i="1"/>
  <c r="E4759" i="1"/>
  <c r="F4759" i="1"/>
  <c r="H4759" i="1"/>
  <c r="I4759" i="1"/>
  <c r="J4759" i="1"/>
  <c r="L4759" i="1"/>
  <c r="M4759" i="1"/>
  <c r="C4760" i="1"/>
  <c r="E4760" i="1"/>
  <c r="F4760" i="1"/>
  <c r="H4760" i="1"/>
  <c r="I4760" i="1"/>
  <c r="J4760" i="1"/>
  <c r="L4760" i="1"/>
  <c r="M4760" i="1"/>
  <c r="C4761" i="1"/>
  <c r="E4761" i="1"/>
  <c r="F4761" i="1"/>
  <c r="H4761" i="1"/>
  <c r="I4761" i="1"/>
  <c r="J4761" i="1"/>
  <c r="L4761" i="1"/>
  <c r="M4761" i="1"/>
  <c r="C4762" i="1"/>
  <c r="E4762" i="1"/>
  <c r="F4762" i="1"/>
  <c r="H4762" i="1"/>
  <c r="I4762" i="1"/>
  <c r="J4762" i="1"/>
  <c r="L4762" i="1"/>
  <c r="M4762" i="1"/>
  <c r="C4763" i="1"/>
  <c r="E4763" i="1"/>
  <c r="F4763" i="1"/>
  <c r="H4763" i="1"/>
  <c r="I4763" i="1"/>
  <c r="J4763" i="1"/>
  <c r="L4763" i="1"/>
  <c r="M4763" i="1"/>
  <c r="C4764" i="1"/>
  <c r="E4764" i="1"/>
  <c r="F4764" i="1"/>
  <c r="H4764" i="1"/>
  <c r="I4764" i="1"/>
  <c r="J4764" i="1"/>
  <c r="L4764" i="1"/>
  <c r="M4764" i="1"/>
  <c r="C4765" i="1"/>
  <c r="E4765" i="1"/>
  <c r="F4765" i="1"/>
  <c r="H4765" i="1"/>
  <c r="I4765" i="1"/>
  <c r="J4765" i="1"/>
  <c r="L4765" i="1"/>
  <c r="M4765" i="1"/>
  <c r="C4766" i="1"/>
  <c r="E4766" i="1"/>
  <c r="F4766" i="1"/>
  <c r="H4766" i="1"/>
  <c r="I4766" i="1"/>
  <c r="J4766" i="1"/>
  <c r="L4766" i="1"/>
  <c r="M4766" i="1"/>
  <c r="C4767" i="1"/>
  <c r="E4767" i="1"/>
  <c r="F4767" i="1"/>
  <c r="H4767" i="1"/>
  <c r="I4767" i="1"/>
  <c r="J4767" i="1"/>
  <c r="L4767" i="1"/>
  <c r="M4767" i="1"/>
  <c r="C4768" i="1"/>
  <c r="E4768" i="1"/>
  <c r="F4768" i="1"/>
  <c r="H4768" i="1"/>
  <c r="I4768" i="1"/>
  <c r="J4768" i="1"/>
  <c r="L4768" i="1"/>
  <c r="M4768" i="1"/>
  <c r="C4769" i="1"/>
  <c r="E4769" i="1"/>
  <c r="F4769" i="1"/>
  <c r="H4769" i="1"/>
  <c r="I4769" i="1"/>
  <c r="J4769" i="1"/>
  <c r="L4769" i="1"/>
  <c r="M4769" i="1"/>
  <c r="C4770" i="1"/>
  <c r="E4770" i="1"/>
  <c r="F4770" i="1"/>
  <c r="H4770" i="1"/>
  <c r="I4770" i="1"/>
  <c r="J4770" i="1"/>
  <c r="L4770" i="1"/>
  <c r="M4770" i="1"/>
  <c r="C4771" i="1"/>
  <c r="E4771" i="1"/>
  <c r="F4771" i="1"/>
  <c r="H4771" i="1"/>
  <c r="I4771" i="1"/>
  <c r="J4771" i="1"/>
  <c r="L4771" i="1"/>
  <c r="M4771" i="1"/>
  <c r="C4772" i="1"/>
  <c r="E4772" i="1"/>
  <c r="F4772" i="1"/>
  <c r="H4772" i="1"/>
  <c r="I4772" i="1"/>
  <c r="J4772" i="1"/>
  <c r="L4772" i="1"/>
  <c r="M4772" i="1"/>
  <c r="C4773" i="1"/>
  <c r="E4773" i="1"/>
  <c r="F4773" i="1"/>
  <c r="H4773" i="1"/>
  <c r="I4773" i="1"/>
  <c r="J4773" i="1"/>
  <c r="L4773" i="1"/>
  <c r="M4773" i="1"/>
  <c r="C4774" i="1"/>
  <c r="E4774" i="1"/>
  <c r="F4774" i="1"/>
  <c r="H4774" i="1"/>
  <c r="I4774" i="1"/>
  <c r="J4774" i="1"/>
  <c r="L4774" i="1"/>
  <c r="M4774" i="1"/>
  <c r="C4775" i="1"/>
  <c r="E4775" i="1"/>
  <c r="F4775" i="1"/>
  <c r="H4775" i="1"/>
  <c r="I4775" i="1"/>
  <c r="J4775" i="1"/>
  <c r="L4775" i="1"/>
  <c r="M4775" i="1"/>
  <c r="C4776" i="1"/>
  <c r="E4776" i="1"/>
  <c r="F4776" i="1"/>
  <c r="H4776" i="1"/>
  <c r="I4776" i="1"/>
  <c r="J4776" i="1"/>
  <c r="L4776" i="1"/>
  <c r="M4776" i="1"/>
  <c r="C4777" i="1"/>
  <c r="E4777" i="1"/>
  <c r="F4777" i="1"/>
  <c r="H4777" i="1"/>
  <c r="I4777" i="1"/>
  <c r="J4777" i="1"/>
  <c r="L4777" i="1"/>
  <c r="M4777" i="1"/>
  <c r="C4778" i="1"/>
  <c r="E4778" i="1"/>
  <c r="F4778" i="1"/>
  <c r="H4778" i="1"/>
  <c r="I4778" i="1"/>
  <c r="J4778" i="1"/>
  <c r="L4778" i="1"/>
  <c r="M4778" i="1"/>
  <c r="C4779" i="1"/>
  <c r="E4779" i="1"/>
  <c r="F4779" i="1"/>
  <c r="H4779" i="1"/>
  <c r="I4779" i="1"/>
  <c r="J4779" i="1"/>
  <c r="L4779" i="1"/>
  <c r="M4779" i="1"/>
  <c r="C4780" i="1"/>
  <c r="E4780" i="1"/>
  <c r="F4780" i="1"/>
  <c r="H4780" i="1"/>
  <c r="I4780" i="1"/>
  <c r="J4780" i="1"/>
  <c r="L4780" i="1"/>
  <c r="M4780" i="1"/>
  <c r="C4781" i="1"/>
  <c r="E4781" i="1"/>
  <c r="F4781" i="1"/>
  <c r="H4781" i="1"/>
  <c r="I4781" i="1"/>
  <c r="J4781" i="1"/>
  <c r="L4781" i="1"/>
  <c r="M4781" i="1"/>
  <c r="C4782" i="1"/>
  <c r="E4782" i="1"/>
  <c r="F4782" i="1"/>
  <c r="H4782" i="1"/>
  <c r="I4782" i="1"/>
  <c r="J4782" i="1"/>
  <c r="L4782" i="1"/>
  <c r="M4782" i="1"/>
  <c r="C4783" i="1"/>
  <c r="E4783" i="1"/>
  <c r="F4783" i="1"/>
  <c r="H4783" i="1"/>
  <c r="I4783" i="1"/>
  <c r="J4783" i="1"/>
  <c r="L4783" i="1"/>
  <c r="M4783" i="1"/>
  <c r="C4784" i="1"/>
  <c r="E4784" i="1"/>
  <c r="F4784" i="1"/>
  <c r="H4784" i="1"/>
  <c r="I4784" i="1"/>
  <c r="J4784" i="1"/>
  <c r="L4784" i="1"/>
  <c r="M4784" i="1"/>
  <c r="C4785" i="1"/>
  <c r="E4785" i="1"/>
  <c r="F4785" i="1"/>
  <c r="H4785" i="1"/>
  <c r="I4785" i="1"/>
  <c r="J4785" i="1"/>
  <c r="L4785" i="1"/>
  <c r="M4785" i="1"/>
  <c r="C4786" i="1"/>
  <c r="E4786" i="1"/>
  <c r="F4786" i="1"/>
  <c r="H4786" i="1"/>
  <c r="I4786" i="1"/>
  <c r="J4786" i="1"/>
  <c r="L4786" i="1"/>
  <c r="M4786" i="1"/>
  <c r="C4787" i="1"/>
  <c r="E4787" i="1"/>
  <c r="F4787" i="1"/>
  <c r="H4787" i="1"/>
  <c r="I4787" i="1"/>
  <c r="J4787" i="1"/>
  <c r="L4787" i="1"/>
  <c r="M4787" i="1"/>
  <c r="C4788" i="1"/>
  <c r="E4788" i="1"/>
  <c r="F4788" i="1"/>
  <c r="H4788" i="1"/>
  <c r="I4788" i="1"/>
  <c r="J4788" i="1"/>
  <c r="L4788" i="1"/>
  <c r="M4788" i="1"/>
  <c r="C4789" i="1"/>
  <c r="E4789" i="1"/>
  <c r="F4789" i="1"/>
  <c r="H4789" i="1"/>
  <c r="I4789" i="1"/>
  <c r="J4789" i="1"/>
  <c r="L4789" i="1"/>
  <c r="M4789" i="1"/>
  <c r="C4790" i="1"/>
  <c r="E4790" i="1"/>
  <c r="F4790" i="1"/>
  <c r="H4790" i="1"/>
  <c r="I4790" i="1"/>
  <c r="J4790" i="1"/>
  <c r="L4790" i="1"/>
  <c r="M4790" i="1"/>
  <c r="C4791" i="1"/>
  <c r="E4791" i="1"/>
  <c r="F4791" i="1"/>
  <c r="H4791" i="1"/>
  <c r="I4791" i="1"/>
  <c r="J4791" i="1"/>
  <c r="L4791" i="1"/>
  <c r="M4791" i="1"/>
  <c r="C4792" i="1"/>
  <c r="E4792" i="1"/>
  <c r="F4792" i="1"/>
  <c r="H4792" i="1"/>
  <c r="I4792" i="1"/>
  <c r="J4792" i="1"/>
  <c r="L4792" i="1"/>
  <c r="M4792" i="1"/>
  <c r="C4793" i="1"/>
  <c r="E4793" i="1"/>
  <c r="F4793" i="1"/>
  <c r="H4793" i="1"/>
  <c r="I4793" i="1"/>
  <c r="J4793" i="1"/>
  <c r="L4793" i="1"/>
  <c r="M4793" i="1"/>
  <c r="C4794" i="1"/>
  <c r="E4794" i="1"/>
  <c r="F4794" i="1"/>
  <c r="H4794" i="1"/>
  <c r="I4794" i="1"/>
  <c r="J4794" i="1"/>
  <c r="L4794" i="1"/>
  <c r="M4794" i="1"/>
  <c r="C4795" i="1"/>
  <c r="E4795" i="1"/>
  <c r="F4795" i="1"/>
  <c r="H4795" i="1"/>
  <c r="I4795" i="1"/>
  <c r="J4795" i="1"/>
  <c r="L4795" i="1"/>
  <c r="M4795" i="1"/>
  <c r="C4796" i="1"/>
  <c r="E4796" i="1"/>
  <c r="F4796" i="1"/>
  <c r="H4796" i="1"/>
  <c r="I4796" i="1"/>
  <c r="J4796" i="1"/>
  <c r="L4796" i="1"/>
  <c r="M4796" i="1"/>
  <c r="C4797" i="1"/>
  <c r="E4797" i="1"/>
  <c r="F4797" i="1"/>
  <c r="H4797" i="1"/>
  <c r="I4797" i="1"/>
  <c r="J4797" i="1"/>
  <c r="L4797" i="1"/>
  <c r="M4797" i="1"/>
  <c r="C4798" i="1"/>
  <c r="E4798" i="1"/>
  <c r="F4798" i="1"/>
  <c r="H4798" i="1"/>
  <c r="I4798" i="1"/>
  <c r="J4798" i="1"/>
  <c r="L4798" i="1"/>
  <c r="M4798" i="1"/>
  <c r="C4799" i="1"/>
  <c r="E4799" i="1"/>
  <c r="F4799" i="1"/>
  <c r="H4799" i="1"/>
  <c r="I4799" i="1"/>
  <c r="J4799" i="1"/>
  <c r="L4799" i="1"/>
  <c r="M4799" i="1"/>
  <c r="C4800" i="1"/>
  <c r="E4800" i="1"/>
  <c r="F4800" i="1"/>
  <c r="H4800" i="1"/>
  <c r="I4800" i="1"/>
  <c r="J4800" i="1"/>
  <c r="L4800" i="1"/>
  <c r="M4800" i="1"/>
  <c r="C4801" i="1"/>
  <c r="E4801" i="1"/>
  <c r="F4801" i="1"/>
  <c r="H4801" i="1"/>
  <c r="I4801" i="1"/>
  <c r="J4801" i="1"/>
  <c r="L4801" i="1"/>
  <c r="M4801" i="1"/>
  <c r="C4802" i="1"/>
  <c r="E4802" i="1"/>
  <c r="F4802" i="1"/>
  <c r="H4802" i="1"/>
  <c r="I4802" i="1"/>
  <c r="J4802" i="1"/>
  <c r="L4802" i="1"/>
  <c r="M4802" i="1"/>
  <c r="C4803" i="1"/>
  <c r="E4803" i="1"/>
  <c r="F4803" i="1"/>
  <c r="H4803" i="1"/>
  <c r="I4803" i="1"/>
  <c r="J4803" i="1"/>
  <c r="L4803" i="1"/>
  <c r="M4803" i="1"/>
  <c r="C4804" i="1"/>
  <c r="E4804" i="1"/>
  <c r="F4804" i="1"/>
  <c r="H4804" i="1"/>
  <c r="I4804" i="1"/>
  <c r="J4804" i="1"/>
  <c r="L4804" i="1"/>
  <c r="M4804" i="1"/>
  <c r="C4805" i="1"/>
  <c r="E4805" i="1"/>
  <c r="F4805" i="1"/>
  <c r="H4805" i="1"/>
  <c r="I4805" i="1"/>
  <c r="J4805" i="1"/>
  <c r="L4805" i="1"/>
  <c r="M4805" i="1"/>
  <c r="C4806" i="1"/>
  <c r="E4806" i="1"/>
  <c r="F4806" i="1"/>
  <c r="H4806" i="1"/>
  <c r="I4806" i="1"/>
  <c r="J4806" i="1"/>
  <c r="L4806" i="1"/>
  <c r="M4806" i="1"/>
  <c r="C4807" i="1"/>
  <c r="E4807" i="1"/>
  <c r="F4807" i="1"/>
  <c r="H4807" i="1"/>
  <c r="I4807" i="1"/>
  <c r="J4807" i="1"/>
  <c r="L4807" i="1"/>
  <c r="M4807" i="1"/>
  <c r="C4808" i="1"/>
  <c r="E4808" i="1"/>
  <c r="F4808" i="1"/>
  <c r="H4808" i="1"/>
  <c r="I4808" i="1"/>
  <c r="J4808" i="1"/>
  <c r="L4808" i="1"/>
  <c r="M4808" i="1"/>
  <c r="C4809" i="1"/>
  <c r="E4809" i="1"/>
  <c r="F4809" i="1"/>
  <c r="H4809" i="1"/>
  <c r="I4809" i="1"/>
  <c r="J4809" i="1"/>
  <c r="L4809" i="1"/>
  <c r="M4809" i="1"/>
  <c r="C4810" i="1"/>
  <c r="E4810" i="1"/>
  <c r="F4810" i="1"/>
  <c r="H4810" i="1"/>
  <c r="I4810" i="1"/>
  <c r="J4810" i="1"/>
  <c r="L4810" i="1"/>
  <c r="M4810" i="1"/>
  <c r="C4811" i="1"/>
  <c r="E4811" i="1"/>
  <c r="F4811" i="1"/>
  <c r="H4811" i="1"/>
  <c r="I4811" i="1"/>
  <c r="J4811" i="1"/>
  <c r="L4811" i="1"/>
  <c r="M4811" i="1"/>
  <c r="C4812" i="1"/>
  <c r="E4812" i="1"/>
  <c r="F4812" i="1"/>
  <c r="H4812" i="1"/>
  <c r="I4812" i="1"/>
  <c r="J4812" i="1"/>
  <c r="L4812" i="1"/>
  <c r="M4812" i="1"/>
  <c r="C4813" i="1"/>
  <c r="E4813" i="1"/>
  <c r="F4813" i="1"/>
  <c r="H4813" i="1"/>
  <c r="I4813" i="1"/>
  <c r="J4813" i="1"/>
  <c r="L4813" i="1"/>
  <c r="M4813" i="1"/>
  <c r="C4814" i="1"/>
  <c r="E4814" i="1"/>
  <c r="F4814" i="1"/>
  <c r="H4814" i="1"/>
  <c r="I4814" i="1"/>
  <c r="J4814" i="1"/>
  <c r="L4814" i="1"/>
  <c r="M4814" i="1"/>
  <c r="C4815" i="1"/>
  <c r="E4815" i="1"/>
  <c r="F4815" i="1"/>
  <c r="H4815" i="1"/>
  <c r="I4815" i="1"/>
  <c r="J4815" i="1"/>
  <c r="L4815" i="1"/>
  <c r="M4815" i="1"/>
  <c r="C4816" i="1"/>
  <c r="E4816" i="1"/>
  <c r="F4816" i="1"/>
  <c r="H4816" i="1"/>
  <c r="I4816" i="1"/>
  <c r="J4816" i="1"/>
  <c r="L4816" i="1"/>
  <c r="M4816" i="1"/>
  <c r="C4817" i="1"/>
  <c r="E4817" i="1"/>
  <c r="F4817" i="1"/>
  <c r="H4817" i="1"/>
  <c r="I4817" i="1"/>
  <c r="J4817" i="1"/>
  <c r="L4817" i="1"/>
  <c r="M4817" i="1"/>
  <c r="C4818" i="1"/>
  <c r="E4818" i="1"/>
  <c r="F4818" i="1"/>
  <c r="H4818" i="1"/>
  <c r="I4818" i="1"/>
  <c r="J4818" i="1"/>
  <c r="L4818" i="1"/>
  <c r="M4818" i="1"/>
  <c r="C4819" i="1"/>
  <c r="E4819" i="1"/>
  <c r="F4819" i="1"/>
  <c r="H4819" i="1"/>
  <c r="I4819" i="1"/>
  <c r="J4819" i="1"/>
  <c r="L4819" i="1"/>
  <c r="M4819" i="1"/>
  <c r="C4820" i="1"/>
  <c r="E4820" i="1"/>
  <c r="F4820" i="1"/>
  <c r="H4820" i="1"/>
  <c r="I4820" i="1"/>
  <c r="J4820" i="1"/>
  <c r="L4820" i="1"/>
  <c r="M4820" i="1"/>
  <c r="C4821" i="1"/>
  <c r="E4821" i="1"/>
  <c r="F4821" i="1"/>
  <c r="H4821" i="1"/>
  <c r="I4821" i="1"/>
  <c r="J4821" i="1"/>
  <c r="L4821" i="1"/>
  <c r="M4821" i="1"/>
  <c r="C4822" i="1"/>
  <c r="E4822" i="1"/>
  <c r="F4822" i="1"/>
  <c r="H4822" i="1"/>
  <c r="I4822" i="1"/>
  <c r="J4822" i="1"/>
  <c r="L4822" i="1"/>
  <c r="M4822" i="1"/>
  <c r="C4823" i="1"/>
  <c r="E4823" i="1"/>
  <c r="F4823" i="1"/>
  <c r="H4823" i="1"/>
  <c r="I4823" i="1"/>
  <c r="J4823" i="1"/>
  <c r="L4823" i="1"/>
  <c r="M4823" i="1"/>
  <c r="C4824" i="1"/>
  <c r="E4824" i="1"/>
  <c r="F4824" i="1"/>
  <c r="H4824" i="1"/>
  <c r="I4824" i="1"/>
  <c r="J4824" i="1"/>
  <c r="L4824" i="1"/>
  <c r="M4824" i="1"/>
  <c r="C4825" i="1"/>
  <c r="E4825" i="1"/>
  <c r="F4825" i="1"/>
  <c r="H4825" i="1"/>
  <c r="I4825" i="1"/>
  <c r="J4825" i="1"/>
  <c r="L4825" i="1"/>
  <c r="M4825" i="1"/>
  <c r="C4826" i="1"/>
  <c r="E4826" i="1"/>
  <c r="F4826" i="1"/>
  <c r="H4826" i="1"/>
  <c r="I4826" i="1"/>
  <c r="J4826" i="1"/>
  <c r="L4826" i="1"/>
  <c r="M4826" i="1"/>
  <c r="C4827" i="1"/>
  <c r="E4827" i="1"/>
  <c r="F4827" i="1"/>
  <c r="H4827" i="1"/>
  <c r="I4827" i="1"/>
  <c r="J4827" i="1"/>
  <c r="L4827" i="1"/>
  <c r="M4827" i="1"/>
  <c r="C4828" i="1"/>
  <c r="E4828" i="1"/>
  <c r="F4828" i="1"/>
  <c r="H4828" i="1"/>
  <c r="I4828" i="1"/>
  <c r="J4828" i="1"/>
  <c r="L4828" i="1"/>
  <c r="M4828" i="1"/>
  <c r="C4829" i="1"/>
  <c r="E4829" i="1"/>
  <c r="F4829" i="1"/>
  <c r="H4829" i="1"/>
  <c r="I4829" i="1"/>
  <c r="J4829" i="1"/>
  <c r="L4829" i="1"/>
  <c r="M4829" i="1"/>
  <c r="C4830" i="1"/>
  <c r="E4830" i="1"/>
  <c r="F4830" i="1"/>
  <c r="H4830" i="1"/>
  <c r="I4830" i="1"/>
  <c r="J4830" i="1"/>
  <c r="L4830" i="1"/>
  <c r="M4830" i="1"/>
  <c r="C4831" i="1"/>
  <c r="E4831" i="1"/>
  <c r="F4831" i="1"/>
  <c r="H4831" i="1"/>
  <c r="I4831" i="1"/>
  <c r="J4831" i="1"/>
  <c r="L4831" i="1"/>
  <c r="M4831" i="1"/>
  <c r="C4832" i="1"/>
  <c r="E4832" i="1"/>
  <c r="F4832" i="1"/>
  <c r="H4832" i="1"/>
  <c r="I4832" i="1"/>
  <c r="J4832" i="1"/>
  <c r="L4832" i="1"/>
  <c r="M4832" i="1"/>
  <c r="C4833" i="1"/>
  <c r="E4833" i="1"/>
  <c r="F4833" i="1"/>
  <c r="H4833" i="1"/>
  <c r="I4833" i="1"/>
  <c r="J4833" i="1"/>
  <c r="L4833" i="1"/>
  <c r="M4833" i="1"/>
  <c r="C4834" i="1"/>
  <c r="E4834" i="1"/>
  <c r="F4834" i="1"/>
  <c r="H4834" i="1"/>
  <c r="I4834" i="1"/>
  <c r="J4834" i="1"/>
  <c r="L4834" i="1"/>
  <c r="M4834" i="1"/>
  <c r="C4835" i="1"/>
  <c r="E4835" i="1"/>
  <c r="F4835" i="1"/>
  <c r="H4835" i="1"/>
  <c r="I4835" i="1"/>
  <c r="J4835" i="1"/>
  <c r="L4835" i="1"/>
  <c r="M4835" i="1"/>
  <c r="C4836" i="1"/>
  <c r="E4836" i="1"/>
  <c r="F4836" i="1"/>
  <c r="H4836" i="1"/>
  <c r="I4836" i="1"/>
  <c r="J4836" i="1"/>
  <c r="L4836" i="1"/>
  <c r="M4836" i="1"/>
  <c r="C4837" i="1"/>
  <c r="E4837" i="1"/>
  <c r="F4837" i="1"/>
  <c r="H4837" i="1"/>
  <c r="I4837" i="1"/>
  <c r="J4837" i="1"/>
  <c r="L4837" i="1"/>
  <c r="M4837" i="1"/>
  <c r="C4838" i="1"/>
  <c r="E4838" i="1"/>
  <c r="F4838" i="1"/>
  <c r="H4838" i="1"/>
  <c r="I4838" i="1"/>
  <c r="J4838" i="1"/>
  <c r="L4838" i="1"/>
  <c r="M4838" i="1"/>
  <c r="C4839" i="1"/>
  <c r="E4839" i="1"/>
  <c r="F4839" i="1"/>
  <c r="H4839" i="1"/>
  <c r="I4839" i="1"/>
  <c r="J4839" i="1"/>
  <c r="L4839" i="1"/>
  <c r="M4839" i="1"/>
  <c r="C4840" i="1"/>
  <c r="E4840" i="1"/>
  <c r="F4840" i="1"/>
  <c r="H4840" i="1"/>
  <c r="I4840" i="1"/>
  <c r="J4840" i="1"/>
  <c r="L4840" i="1"/>
  <c r="M4840" i="1"/>
  <c r="C4841" i="1"/>
  <c r="E4841" i="1"/>
  <c r="F4841" i="1"/>
  <c r="H4841" i="1"/>
  <c r="I4841" i="1"/>
  <c r="J4841" i="1"/>
  <c r="L4841" i="1"/>
  <c r="M4841" i="1"/>
  <c r="C4842" i="1"/>
  <c r="E4842" i="1"/>
  <c r="F4842" i="1"/>
  <c r="H4842" i="1"/>
  <c r="I4842" i="1"/>
  <c r="J4842" i="1"/>
  <c r="L4842" i="1"/>
  <c r="M4842" i="1"/>
  <c r="C4843" i="1"/>
  <c r="E4843" i="1"/>
  <c r="F4843" i="1"/>
  <c r="H4843" i="1"/>
  <c r="I4843" i="1"/>
  <c r="J4843" i="1"/>
  <c r="L4843" i="1"/>
  <c r="M4843" i="1"/>
  <c r="C4844" i="1"/>
  <c r="E4844" i="1"/>
  <c r="F4844" i="1"/>
  <c r="H4844" i="1"/>
  <c r="I4844" i="1"/>
  <c r="J4844" i="1"/>
  <c r="L4844" i="1"/>
  <c r="M4844" i="1"/>
  <c r="C4845" i="1"/>
  <c r="E4845" i="1"/>
  <c r="F4845" i="1"/>
  <c r="H4845" i="1"/>
  <c r="I4845" i="1"/>
  <c r="J4845" i="1"/>
  <c r="L4845" i="1"/>
  <c r="M4845" i="1"/>
  <c r="C4846" i="1"/>
  <c r="E4846" i="1"/>
  <c r="F4846" i="1"/>
  <c r="H4846" i="1"/>
  <c r="I4846" i="1"/>
  <c r="J4846" i="1"/>
  <c r="L4846" i="1"/>
  <c r="M4846" i="1"/>
  <c r="C4847" i="1"/>
  <c r="E4847" i="1"/>
  <c r="F4847" i="1"/>
  <c r="H4847" i="1"/>
  <c r="I4847" i="1"/>
  <c r="J4847" i="1"/>
  <c r="L4847" i="1"/>
  <c r="M4847" i="1"/>
  <c r="C4848" i="1"/>
  <c r="E4848" i="1"/>
  <c r="F4848" i="1"/>
  <c r="H4848" i="1"/>
  <c r="I4848" i="1"/>
  <c r="J4848" i="1"/>
  <c r="L4848" i="1"/>
  <c r="M4848" i="1"/>
  <c r="C4849" i="1"/>
  <c r="E4849" i="1"/>
  <c r="F4849" i="1"/>
  <c r="H4849" i="1"/>
  <c r="I4849" i="1"/>
  <c r="J4849" i="1"/>
  <c r="L4849" i="1"/>
  <c r="M4849" i="1"/>
  <c r="C4850" i="1"/>
  <c r="E4850" i="1"/>
  <c r="F4850" i="1"/>
  <c r="H4850" i="1"/>
  <c r="I4850" i="1"/>
  <c r="J4850" i="1"/>
  <c r="L4850" i="1"/>
  <c r="M4850" i="1"/>
  <c r="C4851" i="1"/>
  <c r="E4851" i="1"/>
  <c r="F4851" i="1"/>
  <c r="H4851" i="1"/>
  <c r="I4851" i="1"/>
  <c r="J4851" i="1"/>
  <c r="L4851" i="1"/>
  <c r="M4851" i="1"/>
  <c r="C4852" i="1"/>
  <c r="E4852" i="1"/>
  <c r="F4852" i="1"/>
  <c r="H4852" i="1"/>
  <c r="I4852" i="1"/>
  <c r="J4852" i="1"/>
  <c r="L4852" i="1"/>
  <c r="M4852" i="1"/>
  <c r="C4853" i="1"/>
  <c r="E4853" i="1"/>
  <c r="F4853" i="1"/>
  <c r="H4853" i="1"/>
  <c r="I4853" i="1"/>
  <c r="J4853" i="1"/>
  <c r="L4853" i="1"/>
  <c r="M4853" i="1"/>
  <c r="C4854" i="1"/>
  <c r="E4854" i="1"/>
  <c r="F4854" i="1"/>
  <c r="H4854" i="1"/>
  <c r="I4854" i="1"/>
  <c r="J4854" i="1"/>
  <c r="L4854" i="1"/>
  <c r="M4854" i="1"/>
  <c r="C4855" i="1"/>
  <c r="E4855" i="1"/>
  <c r="F4855" i="1"/>
  <c r="H4855" i="1"/>
  <c r="I4855" i="1"/>
  <c r="J4855" i="1"/>
  <c r="L4855" i="1"/>
  <c r="M4855" i="1"/>
  <c r="C4856" i="1"/>
  <c r="E4856" i="1"/>
  <c r="F4856" i="1"/>
  <c r="H4856" i="1"/>
  <c r="I4856" i="1"/>
  <c r="J4856" i="1"/>
  <c r="L4856" i="1"/>
  <c r="M4856" i="1"/>
  <c r="C4857" i="1"/>
  <c r="E4857" i="1"/>
  <c r="F4857" i="1"/>
  <c r="H4857" i="1"/>
  <c r="I4857" i="1"/>
  <c r="J4857" i="1"/>
  <c r="L4857" i="1"/>
  <c r="M4857" i="1"/>
  <c r="C4858" i="1"/>
  <c r="E4858" i="1"/>
  <c r="F4858" i="1"/>
  <c r="H4858" i="1"/>
  <c r="I4858" i="1"/>
  <c r="J4858" i="1"/>
  <c r="L4858" i="1"/>
  <c r="M4858" i="1"/>
  <c r="C4859" i="1"/>
  <c r="E4859" i="1"/>
  <c r="F4859" i="1"/>
  <c r="H4859" i="1"/>
  <c r="I4859" i="1"/>
  <c r="J4859" i="1"/>
  <c r="L4859" i="1"/>
  <c r="M4859" i="1"/>
  <c r="C4860" i="1"/>
  <c r="E4860" i="1"/>
  <c r="F4860" i="1"/>
  <c r="H4860" i="1"/>
  <c r="I4860" i="1"/>
  <c r="J4860" i="1"/>
  <c r="L4860" i="1"/>
  <c r="M4860" i="1"/>
  <c r="C4861" i="1"/>
  <c r="E4861" i="1"/>
  <c r="F4861" i="1"/>
  <c r="H4861" i="1"/>
  <c r="I4861" i="1"/>
  <c r="J4861" i="1"/>
  <c r="L4861" i="1"/>
  <c r="M4861" i="1"/>
  <c r="C4862" i="1"/>
  <c r="E4862" i="1"/>
  <c r="F4862" i="1"/>
  <c r="H4862" i="1"/>
  <c r="I4862" i="1"/>
  <c r="J4862" i="1"/>
  <c r="L4862" i="1"/>
  <c r="M4862" i="1"/>
  <c r="C4863" i="1"/>
  <c r="E4863" i="1"/>
  <c r="F4863" i="1"/>
  <c r="H4863" i="1"/>
  <c r="I4863" i="1"/>
  <c r="J4863" i="1"/>
  <c r="L4863" i="1"/>
  <c r="M4863" i="1"/>
  <c r="C4864" i="1"/>
  <c r="E4864" i="1"/>
  <c r="F4864" i="1"/>
  <c r="H4864" i="1"/>
  <c r="I4864" i="1"/>
  <c r="J4864" i="1"/>
  <c r="L4864" i="1"/>
  <c r="M4864" i="1"/>
  <c r="C4865" i="1"/>
  <c r="E4865" i="1"/>
  <c r="F4865" i="1"/>
  <c r="H4865" i="1"/>
  <c r="I4865" i="1"/>
  <c r="J4865" i="1"/>
  <c r="L4865" i="1"/>
  <c r="M4865" i="1"/>
  <c r="C4866" i="1"/>
  <c r="E4866" i="1"/>
  <c r="F4866" i="1"/>
  <c r="H4866" i="1"/>
  <c r="I4866" i="1"/>
  <c r="J4866" i="1"/>
  <c r="L4866" i="1"/>
  <c r="M4866" i="1"/>
  <c r="C4867" i="1"/>
  <c r="E4867" i="1"/>
  <c r="F4867" i="1"/>
  <c r="H4867" i="1"/>
  <c r="I4867" i="1"/>
  <c r="J4867" i="1"/>
  <c r="L4867" i="1"/>
  <c r="M4867" i="1"/>
  <c r="C4868" i="1"/>
  <c r="E4868" i="1"/>
  <c r="F4868" i="1"/>
  <c r="H4868" i="1"/>
  <c r="I4868" i="1"/>
  <c r="J4868" i="1"/>
  <c r="L4868" i="1"/>
  <c r="M4868" i="1"/>
  <c r="C4869" i="1"/>
  <c r="E4869" i="1"/>
  <c r="F4869" i="1"/>
  <c r="H4869" i="1"/>
  <c r="I4869" i="1"/>
  <c r="J4869" i="1"/>
  <c r="L4869" i="1"/>
  <c r="M4869" i="1"/>
  <c r="C4870" i="1"/>
  <c r="E4870" i="1"/>
  <c r="F4870" i="1"/>
  <c r="H4870" i="1"/>
  <c r="I4870" i="1"/>
  <c r="J4870" i="1"/>
  <c r="L4870" i="1"/>
  <c r="M4870" i="1"/>
  <c r="C4871" i="1"/>
  <c r="E4871" i="1"/>
  <c r="F4871" i="1"/>
  <c r="H4871" i="1"/>
  <c r="I4871" i="1"/>
  <c r="J4871" i="1"/>
  <c r="L4871" i="1"/>
  <c r="M4871" i="1"/>
  <c r="C4872" i="1"/>
  <c r="E4872" i="1"/>
  <c r="F4872" i="1"/>
  <c r="H4872" i="1"/>
  <c r="I4872" i="1"/>
  <c r="J4872" i="1"/>
  <c r="L4872" i="1"/>
  <c r="M4872" i="1"/>
  <c r="C4873" i="1"/>
  <c r="E4873" i="1"/>
  <c r="F4873" i="1"/>
  <c r="H4873" i="1"/>
  <c r="I4873" i="1"/>
  <c r="J4873" i="1"/>
  <c r="L4873" i="1"/>
  <c r="M4873" i="1"/>
  <c r="C4874" i="1"/>
  <c r="E4874" i="1"/>
  <c r="F4874" i="1"/>
  <c r="H4874" i="1"/>
  <c r="I4874" i="1"/>
  <c r="J4874" i="1"/>
  <c r="L4874" i="1"/>
  <c r="M4874" i="1"/>
  <c r="C4875" i="1"/>
  <c r="E4875" i="1"/>
  <c r="F4875" i="1"/>
  <c r="H4875" i="1"/>
  <c r="I4875" i="1"/>
  <c r="J4875" i="1"/>
  <c r="L4875" i="1"/>
  <c r="M4875" i="1"/>
  <c r="C4876" i="1"/>
  <c r="E4876" i="1"/>
  <c r="F4876" i="1"/>
  <c r="H4876" i="1"/>
  <c r="I4876" i="1"/>
  <c r="J4876" i="1"/>
  <c r="L4876" i="1"/>
  <c r="M4876" i="1"/>
  <c r="C4877" i="1"/>
  <c r="E4877" i="1"/>
  <c r="F4877" i="1"/>
  <c r="H4877" i="1"/>
  <c r="I4877" i="1"/>
  <c r="J4877" i="1"/>
  <c r="L4877" i="1"/>
  <c r="M4877" i="1"/>
  <c r="C4878" i="1"/>
  <c r="E4878" i="1"/>
  <c r="F4878" i="1"/>
  <c r="H4878" i="1"/>
  <c r="I4878" i="1"/>
  <c r="J4878" i="1"/>
  <c r="L4878" i="1"/>
  <c r="M4878" i="1"/>
  <c r="C4879" i="1"/>
  <c r="E4879" i="1"/>
  <c r="F4879" i="1"/>
  <c r="H4879" i="1"/>
  <c r="I4879" i="1"/>
  <c r="J4879" i="1"/>
  <c r="L4879" i="1"/>
  <c r="M4879" i="1"/>
  <c r="C4880" i="1"/>
  <c r="E4880" i="1"/>
  <c r="F4880" i="1"/>
  <c r="H4880" i="1"/>
  <c r="I4880" i="1"/>
  <c r="J4880" i="1"/>
  <c r="L4880" i="1"/>
  <c r="M4880" i="1"/>
  <c r="C4881" i="1"/>
  <c r="E4881" i="1"/>
  <c r="F4881" i="1"/>
  <c r="H4881" i="1"/>
  <c r="I4881" i="1"/>
  <c r="J4881" i="1"/>
  <c r="L4881" i="1"/>
  <c r="M4881" i="1"/>
  <c r="C4882" i="1"/>
  <c r="E4882" i="1"/>
  <c r="F4882" i="1"/>
  <c r="H4882" i="1"/>
  <c r="I4882" i="1"/>
  <c r="J4882" i="1"/>
  <c r="L4882" i="1"/>
  <c r="M4882" i="1"/>
  <c r="C4883" i="1"/>
  <c r="E4883" i="1"/>
  <c r="F4883" i="1"/>
  <c r="H4883" i="1"/>
  <c r="I4883" i="1"/>
  <c r="J4883" i="1"/>
  <c r="L4883" i="1"/>
  <c r="M4883" i="1"/>
  <c r="C4884" i="1"/>
  <c r="E4884" i="1"/>
  <c r="F4884" i="1"/>
  <c r="H4884" i="1"/>
  <c r="I4884" i="1"/>
  <c r="J4884" i="1"/>
  <c r="L4884" i="1"/>
  <c r="M4884" i="1"/>
  <c r="C4885" i="1"/>
  <c r="E4885" i="1"/>
  <c r="F4885" i="1"/>
  <c r="H4885" i="1"/>
  <c r="I4885" i="1"/>
  <c r="J4885" i="1"/>
  <c r="L4885" i="1"/>
  <c r="M4885" i="1"/>
  <c r="C4886" i="1"/>
  <c r="E4886" i="1"/>
  <c r="F4886" i="1"/>
  <c r="H4886" i="1"/>
  <c r="I4886" i="1"/>
  <c r="J4886" i="1"/>
  <c r="L4886" i="1"/>
  <c r="M4886" i="1"/>
  <c r="C4887" i="1"/>
  <c r="E4887" i="1"/>
  <c r="F4887" i="1"/>
  <c r="H4887" i="1"/>
  <c r="I4887" i="1"/>
  <c r="J4887" i="1"/>
  <c r="L4887" i="1"/>
  <c r="M4887" i="1"/>
  <c r="C4888" i="1"/>
  <c r="E4888" i="1"/>
  <c r="F4888" i="1"/>
  <c r="H4888" i="1"/>
  <c r="I4888" i="1"/>
  <c r="J4888" i="1"/>
  <c r="L4888" i="1"/>
  <c r="M4888" i="1"/>
  <c r="C4889" i="1"/>
  <c r="E4889" i="1"/>
  <c r="F4889" i="1"/>
  <c r="H4889" i="1"/>
  <c r="I4889" i="1"/>
  <c r="J4889" i="1"/>
  <c r="L4889" i="1"/>
  <c r="M4889" i="1"/>
  <c r="C4890" i="1"/>
  <c r="E4890" i="1"/>
  <c r="F4890" i="1"/>
  <c r="H4890" i="1"/>
  <c r="I4890" i="1"/>
  <c r="J4890" i="1"/>
  <c r="L4890" i="1"/>
  <c r="M4890" i="1"/>
  <c r="C4891" i="1"/>
  <c r="E4891" i="1"/>
  <c r="F4891" i="1"/>
  <c r="H4891" i="1"/>
  <c r="I4891" i="1"/>
  <c r="J4891" i="1"/>
  <c r="L4891" i="1"/>
  <c r="M4891" i="1"/>
  <c r="C4892" i="1"/>
  <c r="E4892" i="1"/>
  <c r="F4892" i="1"/>
  <c r="H4892" i="1"/>
  <c r="I4892" i="1"/>
  <c r="J4892" i="1"/>
  <c r="L4892" i="1"/>
  <c r="M4892" i="1"/>
  <c r="C4893" i="1"/>
  <c r="E4893" i="1"/>
  <c r="F4893" i="1"/>
  <c r="H4893" i="1"/>
  <c r="I4893" i="1"/>
  <c r="J4893" i="1"/>
  <c r="L4893" i="1"/>
  <c r="M4893" i="1"/>
  <c r="C4894" i="1"/>
  <c r="E4894" i="1"/>
  <c r="F4894" i="1"/>
  <c r="H4894" i="1"/>
  <c r="I4894" i="1"/>
  <c r="J4894" i="1"/>
  <c r="L4894" i="1"/>
  <c r="M4894" i="1"/>
  <c r="C4895" i="1"/>
  <c r="E4895" i="1"/>
  <c r="F4895" i="1"/>
  <c r="H4895" i="1"/>
  <c r="I4895" i="1"/>
  <c r="J4895" i="1"/>
  <c r="L4895" i="1"/>
  <c r="M4895" i="1"/>
  <c r="C4896" i="1"/>
  <c r="E4896" i="1"/>
  <c r="F4896" i="1"/>
  <c r="H4896" i="1"/>
  <c r="I4896" i="1"/>
  <c r="J4896" i="1"/>
  <c r="L4896" i="1"/>
  <c r="M4896" i="1"/>
  <c r="C4897" i="1"/>
  <c r="E4897" i="1"/>
  <c r="F4897" i="1"/>
  <c r="H4897" i="1"/>
  <c r="I4897" i="1"/>
  <c r="J4897" i="1"/>
  <c r="L4897" i="1"/>
  <c r="M4897" i="1"/>
  <c r="C4898" i="1"/>
  <c r="E4898" i="1"/>
  <c r="F4898" i="1"/>
  <c r="H4898" i="1"/>
  <c r="I4898" i="1"/>
  <c r="J4898" i="1"/>
  <c r="L4898" i="1"/>
  <c r="M4898" i="1"/>
  <c r="C4899" i="1"/>
  <c r="E4899" i="1"/>
  <c r="F4899" i="1"/>
  <c r="H4899" i="1"/>
  <c r="I4899" i="1"/>
  <c r="J4899" i="1"/>
  <c r="L4899" i="1"/>
  <c r="M4899" i="1"/>
  <c r="C4900" i="1"/>
  <c r="E4900" i="1"/>
  <c r="F4900" i="1"/>
  <c r="H4900" i="1"/>
  <c r="I4900" i="1"/>
  <c r="J4900" i="1"/>
  <c r="L4900" i="1"/>
  <c r="M4900" i="1"/>
  <c r="C4901" i="1"/>
  <c r="E4901" i="1"/>
  <c r="F4901" i="1"/>
  <c r="H4901" i="1"/>
  <c r="I4901" i="1"/>
  <c r="J4901" i="1"/>
  <c r="L4901" i="1"/>
  <c r="M4901" i="1"/>
  <c r="C4902" i="1"/>
  <c r="E4902" i="1"/>
  <c r="F4902" i="1"/>
  <c r="H4902" i="1"/>
  <c r="I4902" i="1"/>
  <c r="J4902" i="1"/>
  <c r="L4902" i="1"/>
  <c r="M4902" i="1"/>
  <c r="C4903" i="1"/>
  <c r="E4903" i="1"/>
  <c r="F4903" i="1"/>
  <c r="H4903" i="1"/>
  <c r="I4903" i="1"/>
  <c r="J4903" i="1"/>
  <c r="L4903" i="1"/>
  <c r="M4903" i="1"/>
  <c r="C4904" i="1"/>
  <c r="E4904" i="1"/>
  <c r="F4904" i="1"/>
  <c r="H4904" i="1"/>
  <c r="I4904" i="1"/>
  <c r="J4904" i="1"/>
  <c r="L4904" i="1"/>
  <c r="M4904" i="1"/>
  <c r="C4905" i="1"/>
  <c r="E4905" i="1"/>
  <c r="F4905" i="1"/>
  <c r="H4905" i="1"/>
  <c r="I4905" i="1"/>
  <c r="J4905" i="1"/>
  <c r="L4905" i="1"/>
  <c r="M4905" i="1"/>
  <c r="C4906" i="1"/>
  <c r="E4906" i="1"/>
  <c r="F4906" i="1"/>
  <c r="H4906" i="1"/>
  <c r="I4906" i="1"/>
  <c r="J4906" i="1"/>
  <c r="L4906" i="1"/>
  <c r="M4906" i="1"/>
  <c r="C4907" i="1"/>
  <c r="E4907" i="1"/>
  <c r="F4907" i="1"/>
  <c r="H4907" i="1"/>
  <c r="I4907" i="1"/>
  <c r="J4907" i="1"/>
  <c r="L4907" i="1"/>
  <c r="M4907" i="1"/>
  <c r="C4908" i="1"/>
  <c r="E4908" i="1"/>
  <c r="F4908" i="1"/>
  <c r="H4908" i="1"/>
  <c r="I4908" i="1"/>
  <c r="J4908" i="1"/>
  <c r="L4908" i="1"/>
  <c r="M4908" i="1"/>
  <c r="C4909" i="1"/>
  <c r="E4909" i="1"/>
  <c r="F4909" i="1"/>
  <c r="H4909" i="1"/>
  <c r="I4909" i="1"/>
  <c r="J4909" i="1"/>
  <c r="L4909" i="1"/>
  <c r="M4909" i="1"/>
  <c r="C4910" i="1"/>
  <c r="E4910" i="1"/>
  <c r="F4910" i="1"/>
  <c r="H4910" i="1"/>
  <c r="I4910" i="1"/>
  <c r="J4910" i="1"/>
  <c r="L4910" i="1"/>
  <c r="M4910" i="1"/>
  <c r="C4911" i="1"/>
  <c r="E4911" i="1"/>
  <c r="F4911" i="1"/>
  <c r="H4911" i="1"/>
  <c r="I4911" i="1"/>
  <c r="J4911" i="1"/>
  <c r="L4911" i="1"/>
  <c r="M4911" i="1"/>
  <c r="C4912" i="1"/>
  <c r="E4912" i="1"/>
  <c r="F4912" i="1"/>
  <c r="H4912" i="1"/>
  <c r="I4912" i="1"/>
  <c r="J4912" i="1"/>
  <c r="L4912" i="1"/>
  <c r="M4912" i="1"/>
  <c r="C4913" i="1"/>
  <c r="E4913" i="1"/>
  <c r="F4913" i="1"/>
  <c r="H4913" i="1"/>
  <c r="I4913" i="1"/>
  <c r="J4913" i="1"/>
  <c r="L4913" i="1"/>
  <c r="M4913" i="1"/>
  <c r="C4914" i="1"/>
  <c r="E4914" i="1"/>
  <c r="F4914" i="1"/>
  <c r="H4914" i="1"/>
  <c r="I4914" i="1"/>
  <c r="J4914" i="1"/>
  <c r="L4914" i="1"/>
  <c r="M4914" i="1"/>
  <c r="C4915" i="1"/>
  <c r="E4915" i="1"/>
  <c r="F4915" i="1"/>
  <c r="H4915" i="1"/>
  <c r="I4915" i="1"/>
  <c r="J4915" i="1"/>
  <c r="L4915" i="1"/>
  <c r="M4915" i="1"/>
  <c r="C4916" i="1"/>
  <c r="E4916" i="1"/>
  <c r="F4916" i="1"/>
  <c r="H4916" i="1"/>
  <c r="I4916" i="1"/>
  <c r="J4916" i="1"/>
  <c r="L4916" i="1"/>
  <c r="M4916" i="1"/>
  <c r="C4917" i="1"/>
  <c r="E4917" i="1"/>
  <c r="F4917" i="1"/>
  <c r="H4917" i="1"/>
  <c r="I4917" i="1"/>
  <c r="J4917" i="1"/>
  <c r="L4917" i="1"/>
  <c r="M4917" i="1"/>
  <c r="C4918" i="1"/>
  <c r="E4918" i="1"/>
  <c r="F4918" i="1"/>
  <c r="H4918" i="1"/>
  <c r="I4918" i="1"/>
  <c r="J4918" i="1"/>
  <c r="L4918" i="1"/>
  <c r="M4918" i="1"/>
  <c r="C4919" i="1"/>
  <c r="E4919" i="1"/>
  <c r="F4919" i="1"/>
  <c r="H4919" i="1"/>
  <c r="I4919" i="1"/>
  <c r="J4919" i="1"/>
  <c r="L4919" i="1"/>
  <c r="M4919" i="1"/>
  <c r="C4920" i="1"/>
  <c r="E4920" i="1"/>
  <c r="F4920" i="1"/>
  <c r="H4920" i="1"/>
  <c r="I4920" i="1"/>
  <c r="J4920" i="1"/>
  <c r="L4920" i="1"/>
  <c r="M4920" i="1"/>
  <c r="C4921" i="1"/>
  <c r="E4921" i="1"/>
  <c r="F4921" i="1"/>
  <c r="H4921" i="1"/>
  <c r="I4921" i="1"/>
  <c r="J4921" i="1"/>
  <c r="L4921" i="1"/>
  <c r="M4921" i="1"/>
  <c r="C4922" i="1"/>
  <c r="E4922" i="1"/>
  <c r="F4922" i="1"/>
  <c r="H4922" i="1"/>
  <c r="I4922" i="1"/>
  <c r="J4922" i="1"/>
  <c r="L4922" i="1"/>
  <c r="M4922" i="1"/>
  <c r="C4923" i="1"/>
  <c r="E4923" i="1"/>
  <c r="F4923" i="1"/>
  <c r="H4923" i="1"/>
  <c r="I4923" i="1"/>
  <c r="J4923" i="1"/>
  <c r="L4923" i="1"/>
  <c r="M4923" i="1"/>
  <c r="C4924" i="1"/>
  <c r="E4924" i="1"/>
  <c r="F4924" i="1"/>
  <c r="H4924" i="1"/>
  <c r="I4924" i="1"/>
  <c r="J4924" i="1"/>
  <c r="L4924" i="1"/>
  <c r="M4924" i="1"/>
  <c r="C4925" i="1"/>
  <c r="E4925" i="1"/>
  <c r="F4925" i="1"/>
  <c r="H4925" i="1"/>
  <c r="I4925" i="1"/>
  <c r="J4925" i="1"/>
  <c r="L4925" i="1"/>
  <c r="M4925" i="1"/>
  <c r="C4926" i="1"/>
  <c r="E4926" i="1"/>
  <c r="F4926" i="1"/>
  <c r="H4926" i="1"/>
  <c r="I4926" i="1"/>
  <c r="J4926" i="1"/>
  <c r="L4926" i="1"/>
  <c r="M4926" i="1"/>
  <c r="C4927" i="1"/>
  <c r="E4927" i="1"/>
  <c r="F4927" i="1"/>
  <c r="H4927" i="1"/>
  <c r="I4927" i="1"/>
  <c r="J4927" i="1"/>
  <c r="L4927" i="1"/>
  <c r="M4927" i="1"/>
  <c r="C4928" i="1"/>
  <c r="E4928" i="1"/>
  <c r="F4928" i="1"/>
  <c r="H4928" i="1"/>
  <c r="I4928" i="1"/>
  <c r="J4928" i="1"/>
  <c r="L4928" i="1"/>
  <c r="M4928" i="1"/>
  <c r="C4929" i="1"/>
  <c r="E4929" i="1"/>
  <c r="F4929" i="1"/>
  <c r="H4929" i="1"/>
  <c r="I4929" i="1"/>
  <c r="J4929" i="1"/>
  <c r="L4929" i="1"/>
  <c r="M4929" i="1"/>
  <c r="C4930" i="1"/>
  <c r="E4930" i="1"/>
  <c r="F4930" i="1"/>
  <c r="H4930" i="1"/>
  <c r="I4930" i="1"/>
  <c r="J4930" i="1"/>
  <c r="L4930" i="1"/>
  <c r="M4930" i="1"/>
  <c r="C4931" i="1"/>
  <c r="E4931" i="1"/>
  <c r="F4931" i="1"/>
  <c r="H4931" i="1"/>
  <c r="I4931" i="1"/>
  <c r="J4931" i="1"/>
  <c r="L4931" i="1"/>
  <c r="M4931" i="1"/>
  <c r="C4932" i="1"/>
  <c r="E4932" i="1"/>
  <c r="F4932" i="1"/>
  <c r="H4932" i="1"/>
  <c r="I4932" i="1"/>
  <c r="J4932" i="1"/>
  <c r="L4932" i="1"/>
  <c r="M4932" i="1"/>
  <c r="C4933" i="1"/>
  <c r="E4933" i="1"/>
  <c r="F4933" i="1"/>
  <c r="H4933" i="1"/>
  <c r="I4933" i="1"/>
  <c r="J4933" i="1"/>
  <c r="L4933" i="1"/>
  <c r="M4933" i="1"/>
  <c r="C4934" i="1"/>
  <c r="E4934" i="1"/>
  <c r="F4934" i="1"/>
  <c r="H4934" i="1"/>
  <c r="I4934" i="1"/>
  <c r="J4934" i="1"/>
  <c r="L4934" i="1"/>
  <c r="M4934" i="1"/>
  <c r="C4935" i="1"/>
  <c r="E4935" i="1"/>
  <c r="F4935" i="1"/>
  <c r="H4935" i="1"/>
  <c r="I4935" i="1"/>
  <c r="J4935" i="1"/>
  <c r="L4935" i="1"/>
  <c r="M4935" i="1"/>
  <c r="C4936" i="1"/>
  <c r="E4936" i="1"/>
  <c r="F4936" i="1"/>
  <c r="H4936" i="1"/>
  <c r="I4936" i="1"/>
  <c r="J4936" i="1"/>
  <c r="L4936" i="1"/>
  <c r="M4936" i="1"/>
  <c r="C4937" i="1"/>
  <c r="E4937" i="1"/>
  <c r="F4937" i="1"/>
  <c r="H4937" i="1"/>
  <c r="I4937" i="1"/>
  <c r="J4937" i="1"/>
  <c r="L4937" i="1"/>
  <c r="M4937" i="1"/>
  <c r="C4938" i="1"/>
  <c r="E4938" i="1"/>
  <c r="F4938" i="1"/>
  <c r="H4938" i="1"/>
  <c r="I4938" i="1"/>
  <c r="J4938" i="1"/>
  <c r="L4938" i="1"/>
  <c r="M4938" i="1"/>
  <c r="C4939" i="1"/>
  <c r="E4939" i="1"/>
  <c r="F4939" i="1"/>
  <c r="H4939" i="1"/>
  <c r="I4939" i="1"/>
  <c r="J4939" i="1"/>
  <c r="L4939" i="1"/>
  <c r="M4939" i="1"/>
  <c r="C4940" i="1"/>
  <c r="E4940" i="1"/>
  <c r="F4940" i="1"/>
  <c r="H4940" i="1"/>
  <c r="I4940" i="1"/>
  <c r="J4940" i="1"/>
  <c r="L4940" i="1"/>
  <c r="M4940" i="1"/>
  <c r="C4941" i="1"/>
  <c r="E4941" i="1"/>
  <c r="F4941" i="1"/>
  <c r="H4941" i="1"/>
  <c r="I4941" i="1"/>
  <c r="J4941" i="1"/>
  <c r="L4941" i="1"/>
  <c r="M4941" i="1"/>
  <c r="C4942" i="1"/>
  <c r="E4942" i="1"/>
  <c r="F4942" i="1"/>
  <c r="H4942" i="1"/>
  <c r="I4942" i="1"/>
  <c r="J4942" i="1"/>
  <c r="L4942" i="1"/>
  <c r="M4942" i="1"/>
  <c r="C4943" i="1"/>
  <c r="E4943" i="1"/>
  <c r="F4943" i="1"/>
  <c r="H4943" i="1"/>
  <c r="I4943" i="1"/>
  <c r="J4943" i="1"/>
  <c r="L4943" i="1"/>
  <c r="M4943" i="1"/>
  <c r="C4944" i="1"/>
  <c r="E4944" i="1"/>
  <c r="F4944" i="1"/>
  <c r="H4944" i="1"/>
  <c r="I4944" i="1"/>
  <c r="J4944" i="1"/>
  <c r="L4944" i="1"/>
  <c r="M4944" i="1"/>
  <c r="C4945" i="1"/>
  <c r="E4945" i="1"/>
  <c r="F4945" i="1"/>
  <c r="H4945" i="1"/>
  <c r="I4945" i="1"/>
  <c r="J4945" i="1"/>
  <c r="L4945" i="1"/>
  <c r="M4945" i="1"/>
  <c r="C4946" i="1"/>
  <c r="E4946" i="1"/>
  <c r="F4946" i="1"/>
  <c r="H4946" i="1"/>
  <c r="I4946" i="1"/>
  <c r="J4946" i="1"/>
  <c r="L4946" i="1"/>
  <c r="M4946" i="1"/>
  <c r="C4947" i="1"/>
  <c r="E4947" i="1"/>
  <c r="F4947" i="1"/>
  <c r="H4947" i="1"/>
  <c r="I4947" i="1"/>
  <c r="J4947" i="1"/>
  <c r="L4947" i="1"/>
  <c r="M4947" i="1"/>
  <c r="C4948" i="1"/>
  <c r="E4948" i="1"/>
  <c r="F4948" i="1"/>
  <c r="H4948" i="1"/>
  <c r="I4948" i="1"/>
  <c r="J4948" i="1"/>
  <c r="L4948" i="1"/>
  <c r="M4948" i="1"/>
  <c r="C4949" i="1"/>
  <c r="E4949" i="1"/>
  <c r="F4949" i="1"/>
  <c r="H4949" i="1"/>
  <c r="I4949" i="1"/>
  <c r="J4949" i="1"/>
  <c r="L4949" i="1"/>
  <c r="M4949" i="1"/>
  <c r="C4950" i="1"/>
  <c r="E4950" i="1"/>
  <c r="F4950" i="1"/>
  <c r="H4950" i="1"/>
  <c r="I4950" i="1"/>
  <c r="J4950" i="1"/>
  <c r="L4950" i="1"/>
  <c r="M4950" i="1"/>
  <c r="C4951" i="1"/>
  <c r="E4951" i="1"/>
  <c r="F4951" i="1"/>
  <c r="H4951" i="1"/>
  <c r="I4951" i="1"/>
  <c r="J4951" i="1"/>
  <c r="L4951" i="1"/>
  <c r="M4951" i="1"/>
  <c r="C4952" i="1"/>
  <c r="E4952" i="1"/>
  <c r="F4952" i="1"/>
  <c r="H4952" i="1"/>
  <c r="I4952" i="1"/>
  <c r="J4952" i="1"/>
  <c r="L4952" i="1"/>
  <c r="M4952" i="1"/>
  <c r="C4953" i="1"/>
  <c r="E4953" i="1"/>
  <c r="F4953" i="1"/>
  <c r="H4953" i="1"/>
  <c r="I4953" i="1"/>
  <c r="J4953" i="1"/>
  <c r="L4953" i="1"/>
  <c r="M4953" i="1"/>
  <c r="C4954" i="1"/>
  <c r="E4954" i="1"/>
  <c r="F4954" i="1"/>
  <c r="H4954" i="1"/>
  <c r="I4954" i="1"/>
  <c r="J4954" i="1"/>
  <c r="L4954" i="1"/>
  <c r="M4954" i="1"/>
  <c r="C4955" i="1"/>
  <c r="E4955" i="1"/>
  <c r="F4955" i="1"/>
  <c r="H4955" i="1"/>
  <c r="I4955" i="1"/>
  <c r="J4955" i="1"/>
  <c r="L4955" i="1"/>
  <c r="M4955" i="1"/>
  <c r="C4956" i="1"/>
  <c r="E4956" i="1"/>
  <c r="F4956" i="1"/>
  <c r="H4956" i="1"/>
  <c r="I4956" i="1"/>
  <c r="J4956" i="1"/>
  <c r="L4956" i="1"/>
  <c r="M4956" i="1"/>
  <c r="C4957" i="1"/>
  <c r="E4957" i="1"/>
  <c r="F4957" i="1"/>
  <c r="H4957" i="1"/>
  <c r="I4957" i="1"/>
  <c r="J4957" i="1"/>
  <c r="L4957" i="1"/>
  <c r="M4957" i="1"/>
  <c r="C4958" i="1"/>
  <c r="E4958" i="1"/>
  <c r="F4958" i="1"/>
  <c r="H4958" i="1"/>
  <c r="I4958" i="1"/>
  <c r="J4958" i="1"/>
  <c r="L4958" i="1"/>
  <c r="M4958" i="1"/>
  <c r="C4959" i="1"/>
  <c r="E4959" i="1"/>
  <c r="F4959" i="1"/>
  <c r="H4959" i="1"/>
  <c r="I4959" i="1"/>
  <c r="J4959" i="1"/>
  <c r="L4959" i="1"/>
  <c r="M4959" i="1"/>
  <c r="C4960" i="1"/>
  <c r="E4960" i="1"/>
  <c r="F4960" i="1"/>
  <c r="H4960" i="1"/>
  <c r="I4960" i="1"/>
  <c r="J4960" i="1"/>
  <c r="L4960" i="1"/>
  <c r="M4960" i="1"/>
  <c r="C4961" i="1"/>
  <c r="E4961" i="1"/>
  <c r="F4961" i="1"/>
  <c r="H4961" i="1"/>
  <c r="I4961" i="1"/>
  <c r="J4961" i="1"/>
  <c r="L4961" i="1"/>
  <c r="M4961" i="1"/>
  <c r="C4962" i="1"/>
  <c r="E4962" i="1"/>
  <c r="F4962" i="1"/>
  <c r="H4962" i="1"/>
  <c r="I4962" i="1"/>
  <c r="J4962" i="1"/>
  <c r="L4962" i="1"/>
  <c r="M4962" i="1"/>
  <c r="C4963" i="1"/>
  <c r="E4963" i="1"/>
  <c r="F4963" i="1"/>
  <c r="H4963" i="1"/>
  <c r="I4963" i="1"/>
  <c r="J4963" i="1"/>
  <c r="L4963" i="1"/>
  <c r="M4963" i="1"/>
  <c r="C4964" i="1"/>
  <c r="E4964" i="1"/>
  <c r="F4964" i="1"/>
  <c r="H4964" i="1"/>
  <c r="I4964" i="1"/>
  <c r="J4964" i="1"/>
  <c r="L4964" i="1"/>
  <c r="M4964" i="1"/>
  <c r="C4965" i="1"/>
  <c r="E4965" i="1"/>
  <c r="F4965" i="1"/>
  <c r="H4965" i="1"/>
  <c r="I4965" i="1"/>
  <c r="J4965" i="1"/>
  <c r="L4965" i="1"/>
  <c r="M4965" i="1"/>
  <c r="C4966" i="1"/>
  <c r="E4966" i="1"/>
  <c r="F4966" i="1"/>
  <c r="H4966" i="1"/>
  <c r="I4966" i="1"/>
  <c r="J4966" i="1"/>
  <c r="L4966" i="1"/>
  <c r="M4966" i="1"/>
  <c r="C4967" i="1"/>
  <c r="E4967" i="1"/>
  <c r="F4967" i="1"/>
  <c r="H4967" i="1"/>
  <c r="I4967" i="1"/>
  <c r="J4967" i="1"/>
  <c r="L4967" i="1"/>
  <c r="M4967" i="1"/>
  <c r="C4968" i="1"/>
  <c r="E4968" i="1"/>
  <c r="F4968" i="1"/>
  <c r="H4968" i="1"/>
  <c r="I4968" i="1"/>
  <c r="J4968" i="1"/>
  <c r="L4968" i="1"/>
  <c r="M4968" i="1"/>
  <c r="C4969" i="1"/>
  <c r="E4969" i="1"/>
  <c r="F4969" i="1"/>
  <c r="H4969" i="1"/>
  <c r="I4969" i="1"/>
  <c r="J4969" i="1"/>
  <c r="L4969" i="1"/>
  <c r="M4969" i="1"/>
  <c r="C4970" i="1"/>
  <c r="E4970" i="1"/>
  <c r="F4970" i="1"/>
  <c r="H4970" i="1"/>
  <c r="I4970" i="1"/>
  <c r="J4970" i="1"/>
  <c r="L4970" i="1"/>
  <c r="M4970" i="1"/>
  <c r="C4971" i="1"/>
  <c r="E4971" i="1"/>
  <c r="F4971" i="1"/>
  <c r="H4971" i="1"/>
  <c r="I4971" i="1"/>
  <c r="J4971" i="1"/>
  <c r="L4971" i="1"/>
  <c r="M4971" i="1"/>
  <c r="C4972" i="1"/>
  <c r="E4972" i="1"/>
  <c r="F4972" i="1"/>
  <c r="H4972" i="1"/>
  <c r="I4972" i="1"/>
  <c r="J4972" i="1"/>
  <c r="L4972" i="1"/>
  <c r="M4972" i="1"/>
  <c r="C4973" i="1"/>
  <c r="E4973" i="1"/>
  <c r="F4973" i="1"/>
  <c r="H4973" i="1"/>
  <c r="I4973" i="1"/>
  <c r="J4973" i="1"/>
  <c r="L4973" i="1"/>
  <c r="M4973" i="1"/>
  <c r="C4974" i="1"/>
  <c r="E4974" i="1"/>
  <c r="F4974" i="1"/>
  <c r="H4974" i="1"/>
  <c r="I4974" i="1"/>
  <c r="J4974" i="1"/>
  <c r="L4974" i="1"/>
  <c r="M4974" i="1"/>
  <c r="C4975" i="1"/>
  <c r="E4975" i="1"/>
  <c r="F4975" i="1"/>
  <c r="H4975" i="1"/>
  <c r="I4975" i="1"/>
  <c r="J4975" i="1"/>
  <c r="L4975" i="1"/>
  <c r="M4975" i="1"/>
  <c r="C4976" i="1"/>
  <c r="E4976" i="1"/>
  <c r="F4976" i="1"/>
  <c r="H4976" i="1"/>
  <c r="I4976" i="1"/>
  <c r="J4976" i="1"/>
  <c r="L4976" i="1"/>
  <c r="M4976" i="1"/>
  <c r="C4977" i="1"/>
  <c r="E4977" i="1"/>
  <c r="F4977" i="1"/>
  <c r="H4977" i="1"/>
  <c r="I4977" i="1"/>
  <c r="J4977" i="1"/>
  <c r="L4977" i="1"/>
  <c r="M4977" i="1"/>
  <c r="C4978" i="1"/>
  <c r="E4978" i="1"/>
  <c r="F4978" i="1"/>
  <c r="H4978" i="1"/>
  <c r="I4978" i="1"/>
  <c r="J4978" i="1"/>
  <c r="L4978" i="1"/>
  <c r="M4978" i="1"/>
  <c r="C4979" i="1"/>
  <c r="E4979" i="1"/>
  <c r="F4979" i="1"/>
  <c r="H4979" i="1"/>
  <c r="I4979" i="1"/>
  <c r="J4979" i="1"/>
  <c r="L4979" i="1"/>
  <c r="M4979" i="1"/>
  <c r="C4980" i="1"/>
  <c r="E4980" i="1"/>
  <c r="F4980" i="1"/>
  <c r="H4980" i="1"/>
  <c r="I4980" i="1"/>
  <c r="J4980" i="1"/>
  <c r="L4980" i="1"/>
  <c r="M4980" i="1"/>
  <c r="C4981" i="1"/>
  <c r="E4981" i="1"/>
  <c r="F4981" i="1"/>
  <c r="H4981" i="1"/>
  <c r="I4981" i="1"/>
  <c r="J4981" i="1"/>
  <c r="L4981" i="1"/>
  <c r="M4981" i="1"/>
  <c r="C4982" i="1"/>
  <c r="E4982" i="1"/>
  <c r="F4982" i="1"/>
  <c r="H4982" i="1"/>
  <c r="I4982" i="1"/>
  <c r="J4982" i="1"/>
  <c r="L4982" i="1"/>
  <c r="M4982" i="1"/>
  <c r="C4983" i="1"/>
  <c r="E4983" i="1"/>
  <c r="F4983" i="1"/>
  <c r="H4983" i="1"/>
  <c r="I4983" i="1"/>
  <c r="J4983" i="1"/>
  <c r="L4983" i="1"/>
  <c r="M4983" i="1"/>
  <c r="C4984" i="1"/>
  <c r="E4984" i="1"/>
  <c r="F4984" i="1"/>
  <c r="H4984" i="1"/>
  <c r="I4984" i="1"/>
  <c r="J4984" i="1"/>
  <c r="L4984" i="1"/>
  <c r="M4984" i="1"/>
  <c r="C4985" i="1"/>
  <c r="E4985" i="1"/>
  <c r="F4985" i="1"/>
  <c r="H4985" i="1"/>
  <c r="I4985" i="1"/>
  <c r="J4985" i="1"/>
  <c r="L4985" i="1"/>
  <c r="M4985" i="1"/>
  <c r="C4986" i="1"/>
  <c r="E4986" i="1"/>
  <c r="F4986" i="1"/>
  <c r="H4986" i="1"/>
  <c r="I4986" i="1"/>
  <c r="J4986" i="1"/>
  <c r="L4986" i="1"/>
  <c r="M4986" i="1"/>
  <c r="C4987" i="1"/>
  <c r="E4987" i="1"/>
  <c r="F4987" i="1"/>
  <c r="H4987" i="1"/>
  <c r="I4987" i="1"/>
  <c r="J4987" i="1"/>
  <c r="L4987" i="1"/>
  <c r="M4987" i="1"/>
  <c r="C4988" i="1"/>
  <c r="E4988" i="1"/>
  <c r="F4988" i="1"/>
  <c r="H4988" i="1"/>
  <c r="I4988" i="1"/>
  <c r="J4988" i="1"/>
  <c r="L4988" i="1"/>
  <c r="M4988" i="1"/>
  <c r="C4989" i="1"/>
  <c r="E4989" i="1"/>
  <c r="F4989" i="1"/>
  <c r="H4989" i="1"/>
  <c r="I4989" i="1"/>
  <c r="J4989" i="1"/>
  <c r="L4989" i="1"/>
  <c r="M4989" i="1"/>
  <c r="C4990" i="1"/>
  <c r="E4990" i="1"/>
  <c r="F4990" i="1"/>
  <c r="H4990" i="1"/>
  <c r="I4990" i="1"/>
  <c r="J4990" i="1"/>
  <c r="L4990" i="1"/>
  <c r="M4990" i="1"/>
  <c r="C4991" i="1"/>
  <c r="E4991" i="1"/>
  <c r="F4991" i="1"/>
  <c r="H4991" i="1"/>
  <c r="I4991" i="1"/>
  <c r="J4991" i="1"/>
  <c r="L4991" i="1"/>
  <c r="M4991" i="1"/>
  <c r="C4992" i="1"/>
  <c r="E4992" i="1"/>
  <c r="F4992" i="1"/>
  <c r="H4992" i="1"/>
  <c r="I4992" i="1"/>
  <c r="J4992" i="1"/>
  <c r="L4992" i="1"/>
  <c r="M4992" i="1"/>
  <c r="C4993" i="1"/>
  <c r="E4993" i="1"/>
  <c r="F4993" i="1"/>
  <c r="H4993" i="1"/>
  <c r="I4993" i="1"/>
  <c r="J4993" i="1"/>
  <c r="L4993" i="1"/>
  <c r="M4993" i="1"/>
  <c r="C4994" i="1"/>
  <c r="E4994" i="1"/>
  <c r="F4994" i="1"/>
  <c r="H4994" i="1"/>
  <c r="I4994" i="1"/>
  <c r="J4994" i="1"/>
  <c r="L4994" i="1"/>
  <c r="M4994" i="1"/>
  <c r="C4995" i="1"/>
  <c r="E4995" i="1"/>
  <c r="F4995" i="1"/>
  <c r="H4995" i="1"/>
  <c r="I4995" i="1"/>
  <c r="J4995" i="1"/>
  <c r="L4995" i="1"/>
  <c r="M4995" i="1"/>
  <c r="C4996" i="1"/>
  <c r="E4996" i="1"/>
  <c r="F4996" i="1"/>
  <c r="H4996" i="1"/>
  <c r="I4996" i="1"/>
  <c r="J4996" i="1"/>
  <c r="L4996" i="1"/>
  <c r="M4996" i="1"/>
  <c r="C4997" i="1"/>
  <c r="E4997" i="1"/>
  <c r="F4997" i="1"/>
  <c r="H4997" i="1"/>
  <c r="I4997" i="1"/>
  <c r="J4997" i="1"/>
  <c r="L4997" i="1"/>
  <c r="M4997" i="1"/>
  <c r="C4998" i="1"/>
  <c r="E4998" i="1"/>
  <c r="F4998" i="1"/>
  <c r="H4998" i="1"/>
  <c r="I4998" i="1"/>
  <c r="J4998" i="1"/>
  <c r="L4998" i="1"/>
  <c r="M4998" i="1"/>
  <c r="C4999" i="1"/>
  <c r="E4999" i="1"/>
  <c r="F4999" i="1"/>
  <c r="H4999" i="1"/>
  <c r="I4999" i="1"/>
  <c r="J4999" i="1"/>
  <c r="L4999" i="1"/>
  <c r="M4999" i="1"/>
  <c r="C5000" i="1"/>
  <c r="E5000" i="1"/>
  <c r="F5000" i="1"/>
  <c r="H5000" i="1"/>
  <c r="I5000" i="1"/>
  <c r="J5000" i="1"/>
  <c r="L5000" i="1"/>
  <c r="M5000" i="1"/>
  <c r="C5001" i="1"/>
  <c r="E5001" i="1"/>
  <c r="F5001" i="1"/>
  <c r="H5001" i="1"/>
  <c r="I5001" i="1"/>
  <c r="J5001" i="1"/>
  <c r="L5001" i="1"/>
  <c r="M5001" i="1"/>
  <c r="C5002" i="1"/>
  <c r="E5002" i="1"/>
  <c r="F5002" i="1"/>
  <c r="H5002" i="1"/>
  <c r="I5002" i="1"/>
  <c r="J5002" i="1"/>
  <c r="L5002" i="1"/>
  <c r="M5002" i="1"/>
  <c r="C5003" i="1"/>
  <c r="E5003" i="1"/>
  <c r="F5003" i="1"/>
  <c r="H5003" i="1"/>
  <c r="I5003" i="1"/>
  <c r="J5003" i="1"/>
  <c r="L5003" i="1"/>
  <c r="M5003" i="1"/>
  <c r="C5004" i="1"/>
  <c r="E5004" i="1"/>
  <c r="F5004" i="1"/>
  <c r="H5004" i="1"/>
  <c r="I5004" i="1"/>
  <c r="J5004" i="1"/>
  <c r="L5004" i="1"/>
  <c r="M5004" i="1"/>
  <c r="C5005" i="1"/>
  <c r="E5005" i="1"/>
  <c r="F5005" i="1"/>
  <c r="H5005" i="1"/>
  <c r="I5005" i="1"/>
  <c r="J5005" i="1"/>
  <c r="L5005" i="1"/>
  <c r="M5005" i="1"/>
  <c r="C5006" i="1"/>
  <c r="E5006" i="1"/>
  <c r="F5006" i="1"/>
  <c r="H5006" i="1"/>
  <c r="I5006" i="1"/>
  <c r="J5006" i="1"/>
  <c r="L5006" i="1"/>
  <c r="M5006" i="1"/>
  <c r="C5007" i="1"/>
  <c r="E5007" i="1"/>
  <c r="F5007" i="1"/>
  <c r="H5007" i="1"/>
  <c r="I5007" i="1"/>
  <c r="J5007" i="1"/>
  <c r="L5007" i="1"/>
  <c r="M5007" i="1"/>
  <c r="C5008" i="1"/>
  <c r="E5008" i="1"/>
  <c r="F5008" i="1"/>
  <c r="H5008" i="1"/>
  <c r="I5008" i="1"/>
  <c r="J5008" i="1"/>
  <c r="L5008" i="1"/>
  <c r="M5008" i="1"/>
  <c r="C5009" i="1"/>
  <c r="E5009" i="1"/>
  <c r="F5009" i="1"/>
  <c r="H5009" i="1"/>
  <c r="I5009" i="1"/>
  <c r="J5009" i="1"/>
  <c r="L5009" i="1"/>
  <c r="M5009" i="1"/>
  <c r="C5010" i="1"/>
  <c r="E5010" i="1"/>
  <c r="F5010" i="1"/>
  <c r="H5010" i="1"/>
  <c r="I5010" i="1"/>
  <c r="J5010" i="1"/>
  <c r="L5010" i="1"/>
  <c r="M5010" i="1"/>
  <c r="C5011" i="1"/>
  <c r="E5011" i="1"/>
  <c r="F5011" i="1"/>
  <c r="H5011" i="1"/>
  <c r="I5011" i="1"/>
  <c r="J5011" i="1"/>
  <c r="L5011" i="1"/>
  <c r="M5011" i="1"/>
  <c r="C5012" i="1"/>
  <c r="E5012" i="1"/>
  <c r="F5012" i="1"/>
  <c r="H5012" i="1"/>
  <c r="I5012" i="1"/>
  <c r="J5012" i="1"/>
  <c r="L5012" i="1"/>
  <c r="M5012" i="1"/>
  <c r="C5013" i="1"/>
  <c r="E5013" i="1"/>
  <c r="F5013" i="1"/>
  <c r="H5013" i="1"/>
  <c r="I5013" i="1"/>
  <c r="J5013" i="1"/>
  <c r="L5013" i="1"/>
  <c r="M5013" i="1"/>
  <c r="C5014" i="1"/>
  <c r="E5014" i="1"/>
  <c r="F5014" i="1"/>
  <c r="H5014" i="1"/>
  <c r="I5014" i="1"/>
  <c r="J5014" i="1"/>
  <c r="L5014" i="1"/>
  <c r="M5014" i="1"/>
  <c r="C5015" i="1"/>
  <c r="E5015" i="1"/>
  <c r="F5015" i="1"/>
  <c r="H5015" i="1"/>
  <c r="I5015" i="1"/>
  <c r="J5015" i="1"/>
  <c r="L5015" i="1"/>
  <c r="M5015" i="1"/>
  <c r="C5016" i="1"/>
  <c r="E5016" i="1"/>
  <c r="F5016" i="1"/>
  <c r="H5016" i="1"/>
  <c r="I5016" i="1"/>
  <c r="J5016" i="1"/>
  <c r="L5016" i="1"/>
  <c r="M5016" i="1"/>
  <c r="C5017" i="1"/>
  <c r="E5017" i="1"/>
  <c r="F5017" i="1"/>
  <c r="H5017" i="1"/>
  <c r="I5017" i="1"/>
  <c r="J5017" i="1"/>
  <c r="L5017" i="1"/>
  <c r="M5017" i="1"/>
  <c r="C5018" i="1"/>
  <c r="E5018" i="1"/>
  <c r="F5018" i="1"/>
  <c r="H5018" i="1"/>
  <c r="I5018" i="1"/>
  <c r="J5018" i="1"/>
  <c r="L5018" i="1"/>
  <c r="M5018" i="1"/>
  <c r="C5019" i="1"/>
  <c r="E5019" i="1"/>
  <c r="F5019" i="1"/>
  <c r="H5019" i="1"/>
  <c r="I5019" i="1"/>
  <c r="J5019" i="1"/>
  <c r="L5019" i="1"/>
  <c r="M5019" i="1"/>
  <c r="C5020" i="1"/>
  <c r="E5020" i="1"/>
  <c r="F5020" i="1"/>
  <c r="H5020" i="1"/>
  <c r="I5020" i="1"/>
  <c r="J5020" i="1"/>
  <c r="L5020" i="1"/>
  <c r="M5020" i="1"/>
  <c r="C5021" i="1"/>
  <c r="E5021" i="1"/>
  <c r="F5021" i="1"/>
  <c r="H5021" i="1"/>
  <c r="I5021" i="1"/>
  <c r="J5021" i="1"/>
  <c r="L5021" i="1"/>
  <c r="M5021" i="1"/>
  <c r="C5022" i="1"/>
  <c r="E5022" i="1"/>
  <c r="F5022" i="1"/>
  <c r="H5022" i="1"/>
  <c r="I5022" i="1"/>
  <c r="J5022" i="1"/>
  <c r="L5022" i="1"/>
  <c r="M5022" i="1"/>
  <c r="C5023" i="1"/>
  <c r="E5023" i="1"/>
  <c r="F5023" i="1"/>
  <c r="H5023" i="1"/>
  <c r="I5023" i="1"/>
  <c r="J5023" i="1"/>
  <c r="L5023" i="1"/>
  <c r="M5023" i="1"/>
  <c r="C5024" i="1"/>
  <c r="E5024" i="1"/>
  <c r="F5024" i="1"/>
  <c r="H5024" i="1"/>
  <c r="I5024" i="1"/>
  <c r="J5024" i="1"/>
  <c r="L5024" i="1"/>
  <c r="M5024" i="1"/>
  <c r="C5025" i="1"/>
  <c r="E5025" i="1"/>
  <c r="F5025" i="1"/>
  <c r="H5025" i="1"/>
  <c r="I5025" i="1"/>
  <c r="J5025" i="1"/>
  <c r="L5025" i="1"/>
  <c r="M5025" i="1"/>
  <c r="C5026" i="1"/>
  <c r="E5026" i="1"/>
  <c r="F5026" i="1"/>
  <c r="H5026" i="1"/>
  <c r="I5026" i="1"/>
  <c r="J5026" i="1"/>
  <c r="L5026" i="1"/>
  <c r="M5026" i="1"/>
  <c r="C5027" i="1"/>
  <c r="E5027" i="1"/>
  <c r="F5027" i="1"/>
  <c r="H5027" i="1"/>
  <c r="I5027" i="1"/>
  <c r="J5027" i="1"/>
  <c r="L5027" i="1"/>
  <c r="M5027" i="1"/>
  <c r="C5028" i="1"/>
  <c r="E5028" i="1"/>
  <c r="F5028" i="1"/>
  <c r="H5028" i="1"/>
  <c r="I5028" i="1"/>
  <c r="J5028" i="1"/>
  <c r="L5028" i="1"/>
  <c r="M5028" i="1"/>
  <c r="C5029" i="1"/>
  <c r="E5029" i="1"/>
  <c r="F5029" i="1"/>
  <c r="H5029" i="1"/>
  <c r="I5029" i="1"/>
  <c r="J5029" i="1"/>
  <c r="L5029" i="1"/>
  <c r="M5029" i="1"/>
  <c r="C5030" i="1"/>
  <c r="E5030" i="1"/>
  <c r="F5030" i="1"/>
  <c r="H5030" i="1"/>
  <c r="I5030" i="1"/>
  <c r="J5030" i="1"/>
  <c r="L5030" i="1"/>
  <c r="M5030" i="1"/>
  <c r="C5031" i="1"/>
  <c r="E5031" i="1"/>
  <c r="F5031" i="1"/>
  <c r="H5031" i="1"/>
  <c r="I5031" i="1"/>
  <c r="J5031" i="1"/>
  <c r="L5031" i="1"/>
  <c r="M5031" i="1"/>
  <c r="C5032" i="1"/>
  <c r="E5032" i="1"/>
  <c r="F5032" i="1"/>
  <c r="H5032" i="1"/>
  <c r="I5032" i="1"/>
  <c r="J5032" i="1"/>
  <c r="L5032" i="1"/>
  <c r="M5032" i="1"/>
  <c r="C5033" i="1"/>
  <c r="E5033" i="1"/>
  <c r="F5033" i="1"/>
  <c r="H5033" i="1"/>
  <c r="I5033" i="1"/>
  <c r="J5033" i="1"/>
  <c r="L5033" i="1"/>
  <c r="M5033" i="1"/>
  <c r="C5034" i="1"/>
  <c r="E5034" i="1"/>
  <c r="F5034" i="1"/>
  <c r="H5034" i="1"/>
  <c r="I5034" i="1"/>
  <c r="J5034" i="1"/>
  <c r="L5034" i="1"/>
  <c r="M5034" i="1"/>
  <c r="C5035" i="1"/>
  <c r="E5035" i="1"/>
  <c r="F5035" i="1"/>
  <c r="H5035" i="1"/>
  <c r="I5035" i="1"/>
  <c r="J5035" i="1"/>
  <c r="L5035" i="1"/>
  <c r="M5035" i="1"/>
  <c r="C5036" i="1"/>
  <c r="E5036" i="1"/>
  <c r="F5036" i="1"/>
  <c r="H5036" i="1"/>
  <c r="I5036" i="1"/>
  <c r="J5036" i="1"/>
  <c r="L5036" i="1"/>
  <c r="M5036" i="1"/>
  <c r="C5037" i="1"/>
  <c r="E5037" i="1"/>
  <c r="F5037" i="1"/>
  <c r="H5037" i="1"/>
  <c r="I5037" i="1"/>
  <c r="J5037" i="1"/>
  <c r="L5037" i="1"/>
  <c r="M5037" i="1"/>
  <c r="C5038" i="1"/>
  <c r="E5038" i="1"/>
  <c r="F5038" i="1"/>
  <c r="H5038" i="1"/>
  <c r="I5038" i="1"/>
  <c r="J5038" i="1"/>
  <c r="L5038" i="1"/>
  <c r="M5038" i="1"/>
  <c r="C5039" i="1"/>
  <c r="E5039" i="1"/>
  <c r="F5039" i="1"/>
  <c r="H5039" i="1"/>
  <c r="I5039" i="1"/>
  <c r="J5039" i="1"/>
  <c r="L5039" i="1"/>
  <c r="M5039" i="1"/>
  <c r="C5040" i="1"/>
  <c r="E5040" i="1"/>
  <c r="F5040" i="1"/>
  <c r="H5040" i="1"/>
  <c r="I5040" i="1"/>
  <c r="J5040" i="1"/>
  <c r="L5040" i="1"/>
  <c r="M5040" i="1"/>
  <c r="C5041" i="1"/>
  <c r="E5041" i="1"/>
  <c r="F5041" i="1"/>
  <c r="H5041" i="1"/>
  <c r="I5041" i="1"/>
  <c r="J5041" i="1"/>
  <c r="L5041" i="1"/>
  <c r="M5041" i="1"/>
  <c r="C5042" i="1"/>
  <c r="E5042" i="1"/>
  <c r="F5042" i="1"/>
  <c r="H5042" i="1"/>
  <c r="I5042" i="1"/>
  <c r="J5042" i="1"/>
  <c r="L5042" i="1"/>
  <c r="M5042" i="1"/>
  <c r="C5043" i="1"/>
  <c r="E5043" i="1"/>
  <c r="F5043" i="1"/>
  <c r="H5043" i="1"/>
  <c r="I5043" i="1"/>
  <c r="J5043" i="1"/>
  <c r="L5043" i="1"/>
  <c r="M5043" i="1"/>
  <c r="C5044" i="1"/>
  <c r="E5044" i="1"/>
  <c r="F5044" i="1"/>
  <c r="H5044" i="1"/>
  <c r="I5044" i="1"/>
  <c r="J5044" i="1"/>
  <c r="L5044" i="1"/>
  <c r="M5044" i="1"/>
  <c r="C5045" i="1"/>
  <c r="E5045" i="1"/>
  <c r="F5045" i="1"/>
  <c r="H5045" i="1"/>
  <c r="I5045" i="1"/>
  <c r="J5045" i="1"/>
  <c r="L5045" i="1"/>
  <c r="M5045" i="1"/>
  <c r="C5046" i="1"/>
  <c r="E5046" i="1"/>
  <c r="F5046" i="1"/>
  <c r="H5046" i="1"/>
  <c r="I5046" i="1"/>
  <c r="J5046" i="1"/>
  <c r="L5046" i="1"/>
  <c r="M5046" i="1"/>
  <c r="C5047" i="1"/>
  <c r="E5047" i="1"/>
  <c r="F5047" i="1"/>
  <c r="H5047" i="1"/>
  <c r="I5047" i="1"/>
  <c r="J5047" i="1"/>
  <c r="L5047" i="1"/>
  <c r="M5047" i="1"/>
  <c r="C5048" i="1"/>
  <c r="E5048" i="1"/>
  <c r="F5048" i="1"/>
  <c r="H5048" i="1"/>
  <c r="I5048" i="1"/>
  <c r="J5048" i="1"/>
  <c r="L5048" i="1"/>
  <c r="M5048" i="1"/>
  <c r="C5049" i="1"/>
  <c r="E5049" i="1"/>
  <c r="F5049" i="1"/>
  <c r="H5049" i="1"/>
  <c r="I5049" i="1"/>
  <c r="J5049" i="1"/>
  <c r="L5049" i="1"/>
  <c r="M5049" i="1"/>
  <c r="C5050" i="1"/>
  <c r="E5050" i="1"/>
  <c r="F5050" i="1"/>
  <c r="H5050" i="1"/>
  <c r="I5050" i="1"/>
  <c r="J5050" i="1"/>
  <c r="L5050" i="1"/>
  <c r="M5050" i="1"/>
  <c r="C5051" i="1"/>
  <c r="E5051" i="1"/>
  <c r="F5051" i="1"/>
  <c r="H5051" i="1"/>
  <c r="I5051" i="1"/>
  <c r="J5051" i="1"/>
  <c r="L5051" i="1"/>
  <c r="M5051" i="1"/>
  <c r="C5052" i="1"/>
  <c r="E5052" i="1"/>
  <c r="F5052" i="1"/>
  <c r="H5052" i="1"/>
  <c r="I5052" i="1"/>
  <c r="J5052" i="1"/>
  <c r="L5052" i="1"/>
  <c r="M5052" i="1"/>
  <c r="C5053" i="1"/>
  <c r="E5053" i="1"/>
  <c r="F5053" i="1"/>
  <c r="H5053" i="1"/>
  <c r="I5053" i="1"/>
  <c r="J5053" i="1"/>
  <c r="L5053" i="1"/>
  <c r="M5053" i="1"/>
  <c r="C5054" i="1"/>
  <c r="E5054" i="1"/>
  <c r="F5054" i="1"/>
  <c r="H5054" i="1"/>
  <c r="I5054" i="1"/>
  <c r="J5054" i="1"/>
  <c r="L5054" i="1"/>
  <c r="M5054" i="1"/>
  <c r="C5055" i="1"/>
  <c r="E5055" i="1"/>
  <c r="F5055" i="1"/>
  <c r="H5055" i="1"/>
  <c r="I5055" i="1"/>
  <c r="J5055" i="1"/>
  <c r="L5055" i="1"/>
  <c r="M5055" i="1"/>
  <c r="C5056" i="1"/>
  <c r="E5056" i="1"/>
  <c r="F5056" i="1"/>
  <c r="H5056" i="1"/>
  <c r="I5056" i="1"/>
  <c r="J5056" i="1"/>
  <c r="L5056" i="1"/>
  <c r="M5056" i="1"/>
  <c r="C5057" i="1"/>
  <c r="E5057" i="1"/>
  <c r="F5057" i="1"/>
  <c r="H5057" i="1"/>
  <c r="I5057" i="1"/>
  <c r="J5057" i="1"/>
  <c r="L5057" i="1"/>
  <c r="M5057" i="1"/>
  <c r="C5058" i="1"/>
  <c r="E5058" i="1"/>
  <c r="F5058" i="1"/>
  <c r="H5058" i="1"/>
  <c r="I5058" i="1"/>
  <c r="J5058" i="1"/>
  <c r="L5058" i="1"/>
  <c r="M5058" i="1"/>
  <c r="C5059" i="1"/>
  <c r="E5059" i="1"/>
  <c r="F5059" i="1"/>
  <c r="H5059" i="1"/>
  <c r="I5059" i="1"/>
  <c r="J5059" i="1"/>
  <c r="L5059" i="1"/>
  <c r="M5059" i="1"/>
  <c r="C5060" i="1"/>
  <c r="E5060" i="1"/>
  <c r="F5060" i="1"/>
  <c r="H5060" i="1"/>
  <c r="I5060" i="1"/>
  <c r="J5060" i="1"/>
  <c r="L5060" i="1"/>
  <c r="M5060" i="1"/>
  <c r="C5061" i="1"/>
  <c r="E5061" i="1"/>
  <c r="F5061" i="1"/>
  <c r="H5061" i="1"/>
  <c r="I5061" i="1"/>
  <c r="J5061" i="1"/>
  <c r="L5061" i="1"/>
  <c r="M5061" i="1"/>
  <c r="C5062" i="1"/>
  <c r="E5062" i="1"/>
  <c r="F5062" i="1"/>
  <c r="H5062" i="1"/>
  <c r="I5062" i="1"/>
  <c r="J5062" i="1"/>
  <c r="L5062" i="1"/>
  <c r="M5062" i="1"/>
  <c r="C5063" i="1"/>
  <c r="E5063" i="1"/>
  <c r="F5063" i="1"/>
  <c r="H5063" i="1"/>
  <c r="I5063" i="1"/>
  <c r="J5063" i="1"/>
  <c r="L5063" i="1"/>
  <c r="M5063" i="1"/>
  <c r="C5064" i="1"/>
  <c r="E5064" i="1"/>
  <c r="F5064" i="1"/>
  <c r="H5064" i="1"/>
  <c r="I5064" i="1"/>
  <c r="J5064" i="1"/>
  <c r="L5064" i="1"/>
  <c r="M5064" i="1"/>
  <c r="C5065" i="1"/>
  <c r="E5065" i="1"/>
  <c r="F5065" i="1"/>
  <c r="H5065" i="1"/>
  <c r="I5065" i="1"/>
  <c r="J5065" i="1"/>
  <c r="L5065" i="1"/>
  <c r="M5065" i="1"/>
  <c r="C5066" i="1"/>
  <c r="E5066" i="1"/>
  <c r="F5066" i="1"/>
  <c r="H5066" i="1"/>
  <c r="I5066" i="1"/>
  <c r="J5066" i="1"/>
  <c r="L5066" i="1"/>
  <c r="M5066" i="1"/>
  <c r="C5067" i="1"/>
  <c r="E5067" i="1"/>
  <c r="F5067" i="1"/>
  <c r="H5067" i="1"/>
  <c r="I5067" i="1"/>
  <c r="J5067" i="1"/>
  <c r="L5067" i="1"/>
  <c r="M5067" i="1"/>
  <c r="C5068" i="1"/>
  <c r="E5068" i="1"/>
  <c r="F5068" i="1"/>
  <c r="H5068" i="1"/>
  <c r="I5068" i="1"/>
  <c r="J5068" i="1"/>
  <c r="L5068" i="1"/>
  <c r="M5068" i="1"/>
  <c r="C5069" i="1"/>
  <c r="E5069" i="1"/>
  <c r="F5069" i="1"/>
  <c r="H5069" i="1"/>
  <c r="I5069" i="1"/>
  <c r="J5069" i="1"/>
  <c r="L5069" i="1"/>
  <c r="M5069" i="1"/>
  <c r="C5070" i="1"/>
  <c r="E5070" i="1"/>
  <c r="F5070" i="1"/>
  <c r="H5070" i="1"/>
  <c r="I5070" i="1"/>
  <c r="J5070" i="1"/>
  <c r="L5070" i="1"/>
  <c r="M5070" i="1"/>
  <c r="C5071" i="1"/>
  <c r="E5071" i="1"/>
  <c r="F5071" i="1"/>
  <c r="H5071" i="1"/>
  <c r="I5071" i="1"/>
  <c r="J5071" i="1"/>
  <c r="L5071" i="1"/>
  <c r="M5071" i="1"/>
  <c r="C5072" i="1"/>
  <c r="E5072" i="1"/>
  <c r="F5072" i="1"/>
  <c r="H5072" i="1"/>
  <c r="I5072" i="1"/>
  <c r="J5072" i="1"/>
  <c r="L5072" i="1"/>
  <c r="M5072" i="1"/>
  <c r="C5073" i="1"/>
  <c r="E5073" i="1"/>
  <c r="F5073" i="1"/>
  <c r="H5073" i="1"/>
  <c r="I5073" i="1"/>
  <c r="J5073" i="1"/>
  <c r="L5073" i="1"/>
  <c r="M5073" i="1"/>
  <c r="C5074" i="1"/>
  <c r="E5074" i="1"/>
  <c r="F5074" i="1"/>
  <c r="H5074" i="1"/>
  <c r="I5074" i="1"/>
  <c r="J5074" i="1"/>
  <c r="L5074" i="1"/>
  <c r="M5074" i="1"/>
  <c r="C5075" i="1"/>
  <c r="E5075" i="1"/>
  <c r="F5075" i="1"/>
  <c r="H5075" i="1"/>
  <c r="I5075" i="1"/>
  <c r="J5075" i="1"/>
  <c r="L5075" i="1"/>
  <c r="M5075" i="1"/>
  <c r="C5076" i="1"/>
  <c r="E5076" i="1"/>
  <c r="F5076" i="1"/>
  <c r="H5076" i="1"/>
  <c r="I5076" i="1"/>
  <c r="J5076" i="1"/>
  <c r="L5076" i="1"/>
  <c r="M5076" i="1"/>
  <c r="C5077" i="1"/>
  <c r="E5077" i="1"/>
  <c r="F5077" i="1"/>
  <c r="H5077" i="1"/>
  <c r="I5077" i="1"/>
  <c r="J5077" i="1"/>
  <c r="L5077" i="1"/>
  <c r="M5077" i="1"/>
  <c r="C5078" i="1"/>
  <c r="E5078" i="1"/>
  <c r="F5078" i="1"/>
  <c r="H5078" i="1"/>
  <c r="I5078" i="1"/>
  <c r="J5078" i="1"/>
  <c r="L5078" i="1"/>
  <c r="M5078" i="1"/>
  <c r="C5079" i="1"/>
  <c r="E5079" i="1"/>
  <c r="F5079" i="1"/>
  <c r="H5079" i="1"/>
  <c r="I5079" i="1"/>
  <c r="J5079" i="1"/>
  <c r="L5079" i="1"/>
  <c r="M5079" i="1"/>
  <c r="C5080" i="1"/>
  <c r="E5080" i="1"/>
  <c r="F5080" i="1"/>
  <c r="H5080" i="1"/>
  <c r="I5080" i="1"/>
  <c r="J5080" i="1"/>
  <c r="L5080" i="1"/>
  <c r="M5080" i="1"/>
  <c r="C5081" i="1"/>
  <c r="E5081" i="1"/>
  <c r="F5081" i="1"/>
  <c r="H5081" i="1"/>
  <c r="I5081" i="1"/>
  <c r="J5081" i="1"/>
  <c r="L5081" i="1"/>
  <c r="M5081" i="1"/>
  <c r="C5082" i="1"/>
  <c r="E5082" i="1"/>
  <c r="F5082" i="1"/>
  <c r="H5082" i="1"/>
  <c r="I5082" i="1"/>
  <c r="J5082" i="1"/>
  <c r="L5082" i="1"/>
  <c r="M5082" i="1"/>
  <c r="C5083" i="1"/>
  <c r="E5083" i="1"/>
  <c r="F5083" i="1"/>
  <c r="H5083" i="1"/>
  <c r="I5083" i="1"/>
  <c r="J5083" i="1"/>
  <c r="L5083" i="1"/>
  <c r="M5083" i="1"/>
  <c r="C5084" i="1"/>
  <c r="E5084" i="1"/>
  <c r="F5084" i="1"/>
  <c r="H5084" i="1"/>
  <c r="I5084" i="1"/>
  <c r="J5084" i="1"/>
  <c r="L5084" i="1"/>
  <c r="M5084" i="1"/>
  <c r="C5085" i="1"/>
  <c r="E5085" i="1"/>
  <c r="F5085" i="1"/>
  <c r="H5085" i="1"/>
  <c r="I5085" i="1"/>
  <c r="J5085" i="1"/>
  <c r="L5085" i="1"/>
  <c r="M5085" i="1"/>
  <c r="C5086" i="1"/>
  <c r="E5086" i="1"/>
  <c r="F5086" i="1"/>
  <c r="H5086" i="1"/>
  <c r="I5086" i="1"/>
  <c r="J5086" i="1"/>
  <c r="L5086" i="1"/>
  <c r="M5086" i="1"/>
  <c r="C5087" i="1"/>
  <c r="E5087" i="1"/>
  <c r="F5087" i="1"/>
  <c r="H5087" i="1"/>
  <c r="I5087" i="1"/>
  <c r="J5087" i="1"/>
  <c r="L5087" i="1"/>
  <c r="M5087" i="1"/>
  <c r="C5088" i="1"/>
  <c r="E5088" i="1"/>
  <c r="F5088" i="1"/>
  <c r="H5088" i="1"/>
  <c r="I5088" i="1"/>
  <c r="J5088" i="1"/>
  <c r="L5088" i="1"/>
  <c r="M5088" i="1"/>
  <c r="C5089" i="1"/>
  <c r="E5089" i="1"/>
  <c r="F5089" i="1"/>
  <c r="H5089" i="1"/>
  <c r="I5089" i="1"/>
  <c r="J5089" i="1"/>
  <c r="L5089" i="1"/>
  <c r="M5089" i="1"/>
  <c r="C5090" i="1"/>
  <c r="E5090" i="1"/>
  <c r="F5090" i="1"/>
  <c r="H5090" i="1"/>
  <c r="I5090" i="1"/>
  <c r="J5090" i="1"/>
  <c r="L5090" i="1"/>
  <c r="M5090" i="1"/>
  <c r="C5091" i="1"/>
  <c r="E5091" i="1"/>
  <c r="F5091" i="1"/>
  <c r="H5091" i="1"/>
  <c r="I5091" i="1"/>
  <c r="J5091" i="1"/>
  <c r="L5091" i="1"/>
  <c r="M5091" i="1"/>
  <c r="C5092" i="1"/>
  <c r="E5092" i="1"/>
  <c r="F5092" i="1"/>
  <c r="H5092" i="1"/>
  <c r="I5092" i="1"/>
  <c r="J5092" i="1"/>
  <c r="L5092" i="1"/>
  <c r="M5092" i="1"/>
  <c r="C5093" i="1"/>
  <c r="E5093" i="1"/>
  <c r="F5093" i="1"/>
  <c r="H5093" i="1"/>
  <c r="I5093" i="1"/>
  <c r="J5093" i="1"/>
  <c r="L5093" i="1"/>
  <c r="M5093" i="1"/>
  <c r="C5094" i="1"/>
  <c r="E5094" i="1"/>
  <c r="F5094" i="1"/>
  <c r="H5094" i="1"/>
  <c r="I5094" i="1"/>
  <c r="J5094" i="1"/>
  <c r="L5094" i="1"/>
  <c r="M5094" i="1"/>
  <c r="C5095" i="1"/>
  <c r="E5095" i="1"/>
  <c r="F5095" i="1"/>
  <c r="H5095" i="1"/>
  <c r="I5095" i="1"/>
  <c r="J5095" i="1"/>
  <c r="L5095" i="1"/>
  <c r="M5095" i="1"/>
  <c r="C5096" i="1"/>
  <c r="E5096" i="1"/>
  <c r="F5096" i="1"/>
  <c r="H5096" i="1"/>
  <c r="I5096" i="1"/>
  <c r="J5096" i="1"/>
  <c r="L5096" i="1"/>
  <c r="M5096" i="1"/>
  <c r="C5097" i="1"/>
  <c r="E5097" i="1"/>
  <c r="F5097" i="1"/>
  <c r="H5097" i="1"/>
  <c r="I5097" i="1"/>
  <c r="J5097" i="1"/>
  <c r="L5097" i="1"/>
  <c r="M5097" i="1"/>
  <c r="C5098" i="1"/>
  <c r="E5098" i="1"/>
  <c r="F5098" i="1"/>
  <c r="H5098" i="1"/>
  <c r="I5098" i="1"/>
  <c r="J5098" i="1"/>
  <c r="L5098" i="1"/>
  <c r="M5098" i="1"/>
  <c r="C5099" i="1"/>
  <c r="E5099" i="1"/>
  <c r="F5099" i="1"/>
  <c r="H5099" i="1"/>
  <c r="I5099" i="1"/>
  <c r="J5099" i="1"/>
  <c r="L5099" i="1"/>
  <c r="M5099" i="1"/>
  <c r="C5100" i="1"/>
  <c r="E5100" i="1"/>
  <c r="F5100" i="1"/>
  <c r="H5100" i="1"/>
  <c r="I5100" i="1"/>
  <c r="J5100" i="1"/>
  <c r="L5100" i="1"/>
  <c r="M5100" i="1"/>
  <c r="C5101" i="1"/>
  <c r="E5101" i="1"/>
  <c r="F5101" i="1"/>
  <c r="H5101" i="1"/>
  <c r="I5101" i="1"/>
  <c r="J5101" i="1"/>
  <c r="L5101" i="1"/>
  <c r="M5101" i="1"/>
  <c r="C5102" i="1"/>
  <c r="E5102" i="1"/>
  <c r="F5102" i="1"/>
  <c r="H5102" i="1"/>
  <c r="I5102" i="1"/>
  <c r="J5102" i="1"/>
  <c r="L5102" i="1"/>
  <c r="M5102" i="1"/>
  <c r="C5103" i="1"/>
  <c r="E5103" i="1"/>
  <c r="F5103" i="1"/>
  <c r="H5103" i="1"/>
  <c r="I5103" i="1"/>
  <c r="J5103" i="1"/>
  <c r="L5103" i="1"/>
  <c r="M5103" i="1"/>
  <c r="C5104" i="1"/>
  <c r="E5104" i="1"/>
  <c r="F5104" i="1"/>
  <c r="H5104" i="1"/>
  <c r="I5104" i="1"/>
  <c r="J5104" i="1"/>
  <c r="L5104" i="1"/>
  <c r="M5104" i="1"/>
  <c r="C5105" i="1"/>
  <c r="E5105" i="1"/>
  <c r="F5105" i="1"/>
  <c r="H5105" i="1"/>
  <c r="I5105" i="1"/>
  <c r="J5105" i="1"/>
  <c r="L5105" i="1"/>
  <c r="M5105" i="1"/>
  <c r="C5106" i="1"/>
  <c r="E5106" i="1"/>
  <c r="F5106" i="1"/>
  <c r="H5106" i="1"/>
  <c r="I5106" i="1"/>
  <c r="J5106" i="1"/>
  <c r="L5106" i="1"/>
  <c r="M5106" i="1"/>
  <c r="C5107" i="1"/>
  <c r="E5107" i="1"/>
  <c r="F5107" i="1"/>
  <c r="H5107" i="1"/>
  <c r="I5107" i="1"/>
  <c r="J5107" i="1"/>
  <c r="L5107" i="1"/>
  <c r="M5107" i="1"/>
  <c r="C5108" i="1"/>
  <c r="E5108" i="1"/>
  <c r="F5108" i="1"/>
  <c r="H5108" i="1"/>
  <c r="I5108" i="1"/>
  <c r="J5108" i="1"/>
  <c r="L5108" i="1"/>
  <c r="M5108" i="1"/>
  <c r="C5109" i="1"/>
  <c r="E5109" i="1"/>
  <c r="F5109" i="1"/>
  <c r="H5109" i="1"/>
  <c r="I5109" i="1"/>
  <c r="J5109" i="1"/>
  <c r="L5109" i="1"/>
  <c r="M5109" i="1"/>
  <c r="C5110" i="1"/>
  <c r="E5110" i="1"/>
  <c r="F5110" i="1"/>
  <c r="H5110" i="1"/>
  <c r="I5110" i="1"/>
  <c r="J5110" i="1"/>
  <c r="L5110" i="1"/>
  <c r="M5110" i="1"/>
  <c r="C5111" i="1"/>
  <c r="E5111" i="1"/>
  <c r="F5111" i="1"/>
  <c r="H5111" i="1"/>
  <c r="I5111" i="1"/>
  <c r="J5111" i="1"/>
  <c r="L5111" i="1"/>
  <c r="M5111" i="1"/>
  <c r="C5112" i="1"/>
  <c r="E5112" i="1"/>
  <c r="F5112" i="1"/>
  <c r="H5112" i="1"/>
  <c r="I5112" i="1"/>
  <c r="J5112" i="1"/>
  <c r="L5112" i="1"/>
  <c r="M5112" i="1"/>
  <c r="C5113" i="1"/>
  <c r="E5113" i="1"/>
  <c r="F5113" i="1"/>
  <c r="H5113" i="1"/>
  <c r="I5113" i="1"/>
  <c r="J5113" i="1"/>
  <c r="L5113" i="1"/>
  <c r="M5113" i="1"/>
  <c r="C5114" i="1"/>
  <c r="E5114" i="1"/>
  <c r="F5114" i="1"/>
  <c r="H5114" i="1"/>
  <c r="I5114" i="1"/>
  <c r="J5114" i="1"/>
  <c r="L5114" i="1"/>
  <c r="M5114" i="1"/>
  <c r="C5115" i="1"/>
  <c r="E5115" i="1"/>
  <c r="F5115" i="1"/>
  <c r="H5115" i="1"/>
  <c r="I5115" i="1"/>
  <c r="J5115" i="1"/>
  <c r="L5115" i="1"/>
  <c r="M5115" i="1"/>
  <c r="C5116" i="1"/>
  <c r="E5116" i="1"/>
  <c r="F5116" i="1"/>
  <c r="H5116" i="1"/>
  <c r="I5116" i="1"/>
  <c r="J5116" i="1"/>
  <c r="L5116" i="1"/>
  <c r="M5116" i="1"/>
  <c r="C5117" i="1"/>
  <c r="E5117" i="1"/>
  <c r="F5117" i="1"/>
  <c r="H5117" i="1"/>
  <c r="I5117" i="1"/>
  <c r="J5117" i="1"/>
  <c r="L5117" i="1"/>
  <c r="M5117" i="1"/>
  <c r="C5118" i="1"/>
  <c r="E5118" i="1"/>
  <c r="F5118" i="1"/>
  <c r="H5118" i="1"/>
  <c r="I5118" i="1"/>
  <c r="J5118" i="1"/>
  <c r="L5118" i="1"/>
  <c r="M5118" i="1"/>
  <c r="C5119" i="1"/>
  <c r="E5119" i="1"/>
  <c r="F5119" i="1"/>
  <c r="H5119" i="1"/>
  <c r="I5119" i="1"/>
  <c r="J5119" i="1"/>
  <c r="L5119" i="1"/>
  <c r="M5119" i="1"/>
  <c r="C5120" i="1"/>
  <c r="E5120" i="1"/>
  <c r="F5120" i="1"/>
  <c r="H5120" i="1"/>
  <c r="I5120" i="1"/>
  <c r="J5120" i="1"/>
  <c r="L5120" i="1"/>
  <c r="M5120" i="1"/>
  <c r="C5121" i="1"/>
  <c r="E5121" i="1"/>
  <c r="F5121" i="1"/>
  <c r="H5121" i="1"/>
  <c r="I5121" i="1"/>
  <c r="J5121" i="1"/>
  <c r="L5121" i="1"/>
  <c r="M5121" i="1"/>
  <c r="C5122" i="1"/>
  <c r="E5122" i="1"/>
  <c r="F5122" i="1"/>
  <c r="H5122" i="1"/>
  <c r="I5122" i="1"/>
  <c r="J5122" i="1"/>
  <c r="L5122" i="1"/>
  <c r="M5122" i="1"/>
  <c r="C5123" i="1"/>
  <c r="E5123" i="1"/>
  <c r="F5123" i="1"/>
  <c r="H5123" i="1"/>
  <c r="I5123" i="1"/>
  <c r="J5123" i="1"/>
  <c r="L5123" i="1"/>
  <c r="M5123" i="1"/>
  <c r="C5124" i="1"/>
  <c r="E5124" i="1"/>
  <c r="F5124" i="1"/>
  <c r="H5124" i="1"/>
  <c r="I5124" i="1"/>
  <c r="J5124" i="1"/>
  <c r="L5124" i="1"/>
  <c r="M5124" i="1"/>
  <c r="C5125" i="1"/>
  <c r="E5125" i="1"/>
  <c r="F5125" i="1"/>
  <c r="H5125" i="1"/>
  <c r="I5125" i="1"/>
  <c r="J5125" i="1"/>
  <c r="L5125" i="1"/>
  <c r="M5125" i="1"/>
  <c r="C5126" i="1"/>
  <c r="E5126" i="1"/>
  <c r="F5126" i="1"/>
  <c r="H5126" i="1"/>
  <c r="I5126" i="1"/>
  <c r="J5126" i="1"/>
  <c r="L5126" i="1"/>
  <c r="M5126" i="1"/>
  <c r="C5127" i="1"/>
  <c r="E5127" i="1"/>
  <c r="F5127" i="1"/>
  <c r="H5127" i="1"/>
  <c r="I5127" i="1"/>
  <c r="J5127" i="1"/>
  <c r="L5127" i="1"/>
  <c r="M5127" i="1"/>
  <c r="C5128" i="1"/>
  <c r="E5128" i="1"/>
  <c r="F5128" i="1"/>
  <c r="H5128" i="1"/>
  <c r="I5128" i="1"/>
  <c r="J5128" i="1"/>
  <c r="L5128" i="1"/>
  <c r="M5128" i="1"/>
  <c r="C5129" i="1"/>
  <c r="E5129" i="1"/>
  <c r="F5129" i="1"/>
  <c r="H5129" i="1"/>
  <c r="I5129" i="1"/>
  <c r="J5129" i="1"/>
  <c r="L5129" i="1"/>
  <c r="M5129" i="1"/>
  <c r="C5130" i="1"/>
  <c r="E5130" i="1"/>
  <c r="F5130" i="1"/>
  <c r="H5130" i="1"/>
  <c r="I5130" i="1"/>
  <c r="J5130" i="1"/>
  <c r="L5130" i="1"/>
  <c r="M5130" i="1"/>
  <c r="C5131" i="1"/>
  <c r="E5131" i="1"/>
  <c r="F5131" i="1"/>
  <c r="H5131" i="1"/>
  <c r="I5131" i="1"/>
  <c r="J5131" i="1"/>
  <c r="L5131" i="1"/>
  <c r="M5131" i="1"/>
  <c r="C5132" i="1"/>
  <c r="E5132" i="1"/>
  <c r="F5132" i="1"/>
  <c r="H5132" i="1"/>
  <c r="I5132" i="1"/>
  <c r="J5132" i="1"/>
  <c r="L5132" i="1"/>
  <c r="M5132" i="1"/>
  <c r="C5133" i="1"/>
  <c r="E5133" i="1"/>
  <c r="F5133" i="1"/>
  <c r="H5133" i="1"/>
  <c r="I5133" i="1"/>
  <c r="J5133" i="1"/>
  <c r="L5133" i="1"/>
  <c r="M5133" i="1"/>
  <c r="C5134" i="1"/>
  <c r="E5134" i="1"/>
  <c r="F5134" i="1"/>
  <c r="H5134" i="1"/>
  <c r="I5134" i="1"/>
  <c r="J5134" i="1"/>
  <c r="L5134" i="1"/>
  <c r="M5134" i="1"/>
  <c r="C5135" i="1"/>
  <c r="E5135" i="1"/>
  <c r="F5135" i="1"/>
  <c r="H5135" i="1"/>
  <c r="I5135" i="1"/>
  <c r="J5135" i="1"/>
  <c r="L5135" i="1"/>
  <c r="M5135" i="1"/>
  <c r="C5136" i="1"/>
  <c r="E5136" i="1"/>
  <c r="F5136" i="1"/>
  <c r="H5136" i="1"/>
  <c r="I5136" i="1"/>
  <c r="J5136" i="1"/>
  <c r="L5136" i="1"/>
  <c r="M5136" i="1"/>
  <c r="C5137" i="1"/>
  <c r="E5137" i="1"/>
  <c r="F5137" i="1"/>
  <c r="H5137" i="1"/>
  <c r="I5137" i="1"/>
  <c r="J5137" i="1"/>
  <c r="L5137" i="1"/>
  <c r="M5137" i="1"/>
  <c r="C5138" i="1"/>
  <c r="E5138" i="1"/>
  <c r="F5138" i="1"/>
  <c r="H5138" i="1"/>
  <c r="I5138" i="1"/>
  <c r="J5138" i="1"/>
  <c r="L5138" i="1"/>
  <c r="M5138" i="1"/>
  <c r="C5139" i="1"/>
  <c r="E5139" i="1"/>
  <c r="F5139" i="1"/>
  <c r="H5139" i="1"/>
  <c r="I5139" i="1"/>
  <c r="J5139" i="1"/>
  <c r="L5139" i="1"/>
  <c r="M5139" i="1"/>
  <c r="C5140" i="1"/>
  <c r="E5140" i="1"/>
  <c r="F5140" i="1"/>
  <c r="H5140" i="1"/>
  <c r="I5140" i="1"/>
  <c r="J5140" i="1"/>
  <c r="L5140" i="1"/>
  <c r="M5140" i="1"/>
  <c r="C5141" i="1"/>
  <c r="E5141" i="1"/>
  <c r="F5141" i="1"/>
  <c r="H5141" i="1"/>
  <c r="I5141" i="1"/>
  <c r="J5141" i="1"/>
  <c r="L5141" i="1"/>
  <c r="M5141" i="1"/>
  <c r="C5142" i="1"/>
  <c r="E5142" i="1"/>
  <c r="F5142" i="1"/>
  <c r="H5142" i="1"/>
  <c r="I5142" i="1"/>
  <c r="J5142" i="1"/>
  <c r="L5142" i="1"/>
  <c r="M5142" i="1"/>
  <c r="C5143" i="1"/>
  <c r="E5143" i="1"/>
  <c r="F5143" i="1"/>
  <c r="H5143" i="1"/>
  <c r="I5143" i="1"/>
  <c r="J5143" i="1"/>
  <c r="L5143" i="1"/>
  <c r="M5143" i="1"/>
  <c r="C5144" i="1"/>
  <c r="E5144" i="1"/>
  <c r="F5144" i="1"/>
  <c r="H5144" i="1"/>
  <c r="I5144" i="1"/>
  <c r="J5144" i="1"/>
  <c r="L5144" i="1"/>
  <c r="M5144" i="1"/>
  <c r="C5145" i="1"/>
  <c r="E5145" i="1"/>
  <c r="F5145" i="1"/>
  <c r="H5145" i="1"/>
  <c r="I5145" i="1"/>
  <c r="J5145" i="1"/>
  <c r="L5145" i="1"/>
  <c r="M5145" i="1"/>
  <c r="C5146" i="1"/>
  <c r="E5146" i="1"/>
  <c r="F5146" i="1"/>
  <c r="H5146" i="1"/>
  <c r="I5146" i="1"/>
  <c r="J5146" i="1"/>
  <c r="L5146" i="1"/>
  <c r="M5146" i="1"/>
  <c r="C5147" i="1"/>
  <c r="E5147" i="1"/>
  <c r="F5147" i="1"/>
  <c r="H5147" i="1"/>
  <c r="I5147" i="1"/>
  <c r="J5147" i="1"/>
  <c r="L5147" i="1"/>
  <c r="M5147" i="1"/>
  <c r="C5148" i="1"/>
  <c r="E5148" i="1"/>
  <c r="F5148" i="1"/>
  <c r="H5148" i="1"/>
  <c r="I5148" i="1"/>
  <c r="J5148" i="1"/>
  <c r="L5148" i="1"/>
  <c r="M5148" i="1"/>
  <c r="C5149" i="1"/>
  <c r="E5149" i="1"/>
  <c r="F5149" i="1"/>
  <c r="H5149" i="1"/>
  <c r="I5149" i="1"/>
  <c r="J5149" i="1"/>
  <c r="L5149" i="1"/>
  <c r="M5149" i="1"/>
  <c r="C5150" i="1"/>
  <c r="E5150" i="1"/>
  <c r="F5150" i="1"/>
  <c r="H5150" i="1"/>
  <c r="I5150" i="1"/>
  <c r="J5150" i="1"/>
  <c r="L5150" i="1"/>
  <c r="M5150" i="1"/>
  <c r="C5151" i="1"/>
  <c r="E5151" i="1"/>
  <c r="F5151" i="1"/>
  <c r="H5151" i="1"/>
  <c r="I5151" i="1"/>
  <c r="J5151" i="1"/>
  <c r="L5151" i="1"/>
  <c r="M5151" i="1"/>
  <c r="C5152" i="1"/>
  <c r="E5152" i="1"/>
  <c r="F5152" i="1"/>
  <c r="H5152" i="1"/>
  <c r="I5152" i="1"/>
  <c r="J5152" i="1"/>
  <c r="L5152" i="1"/>
  <c r="M5152" i="1"/>
  <c r="C5153" i="1"/>
  <c r="E5153" i="1"/>
  <c r="F5153" i="1"/>
  <c r="H5153" i="1"/>
  <c r="I5153" i="1"/>
  <c r="J5153" i="1"/>
  <c r="L5153" i="1"/>
  <c r="M5153" i="1"/>
  <c r="C5154" i="1"/>
  <c r="E5154" i="1"/>
  <c r="F5154" i="1"/>
  <c r="H5154" i="1"/>
  <c r="I5154" i="1"/>
  <c r="J5154" i="1"/>
  <c r="L5154" i="1"/>
  <c r="M5154" i="1"/>
  <c r="C5155" i="1"/>
  <c r="E5155" i="1"/>
  <c r="F5155" i="1"/>
  <c r="H5155" i="1"/>
  <c r="I5155" i="1"/>
  <c r="J5155" i="1"/>
  <c r="L5155" i="1"/>
  <c r="M5155" i="1"/>
  <c r="C5156" i="1"/>
  <c r="E5156" i="1"/>
  <c r="F5156" i="1"/>
  <c r="H5156" i="1"/>
  <c r="I5156" i="1"/>
  <c r="J5156" i="1"/>
  <c r="L5156" i="1"/>
  <c r="M5156" i="1"/>
  <c r="C5157" i="1"/>
  <c r="E5157" i="1"/>
  <c r="F5157" i="1"/>
  <c r="H5157" i="1"/>
  <c r="I5157" i="1"/>
  <c r="J5157" i="1"/>
  <c r="L5157" i="1"/>
  <c r="M5157" i="1"/>
  <c r="C5158" i="1"/>
  <c r="E5158" i="1"/>
  <c r="F5158" i="1"/>
  <c r="H5158" i="1"/>
  <c r="I5158" i="1"/>
  <c r="J5158" i="1"/>
  <c r="L5158" i="1"/>
  <c r="M5158" i="1"/>
  <c r="C5159" i="1"/>
  <c r="E5159" i="1"/>
  <c r="F5159" i="1"/>
  <c r="H5159" i="1"/>
  <c r="I5159" i="1"/>
  <c r="J5159" i="1"/>
  <c r="L5159" i="1"/>
  <c r="M5159" i="1"/>
  <c r="C5160" i="1"/>
  <c r="E5160" i="1"/>
  <c r="F5160" i="1"/>
  <c r="H5160" i="1"/>
  <c r="I5160" i="1"/>
  <c r="J5160" i="1"/>
  <c r="L5160" i="1"/>
  <c r="M5160" i="1"/>
  <c r="C5161" i="1"/>
  <c r="E5161" i="1"/>
  <c r="F5161" i="1"/>
  <c r="H5161" i="1"/>
  <c r="I5161" i="1"/>
  <c r="J5161" i="1"/>
  <c r="L5161" i="1"/>
  <c r="M5161" i="1"/>
  <c r="C5162" i="1"/>
  <c r="E5162" i="1"/>
  <c r="F5162" i="1"/>
  <c r="H5162" i="1"/>
  <c r="I5162" i="1"/>
  <c r="J5162" i="1"/>
  <c r="L5162" i="1"/>
  <c r="M5162" i="1"/>
  <c r="C5163" i="1"/>
  <c r="E5163" i="1"/>
  <c r="F5163" i="1"/>
  <c r="H5163" i="1"/>
  <c r="I5163" i="1"/>
  <c r="J5163" i="1"/>
  <c r="L5163" i="1"/>
  <c r="M5163" i="1"/>
  <c r="C5164" i="1"/>
  <c r="E5164" i="1"/>
  <c r="F5164" i="1"/>
  <c r="H5164" i="1"/>
  <c r="I5164" i="1"/>
  <c r="J5164" i="1"/>
  <c r="L5164" i="1"/>
  <c r="M5164" i="1"/>
  <c r="C5165" i="1"/>
  <c r="E5165" i="1"/>
  <c r="F5165" i="1"/>
  <c r="H5165" i="1"/>
  <c r="I5165" i="1"/>
  <c r="J5165" i="1"/>
  <c r="L5165" i="1"/>
  <c r="M5165" i="1"/>
  <c r="C5166" i="1"/>
  <c r="E5166" i="1"/>
  <c r="F5166" i="1"/>
  <c r="H5166" i="1"/>
  <c r="I5166" i="1"/>
  <c r="J5166" i="1"/>
  <c r="L5166" i="1"/>
  <c r="M5166" i="1"/>
  <c r="C5167" i="1"/>
  <c r="E5167" i="1"/>
  <c r="F5167" i="1"/>
  <c r="H5167" i="1"/>
  <c r="I5167" i="1"/>
  <c r="J5167" i="1"/>
  <c r="L5167" i="1"/>
  <c r="M5167" i="1"/>
  <c r="C5168" i="1"/>
  <c r="E5168" i="1"/>
  <c r="F5168" i="1"/>
  <c r="H5168" i="1"/>
  <c r="I5168" i="1"/>
  <c r="J5168" i="1"/>
  <c r="L5168" i="1"/>
  <c r="M5168" i="1"/>
  <c r="C5169" i="1"/>
  <c r="E5169" i="1"/>
  <c r="F5169" i="1"/>
  <c r="H5169" i="1"/>
  <c r="I5169" i="1"/>
  <c r="J5169" i="1"/>
  <c r="L5169" i="1"/>
  <c r="M5169" i="1"/>
  <c r="C5170" i="1"/>
  <c r="E5170" i="1"/>
  <c r="F5170" i="1"/>
  <c r="H5170" i="1"/>
  <c r="I5170" i="1"/>
  <c r="J5170" i="1"/>
  <c r="L5170" i="1"/>
  <c r="M5170" i="1"/>
  <c r="C5171" i="1"/>
  <c r="E5171" i="1"/>
  <c r="F5171" i="1"/>
  <c r="H5171" i="1"/>
  <c r="I5171" i="1"/>
  <c r="J5171" i="1"/>
  <c r="L5171" i="1"/>
  <c r="M5171" i="1"/>
  <c r="C5172" i="1"/>
  <c r="E5172" i="1"/>
  <c r="F5172" i="1"/>
  <c r="H5172" i="1"/>
  <c r="I5172" i="1"/>
  <c r="J5172" i="1"/>
  <c r="L5172" i="1"/>
  <c r="M5172" i="1"/>
  <c r="C5173" i="1"/>
  <c r="E5173" i="1"/>
  <c r="F5173" i="1"/>
  <c r="H5173" i="1"/>
  <c r="I5173" i="1"/>
  <c r="J5173" i="1"/>
  <c r="L5173" i="1"/>
  <c r="M5173" i="1"/>
  <c r="C5174" i="1"/>
  <c r="E5174" i="1"/>
  <c r="F5174" i="1"/>
  <c r="H5174" i="1"/>
  <c r="I5174" i="1"/>
  <c r="J5174" i="1"/>
  <c r="L5174" i="1"/>
  <c r="M5174" i="1"/>
  <c r="C5175" i="1"/>
  <c r="E5175" i="1"/>
  <c r="F5175" i="1"/>
  <c r="H5175" i="1"/>
  <c r="I5175" i="1"/>
  <c r="J5175" i="1"/>
  <c r="L5175" i="1"/>
  <c r="M5175" i="1"/>
  <c r="C5176" i="1"/>
  <c r="E5176" i="1"/>
  <c r="F5176" i="1"/>
  <c r="H5176" i="1"/>
  <c r="I5176" i="1"/>
  <c r="J5176" i="1"/>
  <c r="L5176" i="1"/>
  <c r="M5176" i="1"/>
  <c r="C5177" i="1"/>
  <c r="E5177" i="1"/>
  <c r="F5177" i="1"/>
  <c r="H5177" i="1"/>
  <c r="I5177" i="1"/>
  <c r="J5177" i="1"/>
  <c r="L5177" i="1"/>
  <c r="M5177" i="1"/>
  <c r="C5178" i="1"/>
  <c r="E5178" i="1"/>
  <c r="F5178" i="1"/>
  <c r="H5178" i="1"/>
  <c r="I5178" i="1"/>
  <c r="J5178" i="1"/>
  <c r="L5178" i="1"/>
  <c r="M5178" i="1"/>
  <c r="C5179" i="1"/>
  <c r="E5179" i="1"/>
  <c r="F5179" i="1"/>
  <c r="H5179" i="1"/>
  <c r="I5179" i="1"/>
  <c r="J5179" i="1"/>
  <c r="L5179" i="1"/>
  <c r="M5179" i="1"/>
  <c r="C5180" i="1"/>
  <c r="E5180" i="1"/>
  <c r="F5180" i="1"/>
  <c r="H5180" i="1"/>
  <c r="I5180" i="1"/>
  <c r="J5180" i="1"/>
  <c r="L5180" i="1"/>
  <c r="M5180" i="1"/>
  <c r="C5181" i="1"/>
  <c r="E5181" i="1"/>
  <c r="F5181" i="1"/>
  <c r="H5181" i="1"/>
  <c r="I5181" i="1"/>
  <c r="J5181" i="1"/>
  <c r="L5181" i="1"/>
  <c r="M5181" i="1"/>
  <c r="C5182" i="1"/>
  <c r="E5182" i="1"/>
  <c r="F5182" i="1"/>
  <c r="H5182" i="1"/>
  <c r="I5182" i="1"/>
  <c r="J5182" i="1"/>
  <c r="L5182" i="1"/>
  <c r="M5182" i="1"/>
  <c r="C5183" i="1"/>
  <c r="E5183" i="1"/>
  <c r="F5183" i="1"/>
  <c r="H5183" i="1"/>
  <c r="I5183" i="1"/>
  <c r="J5183" i="1"/>
  <c r="L5183" i="1"/>
  <c r="M5183" i="1"/>
  <c r="C5184" i="1"/>
  <c r="E5184" i="1"/>
  <c r="F5184" i="1"/>
  <c r="H5184" i="1"/>
  <c r="I5184" i="1"/>
  <c r="J5184" i="1"/>
  <c r="L5184" i="1"/>
  <c r="M5184" i="1"/>
  <c r="C5185" i="1"/>
  <c r="E5185" i="1"/>
  <c r="F5185" i="1"/>
  <c r="H5185" i="1"/>
  <c r="I5185" i="1"/>
  <c r="J5185" i="1"/>
  <c r="L5185" i="1"/>
  <c r="M5185" i="1"/>
  <c r="C5186" i="1"/>
  <c r="E5186" i="1"/>
  <c r="F5186" i="1"/>
  <c r="H5186" i="1"/>
  <c r="I5186" i="1"/>
  <c r="J5186" i="1"/>
  <c r="L5186" i="1"/>
  <c r="M5186" i="1"/>
  <c r="C5187" i="1"/>
  <c r="E5187" i="1"/>
  <c r="F5187" i="1"/>
  <c r="H5187" i="1"/>
  <c r="I5187" i="1"/>
  <c r="J5187" i="1"/>
  <c r="L5187" i="1"/>
  <c r="M5187" i="1"/>
  <c r="C5188" i="1"/>
  <c r="E5188" i="1"/>
  <c r="F5188" i="1"/>
  <c r="H5188" i="1"/>
  <c r="I5188" i="1"/>
  <c r="J5188" i="1"/>
  <c r="L5188" i="1"/>
  <c r="M5188" i="1"/>
  <c r="C5189" i="1"/>
  <c r="E5189" i="1"/>
  <c r="F5189" i="1"/>
  <c r="H5189" i="1"/>
  <c r="I5189" i="1"/>
  <c r="J5189" i="1"/>
  <c r="L5189" i="1"/>
  <c r="M5189" i="1"/>
  <c r="C5190" i="1"/>
  <c r="E5190" i="1"/>
  <c r="F5190" i="1"/>
  <c r="H5190" i="1"/>
  <c r="I5190" i="1"/>
  <c r="J5190" i="1"/>
  <c r="L5190" i="1"/>
  <c r="M5190" i="1"/>
  <c r="C5191" i="1"/>
  <c r="E5191" i="1"/>
  <c r="F5191" i="1"/>
  <c r="H5191" i="1"/>
  <c r="I5191" i="1"/>
  <c r="J5191" i="1"/>
  <c r="L5191" i="1"/>
  <c r="M5191" i="1"/>
  <c r="C5192" i="1"/>
  <c r="E5192" i="1"/>
  <c r="F5192" i="1"/>
  <c r="H5192" i="1"/>
  <c r="I5192" i="1"/>
  <c r="J5192" i="1"/>
  <c r="L5192" i="1"/>
  <c r="M5192" i="1"/>
  <c r="C5193" i="1"/>
  <c r="E5193" i="1"/>
  <c r="F5193" i="1"/>
  <c r="H5193" i="1"/>
  <c r="I5193" i="1"/>
  <c r="J5193" i="1"/>
  <c r="L5193" i="1"/>
  <c r="M5193" i="1"/>
  <c r="C5194" i="1"/>
  <c r="E5194" i="1"/>
  <c r="F5194" i="1"/>
  <c r="H5194" i="1"/>
  <c r="I5194" i="1"/>
  <c r="J5194" i="1"/>
  <c r="L5194" i="1"/>
  <c r="M5194" i="1"/>
  <c r="C5195" i="1"/>
  <c r="E5195" i="1"/>
  <c r="F5195" i="1"/>
  <c r="H5195" i="1"/>
  <c r="I5195" i="1"/>
  <c r="J5195" i="1"/>
  <c r="L5195" i="1"/>
  <c r="M5195" i="1"/>
  <c r="C5196" i="1"/>
  <c r="E5196" i="1"/>
  <c r="F5196" i="1"/>
  <c r="H5196" i="1"/>
  <c r="I5196" i="1"/>
  <c r="J5196" i="1"/>
  <c r="L5196" i="1"/>
  <c r="M5196" i="1"/>
  <c r="C5197" i="1"/>
  <c r="E5197" i="1"/>
  <c r="F5197" i="1"/>
  <c r="H5197" i="1"/>
  <c r="I5197" i="1"/>
  <c r="J5197" i="1"/>
  <c r="L5197" i="1"/>
  <c r="M5197" i="1"/>
  <c r="C5198" i="1"/>
  <c r="E5198" i="1"/>
  <c r="F5198" i="1"/>
  <c r="H5198" i="1"/>
  <c r="I5198" i="1"/>
  <c r="J5198" i="1"/>
  <c r="L5198" i="1"/>
  <c r="M5198" i="1"/>
  <c r="C5199" i="1"/>
  <c r="E5199" i="1"/>
  <c r="F5199" i="1"/>
  <c r="H5199" i="1"/>
  <c r="I5199" i="1"/>
  <c r="J5199" i="1"/>
  <c r="L5199" i="1"/>
  <c r="M5199" i="1"/>
  <c r="C5200" i="1"/>
  <c r="E5200" i="1"/>
  <c r="F5200" i="1"/>
  <c r="H5200" i="1"/>
  <c r="I5200" i="1"/>
  <c r="J5200" i="1"/>
  <c r="L5200" i="1"/>
  <c r="M5200" i="1"/>
  <c r="C5201" i="1"/>
  <c r="E5201" i="1"/>
  <c r="F5201" i="1"/>
  <c r="H5201" i="1"/>
  <c r="I5201" i="1"/>
  <c r="J5201" i="1"/>
  <c r="L5201" i="1"/>
  <c r="M5201" i="1"/>
  <c r="C5202" i="1"/>
  <c r="E5202" i="1"/>
  <c r="F5202" i="1"/>
  <c r="H5202" i="1"/>
  <c r="I5202" i="1"/>
  <c r="J5202" i="1"/>
  <c r="L5202" i="1"/>
  <c r="M5202" i="1"/>
  <c r="C5203" i="1"/>
  <c r="E5203" i="1"/>
  <c r="F5203" i="1"/>
  <c r="H5203" i="1"/>
  <c r="I5203" i="1"/>
  <c r="J5203" i="1"/>
  <c r="L5203" i="1"/>
  <c r="M5203" i="1"/>
  <c r="C5204" i="1"/>
  <c r="E5204" i="1"/>
  <c r="F5204" i="1"/>
  <c r="H5204" i="1"/>
  <c r="I5204" i="1"/>
  <c r="J5204" i="1"/>
  <c r="L5204" i="1"/>
  <c r="M5204" i="1"/>
  <c r="C5205" i="1"/>
  <c r="E5205" i="1"/>
  <c r="F5205" i="1"/>
  <c r="H5205" i="1"/>
  <c r="I5205" i="1"/>
  <c r="J5205" i="1"/>
  <c r="L5205" i="1"/>
  <c r="M5205" i="1"/>
  <c r="C5206" i="1"/>
  <c r="E5206" i="1"/>
  <c r="F5206" i="1"/>
  <c r="H5206" i="1"/>
  <c r="I5206" i="1"/>
  <c r="J5206" i="1"/>
  <c r="L5206" i="1"/>
  <c r="M5206" i="1"/>
  <c r="C5207" i="1"/>
  <c r="E5207" i="1"/>
  <c r="F5207" i="1"/>
  <c r="H5207" i="1"/>
  <c r="I5207" i="1"/>
  <c r="J5207" i="1"/>
  <c r="L5207" i="1"/>
  <c r="M5207" i="1"/>
  <c r="C5208" i="1"/>
  <c r="E5208" i="1"/>
  <c r="F5208" i="1"/>
  <c r="H5208" i="1"/>
  <c r="I5208" i="1"/>
  <c r="J5208" i="1"/>
  <c r="L5208" i="1"/>
  <c r="M5208" i="1"/>
  <c r="C5209" i="1"/>
  <c r="E5209" i="1"/>
  <c r="F5209" i="1"/>
  <c r="H5209" i="1"/>
  <c r="I5209" i="1"/>
  <c r="J5209" i="1"/>
  <c r="L5209" i="1"/>
  <c r="M5209" i="1"/>
  <c r="C5210" i="1"/>
  <c r="E5210" i="1"/>
  <c r="F5210" i="1"/>
  <c r="H5210" i="1"/>
  <c r="I5210" i="1"/>
  <c r="J5210" i="1"/>
  <c r="L5210" i="1"/>
  <c r="M5210" i="1"/>
  <c r="C5211" i="1"/>
  <c r="E5211" i="1"/>
  <c r="F5211" i="1"/>
  <c r="H5211" i="1"/>
  <c r="I5211" i="1"/>
  <c r="J5211" i="1"/>
  <c r="L5211" i="1"/>
  <c r="M5211" i="1"/>
  <c r="C5212" i="1"/>
  <c r="E5212" i="1"/>
  <c r="F5212" i="1"/>
  <c r="H5212" i="1"/>
  <c r="I5212" i="1"/>
  <c r="J5212" i="1"/>
  <c r="L5212" i="1"/>
  <c r="M5212" i="1"/>
  <c r="C5213" i="1"/>
  <c r="E5213" i="1"/>
  <c r="F5213" i="1"/>
  <c r="H5213" i="1"/>
  <c r="I5213" i="1"/>
  <c r="J5213" i="1"/>
  <c r="L5213" i="1"/>
  <c r="M5213" i="1"/>
  <c r="C5214" i="1"/>
  <c r="E5214" i="1"/>
  <c r="F5214" i="1"/>
  <c r="H5214" i="1"/>
  <c r="I5214" i="1"/>
  <c r="J5214" i="1"/>
  <c r="L5214" i="1"/>
  <c r="M5214" i="1"/>
  <c r="C5215" i="1"/>
  <c r="E5215" i="1"/>
  <c r="F5215" i="1"/>
  <c r="H5215" i="1"/>
  <c r="I5215" i="1"/>
  <c r="J5215" i="1"/>
  <c r="L5215" i="1"/>
  <c r="M5215" i="1"/>
  <c r="C5216" i="1"/>
  <c r="E5216" i="1"/>
  <c r="F5216" i="1"/>
  <c r="H5216" i="1"/>
  <c r="I5216" i="1"/>
  <c r="J5216" i="1"/>
  <c r="L5216" i="1"/>
  <c r="M5216" i="1"/>
  <c r="C5217" i="1"/>
  <c r="E5217" i="1"/>
  <c r="F5217" i="1"/>
  <c r="H5217" i="1"/>
  <c r="I5217" i="1"/>
  <c r="J5217" i="1"/>
  <c r="L5217" i="1"/>
  <c r="M5217" i="1"/>
  <c r="C5218" i="1"/>
  <c r="E5218" i="1"/>
  <c r="F5218" i="1"/>
  <c r="H5218" i="1"/>
  <c r="I5218" i="1"/>
  <c r="J5218" i="1"/>
  <c r="L5218" i="1"/>
  <c r="M5218" i="1"/>
  <c r="C5219" i="1"/>
  <c r="E5219" i="1"/>
  <c r="F5219" i="1"/>
  <c r="H5219" i="1"/>
  <c r="I5219" i="1"/>
  <c r="J5219" i="1"/>
  <c r="L5219" i="1"/>
  <c r="M5219" i="1"/>
  <c r="C5220" i="1"/>
  <c r="E5220" i="1"/>
  <c r="F5220" i="1"/>
  <c r="H5220" i="1"/>
  <c r="I5220" i="1"/>
  <c r="J5220" i="1"/>
  <c r="L5220" i="1"/>
  <c r="M5220" i="1"/>
  <c r="C5221" i="1"/>
  <c r="E5221" i="1"/>
  <c r="F5221" i="1"/>
  <c r="H5221" i="1"/>
  <c r="I5221" i="1"/>
  <c r="J5221" i="1"/>
  <c r="L5221" i="1"/>
  <c r="M5221" i="1"/>
  <c r="C5222" i="1"/>
  <c r="E5222" i="1"/>
  <c r="F5222" i="1"/>
  <c r="H5222" i="1"/>
  <c r="I5222" i="1"/>
  <c r="J5222" i="1"/>
  <c r="L5222" i="1"/>
  <c r="M5222" i="1"/>
  <c r="C5223" i="1"/>
  <c r="E5223" i="1"/>
  <c r="F5223" i="1"/>
  <c r="H5223" i="1"/>
  <c r="I5223" i="1"/>
  <c r="J5223" i="1"/>
  <c r="L5223" i="1"/>
  <c r="M5223" i="1"/>
  <c r="C5224" i="1"/>
  <c r="E5224" i="1"/>
  <c r="F5224" i="1"/>
  <c r="H5224" i="1"/>
  <c r="I5224" i="1"/>
  <c r="J5224" i="1"/>
  <c r="L5224" i="1"/>
  <c r="M5224" i="1"/>
  <c r="C5225" i="1"/>
  <c r="E5225" i="1"/>
  <c r="F5225" i="1"/>
  <c r="H5225" i="1"/>
  <c r="I5225" i="1"/>
  <c r="J5225" i="1"/>
  <c r="L5225" i="1"/>
  <c r="M5225" i="1"/>
  <c r="C5226" i="1"/>
  <c r="E5226" i="1"/>
  <c r="F5226" i="1"/>
  <c r="H5226" i="1"/>
  <c r="I5226" i="1"/>
  <c r="J5226" i="1"/>
  <c r="L5226" i="1"/>
  <c r="M5226" i="1"/>
  <c r="C5227" i="1"/>
  <c r="E5227" i="1"/>
  <c r="F5227" i="1"/>
  <c r="H5227" i="1"/>
  <c r="I5227" i="1"/>
  <c r="J5227" i="1"/>
  <c r="L5227" i="1"/>
  <c r="M5227" i="1"/>
  <c r="C5228" i="1"/>
  <c r="E5228" i="1"/>
  <c r="F5228" i="1"/>
  <c r="H5228" i="1"/>
  <c r="I5228" i="1"/>
  <c r="J5228" i="1"/>
  <c r="L5228" i="1"/>
  <c r="M5228" i="1"/>
  <c r="C5229" i="1"/>
  <c r="E5229" i="1"/>
  <c r="F5229" i="1"/>
  <c r="H5229" i="1"/>
  <c r="I5229" i="1"/>
  <c r="J5229" i="1"/>
  <c r="L5229" i="1"/>
  <c r="M5229" i="1"/>
  <c r="C5230" i="1"/>
  <c r="E5230" i="1"/>
  <c r="F5230" i="1"/>
  <c r="H5230" i="1"/>
  <c r="I5230" i="1"/>
  <c r="J5230" i="1"/>
  <c r="L5230" i="1"/>
  <c r="M5230" i="1"/>
  <c r="C5231" i="1"/>
  <c r="E5231" i="1"/>
  <c r="F5231" i="1"/>
  <c r="H5231" i="1"/>
  <c r="I5231" i="1"/>
  <c r="J5231" i="1"/>
  <c r="L5231" i="1"/>
  <c r="M5231" i="1"/>
  <c r="C5232" i="1"/>
  <c r="E5232" i="1"/>
  <c r="F5232" i="1"/>
  <c r="H5232" i="1"/>
  <c r="I5232" i="1"/>
  <c r="J5232" i="1"/>
  <c r="L5232" i="1"/>
  <c r="M5232" i="1"/>
  <c r="C5233" i="1"/>
  <c r="E5233" i="1"/>
  <c r="F5233" i="1"/>
  <c r="H5233" i="1"/>
  <c r="I5233" i="1"/>
  <c r="J5233" i="1"/>
  <c r="L5233" i="1"/>
  <c r="M5233" i="1"/>
  <c r="C5234" i="1"/>
  <c r="E5234" i="1"/>
  <c r="F5234" i="1"/>
  <c r="H5234" i="1"/>
  <c r="I5234" i="1"/>
  <c r="J5234" i="1"/>
  <c r="L5234" i="1"/>
  <c r="M5234" i="1"/>
  <c r="C5235" i="1"/>
  <c r="E5235" i="1"/>
  <c r="F5235" i="1"/>
  <c r="H5235" i="1"/>
  <c r="I5235" i="1"/>
  <c r="J5235" i="1"/>
  <c r="L5235" i="1"/>
  <c r="M5235" i="1"/>
  <c r="C5236" i="1"/>
  <c r="E5236" i="1"/>
  <c r="F5236" i="1"/>
  <c r="H5236" i="1"/>
  <c r="I5236" i="1"/>
  <c r="J5236" i="1"/>
  <c r="L5236" i="1"/>
  <c r="M5236" i="1"/>
  <c r="C5237" i="1"/>
  <c r="E5237" i="1"/>
  <c r="F5237" i="1"/>
  <c r="H5237" i="1"/>
  <c r="I5237" i="1"/>
  <c r="J5237" i="1"/>
  <c r="L5237" i="1"/>
  <c r="M5237" i="1"/>
  <c r="C5238" i="1"/>
  <c r="E5238" i="1"/>
  <c r="F5238" i="1"/>
  <c r="H5238" i="1"/>
  <c r="I5238" i="1"/>
  <c r="J5238" i="1"/>
  <c r="L5238" i="1"/>
  <c r="M5238" i="1"/>
  <c r="C5239" i="1"/>
  <c r="E5239" i="1"/>
  <c r="F5239" i="1"/>
  <c r="H5239" i="1"/>
  <c r="I5239" i="1"/>
  <c r="J5239" i="1"/>
  <c r="L5239" i="1"/>
  <c r="M5239" i="1"/>
  <c r="C5240" i="1"/>
  <c r="E5240" i="1"/>
  <c r="F5240" i="1"/>
  <c r="H5240" i="1"/>
  <c r="I5240" i="1"/>
  <c r="J5240" i="1"/>
  <c r="L5240" i="1"/>
  <c r="M5240" i="1"/>
  <c r="C5241" i="1"/>
  <c r="E5241" i="1"/>
  <c r="F5241" i="1"/>
  <c r="H5241" i="1"/>
  <c r="I5241" i="1"/>
  <c r="J5241" i="1"/>
  <c r="L5241" i="1"/>
  <c r="M5241" i="1"/>
  <c r="C5242" i="1"/>
  <c r="E5242" i="1"/>
  <c r="F5242" i="1"/>
  <c r="H5242" i="1"/>
  <c r="I5242" i="1"/>
  <c r="J5242" i="1"/>
  <c r="L5242" i="1"/>
  <c r="M5242" i="1"/>
  <c r="C5243" i="1"/>
  <c r="E5243" i="1"/>
  <c r="F5243" i="1"/>
  <c r="H5243" i="1"/>
  <c r="I5243" i="1"/>
  <c r="J5243" i="1"/>
  <c r="L5243" i="1"/>
  <c r="M5243" i="1"/>
  <c r="C5244" i="1"/>
  <c r="E5244" i="1"/>
  <c r="F5244" i="1"/>
  <c r="H5244" i="1"/>
  <c r="I5244" i="1"/>
  <c r="J5244" i="1"/>
  <c r="L5244" i="1"/>
  <c r="M5244" i="1"/>
  <c r="C5245" i="1"/>
  <c r="E5245" i="1"/>
  <c r="F5245" i="1"/>
  <c r="H5245" i="1"/>
  <c r="I5245" i="1"/>
  <c r="J5245" i="1"/>
  <c r="L5245" i="1"/>
  <c r="M5245" i="1"/>
  <c r="C5246" i="1"/>
  <c r="E5246" i="1"/>
  <c r="F5246" i="1"/>
  <c r="H5246" i="1"/>
  <c r="I5246" i="1"/>
  <c r="J5246" i="1"/>
  <c r="L5246" i="1"/>
  <c r="M5246" i="1"/>
  <c r="C5247" i="1"/>
  <c r="E5247" i="1"/>
  <c r="F5247" i="1"/>
  <c r="H5247" i="1"/>
  <c r="I5247" i="1"/>
  <c r="J5247" i="1"/>
  <c r="L5247" i="1"/>
  <c r="M5247" i="1"/>
  <c r="C5248" i="1"/>
  <c r="E5248" i="1"/>
  <c r="F5248" i="1"/>
  <c r="H5248" i="1"/>
  <c r="I5248" i="1"/>
  <c r="J5248" i="1"/>
  <c r="L5248" i="1"/>
  <c r="M5248" i="1"/>
  <c r="C5249" i="1"/>
  <c r="E5249" i="1"/>
  <c r="F5249" i="1"/>
  <c r="H5249" i="1"/>
  <c r="I5249" i="1"/>
  <c r="J5249" i="1"/>
  <c r="L5249" i="1"/>
  <c r="M5249" i="1"/>
  <c r="C5250" i="1"/>
  <c r="E5250" i="1"/>
  <c r="F5250" i="1"/>
  <c r="H5250" i="1"/>
  <c r="I5250" i="1"/>
  <c r="J5250" i="1"/>
  <c r="L5250" i="1"/>
  <c r="M5250" i="1"/>
  <c r="C5251" i="1"/>
  <c r="E5251" i="1"/>
  <c r="F5251" i="1"/>
  <c r="H5251" i="1"/>
  <c r="I5251" i="1"/>
  <c r="J5251" i="1"/>
  <c r="L5251" i="1"/>
  <c r="M5251" i="1"/>
  <c r="C5252" i="1"/>
  <c r="E5252" i="1"/>
  <c r="F5252" i="1"/>
  <c r="H5252" i="1"/>
  <c r="I5252" i="1"/>
  <c r="J5252" i="1"/>
  <c r="L5252" i="1"/>
  <c r="M5252" i="1"/>
  <c r="C5253" i="1"/>
  <c r="E5253" i="1"/>
  <c r="F5253" i="1"/>
  <c r="H5253" i="1"/>
  <c r="I5253" i="1"/>
  <c r="J5253" i="1"/>
  <c r="L5253" i="1"/>
  <c r="M5253" i="1"/>
  <c r="C5254" i="1"/>
  <c r="E5254" i="1"/>
  <c r="F5254" i="1"/>
  <c r="H5254" i="1"/>
  <c r="I5254" i="1"/>
  <c r="J5254" i="1"/>
  <c r="L5254" i="1"/>
  <c r="M5254" i="1"/>
  <c r="C5255" i="1"/>
  <c r="E5255" i="1"/>
  <c r="F5255" i="1"/>
  <c r="H5255" i="1"/>
  <c r="I5255" i="1"/>
  <c r="J5255" i="1"/>
  <c r="L5255" i="1"/>
  <c r="M5255" i="1"/>
  <c r="C5256" i="1"/>
  <c r="E5256" i="1"/>
  <c r="F5256" i="1"/>
  <c r="H5256" i="1"/>
  <c r="I5256" i="1"/>
  <c r="J5256" i="1"/>
  <c r="L5256" i="1"/>
  <c r="M5256" i="1"/>
  <c r="C5257" i="1"/>
  <c r="E5257" i="1"/>
  <c r="F5257" i="1"/>
  <c r="H5257" i="1"/>
  <c r="I5257" i="1"/>
  <c r="J5257" i="1"/>
  <c r="L5257" i="1"/>
  <c r="M5257" i="1"/>
  <c r="C5258" i="1"/>
  <c r="E5258" i="1"/>
  <c r="F5258" i="1"/>
  <c r="H5258" i="1"/>
  <c r="I5258" i="1"/>
  <c r="J5258" i="1"/>
  <c r="L5258" i="1"/>
  <c r="M5258" i="1"/>
  <c r="C5259" i="1"/>
  <c r="E5259" i="1"/>
  <c r="F5259" i="1"/>
  <c r="H5259" i="1"/>
  <c r="I5259" i="1"/>
  <c r="J5259" i="1"/>
  <c r="L5259" i="1"/>
  <c r="M5259" i="1"/>
  <c r="C5260" i="1"/>
  <c r="E5260" i="1"/>
  <c r="F5260" i="1"/>
  <c r="H5260" i="1"/>
  <c r="I5260" i="1"/>
  <c r="J5260" i="1"/>
  <c r="L5260" i="1"/>
  <c r="M5260" i="1"/>
  <c r="C5261" i="1"/>
  <c r="E5261" i="1"/>
  <c r="F5261" i="1"/>
  <c r="H5261" i="1"/>
  <c r="I5261" i="1"/>
  <c r="J5261" i="1"/>
  <c r="L5261" i="1"/>
  <c r="M5261" i="1"/>
  <c r="C5262" i="1"/>
  <c r="E5262" i="1"/>
  <c r="F5262" i="1"/>
  <c r="H5262" i="1"/>
  <c r="I5262" i="1"/>
  <c r="J5262" i="1"/>
  <c r="L5262" i="1"/>
  <c r="M5262" i="1"/>
  <c r="C5263" i="1"/>
  <c r="E5263" i="1"/>
  <c r="F5263" i="1"/>
  <c r="H5263" i="1"/>
  <c r="I5263" i="1"/>
  <c r="J5263" i="1"/>
  <c r="L5263" i="1"/>
  <c r="M5263" i="1"/>
  <c r="C5264" i="1"/>
  <c r="E5264" i="1"/>
  <c r="F5264" i="1"/>
  <c r="H5264" i="1"/>
  <c r="I5264" i="1"/>
  <c r="J5264" i="1"/>
  <c r="L5264" i="1"/>
  <c r="M5264" i="1"/>
  <c r="C5265" i="1"/>
  <c r="E5265" i="1"/>
  <c r="F5265" i="1"/>
  <c r="H5265" i="1"/>
  <c r="I5265" i="1"/>
  <c r="J5265" i="1"/>
  <c r="L5265" i="1"/>
  <c r="M5265" i="1"/>
  <c r="C5266" i="1"/>
  <c r="E5266" i="1"/>
  <c r="F5266" i="1"/>
  <c r="H5266" i="1"/>
  <c r="I5266" i="1"/>
  <c r="J5266" i="1"/>
  <c r="L5266" i="1"/>
  <c r="M5266" i="1"/>
  <c r="C5267" i="1"/>
  <c r="E5267" i="1"/>
  <c r="F5267" i="1"/>
  <c r="H5267" i="1"/>
  <c r="I5267" i="1"/>
  <c r="J5267" i="1"/>
  <c r="L5267" i="1"/>
  <c r="M5267" i="1"/>
  <c r="C5268" i="1"/>
  <c r="E5268" i="1"/>
  <c r="F5268" i="1"/>
  <c r="H5268" i="1"/>
  <c r="I5268" i="1"/>
  <c r="J5268" i="1"/>
  <c r="L5268" i="1"/>
  <c r="M5268" i="1"/>
  <c r="C5269" i="1"/>
  <c r="E5269" i="1"/>
  <c r="F5269" i="1"/>
  <c r="H5269" i="1"/>
  <c r="I5269" i="1"/>
  <c r="J5269" i="1"/>
  <c r="L5269" i="1"/>
  <c r="M5269" i="1"/>
  <c r="C5270" i="1"/>
  <c r="E5270" i="1"/>
  <c r="F5270" i="1"/>
  <c r="H5270" i="1"/>
  <c r="I5270" i="1"/>
  <c r="J5270" i="1"/>
  <c r="L5270" i="1"/>
  <c r="M5270" i="1"/>
  <c r="C5271" i="1"/>
  <c r="E5271" i="1"/>
  <c r="F5271" i="1"/>
  <c r="H5271" i="1"/>
  <c r="I5271" i="1"/>
  <c r="J5271" i="1"/>
  <c r="L5271" i="1"/>
  <c r="M5271" i="1"/>
  <c r="C5272" i="1"/>
  <c r="E5272" i="1"/>
  <c r="F5272" i="1"/>
  <c r="H5272" i="1"/>
  <c r="I5272" i="1"/>
  <c r="J5272" i="1"/>
  <c r="L5272" i="1"/>
  <c r="M5272" i="1"/>
  <c r="C5273" i="1"/>
  <c r="E5273" i="1"/>
  <c r="F5273" i="1"/>
  <c r="H5273" i="1"/>
  <c r="I5273" i="1"/>
  <c r="J5273" i="1"/>
  <c r="L5273" i="1"/>
  <c r="M5273" i="1"/>
  <c r="C5274" i="1"/>
  <c r="E5274" i="1"/>
  <c r="F5274" i="1"/>
  <c r="H5274" i="1"/>
  <c r="I5274" i="1"/>
  <c r="J5274" i="1"/>
  <c r="L5274" i="1"/>
  <c r="M5274" i="1"/>
  <c r="C5275" i="1"/>
  <c r="E5275" i="1"/>
  <c r="F5275" i="1"/>
  <c r="H5275" i="1"/>
  <c r="I5275" i="1"/>
  <c r="J5275" i="1"/>
  <c r="L5275" i="1"/>
  <c r="M5275" i="1"/>
  <c r="C5276" i="1"/>
  <c r="E5276" i="1"/>
  <c r="F5276" i="1"/>
  <c r="H5276" i="1"/>
  <c r="I5276" i="1"/>
  <c r="J5276" i="1"/>
  <c r="L5276" i="1"/>
  <c r="M5276" i="1"/>
  <c r="C5277" i="1"/>
  <c r="E5277" i="1"/>
  <c r="F5277" i="1"/>
  <c r="H5277" i="1"/>
  <c r="I5277" i="1"/>
  <c r="J5277" i="1"/>
  <c r="L5277" i="1"/>
  <c r="M5277" i="1"/>
  <c r="C5278" i="1"/>
  <c r="E5278" i="1"/>
  <c r="F5278" i="1"/>
  <c r="H5278" i="1"/>
  <c r="I5278" i="1"/>
  <c r="J5278" i="1"/>
  <c r="L5278" i="1"/>
  <c r="M5278" i="1"/>
  <c r="C5279" i="1"/>
  <c r="E5279" i="1"/>
  <c r="F5279" i="1"/>
  <c r="H5279" i="1"/>
  <c r="I5279" i="1"/>
  <c r="J5279" i="1"/>
  <c r="L5279" i="1"/>
  <c r="M5279" i="1"/>
  <c r="C5280" i="1"/>
  <c r="E5280" i="1"/>
  <c r="F5280" i="1"/>
  <c r="H5280" i="1"/>
  <c r="I5280" i="1"/>
  <c r="J5280" i="1"/>
  <c r="L5280" i="1"/>
  <c r="M5280" i="1"/>
  <c r="C5281" i="1"/>
  <c r="E5281" i="1"/>
  <c r="F5281" i="1"/>
  <c r="H5281" i="1"/>
  <c r="I5281" i="1"/>
  <c r="J5281" i="1"/>
  <c r="L5281" i="1"/>
  <c r="M5281" i="1"/>
  <c r="C5282" i="1"/>
  <c r="E5282" i="1"/>
  <c r="F5282" i="1"/>
  <c r="H5282" i="1"/>
  <c r="I5282" i="1"/>
  <c r="J5282" i="1"/>
  <c r="L5282" i="1"/>
  <c r="M5282" i="1"/>
  <c r="C5283" i="1"/>
  <c r="E5283" i="1"/>
  <c r="F5283" i="1"/>
  <c r="H5283" i="1"/>
  <c r="I5283" i="1"/>
  <c r="J5283" i="1"/>
  <c r="L5283" i="1"/>
  <c r="M5283" i="1"/>
  <c r="C5284" i="1"/>
  <c r="E5284" i="1"/>
  <c r="F5284" i="1"/>
  <c r="H5284" i="1"/>
  <c r="I5284" i="1"/>
  <c r="J5284" i="1"/>
  <c r="L5284" i="1"/>
  <c r="M5284" i="1"/>
  <c r="C5285" i="1"/>
  <c r="E5285" i="1"/>
  <c r="F5285" i="1"/>
  <c r="H5285" i="1"/>
  <c r="I5285" i="1"/>
  <c r="J5285" i="1"/>
  <c r="L5285" i="1"/>
  <c r="M5285" i="1"/>
  <c r="C5286" i="1"/>
  <c r="E5286" i="1"/>
  <c r="F5286" i="1"/>
  <c r="H5286" i="1"/>
  <c r="I5286" i="1"/>
  <c r="J5286" i="1"/>
  <c r="L5286" i="1"/>
  <c r="M5286" i="1"/>
  <c r="C5287" i="1"/>
  <c r="E5287" i="1"/>
  <c r="F5287" i="1"/>
  <c r="H5287" i="1"/>
  <c r="I5287" i="1"/>
  <c r="J5287" i="1"/>
  <c r="L5287" i="1"/>
  <c r="M5287" i="1"/>
  <c r="C5288" i="1"/>
  <c r="E5288" i="1"/>
  <c r="F5288" i="1"/>
  <c r="H5288" i="1"/>
  <c r="I5288" i="1"/>
  <c r="J5288" i="1"/>
  <c r="L5288" i="1"/>
  <c r="M5288" i="1"/>
  <c r="C5289" i="1"/>
  <c r="E5289" i="1"/>
  <c r="F5289" i="1"/>
  <c r="H5289" i="1"/>
  <c r="I5289" i="1"/>
  <c r="J5289" i="1"/>
  <c r="L5289" i="1"/>
  <c r="M5289" i="1"/>
  <c r="C5290" i="1"/>
  <c r="E5290" i="1"/>
  <c r="F5290" i="1"/>
  <c r="H5290" i="1"/>
  <c r="I5290" i="1"/>
  <c r="J5290" i="1"/>
  <c r="L5290" i="1"/>
  <c r="M5290" i="1"/>
  <c r="C5291" i="1"/>
  <c r="E5291" i="1"/>
  <c r="F5291" i="1"/>
  <c r="H5291" i="1"/>
  <c r="I5291" i="1"/>
  <c r="J5291" i="1"/>
  <c r="L5291" i="1"/>
  <c r="M5291" i="1"/>
  <c r="C5292" i="1"/>
  <c r="E5292" i="1"/>
  <c r="F5292" i="1"/>
  <c r="H5292" i="1"/>
  <c r="I5292" i="1"/>
  <c r="J5292" i="1"/>
  <c r="L5292" i="1"/>
  <c r="M5292" i="1"/>
  <c r="C5293" i="1"/>
  <c r="E5293" i="1"/>
  <c r="F5293" i="1"/>
  <c r="H5293" i="1"/>
  <c r="I5293" i="1"/>
  <c r="J5293" i="1"/>
  <c r="L5293" i="1"/>
  <c r="M5293" i="1"/>
  <c r="C5294" i="1"/>
  <c r="E5294" i="1"/>
  <c r="F5294" i="1"/>
  <c r="H5294" i="1"/>
  <c r="I5294" i="1"/>
  <c r="J5294" i="1"/>
  <c r="L5294" i="1"/>
  <c r="M5294" i="1"/>
  <c r="C5295" i="1"/>
  <c r="E5295" i="1"/>
  <c r="F5295" i="1"/>
  <c r="H5295" i="1"/>
  <c r="I5295" i="1"/>
  <c r="J5295" i="1"/>
  <c r="L5295" i="1"/>
  <c r="M5295" i="1"/>
  <c r="C5296" i="1"/>
  <c r="E5296" i="1"/>
  <c r="F5296" i="1"/>
  <c r="H5296" i="1"/>
  <c r="I5296" i="1"/>
  <c r="J5296" i="1"/>
  <c r="L5296" i="1"/>
  <c r="M5296" i="1"/>
  <c r="C5297" i="1"/>
  <c r="E5297" i="1"/>
  <c r="F5297" i="1"/>
  <c r="H5297" i="1"/>
  <c r="I5297" i="1"/>
  <c r="J5297" i="1"/>
  <c r="L5297" i="1"/>
  <c r="M5297" i="1"/>
  <c r="C5298" i="1"/>
  <c r="E5298" i="1"/>
  <c r="F5298" i="1"/>
  <c r="H5298" i="1"/>
  <c r="I5298" i="1"/>
  <c r="J5298" i="1"/>
  <c r="L5298" i="1"/>
  <c r="M5298" i="1"/>
  <c r="C5299" i="1"/>
  <c r="E5299" i="1"/>
  <c r="F5299" i="1"/>
  <c r="H5299" i="1"/>
  <c r="I5299" i="1"/>
  <c r="J5299" i="1"/>
  <c r="L5299" i="1"/>
  <c r="M5299" i="1"/>
  <c r="C5300" i="1"/>
  <c r="E5300" i="1"/>
  <c r="F5300" i="1"/>
  <c r="H5300" i="1"/>
  <c r="I5300" i="1"/>
  <c r="J5300" i="1"/>
  <c r="L5300" i="1"/>
  <c r="M5300" i="1"/>
  <c r="C5301" i="1"/>
  <c r="E5301" i="1"/>
  <c r="F5301" i="1"/>
  <c r="H5301" i="1"/>
  <c r="I5301" i="1"/>
  <c r="J5301" i="1"/>
  <c r="L5301" i="1"/>
  <c r="M5301" i="1"/>
  <c r="C5302" i="1"/>
  <c r="E5302" i="1"/>
  <c r="F5302" i="1"/>
  <c r="H5302" i="1"/>
  <c r="I5302" i="1"/>
  <c r="J5302" i="1"/>
  <c r="L5302" i="1"/>
  <c r="M5302" i="1"/>
  <c r="C5303" i="1"/>
  <c r="E5303" i="1"/>
  <c r="F5303" i="1"/>
  <c r="H5303" i="1"/>
  <c r="I5303" i="1"/>
  <c r="J5303" i="1"/>
  <c r="L5303" i="1"/>
  <c r="M5303" i="1"/>
  <c r="C5304" i="1"/>
  <c r="E5304" i="1"/>
  <c r="F5304" i="1"/>
  <c r="H5304" i="1"/>
  <c r="I5304" i="1"/>
  <c r="J5304" i="1"/>
  <c r="L5304" i="1"/>
  <c r="M5304" i="1"/>
  <c r="C5305" i="1"/>
  <c r="E5305" i="1"/>
  <c r="F5305" i="1"/>
  <c r="H5305" i="1"/>
  <c r="I5305" i="1"/>
  <c r="J5305" i="1"/>
  <c r="L5305" i="1"/>
  <c r="M5305" i="1"/>
  <c r="C5306" i="1"/>
  <c r="E5306" i="1"/>
  <c r="F5306" i="1"/>
  <c r="H5306" i="1"/>
  <c r="I5306" i="1"/>
  <c r="J5306" i="1"/>
  <c r="L5306" i="1"/>
  <c r="M5306" i="1"/>
  <c r="C5307" i="1"/>
  <c r="E5307" i="1"/>
  <c r="F5307" i="1"/>
  <c r="H5307" i="1"/>
  <c r="I5307" i="1"/>
  <c r="J5307" i="1"/>
  <c r="L5307" i="1"/>
  <c r="M5307" i="1"/>
  <c r="C5308" i="1"/>
  <c r="E5308" i="1"/>
  <c r="F5308" i="1"/>
  <c r="H5308" i="1"/>
  <c r="I5308" i="1"/>
  <c r="J5308" i="1"/>
  <c r="L5308" i="1"/>
  <c r="M5308" i="1"/>
  <c r="C5309" i="1"/>
  <c r="E5309" i="1"/>
  <c r="F5309" i="1"/>
  <c r="H5309" i="1"/>
  <c r="I5309" i="1"/>
  <c r="J5309" i="1"/>
  <c r="L5309" i="1"/>
  <c r="M5309" i="1"/>
  <c r="C5310" i="1"/>
  <c r="E5310" i="1"/>
  <c r="F5310" i="1"/>
  <c r="H5310" i="1"/>
  <c r="I5310" i="1"/>
  <c r="J5310" i="1"/>
  <c r="L5310" i="1"/>
  <c r="M5310" i="1"/>
  <c r="C5311" i="1"/>
  <c r="E5311" i="1"/>
  <c r="F5311" i="1"/>
  <c r="H5311" i="1"/>
  <c r="I5311" i="1"/>
  <c r="J5311" i="1"/>
  <c r="L5311" i="1"/>
  <c r="M5311" i="1"/>
  <c r="C5312" i="1"/>
  <c r="E5312" i="1"/>
  <c r="F5312" i="1"/>
  <c r="H5312" i="1"/>
  <c r="I5312" i="1"/>
  <c r="J5312" i="1"/>
  <c r="L5312" i="1"/>
  <c r="M5312" i="1"/>
  <c r="C5313" i="1"/>
  <c r="E5313" i="1"/>
  <c r="F5313" i="1"/>
  <c r="H5313" i="1"/>
  <c r="I5313" i="1"/>
  <c r="J5313" i="1"/>
  <c r="L5313" i="1"/>
  <c r="M5313" i="1"/>
  <c r="C5314" i="1"/>
  <c r="E5314" i="1"/>
  <c r="F5314" i="1"/>
  <c r="H5314" i="1"/>
  <c r="I5314" i="1"/>
  <c r="J5314" i="1"/>
  <c r="L5314" i="1"/>
  <c r="M5314" i="1"/>
  <c r="C5315" i="1"/>
  <c r="E5315" i="1"/>
  <c r="F5315" i="1"/>
  <c r="H5315" i="1"/>
  <c r="I5315" i="1"/>
  <c r="J5315" i="1"/>
  <c r="L5315" i="1"/>
  <c r="M5315" i="1"/>
  <c r="C5316" i="1"/>
  <c r="E5316" i="1"/>
  <c r="F5316" i="1"/>
  <c r="H5316" i="1"/>
  <c r="I5316" i="1"/>
  <c r="J5316" i="1"/>
  <c r="L5316" i="1"/>
  <c r="M5316" i="1"/>
  <c r="C5317" i="1"/>
  <c r="E5317" i="1"/>
  <c r="F5317" i="1"/>
  <c r="H5317" i="1"/>
  <c r="I5317" i="1"/>
  <c r="J5317" i="1"/>
  <c r="L5317" i="1"/>
  <c r="M5317" i="1"/>
  <c r="C5318" i="1"/>
  <c r="E5318" i="1"/>
  <c r="F5318" i="1"/>
  <c r="H5318" i="1"/>
  <c r="I5318" i="1"/>
  <c r="J5318" i="1"/>
  <c r="L5318" i="1"/>
  <c r="M5318" i="1"/>
  <c r="C5319" i="1"/>
  <c r="E5319" i="1"/>
  <c r="F5319" i="1"/>
  <c r="H5319" i="1"/>
  <c r="I5319" i="1"/>
  <c r="J5319" i="1"/>
  <c r="L5319" i="1"/>
  <c r="M5319" i="1"/>
  <c r="C5320" i="1"/>
  <c r="E5320" i="1"/>
  <c r="F5320" i="1"/>
  <c r="H5320" i="1"/>
  <c r="I5320" i="1"/>
  <c r="J5320" i="1"/>
  <c r="L5320" i="1"/>
  <c r="M5320" i="1"/>
  <c r="C5321" i="1"/>
  <c r="E5321" i="1"/>
  <c r="F5321" i="1"/>
  <c r="H5321" i="1"/>
  <c r="I5321" i="1"/>
  <c r="J5321" i="1"/>
  <c r="L5321" i="1"/>
  <c r="M5321" i="1"/>
  <c r="C5322" i="1"/>
  <c r="E5322" i="1"/>
  <c r="F5322" i="1"/>
  <c r="H5322" i="1"/>
  <c r="I5322" i="1"/>
  <c r="J5322" i="1"/>
  <c r="L5322" i="1"/>
  <c r="M5322" i="1"/>
  <c r="C5323" i="1"/>
  <c r="E5323" i="1"/>
  <c r="F5323" i="1"/>
  <c r="H5323" i="1"/>
  <c r="I5323" i="1"/>
  <c r="J5323" i="1"/>
  <c r="L5323" i="1"/>
  <c r="M5323" i="1"/>
  <c r="C5324" i="1"/>
  <c r="E5324" i="1"/>
  <c r="F5324" i="1"/>
  <c r="H5324" i="1"/>
  <c r="I5324" i="1"/>
  <c r="J5324" i="1"/>
  <c r="L5324" i="1"/>
  <c r="M5324" i="1"/>
  <c r="C5325" i="1"/>
  <c r="E5325" i="1"/>
  <c r="F5325" i="1"/>
  <c r="H5325" i="1"/>
  <c r="I5325" i="1"/>
  <c r="J5325" i="1"/>
  <c r="L5325" i="1"/>
  <c r="M5325" i="1"/>
  <c r="C5326" i="1"/>
  <c r="E5326" i="1"/>
  <c r="F5326" i="1"/>
  <c r="H5326" i="1"/>
  <c r="I5326" i="1"/>
  <c r="J5326" i="1"/>
  <c r="L5326" i="1"/>
  <c r="M5326" i="1"/>
  <c r="C5327" i="1"/>
  <c r="E5327" i="1"/>
  <c r="F5327" i="1"/>
  <c r="H5327" i="1"/>
  <c r="I5327" i="1"/>
  <c r="J5327" i="1"/>
  <c r="L5327" i="1"/>
  <c r="M5327" i="1"/>
  <c r="C5328" i="1"/>
  <c r="E5328" i="1"/>
  <c r="F5328" i="1"/>
  <c r="H5328" i="1"/>
  <c r="I5328" i="1"/>
  <c r="J5328" i="1"/>
  <c r="L5328" i="1"/>
  <c r="M5328" i="1"/>
  <c r="C5329" i="1"/>
  <c r="E5329" i="1"/>
  <c r="F5329" i="1"/>
  <c r="H5329" i="1"/>
  <c r="I5329" i="1"/>
  <c r="J5329" i="1"/>
  <c r="L5329" i="1"/>
  <c r="M5329" i="1"/>
  <c r="C5330" i="1"/>
  <c r="E5330" i="1"/>
  <c r="F5330" i="1"/>
  <c r="H5330" i="1"/>
  <c r="I5330" i="1"/>
  <c r="J5330" i="1"/>
  <c r="L5330" i="1"/>
  <c r="M5330" i="1"/>
  <c r="C5331" i="1"/>
  <c r="E5331" i="1"/>
  <c r="F5331" i="1"/>
  <c r="H5331" i="1"/>
  <c r="I5331" i="1"/>
  <c r="J5331" i="1"/>
  <c r="L5331" i="1"/>
  <c r="M5331" i="1"/>
  <c r="C5332" i="1"/>
  <c r="E5332" i="1"/>
  <c r="F5332" i="1"/>
  <c r="H5332" i="1"/>
  <c r="I5332" i="1"/>
  <c r="J5332" i="1"/>
  <c r="L5332" i="1"/>
  <c r="M5332" i="1"/>
  <c r="C5333" i="1"/>
  <c r="E5333" i="1"/>
  <c r="F5333" i="1"/>
  <c r="H5333" i="1"/>
  <c r="I5333" i="1"/>
  <c r="J5333" i="1"/>
  <c r="L5333" i="1"/>
  <c r="M5333" i="1"/>
  <c r="C5334" i="1"/>
  <c r="E5334" i="1"/>
  <c r="F5334" i="1"/>
  <c r="H5334" i="1"/>
  <c r="I5334" i="1"/>
  <c r="J5334" i="1"/>
  <c r="L5334" i="1"/>
  <c r="M5334" i="1"/>
  <c r="C5335" i="1"/>
  <c r="E5335" i="1"/>
  <c r="F5335" i="1"/>
  <c r="H5335" i="1"/>
  <c r="I5335" i="1"/>
  <c r="J5335" i="1"/>
  <c r="L5335" i="1"/>
  <c r="M5335" i="1"/>
  <c r="C5336" i="1"/>
  <c r="E5336" i="1"/>
  <c r="F5336" i="1"/>
  <c r="H5336" i="1"/>
  <c r="I5336" i="1"/>
  <c r="J5336" i="1"/>
  <c r="L5336" i="1"/>
  <c r="M5336" i="1"/>
  <c r="C5337" i="1"/>
  <c r="E5337" i="1"/>
  <c r="F5337" i="1"/>
  <c r="H5337" i="1"/>
  <c r="I5337" i="1"/>
  <c r="J5337" i="1"/>
  <c r="L5337" i="1"/>
  <c r="M5337" i="1"/>
  <c r="C5338" i="1"/>
  <c r="E5338" i="1"/>
  <c r="F5338" i="1"/>
  <c r="H5338" i="1"/>
  <c r="I5338" i="1"/>
  <c r="J5338" i="1"/>
  <c r="L5338" i="1"/>
  <c r="M5338" i="1"/>
  <c r="C5339" i="1"/>
  <c r="E5339" i="1"/>
  <c r="F5339" i="1"/>
  <c r="H5339" i="1"/>
  <c r="I5339" i="1"/>
  <c r="J5339" i="1"/>
  <c r="L5339" i="1"/>
  <c r="M5339" i="1"/>
  <c r="C5340" i="1"/>
  <c r="E5340" i="1"/>
  <c r="F5340" i="1"/>
  <c r="H5340" i="1"/>
  <c r="I5340" i="1"/>
  <c r="J5340" i="1"/>
  <c r="L5340" i="1"/>
  <c r="M5340" i="1"/>
  <c r="C5341" i="1"/>
  <c r="E5341" i="1"/>
  <c r="F5341" i="1"/>
  <c r="H5341" i="1"/>
  <c r="I5341" i="1"/>
  <c r="J5341" i="1"/>
  <c r="L5341" i="1"/>
  <c r="M5341" i="1"/>
  <c r="C5342" i="1"/>
  <c r="E5342" i="1"/>
  <c r="F5342" i="1"/>
  <c r="H5342" i="1"/>
  <c r="I5342" i="1"/>
  <c r="J5342" i="1"/>
  <c r="L5342" i="1"/>
  <c r="M5342" i="1"/>
  <c r="C5343" i="1"/>
  <c r="E5343" i="1"/>
  <c r="F5343" i="1"/>
  <c r="H5343" i="1"/>
  <c r="I5343" i="1"/>
  <c r="J5343" i="1"/>
  <c r="L5343" i="1"/>
  <c r="M5343" i="1"/>
  <c r="C5344" i="1"/>
  <c r="E5344" i="1"/>
  <c r="F5344" i="1"/>
  <c r="H5344" i="1"/>
  <c r="I5344" i="1"/>
  <c r="J5344" i="1"/>
  <c r="L5344" i="1"/>
  <c r="M5344" i="1"/>
  <c r="C5345" i="1"/>
  <c r="E5345" i="1"/>
  <c r="F5345" i="1"/>
  <c r="H5345" i="1"/>
  <c r="I5345" i="1"/>
  <c r="J5345" i="1"/>
  <c r="L5345" i="1"/>
  <c r="M5345" i="1"/>
  <c r="C5346" i="1"/>
  <c r="E5346" i="1"/>
  <c r="F5346" i="1"/>
  <c r="H5346" i="1"/>
  <c r="I5346" i="1"/>
  <c r="J5346" i="1"/>
  <c r="L5346" i="1"/>
  <c r="M5346" i="1"/>
  <c r="C5347" i="1"/>
  <c r="E5347" i="1"/>
  <c r="F5347" i="1"/>
  <c r="H5347" i="1"/>
  <c r="I5347" i="1"/>
  <c r="J5347" i="1"/>
  <c r="L5347" i="1"/>
  <c r="M5347" i="1"/>
  <c r="C5348" i="1"/>
  <c r="E5348" i="1"/>
  <c r="F5348" i="1"/>
  <c r="H5348" i="1"/>
  <c r="I5348" i="1"/>
  <c r="J5348" i="1"/>
  <c r="L5348" i="1"/>
  <c r="M5348" i="1"/>
  <c r="C5349" i="1"/>
  <c r="E5349" i="1"/>
  <c r="F5349" i="1"/>
  <c r="H5349" i="1"/>
  <c r="I5349" i="1"/>
  <c r="J5349" i="1"/>
  <c r="L5349" i="1"/>
  <c r="M5349" i="1"/>
  <c r="C5350" i="1"/>
  <c r="E5350" i="1"/>
  <c r="F5350" i="1"/>
  <c r="H5350" i="1"/>
  <c r="I5350" i="1"/>
  <c r="J5350" i="1"/>
  <c r="L5350" i="1"/>
  <c r="M5350" i="1"/>
  <c r="C5351" i="1"/>
  <c r="E5351" i="1"/>
  <c r="F5351" i="1"/>
  <c r="H5351" i="1"/>
  <c r="I5351" i="1"/>
  <c r="J5351" i="1"/>
  <c r="L5351" i="1"/>
  <c r="M5351" i="1"/>
  <c r="C5352" i="1"/>
  <c r="E5352" i="1"/>
  <c r="F5352" i="1"/>
  <c r="H5352" i="1"/>
  <c r="I5352" i="1"/>
  <c r="J5352" i="1"/>
  <c r="L5352" i="1"/>
  <c r="M5352" i="1"/>
  <c r="C5353" i="1"/>
  <c r="E5353" i="1"/>
  <c r="F5353" i="1"/>
  <c r="H5353" i="1"/>
  <c r="I5353" i="1"/>
  <c r="J5353" i="1"/>
  <c r="L5353" i="1"/>
  <c r="M5353" i="1"/>
  <c r="C5354" i="1"/>
  <c r="E5354" i="1"/>
  <c r="F5354" i="1"/>
  <c r="H5354" i="1"/>
  <c r="I5354" i="1"/>
  <c r="J5354" i="1"/>
  <c r="L5354" i="1"/>
  <c r="M5354" i="1"/>
  <c r="C5355" i="1"/>
  <c r="E5355" i="1"/>
  <c r="F5355" i="1"/>
  <c r="H5355" i="1"/>
  <c r="I5355" i="1"/>
  <c r="J5355" i="1"/>
  <c r="L5355" i="1"/>
  <c r="M5355" i="1"/>
  <c r="C5356" i="1"/>
  <c r="E5356" i="1"/>
  <c r="F5356" i="1"/>
  <c r="H5356" i="1"/>
  <c r="I5356" i="1"/>
  <c r="J5356" i="1"/>
  <c r="L5356" i="1"/>
  <c r="M5356" i="1"/>
  <c r="C5357" i="1"/>
  <c r="E5357" i="1"/>
  <c r="F5357" i="1"/>
  <c r="H5357" i="1"/>
  <c r="I5357" i="1"/>
  <c r="J5357" i="1"/>
  <c r="L5357" i="1"/>
  <c r="M5357" i="1"/>
  <c r="C5358" i="1"/>
  <c r="E5358" i="1"/>
  <c r="F5358" i="1"/>
  <c r="H5358" i="1"/>
  <c r="I5358" i="1"/>
  <c r="J5358" i="1"/>
  <c r="L5358" i="1"/>
  <c r="M5358" i="1"/>
  <c r="C5359" i="1"/>
  <c r="E5359" i="1"/>
  <c r="F5359" i="1"/>
  <c r="H5359" i="1"/>
  <c r="I5359" i="1"/>
  <c r="J5359" i="1"/>
  <c r="L5359" i="1"/>
  <c r="M5359" i="1"/>
  <c r="C5360" i="1"/>
  <c r="E5360" i="1"/>
  <c r="F5360" i="1"/>
  <c r="H5360" i="1"/>
  <c r="I5360" i="1"/>
  <c r="J5360" i="1"/>
  <c r="L5360" i="1"/>
  <c r="M5360" i="1"/>
  <c r="C5361" i="1"/>
  <c r="E5361" i="1"/>
  <c r="F5361" i="1"/>
  <c r="H5361" i="1"/>
  <c r="I5361" i="1"/>
  <c r="J5361" i="1"/>
  <c r="L5361" i="1"/>
  <c r="M5361" i="1"/>
  <c r="C5362" i="1"/>
  <c r="E5362" i="1"/>
  <c r="F5362" i="1"/>
  <c r="H5362" i="1"/>
  <c r="I5362" i="1"/>
  <c r="J5362" i="1"/>
  <c r="L5362" i="1"/>
  <c r="M5362" i="1"/>
  <c r="C5363" i="1"/>
  <c r="E5363" i="1"/>
  <c r="F5363" i="1"/>
  <c r="H5363" i="1"/>
  <c r="I5363" i="1"/>
  <c r="J5363" i="1"/>
  <c r="L5363" i="1"/>
  <c r="M5363" i="1"/>
  <c r="C5364" i="1"/>
  <c r="E5364" i="1"/>
  <c r="F5364" i="1"/>
  <c r="H5364" i="1"/>
  <c r="I5364" i="1"/>
  <c r="J5364" i="1"/>
  <c r="L5364" i="1"/>
  <c r="M5364" i="1"/>
  <c r="C5365" i="1"/>
  <c r="E5365" i="1"/>
  <c r="F5365" i="1"/>
  <c r="H5365" i="1"/>
  <c r="I5365" i="1"/>
  <c r="J5365" i="1"/>
  <c r="L5365" i="1"/>
  <c r="M5365" i="1"/>
  <c r="C5366" i="1"/>
  <c r="E5366" i="1"/>
  <c r="F5366" i="1"/>
  <c r="H5366" i="1"/>
  <c r="I5366" i="1"/>
  <c r="J5366" i="1"/>
  <c r="L5366" i="1"/>
  <c r="M5366" i="1"/>
  <c r="C5367" i="1"/>
  <c r="E5367" i="1"/>
  <c r="F5367" i="1"/>
  <c r="H5367" i="1"/>
  <c r="I5367" i="1"/>
  <c r="J5367" i="1"/>
  <c r="L5367" i="1"/>
  <c r="M5367" i="1"/>
  <c r="C5368" i="1"/>
  <c r="E5368" i="1"/>
  <c r="F5368" i="1"/>
  <c r="H5368" i="1"/>
  <c r="I5368" i="1"/>
  <c r="J5368" i="1"/>
  <c r="L5368" i="1"/>
  <c r="M5368" i="1"/>
  <c r="C5369" i="1"/>
  <c r="E5369" i="1"/>
  <c r="F5369" i="1"/>
  <c r="H5369" i="1"/>
  <c r="I5369" i="1"/>
  <c r="J5369" i="1"/>
  <c r="L5369" i="1"/>
  <c r="M5369" i="1"/>
  <c r="C5370" i="1"/>
  <c r="E5370" i="1"/>
  <c r="F5370" i="1"/>
  <c r="H5370" i="1"/>
  <c r="I5370" i="1"/>
  <c r="J5370" i="1"/>
  <c r="L5370" i="1"/>
  <c r="M5370" i="1"/>
  <c r="C5371" i="1"/>
  <c r="E5371" i="1"/>
  <c r="F5371" i="1"/>
  <c r="H5371" i="1"/>
  <c r="I5371" i="1"/>
  <c r="J5371" i="1"/>
  <c r="L5371" i="1"/>
  <c r="M5371" i="1"/>
  <c r="C5372" i="1"/>
  <c r="E5372" i="1"/>
  <c r="F5372" i="1"/>
  <c r="H5372" i="1"/>
  <c r="I5372" i="1"/>
  <c r="J5372" i="1"/>
  <c r="L5372" i="1"/>
  <c r="M5372" i="1"/>
  <c r="C5373" i="1"/>
  <c r="E5373" i="1"/>
  <c r="F5373" i="1"/>
  <c r="H5373" i="1"/>
  <c r="I5373" i="1"/>
  <c r="J5373" i="1"/>
  <c r="L5373" i="1"/>
  <c r="M5373" i="1"/>
  <c r="C5374" i="1"/>
  <c r="E5374" i="1"/>
  <c r="F5374" i="1"/>
  <c r="H5374" i="1"/>
  <c r="I5374" i="1"/>
  <c r="J5374" i="1"/>
  <c r="L5374" i="1"/>
  <c r="M5374" i="1"/>
  <c r="C5375" i="1"/>
  <c r="E5375" i="1"/>
  <c r="F5375" i="1"/>
  <c r="H5375" i="1"/>
  <c r="I5375" i="1"/>
  <c r="J5375" i="1"/>
  <c r="L5375" i="1"/>
  <c r="M5375" i="1"/>
  <c r="C5376" i="1"/>
  <c r="E5376" i="1"/>
  <c r="F5376" i="1"/>
  <c r="H5376" i="1"/>
  <c r="I5376" i="1"/>
  <c r="J5376" i="1"/>
  <c r="L5376" i="1"/>
  <c r="M5376" i="1"/>
  <c r="C5377" i="1"/>
  <c r="E5377" i="1"/>
  <c r="F5377" i="1"/>
  <c r="H5377" i="1"/>
  <c r="I5377" i="1"/>
  <c r="J5377" i="1"/>
  <c r="L5377" i="1"/>
  <c r="M5377" i="1"/>
  <c r="C5378" i="1"/>
  <c r="E5378" i="1"/>
  <c r="F5378" i="1"/>
  <c r="H5378" i="1"/>
  <c r="I5378" i="1"/>
  <c r="J5378" i="1"/>
  <c r="L5378" i="1"/>
  <c r="M5378" i="1"/>
  <c r="C5379" i="1"/>
  <c r="E5379" i="1"/>
  <c r="F5379" i="1"/>
  <c r="H5379" i="1"/>
  <c r="I5379" i="1"/>
  <c r="J5379" i="1"/>
  <c r="L5379" i="1"/>
  <c r="M5379" i="1"/>
  <c r="C5380" i="1"/>
  <c r="E5380" i="1"/>
  <c r="F5380" i="1"/>
  <c r="H5380" i="1"/>
  <c r="I5380" i="1"/>
  <c r="J5380" i="1"/>
  <c r="L5380" i="1"/>
  <c r="M5380" i="1"/>
  <c r="C5381" i="1"/>
  <c r="E5381" i="1"/>
  <c r="F5381" i="1"/>
  <c r="H5381" i="1"/>
  <c r="I5381" i="1"/>
  <c r="J5381" i="1"/>
  <c r="L5381" i="1"/>
  <c r="M5381" i="1"/>
  <c r="C5382" i="1"/>
  <c r="E5382" i="1"/>
  <c r="F5382" i="1"/>
  <c r="H5382" i="1"/>
  <c r="I5382" i="1"/>
  <c r="J5382" i="1"/>
  <c r="L5382" i="1"/>
  <c r="M5382" i="1"/>
  <c r="C5383" i="1"/>
  <c r="E5383" i="1"/>
  <c r="F5383" i="1"/>
  <c r="H5383" i="1"/>
  <c r="I5383" i="1"/>
  <c r="J5383" i="1"/>
  <c r="L5383" i="1"/>
  <c r="M5383" i="1"/>
  <c r="C5384" i="1"/>
  <c r="E5384" i="1"/>
  <c r="F5384" i="1"/>
  <c r="H5384" i="1"/>
  <c r="I5384" i="1"/>
  <c r="J5384" i="1"/>
  <c r="L5384" i="1"/>
  <c r="M5384" i="1"/>
  <c r="C5385" i="1"/>
  <c r="E5385" i="1"/>
  <c r="F5385" i="1"/>
  <c r="H5385" i="1"/>
  <c r="I5385" i="1"/>
  <c r="J5385" i="1"/>
  <c r="L5385" i="1"/>
  <c r="M5385" i="1"/>
  <c r="C5386" i="1"/>
  <c r="E5386" i="1"/>
  <c r="F5386" i="1"/>
  <c r="H5386" i="1"/>
  <c r="I5386" i="1"/>
  <c r="J5386" i="1"/>
  <c r="L5386" i="1"/>
  <c r="M5386" i="1"/>
  <c r="C5387" i="1"/>
  <c r="E5387" i="1"/>
  <c r="F5387" i="1"/>
  <c r="H5387" i="1"/>
  <c r="I5387" i="1"/>
  <c r="J5387" i="1"/>
  <c r="L5387" i="1"/>
  <c r="M5387" i="1"/>
  <c r="C5388" i="1"/>
  <c r="E5388" i="1"/>
  <c r="F5388" i="1"/>
  <c r="H5388" i="1"/>
  <c r="I5388" i="1"/>
  <c r="J5388" i="1"/>
  <c r="L5388" i="1"/>
  <c r="M5388" i="1"/>
  <c r="C5389" i="1"/>
  <c r="E5389" i="1"/>
  <c r="F5389" i="1"/>
  <c r="H5389" i="1"/>
  <c r="I5389" i="1"/>
  <c r="J5389" i="1"/>
  <c r="L5389" i="1"/>
  <c r="M5389" i="1"/>
  <c r="C5390" i="1"/>
  <c r="E5390" i="1"/>
  <c r="F5390" i="1"/>
  <c r="H5390" i="1"/>
  <c r="I5390" i="1"/>
  <c r="J5390" i="1"/>
  <c r="L5390" i="1"/>
  <c r="M5390" i="1"/>
  <c r="C5391" i="1"/>
  <c r="E5391" i="1"/>
  <c r="F5391" i="1"/>
  <c r="H5391" i="1"/>
  <c r="I5391" i="1"/>
  <c r="J5391" i="1"/>
  <c r="L5391" i="1"/>
  <c r="M5391" i="1"/>
  <c r="C5392" i="1"/>
  <c r="E5392" i="1"/>
  <c r="F5392" i="1"/>
  <c r="H5392" i="1"/>
  <c r="I5392" i="1"/>
  <c r="J5392" i="1"/>
  <c r="L5392" i="1"/>
  <c r="M5392" i="1"/>
  <c r="C5393" i="1"/>
  <c r="E5393" i="1"/>
  <c r="F5393" i="1"/>
  <c r="H5393" i="1"/>
  <c r="I5393" i="1"/>
  <c r="J5393" i="1"/>
  <c r="L5393" i="1"/>
  <c r="M5393" i="1"/>
  <c r="C5394" i="1"/>
  <c r="E5394" i="1"/>
  <c r="F5394" i="1"/>
  <c r="H5394" i="1"/>
  <c r="I5394" i="1"/>
  <c r="J5394" i="1"/>
  <c r="L5394" i="1"/>
  <c r="M5394" i="1"/>
  <c r="C5395" i="1"/>
  <c r="E5395" i="1"/>
  <c r="F5395" i="1"/>
  <c r="H5395" i="1"/>
  <c r="I5395" i="1"/>
  <c r="J5395" i="1"/>
  <c r="L5395" i="1"/>
  <c r="M5395" i="1"/>
  <c r="C5396" i="1"/>
  <c r="E5396" i="1"/>
  <c r="F5396" i="1"/>
  <c r="H5396" i="1"/>
  <c r="I5396" i="1"/>
  <c r="J5396" i="1"/>
  <c r="L5396" i="1"/>
  <c r="M5396" i="1"/>
  <c r="C5397" i="1"/>
  <c r="E5397" i="1"/>
  <c r="F5397" i="1"/>
  <c r="H5397" i="1"/>
  <c r="I5397" i="1"/>
  <c r="J5397" i="1"/>
  <c r="L5397" i="1"/>
  <c r="M5397" i="1"/>
  <c r="C5398" i="1"/>
  <c r="E5398" i="1"/>
  <c r="F5398" i="1"/>
  <c r="H5398" i="1"/>
  <c r="I5398" i="1"/>
  <c r="J5398" i="1"/>
  <c r="L5398" i="1"/>
  <c r="M5398" i="1"/>
  <c r="C5399" i="1"/>
  <c r="E5399" i="1"/>
  <c r="F5399" i="1"/>
  <c r="H5399" i="1"/>
  <c r="I5399" i="1"/>
  <c r="J5399" i="1"/>
  <c r="L5399" i="1"/>
  <c r="M5399" i="1"/>
  <c r="C5400" i="1"/>
  <c r="E5400" i="1"/>
  <c r="F5400" i="1"/>
  <c r="H5400" i="1"/>
  <c r="I5400" i="1"/>
  <c r="J5400" i="1"/>
  <c r="L5400" i="1"/>
  <c r="M5400" i="1"/>
  <c r="C5401" i="1"/>
  <c r="E5401" i="1"/>
  <c r="F5401" i="1"/>
  <c r="H5401" i="1"/>
  <c r="I5401" i="1"/>
  <c r="J5401" i="1"/>
  <c r="L5401" i="1"/>
  <c r="M5401" i="1"/>
  <c r="C5402" i="1"/>
  <c r="E5402" i="1"/>
  <c r="F5402" i="1"/>
  <c r="H5402" i="1"/>
  <c r="I5402" i="1"/>
  <c r="J5402" i="1"/>
  <c r="L5402" i="1"/>
  <c r="M5402" i="1"/>
  <c r="C5403" i="1"/>
  <c r="E5403" i="1"/>
  <c r="F5403" i="1"/>
  <c r="H5403" i="1"/>
  <c r="I5403" i="1"/>
  <c r="J5403" i="1"/>
  <c r="L5403" i="1"/>
  <c r="M5403" i="1"/>
  <c r="C5404" i="1"/>
  <c r="E5404" i="1"/>
  <c r="F5404" i="1"/>
  <c r="H5404" i="1"/>
  <c r="I5404" i="1"/>
  <c r="J5404" i="1"/>
  <c r="L5404" i="1"/>
  <c r="M5404" i="1"/>
  <c r="C5405" i="1"/>
  <c r="E5405" i="1"/>
  <c r="F5405" i="1"/>
  <c r="H5405" i="1"/>
  <c r="I5405" i="1"/>
  <c r="J5405" i="1"/>
  <c r="L5405" i="1"/>
  <c r="M5405" i="1"/>
  <c r="C5406" i="1"/>
  <c r="E5406" i="1"/>
  <c r="F5406" i="1"/>
  <c r="H5406" i="1"/>
  <c r="I5406" i="1"/>
  <c r="J5406" i="1"/>
  <c r="L5406" i="1"/>
  <c r="M5406" i="1"/>
  <c r="C5407" i="1"/>
  <c r="E5407" i="1"/>
  <c r="F5407" i="1"/>
  <c r="H5407" i="1"/>
  <c r="I5407" i="1"/>
  <c r="J5407" i="1"/>
  <c r="L5407" i="1"/>
  <c r="M5407" i="1"/>
  <c r="C5408" i="1"/>
  <c r="E5408" i="1"/>
  <c r="F5408" i="1"/>
  <c r="H5408" i="1"/>
  <c r="I5408" i="1"/>
  <c r="J5408" i="1"/>
  <c r="L5408" i="1"/>
  <c r="M5408" i="1"/>
  <c r="C5409" i="1"/>
  <c r="E5409" i="1"/>
  <c r="F5409" i="1"/>
  <c r="H5409" i="1"/>
  <c r="I5409" i="1"/>
  <c r="J5409" i="1"/>
  <c r="L5409" i="1"/>
  <c r="M5409" i="1"/>
  <c r="C5410" i="1"/>
  <c r="E5410" i="1"/>
  <c r="F5410" i="1"/>
  <c r="H5410" i="1"/>
  <c r="I5410" i="1"/>
  <c r="J5410" i="1"/>
  <c r="L5410" i="1"/>
  <c r="M5410" i="1"/>
  <c r="C5411" i="1"/>
  <c r="E5411" i="1"/>
  <c r="F5411" i="1"/>
  <c r="H5411" i="1"/>
  <c r="I5411" i="1"/>
  <c r="J5411" i="1"/>
  <c r="L5411" i="1"/>
  <c r="M5411" i="1"/>
  <c r="C5412" i="1"/>
  <c r="E5412" i="1"/>
  <c r="F5412" i="1"/>
  <c r="H5412" i="1"/>
  <c r="I5412" i="1"/>
  <c r="J5412" i="1"/>
  <c r="L5412" i="1"/>
  <c r="M5412" i="1"/>
  <c r="C5413" i="1"/>
  <c r="E5413" i="1"/>
  <c r="F5413" i="1"/>
  <c r="H5413" i="1"/>
  <c r="I5413" i="1"/>
  <c r="J5413" i="1"/>
  <c r="L5413" i="1"/>
  <c r="M5413" i="1"/>
  <c r="C5414" i="1"/>
  <c r="E5414" i="1"/>
  <c r="F5414" i="1"/>
  <c r="H5414" i="1"/>
  <c r="I5414" i="1"/>
  <c r="J5414" i="1"/>
  <c r="L5414" i="1"/>
  <c r="M5414" i="1"/>
  <c r="C5415" i="1"/>
  <c r="E5415" i="1"/>
  <c r="F5415" i="1"/>
  <c r="H5415" i="1"/>
  <c r="I5415" i="1"/>
  <c r="J5415" i="1"/>
  <c r="L5415" i="1"/>
  <c r="M5415" i="1"/>
  <c r="C5416" i="1"/>
  <c r="E5416" i="1"/>
  <c r="F5416" i="1"/>
  <c r="H5416" i="1"/>
  <c r="I5416" i="1"/>
  <c r="J5416" i="1"/>
  <c r="L5416" i="1"/>
  <c r="M5416" i="1"/>
  <c r="C5417" i="1"/>
  <c r="E5417" i="1"/>
  <c r="F5417" i="1"/>
  <c r="H5417" i="1"/>
  <c r="I5417" i="1"/>
  <c r="J5417" i="1"/>
  <c r="L5417" i="1"/>
  <c r="M5417" i="1"/>
  <c r="C5418" i="1"/>
  <c r="E5418" i="1"/>
  <c r="F5418" i="1"/>
  <c r="H5418" i="1"/>
  <c r="I5418" i="1"/>
  <c r="J5418" i="1"/>
  <c r="L5418" i="1"/>
  <c r="M5418" i="1"/>
  <c r="C5419" i="1"/>
  <c r="E5419" i="1"/>
  <c r="F5419" i="1"/>
  <c r="H5419" i="1"/>
  <c r="I5419" i="1"/>
  <c r="J5419" i="1"/>
  <c r="L5419" i="1"/>
  <c r="M5419" i="1"/>
  <c r="C5420" i="1"/>
  <c r="E5420" i="1"/>
  <c r="F5420" i="1"/>
  <c r="H5420" i="1"/>
  <c r="I5420" i="1"/>
  <c r="J5420" i="1"/>
  <c r="L5420" i="1"/>
  <c r="M5420" i="1"/>
  <c r="C5421" i="1"/>
  <c r="E5421" i="1"/>
  <c r="F5421" i="1"/>
  <c r="H5421" i="1"/>
  <c r="I5421" i="1"/>
  <c r="J5421" i="1"/>
  <c r="L5421" i="1"/>
  <c r="M5421" i="1"/>
  <c r="C5422" i="1"/>
  <c r="E5422" i="1"/>
  <c r="F5422" i="1"/>
  <c r="H5422" i="1"/>
  <c r="I5422" i="1"/>
  <c r="J5422" i="1"/>
  <c r="L5422" i="1"/>
  <c r="M5422" i="1"/>
  <c r="C5423" i="1"/>
  <c r="E5423" i="1"/>
  <c r="F5423" i="1"/>
  <c r="H5423" i="1"/>
  <c r="I5423" i="1"/>
  <c r="J5423" i="1"/>
  <c r="L5423" i="1"/>
  <c r="M5423" i="1"/>
  <c r="C5424" i="1"/>
  <c r="E5424" i="1"/>
  <c r="F5424" i="1"/>
  <c r="H5424" i="1"/>
  <c r="I5424" i="1"/>
  <c r="J5424" i="1"/>
  <c r="L5424" i="1"/>
  <c r="M5424" i="1"/>
  <c r="C5425" i="1"/>
  <c r="E5425" i="1"/>
  <c r="F5425" i="1"/>
  <c r="H5425" i="1"/>
  <c r="I5425" i="1"/>
  <c r="J5425" i="1"/>
  <c r="L5425" i="1"/>
  <c r="M5425" i="1"/>
  <c r="C5426" i="1"/>
  <c r="E5426" i="1"/>
  <c r="F5426" i="1"/>
  <c r="H5426" i="1"/>
  <c r="I5426" i="1"/>
  <c r="J5426" i="1"/>
  <c r="L5426" i="1"/>
  <c r="M5426" i="1"/>
  <c r="C5427" i="1"/>
  <c r="E5427" i="1"/>
  <c r="F5427" i="1"/>
  <c r="H5427" i="1"/>
  <c r="I5427" i="1"/>
  <c r="J5427" i="1"/>
  <c r="L5427" i="1"/>
  <c r="M5427" i="1"/>
  <c r="C5428" i="1"/>
  <c r="E5428" i="1"/>
  <c r="F5428" i="1"/>
  <c r="H5428" i="1"/>
  <c r="I5428" i="1"/>
  <c r="J5428" i="1"/>
  <c r="L5428" i="1"/>
  <c r="M5428" i="1"/>
  <c r="C5429" i="1"/>
  <c r="E5429" i="1"/>
  <c r="F5429" i="1"/>
  <c r="H5429" i="1"/>
  <c r="I5429" i="1"/>
  <c r="J5429" i="1"/>
  <c r="L5429" i="1"/>
  <c r="M5429" i="1"/>
  <c r="C5430" i="1"/>
  <c r="E5430" i="1"/>
  <c r="F5430" i="1"/>
  <c r="H5430" i="1"/>
  <c r="I5430" i="1"/>
  <c r="J5430" i="1"/>
  <c r="L5430" i="1"/>
  <c r="M5430" i="1"/>
  <c r="C5431" i="1"/>
  <c r="E5431" i="1"/>
  <c r="F5431" i="1"/>
  <c r="H5431" i="1"/>
  <c r="I5431" i="1"/>
  <c r="J5431" i="1"/>
  <c r="L5431" i="1"/>
  <c r="M5431" i="1"/>
  <c r="C5432" i="1"/>
  <c r="E5432" i="1"/>
  <c r="F5432" i="1"/>
  <c r="H5432" i="1"/>
  <c r="I5432" i="1"/>
  <c r="J5432" i="1"/>
  <c r="L5432" i="1"/>
  <c r="M5432" i="1"/>
  <c r="C5433" i="1"/>
  <c r="E5433" i="1"/>
  <c r="F5433" i="1"/>
  <c r="H5433" i="1"/>
  <c r="I5433" i="1"/>
  <c r="J5433" i="1"/>
  <c r="L5433" i="1"/>
  <c r="M5433" i="1"/>
  <c r="C5434" i="1"/>
  <c r="E5434" i="1"/>
  <c r="F5434" i="1"/>
  <c r="H5434" i="1"/>
  <c r="I5434" i="1"/>
  <c r="J5434" i="1"/>
  <c r="L5434" i="1"/>
  <c r="M5434" i="1"/>
  <c r="C5435" i="1"/>
  <c r="E5435" i="1"/>
  <c r="F5435" i="1"/>
  <c r="H5435" i="1"/>
  <c r="I5435" i="1"/>
  <c r="J5435" i="1"/>
  <c r="L5435" i="1"/>
  <c r="M5435" i="1"/>
  <c r="C5436" i="1"/>
  <c r="E5436" i="1"/>
  <c r="F5436" i="1"/>
  <c r="H5436" i="1"/>
  <c r="I5436" i="1"/>
  <c r="J5436" i="1"/>
  <c r="L5436" i="1"/>
  <c r="M5436" i="1"/>
  <c r="C5437" i="1"/>
  <c r="E5437" i="1"/>
  <c r="F5437" i="1"/>
  <c r="H5437" i="1"/>
  <c r="I5437" i="1"/>
  <c r="J5437" i="1"/>
  <c r="L5437" i="1"/>
  <c r="M5437" i="1"/>
  <c r="C5438" i="1"/>
  <c r="E5438" i="1"/>
  <c r="F5438" i="1"/>
  <c r="H5438" i="1"/>
  <c r="I5438" i="1"/>
  <c r="J5438" i="1"/>
  <c r="L5438" i="1"/>
  <c r="M5438" i="1"/>
  <c r="C5439" i="1"/>
  <c r="E5439" i="1"/>
  <c r="F5439" i="1"/>
  <c r="H5439" i="1"/>
  <c r="I5439" i="1"/>
  <c r="J5439" i="1"/>
  <c r="L5439" i="1"/>
  <c r="M5439" i="1"/>
  <c r="C5440" i="1"/>
  <c r="E5440" i="1"/>
  <c r="F5440" i="1"/>
  <c r="H5440" i="1"/>
  <c r="I5440" i="1"/>
  <c r="J5440" i="1"/>
  <c r="L5440" i="1"/>
  <c r="M5440" i="1"/>
  <c r="C5441" i="1"/>
  <c r="E5441" i="1"/>
  <c r="F5441" i="1"/>
  <c r="H5441" i="1"/>
  <c r="I5441" i="1"/>
  <c r="J5441" i="1"/>
  <c r="L5441" i="1"/>
  <c r="M5441" i="1"/>
  <c r="C5442" i="1"/>
  <c r="E5442" i="1"/>
  <c r="F5442" i="1"/>
  <c r="H5442" i="1"/>
  <c r="I5442" i="1"/>
  <c r="J5442" i="1"/>
  <c r="L5442" i="1"/>
  <c r="M5442" i="1"/>
  <c r="C5443" i="1"/>
  <c r="E5443" i="1"/>
  <c r="F5443" i="1"/>
  <c r="H5443" i="1"/>
  <c r="I5443" i="1"/>
  <c r="J5443" i="1"/>
  <c r="L5443" i="1"/>
  <c r="M5443" i="1"/>
  <c r="C5444" i="1"/>
  <c r="E5444" i="1"/>
  <c r="F5444" i="1"/>
  <c r="H5444" i="1"/>
  <c r="I5444" i="1"/>
  <c r="J5444" i="1"/>
  <c r="L5444" i="1"/>
  <c r="M5444" i="1"/>
  <c r="C5445" i="1"/>
  <c r="E5445" i="1"/>
  <c r="F5445" i="1"/>
  <c r="H5445" i="1"/>
  <c r="I5445" i="1"/>
  <c r="J5445" i="1"/>
  <c r="L5445" i="1"/>
  <c r="M5445" i="1"/>
  <c r="C5446" i="1"/>
  <c r="E5446" i="1"/>
  <c r="F5446" i="1"/>
  <c r="H5446" i="1"/>
  <c r="I5446" i="1"/>
  <c r="J5446" i="1"/>
  <c r="L5446" i="1"/>
  <c r="M5446" i="1"/>
  <c r="C5447" i="1"/>
  <c r="E5447" i="1"/>
  <c r="F5447" i="1"/>
  <c r="H5447" i="1"/>
  <c r="I5447" i="1"/>
  <c r="J5447" i="1"/>
  <c r="L5447" i="1"/>
  <c r="M5447" i="1"/>
  <c r="C5448" i="1"/>
  <c r="E5448" i="1"/>
  <c r="F5448" i="1"/>
  <c r="H5448" i="1"/>
  <c r="I5448" i="1"/>
  <c r="J5448" i="1"/>
  <c r="L5448" i="1"/>
  <c r="M5448" i="1"/>
  <c r="C5449" i="1"/>
  <c r="E5449" i="1"/>
  <c r="F5449" i="1"/>
  <c r="H5449" i="1"/>
  <c r="I5449" i="1"/>
  <c r="J5449" i="1"/>
  <c r="L5449" i="1"/>
  <c r="M5449" i="1"/>
  <c r="C5450" i="1"/>
  <c r="E5450" i="1"/>
  <c r="F5450" i="1"/>
  <c r="H5450" i="1"/>
  <c r="I5450" i="1"/>
  <c r="J5450" i="1"/>
  <c r="L5450" i="1"/>
  <c r="M5450" i="1"/>
  <c r="C5451" i="1"/>
  <c r="E5451" i="1"/>
  <c r="F5451" i="1"/>
  <c r="H5451" i="1"/>
  <c r="I5451" i="1"/>
  <c r="J5451" i="1"/>
  <c r="L5451" i="1"/>
  <c r="M5451" i="1"/>
  <c r="C5452" i="1"/>
  <c r="E5452" i="1"/>
  <c r="F5452" i="1"/>
  <c r="H5452" i="1"/>
  <c r="I5452" i="1"/>
  <c r="J5452" i="1"/>
  <c r="L5452" i="1"/>
  <c r="M5452" i="1"/>
  <c r="C5453" i="1"/>
  <c r="E5453" i="1"/>
  <c r="F5453" i="1"/>
  <c r="H5453" i="1"/>
  <c r="I5453" i="1"/>
  <c r="J5453" i="1"/>
  <c r="L5453" i="1"/>
  <c r="M5453" i="1"/>
  <c r="C5454" i="1"/>
  <c r="E5454" i="1"/>
  <c r="F5454" i="1"/>
  <c r="H5454" i="1"/>
  <c r="I5454" i="1"/>
  <c r="J5454" i="1"/>
  <c r="L5454" i="1"/>
  <c r="M5454" i="1"/>
  <c r="C5455" i="1"/>
  <c r="E5455" i="1"/>
  <c r="F5455" i="1"/>
  <c r="H5455" i="1"/>
  <c r="I5455" i="1"/>
  <c r="J5455" i="1"/>
  <c r="L5455" i="1"/>
  <c r="M5455" i="1"/>
  <c r="C5456" i="1"/>
  <c r="E5456" i="1"/>
  <c r="F5456" i="1"/>
  <c r="H5456" i="1"/>
  <c r="I5456" i="1"/>
  <c r="J5456" i="1"/>
  <c r="L5456" i="1"/>
  <c r="M5456" i="1"/>
  <c r="C5457" i="1"/>
  <c r="E5457" i="1"/>
  <c r="F5457" i="1"/>
  <c r="H5457" i="1"/>
  <c r="I5457" i="1"/>
  <c r="J5457" i="1"/>
  <c r="L5457" i="1"/>
  <c r="M5457" i="1"/>
  <c r="C5458" i="1"/>
  <c r="E5458" i="1"/>
  <c r="F5458" i="1"/>
  <c r="H5458" i="1"/>
  <c r="I5458" i="1"/>
  <c r="J5458" i="1"/>
  <c r="L5458" i="1"/>
  <c r="M5458" i="1"/>
  <c r="C5459" i="1"/>
  <c r="E5459" i="1"/>
  <c r="F5459" i="1"/>
  <c r="H5459" i="1"/>
  <c r="I5459" i="1"/>
  <c r="J5459" i="1"/>
  <c r="L5459" i="1"/>
  <c r="M5459" i="1"/>
  <c r="C5460" i="1"/>
  <c r="E5460" i="1"/>
  <c r="F5460" i="1"/>
  <c r="H5460" i="1"/>
  <c r="I5460" i="1"/>
  <c r="J5460" i="1"/>
  <c r="L5460" i="1"/>
  <c r="M5460" i="1"/>
  <c r="C5461" i="1"/>
  <c r="E5461" i="1"/>
  <c r="F5461" i="1"/>
  <c r="H5461" i="1"/>
  <c r="I5461" i="1"/>
  <c r="J5461" i="1"/>
  <c r="L5461" i="1"/>
  <c r="M5461" i="1"/>
  <c r="C5462" i="1"/>
  <c r="E5462" i="1"/>
  <c r="F5462" i="1"/>
  <c r="H5462" i="1"/>
  <c r="I5462" i="1"/>
  <c r="J5462" i="1"/>
  <c r="L5462" i="1"/>
  <c r="M5462" i="1"/>
  <c r="C5463" i="1"/>
  <c r="E5463" i="1"/>
  <c r="F5463" i="1"/>
  <c r="H5463" i="1"/>
  <c r="I5463" i="1"/>
  <c r="J5463" i="1"/>
  <c r="L5463" i="1"/>
  <c r="M5463" i="1"/>
  <c r="C5464" i="1"/>
  <c r="E5464" i="1"/>
  <c r="F5464" i="1"/>
  <c r="H5464" i="1"/>
  <c r="I5464" i="1"/>
  <c r="J5464" i="1"/>
  <c r="L5464" i="1"/>
  <c r="M5464" i="1"/>
  <c r="C5465" i="1"/>
  <c r="E5465" i="1"/>
  <c r="F5465" i="1"/>
  <c r="H5465" i="1"/>
  <c r="I5465" i="1"/>
  <c r="J5465" i="1"/>
  <c r="L5465" i="1"/>
  <c r="M5465" i="1"/>
  <c r="C5466" i="1"/>
  <c r="E5466" i="1"/>
  <c r="F5466" i="1"/>
  <c r="H5466" i="1"/>
  <c r="I5466" i="1"/>
  <c r="J5466" i="1"/>
  <c r="L5466" i="1"/>
  <c r="M5466" i="1"/>
  <c r="C5467" i="1"/>
  <c r="E5467" i="1"/>
  <c r="F5467" i="1"/>
  <c r="H5467" i="1"/>
  <c r="I5467" i="1"/>
  <c r="J5467" i="1"/>
  <c r="L5467" i="1"/>
  <c r="M5467" i="1"/>
  <c r="C5468" i="1"/>
  <c r="E5468" i="1"/>
  <c r="F5468" i="1"/>
  <c r="H5468" i="1"/>
  <c r="I5468" i="1"/>
  <c r="J5468" i="1"/>
  <c r="L5468" i="1"/>
  <c r="M5468" i="1"/>
  <c r="C5469" i="1"/>
  <c r="E5469" i="1"/>
  <c r="F5469" i="1"/>
  <c r="H5469" i="1"/>
  <c r="I5469" i="1"/>
  <c r="J5469" i="1"/>
  <c r="L5469" i="1"/>
  <c r="M5469" i="1"/>
  <c r="C5470" i="1"/>
  <c r="E5470" i="1"/>
  <c r="F5470" i="1"/>
  <c r="H5470" i="1"/>
  <c r="I5470" i="1"/>
  <c r="J5470" i="1"/>
  <c r="L5470" i="1"/>
  <c r="M5470" i="1"/>
  <c r="C5471" i="1"/>
  <c r="E5471" i="1"/>
  <c r="F5471" i="1"/>
  <c r="H5471" i="1"/>
  <c r="I5471" i="1"/>
  <c r="J5471" i="1"/>
  <c r="L5471" i="1"/>
  <c r="M5471" i="1"/>
  <c r="C5472" i="1"/>
  <c r="E5472" i="1"/>
  <c r="F5472" i="1"/>
  <c r="H5472" i="1"/>
  <c r="I5472" i="1"/>
  <c r="J5472" i="1"/>
  <c r="L5472" i="1"/>
  <c r="M5472" i="1"/>
  <c r="C5473" i="1"/>
  <c r="E5473" i="1"/>
  <c r="F5473" i="1"/>
  <c r="H5473" i="1"/>
  <c r="I5473" i="1"/>
  <c r="J5473" i="1"/>
  <c r="L5473" i="1"/>
  <c r="M5473" i="1"/>
  <c r="C5474" i="1"/>
  <c r="E5474" i="1"/>
  <c r="F5474" i="1"/>
  <c r="H5474" i="1"/>
  <c r="I5474" i="1"/>
  <c r="J5474" i="1"/>
  <c r="L5474" i="1"/>
  <c r="M5474" i="1"/>
  <c r="C5475" i="1"/>
  <c r="E5475" i="1"/>
  <c r="F5475" i="1"/>
  <c r="H5475" i="1"/>
  <c r="I5475" i="1"/>
  <c r="J5475" i="1"/>
  <c r="L5475" i="1"/>
  <c r="M5475" i="1"/>
  <c r="C5476" i="1"/>
  <c r="E5476" i="1"/>
  <c r="F5476" i="1"/>
  <c r="H5476" i="1"/>
  <c r="I5476" i="1"/>
  <c r="J5476" i="1"/>
  <c r="L5476" i="1"/>
  <c r="M5476" i="1"/>
  <c r="C5477" i="1"/>
  <c r="E5477" i="1"/>
  <c r="F5477" i="1"/>
  <c r="H5477" i="1"/>
  <c r="I5477" i="1"/>
  <c r="J5477" i="1"/>
  <c r="L5477" i="1"/>
  <c r="M5477" i="1"/>
  <c r="C5478" i="1"/>
  <c r="E5478" i="1"/>
  <c r="F5478" i="1"/>
  <c r="H5478" i="1"/>
  <c r="I5478" i="1"/>
  <c r="J5478" i="1"/>
  <c r="L5478" i="1"/>
  <c r="M5478" i="1"/>
  <c r="C5479" i="1"/>
  <c r="E5479" i="1"/>
  <c r="F5479" i="1"/>
  <c r="H5479" i="1"/>
  <c r="I5479" i="1"/>
  <c r="J5479" i="1"/>
  <c r="L5479" i="1"/>
  <c r="M5479" i="1"/>
  <c r="C5480" i="1"/>
  <c r="E5480" i="1"/>
  <c r="F5480" i="1"/>
  <c r="H5480" i="1"/>
  <c r="I5480" i="1"/>
  <c r="J5480" i="1"/>
  <c r="L5480" i="1"/>
  <c r="M5480" i="1"/>
  <c r="C5481" i="1"/>
  <c r="E5481" i="1"/>
  <c r="F5481" i="1"/>
  <c r="H5481" i="1"/>
  <c r="I5481" i="1"/>
  <c r="J5481" i="1"/>
  <c r="L5481" i="1"/>
  <c r="M5481" i="1"/>
  <c r="C5482" i="1"/>
  <c r="E5482" i="1"/>
  <c r="F5482" i="1"/>
  <c r="H5482" i="1"/>
  <c r="I5482" i="1"/>
  <c r="J5482" i="1"/>
  <c r="L5482" i="1"/>
  <c r="M5482" i="1"/>
  <c r="C5483" i="1"/>
  <c r="E5483" i="1"/>
  <c r="F5483" i="1"/>
  <c r="H5483" i="1"/>
  <c r="I5483" i="1"/>
  <c r="J5483" i="1"/>
  <c r="L5483" i="1"/>
  <c r="M5483" i="1"/>
  <c r="C5484" i="1"/>
  <c r="E5484" i="1"/>
  <c r="F5484" i="1"/>
  <c r="H5484" i="1"/>
  <c r="I5484" i="1"/>
  <c r="J5484" i="1"/>
  <c r="L5484" i="1"/>
  <c r="M5484" i="1"/>
  <c r="C5485" i="1"/>
  <c r="E5485" i="1"/>
  <c r="F5485" i="1"/>
  <c r="H5485" i="1"/>
  <c r="I5485" i="1"/>
  <c r="J5485" i="1"/>
  <c r="L5485" i="1"/>
  <c r="M5485" i="1"/>
  <c r="C5486" i="1"/>
  <c r="E5486" i="1"/>
  <c r="F5486" i="1"/>
  <c r="H5486" i="1"/>
  <c r="I5486" i="1"/>
  <c r="J5486" i="1"/>
  <c r="L5486" i="1"/>
  <c r="M5486" i="1"/>
  <c r="C5487" i="1"/>
  <c r="E5487" i="1"/>
  <c r="F5487" i="1"/>
  <c r="H5487" i="1"/>
  <c r="I5487" i="1"/>
  <c r="J5487" i="1"/>
  <c r="L5487" i="1"/>
  <c r="M5487" i="1"/>
  <c r="C5488" i="1"/>
  <c r="E5488" i="1"/>
  <c r="F5488" i="1"/>
  <c r="H5488" i="1"/>
  <c r="I5488" i="1"/>
  <c r="J5488" i="1"/>
  <c r="L5488" i="1"/>
  <c r="M5488" i="1"/>
  <c r="C5489" i="1"/>
  <c r="E5489" i="1"/>
  <c r="F5489" i="1"/>
  <c r="H5489" i="1"/>
  <c r="I5489" i="1"/>
  <c r="J5489" i="1"/>
  <c r="L5489" i="1"/>
  <c r="M5489" i="1"/>
  <c r="C5490" i="1"/>
  <c r="E5490" i="1"/>
  <c r="F5490" i="1"/>
  <c r="H5490" i="1"/>
  <c r="I5490" i="1"/>
  <c r="J5490" i="1"/>
  <c r="L5490" i="1"/>
  <c r="M5490" i="1"/>
  <c r="C5491" i="1"/>
  <c r="E5491" i="1"/>
  <c r="F5491" i="1"/>
  <c r="H5491" i="1"/>
  <c r="I5491" i="1"/>
  <c r="J5491" i="1"/>
  <c r="L5491" i="1"/>
  <c r="M5491" i="1"/>
  <c r="C5492" i="1"/>
  <c r="E5492" i="1"/>
  <c r="F5492" i="1"/>
  <c r="H5492" i="1"/>
  <c r="I5492" i="1"/>
  <c r="J5492" i="1"/>
  <c r="L5492" i="1"/>
  <c r="M5492" i="1"/>
  <c r="C5493" i="1"/>
  <c r="E5493" i="1"/>
  <c r="F5493" i="1"/>
  <c r="H5493" i="1"/>
  <c r="I5493" i="1"/>
  <c r="J5493" i="1"/>
  <c r="L5493" i="1"/>
  <c r="M5493" i="1"/>
  <c r="C5494" i="1"/>
  <c r="E5494" i="1"/>
  <c r="F5494" i="1"/>
  <c r="H5494" i="1"/>
  <c r="I5494" i="1"/>
  <c r="J5494" i="1"/>
  <c r="L5494" i="1"/>
  <c r="M5494" i="1"/>
  <c r="C5495" i="1"/>
  <c r="E5495" i="1"/>
  <c r="F5495" i="1"/>
  <c r="H5495" i="1"/>
  <c r="I5495" i="1"/>
  <c r="J5495" i="1"/>
  <c r="L5495" i="1"/>
  <c r="M5495" i="1"/>
  <c r="C5496" i="1"/>
  <c r="E5496" i="1"/>
  <c r="F5496" i="1"/>
  <c r="H5496" i="1"/>
  <c r="I5496" i="1"/>
  <c r="J5496" i="1"/>
  <c r="L5496" i="1"/>
  <c r="M5496" i="1"/>
  <c r="C5497" i="1"/>
  <c r="E5497" i="1"/>
  <c r="F5497" i="1"/>
  <c r="H5497" i="1"/>
  <c r="I5497" i="1"/>
  <c r="J5497" i="1"/>
  <c r="L5497" i="1"/>
  <c r="M5497" i="1"/>
  <c r="C5498" i="1"/>
  <c r="E5498" i="1"/>
  <c r="F5498" i="1"/>
  <c r="H5498" i="1"/>
  <c r="I5498" i="1"/>
  <c r="J5498" i="1"/>
  <c r="L5498" i="1"/>
  <c r="M5498" i="1"/>
  <c r="C5499" i="1"/>
  <c r="E5499" i="1"/>
  <c r="F5499" i="1"/>
  <c r="H5499" i="1"/>
  <c r="I5499" i="1"/>
  <c r="J5499" i="1"/>
  <c r="L5499" i="1"/>
  <c r="M5499" i="1"/>
  <c r="C5500" i="1"/>
  <c r="E5500" i="1"/>
  <c r="F5500" i="1"/>
  <c r="H5500" i="1"/>
  <c r="I5500" i="1"/>
  <c r="J5500" i="1"/>
  <c r="L5500" i="1"/>
  <c r="M5500" i="1"/>
  <c r="C5501" i="1"/>
  <c r="E5501" i="1"/>
  <c r="F5501" i="1"/>
  <c r="H5501" i="1"/>
  <c r="I5501" i="1"/>
  <c r="J5501" i="1"/>
  <c r="L5501" i="1"/>
  <c r="M5501" i="1"/>
  <c r="C5502" i="1"/>
  <c r="E5502" i="1"/>
  <c r="F5502" i="1"/>
  <c r="H5502" i="1"/>
  <c r="I5502" i="1"/>
  <c r="J5502" i="1"/>
  <c r="L5502" i="1"/>
  <c r="M5502" i="1"/>
  <c r="C5503" i="1"/>
  <c r="E5503" i="1"/>
  <c r="F5503" i="1"/>
  <c r="H5503" i="1"/>
  <c r="I5503" i="1"/>
  <c r="J5503" i="1"/>
  <c r="L5503" i="1"/>
  <c r="M5503" i="1"/>
  <c r="C5504" i="1"/>
  <c r="E5504" i="1"/>
  <c r="F5504" i="1"/>
  <c r="H5504" i="1"/>
  <c r="I5504" i="1"/>
  <c r="J5504" i="1"/>
  <c r="L5504" i="1"/>
  <c r="M5504" i="1"/>
  <c r="C5505" i="1"/>
  <c r="E5505" i="1"/>
  <c r="F5505" i="1"/>
  <c r="H5505" i="1"/>
  <c r="I5505" i="1"/>
  <c r="J5505" i="1"/>
  <c r="L5505" i="1"/>
  <c r="M5505" i="1"/>
  <c r="C5506" i="1"/>
  <c r="E5506" i="1"/>
  <c r="F5506" i="1"/>
  <c r="H5506" i="1"/>
  <c r="I5506" i="1"/>
  <c r="J5506" i="1"/>
  <c r="L5506" i="1"/>
  <c r="M5506" i="1"/>
  <c r="C5507" i="1"/>
  <c r="E5507" i="1"/>
  <c r="F5507" i="1"/>
  <c r="H5507" i="1"/>
  <c r="I5507" i="1"/>
  <c r="J5507" i="1"/>
  <c r="L5507" i="1"/>
  <c r="M5507" i="1"/>
  <c r="C5508" i="1"/>
  <c r="E5508" i="1"/>
  <c r="F5508" i="1"/>
  <c r="H5508" i="1"/>
  <c r="I5508" i="1"/>
  <c r="J5508" i="1"/>
  <c r="L5508" i="1"/>
  <c r="M5508" i="1"/>
  <c r="C5509" i="1"/>
  <c r="E5509" i="1"/>
  <c r="F5509" i="1"/>
  <c r="H5509" i="1"/>
  <c r="I5509" i="1"/>
  <c r="J5509" i="1"/>
  <c r="L5509" i="1"/>
  <c r="M5509" i="1"/>
  <c r="C5510" i="1"/>
  <c r="E5510" i="1"/>
  <c r="F5510" i="1"/>
  <c r="H5510" i="1"/>
  <c r="I5510" i="1"/>
  <c r="J5510" i="1"/>
  <c r="L5510" i="1"/>
  <c r="M5510" i="1"/>
  <c r="C5511" i="1"/>
  <c r="E5511" i="1"/>
  <c r="F5511" i="1"/>
  <c r="H5511" i="1"/>
  <c r="I5511" i="1"/>
  <c r="J5511" i="1"/>
  <c r="L5511" i="1"/>
  <c r="M5511" i="1"/>
  <c r="C5512" i="1"/>
  <c r="E5512" i="1"/>
  <c r="F5512" i="1"/>
  <c r="H5512" i="1"/>
  <c r="I5512" i="1"/>
  <c r="J5512" i="1"/>
  <c r="L5512" i="1"/>
  <c r="M5512" i="1"/>
  <c r="C5513" i="1"/>
  <c r="E5513" i="1"/>
  <c r="F5513" i="1"/>
  <c r="H5513" i="1"/>
  <c r="I5513" i="1"/>
  <c r="J5513" i="1"/>
  <c r="L5513" i="1"/>
  <c r="M5513" i="1"/>
  <c r="C5514" i="1"/>
  <c r="E5514" i="1"/>
  <c r="F5514" i="1"/>
  <c r="H5514" i="1"/>
  <c r="I5514" i="1"/>
  <c r="J5514" i="1"/>
  <c r="L5514" i="1"/>
  <c r="M5514" i="1"/>
  <c r="C5515" i="1"/>
  <c r="E5515" i="1"/>
  <c r="F5515" i="1"/>
  <c r="H5515" i="1"/>
  <c r="I5515" i="1"/>
  <c r="J5515" i="1"/>
  <c r="L5515" i="1"/>
  <c r="M5515" i="1"/>
  <c r="C5516" i="1"/>
  <c r="E5516" i="1"/>
  <c r="F5516" i="1"/>
  <c r="H5516" i="1"/>
  <c r="I5516" i="1"/>
  <c r="J5516" i="1"/>
  <c r="L5516" i="1"/>
  <c r="M5516" i="1"/>
  <c r="C5517" i="1"/>
  <c r="E5517" i="1"/>
  <c r="F5517" i="1"/>
  <c r="H5517" i="1"/>
  <c r="I5517" i="1"/>
  <c r="J5517" i="1"/>
  <c r="L5517" i="1"/>
  <c r="M5517" i="1"/>
  <c r="C5518" i="1"/>
  <c r="E5518" i="1"/>
  <c r="F5518" i="1"/>
  <c r="H5518" i="1"/>
  <c r="I5518" i="1"/>
  <c r="J5518" i="1"/>
  <c r="L5518" i="1"/>
  <c r="M5518" i="1"/>
  <c r="C5519" i="1"/>
  <c r="E5519" i="1"/>
  <c r="F5519" i="1"/>
  <c r="H5519" i="1"/>
  <c r="I5519" i="1"/>
  <c r="J5519" i="1"/>
  <c r="L5519" i="1"/>
  <c r="M5519" i="1"/>
  <c r="C5520" i="1"/>
  <c r="E5520" i="1"/>
  <c r="F5520" i="1"/>
  <c r="H5520" i="1"/>
  <c r="I5520" i="1"/>
  <c r="J5520" i="1"/>
  <c r="L5520" i="1"/>
  <c r="M5520" i="1"/>
  <c r="C5521" i="1"/>
  <c r="E5521" i="1"/>
  <c r="F5521" i="1"/>
  <c r="H5521" i="1"/>
  <c r="I5521" i="1"/>
  <c r="J5521" i="1"/>
  <c r="L5521" i="1"/>
  <c r="M5521" i="1"/>
  <c r="C5522" i="1"/>
  <c r="E5522" i="1"/>
  <c r="F5522" i="1"/>
  <c r="H5522" i="1"/>
  <c r="I5522" i="1"/>
  <c r="J5522" i="1"/>
  <c r="L5522" i="1"/>
  <c r="M5522" i="1"/>
  <c r="C5523" i="1"/>
  <c r="E5523" i="1"/>
  <c r="F5523" i="1"/>
  <c r="H5523" i="1"/>
  <c r="I5523" i="1"/>
  <c r="J5523" i="1"/>
  <c r="L5523" i="1"/>
  <c r="M5523" i="1"/>
  <c r="C5524" i="1"/>
  <c r="E5524" i="1"/>
  <c r="F5524" i="1"/>
  <c r="H5524" i="1"/>
  <c r="I5524" i="1"/>
  <c r="J5524" i="1"/>
  <c r="L5524" i="1"/>
  <c r="M5524" i="1"/>
  <c r="C5525" i="1"/>
  <c r="E5525" i="1"/>
  <c r="F5525" i="1"/>
  <c r="H5525" i="1"/>
  <c r="I5525" i="1"/>
  <c r="J5525" i="1"/>
  <c r="L5525" i="1"/>
  <c r="M5525" i="1"/>
  <c r="C5526" i="1"/>
  <c r="E5526" i="1"/>
  <c r="F5526" i="1"/>
  <c r="H5526" i="1"/>
  <c r="I5526" i="1"/>
  <c r="J5526" i="1"/>
  <c r="L5526" i="1"/>
  <c r="M5526" i="1"/>
  <c r="C5527" i="1"/>
  <c r="E5527" i="1"/>
  <c r="F5527" i="1"/>
  <c r="H5527" i="1"/>
  <c r="I5527" i="1"/>
  <c r="J5527" i="1"/>
  <c r="L5527" i="1"/>
  <c r="M5527" i="1"/>
  <c r="C5528" i="1"/>
  <c r="E5528" i="1"/>
  <c r="F5528" i="1"/>
  <c r="H5528" i="1"/>
  <c r="I5528" i="1"/>
  <c r="J5528" i="1"/>
  <c r="L5528" i="1"/>
  <c r="M5528" i="1"/>
  <c r="C5529" i="1"/>
  <c r="E5529" i="1"/>
  <c r="F5529" i="1"/>
  <c r="H5529" i="1"/>
  <c r="I5529" i="1"/>
  <c r="J5529" i="1"/>
  <c r="L5529" i="1"/>
  <c r="M5529" i="1"/>
  <c r="C5530" i="1"/>
  <c r="E5530" i="1"/>
  <c r="F5530" i="1"/>
  <c r="H5530" i="1"/>
  <c r="I5530" i="1"/>
  <c r="J5530" i="1"/>
  <c r="L5530" i="1"/>
  <c r="M5530" i="1"/>
  <c r="C5531" i="1"/>
  <c r="E5531" i="1"/>
  <c r="F5531" i="1"/>
  <c r="H5531" i="1"/>
  <c r="I5531" i="1"/>
  <c r="J5531" i="1"/>
  <c r="L5531" i="1"/>
  <c r="M5531" i="1"/>
  <c r="C5532" i="1"/>
  <c r="E5532" i="1"/>
  <c r="F5532" i="1"/>
  <c r="H5532" i="1"/>
  <c r="I5532" i="1"/>
  <c r="J5532" i="1"/>
  <c r="L5532" i="1"/>
  <c r="M5532" i="1"/>
  <c r="C5533" i="1"/>
  <c r="E5533" i="1"/>
  <c r="F5533" i="1"/>
  <c r="H5533" i="1"/>
  <c r="I5533" i="1"/>
  <c r="J5533" i="1"/>
  <c r="L5533" i="1"/>
  <c r="M5533" i="1"/>
  <c r="C5534" i="1"/>
  <c r="E5534" i="1"/>
  <c r="F5534" i="1"/>
  <c r="H5534" i="1"/>
  <c r="I5534" i="1"/>
  <c r="J5534" i="1"/>
  <c r="L5534" i="1"/>
  <c r="M5534" i="1"/>
  <c r="C5535" i="1"/>
  <c r="E5535" i="1"/>
  <c r="F5535" i="1"/>
  <c r="H5535" i="1"/>
  <c r="I5535" i="1"/>
  <c r="J5535" i="1"/>
  <c r="L5535" i="1"/>
  <c r="M5535" i="1"/>
  <c r="C5536" i="1"/>
  <c r="E5536" i="1"/>
  <c r="F5536" i="1"/>
  <c r="H5536" i="1"/>
  <c r="I5536" i="1"/>
  <c r="J5536" i="1"/>
  <c r="L5536" i="1"/>
  <c r="M5536" i="1"/>
  <c r="C5537" i="1"/>
  <c r="E5537" i="1"/>
  <c r="F5537" i="1"/>
  <c r="H5537" i="1"/>
  <c r="I5537" i="1"/>
  <c r="J5537" i="1"/>
  <c r="L5537" i="1"/>
  <c r="M5537" i="1"/>
  <c r="C5538" i="1"/>
  <c r="E5538" i="1"/>
  <c r="F5538" i="1"/>
  <c r="H5538" i="1"/>
  <c r="I5538" i="1"/>
  <c r="J5538" i="1"/>
  <c r="L5538" i="1"/>
  <c r="M5538" i="1"/>
  <c r="C5539" i="1"/>
  <c r="E5539" i="1"/>
  <c r="F5539" i="1"/>
  <c r="H5539" i="1"/>
  <c r="I5539" i="1"/>
  <c r="J5539" i="1"/>
  <c r="L5539" i="1"/>
  <c r="M5539" i="1"/>
  <c r="C5540" i="1"/>
  <c r="E5540" i="1"/>
  <c r="F5540" i="1"/>
  <c r="H5540" i="1"/>
  <c r="I5540" i="1"/>
  <c r="J5540" i="1"/>
  <c r="L5540" i="1"/>
  <c r="M5540" i="1"/>
  <c r="C5541" i="1"/>
  <c r="E5541" i="1"/>
  <c r="F5541" i="1"/>
  <c r="H5541" i="1"/>
  <c r="I5541" i="1"/>
  <c r="J5541" i="1"/>
  <c r="L5541" i="1"/>
  <c r="M5541" i="1"/>
  <c r="C5542" i="1"/>
  <c r="E5542" i="1"/>
  <c r="F5542" i="1"/>
  <c r="H5542" i="1"/>
  <c r="I5542" i="1"/>
  <c r="J5542" i="1"/>
  <c r="L5542" i="1"/>
  <c r="M5542" i="1"/>
  <c r="C5543" i="1"/>
  <c r="E5543" i="1"/>
  <c r="F5543" i="1"/>
  <c r="H5543" i="1"/>
  <c r="I5543" i="1"/>
  <c r="J5543" i="1"/>
  <c r="L5543" i="1"/>
  <c r="M5543" i="1"/>
  <c r="C5544" i="1"/>
  <c r="E5544" i="1"/>
  <c r="F5544" i="1"/>
  <c r="H5544" i="1"/>
  <c r="I5544" i="1"/>
  <c r="J5544" i="1"/>
  <c r="L5544" i="1"/>
  <c r="M5544" i="1"/>
  <c r="C5545" i="1"/>
  <c r="E5545" i="1"/>
  <c r="F5545" i="1"/>
  <c r="H5545" i="1"/>
  <c r="I5545" i="1"/>
  <c r="J5545" i="1"/>
  <c r="L5545" i="1"/>
  <c r="M5545" i="1"/>
  <c r="C5546" i="1"/>
  <c r="E5546" i="1"/>
  <c r="F5546" i="1"/>
  <c r="H5546" i="1"/>
  <c r="I5546" i="1"/>
  <c r="J5546" i="1"/>
  <c r="L5546" i="1"/>
  <c r="M5546" i="1"/>
  <c r="C5547" i="1"/>
  <c r="E5547" i="1"/>
  <c r="F5547" i="1"/>
  <c r="H5547" i="1"/>
  <c r="I5547" i="1"/>
  <c r="J5547" i="1"/>
  <c r="L5547" i="1"/>
  <c r="M5547" i="1"/>
  <c r="C5548" i="1"/>
  <c r="E5548" i="1"/>
  <c r="F5548" i="1"/>
  <c r="H5548" i="1"/>
  <c r="I5548" i="1"/>
  <c r="J5548" i="1"/>
  <c r="L5548" i="1"/>
  <c r="M5548" i="1"/>
  <c r="C5549" i="1"/>
  <c r="E5549" i="1"/>
  <c r="F5549" i="1"/>
  <c r="H5549" i="1"/>
  <c r="I5549" i="1"/>
  <c r="J5549" i="1"/>
  <c r="L5549" i="1"/>
  <c r="M5549" i="1"/>
  <c r="C5550" i="1"/>
  <c r="E5550" i="1"/>
  <c r="F5550" i="1"/>
  <c r="H5550" i="1"/>
  <c r="I5550" i="1"/>
  <c r="J5550" i="1"/>
  <c r="L5550" i="1"/>
  <c r="M5550" i="1"/>
  <c r="C5551" i="1"/>
  <c r="E5551" i="1"/>
  <c r="F5551" i="1"/>
  <c r="H5551" i="1"/>
  <c r="I5551" i="1"/>
  <c r="J5551" i="1"/>
  <c r="L5551" i="1"/>
  <c r="M5551" i="1"/>
  <c r="C5552" i="1"/>
  <c r="E5552" i="1"/>
  <c r="F5552" i="1"/>
  <c r="H5552" i="1"/>
  <c r="I5552" i="1"/>
  <c r="J5552" i="1"/>
  <c r="L5552" i="1"/>
  <c r="M5552" i="1"/>
  <c r="C5553" i="1"/>
  <c r="E5553" i="1"/>
  <c r="F5553" i="1"/>
  <c r="H5553" i="1"/>
  <c r="I5553" i="1"/>
  <c r="J5553" i="1"/>
  <c r="L5553" i="1"/>
  <c r="M5553" i="1"/>
  <c r="C5554" i="1"/>
  <c r="E5554" i="1"/>
  <c r="F5554" i="1"/>
  <c r="H5554" i="1"/>
  <c r="I5554" i="1"/>
  <c r="J5554" i="1"/>
  <c r="L5554" i="1"/>
  <c r="M5554" i="1"/>
  <c r="C5555" i="1"/>
  <c r="E5555" i="1"/>
  <c r="F5555" i="1"/>
  <c r="H5555" i="1"/>
  <c r="I5555" i="1"/>
  <c r="J5555" i="1"/>
  <c r="L5555" i="1"/>
  <c r="M5555" i="1"/>
  <c r="C5556" i="1"/>
  <c r="E5556" i="1"/>
  <c r="F5556" i="1"/>
  <c r="H5556" i="1"/>
  <c r="I5556" i="1"/>
  <c r="J5556" i="1"/>
  <c r="L5556" i="1"/>
  <c r="M5556" i="1"/>
  <c r="C5557" i="1"/>
  <c r="E5557" i="1"/>
  <c r="F5557" i="1"/>
  <c r="H5557" i="1"/>
  <c r="I5557" i="1"/>
  <c r="J5557" i="1"/>
  <c r="L5557" i="1"/>
  <c r="M5557" i="1"/>
  <c r="C5558" i="1"/>
  <c r="E5558" i="1"/>
  <c r="F5558" i="1"/>
  <c r="H5558" i="1"/>
  <c r="I5558" i="1"/>
  <c r="J5558" i="1"/>
  <c r="L5558" i="1"/>
  <c r="M5558" i="1"/>
  <c r="C5559" i="1"/>
  <c r="E5559" i="1"/>
  <c r="F5559" i="1"/>
  <c r="H5559" i="1"/>
  <c r="I5559" i="1"/>
  <c r="J5559" i="1"/>
  <c r="L5559" i="1"/>
  <c r="M5559" i="1"/>
  <c r="C5560" i="1"/>
  <c r="E5560" i="1"/>
  <c r="F5560" i="1"/>
  <c r="H5560" i="1"/>
  <c r="I5560" i="1"/>
  <c r="J5560" i="1"/>
  <c r="L5560" i="1"/>
  <c r="M5560" i="1"/>
  <c r="C5561" i="1"/>
  <c r="E5561" i="1"/>
  <c r="F5561" i="1"/>
  <c r="H5561" i="1"/>
  <c r="I5561" i="1"/>
  <c r="J5561" i="1"/>
  <c r="L5561" i="1"/>
  <c r="M5561" i="1"/>
  <c r="C5562" i="1"/>
  <c r="E5562" i="1"/>
  <c r="F5562" i="1"/>
  <c r="H5562" i="1"/>
  <c r="I5562" i="1"/>
  <c r="J5562" i="1"/>
  <c r="L5562" i="1"/>
  <c r="M5562" i="1"/>
  <c r="C5563" i="1"/>
  <c r="E5563" i="1"/>
  <c r="F5563" i="1"/>
  <c r="H5563" i="1"/>
  <c r="I5563" i="1"/>
  <c r="J5563" i="1"/>
  <c r="L5563" i="1"/>
  <c r="M5563" i="1"/>
  <c r="C5564" i="1"/>
  <c r="E5564" i="1"/>
  <c r="F5564" i="1"/>
  <c r="H5564" i="1"/>
  <c r="I5564" i="1"/>
  <c r="J5564" i="1"/>
  <c r="L5564" i="1"/>
  <c r="M5564" i="1"/>
  <c r="C5565" i="1"/>
  <c r="E5565" i="1"/>
  <c r="F5565" i="1"/>
  <c r="H5565" i="1"/>
  <c r="I5565" i="1"/>
  <c r="J5565" i="1"/>
  <c r="L5565" i="1"/>
  <c r="M5565" i="1"/>
  <c r="C5566" i="1"/>
  <c r="E5566" i="1"/>
  <c r="F5566" i="1"/>
  <c r="H5566" i="1"/>
  <c r="I5566" i="1"/>
  <c r="J5566" i="1"/>
  <c r="L5566" i="1"/>
  <c r="M5566" i="1"/>
  <c r="C5567" i="1"/>
  <c r="E5567" i="1"/>
  <c r="F5567" i="1"/>
  <c r="H5567" i="1"/>
  <c r="I5567" i="1"/>
  <c r="J5567" i="1"/>
  <c r="L5567" i="1"/>
  <c r="M5567" i="1"/>
  <c r="C5568" i="1"/>
  <c r="E5568" i="1"/>
  <c r="F5568" i="1"/>
  <c r="H5568" i="1"/>
  <c r="I5568" i="1"/>
  <c r="J5568" i="1"/>
  <c r="L5568" i="1"/>
  <c r="M5568" i="1"/>
  <c r="C5569" i="1"/>
  <c r="E5569" i="1"/>
  <c r="F5569" i="1"/>
  <c r="H5569" i="1"/>
  <c r="I5569" i="1"/>
  <c r="J5569" i="1"/>
  <c r="L5569" i="1"/>
  <c r="M5569" i="1"/>
  <c r="C5570" i="1"/>
  <c r="E5570" i="1"/>
  <c r="F5570" i="1"/>
  <c r="H5570" i="1"/>
  <c r="I5570" i="1"/>
  <c r="J5570" i="1"/>
  <c r="L5570" i="1"/>
  <c r="M5570" i="1"/>
  <c r="C5571" i="1"/>
  <c r="E5571" i="1"/>
  <c r="F5571" i="1"/>
  <c r="H5571" i="1"/>
  <c r="I5571" i="1"/>
  <c r="J5571" i="1"/>
  <c r="L5571" i="1"/>
  <c r="M5571" i="1"/>
  <c r="C5572" i="1"/>
  <c r="E5572" i="1"/>
  <c r="F5572" i="1"/>
  <c r="H5572" i="1"/>
  <c r="I5572" i="1"/>
  <c r="J5572" i="1"/>
  <c r="L5572" i="1"/>
  <c r="M5572" i="1"/>
  <c r="C5573" i="1"/>
  <c r="E5573" i="1"/>
  <c r="F5573" i="1"/>
  <c r="H5573" i="1"/>
  <c r="I5573" i="1"/>
  <c r="J5573" i="1"/>
  <c r="L5573" i="1"/>
  <c r="M5573" i="1"/>
  <c r="C5574" i="1"/>
  <c r="E5574" i="1"/>
  <c r="F5574" i="1"/>
  <c r="H5574" i="1"/>
  <c r="I5574" i="1"/>
  <c r="J5574" i="1"/>
  <c r="L5574" i="1"/>
  <c r="M5574" i="1"/>
  <c r="C5575" i="1"/>
  <c r="E5575" i="1"/>
  <c r="F5575" i="1"/>
  <c r="H5575" i="1"/>
  <c r="I5575" i="1"/>
  <c r="J5575" i="1"/>
  <c r="L5575" i="1"/>
  <c r="M5575" i="1"/>
  <c r="C5576" i="1"/>
  <c r="E5576" i="1"/>
  <c r="F5576" i="1"/>
  <c r="H5576" i="1"/>
  <c r="I5576" i="1"/>
  <c r="J5576" i="1"/>
  <c r="L5576" i="1"/>
  <c r="M5576" i="1"/>
  <c r="C5577" i="1"/>
  <c r="E5577" i="1"/>
  <c r="F5577" i="1"/>
  <c r="H5577" i="1"/>
  <c r="I5577" i="1"/>
  <c r="J5577" i="1"/>
  <c r="L5577" i="1"/>
  <c r="M5577" i="1"/>
  <c r="C5578" i="1"/>
  <c r="E5578" i="1"/>
  <c r="F5578" i="1"/>
  <c r="H5578" i="1"/>
  <c r="I5578" i="1"/>
  <c r="J5578" i="1"/>
  <c r="L5578" i="1"/>
  <c r="M5578" i="1"/>
  <c r="C5579" i="1"/>
  <c r="E5579" i="1"/>
  <c r="F5579" i="1"/>
  <c r="H5579" i="1"/>
  <c r="I5579" i="1"/>
  <c r="J5579" i="1"/>
  <c r="L5579" i="1"/>
  <c r="M5579" i="1"/>
  <c r="C5580" i="1"/>
  <c r="E5580" i="1"/>
  <c r="F5580" i="1"/>
  <c r="H5580" i="1"/>
  <c r="I5580" i="1"/>
  <c r="J5580" i="1"/>
  <c r="L5580" i="1"/>
  <c r="M5580" i="1"/>
  <c r="C5581" i="1"/>
  <c r="E5581" i="1"/>
  <c r="F5581" i="1"/>
  <c r="H5581" i="1"/>
  <c r="I5581" i="1"/>
  <c r="J5581" i="1"/>
  <c r="L5581" i="1"/>
  <c r="M5581" i="1"/>
  <c r="C5582" i="1"/>
  <c r="E5582" i="1"/>
  <c r="F5582" i="1"/>
  <c r="H5582" i="1"/>
  <c r="I5582" i="1"/>
  <c r="J5582" i="1"/>
  <c r="L5582" i="1"/>
  <c r="M5582" i="1"/>
  <c r="C5583" i="1"/>
  <c r="E5583" i="1"/>
  <c r="F5583" i="1"/>
  <c r="H5583" i="1"/>
  <c r="I5583" i="1"/>
  <c r="J5583" i="1"/>
  <c r="L5583" i="1"/>
  <c r="M5583" i="1"/>
  <c r="C5584" i="1"/>
  <c r="E5584" i="1"/>
  <c r="F5584" i="1"/>
  <c r="H5584" i="1"/>
  <c r="I5584" i="1"/>
  <c r="J5584" i="1"/>
  <c r="L5584" i="1"/>
  <c r="M5584" i="1"/>
  <c r="C5585" i="1"/>
  <c r="E5585" i="1"/>
  <c r="F5585" i="1"/>
  <c r="H5585" i="1"/>
  <c r="I5585" i="1"/>
  <c r="J5585" i="1"/>
  <c r="L5585" i="1"/>
  <c r="M5585" i="1"/>
  <c r="C5586" i="1"/>
  <c r="E5586" i="1"/>
  <c r="F5586" i="1"/>
  <c r="H5586" i="1"/>
  <c r="I5586" i="1"/>
  <c r="J5586" i="1"/>
  <c r="L5586" i="1"/>
  <c r="M5586" i="1"/>
  <c r="C5587" i="1"/>
  <c r="E5587" i="1"/>
  <c r="F5587" i="1"/>
  <c r="H5587" i="1"/>
  <c r="I5587" i="1"/>
  <c r="J5587" i="1"/>
  <c r="L5587" i="1"/>
  <c r="M5587" i="1"/>
  <c r="C5588" i="1"/>
  <c r="E5588" i="1"/>
  <c r="F5588" i="1"/>
  <c r="H5588" i="1"/>
  <c r="I5588" i="1"/>
  <c r="J5588" i="1"/>
  <c r="L5588" i="1"/>
  <c r="M5588" i="1"/>
  <c r="C5589" i="1"/>
  <c r="E5589" i="1"/>
  <c r="F5589" i="1"/>
  <c r="H5589" i="1"/>
  <c r="I5589" i="1"/>
  <c r="J5589" i="1"/>
  <c r="L5589" i="1"/>
  <c r="M5589" i="1"/>
  <c r="C5590" i="1"/>
  <c r="E5590" i="1"/>
  <c r="F5590" i="1"/>
  <c r="H5590" i="1"/>
  <c r="I5590" i="1"/>
  <c r="J5590" i="1"/>
  <c r="L5590" i="1"/>
  <c r="M5590" i="1"/>
  <c r="C5591" i="1"/>
  <c r="E5591" i="1"/>
  <c r="F5591" i="1"/>
  <c r="H5591" i="1"/>
  <c r="I5591" i="1"/>
  <c r="J5591" i="1"/>
  <c r="L5591" i="1"/>
  <c r="M5591" i="1"/>
  <c r="C5592" i="1"/>
  <c r="E5592" i="1"/>
  <c r="F5592" i="1"/>
  <c r="H5592" i="1"/>
  <c r="I5592" i="1"/>
  <c r="J5592" i="1"/>
  <c r="L5592" i="1"/>
  <c r="M5592" i="1"/>
  <c r="C5593" i="1"/>
  <c r="E5593" i="1"/>
  <c r="F5593" i="1"/>
  <c r="H5593" i="1"/>
  <c r="I5593" i="1"/>
  <c r="J5593" i="1"/>
  <c r="L5593" i="1"/>
  <c r="M5593" i="1"/>
  <c r="C5594" i="1"/>
  <c r="E5594" i="1"/>
  <c r="F5594" i="1"/>
  <c r="H5594" i="1"/>
  <c r="I5594" i="1"/>
  <c r="J5594" i="1"/>
  <c r="L5594" i="1"/>
  <c r="M5594" i="1"/>
  <c r="C5595" i="1"/>
  <c r="E5595" i="1"/>
  <c r="F5595" i="1"/>
  <c r="H5595" i="1"/>
  <c r="I5595" i="1"/>
  <c r="J5595" i="1"/>
  <c r="L5595" i="1"/>
  <c r="M5595" i="1"/>
  <c r="C5596" i="1"/>
  <c r="E5596" i="1"/>
  <c r="F5596" i="1"/>
  <c r="H5596" i="1"/>
  <c r="I5596" i="1"/>
  <c r="J5596" i="1"/>
  <c r="L5596" i="1"/>
  <c r="M5596" i="1"/>
  <c r="C5597" i="1"/>
  <c r="E5597" i="1"/>
  <c r="F5597" i="1"/>
  <c r="H5597" i="1"/>
  <c r="I5597" i="1"/>
  <c r="J5597" i="1"/>
  <c r="L5597" i="1"/>
  <c r="M5597" i="1"/>
  <c r="C5598" i="1"/>
  <c r="E5598" i="1"/>
  <c r="F5598" i="1"/>
  <c r="H5598" i="1"/>
  <c r="I5598" i="1"/>
  <c r="J5598" i="1"/>
  <c r="L5598" i="1"/>
  <c r="M5598" i="1"/>
  <c r="C5599" i="1"/>
  <c r="E5599" i="1"/>
  <c r="F5599" i="1"/>
  <c r="H5599" i="1"/>
  <c r="I5599" i="1"/>
  <c r="J5599" i="1"/>
  <c r="L5599" i="1"/>
  <c r="M5599" i="1"/>
  <c r="C5600" i="1"/>
  <c r="E5600" i="1"/>
  <c r="F5600" i="1"/>
  <c r="H5600" i="1"/>
  <c r="I5600" i="1"/>
  <c r="J5600" i="1"/>
  <c r="L5600" i="1"/>
  <c r="M5600" i="1"/>
  <c r="C5601" i="1"/>
  <c r="E5601" i="1"/>
  <c r="F5601" i="1"/>
  <c r="H5601" i="1"/>
  <c r="I5601" i="1"/>
  <c r="J5601" i="1"/>
  <c r="L5601" i="1"/>
  <c r="M5601" i="1"/>
  <c r="C5602" i="1"/>
  <c r="E5602" i="1"/>
  <c r="F5602" i="1"/>
  <c r="H5602" i="1"/>
  <c r="I5602" i="1"/>
  <c r="J5602" i="1"/>
  <c r="L5602" i="1"/>
  <c r="M5602" i="1"/>
  <c r="C5603" i="1"/>
  <c r="E5603" i="1"/>
  <c r="F5603" i="1"/>
  <c r="H5603" i="1"/>
  <c r="I5603" i="1"/>
  <c r="J5603" i="1"/>
  <c r="L5603" i="1"/>
  <c r="M5603" i="1"/>
  <c r="C5604" i="1"/>
  <c r="E5604" i="1"/>
  <c r="F5604" i="1"/>
  <c r="H5604" i="1"/>
  <c r="I5604" i="1"/>
  <c r="J5604" i="1"/>
  <c r="L5604" i="1"/>
  <c r="M5604" i="1"/>
  <c r="C5605" i="1"/>
  <c r="E5605" i="1"/>
  <c r="F5605" i="1"/>
  <c r="H5605" i="1"/>
  <c r="I5605" i="1"/>
  <c r="J5605" i="1"/>
  <c r="L5605" i="1"/>
  <c r="M5605" i="1"/>
  <c r="C5606" i="1"/>
  <c r="E5606" i="1"/>
  <c r="F5606" i="1"/>
  <c r="H5606" i="1"/>
  <c r="I5606" i="1"/>
  <c r="J5606" i="1"/>
  <c r="L5606" i="1"/>
  <c r="M5606" i="1"/>
  <c r="C5607" i="1"/>
  <c r="E5607" i="1"/>
  <c r="F5607" i="1"/>
  <c r="H5607" i="1"/>
  <c r="I5607" i="1"/>
  <c r="J5607" i="1"/>
  <c r="L5607" i="1"/>
  <c r="M5607" i="1"/>
  <c r="C5608" i="1"/>
  <c r="E5608" i="1"/>
  <c r="F5608" i="1"/>
  <c r="H5608" i="1"/>
  <c r="I5608" i="1"/>
  <c r="J5608" i="1"/>
  <c r="L5608" i="1"/>
  <c r="M5608" i="1"/>
  <c r="C5609" i="1"/>
  <c r="E5609" i="1"/>
  <c r="F5609" i="1"/>
  <c r="H5609" i="1"/>
  <c r="I5609" i="1"/>
  <c r="J5609" i="1"/>
  <c r="L5609" i="1"/>
  <c r="M5609" i="1"/>
  <c r="C5610" i="1"/>
  <c r="E5610" i="1"/>
  <c r="F5610" i="1"/>
  <c r="H5610" i="1"/>
  <c r="I5610" i="1"/>
  <c r="J5610" i="1"/>
  <c r="L5610" i="1"/>
  <c r="M5610" i="1"/>
  <c r="C5611" i="1"/>
  <c r="E5611" i="1"/>
  <c r="F5611" i="1"/>
  <c r="H5611" i="1"/>
  <c r="I5611" i="1"/>
  <c r="J5611" i="1"/>
  <c r="L5611" i="1"/>
  <c r="M5611" i="1"/>
  <c r="C5612" i="1"/>
  <c r="E5612" i="1"/>
  <c r="F5612" i="1"/>
  <c r="H5612" i="1"/>
  <c r="I5612" i="1"/>
  <c r="J5612" i="1"/>
  <c r="L5612" i="1"/>
  <c r="M5612" i="1"/>
  <c r="C5613" i="1"/>
  <c r="E5613" i="1"/>
  <c r="F5613" i="1"/>
  <c r="H5613" i="1"/>
  <c r="I5613" i="1"/>
  <c r="J5613" i="1"/>
  <c r="L5613" i="1"/>
  <c r="M5613" i="1"/>
  <c r="C5614" i="1"/>
  <c r="E5614" i="1"/>
  <c r="F5614" i="1"/>
  <c r="H5614" i="1"/>
  <c r="I5614" i="1"/>
  <c r="J5614" i="1"/>
  <c r="L5614" i="1"/>
  <c r="M5614" i="1"/>
  <c r="C5615" i="1"/>
  <c r="E5615" i="1"/>
  <c r="F5615" i="1"/>
  <c r="H5615" i="1"/>
  <c r="I5615" i="1"/>
  <c r="J5615" i="1"/>
  <c r="L5615" i="1"/>
  <c r="M5615" i="1"/>
  <c r="C5616" i="1"/>
  <c r="E5616" i="1"/>
  <c r="F5616" i="1"/>
  <c r="H5616" i="1"/>
  <c r="I5616" i="1"/>
  <c r="J5616" i="1"/>
  <c r="L5616" i="1"/>
  <c r="M5616" i="1"/>
  <c r="C5617" i="1"/>
  <c r="E5617" i="1"/>
  <c r="F5617" i="1"/>
  <c r="H5617" i="1"/>
  <c r="I5617" i="1"/>
  <c r="J5617" i="1"/>
  <c r="L5617" i="1"/>
  <c r="M5617" i="1"/>
  <c r="C5618" i="1"/>
  <c r="E5618" i="1"/>
  <c r="F5618" i="1"/>
  <c r="H5618" i="1"/>
  <c r="I5618" i="1"/>
  <c r="J5618" i="1"/>
  <c r="L5618" i="1"/>
  <c r="M5618" i="1"/>
  <c r="C5619" i="1"/>
  <c r="E5619" i="1"/>
  <c r="F5619" i="1"/>
  <c r="H5619" i="1"/>
  <c r="I5619" i="1"/>
  <c r="J5619" i="1"/>
  <c r="L5619" i="1"/>
  <c r="M5619" i="1"/>
  <c r="C5620" i="1"/>
  <c r="E5620" i="1"/>
  <c r="F5620" i="1"/>
  <c r="H5620" i="1"/>
  <c r="I5620" i="1"/>
  <c r="J5620" i="1"/>
  <c r="L5620" i="1"/>
  <c r="M5620" i="1"/>
  <c r="C5621" i="1"/>
  <c r="E5621" i="1"/>
  <c r="F5621" i="1"/>
  <c r="H5621" i="1"/>
  <c r="I5621" i="1"/>
  <c r="J5621" i="1"/>
  <c r="L5621" i="1"/>
  <c r="M5621" i="1"/>
  <c r="C5622" i="1"/>
  <c r="E5622" i="1"/>
  <c r="F5622" i="1"/>
  <c r="H5622" i="1"/>
  <c r="I5622" i="1"/>
  <c r="J5622" i="1"/>
  <c r="L5622" i="1"/>
  <c r="M5622" i="1"/>
  <c r="C5623" i="1"/>
  <c r="E5623" i="1"/>
  <c r="F5623" i="1"/>
  <c r="H5623" i="1"/>
  <c r="I5623" i="1"/>
  <c r="J5623" i="1"/>
  <c r="L5623" i="1"/>
  <c r="M5623" i="1"/>
  <c r="C5624" i="1"/>
  <c r="E5624" i="1"/>
  <c r="F5624" i="1"/>
  <c r="H5624" i="1"/>
  <c r="I5624" i="1"/>
  <c r="J5624" i="1"/>
  <c r="L5624" i="1"/>
  <c r="M5624" i="1"/>
  <c r="C5625" i="1"/>
  <c r="E5625" i="1"/>
  <c r="F5625" i="1"/>
  <c r="H5625" i="1"/>
  <c r="I5625" i="1"/>
  <c r="J5625" i="1"/>
  <c r="L5625" i="1"/>
  <c r="M5625" i="1"/>
  <c r="C5626" i="1"/>
  <c r="E5626" i="1"/>
  <c r="F5626" i="1"/>
  <c r="H5626" i="1"/>
  <c r="I5626" i="1"/>
  <c r="J5626" i="1"/>
  <c r="L5626" i="1"/>
  <c r="M5626" i="1"/>
  <c r="C5627" i="1"/>
  <c r="E5627" i="1"/>
  <c r="F5627" i="1"/>
  <c r="H5627" i="1"/>
  <c r="I5627" i="1"/>
  <c r="J5627" i="1"/>
  <c r="L5627" i="1"/>
  <c r="M5627" i="1"/>
  <c r="C5628" i="1"/>
  <c r="E5628" i="1"/>
  <c r="F5628" i="1"/>
  <c r="H5628" i="1"/>
  <c r="I5628" i="1"/>
  <c r="J5628" i="1"/>
  <c r="L5628" i="1"/>
  <c r="M5628" i="1"/>
  <c r="C5629" i="1"/>
  <c r="E5629" i="1"/>
  <c r="F5629" i="1"/>
  <c r="H5629" i="1"/>
  <c r="I5629" i="1"/>
  <c r="J5629" i="1"/>
  <c r="L5629" i="1"/>
  <c r="M5629" i="1"/>
  <c r="C5630" i="1"/>
  <c r="E5630" i="1"/>
  <c r="F5630" i="1"/>
  <c r="H5630" i="1"/>
  <c r="I5630" i="1"/>
  <c r="J5630" i="1"/>
  <c r="L5630" i="1"/>
  <c r="M5630" i="1"/>
  <c r="C5631" i="1"/>
  <c r="E5631" i="1"/>
  <c r="F5631" i="1"/>
  <c r="H5631" i="1"/>
  <c r="I5631" i="1"/>
  <c r="J5631" i="1"/>
  <c r="L5631" i="1"/>
  <c r="M5631" i="1"/>
  <c r="C5632" i="1"/>
  <c r="E5632" i="1"/>
  <c r="F5632" i="1"/>
  <c r="H5632" i="1"/>
  <c r="I5632" i="1"/>
  <c r="J5632" i="1"/>
  <c r="L5632" i="1"/>
  <c r="M5632" i="1"/>
  <c r="C5633" i="1"/>
  <c r="E5633" i="1"/>
  <c r="F5633" i="1"/>
  <c r="H5633" i="1"/>
  <c r="I5633" i="1"/>
  <c r="J5633" i="1"/>
  <c r="L5633" i="1"/>
  <c r="M5633" i="1"/>
  <c r="C5634" i="1"/>
  <c r="E5634" i="1"/>
  <c r="F5634" i="1"/>
  <c r="H5634" i="1"/>
  <c r="I5634" i="1"/>
  <c r="J5634" i="1"/>
  <c r="L5634" i="1"/>
  <c r="M5634" i="1"/>
  <c r="C5635" i="1"/>
  <c r="E5635" i="1"/>
  <c r="F5635" i="1"/>
  <c r="H5635" i="1"/>
  <c r="I5635" i="1"/>
  <c r="J5635" i="1"/>
  <c r="L5635" i="1"/>
  <c r="M5635" i="1"/>
  <c r="C5636" i="1"/>
  <c r="E5636" i="1"/>
  <c r="F5636" i="1"/>
  <c r="H5636" i="1"/>
  <c r="I5636" i="1"/>
  <c r="J5636" i="1"/>
  <c r="L5636" i="1"/>
  <c r="M5636" i="1"/>
  <c r="C5637" i="1"/>
  <c r="E5637" i="1"/>
  <c r="F5637" i="1"/>
  <c r="H5637" i="1"/>
  <c r="I5637" i="1"/>
  <c r="J5637" i="1"/>
  <c r="L5637" i="1"/>
  <c r="M5637" i="1"/>
  <c r="C5638" i="1"/>
  <c r="E5638" i="1"/>
  <c r="F5638" i="1"/>
  <c r="H5638" i="1"/>
  <c r="I5638" i="1"/>
  <c r="J5638" i="1"/>
  <c r="L5638" i="1"/>
  <c r="M5638" i="1"/>
  <c r="C5639" i="1"/>
  <c r="E5639" i="1"/>
  <c r="F5639" i="1"/>
  <c r="H5639" i="1"/>
  <c r="I5639" i="1"/>
  <c r="J5639" i="1"/>
  <c r="L5639" i="1"/>
  <c r="M5639" i="1"/>
  <c r="C5640" i="1"/>
  <c r="E5640" i="1"/>
  <c r="F5640" i="1"/>
  <c r="H5640" i="1"/>
  <c r="I5640" i="1"/>
  <c r="J5640" i="1"/>
  <c r="L5640" i="1"/>
  <c r="M5640" i="1"/>
  <c r="C5641" i="1"/>
  <c r="E5641" i="1"/>
  <c r="F5641" i="1"/>
  <c r="H5641" i="1"/>
  <c r="I5641" i="1"/>
  <c r="J5641" i="1"/>
  <c r="L5641" i="1"/>
  <c r="M5641" i="1"/>
  <c r="C5642" i="1"/>
  <c r="E5642" i="1"/>
  <c r="F5642" i="1"/>
  <c r="H5642" i="1"/>
  <c r="I5642" i="1"/>
  <c r="J5642" i="1"/>
  <c r="L5642" i="1"/>
  <c r="M5642" i="1"/>
  <c r="C5643" i="1"/>
  <c r="E5643" i="1"/>
  <c r="F5643" i="1"/>
  <c r="H5643" i="1"/>
  <c r="I5643" i="1"/>
  <c r="J5643" i="1"/>
  <c r="L5643" i="1"/>
  <c r="M5643" i="1"/>
  <c r="C5644" i="1"/>
  <c r="E5644" i="1"/>
  <c r="F5644" i="1"/>
  <c r="H5644" i="1"/>
  <c r="I5644" i="1"/>
  <c r="J5644" i="1"/>
  <c r="L5644" i="1"/>
  <c r="M5644" i="1"/>
  <c r="C5645" i="1"/>
  <c r="E5645" i="1"/>
  <c r="F5645" i="1"/>
  <c r="H5645" i="1"/>
  <c r="I5645" i="1"/>
  <c r="J5645" i="1"/>
  <c r="L5645" i="1"/>
  <c r="M5645" i="1"/>
  <c r="C5646" i="1"/>
  <c r="E5646" i="1"/>
  <c r="F5646" i="1"/>
  <c r="H5646" i="1"/>
  <c r="I5646" i="1"/>
  <c r="J5646" i="1"/>
  <c r="L5646" i="1"/>
  <c r="M5646" i="1"/>
  <c r="C5647" i="1"/>
  <c r="E5647" i="1"/>
  <c r="F5647" i="1"/>
  <c r="H5647" i="1"/>
  <c r="I5647" i="1"/>
  <c r="J5647" i="1"/>
  <c r="L5647" i="1"/>
  <c r="M5647" i="1"/>
  <c r="C5648" i="1"/>
  <c r="E5648" i="1"/>
  <c r="F5648" i="1"/>
  <c r="H5648" i="1"/>
  <c r="I5648" i="1"/>
  <c r="J5648" i="1"/>
  <c r="L5648" i="1"/>
  <c r="M5648" i="1"/>
  <c r="C5649" i="1"/>
  <c r="E5649" i="1"/>
  <c r="F5649" i="1"/>
  <c r="H5649" i="1"/>
  <c r="I5649" i="1"/>
  <c r="J5649" i="1"/>
  <c r="L5649" i="1"/>
  <c r="M5649" i="1"/>
  <c r="C5650" i="1"/>
  <c r="E5650" i="1"/>
  <c r="F5650" i="1"/>
  <c r="H5650" i="1"/>
  <c r="I5650" i="1"/>
  <c r="J5650" i="1"/>
  <c r="L5650" i="1"/>
  <c r="M5650" i="1"/>
  <c r="C5651" i="1"/>
  <c r="E5651" i="1"/>
  <c r="F5651" i="1"/>
  <c r="H5651" i="1"/>
  <c r="I5651" i="1"/>
  <c r="J5651" i="1"/>
  <c r="L5651" i="1"/>
  <c r="M5651" i="1"/>
  <c r="C5652" i="1"/>
  <c r="E5652" i="1"/>
  <c r="F5652" i="1"/>
  <c r="H5652" i="1"/>
  <c r="I5652" i="1"/>
  <c r="J5652" i="1"/>
  <c r="L5652" i="1"/>
  <c r="M5652" i="1"/>
  <c r="C5653" i="1"/>
  <c r="E5653" i="1"/>
  <c r="F5653" i="1"/>
  <c r="H5653" i="1"/>
  <c r="I5653" i="1"/>
  <c r="J5653" i="1"/>
  <c r="L5653" i="1"/>
  <c r="M5653" i="1"/>
  <c r="C5654" i="1"/>
  <c r="E5654" i="1"/>
  <c r="F5654" i="1"/>
  <c r="H5654" i="1"/>
  <c r="I5654" i="1"/>
  <c r="J5654" i="1"/>
  <c r="L5654" i="1"/>
  <c r="M5654" i="1"/>
  <c r="C5655" i="1"/>
  <c r="E5655" i="1"/>
  <c r="F5655" i="1"/>
  <c r="H5655" i="1"/>
  <c r="I5655" i="1"/>
  <c r="J5655" i="1"/>
  <c r="L5655" i="1"/>
  <c r="M5655" i="1"/>
  <c r="C5656" i="1"/>
  <c r="E5656" i="1"/>
  <c r="F5656" i="1"/>
  <c r="H5656" i="1"/>
  <c r="I5656" i="1"/>
  <c r="J5656" i="1"/>
  <c r="L5656" i="1"/>
  <c r="M5656" i="1"/>
  <c r="C5657" i="1"/>
  <c r="E5657" i="1"/>
  <c r="F5657" i="1"/>
  <c r="H5657" i="1"/>
  <c r="I5657" i="1"/>
  <c r="J5657" i="1"/>
  <c r="L5657" i="1"/>
  <c r="M5657" i="1"/>
  <c r="C5658" i="1"/>
  <c r="E5658" i="1"/>
  <c r="F5658" i="1"/>
  <c r="H5658" i="1"/>
  <c r="I5658" i="1"/>
  <c r="J5658" i="1"/>
  <c r="L5658" i="1"/>
  <c r="M5658" i="1"/>
  <c r="C5659" i="1"/>
  <c r="E5659" i="1"/>
  <c r="F5659" i="1"/>
  <c r="H5659" i="1"/>
  <c r="I5659" i="1"/>
  <c r="J5659" i="1"/>
  <c r="L5659" i="1"/>
  <c r="M5659" i="1"/>
  <c r="C5660" i="1"/>
  <c r="E5660" i="1"/>
  <c r="F5660" i="1"/>
  <c r="H5660" i="1"/>
  <c r="I5660" i="1"/>
  <c r="J5660" i="1"/>
  <c r="L5660" i="1"/>
  <c r="M5660" i="1"/>
  <c r="C5661" i="1"/>
  <c r="E5661" i="1"/>
  <c r="F5661" i="1"/>
  <c r="H5661" i="1"/>
  <c r="I5661" i="1"/>
  <c r="J5661" i="1"/>
  <c r="L5661" i="1"/>
  <c r="M5661" i="1"/>
  <c r="C5662" i="1"/>
  <c r="E5662" i="1"/>
  <c r="F5662" i="1"/>
  <c r="H5662" i="1"/>
  <c r="I5662" i="1"/>
  <c r="J5662" i="1"/>
  <c r="L5662" i="1"/>
  <c r="M5662" i="1"/>
  <c r="C5663" i="1"/>
  <c r="E5663" i="1"/>
  <c r="F5663" i="1"/>
  <c r="H5663" i="1"/>
  <c r="I5663" i="1"/>
  <c r="J5663" i="1"/>
  <c r="L5663" i="1"/>
  <c r="M5663" i="1"/>
  <c r="C5664" i="1"/>
  <c r="E5664" i="1"/>
  <c r="F5664" i="1"/>
  <c r="H5664" i="1"/>
  <c r="I5664" i="1"/>
  <c r="J5664" i="1"/>
  <c r="L5664" i="1"/>
  <c r="M5664" i="1"/>
  <c r="C5665" i="1"/>
  <c r="E5665" i="1"/>
  <c r="F5665" i="1"/>
  <c r="H5665" i="1"/>
  <c r="I5665" i="1"/>
  <c r="J5665" i="1"/>
  <c r="L5665" i="1"/>
  <c r="M5665" i="1"/>
  <c r="C5666" i="1"/>
  <c r="E5666" i="1"/>
  <c r="F5666" i="1"/>
  <c r="H5666" i="1"/>
  <c r="I5666" i="1"/>
  <c r="J5666" i="1"/>
  <c r="L5666" i="1"/>
  <c r="M5666" i="1"/>
  <c r="C5667" i="1"/>
  <c r="E5667" i="1"/>
  <c r="F5667" i="1"/>
  <c r="H5667" i="1"/>
  <c r="I5667" i="1"/>
  <c r="J5667" i="1"/>
  <c r="L5667" i="1"/>
  <c r="M5667" i="1"/>
  <c r="C5668" i="1"/>
  <c r="E5668" i="1"/>
  <c r="F5668" i="1"/>
  <c r="H5668" i="1"/>
  <c r="I5668" i="1"/>
  <c r="J5668" i="1"/>
  <c r="L5668" i="1"/>
  <c r="M5668" i="1"/>
  <c r="C5669" i="1"/>
  <c r="E5669" i="1"/>
  <c r="F5669" i="1"/>
  <c r="H5669" i="1"/>
  <c r="I5669" i="1"/>
  <c r="J5669" i="1"/>
  <c r="L5669" i="1"/>
  <c r="M5669" i="1"/>
  <c r="C5670" i="1"/>
  <c r="E5670" i="1"/>
  <c r="F5670" i="1"/>
  <c r="H5670" i="1"/>
  <c r="I5670" i="1"/>
  <c r="J5670" i="1"/>
  <c r="L5670" i="1"/>
  <c r="M5670" i="1"/>
  <c r="C5671" i="1"/>
  <c r="E5671" i="1"/>
  <c r="F5671" i="1"/>
  <c r="H5671" i="1"/>
  <c r="I5671" i="1"/>
  <c r="J5671" i="1"/>
  <c r="L5671" i="1"/>
  <c r="M5671" i="1"/>
  <c r="C5672" i="1"/>
  <c r="E5672" i="1"/>
  <c r="F5672" i="1"/>
  <c r="H5672" i="1"/>
  <c r="I5672" i="1"/>
  <c r="J5672" i="1"/>
  <c r="L5672" i="1"/>
  <c r="M5672" i="1"/>
  <c r="C5673" i="1"/>
  <c r="E5673" i="1"/>
  <c r="F5673" i="1"/>
  <c r="H5673" i="1"/>
  <c r="I5673" i="1"/>
  <c r="J5673" i="1"/>
  <c r="L5673" i="1"/>
  <c r="M5673" i="1"/>
  <c r="C5674" i="1"/>
  <c r="E5674" i="1"/>
  <c r="F5674" i="1"/>
  <c r="H5674" i="1"/>
  <c r="I5674" i="1"/>
  <c r="J5674" i="1"/>
  <c r="L5674" i="1"/>
  <c r="M5674" i="1"/>
  <c r="C5675" i="1"/>
  <c r="E5675" i="1"/>
  <c r="F5675" i="1"/>
  <c r="H5675" i="1"/>
  <c r="I5675" i="1"/>
  <c r="J5675" i="1"/>
  <c r="L5675" i="1"/>
  <c r="M5675" i="1"/>
  <c r="C5676" i="1"/>
  <c r="E5676" i="1"/>
  <c r="F5676" i="1"/>
  <c r="H5676" i="1"/>
  <c r="I5676" i="1"/>
  <c r="J5676" i="1"/>
  <c r="L5676" i="1"/>
  <c r="M5676" i="1"/>
  <c r="C5677" i="1"/>
  <c r="E5677" i="1"/>
  <c r="F5677" i="1"/>
  <c r="H5677" i="1"/>
  <c r="I5677" i="1"/>
  <c r="J5677" i="1"/>
  <c r="L5677" i="1"/>
  <c r="M5677" i="1"/>
  <c r="C5678" i="1"/>
  <c r="E5678" i="1"/>
  <c r="F5678" i="1"/>
  <c r="H5678" i="1"/>
  <c r="I5678" i="1"/>
  <c r="J5678" i="1"/>
  <c r="L5678" i="1"/>
  <c r="M5678" i="1"/>
  <c r="C5679" i="1"/>
  <c r="E5679" i="1"/>
  <c r="F5679" i="1"/>
  <c r="H5679" i="1"/>
  <c r="I5679" i="1"/>
  <c r="J5679" i="1"/>
  <c r="L5679" i="1"/>
  <c r="M5679" i="1"/>
  <c r="C5680" i="1"/>
  <c r="E5680" i="1"/>
  <c r="F5680" i="1"/>
  <c r="H5680" i="1"/>
  <c r="I5680" i="1"/>
  <c r="J5680" i="1"/>
  <c r="L5680" i="1"/>
  <c r="M5680" i="1"/>
  <c r="C5681" i="1"/>
  <c r="E5681" i="1"/>
  <c r="F5681" i="1"/>
  <c r="H5681" i="1"/>
  <c r="I5681" i="1"/>
  <c r="J5681" i="1"/>
  <c r="L5681" i="1"/>
  <c r="M5681" i="1"/>
  <c r="C5682" i="1"/>
  <c r="E5682" i="1"/>
  <c r="F5682" i="1"/>
  <c r="H5682" i="1"/>
  <c r="I5682" i="1"/>
  <c r="J5682" i="1"/>
  <c r="L5682" i="1"/>
  <c r="M5682" i="1"/>
  <c r="C5683" i="1"/>
  <c r="E5683" i="1"/>
  <c r="F5683" i="1"/>
  <c r="H5683" i="1"/>
  <c r="I5683" i="1"/>
  <c r="J5683" i="1"/>
  <c r="L5683" i="1"/>
  <c r="M5683" i="1"/>
  <c r="C5684" i="1"/>
  <c r="E5684" i="1"/>
  <c r="F5684" i="1"/>
  <c r="H5684" i="1"/>
  <c r="I5684" i="1"/>
  <c r="J5684" i="1"/>
  <c r="L5684" i="1"/>
  <c r="M5684" i="1"/>
  <c r="C5685" i="1"/>
  <c r="E5685" i="1"/>
  <c r="F5685" i="1"/>
  <c r="H5685" i="1"/>
  <c r="I5685" i="1"/>
  <c r="J5685" i="1"/>
  <c r="L5685" i="1"/>
  <c r="M5685" i="1"/>
  <c r="C5686" i="1"/>
  <c r="E5686" i="1"/>
  <c r="F5686" i="1"/>
  <c r="H5686" i="1"/>
  <c r="I5686" i="1"/>
  <c r="J5686" i="1"/>
  <c r="L5686" i="1"/>
  <c r="M5686" i="1"/>
  <c r="C5687" i="1"/>
  <c r="E5687" i="1"/>
  <c r="F5687" i="1"/>
  <c r="H5687" i="1"/>
  <c r="I5687" i="1"/>
  <c r="J5687" i="1"/>
  <c r="L5687" i="1"/>
  <c r="M5687" i="1"/>
  <c r="C5688" i="1"/>
  <c r="E5688" i="1"/>
  <c r="F5688" i="1"/>
  <c r="H5688" i="1"/>
  <c r="I5688" i="1"/>
  <c r="J5688" i="1"/>
  <c r="L5688" i="1"/>
  <c r="M5688" i="1"/>
  <c r="C5689" i="1"/>
  <c r="E5689" i="1"/>
  <c r="F5689" i="1"/>
  <c r="H5689" i="1"/>
  <c r="I5689" i="1"/>
  <c r="J5689" i="1"/>
  <c r="L5689" i="1"/>
  <c r="M5689" i="1"/>
  <c r="C5690" i="1"/>
  <c r="E5690" i="1"/>
  <c r="F5690" i="1"/>
  <c r="H5690" i="1"/>
  <c r="I5690" i="1"/>
  <c r="J5690" i="1"/>
  <c r="L5690" i="1"/>
  <c r="M5690" i="1"/>
  <c r="C5691" i="1"/>
  <c r="E5691" i="1"/>
  <c r="F5691" i="1"/>
  <c r="H5691" i="1"/>
  <c r="I5691" i="1"/>
  <c r="J5691" i="1"/>
  <c r="L5691" i="1"/>
  <c r="M5691" i="1"/>
  <c r="C5692" i="1"/>
  <c r="E5692" i="1"/>
  <c r="F5692" i="1"/>
  <c r="H5692" i="1"/>
  <c r="I5692" i="1"/>
  <c r="J5692" i="1"/>
  <c r="L5692" i="1"/>
  <c r="M5692" i="1"/>
  <c r="C5693" i="1"/>
  <c r="E5693" i="1"/>
  <c r="F5693" i="1"/>
  <c r="H5693" i="1"/>
  <c r="I5693" i="1"/>
  <c r="J5693" i="1"/>
  <c r="L5693" i="1"/>
  <c r="M5693" i="1"/>
  <c r="C5694" i="1"/>
  <c r="E5694" i="1"/>
  <c r="F5694" i="1"/>
  <c r="H5694" i="1"/>
  <c r="I5694" i="1"/>
  <c r="J5694" i="1"/>
  <c r="L5694" i="1"/>
  <c r="M5694" i="1"/>
  <c r="C5695" i="1"/>
  <c r="E5695" i="1"/>
  <c r="F5695" i="1"/>
  <c r="H5695" i="1"/>
  <c r="I5695" i="1"/>
  <c r="J5695" i="1"/>
  <c r="L5695" i="1"/>
  <c r="M5695" i="1"/>
  <c r="C5696" i="1"/>
  <c r="E5696" i="1"/>
  <c r="F5696" i="1"/>
  <c r="H5696" i="1"/>
  <c r="I5696" i="1"/>
  <c r="J5696" i="1"/>
  <c r="L5696" i="1"/>
  <c r="M5696" i="1"/>
  <c r="C5697" i="1"/>
  <c r="E5697" i="1"/>
  <c r="F5697" i="1"/>
  <c r="H5697" i="1"/>
  <c r="I5697" i="1"/>
  <c r="J5697" i="1"/>
  <c r="L5697" i="1"/>
  <c r="M5697" i="1"/>
  <c r="C5698" i="1"/>
  <c r="E5698" i="1"/>
  <c r="F5698" i="1"/>
  <c r="H5698" i="1"/>
  <c r="I5698" i="1"/>
  <c r="J5698" i="1"/>
  <c r="L5698" i="1"/>
  <c r="M5698" i="1"/>
  <c r="C5699" i="1"/>
  <c r="E5699" i="1"/>
  <c r="F5699" i="1"/>
  <c r="H5699" i="1"/>
  <c r="I5699" i="1"/>
  <c r="J5699" i="1"/>
  <c r="L5699" i="1"/>
  <c r="M5699" i="1"/>
  <c r="C5700" i="1"/>
  <c r="E5700" i="1"/>
  <c r="F5700" i="1"/>
  <c r="H5700" i="1"/>
  <c r="I5700" i="1"/>
  <c r="J5700" i="1"/>
  <c r="L5700" i="1"/>
  <c r="M5700" i="1"/>
  <c r="C5701" i="1"/>
  <c r="E5701" i="1"/>
  <c r="F5701" i="1"/>
  <c r="H5701" i="1"/>
  <c r="I5701" i="1"/>
  <c r="J5701" i="1"/>
  <c r="L5701" i="1"/>
  <c r="M5701" i="1"/>
  <c r="C5702" i="1"/>
  <c r="E5702" i="1"/>
  <c r="F5702" i="1"/>
  <c r="H5702" i="1"/>
  <c r="I5702" i="1"/>
  <c r="J5702" i="1"/>
  <c r="L5702" i="1"/>
  <c r="M5702" i="1"/>
  <c r="C5703" i="1"/>
  <c r="E5703" i="1"/>
  <c r="F5703" i="1"/>
  <c r="H5703" i="1"/>
  <c r="I5703" i="1"/>
  <c r="J5703" i="1"/>
  <c r="L5703" i="1"/>
  <c r="M5703" i="1"/>
  <c r="C5704" i="1"/>
  <c r="E5704" i="1"/>
  <c r="F5704" i="1"/>
  <c r="H5704" i="1"/>
  <c r="I5704" i="1"/>
  <c r="J5704" i="1"/>
  <c r="L5704" i="1"/>
  <c r="M5704" i="1"/>
  <c r="C5705" i="1"/>
  <c r="E5705" i="1"/>
  <c r="F5705" i="1"/>
  <c r="H5705" i="1"/>
  <c r="I5705" i="1"/>
  <c r="J5705" i="1"/>
  <c r="L5705" i="1"/>
  <c r="M5705" i="1"/>
  <c r="C5706" i="1"/>
  <c r="E5706" i="1"/>
  <c r="F5706" i="1"/>
  <c r="H5706" i="1"/>
  <c r="I5706" i="1"/>
  <c r="J5706" i="1"/>
  <c r="L5706" i="1"/>
  <c r="M5706" i="1"/>
  <c r="C5707" i="1"/>
  <c r="E5707" i="1"/>
  <c r="F5707" i="1"/>
  <c r="H5707" i="1"/>
  <c r="I5707" i="1"/>
  <c r="J5707" i="1"/>
  <c r="L5707" i="1"/>
  <c r="M5707" i="1"/>
  <c r="C5708" i="1"/>
  <c r="E5708" i="1"/>
  <c r="F5708" i="1"/>
  <c r="H5708" i="1"/>
  <c r="I5708" i="1"/>
  <c r="J5708" i="1"/>
  <c r="L5708" i="1"/>
  <c r="M5708" i="1"/>
  <c r="C5709" i="1"/>
  <c r="E5709" i="1"/>
  <c r="F5709" i="1"/>
  <c r="H5709" i="1"/>
  <c r="I5709" i="1"/>
  <c r="J5709" i="1"/>
  <c r="L5709" i="1"/>
  <c r="M5709" i="1"/>
  <c r="C5710" i="1"/>
  <c r="E5710" i="1"/>
  <c r="F5710" i="1"/>
  <c r="H5710" i="1"/>
  <c r="I5710" i="1"/>
  <c r="J5710" i="1"/>
  <c r="L5710" i="1"/>
  <c r="M5710" i="1"/>
  <c r="C5711" i="1"/>
  <c r="E5711" i="1"/>
  <c r="F5711" i="1"/>
  <c r="H5711" i="1"/>
  <c r="I5711" i="1"/>
  <c r="J5711" i="1"/>
  <c r="L5711" i="1"/>
  <c r="M5711" i="1"/>
  <c r="C5712" i="1"/>
  <c r="E5712" i="1"/>
  <c r="F5712" i="1"/>
  <c r="H5712" i="1"/>
  <c r="I5712" i="1"/>
  <c r="J5712" i="1"/>
  <c r="L5712" i="1"/>
  <c r="M5712" i="1"/>
  <c r="C5713" i="1"/>
  <c r="E5713" i="1"/>
  <c r="F5713" i="1"/>
  <c r="H5713" i="1"/>
  <c r="I5713" i="1"/>
  <c r="J5713" i="1"/>
  <c r="L5713" i="1"/>
  <c r="M5713" i="1"/>
  <c r="C5714" i="1"/>
  <c r="E5714" i="1"/>
  <c r="F5714" i="1"/>
  <c r="H5714" i="1"/>
  <c r="I5714" i="1"/>
  <c r="J5714" i="1"/>
  <c r="L5714" i="1"/>
  <c r="M5714" i="1"/>
  <c r="C5715" i="1"/>
  <c r="E5715" i="1"/>
  <c r="F5715" i="1"/>
  <c r="H5715" i="1"/>
  <c r="I5715" i="1"/>
  <c r="J5715" i="1"/>
  <c r="L5715" i="1"/>
  <c r="M5715" i="1"/>
  <c r="C5716" i="1"/>
  <c r="E5716" i="1"/>
  <c r="F5716" i="1"/>
  <c r="H5716" i="1"/>
  <c r="I5716" i="1"/>
  <c r="J5716" i="1"/>
  <c r="L5716" i="1"/>
  <c r="M5716" i="1"/>
  <c r="C5717" i="1"/>
  <c r="E5717" i="1"/>
  <c r="F5717" i="1"/>
  <c r="H5717" i="1"/>
  <c r="I5717" i="1"/>
  <c r="J5717" i="1"/>
  <c r="L5717" i="1"/>
  <c r="M5717" i="1"/>
  <c r="C5718" i="1"/>
  <c r="E5718" i="1"/>
  <c r="F5718" i="1"/>
  <c r="H5718" i="1"/>
  <c r="I5718" i="1"/>
  <c r="J5718" i="1"/>
  <c r="L5718" i="1"/>
  <c r="M5718" i="1"/>
  <c r="C5719" i="1"/>
  <c r="E5719" i="1"/>
  <c r="F5719" i="1"/>
  <c r="H5719" i="1"/>
  <c r="I5719" i="1"/>
  <c r="J5719" i="1"/>
  <c r="L5719" i="1"/>
  <c r="M5719" i="1"/>
  <c r="C5720" i="1"/>
  <c r="E5720" i="1"/>
  <c r="F5720" i="1"/>
  <c r="H5720" i="1"/>
  <c r="I5720" i="1"/>
  <c r="J5720" i="1"/>
  <c r="L5720" i="1"/>
  <c r="M5720" i="1"/>
  <c r="C5721" i="1"/>
  <c r="E5721" i="1"/>
  <c r="F5721" i="1"/>
  <c r="H5721" i="1"/>
  <c r="I5721" i="1"/>
  <c r="J5721" i="1"/>
  <c r="L5721" i="1"/>
  <c r="M5721" i="1"/>
  <c r="C5722" i="1"/>
  <c r="E5722" i="1"/>
  <c r="F5722" i="1"/>
  <c r="H5722" i="1"/>
  <c r="I5722" i="1"/>
  <c r="J5722" i="1"/>
  <c r="L5722" i="1"/>
  <c r="M5722" i="1"/>
  <c r="C5723" i="1"/>
  <c r="E5723" i="1"/>
  <c r="F5723" i="1"/>
  <c r="H5723" i="1"/>
  <c r="I5723" i="1"/>
  <c r="J5723" i="1"/>
  <c r="L5723" i="1"/>
  <c r="M5723" i="1"/>
  <c r="C5724" i="1"/>
  <c r="E5724" i="1"/>
  <c r="F5724" i="1"/>
  <c r="H5724" i="1"/>
  <c r="I5724" i="1"/>
  <c r="J5724" i="1"/>
  <c r="L5724" i="1"/>
  <c r="M5724" i="1"/>
  <c r="C5725" i="1"/>
  <c r="E5725" i="1"/>
  <c r="F5725" i="1"/>
  <c r="H5725" i="1"/>
  <c r="I5725" i="1"/>
  <c r="J5725" i="1"/>
  <c r="L5725" i="1"/>
  <c r="M5725" i="1"/>
  <c r="C5726" i="1"/>
  <c r="E5726" i="1"/>
  <c r="F5726" i="1"/>
  <c r="H5726" i="1"/>
  <c r="I5726" i="1"/>
  <c r="J5726" i="1"/>
  <c r="L5726" i="1"/>
  <c r="M5726" i="1"/>
  <c r="C5727" i="1"/>
  <c r="E5727" i="1"/>
  <c r="F5727" i="1"/>
  <c r="H5727" i="1"/>
  <c r="I5727" i="1"/>
  <c r="J5727" i="1"/>
  <c r="L5727" i="1"/>
  <c r="M5727" i="1"/>
  <c r="C5728" i="1"/>
  <c r="E5728" i="1"/>
  <c r="F5728" i="1"/>
  <c r="H5728" i="1"/>
  <c r="I5728" i="1"/>
  <c r="J5728" i="1"/>
  <c r="L5728" i="1"/>
  <c r="M5728" i="1"/>
  <c r="C5729" i="1"/>
  <c r="E5729" i="1"/>
  <c r="F5729" i="1"/>
  <c r="H5729" i="1"/>
  <c r="I5729" i="1"/>
  <c r="J5729" i="1"/>
  <c r="L5729" i="1"/>
  <c r="M5729" i="1"/>
  <c r="C5730" i="1"/>
  <c r="E5730" i="1"/>
  <c r="F5730" i="1"/>
  <c r="H5730" i="1"/>
  <c r="I5730" i="1"/>
  <c r="J5730" i="1"/>
  <c r="L5730" i="1"/>
  <c r="M5730" i="1"/>
  <c r="C5731" i="1"/>
  <c r="E5731" i="1"/>
  <c r="F5731" i="1"/>
  <c r="H5731" i="1"/>
  <c r="I5731" i="1"/>
  <c r="J5731" i="1"/>
  <c r="L5731" i="1"/>
  <c r="M5731" i="1"/>
  <c r="C5732" i="1"/>
  <c r="E5732" i="1"/>
  <c r="F5732" i="1"/>
  <c r="H5732" i="1"/>
  <c r="I5732" i="1"/>
  <c r="J5732" i="1"/>
  <c r="L5732" i="1"/>
  <c r="M5732" i="1"/>
  <c r="C5733" i="1"/>
  <c r="E5733" i="1"/>
  <c r="F5733" i="1"/>
  <c r="H5733" i="1"/>
  <c r="I5733" i="1"/>
  <c r="J5733" i="1"/>
  <c r="L5733" i="1"/>
  <c r="M5733" i="1"/>
  <c r="C5734" i="1"/>
  <c r="E5734" i="1"/>
  <c r="F5734" i="1"/>
  <c r="H5734" i="1"/>
  <c r="I5734" i="1"/>
  <c r="J5734" i="1"/>
  <c r="L5734" i="1"/>
  <c r="M5734" i="1"/>
  <c r="C5735" i="1"/>
  <c r="E5735" i="1"/>
  <c r="F5735" i="1"/>
  <c r="H5735" i="1"/>
  <c r="I5735" i="1"/>
  <c r="J5735" i="1"/>
  <c r="L5735" i="1"/>
  <c r="M5735" i="1"/>
  <c r="C5736" i="1"/>
  <c r="E5736" i="1"/>
  <c r="F5736" i="1"/>
  <c r="H5736" i="1"/>
  <c r="I5736" i="1"/>
  <c r="J5736" i="1"/>
  <c r="L5736" i="1"/>
  <c r="M5736" i="1"/>
  <c r="C5737" i="1"/>
  <c r="E5737" i="1"/>
  <c r="F5737" i="1"/>
  <c r="H5737" i="1"/>
  <c r="I5737" i="1"/>
  <c r="J5737" i="1"/>
  <c r="L5737" i="1"/>
  <c r="M5737" i="1"/>
  <c r="C5738" i="1"/>
  <c r="E5738" i="1"/>
  <c r="F5738" i="1"/>
  <c r="H5738" i="1"/>
  <c r="I5738" i="1"/>
  <c r="J5738" i="1"/>
  <c r="L5738" i="1"/>
  <c r="M5738" i="1"/>
  <c r="C5739" i="1"/>
  <c r="E5739" i="1"/>
  <c r="F5739" i="1"/>
  <c r="H5739" i="1"/>
  <c r="I5739" i="1"/>
  <c r="J5739" i="1"/>
  <c r="L5739" i="1"/>
  <c r="M5739" i="1"/>
  <c r="C5740" i="1"/>
  <c r="E5740" i="1"/>
  <c r="F5740" i="1"/>
  <c r="H5740" i="1"/>
  <c r="I5740" i="1"/>
  <c r="J5740" i="1"/>
  <c r="L5740" i="1"/>
  <c r="M5740" i="1"/>
  <c r="C5741" i="1"/>
  <c r="E5741" i="1"/>
  <c r="F5741" i="1"/>
  <c r="H5741" i="1"/>
  <c r="I5741" i="1"/>
  <c r="J5741" i="1"/>
  <c r="L5741" i="1"/>
  <c r="M5741" i="1"/>
  <c r="C5742" i="1"/>
  <c r="E5742" i="1"/>
  <c r="F5742" i="1"/>
  <c r="H5742" i="1"/>
  <c r="I5742" i="1"/>
  <c r="J5742" i="1"/>
  <c r="L5742" i="1"/>
  <c r="M5742" i="1"/>
  <c r="C5743" i="1"/>
  <c r="E5743" i="1"/>
  <c r="F5743" i="1"/>
  <c r="H5743" i="1"/>
  <c r="I5743" i="1"/>
  <c r="J5743" i="1"/>
  <c r="L5743" i="1"/>
  <c r="M5743" i="1"/>
  <c r="C5744" i="1"/>
  <c r="E5744" i="1"/>
  <c r="F5744" i="1"/>
  <c r="H5744" i="1"/>
  <c r="I5744" i="1"/>
  <c r="J5744" i="1"/>
  <c r="L5744" i="1"/>
  <c r="M5744" i="1"/>
  <c r="C5745" i="1"/>
  <c r="E5745" i="1"/>
  <c r="F5745" i="1"/>
  <c r="H5745" i="1"/>
  <c r="I5745" i="1"/>
  <c r="J5745" i="1"/>
  <c r="L5745" i="1"/>
  <c r="M5745" i="1"/>
  <c r="C5746" i="1"/>
  <c r="E5746" i="1"/>
  <c r="F5746" i="1"/>
  <c r="H5746" i="1"/>
  <c r="I5746" i="1"/>
  <c r="J5746" i="1"/>
  <c r="L5746" i="1"/>
  <c r="M5746" i="1"/>
  <c r="C5747" i="1"/>
  <c r="E5747" i="1"/>
  <c r="F5747" i="1"/>
  <c r="H5747" i="1"/>
  <c r="I5747" i="1"/>
  <c r="J5747" i="1"/>
  <c r="L5747" i="1"/>
  <c r="M5747" i="1"/>
  <c r="C5748" i="1"/>
  <c r="E5748" i="1"/>
  <c r="F5748" i="1"/>
  <c r="H5748" i="1"/>
  <c r="I5748" i="1"/>
  <c r="J5748" i="1"/>
  <c r="L5748" i="1"/>
  <c r="M5748" i="1"/>
  <c r="C5749" i="1"/>
  <c r="E5749" i="1"/>
  <c r="F5749" i="1"/>
  <c r="H5749" i="1"/>
  <c r="I5749" i="1"/>
  <c r="J5749" i="1"/>
  <c r="L5749" i="1"/>
  <c r="M5749" i="1"/>
  <c r="C5750" i="1"/>
  <c r="E5750" i="1"/>
  <c r="F5750" i="1"/>
  <c r="H5750" i="1"/>
  <c r="I5750" i="1"/>
  <c r="J5750" i="1"/>
  <c r="L5750" i="1"/>
  <c r="M5750" i="1"/>
  <c r="C5751" i="1"/>
  <c r="E5751" i="1"/>
  <c r="F5751" i="1"/>
  <c r="H5751" i="1"/>
  <c r="I5751" i="1"/>
  <c r="J5751" i="1"/>
  <c r="L5751" i="1"/>
  <c r="M5751" i="1"/>
  <c r="C5752" i="1"/>
  <c r="E5752" i="1"/>
  <c r="F5752" i="1"/>
  <c r="H5752" i="1"/>
  <c r="I5752" i="1"/>
  <c r="J5752" i="1"/>
  <c r="L5752" i="1"/>
  <c r="M5752" i="1"/>
  <c r="C5753" i="1"/>
  <c r="E5753" i="1"/>
  <c r="F5753" i="1"/>
  <c r="H5753" i="1"/>
  <c r="I5753" i="1"/>
  <c r="J5753" i="1"/>
  <c r="L5753" i="1"/>
  <c r="M5753" i="1"/>
  <c r="C5754" i="1"/>
  <c r="E5754" i="1"/>
  <c r="F5754" i="1"/>
  <c r="H5754" i="1"/>
  <c r="I5754" i="1"/>
  <c r="J5754" i="1"/>
  <c r="L5754" i="1"/>
  <c r="M5754" i="1"/>
  <c r="C5755" i="1"/>
  <c r="E5755" i="1"/>
  <c r="F5755" i="1"/>
  <c r="H5755" i="1"/>
  <c r="I5755" i="1"/>
  <c r="J5755" i="1"/>
  <c r="L5755" i="1"/>
  <c r="M5755" i="1"/>
  <c r="C5756" i="1"/>
  <c r="E5756" i="1"/>
  <c r="F5756" i="1"/>
  <c r="H5756" i="1"/>
  <c r="I5756" i="1"/>
  <c r="J5756" i="1"/>
  <c r="L5756" i="1"/>
  <c r="M5756" i="1"/>
  <c r="C5757" i="1"/>
  <c r="E5757" i="1"/>
  <c r="F5757" i="1"/>
  <c r="H5757" i="1"/>
  <c r="I5757" i="1"/>
  <c r="J5757" i="1"/>
  <c r="L5757" i="1"/>
  <c r="M5757" i="1"/>
  <c r="C5758" i="1"/>
  <c r="E5758" i="1"/>
  <c r="F5758" i="1"/>
  <c r="H5758" i="1"/>
  <c r="I5758" i="1"/>
  <c r="J5758" i="1"/>
  <c r="L5758" i="1"/>
  <c r="M5758" i="1"/>
  <c r="C5759" i="1"/>
  <c r="E5759" i="1"/>
  <c r="F5759" i="1"/>
  <c r="H5759" i="1"/>
  <c r="I5759" i="1"/>
  <c r="J5759" i="1"/>
  <c r="L5759" i="1"/>
  <c r="M5759" i="1"/>
  <c r="C5760" i="1"/>
  <c r="E5760" i="1"/>
  <c r="F5760" i="1"/>
  <c r="H5760" i="1"/>
  <c r="I5760" i="1"/>
  <c r="J5760" i="1"/>
  <c r="L5760" i="1"/>
  <c r="M5760" i="1"/>
  <c r="C5761" i="1"/>
  <c r="E5761" i="1"/>
  <c r="F5761" i="1"/>
  <c r="H5761" i="1"/>
  <c r="I5761" i="1"/>
  <c r="J5761" i="1"/>
  <c r="L5761" i="1"/>
  <c r="M5761" i="1"/>
  <c r="C5762" i="1"/>
  <c r="E5762" i="1"/>
  <c r="F5762" i="1"/>
  <c r="H5762" i="1"/>
  <c r="I5762" i="1"/>
  <c r="J5762" i="1"/>
  <c r="L5762" i="1"/>
  <c r="M5762" i="1"/>
  <c r="C5763" i="1"/>
  <c r="E5763" i="1"/>
  <c r="F5763" i="1"/>
  <c r="H5763" i="1"/>
  <c r="I5763" i="1"/>
  <c r="J5763" i="1"/>
  <c r="L5763" i="1"/>
  <c r="M5763" i="1"/>
  <c r="C5764" i="1"/>
  <c r="E5764" i="1"/>
  <c r="F5764" i="1"/>
  <c r="H5764" i="1"/>
  <c r="I5764" i="1"/>
  <c r="J5764" i="1"/>
  <c r="L5764" i="1"/>
  <c r="M5764" i="1"/>
  <c r="C5765" i="1"/>
  <c r="E5765" i="1"/>
  <c r="F5765" i="1"/>
  <c r="H5765" i="1"/>
  <c r="I5765" i="1"/>
  <c r="J5765" i="1"/>
  <c r="L5765" i="1"/>
  <c r="M5765" i="1"/>
  <c r="C5766" i="1"/>
  <c r="E5766" i="1"/>
  <c r="F5766" i="1"/>
  <c r="H5766" i="1"/>
  <c r="I5766" i="1"/>
  <c r="J5766" i="1"/>
  <c r="L5766" i="1"/>
  <c r="M5766" i="1"/>
  <c r="C5767" i="1"/>
  <c r="E5767" i="1"/>
  <c r="F5767" i="1"/>
  <c r="H5767" i="1"/>
  <c r="I5767" i="1"/>
  <c r="J5767" i="1"/>
  <c r="L5767" i="1"/>
  <c r="M5767" i="1"/>
  <c r="C5768" i="1"/>
  <c r="E5768" i="1"/>
  <c r="F5768" i="1"/>
  <c r="H5768" i="1"/>
  <c r="I5768" i="1"/>
  <c r="J5768" i="1"/>
  <c r="L5768" i="1"/>
  <c r="M5768" i="1"/>
  <c r="C5769" i="1"/>
  <c r="E5769" i="1"/>
  <c r="F5769" i="1"/>
  <c r="H5769" i="1"/>
  <c r="I5769" i="1"/>
  <c r="J5769" i="1"/>
  <c r="L5769" i="1"/>
  <c r="M5769" i="1"/>
  <c r="C5770" i="1"/>
  <c r="E5770" i="1"/>
  <c r="F5770" i="1"/>
  <c r="H5770" i="1"/>
  <c r="I5770" i="1"/>
  <c r="J5770" i="1"/>
  <c r="L5770" i="1"/>
  <c r="M5770" i="1"/>
  <c r="C5771" i="1"/>
  <c r="E5771" i="1"/>
  <c r="F5771" i="1"/>
  <c r="H5771" i="1"/>
  <c r="I5771" i="1"/>
  <c r="J5771" i="1"/>
  <c r="L5771" i="1"/>
  <c r="M5771" i="1"/>
  <c r="C5772" i="1"/>
  <c r="E5772" i="1"/>
  <c r="F5772" i="1"/>
  <c r="H5772" i="1"/>
  <c r="I5772" i="1"/>
  <c r="J5772" i="1"/>
  <c r="L5772" i="1"/>
  <c r="M5772" i="1"/>
  <c r="C5773" i="1"/>
  <c r="E5773" i="1"/>
  <c r="F5773" i="1"/>
  <c r="H5773" i="1"/>
  <c r="I5773" i="1"/>
  <c r="J5773" i="1"/>
  <c r="L5773" i="1"/>
  <c r="M5773" i="1"/>
  <c r="C5774" i="1"/>
  <c r="E5774" i="1"/>
  <c r="F5774" i="1"/>
  <c r="H5774" i="1"/>
  <c r="I5774" i="1"/>
  <c r="J5774" i="1"/>
  <c r="L5774" i="1"/>
  <c r="M5774" i="1"/>
  <c r="C5775" i="1"/>
  <c r="E5775" i="1"/>
  <c r="F5775" i="1"/>
  <c r="H5775" i="1"/>
  <c r="I5775" i="1"/>
  <c r="J5775" i="1"/>
  <c r="L5775" i="1"/>
  <c r="M5775" i="1"/>
  <c r="C5776" i="1"/>
  <c r="E5776" i="1"/>
  <c r="F5776" i="1"/>
  <c r="H5776" i="1"/>
  <c r="I5776" i="1"/>
  <c r="J5776" i="1"/>
  <c r="L5776" i="1"/>
  <c r="M5776" i="1"/>
  <c r="C5777" i="1"/>
  <c r="E5777" i="1"/>
  <c r="F5777" i="1"/>
  <c r="H5777" i="1"/>
  <c r="I5777" i="1"/>
  <c r="J5777" i="1"/>
  <c r="L5777" i="1"/>
  <c r="M5777" i="1"/>
  <c r="C5778" i="1"/>
  <c r="E5778" i="1"/>
  <c r="F5778" i="1"/>
  <c r="H5778" i="1"/>
  <c r="I5778" i="1"/>
  <c r="J5778" i="1"/>
  <c r="L5778" i="1"/>
  <c r="M5778" i="1"/>
  <c r="C5779" i="1"/>
  <c r="E5779" i="1"/>
  <c r="F5779" i="1"/>
  <c r="H5779" i="1"/>
  <c r="I5779" i="1"/>
  <c r="J5779" i="1"/>
  <c r="L5779" i="1"/>
  <c r="M5779" i="1"/>
  <c r="C5780" i="1"/>
  <c r="E5780" i="1"/>
  <c r="F5780" i="1"/>
  <c r="H5780" i="1"/>
  <c r="I5780" i="1"/>
  <c r="J5780" i="1"/>
  <c r="L5780" i="1"/>
  <c r="M5780" i="1"/>
  <c r="C5781" i="1"/>
  <c r="E5781" i="1"/>
  <c r="F5781" i="1"/>
  <c r="H5781" i="1"/>
  <c r="I5781" i="1"/>
  <c r="J5781" i="1"/>
  <c r="L5781" i="1"/>
  <c r="M5781" i="1"/>
  <c r="C5782" i="1"/>
  <c r="E5782" i="1"/>
  <c r="F5782" i="1"/>
  <c r="H5782" i="1"/>
  <c r="I5782" i="1"/>
  <c r="J5782" i="1"/>
  <c r="L5782" i="1"/>
  <c r="M5782" i="1"/>
  <c r="C5783" i="1"/>
  <c r="E5783" i="1"/>
  <c r="F5783" i="1"/>
  <c r="H5783" i="1"/>
  <c r="I5783" i="1"/>
  <c r="J5783" i="1"/>
  <c r="L5783" i="1"/>
  <c r="M5783" i="1"/>
  <c r="C5784" i="1"/>
  <c r="E5784" i="1"/>
  <c r="F5784" i="1"/>
  <c r="H5784" i="1"/>
  <c r="I5784" i="1"/>
  <c r="J5784" i="1"/>
  <c r="L5784" i="1"/>
  <c r="M5784" i="1"/>
  <c r="C5785" i="1"/>
  <c r="E5785" i="1"/>
  <c r="F5785" i="1"/>
  <c r="H5785" i="1"/>
  <c r="I5785" i="1"/>
  <c r="J5785" i="1"/>
  <c r="L5785" i="1"/>
  <c r="M5785" i="1"/>
  <c r="C5786" i="1"/>
  <c r="E5786" i="1"/>
  <c r="F5786" i="1"/>
  <c r="H5786" i="1"/>
  <c r="I5786" i="1"/>
  <c r="J5786" i="1"/>
  <c r="L5786" i="1"/>
  <c r="M5786" i="1"/>
  <c r="C5787" i="1"/>
  <c r="E5787" i="1"/>
  <c r="F5787" i="1"/>
  <c r="H5787" i="1"/>
  <c r="I5787" i="1"/>
  <c r="J5787" i="1"/>
  <c r="L5787" i="1"/>
  <c r="M5787" i="1"/>
  <c r="C5788" i="1"/>
  <c r="E5788" i="1"/>
  <c r="F5788" i="1"/>
  <c r="H5788" i="1"/>
  <c r="I5788" i="1"/>
  <c r="J5788" i="1"/>
  <c r="L5788" i="1"/>
  <c r="M5788" i="1"/>
  <c r="C5789" i="1"/>
  <c r="E5789" i="1"/>
  <c r="F5789" i="1"/>
  <c r="H5789" i="1"/>
  <c r="I5789" i="1"/>
  <c r="J5789" i="1"/>
  <c r="L5789" i="1"/>
  <c r="M5789" i="1"/>
  <c r="C5790" i="1"/>
  <c r="E5790" i="1"/>
  <c r="F5790" i="1"/>
  <c r="H5790" i="1"/>
  <c r="I5790" i="1"/>
  <c r="J5790" i="1"/>
  <c r="L5790" i="1"/>
  <c r="M5790" i="1"/>
  <c r="C5791" i="1"/>
  <c r="E5791" i="1"/>
  <c r="F5791" i="1"/>
  <c r="H5791" i="1"/>
  <c r="I5791" i="1"/>
  <c r="J5791" i="1"/>
  <c r="L5791" i="1"/>
  <c r="M5791" i="1"/>
  <c r="C5792" i="1"/>
  <c r="E5792" i="1"/>
  <c r="F5792" i="1"/>
  <c r="H5792" i="1"/>
  <c r="I5792" i="1"/>
  <c r="J5792" i="1"/>
  <c r="L5792" i="1"/>
  <c r="M5792" i="1"/>
  <c r="C5793" i="1"/>
  <c r="E5793" i="1"/>
  <c r="F5793" i="1"/>
  <c r="H5793" i="1"/>
  <c r="I5793" i="1"/>
  <c r="J5793" i="1"/>
  <c r="L5793" i="1"/>
  <c r="M5793" i="1"/>
  <c r="C5794" i="1"/>
  <c r="E5794" i="1"/>
  <c r="F5794" i="1"/>
  <c r="H5794" i="1"/>
  <c r="I5794" i="1"/>
  <c r="J5794" i="1"/>
  <c r="L5794" i="1"/>
  <c r="M5794" i="1"/>
  <c r="C5795" i="1"/>
  <c r="E5795" i="1"/>
  <c r="F5795" i="1"/>
  <c r="H5795" i="1"/>
  <c r="I5795" i="1"/>
  <c r="J5795" i="1"/>
  <c r="L5795" i="1"/>
  <c r="M5795" i="1"/>
  <c r="C5796" i="1"/>
  <c r="E5796" i="1"/>
  <c r="F5796" i="1"/>
  <c r="H5796" i="1"/>
  <c r="I5796" i="1"/>
  <c r="J5796" i="1"/>
  <c r="L5796" i="1"/>
  <c r="M5796" i="1"/>
  <c r="C5797" i="1"/>
  <c r="E5797" i="1"/>
  <c r="F5797" i="1"/>
  <c r="H5797" i="1"/>
  <c r="I5797" i="1"/>
  <c r="J5797" i="1"/>
  <c r="L5797" i="1"/>
  <c r="M5797" i="1"/>
  <c r="C5798" i="1"/>
  <c r="E5798" i="1"/>
  <c r="F5798" i="1"/>
  <c r="H5798" i="1"/>
  <c r="I5798" i="1"/>
  <c r="J5798" i="1"/>
  <c r="L5798" i="1"/>
  <c r="M5798" i="1"/>
  <c r="C5799" i="1"/>
  <c r="E5799" i="1"/>
  <c r="F5799" i="1"/>
  <c r="H5799" i="1"/>
  <c r="I5799" i="1"/>
  <c r="J5799" i="1"/>
  <c r="L5799" i="1"/>
  <c r="M5799" i="1"/>
  <c r="C5800" i="1"/>
  <c r="E5800" i="1"/>
  <c r="F5800" i="1"/>
  <c r="H5800" i="1"/>
  <c r="I5800" i="1"/>
  <c r="J5800" i="1"/>
  <c r="L5800" i="1"/>
  <c r="M5800" i="1"/>
  <c r="C5801" i="1"/>
  <c r="E5801" i="1"/>
  <c r="F5801" i="1"/>
  <c r="H5801" i="1"/>
  <c r="I5801" i="1"/>
  <c r="J5801" i="1"/>
  <c r="L5801" i="1"/>
  <c r="M5801" i="1"/>
  <c r="C5802" i="1"/>
  <c r="E5802" i="1"/>
  <c r="F5802" i="1"/>
  <c r="H5802" i="1"/>
  <c r="I5802" i="1"/>
  <c r="J5802" i="1"/>
  <c r="L5802" i="1"/>
  <c r="M5802" i="1"/>
  <c r="C5803" i="1"/>
  <c r="E5803" i="1"/>
  <c r="F5803" i="1"/>
  <c r="H5803" i="1"/>
  <c r="I5803" i="1"/>
  <c r="J5803" i="1"/>
  <c r="L5803" i="1"/>
  <c r="M5803" i="1"/>
  <c r="C5804" i="1"/>
  <c r="E5804" i="1"/>
  <c r="F5804" i="1"/>
  <c r="H5804" i="1"/>
  <c r="I5804" i="1"/>
  <c r="J5804" i="1"/>
  <c r="L5804" i="1"/>
  <c r="M5804" i="1"/>
  <c r="C5805" i="1"/>
  <c r="E5805" i="1"/>
  <c r="F5805" i="1"/>
  <c r="H5805" i="1"/>
  <c r="I5805" i="1"/>
  <c r="J5805" i="1"/>
  <c r="L5805" i="1"/>
  <c r="M5805" i="1"/>
  <c r="C5806" i="1"/>
  <c r="E5806" i="1"/>
  <c r="F5806" i="1"/>
  <c r="H5806" i="1"/>
  <c r="I5806" i="1"/>
  <c r="J5806" i="1"/>
  <c r="L5806" i="1"/>
  <c r="M5806" i="1"/>
  <c r="C5807" i="1"/>
  <c r="E5807" i="1"/>
  <c r="F5807" i="1"/>
  <c r="H5807" i="1"/>
  <c r="I5807" i="1"/>
  <c r="J5807" i="1"/>
  <c r="L5807" i="1"/>
  <c r="M5807" i="1"/>
  <c r="C5808" i="1"/>
  <c r="E5808" i="1"/>
  <c r="F5808" i="1"/>
  <c r="H5808" i="1"/>
  <c r="I5808" i="1"/>
  <c r="J5808" i="1"/>
  <c r="L5808" i="1"/>
  <c r="M5808" i="1"/>
  <c r="C5809" i="1"/>
  <c r="E5809" i="1"/>
  <c r="F5809" i="1"/>
  <c r="H5809" i="1"/>
  <c r="I5809" i="1"/>
  <c r="J5809" i="1"/>
  <c r="L5809" i="1"/>
  <c r="M5809" i="1"/>
  <c r="C5810" i="1"/>
  <c r="E5810" i="1"/>
  <c r="F5810" i="1"/>
  <c r="H5810" i="1"/>
  <c r="I5810" i="1"/>
  <c r="J5810" i="1"/>
  <c r="L5810" i="1"/>
  <c r="M5810" i="1"/>
  <c r="C5811" i="1"/>
  <c r="E5811" i="1"/>
  <c r="F5811" i="1"/>
  <c r="H5811" i="1"/>
  <c r="I5811" i="1"/>
  <c r="J5811" i="1"/>
  <c r="L5811" i="1"/>
  <c r="M5811" i="1"/>
  <c r="C5812" i="1"/>
  <c r="E5812" i="1"/>
  <c r="F5812" i="1"/>
  <c r="H5812" i="1"/>
  <c r="I5812" i="1"/>
  <c r="J5812" i="1"/>
  <c r="L5812" i="1"/>
  <c r="M5812" i="1"/>
  <c r="C5813" i="1"/>
  <c r="E5813" i="1"/>
  <c r="F5813" i="1"/>
  <c r="H5813" i="1"/>
  <c r="I5813" i="1"/>
  <c r="J5813" i="1"/>
  <c r="L5813" i="1"/>
  <c r="M5813" i="1"/>
  <c r="C5814" i="1"/>
  <c r="E5814" i="1"/>
  <c r="F5814" i="1"/>
  <c r="H5814" i="1"/>
  <c r="I5814" i="1"/>
  <c r="J5814" i="1"/>
  <c r="L5814" i="1"/>
  <c r="M5814" i="1"/>
  <c r="C5815" i="1"/>
  <c r="E5815" i="1"/>
  <c r="F5815" i="1"/>
  <c r="H5815" i="1"/>
  <c r="I5815" i="1"/>
  <c r="J5815" i="1"/>
  <c r="L5815" i="1"/>
  <c r="M5815" i="1"/>
  <c r="C5816" i="1"/>
  <c r="E5816" i="1"/>
  <c r="F5816" i="1"/>
  <c r="H5816" i="1"/>
  <c r="I5816" i="1"/>
  <c r="J5816" i="1"/>
  <c r="L5816" i="1"/>
  <c r="M5816" i="1"/>
  <c r="C5817" i="1"/>
  <c r="E5817" i="1"/>
  <c r="F5817" i="1"/>
  <c r="H5817" i="1"/>
  <c r="I5817" i="1"/>
  <c r="J5817" i="1"/>
  <c r="L5817" i="1"/>
  <c r="M5817" i="1"/>
  <c r="C5818" i="1"/>
  <c r="E5818" i="1"/>
  <c r="F5818" i="1"/>
  <c r="H5818" i="1"/>
  <c r="I5818" i="1"/>
  <c r="J5818" i="1"/>
  <c r="L5818" i="1"/>
  <c r="M5818" i="1"/>
  <c r="C5819" i="1"/>
  <c r="E5819" i="1"/>
  <c r="F5819" i="1"/>
  <c r="H5819" i="1"/>
  <c r="I5819" i="1"/>
  <c r="J5819" i="1"/>
  <c r="L5819" i="1"/>
  <c r="M5819" i="1"/>
  <c r="C5820" i="1"/>
  <c r="E5820" i="1"/>
  <c r="F5820" i="1"/>
  <c r="H5820" i="1"/>
  <c r="I5820" i="1"/>
  <c r="J5820" i="1"/>
  <c r="L5820" i="1"/>
  <c r="M5820" i="1"/>
  <c r="C5821" i="1"/>
  <c r="E5821" i="1"/>
  <c r="F5821" i="1"/>
  <c r="H5821" i="1"/>
  <c r="I5821" i="1"/>
  <c r="J5821" i="1"/>
  <c r="L5821" i="1"/>
  <c r="M5821" i="1"/>
  <c r="C5822" i="1"/>
  <c r="E5822" i="1"/>
  <c r="F5822" i="1"/>
  <c r="H5822" i="1"/>
  <c r="I5822" i="1"/>
  <c r="J5822" i="1"/>
  <c r="L5822" i="1"/>
  <c r="M5822" i="1"/>
  <c r="C5823" i="1"/>
  <c r="E5823" i="1"/>
  <c r="F5823" i="1"/>
  <c r="H5823" i="1"/>
  <c r="I5823" i="1"/>
  <c r="J5823" i="1"/>
  <c r="L5823" i="1"/>
  <c r="M5823" i="1"/>
  <c r="C5824" i="1"/>
  <c r="E5824" i="1"/>
  <c r="F5824" i="1"/>
  <c r="H5824" i="1"/>
  <c r="I5824" i="1"/>
  <c r="J5824" i="1"/>
  <c r="L5824" i="1"/>
  <c r="M5824" i="1"/>
  <c r="C5825" i="1"/>
  <c r="E5825" i="1"/>
  <c r="F5825" i="1"/>
  <c r="H5825" i="1"/>
  <c r="I5825" i="1"/>
  <c r="J5825" i="1"/>
  <c r="L5825" i="1"/>
  <c r="M5825" i="1"/>
  <c r="C5826" i="1"/>
  <c r="E5826" i="1"/>
  <c r="F5826" i="1"/>
  <c r="H5826" i="1"/>
  <c r="I5826" i="1"/>
  <c r="J5826" i="1"/>
  <c r="L5826" i="1"/>
  <c r="M5826" i="1"/>
  <c r="C5827" i="1"/>
  <c r="E5827" i="1"/>
  <c r="F5827" i="1"/>
  <c r="H5827" i="1"/>
  <c r="I5827" i="1"/>
  <c r="J5827" i="1"/>
  <c r="L5827" i="1"/>
  <c r="M5827" i="1"/>
  <c r="C5828" i="1"/>
  <c r="E5828" i="1"/>
  <c r="F5828" i="1"/>
  <c r="H5828" i="1"/>
  <c r="I5828" i="1"/>
  <c r="J5828" i="1"/>
  <c r="L5828" i="1"/>
  <c r="M5828" i="1"/>
  <c r="C5829" i="1"/>
  <c r="E5829" i="1"/>
  <c r="F5829" i="1"/>
  <c r="H5829" i="1"/>
  <c r="I5829" i="1"/>
  <c r="J5829" i="1"/>
  <c r="L5829" i="1"/>
  <c r="M5829" i="1"/>
  <c r="C5830" i="1"/>
  <c r="E5830" i="1"/>
  <c r="F5830" i="1"/>
  <c r="H5830" i="1"/>
  <c r="I5830" i="1"/>
  <c r="J5830" i="1"/>
  <c r="L5830" i="1"/>
  <c r="M5830" i="1"/>
  <c r="C5831" i="1"/>
  <c r="E5831" i="1"/>
  <c r="F5831" i="1"/>
  <c r="H5831" i="1"/>
  <c r="I5831" i="1"/>
  <c r="J5831" i="1"/>
  <c r="L5831" i="1"/>
  <c r="M5831" i="1"/>
  <c r="C5832" i="1"/>
  <c r="E5832" i="1"/>
  <c r="F5832" i="1"/>
  <c r="H5832" i="1"/>
  <c r="I5832" i="1"/>
  <c r="J5832" i="1"/>
  <c r="L5832" i="1"/>
  <c r="M5832" i="1"/>
  <c r="C5833" i="1"/>
  <c r="E5833" i="1"/>
  <c r="F5833" i="1"/>
  <c r="H5833" i="1"/>
  <c r="I5833" i="1"/>
  <c r="J5833" i="1"/>
  <c r="L5833" i="1"/>
  <c r="M5833" i="1"/>
  <c r="C5834" i="1"/>
  <c r="E5834" i="1"/>
  <c r="F5834" i="1"/>
  <c r="H5834" i="1"/>
  <c r="I5834" i="1"/>
  <c r="J5834" i="1"/>
  <c r="L5834" i="1"/>
  <c r="M5834" i="1"/>
  <c r="C5835" i="1"/>
  <c r="E5835" i="1"/>
  <c r="F5835" i="1"/>
  <c r="H5835" i="1"/>
  <c r="I5835" i="1"/>
  <c r="J5835" i="1"/>
  <c r="L5835" i="1"/>
  <c r="M5835" i="1"/>
  <c r="C5836" i="1"/>
  <c r="E5836" i="1"/>
  <c r="F5836" i="1"/>
  <c r="H5836" i="1"/>
  <c r="I5836" i="1"/>
  <c r="J5836" i="1"/>
  <c r="L5836" i="1"/>
  <c r="M5836" i="1"/>
  <c r="C5837" i="1"/>
  <c r="E5837" i="1"/>
  <c r="F5837" i="1"/>
  <c r="H5837" i="1"/>
  <c r="I5837" i="1"/>
  <c r="J5837" i="1"/>
  <c r="L5837" i="1"/>
  <c r="M5837" i="1"/>
  <c r="C5838" i="1"/>
  <c r="E5838" i="1"/>
  <c r="F5838" i="1"/>
  <c r="H5838" i="1"/>
  <c r="I5838" i="1"/>
  <c r="J5838" i="1"/>
  <c r="L5838" i="1"/>
  <c r="M5838" i="1"/>
  <c r="C5839" i="1"/>
  <c r="E5839" i="1"/>
  <c r="F5839" i="1"/>
  <c r="H5839" i="1"/>
  <c r="I5839" i="1"/>
  <c r="J5839" i="1"/>
  <c r="L5839" i="1"/>
  <c r="M5839" i="1"/>
  <c r="C5840" i="1"/>
  <c r="E5840" i="1"/>
  <c r="F5840" i="1"/>
  <c r="H5840" i="1"/>
  <c r="I5840" i="1"/>
  <c r="J5840" i="1"/>
  <c r="L5840" i="1"/>
  <c r="M5840" i="1"/>
  <c r="C5841" i="1"/>
  <c r="E5841" i="1"/>
  <c r="F5841" i="1"/>
  <c r="H5841" i="1"/>
  <c r="I5841" i="1"/>
  <c r="J5841" i="1"/>
  <c r="L5841" i="1"/>
  <c r="M5841" i="1"/>
  <c r="C5842" i="1"/>
  <c r="E5842" i="1"/>
  <c r="F5842" i="1"/>
  <c r="H5842" i="1"/>
  <c r="I5842" i="1"/>
  <c r="J5842" i="1"/>
  <c r="L5842" i="1"/>
  <c r="M5842" i="1"/>
  <c r="C5843" i="1"/>
  <c r="E5843" i="1"/>
  <c r="F5843" i="1"/>
  <c r="H5843" i="1"/>
  <c r="I5843" i="1"/>
  <c r="J5843" i="1"/>
  <c r="L5843" i="1"/>
  <c r="M5843" i="1"/>
  <c r="C5844" i="1"/>
  <c r="E5844" i="1"/>
  <c r="F5844" i="1"/>
  <c r="H5844" i="1"/>
  <c r="I5844" i="1"/>
  <c r="J5844" i="1"/>
  <c r="L5844" i="1"/>
  <c r="M5844" i="1"/>
  <c r="C5845" i="1"/>
  <c r="E5845" i="1"/>
  <c r="F5845" i="1"/>
  <c r="H5845" i="1"/>
  <c r="I5845" i="1"/>
  <c r="J5845" i="1"/>
  <c r="L5845" i="1"/>
  <c r="M5845" i="1"/>
  <c r="C5846" i="1"/>
  <c r="E5846" i="1"/>
  <c r="F5846" i="1"/>
  <c r="H5846" i="1"/>
  <c r="I5846" i="1"/>
  <c r="J5846" i="1"/>
  <c r="L5846" i="1"/>
  <c r="M5846" i="1"/>
  <c r="C5847" i="1"/>
  <c r="E5847" i="1"/>
  <c r="F5847" i="1"/>
  <c r="H5847" i="1"/>
  <c r="I5847" i="1"/>
  <c r="J5847" i="1"/>
  <c r="L5847" i="1"/>
  <c r="M5847" i="1"/>
  <c r="C5848" i="1"/>
  <c r="E5848" i="1"/>
  <c r="F5848" i="1"/>
  <c r="H5848" i="1"/>
  <c r="I5848" i="1"/>
  <c r="J5848" i="1"/>
  <c r="L5848" i="1"/>
  <c r="M5848" i="1"/>
  <c r="C5849" i="1"/>
  <c r="E5849" i="1"/>
  <c r="F5849" i="1"/>
  <c r="H5849" i="1"/>
  <c r="I5849" i="1"/>
  <c r="J5849" i="1"/>
  <c r="L5849" i="1"/>
  <c r="M5849" i="1"/>
  <c r="C5850" i="1"/>
  <c r="E5850" i="1"/>
  <c r="F5850" i="1"/>
  <c r="H5850" i="1"/>
  <c r="I5850" i="1"/>
  <c r="J5850" i="1"/>
  <c r="L5850" i="1"/>
  <c r="M5850" i="1"/>
  <c r="C5851" i="1"/>
  <c r="E5851" i="1"/>
  <c r="F5851" i="1"/>
  <c r="H5851" i="1"/>
  <c r="I5851" i="1"/>
  <c r="J5851" i="1"/>
  <c r="L5851" i="1"/>
  <c r="M5851" i="1"/>
  <c r="C5852" i="1"/>
  <c r="E5852" i="1"/>
  <c r="F5852" i="1"/>
  <c r="H5852" i="1"/>
  <c r="I5852" i="1"/>
  <c r="J5852" i="1"/>
  <c r="L5852" i="1"/>
  <c r="M5852" i="1"/>
  <c r="C5853" i="1"/>
  <c r="E5853" i="1"/>
  <c r="F5853" i="1"/>
  <c r="H5853" i="1"/>
  <c r="I5853" i="1"/>
  <c r="J5853" i="1"/>
  <c r="L5853" i="1"/>
  <c r="M5853" i="1"/>
  <c r="C5854" i="1"/>
  <c r="E5854" i="1"/>
  <c r="F5854" i="1"/>
  <c r="H5854" i="1"/>
  <c r="I5854" i="1"/>
  <c r="J5854" i="1"/>
  <c r="L5854" i="1"/>
  <c r="M5854" i="1"/>
  <c r="C5855" i="1"/>
  <c r="E5855" i="1"/>
  <c r="F5855" i="1"/>
  <c r="H5855" i="1"/>
  <c r="I5855" i="1"/>
  <c r="J5855" i="1"/>
  <c r="L5855" i="1"/>
  <c r="M5855" i="1"/>
  <c r="C5856" i="1"/>
  <c r="E5856" i="1"/>
  <c r="F5856" i="1"/>
  <c r="H5856" i="1"/>
  <c r="I5856" i="1"/>
  <c r="J5856" i="1"/>
  <c r="L5856" i="1"/>
  <c r="M5856" i="1"/>
  <c r="C5857" i="1"/>
  <c r="E5857" i="1"/>
  <c r="F5857" i="1"/>
  <c r="H5857" i="1"/>
  <c r="I5857" i="1"/>
  <c r="J5857" i="1"/>
  <c r="L5857" i="1"/>
  <c r="M5857" i="1"/>
  <c r="C5858" i="1"/>
  <c r="E5858" i="1"/>
  <c r="F5858" i="1"/>
  <c r="H5858" i="1"/>
  <c r="I5858" i="1"/>
  <c r="J5858" i="1"/>
  <c r="L5858" i="1"/>
  <c r="M5858" i="1"/>
  <c r="C5859" i="1"/>
  <c r="E5859" i="1"/>
  <c r="F5859" i="1"/>
  <c r="H5859" i="1"/>
  <c r="I5859" i="1"/>
  <c r="J5859" i="1"/>
  <c r="L5859" i="1"/>
  <c r="M5859" i="1"/>
  <c r="C5860" i="1"/>
  <c r="E5860" i="1"/>
  <c r="F5860" i="1"/>
  <c r="H5860" i="1"/>
  <c r="I5860" i="1"/>
  <c r="J5860" i="1"/>
  <c r="L5860" i="1"/>
  <c r="M5860" i="1"/>
  <c r="C5861" i="1"/>
  <c r="E5861" i="1"/>
  <c r="F5861" i="1"/>
  <c r="H5861" i="1"/>
  <c r="I5861" i="1"/>
  <c r="J5861" i="1"/>
  <c r="L5861" i="1"/>
  <c r="M5861" i="1"/>
  <c r="C5862" i="1"/>
  <c r="E5862" i="1"/>
  <c r="F5862" i="1"/>
  <c r="H5862" i="1"/>
  <c r="I5862" i="1"/>
  <c r="J5862" i="1"/>
  <c r="L5862" i="1"/>
  <c r="M5862" i="1"/>
  <c r="C5863" i="1"/>
  <c r="E5863" i="1"/>
  <c r="F5863" i="1"/>
  <c r="H5863" i="1"/>
  <c r="I5863" i="1"/>
  <c r="J5863" i="1"/>
  <c r="L5863" i="1"/>
  <c r="M5863" i="1"/>
  <c r="C5864" i="1"/>
  <c r="E5864" i="1"/>
  <c r="F5864" i="1"/>
  <c r="H5864" i="1"/>
  <c r="I5864" i="1"/>
  <c r="J5864" i="1"/>
  <c r="L5864" i="1"/>
  <c r="M5864" i="1"/>
  <c r="C5865" i="1"/>
  <c r="E5865" i="1"/>
  <c r="F5865" i="1"/>
  <c r="H5865" i="1"/>
  <c r="I5865" i="1"/>
  <c r="J5865" i="1"/>
  <c r="L5865" i="1"/>
  <c r="M5865" i="1"/>
  <c r="C5866" i="1"/>
  <c r="E5866" i="1"/>
  <c r="F5866" i="1"/>
  <c r="H5866" i="1"/>
  <c r="I5866" i="1"/>
  <c r="J5866" i="1"/>
  <c r="L5866" i="1"/>
  <c r="M5866" i="1"/>
  <c r="C5867" i="1"/>
  <c r="E5867" i="1"/>
  <c r="F5867" i="1"/>
  <c r="H5867" i="1"/>
  <c r="I5867" i="1"/>
  <c r="J5867" i="1"/>
  <c r="L5867" i="1"/>
  <c r="M5867" i="1"/>
  <c r="C5868" i="1"/>
  <c r="E5868" i="1"/>
  <c r="F5868" i="1"/>
  <c r="H5868" i="1"/>
  <c r="I5868" i="1"/>
  <c r="J5868" i="1"/>
  <c r="L5868" i="1"/>
  <c r="M5868" i="1"/>
  <c r="C5869" i="1"/>
  <c r="E5869" i="1"/>
  <c r="F5869" i="1"/>
  <c r="H5869" i="1"/>
  <c r="I5869" i="1"/>
  <c r="J5869" i="1"/>
  <c r="L5869" i="1"/>
  <c r="M5869" i="1"/>
  <c r="C5870" i="1"/>
  <c r="E5870" i="1"/>
  <c r="F5870" i="1"/>
  <c r="H5870" i="1"/>
  <c r="I5870" i="1"/>
  <c r="J5870" i="1"/>
  <c r="L5870" i="1"/>
  <c r="M5870" i="1"/>
  <c r="C5871" i="1"/>
  <c r="E5871" i="1"/>
  <c r="F5871" i="1"/>
  <c r="H5871" i="1"/>
  <c r="I5871" i="1"/>
  <c r="J5871" i="1"/>
  <c r="L5871" i="1"/>
  <c r="M5871" i="1"/>
  <c r="C5872" i="1"/>
  <c r="E5872" i="1"/>
  <c r="F5872" i="1"/>
  <c r="H5872" i="1"/>
  <c r="I5872" i="1"/>
  <c r="J5872" i="1"/>
  <c r="L5872" i="1"/>
  <c r="M5872" i="1"/>
  <c r="C5873" i="1"/>
  <c r="E5873" i="1"/>
  <c r="F5873" i="1"/>
  <c r="H5873" i="1"/>
  <c r="I5873" i="1"/>
  <c r="J5873" i="1"/>
  <c r="L5873" i="1"/>
  <c r="M5873" i="1"/>
  <c r="C5874" i="1"/>
  <c r="E5874" i="1"/>
  <c r="F5874" i="1"/>
  <c r="H5874" i="1"/>
  <c r="I5874" i="1"/>
  <c r="J5874" i="1"/>
  <c r="L5874" i="1"/>
  <c r="M5874" i="1"/>
  <c r="C5875" i="1"/>
  <c r="E5875" i="1"/>
  <c r="F5875" i="1"/>
  <c r="H5875" i="1"/>
  <c r="I5875" i="1"/>
  <c r="J5875" i="1"/>
  <c r="L5875" i="1"/>
  <c r="M5875" i="1"/>
  <c r="C5876" i="1"/>
  <c r="E5876" i="1"/>
  <c r="F5876" i="1"/>
  <c r="H5876" i="1"/>
  <c r="I5876" i="1"/>
  <c r="J5876" i="1"/>
  <c r="L5876" i="1"/>
  <c r="M5876" i="1"/>
  <c r="C5877" i="1"/>
  <c r="E5877" i="1"/>
  <c r="F5877" i="1"/>
  <c r="H5877" i="1"/>
  <c r="I5877" i="1"/>
  <c r="J5877" i="1"/>
  <c r="L5877" i="1"/>
  <c r="M5877" i="1"/>
  <c r="C5878" i="1"/>
  <c r="E5878" i="1"/>
  <c r="F5878" i="1"/>
  <c r="H5878" i="1"/>
  <c r="I5878" i="1"/>
  <c r="J5878" i="1"/>
  <c r="L5878" i="1"/>
  <c r="M5878" i="1"/>
  <c r="C5879" i="1"/>
  <c r="E5879" i="1"/>
  <c r="F5879" i="1"/>
  <c r="H5879" i="1"/>
  <c r="I5879" i="1"/>
  <c r="J5879" i="1"/>
  <c r="L5879" i="1"/>
  <c r="M5879" i="1"/>
  <c r="C5880" i="1"/>
  <c r="E5880" i="1"/>
  <c r="F5880" i="1"/>
  <c r="H5880" i="1"/>
  <c r="I5880" i="1"/>
  <c r="J5880" i="1"/>
  <c r="L5880" i="1"/>
  <c r="M5880" i="1"/>
  <c r="C5881" i="1"/>
  <c r="E5881" i="1"/>
  <c r="F5881" i="1"/>
  <c r="H5881" i="1"/>
  <c r="I5881" i="1"/>
  <c r="J5881" i="1"/>
  <c r="L5881" i="1"/>
  <c r="M5881" i="1"/>
  <c r="C5882" i="1"/>
  <c r="E5882" i="1"/>
  <c r="F5882" i="1"/>
  <c r="H5882" i="1"/>
  <c r="I5882" i="1"/>
  <c r="J5882" i="1"/>
  <c r="L5882" i="1"/>
  <c r="M5882" i="1"/>
  <c r="C5883" i="1"/>
  <c r="E5883" i="1"/>
  <c r="F5883" i="1"/>
  <c r="H5883" i="1"/>
  <c r="I5883" i="1"/>
  <c r="J5883" i="1"/>
  <c r="L5883" i="1"/>
  <c r="M5883" i="1"/>
  <c r="C5884" i="1"/>
  <c r="E5884" i="1"/>
  <c r="F5884" i="1"/>
  <c r="H5884" i="1"/>
  <c r="I5884" i="1"/>
  <c r="J5884" i="1"/>
  <c r="L5884" i="1"/>
  <c r="M5884" i="1"/>
  <c r="C5885" i="1"/>
  <c r="E5885" i="1"/>
  <c r="F5885" i="1"/>
  <c r="H5885" i="1"/>
  <c r="I5885" i="1"/>
  <c r="J5885" i="1"/>
  <c r="L5885" i="1"/>
  <c r="M5885" i="1"/>
  <c r="C5886" i="1"/>
  <c r="E5886" i="1"/>
  <c r="F5886" i="1"/>
  <c r="H5886" i="1"/>
  <c r="I5886" i="1"/>
  <c r="J5886" i="1"/>
  <c r="L5886" i="1"/>
  <c r="M5886" i="1"/>
  <c r="C5887" i="1"/>
  <c r="E5887" i="1"/>
  <c r="F5887" i="1"/>
  <c r="H5887" i="1"/>
  <c r="I5887" i="1"/>
  <c r="J5887" i="1"/>
  <c r="L5887" i="1"/>
  <c r="M5887" i="1"/>
  <c r="C5888" i="1"/>
  <c r="E5888" i="1"/>
  <c r="F5888" i="1"/>
  <c r="H5888" i="1"/>
  <c r="I5888" i="1"/>
  <c r="J5888" i="1"/>
  <c r="L5888" i="1"/>
  <c r="M5888" i="1"/>
  <c r="C5889" i="1"/>
  <c r="E5889" i="1"/>
  <c r="F5889" i="1"/>
  <c r="H5889" i="1"/>
  <c r="I5889" i="1"/>
  <c r="J5889" i="1"/>
  <c r="L5889" i="1"/>
  <c r="M5889" i="1"/>
  <c r="C5890" i="1"/>
  <c r="E5890" i="1"/>
  <c r="F5890" i="1"/>
  <c r="H5890" i="1"/>
  <c r="I5890" i="1"/>
  <c r="J5890" i="1"/>
  <c r="L5890" i="1"/>
  <c r="M5890" i="1"/>
  <c r="C5891" i="1"/>
  <c r="E5891" i="1"/>
  <c r="F5891" i="1"/>
  <c r="H5891" i="1"/>
  <c r="I5891" i="1"/>
  <c r="J5891" i="1"/>
  <c r="L5891" i="1"/>
  <c r="M5891" i="1"/>
  <c r="C5892" i="1"/>
  <c r="E5892" i="1"/>
  <c r="F5892" i="1"/>
  <c r="H5892" i="1"/>
  <c r="I5892" i="1"/>
  <c r="J5892" i="1"/>
  <c r="L5892" i="1"/>
  <c r="M5892" i="1"/>
  <c r="C5893" i="1"/>
  <c r="E5893" i="1"/>
  <c r="F5893" i="1"/>
  <c r="H5893" i="1"/>
  <c r="I5893" i="1"/>
  <c r="J5893" i="1"/>
  <c r="L5893" i="1"/>
  <c r="M5893" i="1"/>
  <c r="C5894" i="1"/>
  <c r="E5894" i="1"/>
  <c r="F5894" i="1"/>
  <c r="H5894" i="1"/>
  <c r="I5894" i="1"/>
  <c r="J5894" i="1"/>
  <c r="L5894" i="1"/>
  <c r="M5894" i="1"/>
  <c r="C5895" i="1"/>
  <c r="E5895" i="1"/>
  <c r="F5895" i="1"/>
  <c r="H5895" i="1"/>
  <c r="I5895" i="1"/>
  <c r="J5895" i="1"/>
  <c r="L5895" i="1"/>
  <c r="M5895" i="1"/>
  <c r="C5896" i="1"/>
  <c r="E5896" i="1"/>
  <c r="F5896" i="1"/>
  <c r="H5896" i="1"/>
  <c r="I5896" i="1"/>
  <c r="J5896" i="1"/>
  <c r="L5896" i="1"/>
  <c r="M5896" i="1"/>
  <c r="C5897" i="1"/>
  <c r="E5897" i="1"/>
  <c r="F5897" i="1"/>
  <c r="H5897" i="1"/>
  <c r="I5897" i="1"/>
  <c r="J5897" i="1"/>
  <c r="L5897" i="1"/>
  <c r="M5897" i="1"/>
  <c r="C5898" i="1"/>
  <c r="E5898" i="1"/>
  <c r="F5898" i="1"/>
  <c r="H5898" i="1"/>
  <c r="I5898" i="1"/>
  <c r="J5898" i="1"/>
  <c r="L5898" i="1"/>
  <c r="M5898" i="1"/>
  <c r="C5899" i="1"/>
  <c r="E5899" i="1"/>
  <c r="F5899" i="1"/>
  <c r="H5899" i="1"/>
  <c r="I5899" i="1"/>
  <c r="J5899" i="1"/>
  <c r="L5899" i="1"/>
  <c r="M5899" i="1"/>
  <c r="C5900" i="1"/>
  <c r="E5900" i="1"/>
  <c r="F5900" i="1"/>
  <c r="H5900" i="1"/>
  <c r="I5900" i="1"/>
  <c r="J5900" i="1"/>
  <c r="L5900" i="1"/>
  <c r="M5900" i="1"/>
  <c r="C5901" i="1"/>
  <c r="E5901" i="1"/>
  <c r="F5901" i="1"/>
  <c r="H5901" i="1"/>
  <c r="I5901" i="1"/>
  <c r="J5901" i="1"/>
  <c r="L5901" i="1"/>
  <c r="M5901" i="1"/>
  <c r="C5902" i="1"/>
  <c r="E5902" i="1"/>
  <c r="F5902" i="1"/>
  <c r="H5902" i="1"/>
  <c r="I5902" i="1"/>
  <c r="J5902" i="1"/>
  <c r="L5902" i="1"/>
  <c r="M5902" i="1"/>
  <c r="C5903" i="1"/>
  <c r="E5903" i="1"/>
  <c r="F5903" i="1"/>
  <c r="H5903" i="1"/>
  <c r="I5903" i="1"/>
  <c r="J5903" i="1"/>
  <c r="L5903" i="1"/>
  <c r="M5903" i="1"/>
  <c r="C5904" i="1"/>
  <c r="E5904" i="1"/>
  <c r="F5904" i="1"/>
  <c r="H5904" i="1"/>
  <c r="I5904" i="1"/>
  <c r="J5904" i="1"/>
  <c r="L5904" i="1"/>
  <c r="M5904" i="1"/>
  <c r="C5905" i="1"/>
  <c r="E5905" i="1"/>
  <c r="F5905" i="1"/>
  <c r="H5905" i="1"/>
  <c r="I5905" i="1"/>
  <c r="J5905" i="1"/>
  <c r="L5905" i="1"/>
  <c r="M5905" i="1"/>
  <c r="C5906" i="1"/>
  <c r="E5906" i="1"/>
  <c r="F5906" i="1"/>
  <c r="H5906" i="1"/>
  <c r="I5906" i="1"/>
  <c r="J5906" i="1"/>
  <c r="L5906" i="1"/>
  <c r="M5906" i="1"/>
  <c r="C5907" i="1"/>
  <c r="E5907" i="1"/>
  <c r="F5907" i="1"/>
  <c r="H5907" i="1"/>
  <c r="I5907" i="1"/>
  <c r="J5907" i="1"/>
  <c r="L5907" i="1"/>
  <c r="M5907" i="1"/>
  <c r="C5908" i="1"/>
  <c r="E5908" i="1"/>
  <c r="F5908" i="1"/>
  <c r="H5908" i="1"/>
  <c r="I5908" i="1"/>
  <c r="J5908" i="1"/>
  <c r="L5908" i="1"/>
  <c r="M5908" i="1"/>
  <c r="C5909" i="1"/>
  <c r="E5909" i="1"/>
  <c r="F5909" i="1"/>
  <c r="H5909" i="1"/>
  <c r="I5909" i="1"/>
  <c r="J5909" i="1"/>
  <c r="L5909" i="1"/>
  <c r="M5909" i="1"/>
  <c r="C5910" i="1"/>
  <c r="E5910" i="1"/>
  <c r="F5910" i="1"/>
  <c r="H5910" i="1"/>
  <c r="I5910" i="1"/>
  <c r="J5910" i="1"/>
  <c r="L5910" i="1"/>
  <c r="M5910" i="1"/>
  <c r="C5911" i="1"/>
  <c r="E5911" i="1"/>
  <c r="F5911" i="1"/>
  <c r="H5911" i="1"/>
  <c r="I5911" i="1"/>
  <c r="J5911" i="1"/>
  <c r="L5911" i="1"/>
  <c r="M5911" i="1"/>
  <c r="C5912" i="1"/>
  <c r="E5912" i="1"/>
  <c r="F5912" i="1"/>
  <c r="H5912" i="1"/>
  <c r="I5912" i="1"/>
  <c r="J5912" i="1"/>
  <c r="L5912" i="1"/>
  <c r="M5912" i="1"/>
  <c r="C5913" i="1"/>
  <c r="E5913" i="1"/>
  <c r="F5913" i="1"/>
  <c r="H5913" i="1"/>
  <c r="I5913" i="1"/>
  <c r="J5913" i="1"/>
  <c r="L5913" i="1"/>
  <c r="M5913" i="1"/>
  <c r="C5914" i="1"/>
  <c r="E5914" i="1"/>
  <c r="F5914" i="1"/>
  <c r="H5914" i="1"/>
  <c r="I5914" i="1"/>
  <c r="J5914" i="1"/>
  <c r="L5914" i="1"/>
  <c r="M5914" i="1"/>
  <c r="C5915" i="1"/>
  <c r="E5915" i="1"/>
  <c r="F5915" i="1"/>
  <c r="H5915" i="1"/>
  <c r="I5915" i="1"/>
  <c r="J5915" i="1"/>
  <c r="L5915" i="1"/>
  <c r="M5915" i="1"/>
  <c r="C5916" i="1"/>
  <c r="E5916" i="1"/>
  <c r="F5916" i="1"/>
  <c r="H5916" i="1"/>
  <c r="I5916" i="1"/>
  <c r="J5916" i="1"/>
  <c r="L5916" i="1"/>
  <c r="M5916" i="1"/>
  <c r="C5917" i="1"/>
  <c r="E5917" i="1"/>
  <c r="F5917" i="1"/>
  <c r="H5917" i="1"/>
  <c r="I5917" i="1"/>
  <c r="J5917" i="1"/>
  <c r="L5917" i="1"/>
  <c r="M5917" i="1"/>
  <c r="C5918" i="1"/>
  <c r="E5918" i="1"/>
  <c r="F5918" i="1"/>
  <c r="H5918" i="1"/>
  <c r="I5918" i="1"/>
  <c r="J5918" i="1"/>
  <c r="L5918" i="1"/>
  <c r="M5918" i="1"/>
  <c r="C5919" i="1"/>
  <c r="E5919" i="1"/>
  <c r="F5919" i="1"/>
  <c r="H5919" i="1"/>
  <c r="I5919" i="1"/>
  <c r="J5919" i="1"/>
  <c r="L5919" i="1"/>
  <c r="M5919" i="1"/>
  <c r="C5920" i="1"/>
  <c r="E5920" i="1"/>
  <c r="F5920" i="1"/>
  <c r="H5920" i="1"/>
  <c r="I5920" i="1"/>
  <c r="J5920" i="1"/>
  <c r="L5920" i="1"/>
  <c r="M5920" i="1"/>
  <c r="C5921" i="1"/>
  <c r="E5921" i="1"/>
  <c r="F5921" i="1"/>
  <c r="H5921" i="1"/>
  <c r="I5921" i="1"/>
  <c r="J5921" i="1"/>
  <c r="L5921" i="1"/>
  <c r="M5921" i="1"/>
  <c r="C5922" i="1"/>
  <c r="E5922" i="1"/>
  <c r="F5922" i="1"/>
  <c r="H5922" i="1"/>
  <c r="I5922" i="1"/>
  <c r="J5922" i="1"/>
  <c r="L5922" i="1"/>
  <c r="M5922" i="1"/>
  <c r="C5923" i="1"/>
  <c r="E5923" i="1"/>
  <c r="F5923" i="1"/>
  <c r="H5923" i="1"/>
  <c r="I5923" i="1"/>
  <c r="J5923" i="1"/>
  <c r="L5923" i="1"/>
  <c r="M5923" i="1"/>
  <c r="C5924" i="1"/>
  <c r="E5924" i="1"/>
  <c r="F5924" i="1"/>
  <c r="H5924" i="1"/>
  <c r="I5924" i="1"/>
  <c r="J5924" i="1"/>
  <c r="L5924" i="1"/>
  <c r="M5924" i="1"/>
  <c r="C5925" i="1"/>
  <c r="E5925" i="1"/>
  <c r="F5925" i="1"/>
  <c r="H5925" i="1"/>
  <c r="I5925" i="1"/>
  <c r="J5925" i="1"/>
  <c r="L5925" i="1"/>
  <c r="M5925" i="1"/>
  <c r="C5926" i="1"/>
  <c r="E5926" i="1"/>
  <c r="F5926" i="1"/>
  <c r="H5926" i="1"/>
  <c r="I5926" i="1"/>
  <c r="J5926" i="1"/>
  <c r="L5926" i="1"/>
  <c r="M5926" i="1"/>
  <c r="C5927" i="1"/>
  <c r="E5927" i="1"/>
  <c r="F5927" i="1"/>
  <c r="H5927" i="1"/>
  <c r="I5927" i="1"/>
  <c r="J5927" i="1"/>
  <c r="L5927" i="1"/>
  <c r="M5927" i="1"/>
  <c r="C5928" i="1"/>
  <c r="E5928" i="1"/>
  <c r="F5928" i="1"/>
  <c r="H5928" i="1"/>
  <c r="I5928" i="1"/>
  <c r="J5928" i="1"/>
  <c r="L5928" i="1"/>
  <c r="M5928" i="1"/>
  <c r="C5929" i="1"/>
  <c r="E5929" i="1"/>
  <c r="F5929" i="1"/>
  <c r="H5929" i="1"/>
  <c r="I5929" i="1"/>
  <c r="J5929" i="1"/>
  <c r="L5929" i="1"/>
  <c r="M5929" i="1"/>
  <c r="C5930" i="1"/>
  <c r="E5930" i="1"/>
  <c r="F5930" i="1"/>
  <c r="H5930" i="1"/>
  <c r="I5930" i="1"/>
  <c r="J5930" i="1"/>
  <c r="L5930" i="1"/>
  <c r="M5930" i="1"/>
  <c r="C5931" i="1"/>
  <c r="E5931" i="1"/>
  <c r="F5931" i="1"/>
  <c r="H5931" i="1"/>
  <c r="I5931" i="1"/>
  <c r="J5931" i="1"/>
  <c r="L5931" i="1"/>
  <c r="M5931" i="1"/>
  <c r="C5932" i="1"/>
  <c r="E5932" i="1"/>
  <c r="F5932" i="1"/>
  <c r="H5932" i="1"/>
  <c r="I5932" i="1"/>
  <c r="J5932" i="1"/>
  <c r="L5932" i="1"/>
  <c r="M5932" i="1"/>
  <c r="C5933" i="1"/>
  <c r="E5933" i="1"/>
  <c r="F5933" i="1"/>
  <c r="H5933" i="1"/>
  <c r="I5933" i="1"/>
  <c r="J5933" i="1"/>
  <c r="L5933" i="1"/>
  <c r="M5933" i="1"/>
  <c r="C5934" i="1"/>
  <c r="E5934" i="1"/>
  <c r="F5934" i="1"/>
  <c r="H5934" i="1"/>
  <c r="I5934" i="1"/>
  <c r="J5934" i="1"/>
  <c r="L5934" i="1"/>
  <c r="M5934" i="1"/>
  <c r="C5935" i="1"/>
  <c r="E5935" i="1"/>
  <c r="F5935" i="1"/>
  <c r="H5935" i="1"/>
  <c r="I5935" i="1"/>
  <c r="J5935" i="1"/>
  <c r="L5935" i="1"/>
  <c r="M5935" i="1"/>
  <c r="C5936" i="1"/>
  <c r="E5936" i="1"/>
  <c r="F5936" i="1"/>
  <c r="H5936" i="1"/>
  <c r="I5936" i="1"/>
  <c r="J5936" i="1"/>
  <c r="L5936" i="1"/>
  <c r="M5936" i="1"/>
  <c r="C5937" i="1"/>
  <c r="E5937" i="1"/>
  <c r="F5937" i="1"/>
  <c r="H5937" i="1"/>
  <c r="I5937" i="1"/>
  <c r="J5937" i="1"/>
  <c r="L5937" i="1"/>
  <c r="M5937" i="1"/>
  <c r="C5938" i="1"/>
  <c r="E5938" i="1"/>
  <c r="F5938" i="1"/>
  <c r="H5938" i="1"/>
  <c r="I5938" i="1"/>
  <c r="J5938" i="1"/>
  <c r="L5938" i="1"/>
  <c r="M5938" i="1"/>
  <c r="C5939" i="1"/>
  <c r="E5939" i="1"/>
  <c r="F5939" i="1"/>
  <c r="H5939" i="1"/>
  <c r="I5939" i="1"/>
  <c r="J5939" i="1"/>
  <c r="L5939" i="1"/>
  <c r="M5939" i="1"/>
  <c r="C5940" i="1"/>
  <c r="E5940" i="1"/>
  <c r="F5940" i="1"/>
  <c r="H5940" i="1"/>
  <c r="I5940" i="1"/>
  <c r="J5940" i="1"/>
  <c r="L5940" i="1"/>
  <c r="M5940" i="1"/>
  <c r="C5941" i="1"/>
  <c r="E5941" i="1"/>
  <c r="F5941" i="1"/>
  <c r="H5941" i="1"/>
  <c r="I5941" i="1"/>
  <c r="J5941" i="1"/>
  <c r="L5941" i="1"/>
  <c r="M5941" i="1"/>
  <c r="C5942" i="1"/>
  <c r="E5942" i="1"/>
  <c r="F5942" i="1"/>
  <c r="H5942" i="1"/>
  <c r="I5942" i="1"/>
  <c r="J5942" i="1"/>
  <c r="L5942" i="1"/>
  <c r="M5942" i="1"/>
  <c r="C5943" i="1"/>
  <c r="E5943" i="1"/>
  <c r="F5943" i="1"/>
  <c r="H5943" i="1"/>
  <c r="I5943" i="1"/>
  <c r="J5943" i="1"/>
  <c r="L5943" i="1"/>
  <c r="M5943" i="1"/>
  <c r="C5944" i="1"/>
  <c r="E5944" i="1"/>
  <c r="F5944" i="1"/>
  <c r="H5944" i="1"/>
  <c r="I5944" i="1"/>
  <c r="J5944" i="1"/>
  <c r="L5944" i="1"/>
  <c r="M5944" i="1"/>
  <c r="C5945" i="1"/>
  <c r="E5945" i="1"/>
  <c r="F5945" i="1"/>
  <c r="H5945" i="1"/>
  <c r="I5945" i="1"/>
  <c r="J5945" i="1"/>
  <c r="L5945" i="1"/>
  <c r="M5945" i="1"/>
  <c r="C5946" i="1"/>
  <c r="E5946" i="1"/>
  <c r="F5946" i="1"/>
  <c r="H5946" i="1"/>
  <c r="I5946" i="1"/>
  <c r="J5946" i="1"/>
  <c r="L5946" i="1"/>
  <c r="M5946" i="1"/>
  <c r="C5947" i="1"/>
  <c r="E5947" i="1"/>
  <c r="F5947" i="1"/>
  <c r="H5947" i="1"/>
  <c r="I5947" i="1"/>
  <c r="J5947" i="1"/>
  <c r="L5947" i="1"/>
  <c r="M5947" i="1"/>
  <c r="C5948" i="1"/>
  <c r="E5948" i="1"/>
  <c r="F5948" i="1"/>
  <c r="H5948" i="1"/>
  <c r="I5948" i="1"/>
  <c r="J5948" i="1"/>
  <c r="L5948" i="1"/>
  <c r="M5948" i="1"/>
  <c r="C5949" i="1"/>
  <c r="E5949" i="1"/>
  <c r="F5949" i="1"/>
  <c r="H5949" i="1"/>
  <c r="I5949" i="1"/>
  <c r="J5949" i="1"/>
  <c r="L5949" i="1"/>
  <c r="M5949" i="1"/>
  <c r="C5950" i="1"/>
  <c r="E5950" i="1"/>
  <c r="F5950" i="1"/>
  <c r="H5950" i="1"/>
  <c r="I5950" i="1"/>
  <c r="J5950" i="1"/>
  <c r="L5950" i="1"/>
  <c r="M5950" i="1"/>
  <c r="C5951" i="1"/>
  <c r="E5951" i="1"/>
  <c r="F5951" i="1"/>
  <c r="H5951" i="1"/>
  <c r="I5951" i="1"/>
  <c r="J5951" i="1"/>
  <c r="L5951" i="1"/>
  <c r="M5951" i="1"/>
  <c r="C5952" i="1"/>
  <c r="E5952" i="1"/>
  <c r="F5952" i="1"/>
  <c r="H5952" i="1"/>
  <c r="I5952" i="1"/>
  <c r="J5952" i="1"/>
  <c r="L5952" i="1"/>
  <c r="M5952" i="1"/>
  <c r="C5953" i="1"/>
  <c r="E5953" i="1"/>
  <c r="F5953" i="1"/>
  <c r="H5953" i="1"/>
  <c r="I5953" i="1"/>
  <c r="J5953" i="1"/>
  <c r="L5953" i="1"/>
  <c r="M5953" i="1"/>
  <c r="C5954" i="1"/>
  <c r="E5954" i="1"/>
  <c r="F5954" i="1"/>
  <c r="H5954" i="1"/>
  <c r="I5954" i="1"/>
  <c r="J5954" i="1"/>
  <c r="L5954" i="1"/>
  <c r="M5954" i="1"/>
  <c r="C5955" i="1"/>
  <c r="E5955" i="1"/>
  <c r="F5955" i="1"/>
  <c r="H5955" i="1"/>
  <c r="I5955" i="1"/>
  <c r="J5955" i="1"/>
  <c r="L5955" i="1"/>
  <c r="M5955" i="1"/>
  <c r="C5956" i="1"/>
  <c r="E5956" i="1"/>
  <c r="F5956" i="1"/>
  <c r="H5956" i="1"/>
  <c r="I5956" i="1"/>
  <c r="J5956" i="1"/>
  <c r="L5956" i="1"/>
  <c r="M5956" i="1"/>
  <c r="C5957" i="1"/>
  <c r="E5957" i="1"/>
  <c r="F5957" i="1"/>
  <c r="H5957" i="1"/>
  <c r="I5957" i="1"/>
  <c r="J5957" i="1"/>
  <c r="L5957" i="1"/>
  <c r="M5957" i="1"/>
  <c r="C5958" i="1"/>
  <c r="E5958" i="1"/>
  <c r="F5958" i="1"/>
  <c r="H5958" i="1"/>
  <c r="I5958" i="1"/>
  <c r="J5958" i="1"/>
  <c r="L5958" i="1"/>
  <c r="M5958" i="1"/>
  <c r="C5959" i="1"/>
  <c r="E5959" i="1"/>
  <c r="F5959" i="1"/>
  <c r="H5959" i="1"/>
  <c r="I5959" i="1"/>
  <c r="J5959" i="1"/>
  <c r="L5959" i="1"/>
  <c r="M5959" i="1"/>
  <c r="C5960" i="1"/>
  <c r="E5960" i="1"/>
  <c r="F5960" i="1"/>
  <c r="H5960" i="1"/>
  <c r="I5960" i="1"/>
  <c r="J5960" i="1"/>
  <c r="L5960" i="1"/>
  <c r="M5960" i="1"/>
  <c r="C5961" i="1"/>
  <c r="E5961" i="1"/>
  <c r="F5961" i="1"/>
  <c r="H5961" i="1"/>
  <c r="I5961" i="1"/>
  <c r="J5961" i="1"/>
  <c r="L5961" i="1"/>
  <c r="M5961" i="1"/>
  <c r="C5962" i="1"/>
  <c r="E5962" i="1"/>
  <c r="F5962" i="1"/>
  <c r="H5962" i="1"/>
  <c r="I5962" i="1"/>
  <c r="J5962" i="1"/>
  <c r="L5962" i="1"/>
  <c r="M5962" i="1"/>
  <c r="C5963" i="1"/>
  <c r="E5963" i="1"/>
  <c r="F5963" i="1"/>
  <c r="H5963" i="1"/>
  <c r="I5963" i="1"/>
  <c r="J5963" i="1"/>
  <c r="L5963" i="1"/>
  <c r="M5963" i="1"/>
  <c r="C5964" i="1"/>
  <c r="E5964" i="1"/>
  <c r="F5964" i="1"/>
  <c r="H5964" i="1"/>
  <c r="I5964" i="1"/>
  <c r="J5964" i="1"/>
  <c r="L5964" i="1"/>
  <c r="M5964" i="1"/>
  <c r="C5965" i="1"/>
  <c r="E5965" i="1"/>
  <c r="F5965" i="1"/>
  <c r="H5965" i="1"/>
  <c r="I5965" i="1"/>
  <c r="J5965" i="1"/>
  <c r="L5965" i="1"/>
  <c r="M5965" i="1"/>
  <c r="C5966" i="1"/>
  <c r="E5966" i="1"/>
  <c r="F5966" i="1"/>
  <c r="H5966" i="1"/>
  <c r="I5966" i="1"/>
  <c r="J5966" i="1"/>
  <c r="L5966" i="1"/>
  <c r="M5966" i="1"/>
  <c r="C5967" i="1"/>
  <c r="E5967" i="1"/>
  <c r="F5967" i="1"/>
  <c r="H5967" i="1"/>
  <c r="I5967" i="1"/>
  <c r="J5967" i="1"/>
  <c r="L5967" i="1"/>
  <c r="M5967" i="1"/>
  <c r="C5968" i="1"/>
  <c r="E5968" i="1"/>
  <c r="F5968" i="1"/>
  <c r="H5968" i="1"/>
  <c r="I5968" i="1"/>
  <c r="J5968" i="1"/>
  <c r="L5968" i="1"/>
  <c r="M5968" i="1"/>
  <c r="C5969" i="1"/>
  <c r="E5969" i="1"/>
  <c r="F5969" i="1"/>
  <c r="H5969" i="1"/>
  <c r="I5969" i="1"/>
  <c r="J5969" i="1"/>
  <c r="L5969" i="1"/>
  <c r="M5969" i="1"/>
  <c r="C5970" i="1"/>
  <c r="E5970" i="1"/>
  <c r="F5970" i="1"/>
  <c r="H5970" i="1"/>
  <c r="I5970" i="1"/>
  <c r="J5970" i="1"/>
  <c r="L5970" i="1"/>
  <c r="M5970" i="1"/>
  <c r="C5971" i="1"/>
  <c r="E5971" i="1"/>
  <c r="F5971" i="1"/>
  <c r="H5971" i="1"/>
  <c r="I5971" i="1"/>
  <c r="J5971" i="1"/>
  <c r="L5971" i="1"/>
  <c r="M5971" i="1"/>
  <c r="C5972" i="1"/>
  <c r="E5972" i="1"/>
  <c r="F5972" i="1"/>
  <c r="H5972" i="1"/>
  <c r="I5972" i="1"/>
  <c r="J5972" i="1"/>
  <c r="L5972" i="1"/>
  <c r="M5972" i="1"/>
  <c r="C5973" i="1"/>
  <c r="E5973" i="1"/>
  <c r="F5973" i="1"/>
  <c r="H5973" i="1"/>
  <c r="I5973" i="1"/>
  <c r="J5973" i="1"/>
  <c r="L5973" i="1"/>
  <c r="M5973" i="1"/>
  <c r="C5974" i="1"/>
  <c r="E5974" i="1"/>
  <c r="F5974" i="1"/>
  <c r="H5974" i="1"/>
  <c r="I5974" i="1"/>
  <c r="J5974" i="1"/>
  <c r="L5974" i="1"/>
  <c r="M5974" i="1"/>
  <c r="C5975" i="1"/>
  <c r="E5975" i="1"/>
  <c r="F5975" i="1"/>
  <c r="H5975" i="1"/>
  <c r="I5975" i="1"/>
  <c r="J5975" i="1"/>
  <c r="L5975" i="1"/>
  <c r="M5975" i="1"/>
  <c r="C5976" i="1"/>
  <c r="E5976" i="1"/>
  <c r="F5976" i="1"/>
  <c r="H5976" i="1"/>
  <c r="I5976" i="1"/>
  <c r="J5976" i="1"/>
  <c r="L5976" i="1"/>
  <c r="M5976" i="1"/>
  <c r="C5977" i="1"/>
  <c r="E5977" i="1"/>
  <c r="F5977" i="1"/>
  <c r="H5977" i="1"/>
  <c r="I5977" i="1"/>
  <c r="J5977" i="1"/>
  <c r="L5977" i="1"/>
  <c r="M5977" i="1"/>
  <c r="C5978" i="1"/>
  <c r="E5978" i="1"/>
  <c r="F5978" i="1"/>
  <c r="H5978" i="1"/>
  <c r="I5978" i="1"/>
  <c r="J5978" i="1"/>
  <c r="L5978" i="1"/>
  <c r="M5978" i="1"/>
  <c r="C5979" i="1"/>
  <c r="E5979" i="1"/>
  <c r="F5979" i="1"/>
  <c r="H5979" i="1"/>
  <c r="I5979" i="1"/>
  <c r="J5979" i="1"/>
  <c r="L5979" i="1"/>
  <c r="M5979" i="1"/>
  <c r="C5980" i="1"/>
  <c r="E5980" i="1"/>
  <c r="F5980" i="1"/>
  <c r="H5980" i="1"/>
  <c r="I5980" i="1"/>
  <c r="J5980" i="1"/>
  <c r="L5980" i="1"/>
  <c r="M5980" i="1"/>
  <c r="C5981" i="1"/>
  <c r="E5981" i="1"/>
  <c r="F5981" i="1"/>
  <c r="H5981" i="1"/>
  <c r="I5981" i="1"/>
  <c r="J5981" i="1"/>
  <c r="L5981" i="1"/>
  <c r="M5981" i="1"/>
  <c r="C5982" i="1"/>
  <c r="E5982" i="1"/>
  <c r="F5982" i="1"/>
  <c r="H5982" i="1"/>
  <c r="I5982" i="1"/>
  <c r="J5982" i="1"/>
  <c r="L5982" i="1"/>
  <c r="M5982" i="1"/>
  <c r="C5983" i="1"/>
  <c r="E5983" i="1"/>
  <c r="F5983" i="1"/>
  <c r="H5983" i="1"/>
  <c r="I5983" i="1"/>
  <c r="J5983" i="1"/>
  <c r="L5983" i="1"/>
  <c r="M5983" i="1"/>
  <c r="C5984" i="1"/>
  <c r="E5984" i="1"/>
  <c r="F5984" i="1"/>
  <c r="H5984" i="1"/>
  <c r="I5984" i="1"/>
  <c r="J5984" i="1"/>
  <c r="L5984" i="1"/>
  <c r="M5984" i="1"/>
  <c r="C5985" i="1"/>
  <c r="E5985" i="1"/>
  <c r="F5985" i="1"/>
  <c r="H5985" i="1"/>
  <c r="I5985" i="1"/>
  <c r="J5985" i="1"/>
  <c r="L5985" i="1"/>
  <c r="M5985" i="1"/>
  <c r="C5986" i="1"/>
  <c r="E5986" i="1"/>
  <c r="F5986" i="1"/>
  <c r="H5986" i="1"/>
  <c r="I5986" i="1"/>
  <c r="J5986" i="1"/>
  <c r="L5986" i="1"/>
  <c r="M5986" i="1"/>
  <c r="C5987" i="1"/>
  <c r="E5987" i="1"/>
  <c r="F5987" i="1"/>
  <c r="H5987" i="1"/>
  <c r="I5987" i="1"/>
  <c r="J5987" i="1"/>
  <c r="L5987" i="1"/>
  <c r="M5987" i="1"/>
  <c r="C5988" i="1"/>
  <c r="E5988" i="1"/>
  <c r="F5988" i="1"/>
  <c r="H5988" i="1"/>
  <c r="I5988" i="1"/>
  <c r="J5988" i="1"/>
  <c r="L5988" i="1"/>
  <c r="M5988" i="1"/>
  <c r="C5989" i="1"/>
  <c r="E5989" i="1"/>
  <c r="F5989" i="1"/>
  <c r="H5989" i="1"/>
  <c r="I5989" i="1"/>
  <c r="J5989" i="1"/>
  <c r="L5989" i="1"/>
  <c r="M5989" i="1"/>
  <c r="C5990" i="1"/>
  <c r="E5990" i="1"/>
  <c r="F5990" i="1"/>
  <c r="H5990" i="1"/>
  <c r="I5990" i="1"/>
  <c r="J5990" i="1"/>
  <c r="L5990" i="1"/>
  <c r="M5990" i="1"/>
  <c r="C5991" i="1"/>
  <c r="E5991" i="1"/>
  <c r="F5991" i="1"/>
  <c r="H5991" i="1"/>
  <c r="I5991" i="1"/>
  <c r="J5991" i="1"/>
  <c r="L5991" i="1"/>
  <c r="M5991" i="1"/>
  <c r="C5992" i="1"/>
  <c r="E5992" i="1"/>
  <c r="F5992" i="1"/>
  <c r="H5992" i="1"/>
  <c r="I5992" i="1"/>
  <c r="J5992" i="1"/>
  <c r="L5992" i="1"/>
  <c r="M5992" i="1"/>
  <c r="C5993" i="1"/>
  <c r="E5993" i="1"/>
  <c r="F5993" i="1"/>
  <c r="H5993" i="1"/>
  <c r="I5993" i="1"/>
  <c r="J5993" i="1"/>
  <c r="L5993" i="1"/>
  <c r="M5993" i="1"/>
  <c r="C5994" i="1"/>
  <c r="E5994" i="1"/>
  <c r="F5994" i="1"/>
  <c r="H5994" i="1"/>
  <c r="I5994" i="1"/>
  <c r="J5994" i="1"/>
  <c r="L5994" i="1"/>
  <c r="M5994" i="1"/>
  <c r="C5995" i="1"/>
  <c r="E5995" i="1"/>
  <c r="F5995" i="1"/>
  <c r="H5995" i="1"/>
  <c r="I5995" i="1"/>
  <c r="J5995" i="1"/>
  <c r="L5995" i="1"/>
  <c r="M5995" i="1"/>
  <c r="C5996" i="1"/>
  <c r="E5996" i="1"/>
  <c r="F5996" i="1"/>
  <c r="H5996" i="1"/>
  <c r="I5996" i="1"/>
  <c r="J5996" i="1"/>
  <c r="L5996" i="1"/>
  <c r="M5996" i="1"/>
  <c r="C5997" i="1"/>
  <c r="E5997" i="1"/>
  <c r="F5997" i="1"/>
  <c r="H5997" i="1"/>
  <c r="I5997" i="1"/>
  <c r="J5997" i="1"/>
  <c r="L5997" i="1"/>
  <c r="M5997" i="1"/>
  <c r="C5998" i="1"/>
  <c r="E5998" i="1"/>
  <c r="F5998" i="1"/>
  <c r="H5998" i="1"/>
  <c r="I5998" i="1"/>
  <c r="J5998" i="1"/>
  <c r="L5998" i="1"/>
  <c r="M5998" i="1"/>
  <c r="C5999" i="1"/>
  <c r="E5999" i="1"/>
  <c r="F5999" i="1"/>
  <c r="H5999" i="1"/>
  <c r="I5999" i="1"/>
  <c r="J5999" i="1"/>
  <c r="L5999" i="1"/>
  <c r="M5999" i="1"/>
  <c r="C6000" i="1"/>
  <c r="E6000" i="1"/>
  <c r="F6000" i="1"/>
  <c r="H6000" i="1"/>
  <c r="I6000" i="1"/>
  <c r="J6000" i="1"/>
  <c r="L6000" i="1"/>
  <c r="M6000" i="1"/>
  <c r="C6001" i="1"/>
  <c r="E6001" i="1"/>
  <c r="F6001" i="1"/>
  <c r="H6001" i="1"/>
  <c r="I6001" i="1"/>
  <c r="J6001" i="1"/>
  <c r="L6001" i="1"/>
  <c r="M6001" i="1"/>
  <c r="C6002" i="1"/>
  <c r="E6002" i="1"/>
  <c r="F6002" i="1"/>
  <c r="H6002" i="1"/>
  <c r="I6002" i="1"/>
  <c r="J6002" i="1"/>
  <c r="L6002" i="1"/>
  <c r="M6002" i="1"/>
  <c r="C6003" i="1"/>
  <c r="E6003" i="1"/>
  <c r="F6003" i="1"/>
  <c r="H6003" i="1"/>
  <c r="I6003" i="1"/>
  <c r="J6003" i="1"/>
  <c r="L6003" i="1"/>
  <c r="M6003" i="1"/>
  <c r="C6004" i="1"/>
  <c r="E6004" i="1"/>
  <c r="F6004" i="1"/>
  <c r="H6004" i="1"/>
  <c r="I6004" i="1"/>
  <c r="J6004" i="1"/>
  <c r="L6004" i="1"/>
  <c r="M6004" i="1"/>
  <c r="C6005" i="1"/>
  <c r="E6005" i="1"/>
  <c r="F6005" i="1"/>
  <c r="H6005" i="1"/>
  <c r="I6005" i="1"/>
  <c r="J6005" i="1"/>
  <c r="L6005" i="1"/>
  <c r="M6005" i="1"/>
  <c r="C6006" i="1"/>
  <c r="E6006" i="1"/>
  <c r="F6006" i="1"/>
  <c r="H6006" i="1"/>
  <c r="I6006" i="1"/>
  <c r="J6006" i="1"/>
  <c r="L6006" i="1"/>
  <c r="M6006" i="1"/>
  <c r="C6007" i="1"/>
  <c r="E6007" i="1"/>
  <c r="F6007" i="1"/>
  <c r="H6007" i="1"/>
  <c r="I6007" i="1"/>
  <c r="J6007" i="1"/>
  <c r="L6007" i="1"/>
  <c r="M6007" i="1"/>
  <c r="C6008" i="1"/>
  <c r="E6008" i="1"/>
  <c r="F6008" i="1"/>
  <c r="H6008" i="1"/>
  <c r="I6008" i="1"/>
  <c r="J6008" i="1"/>
  <c r="L6008" i="1"/>
  <c r="M6008" i="1"/>
  <c r="C6009" i="1"/>
  <c r="E6009" i="1"/>
  <c r="F6009" i="1"/>
  <c r="H6009" i="1"/>
  <c r="I6009" i="1"/>
  <c r="J6009" i="1"/>
  <c r="L6009" i="1"/>
  <c r="M6009" i="1"/>
  <c r="C6010" i="1"/>
  <c r="E6010" i="1"/>
  <c r="F6010" i="1"/>
  <c r="H6010" i="1"/>
  <c r="I6010" i="1"/>
  <c r="J6010" i="1"/>
  <c r="L6010" i="1"/>
  <c r="M6010" i="1"/>
  <c r="C6011" i="1"/>
  <c r="E6011" i="1"/>
  <c r="F6011" i="1"/>
  <c r="H6011" i="1"/>
  <c r="I6011" i="1"/>
  <c r="J6011" i="1"/>
  <c r="L6011" i="1"/>
  <c r="M6011" i="1"/>
  <c r="C6012" i="1"/>
  <c r="E6012" i="1"/>
  <c r="F6012" i="1"/>
  <c r="H6012" i="1"/>
  <c r="I6012" i="1"/>
  <c r="J6012" i="1"/>
  <c r="L6012" i="1"/>
  <c r="M6012" i="1"/>
  <c r="C6013" i="1"/>
  <c r="E6013" i="1"/>
  <c r="F6013" i="1"/>
  <c r="H6013" i="1"/>
  <c r="I6013" i="1"/>
  <c r="J6013" i="1"/>
  <c r="L6013" i="1"/>
  <c r="M6013" i="1"/>
  <c r="C6014" i="1"/>
  <c r="E6014" i="1"/>
  <c r="F6014" i="1"/>
  <c r="H6014" i="1"/>
  <c r="I6014" i="1"/>
  <c r="J6014" i="1"/>
  <c r="L6014" i="1"/>
  <c r="M6014" i="1"/>
  <c r="C6015" i="1"/>
  <c r="E6015" i="1"/>
  <c r="F6015" i="1"/>
  <c r="H6015" i="1"/>
  <c r="I6015" i="1"/>
  <c r="J6015" i="1"/>
  <c r="L6015" i="1"/>
  <c r="M6015" i="1"/>
  <c r="C6016" i="1"/>
  <c r="E6016" i="1"/>
  <c r="F6016" i="1"/>
  <c r="H6016" i="1"/>
  <c r="I6016" i="1"/>
  <c r="J6016" i="1"/>
  <c r="L6016" i="1"/>
  <c r="M6016" i="1"/>
  <c r="C6017" i="1"/>
  <c r="E6017" i="1"/>
  <c r="F6017" i="1"/>
  <c r="H6017" i="1"/>
  <c r="I6017" i="1"/>
  <c r="J6017" i="1"/>
  <c r="L6017" i="1"/>
  <c r="M6017" i="1"/>
  <c r="C6018" i="1"/>
  <c r="E6018" i="1"/>
  <c r="F6018" i="1"/>
  <c r="H6018" i="1"/>
  <c r="I6018" i="1"/>
  <c r="J6018" i="1"/>
  <c r="L6018" i="1"/>
  <c r="M6018" i="1"/>
  <c r="C6019" i="1"/>
  <c r="E6019" i="1"/>
  <c r="F6019" i="1"/>
  <c r="H6019" i="1"/>
  <c r="I6019" i="1"/>
  <c r="J6019" i="1"/>
  <c r="L6019" i="1"/>
  <c r="M6019" i="1"/>
  <c r="C6020" i="1"/>
  <c r="E6020" i="1"/>
  <c r="F6020" i="1"/>
  <c r="H6020" i="1"/>
  <c r="I6020" i="1"/>
  <c r="J6020" i="1"/>
  <c r="L6020" i="1"/>
  <c r="M6020" i="1"/>
  <c r="C6021" i="1"/>
  <c r="E6021" i="1"/>
  <c r="F6021" i="1"/>
  <c r="H6021" i="1"/>
  <c r="I6021" i="1"/>
  <c r="J6021" i="1"/>
  <c r="L6021" i="1"/>
  <c r="M6021" i="1"/>
  <c r="C6022" i="1"/>
  <c r="E6022" i="1"/>
  <c r="F6022" i="1"/>
  <c r="H6022" i="1"/>
  <c r="I6022" i="1"/>
  <c r="J6022" i="1"/>
  <c r="L6022" i="1"/>
  <c r="M6022" i="1"/>
  <c r="C6023" i="1"/>
  <c r="E6023" i="1"/>
  <c r="F6023" i="1"/>
  <c r="H6023" i="1"/>
  <c r="I6023" i="1"/>
  <c r="J6023" i="1"/>
  <c r="L6023" i="1"/>
  <c r="M6023" i="1"/>
  <c r="C6024" i="1"/>
  <c r="E6024" i="1"/>
  <c r="F6024" i="1"/>
  <c r="H6024" i="1"/>
  <c r="I6024" i="1"/>
  <c r="J6024" i="1"/>
  <c r="L6024" i="1"/>
  <c r="M6024" i="1"/>
  <c r="C6025" i="1"/>
  <c r="E6025" i="1"/>
  <c r="F6025" i="1"/>
  <c r="H6025" i="1"/>
  <c r="I6025" i="1"/>
  <c r="J6025" i="1"/>
  <c r="L6025" i="1"/>
  <c r="M6025" i="1"/>
  <c r="C6026" i="1"/>
  <c r="E6026" i="1"/>
  <c r="F6026" i="1"/>
  <c r="H6026" i="1"/>
  <c r="I6026" i="1"/>
  <c r="J6026" i="1"/>
  <c r="L6026" i="1"/>
  <c r="M6026" i="1"/>
  <c r="C6027" i="1"/>
  <c r="E6027" i="1"/>
  <c r="F6027" i="1"/>
  <c r="H6027" i="1"/>
  <c r="I6027" i="1"/>
  <c r="J6027" i="1"/>
  <c r="L6027" i="1"/>
  <c r="M6027" i="1"/>
  <c r="C6028" i="1"/>
  <c r="E6028" i="1"/>
  <c r="F6028" i="1"/>
  <c r="H6028" i="1"/>
  <c r="I6028" i="1"/>
  <c r="J6028" i="1"/>
  <c r="L6028" i="1"/>
  <c r="M6028" i="1"/>
  <c r="C6029" i="1"/>
  <c r="E6029" i="1"/>
  <c r="F6029" i="1"/>
  <c r="H6029" i="1"/>
  <c r="I6029" i="1"/>
  <c r="J6029" i="1"/>
  <c r="L6029" i="1"/>
  <c r="M6029" i="1"/>
  <c r="C6030" i="1"/>
  <c r="E6030" i="1"/>
  <c r="F6030" i="1"/>
  <c r="H6030" i="1"/>
  <c r="I6030" i="1"/>
  <c r="J6030" i="1"/>
  <c r="L6030" i="1"/>
  <c r="M6030" i="1"/>
  <c r="C6031" i="1"/>
  <c r="E6031" i="1"/>
  <c r="F6031" i="1"/>
  <c r="H6031" i="1"/>
  <c r="I6031" i="1"/>
  <c r="J6031" i="1"/>
  <c r="L6031" i="1"/>
  <c r="M6031" i="1"/>
  <c r="C6032" i="1"/>
  <c r="E6032" i="1"/>
  <c r="F6032" i="1"/>
  <c r="H6032" i="1"/>
  <c r="I6032" i="1"/>
  <c r="J6032" i="1"/>
  <c r="L6032" i="1"/>
  <c r="M6032" i="1"/>
  <c r="C6033" i="1"/>
  <c r="E6033" i="1"/>
  <c r="F6033" i="1"/>
  <c r="H6033" i="1"/>
  <c r="I6033" i="1"/>
  <c r="J6033" i="1"/>
  <c r="L6033" i="1"/>
  <c r="M6033" i="1"/>
  <c r="C6034" i="1"/>
  <c r="E6034" i="1"/>
  <c r="F6034" i="1"/>
  <c r="H6034" i="1"/>
  <c r="I6034" i="1"/>
  <c r="J6034" i="1"/>
  <c r="L6034" i="1"/>
  <c r="M6034" i="1"/>
  <c r="C6035" i="1"/>
  <c r="E6035" i="1"/>
  <c r="F6035" i="1"/>
  <c r="H6035" i="1"/>
  <c r="I6035" i="1"/>
  <c r="J6035" i="1"/>
  <c r="L6035" i="1"/>
  <c r="M6035" i="1"/>
  <c r="C6036" i="1"/>
  <c r="E6036" i="1"/>
  <c r="F6036" i="1"/>
  <c r="H6036" i="1"/>
  <c r="I6036" i="1"/>
  <c r="J6036" i="1"/>
  <c r="L6036" i="1"/>
  <c r="M6036" i="1"/>
  <c r="C6037" i="1"/>
  <c r="E6037" i="1"/>
  <c r="F6037" i="1"/>
  <c r="H6037" i="1"/>
  <c r="I6037" i="1"/>
  <c r="J6037" i="1"/>
  <c r="L6037" i="1"/>
  <c r="M6037" i="1"/>
  <c r="C6038" i="1"/>
  <c r="E6038" i="1"/>
  <c r="F6038" i="1"/>
  <c r="H6038" i="1"/>
  <c r="I6038" i="1"/>
  <c r="J6038" i="1"/>
  <c r="L6038" i="1"/>
  <c r="M6038" i="1"/>
  <c r="C6039" i="1"/>
  <c r="E6039" i="1"/>
  <c r="F6039" i="1"/>
  <c r="H6039" i="1"/>
  <c r="I6039" i="1"/>
  <c r="J6039" i="1"/>
  <c r="L6039" i="1"/>
  <c r="M6039" i="1"/>
  <c r="C6040" i="1"/>
  <c r="E6040" i="1"/>
  <c r="F6040" i="1"/>
  <c r="H6040" i="1"/>
  <c r="I6040" i="1"/>
  <c r="J6040" i="1"/>
  <c r="L6040" i="1"/>
  <c r="M6040" i="1"/>
  <c r="C6041" i="1"/>
  <c r="E6041" i="1"/>
  <c r="F6041" i="1"/>
  <c r="H6041" i="1"/>
  <c r="I6041" i="1"/>
  <c r="J6041" i="1"/>
  <c r="L6041" i="1"/>
  <c r="M6041" i="1"/>
  <c r="C6042" i="1"/>
  <c r="E6042" i="1"/>
  <c r="F6042" i="1"/>
  <c r="H6042" i="1"/>
  <c r="I6042" i="1"/>
  <c r="J6042" i="1"/>
  <c r="L6042" i="1"/>
  <c r="M6042" i="1"/>
  <c r="C6043" i="1"/>
  <c r="E6043" i="1"/>
  <c r="F6043" i="1"/>
  <c r="H6043" i="1"/>
  <c r="I6043" i="1"/>
  <c r="J6043" i="1"/>
  <c r="L6043" i="1"/>
  <c r="M6043" i="1"/>
  <c r="C6044" i="1"/>
  <c r="E6044" i="1"/>
  <c r="F6044" i="1"/>
  <c r="H6044" i="1"/>
  <c r="I6044" i="1"/>
  <c r="J6044" i="1"/>
  <c r="L6044" i="1"/>
  <c r="M6044" i="1"/>
  <c r="C6045" i="1"/>
  <c r="E6045" i="1"/>
  <c r="F6045" i="1"/>
  <c r="H6045" i="1"/>
  <c r="I6045" i="1"/>
  <c r="J6045" i="1"/>
  <c r="L6045" i="1"/>
  <c r="M6045" i="1"/>
  <c r="C6046" i="1"/>
  <c r="E6046" i="1"/>
  <c r="F6046" i="1"/>
  <c r="H6046" i="1"/>
  <c r="I6046" i="1"/>
  <c r="J6046" i="1"/>
  <c r="L6046" i="1"/>
  <c r="M6046" i="1"/>
  <c r="C6047" i="1"/>
  <c r="E6047" i="1"/>
  <c r="F6047" i="1"/>
  <c r="H6047" i="1"/>
  <c r="I6047" i="1"/>
  <c r="J6047" i="1"/>
  <c r="L6047" i="1"/>
  <c r="M6047" i="1"/>
  <c r="C6048" i="1"/>
  <c r="E6048" i="1"/>
  <c r="F6048" i="1"/>
  <c r="H6048" i="1"/>
  <c r="I6048" i="1"/>
  <c r="J6048" i="1"/>
  <c r="L6048" i="1"/>
  <c r="M6048" i="1"/>
  <c r="C6049" i="1"/>
  <c r="E6049" i="1"/>
  <c r="F6049" i="1"/>
  <c r="H6049" i="1"/>
  <c r="I6049" i="1"/>
  <c r="J6049" i="1"/>
  <c r="L6049" i="1"/>
  <c r="M6049" i="1"/>
  <c r="C6050" i="1"/>
  <c r="E6050" i="1"/>
  <c r="F6050" i="1"/>
  <c r="H6050" i="1"/>
  <c r="I6050" i="1"/>
  <c r="J6050" i="1"/>
  <c r="L6050" i="1"/>
  <c r="M6050" i="1"/>
  <c r="C6051" i="1"/>
  <c r="E6051" i="1"/>
  <c r="F6051" i="1"/>
  <c r="H6051" i="1"/>
  <c r="I6051" i="1"/>
  <c r="J6051" i="1"/>
  <c r="L6051" i="1"/>
  <c r="M6051" i="1"/>
  <c r="C6052" i="1"/>
  <c r="E6052" i="1"/>
  <c r="F6052" i="1"/>
  <c r="H6052" i="1"/>
  <c r="I6052" i="1"/>
  <c r="J6052" i="1"/>
  <c r="L6052" i="1"/>
  <c r="M6052" i="1"/>
  <c r="C6053" i="1"/>
  <c r="E6053" i="1"/>
  <c r="F6053" i="1"/>
  <c r="H6053" i="1"/>
  <c r="I6053" i="1"/>
  <c r="J6053" i="1"/>
  <c r="L6053" i="1"/>
  <c r="M6053" i="1"/>
  <c r="C6054" i="1"/>
  <c r="E6054" i="1"/>
  <c r="F6054" i="1"/>
  <c r="H6054" i="1"/>
  <c r="I6054" i="1"/>
  <c r="J6054" i="1"/>
  <c r="L6054" i="1"/>
  <c r="M6054" i="1"/>
  <c r="C6055" i="1"/>
  <c r="E6055" i="1"/>
  <c r="F6055" i="1"/>
  <c r="H6055" i="1"/>
  <c r="I6055" i="1"/>
  <c r="J6055" i="1"/>
  <c r="L6055" i="1"/>
  <c r="M6055" i="1"/>
  <c r="C6056" i="1"/>
  <c r="E6056" i="1"/>
  <c r="F6056" i="1"/>
  <c r="H6056" i="1"/>
  <c r="I6056" i="1"/>
  <c r="J6056" i="1"/>
  <c r="L6056" i="1"/>
  <c r="M6056" i="1"/>
  <c r="C6057" i="1"/>
  <c r="E6057" i="1"/>
  <c r="F6057" i="1"/>
  <c r="H6057" i="1"/>
  <c r="I6057" i="1"/>
  <c r="J6057" i="1"/>
  <c r="L6057" i="1"/>
  <c r="M6057" i="1"/>
  <c r="C6058" i="1"/>
  <c r="E6058" i="1"/>
  <c r="F6058" i="1"/>
  <c r="H6058" i="1"/>
  <c r="I6058" i="1"/>
  <c r="J6058" i="1"/>
  <c r="L6058" i="1"/>
  <c r="M6058" i="1"/>
  <c r="C6059" i="1"/>
  <c r="E6059" i="1"/>
  <c r="F6059" i="1"/>
  <c r="H6059" i="1"/>
  <c r="I6059" i="1"/>
  <c r="J6059" i="1"/>
  <c r="L6059" i="1"/>
  <c r="M6059" i="1"/>
  <c r="C6060" i="1"/>
  <c r="E6060" i="1"/>
  <c r="F6060" i="1"/>
  <c r="H6060" i="1"/>
  <c r="I6060" i="1"/>
  <c r="J6060" i="1"/>
  <c r="L6060" i="1"/>
  <c r="M6060" i="1"/>
  <c r="C6061" i="1"/>
  <c r="E6061" i="1"/>
  <c r="F6061" i="1"/>
  <c r="H6061" i="1"/>
  <c r="I6061" i="1"/>
  <c r="J6061" i="1"/>
  <c r="L6061" i="1"/>
  <c r="M6061" i="1"/>
  <c r="C6062" i="1"/>
  <c r="E6062" i="1"/>
  <c r="F6062" i="1"/>
  <c r="H6062" i="1"/>
  <c r="I6062" i="1"/>
  <c r="J6062" i="1"/>
  <c r="L6062" i="1"/>
  <c r="M6062" i="1"/>
  <c r="C6063" i="1"/>
  <c r="E6063" i="1"/>
  <c r="F6063" i="1"/>
  <c r="H6063" i="1"/>
  <c r="I6063" i="1"/>
  <c r="J6063" i="1"/>
  <c r="L6063" i="1"/>
  <c r="M6063" i="1"/>
  <c r="C6064" i="1"/>
  <c r="E6064" i="1"/>
  <c r="F6064" i="1"/>
  <c r="H6064" i="1"/>
  <c r="I6064" i="1"/>
  <c r="J6064" i="1"/>
  <c r="L6064" i="1"/>
  <c r="M6064" i="1"/>
  <c r="C6065" i="1"/>
  <c r="E6065" i="1"/>
  <c r="F6065" i="1"/>
  <c r="H6065" i="1"/>
  <c r="I6065" i="1"/>
  <c r="J6065" i="1"/>
  <c r="L6065" i="1"/>
  <c r="M6065" i="1"/>
  <c r="C6066" i="1"/>
  <c r="E6066" i="1"/>
  <c r="F6066" i="1"/>
  <c r="H6066" i="1"/>
  <c r="I6066" i="1"/>
  <c r="J6066" i="1"/>
  <c r="L6066" i="1"/>
  <c r="M6066" i="1"/>
  <c r="C6067" i="1"/>
  <c r="E6067" i="1"/>
  <c r="F6067" i="1"/>
  <c r="H6067" i="1"/>
  <c r="I6067" i="1"/>
  <c r="J6067" i="1"/>
  <c r="L6067" i="1"/>
  <c r="M6067" i="1"/>
  <c r="C6068" i="1"/>
  <c r="E6068" i="1"/>
  <c r="F6068" i="1"/>
  <c r="H6068" i="1"/>
  <c r="I6068" i="1"/>
  <c r="J6068" i="1"/>
  <c r="L6068" i="1"/>
  <c r="M6068" i="1"/>
  <c r="C6069" i="1"/>
  <c r="E6069" i="1"/>
  <c r="F6069" i="1"/>
  <c r="H6069" i="1"/>
  <c r="I6069" i="1"/>
  <c r="J6069" i="1"/>
  <c r="L6069" i="1"/>
  <c r="M6069" i="1"/>
  <c r="C6070" i="1"/>
  <c r="E6070" i="1"/>
  <c r="F6070" i="1"/>
  <c r="H6070" i="1"/>
  <c r="I6070" i="1"/>
  <c r="J6070" i="1"/>
  <c r="L6070" i="1"/>
  <c r="M6070" i="1"/>
  <c r="C6071" i="1"/>
  <c r="E6071" i="1"/>
  <c r="F6071" i="1"/>
  <c r="H6071" i="1"/>
  <c r="I6071" i="1"/>
  <c r="J6071" i="1"/>
  <c r="L6071" i="1"/>
  <c r="M6071" i="1"/>
  <c r="C6072" i="1"/>
  <c r="E6072" i="1"/>
  <c r="F6072" i="1"/>
  <c r="H6072" i="1"/>
  <c r="I6072" i="1"/>
  <c r="J6072" i="1"/>
  <c r="L6072" i="1"/>
  <c r="M6072" i="1"/>
  <c r="C6073" i="1"/>
  <c r="E6073" i="1"/>
  <c r="F6073" i="1"/>
  <c r="H6073" i="1"/>
  <c r="I6073" i="1"/>
  <c r="J6073" i="1"/>
  <c r="L6073" i="1"/>
  <c r="M6073" i="1"/>
  <c r="C6074" i="1"/>
  <c r="E6074" i="1"/>
  <c r="F6074" i="1"/>
  <c r="H6074" i="1"/>
  <c r="I6074" i="1"/>
  <c r="J6074" i="1"/>
  <c r="L6074" i="1"/>
  <c r="M6074" i="1"/>
  <c r="C6075" i="1"/>
  <c r="E6075" i="1"/>
  <c r="F6075" i="1"/>
  <c r="H6075" i="1"/>
  <c r="I6075" i="1"/>
  <c r="J6075" i="1"/>
  <c r="L6075" i="1"/>
  <c r="M6075" i="1"/>
  <c r="C6076" i="1"/>
  <c r="E6076" i="1"/>
  <c r="F6076" i="1"/>
  <c r="H6076" i="1"/>
  <c r="I6076" i="1"/>
  <c r="J6076" i="1"/>
  <c r="L6076" i="1"/>
  <c r="M6076" i="1"/>
  <c r="C6077" i="1"/>
  <c r="E6077" i="1"/>
  <c r="F6077" i="1"/>
  <c r="H6077" i="1"/>
  <c r="I6077" i="1"/>
  <c r="J6077" i="1"/>
  <c r="L6077" i="1"/>
  <c r="M6077" i="1"/>
  <c r="C6078" i="1"/>
  <c r="E6078" i="1"/>
  <c r="F6078" i="1"/>
  <c r="H6078" i="1"/>
  <c r="I6078" i="1"/>
  <c r="J6078" i="1"/>
  <c r="L6078" i="1"/>
  <c r="M6078" i="1"/>
  <c r="C6079" i="1"/>
  <c r="E6079" i="1"/>
  <c r="F6079" i="1"/>
  <c r="H6079" i="1"/>
  <c r="I6079" i="1"/>
  <c r="J6079" i="1"/>
  <c r="L6079" i="1"/>
  <c r="M6079" i="1"/>
  <c r="C6080" i="1"/>
  <c r="E6080" i="1"/>
  <c r="F6080" i="1"/>
  <c r="H6080" i="1"/>
  <c r="I6080" i="1"/>
  <c r="J6080" i="1"/>
  <c r="L6080" i="1"/>
  <c r="M6080" i="1"/>
  <c r="C6081" i="1"/>
  <c r="E6081" i="1"/>
  <c r="F6081" i="1"/>
  <c r="H6081" i="1"/>
  <c r="I6081" i="1"/>
  <c r="J6081" i="1"/>
  <c r="L6081" i="1"/>
  <c r="M6081" i="1"/>
  <c r="C6082" i="1"/>
  <c r="E6082" i="1"/>
  <c r="F6082" i="1"/>
  <c r="H6082" i="1"/>
  <c r="I6082" i="1"/>
  <c r="J6082" i="1"/>
  <c r="L6082" i="1"/>
  <c r="M6082" i="1"/>
  <c r="C6083" i="1"/>
  <c r="E6083" i="1"/>
  <c r="F6083" i="1"/>
  <c r="H6083" i="1"/>
  <c r="I6083" i="1"/>
  <c r="J6083" i="1"/>
  <c r="L6083" i="1"/>
  <c r="M6083" i="1"/>
  <c r="C6084" i="1"/>
  <c r="E6084" i="1"/>
  <c r="F6084" i="1"/>
  <c r="H6084" i="1"/>
  <c r="I6084" i="1"/>
  <c r="J6084" i="1"/>
  <c r="L6084" i="1"/>
  <c r="M6084" i="1"/>
  <c r="C6085" i="1"/>
  <c r="E6085" i="1"/>
  <c r="F6085" i="1"/>
  <c r="H6085" i="1"/>
  <c r="I6085" i="1"/>
  <c r="J6085" i="1"/>
  <c r="L6085" i="1"/>
  <c r="M6085" i="1"/>
  <c r="C6086" i="1"/>
  <c r="E6086" i="1"/>
  <c r="F6086" i="1"/>
  <c r="H6086" i="1"/>
  <c r="I6086" i="1"/>
  <c r="J6086" i="1"/>
  <c r="L6086" i="1"/>
  <c r="M6086" i="1"/>
  <c r="C6087" i="1"/>
  <c r="E6087" i="1"/>
  <c r="F6087" i="1"/>
  <c r="H6087" i="1"/>
  <c r="I6087" i="1"/>
  <c r="J6087" i="1"/>
  <c r="L6087" i="1"/>
  <c r="M6087" i="1"/>
  <c r="C6088" i="1"/>
  <c r="E6088" i="1"/>
  <c r="F6088" i="1"/>
  <c r="H6088" i="1"/>
  <c r="I6088" i="1"/>
  <c r="J6088" i="1"/>
  <c r="L6088" i="1"/>
  <c r="M6088" i="1"/>
  <c r="C6089" i="1"/>
  <c r="E6089" i="1"/>
  <c r="F6089" i="1"/>
  <c r="H6089" i="1"/>
  <c r="I6089" i="1"/>
  <c r="J6089" i="1"/>
  <c r="L6089" i="1"/>
  <c r="M6089" i="1"/>
  <c r="C6090" i="1"/>
  <c r="E6090" i="1"/>
  <c r="F6090" i="1"/>
  <c r="H6090" i="1"/>
  <c r="I6090" i="1"/>
  <c r="J6090" i="1"/>
  <c r="L6090" i="1"/>
  <c r="M6090" i="1"/>
  <c r="C6091" i="1"/>
  <c r="E6091" i="1"/>
  <c r="F6091" i="1"/>
  <c r="H6091" i="1"/>
  <c r="I6091" i="1"/>
  <c r="J6091" i="1"/>
  <c r="L6091" i="1"/>
  <c r="M6091" i="1"/>
  <c r="C6092" i="1"/>
  <c r="E6092" i="1"/>
  <c r="F6092" i="1"/>
  <c r="H6092" i="1"/>
  <c r="I6092" i="1"/>
  <c r="J6092" i="1"/>
  <c r="L6092" i="1"/>
  <c r="M6092" i="1"/>
  <c r="C6093" i="1"/>
  <c r="E6093" i="1"/>
  <c r="F6093" i="1"/>
  <c r="H6093" i="1"/>
  <c r="I6093" i="1"/>
  <c r="J6093" i="1"/>
  <c r="L6093" i="1"/>
  <c r="M6093" i="1"/>
  <c r="C6094" i="1"/>
  <c r="E6094" i="1"/>
  <c r="F6094" i="1"/>
  <c r="H6094" i="1"/>
  <c r="I6094" i="1"/>
  <c r="J6094" i="1"/>
  <c r="L6094" i="1"/>
  <c r="M6094" i="1"/>
  <c r="C6095" i="1"/>
  <c r="E6095" i="1"/>
  <c r="F6095" i="1"/>
  <c r="H6095" i="1"/>
  <c r="I6095" i="1"/>
  <c r="J6095" i="1"/>
  <c r="L6095" i="1"/>
  <c r="M6095" i="1"/>
  <c r="C6096" i="1"/>
  <c r="E6096" i="1"/>
  <c r="F6096" i="1"/>
  <c r="H6096" i="1"/>
  <c r="I6096" i="1"/>
  <c r="J6096" i="1"/>
  <c r="L6096" i="1"/>
  <c r="M6096" i="1"/>
  <c r="C6097" i="1"/>
  <c r="E6097" i="1"/>
  <c r="F6097" i="1"/>
  <c r="H6097" i="1"/>
  <c r="I6097" i="1"/>
  <c r="J6097" i="1"/>
  <c r="L6097" i="1"/>
  <c r="M6097" i="1"/>
  <c r="C6098" i="1"/>
  <c r="E6098" i="1"/>
  <c r="F6098" i="1"/>
  <c r="H6098" i="1"/>
  <c r="I6098" i="1"/>
  <c r="J6098" i="1"/>
  <c r="L6098" i="1"/>
  <c r="M6098" i="1"/>
  <c r="C6099" i="1"/>
  <c r="E6099" i="1"/>
  <c r="F6099" i="1"/>
  <c r="H6099" i="1"/>
  <c r="I6099" i="1"/>
  <c r="J6099" i="1"/>
  <c r="L6099" i="1"/>
  <c r="M6099" i="1"/>
  <c r="C6100" i="1"/>
  <c r="E6100" i="1"/>
  <c r="F6100" i="1"/>
  <c r="H6100" i="1"/>
  <c r="I6100" i="1"/>
  <c r="J6100" i="1"/>
  <c r="L6100" i="1"/>
  <c r="M6100" i="1"/>
  <c r="C6101" i="1"/>
  <c r="E6101" i="1"/>
  <c r="F6101" i="1"/>
  <c r="H6101" i="1"/>
  <c r="I6101" i="1"/>
  <c r="J6101" i="1"/>
  <c r="L6101" i="1"/>
  <c r="M6101" i="1"/>
  <c r="C6102" i="1"/>
  <c r="E6102" i="1"/>
  <c r="F6102" i="1"/>
  <c r="H6102" i="1"/>
  <c r="I6102" i="1"/>
  <c r="J6102" i="1"/>
  <c r="L6102" i="1"/>
  <c r="M6102" i="1"/>
  <c r="C6103" i="1"/>
  <c r="E6103" i="1"/>
  <c r="F6103" i="1"/>
  <c r="H6103" i="1"/>
  <c r="I6103" i="1"/>
  <c r="J6103" i="1"/>
  <c r="L6103" i="1"/>
  <c r="M6103" i="1"/>
  <c r="C6104" i="1"/>
  <c r="E6104" i="1"/>
  <c r="F6104" i="1"/>
  <c r="H6104" i="1"/>
  <c r="I6104" i="1"/>
  <c r="J6104" i="1"/>
  <c r="L6104" i="1"/>
  <c r="M6104" i="1"/>
  <c r="C6105" i="1"/>
  <c r="E6105" i="1"/>
  <c r="F6105" i="1"/>
  <c r="H6105" i="1"/>
  <c r="I6105" i="1"/>
  <c r="J6105" i="1"/>
  <c r="L6105" i="1"/>
  <c r="M6105" i="1"/>
  <c r="C6106" i="1"/>
  <c r="E6106" i="1"/>
  <c r="F6106" i="1"/>
  <c r="H6106" i="1"/>
  <c r="I6106" i="1"/>
  <c r="J6106" i="1"/>
  <c r="L6106" i="1"/>
  <c r="M6106" i="1"/>
  <c r="C6107" i="1"/>
  <c r="E6107" i="1"/>
  <c r="F6107" i="1"/>
  <c r="H6107" i="1"/>
  <c r="I6107" i="1"/>
  <c r="J6107" i="1"/>
  <c r="L6107" i="1"/>
  <c r="M6107" i="1"/>
  <c r="C6108" i="1"/>
  <c r="E6108" i="1"/>
  <c r="F6108" i="1"/>
  <c r="H6108" i="1"/>
  <c r="I6108" i="1"/>
  <c r="J6108" i="1"/>
  <c r="L6108" i="1"/>
  <c r="M6108" i="1"/>
  <c r="C6109" i="1"/>
  <c r="E6109" i="1"/>
  <c r="F6109" i="1"/>
  <c r="H6109" i="1"/>
  <c r="I6109" i="1"/>
  <c r="J6109" i="1"/>
  <c r="L6109" i="1"/>
  <c r="M6109" i="1"/>
  <c r="C6110" i="1"/>
  <c r="E6110" i="1"/>
  <c r="F6110" i="1"/>
  <c r="H6110" i="1"/>
  <c r="I6110" i="1"/>
  <c r="J6110" i="1"/>
  <c r="L6110" i="1"/>
  <c r="M6110" i="1"/>
  <c r="C6111" i="1"/>
  <c r="E6111" i="1"/>
  <c r="F6111" i="1"/>
  <c r="H6111" i="1"/>
  <c r="I6111" i="1"/>
  <c r="J6111" i="1"/>
  <c r="L6111" i="1"/>
  <c r="M6111" i="1"/>
  <c r="C6112" i="1"/>
  <c r="E6112" i="1"/>
  <c r="F6112" i="1"/>
  <c r="H6112" i="1"/>
  <c r="I6112" i="1"/>
  <c r="J6112" i="1"/>
  <c r="L6112" i="1"/>
  <c r="M6112" i="1"/>
  <c r="C6113" i="1"/>
  <c r="E6113" i="1"/>
  <c r="F6113" i="1"/>
  <c r="H6113" i="1"/>
  <c r="I6113" i="1"/>
  <c r="J6113" i="1"/>
  <c r="L6113" i="1"/>
  <c r="M6113" i="1"/>
  <c r="C6114" i="1"/>
  <c r="E6114" i="1"/>
  <c r="F6114" i="1"/>
  <c r="H6114" i="1"/>
  <c r="I6114" i="1"/>
  <c r="J6114" i="1"/>
  <c r="L6114" i="1"/>
  <c r="M6114" i="1"/>
  <c r="C6115" i="1"/>
  <c r="E6115" i="1"/>
  <c r="F6115" i="1"/>
  <c r="H6115" i="1"/>
  <c r="I6115" i="1"/>
  <c r="J6115" i="1"/>
  <c r="L6115" i="1"/>
  <c r="M6115" i="1"/>
  <c r="C6116" i="1"/>
  <c r="E6116" i="1"/>
  <c r="F6116" i="1"/>
  <c r="H6116" i="1"/>
  <c r="I6116" i="1"/>
  <c r="J6116" i="1"/>
  <c r="L6116" i="1"/>
  <c r="M6116" i="1"/>
  <c r="C6117" i="1"/>
  <c r="E6117" i="1"/>
  <c r="F6117" i="1"/>
  <c r="H6117" i="1"/>
  <c r="I6117" i="1"/>
  <c r="J6117" i="1"/>
  <c r="L6117" i="1"/>
  <c r="M6117" i="1"/>
  <c r="C6118" i="1"/>
  <c r="E6118" i="1"/>
  <c r="F6118" i="1"/>
  <c r="H6118" i="1"/>
  <c r="I6118" i="1"/>
  <c r="J6118" i="1"/>
  <c r="L6118" i="1"/>
  <c r="M6118" i="1"/>
  <c r="C6119" i="1"/>
  <c r="E6119" i="1"/>
  <c r="F6119" i="1"/>
  <c r="H6119" i="1"/>
  <c r="I6119" i="1"/>
  <c r="J6119" i="1"/>
  <c r="L6119" i="1"/>
  <c r="M6119" i="1"/>
  <c r="C6120" i="1"/>
  <c r="E6120" i="1"/>
  <c r="F6120" i="1"/>
  <c r="H6120" i="1"/>
  <c r="I6120" i="1"/>
  <c r="J6120" i="1"/>
  <c r="L6120" i="1"/>
  <c r="M6120" i="1"/>
  <c r="C6121" i="1"/>
  <c r="E6121" i="1"/>
  <c r="F6121" i="1"/>
  <c r="H6121" i="1"/>
  <c r="I6121" i="1"/>
  <c r="J6121" i="1"/>
  <c r="L6121" i="1"/>
  <c r="M6121" i="1"/>
  <c r="C6122" i="1"/>
  <c r="E6122" i="1"/>
  <c r="F6122" i="1"/>
  <c r="H6122" i="1"/>
  <c r="I6122" i="1"/>
  <c r="J6122" i="1"/>
  <c r="L6122" i="1"/>
  <c r="M6122" i="1"/>
  <c r="C6123" i="1"/>
  <c r="E6123" i="1"/>
  <c r="F6123" i="1"/>
  <c r="H6123" i="1"/>
  <c r="I6123" i="1"/>
  <c r="J6123" i="1"/>
  <c r="L6123" i="1"/>
  <c r="M6123" i="1"/>
  <c r="C6124" i="1"/>
  <c r="E6124" i="1"/>
  <c r="F6124" i="1"/>
  <c r="H6124" i="1"/>
  <c r="I6124" i="1"/>
  <c r="J6124" i="1"/>
  <c r="L6124" i="1"/>
  <c r="M6124" i="1"/>
  <c r="C6125" i="1"/>
  <c r="E6125" i="1"/>
  <c r="F6125" i="1"/>
  <c r="H6125" i="1"/>
  <c r="I6125" i="1"/>
  <c r="J6125" i="1"/>
  <c r="L6125" i="1"/>
  <c r="M6125" i="1"/>
  <c r="C6126" i="1"/>
  <c r="E6126" i="1"/>
  <c r="F6126" i="1"/>
  <c r="H6126" i="1"/>
  <c r="I6126" i="1"/>
  <c r="J6126" i="1"/>
  <c r="L6126" i="1"/>
  <c r="M6126" i="1"/>
  <c r="C6127" i="1"/>
  <c r="E6127" i="1"/>
  <c r="F6127" i="1"/>
  <c r="H6127" i="1"/>
  <c r="I6127" i="1"/>
  <c r="J6127" i="1"/>
  <c r="L6127" i="1"/>
  <c r="M6127" i="1"/>
  <c r="C6128" i="1"/>
  <c r="E6128" i="1"/>
  <c r="F6128" i="1"/>
  <c r="H6128" i="1"/>
  <c r="I6128" i="1"/>
  <c r="J6128" i="1"/>
  <c r="L6128" i="1"/>
  <c r="M6128" i="1"/>
  <c r="C6129" i="1"/>
  <c r="E6129" i="1"/>
  <c r="F6129" i="1"/>
  <c r="H6129" i="1"/>
  <c r="I6129" i="1"/>
  <c r="J6129" i="1"/>
  <c r="L6129" i="1"/>
  <c r="M6129" i="1"/>
  <c r="C6130" i="1"/>
  <c r="E6130" i="1"/>
  <c r="F6130" i="1"/>
  <c r="H6130" i="1"/>
  <c r="I6130" i="1"/>
  <c r="J6130" i="1"/>
  <c r="L6130" i="1"/>
  <c r="M6130" i="1"/>
  <c r="C6131" i="1"/>
  <c r="E6131" i="1"/>
  <c r="F6131" i="1"/>
  <c r="H6131" i="1"/>
  <c r="I6131" i="1"/>
  <c r="J6131" i="1"/>
  <c r="L6131" i="1"/>
  <c r="M6131" i="1"/>
  <c r="C6132" i="1"/>
  <c r="E6132" i="1"/>
  <c r="F6132" i="1"/>
  <c r="H6132" i="1"/>
  <c r="I6132" i="1"/>
  <c r="J6132" i="1"/>
  <c r="L6132" i="1"/>
  <c r="M6132" i="1"/>
  <c r="C6133" i="1"/>
  <c r="E6133" i="1"/>
  <c r="F6133" i="1"/>
  <c r="H6133" i="1"/>
  <c r="I6133" i="1"/>
  <c r="J6133" i="1"/>
  <c r="L6133" i="1"/>
  <c r="M6133" i="1"/>
  <c r="C6134" i="1"/>
  <c r="E6134" i="1"/>
  <c r="F6134" i="1"/>
  <c r="H6134" i="1"/>
  <c r="I6134" i="1"/>
  <c r="J6134" i="1"/>
  <c r="L6134" i="1"/>
  <c r="M6134" i="1"/>
  <c r="C6135" i="1"/>
  <c r="E6135" i="1"/>
  <c r="F6135" i="1"/>
  <c r="H6135" i="1"/>
  <c r="I6135" i="1"/>
  <c r="J6135" i="1"/>
  <c r="L6135" i="1"/>
  <c r="M6135" i="1"/>
  <c r="C6136" i="1"/>
  <c r="E6136" i="1"/>
  <c r="F6136" i="1"/>
  <c r="H6136" i="1"/>
  <c r="I6136" i="1"/>
  <c r="J6136" i="1"/>
  <c r="L6136" i="1"/>
  <c r="M6136" i="1"/>
  <c r="C6137" i="1"/>
  <c r="E6137" i="1"/>
  <c r="F6137" i="1"/>
  <c r="H6137" i="1"/>
  <c r="I6137" i="1"/>
  <c r="J6137" i="1"/>
  <c r="L6137" i="1"/>
  <c r="M6137" i="1"/>
  <c r="C6138" i="1"/>
  <c r="E6138" i="1"/>
  <c r="F6138" i="1"/>
  <c r="H6138" i="1"/>
  <c r="I6138" i="1"/>
  <c r="J6138" i="1"/>
  <c r="L6138" i="1"/>
  <c r="M6138" i="1"/>
  <c r="C6139" i="1"/>
  <c r="E6139" i="1"/>
  <c r="F6139" i="1"/>
  <c r="H6139" i="1"/>
  <c r="I6139" i="1"/>
  <c r="J6139" i="1"/>
  <c r="L6139" i="1"/>
  <c r="M6139" i="1"/>
  <c r="C6140" i="1"/>
  <c r="E6140" i="1"/>
  <c r="F6140" i="1"/>
  <c r="H6140" i="1"/>
  <c r="I6140" i="1"/>
  <c r="J6140" i="1"/>
  <c r="L6140" i="1"/>
  <c r="M6140" i="1"/>
  <c r="C6141" i="1"/>
  <c r="E6141" i="1"/>
  <c r="F6141" i="1"/>
  <c r="H6141" i="1"/>
  <c r="I6141" i="1"/>
  <c r="J6141" i="1"/>
  <c r="L6141" i="1"/>
  <c r="M6141" i="1"/>
  <c r="C6142" i="1"/>
  <c r="E6142" i="1"/>
  <c r="F6142" i="1"/>
  <c r="H6142" i="1"/>
  <c r="I6142" i="1"/>
  <c r="J6142" i="1"/>
  <c r="L6142" i="1"/>
  <c r="M6142" i="1"/>
  <c r="C6143" i="1"/>
  <c r="E6143" i="1"/>
  <c r="F6143" i="1"/>
  <c r="H6143" i="1"/>
  <c r="I6143" i="1"/>
  <c r="J6143" i="1"/>
  <c r="L6143" i="1"/>
  <c r="M6143" i="1"/>
  <c r="C6144" i="1"/>
  <c r="E6144" i="1"/>
  <c r="F6144" i="1"/>
  <c r="H6144" i="1"/>
  <c r="I6144" i="1"/>
  <c r="J6144" i="1"/>
  <c r="L6144" i="1"/>
  <c r="M6144" i="1"/>
  <c r="C6145" i="1"/>
  <c r="E6145" i="1"/>
  <c r="F6145" i="1"/>
  <c r="H6145" i="1"/>
  <c r="I6145" i="1"/>
  <c r="J6145" i="1"/>
  <c r="L6145" i="1"/>
  <c r="M6145" i="1"/>
  <c r="C6146" i="1"/>
  <c r="E6146" i="1"/>
  <c r="F6146" i="1"/>
  <c r="H6146" i="1"/>
  <c r="I6146" i="1"/>
  <c r="J6146" i="1"/>
  <c r="L6146" i="1"/>
  <c r="M6146" i="1"/>
  <c r="C6147" i="1"/>
  <c r="E6147" i="1"/>
  <c r="F6147" i="1"/>
  <c r="H6147" i="1"/>
  <c r="I6147" i="1"/>
  <c r="J6147" i="1"/>
  <c r="L6147" i="1"/>
  <c r="M6147" i="1"/>
  <c r="C6148" i="1"/>
  <c r="E6148" i="1"/>
  <c r="F6148" i="1"/>
  <c r="H6148" i="1"/>
  <c r="I6148" i="1"/>
  <c r="J6148" i="1"/>
  <c r="L6148" i="1"/>
  <c r="M6148" i="1"/>
  <c r="C6149" i="1"/>
  <c r="E6149" i="1"/>
  <c r="F6149" i="1"/>
  <c r="H6149" i="1"/>
  <c r="I6149" i="1"/>
  <c r="J6149" i="1"/>
  <c r="L6149" i="1"/>
  <c r="M6149" i="1"/>
  <c r="C6150" i="1"/>
  <c r="E6150" i="1"/>
  <c r="F6150" i="1"/>
  <c r="H6150" i="1"/>
  <c r="I6150" i="1"/>
  <c r="J6150" i="1"/>
  <c r="L6150" i="1"/>
  <c r="M6150" i="1"/>
  <c r="C6151" i="1"/>
  <c r="E6151" i="1"/>
  <c r="F6151" i="1"/>
  <c r="H6151" i="1"/>
  <c r="I6151" i="1"/>
  <c r="J6151" i="1"/>
  <c r="L6151" i="1"/>
  <c r="M6151" i="1"/>
  <c r="C6152" i="1"/>
  <c r="E6152" i="1"/>
  <c r="F6152" i="1"/>
  <c r="H6152" i="1"/>
  <c r="I6152" i="1"/>
  <c r="J6152" i="1"/>
  <c r="L6152" i="1"/>
  <c r="M6152" i="1"/>
  <c r="C6153" i="1"/>
  <c r="E6153" i="1"/>
  <c r="F6153" i="1"/>
  <c r="H6153" i="1"/>
  <c r="I6153" i="1"/>
  <c r="J6153" i="1"/>
  <c r="L6153" i="1"/>
  <c r="M6153" i="1"/>
  <c r="C6154" i="1"/>
  <c r="E6154" i="1"/>
  <c r="F6154" i="1"/>
  <c r="H6154" i="1"/>
  <c r="I6154" i="1"/>
  <c r="J6154" i="1"/>
  <c r="L6154" i="1"/>
  <c r="M6154" i="1"/>
  <c r="C6155" i="1"/>
  <c r="E6155" i="1"/>
  <c r="F6155" i="1"/>
  <c r="H6155" i="1"/>
  <c r="I6155" i="1"/>
  <c r="J6155" i="1"/>
  <c r="L6155" i="1"/>
  <c r="M6155" i="1"/>
  <c r="C6156" i="1"/>
  <c r="E6156" i="1"/>
  <c r="F6156" i="1"/>
  <c r="H6156" i="1"/>
  <c r="I6156" i="1"/>
  <c r="J6156" i="1"/>
  <c r="L6156" i="1"/>
  <c r="M6156" i="1"/>
  <c r="C6157" i="1"/>
  <c r="E6157" i="1"/>
  <c r="F6157" i="1"/>
  <c r="H6157" i="1"/>
  <c r="I6157" i="1"/>
  <c r="J6157" i="1"/>
  <c r="L6157" i="1"/>
  <c r="M6157" i="1"/>
  <c r="C6158" i="1"/>
  <c r="E6158" i="1"/>
  <c r="F6158" i="1"/>
  <c r="H6158" i="1"/>
  <c r="I6158" i="1"/>
  <c r="J6158" i="1"/>
  <c r="L6158" i="1"/>
  <c r="M6158" i="1"/>
  <c r="C6159" i="1"/>
  <c r="E6159" i="1"/>
  <c r="F6159" i="1"/>
  <c r="H6159" i="1"/>
  <c r="I6159" i="1"/>
  <c r="J6159" i="1"/>
  <c r="L6159" i="1"/>
  <c r="M6159" i="1"/>
  <c r="C6160" i="1"/>
  <c r="E6160" i="1"/>
  <c r="F6160" i="1"/>
  <c r="H6160" i="1"/>
  <c r="I6160" i="1"/>
  <c r="J6160" i="1"/>
  <c r="L6160" i="1"/>
  <c r="M6160" i="1"/>
  <c r="C6161" i="1"/>
  <c r="E6161" i="1"/>
  <c r="F6161" i="1"/>
  <c r="H6161" i="1"/>
  <c r="I6161" i="1"/>
  <c r="J6161" i="1"/>
  <c r="L6161" i="1"/>
  <c r="M6161" i="1"/>
  <c r="C6162" i="1"/>
  <c r="E6162" i="1"/>
  <c r="F6162" i="1"/>
  <c r="H6162" i="1"/>
  <c r="I6162" i="1"/>
  <c r="J6162" i="1"/>
  <c r="L6162" i="1"/>
  <c r="M6162" i="1"/>
  <c r="C6163" i="1"/>
  <c r="E6163" i="1"/>
  <c r="F6163" i="1"/>
  <c r="H6163" i="1"/>
  <c r="I6163" i="1"/>
  <c r="J6163" i="1"/>
  <c r="L6163" i="1"/>
  <c r="M6163" i="1"/>
  <c r="C6164" i="1"/>
  <c r="E6164" i="1"/>
  <c r="F6164" i="1"/>
  <c r="H6164" i="1"/>
  <c r="I6164" i="1"/>
  <c r="J6164" i="1"/>
  <c r="L6164" i="1"/>
  <c r="M6164" i="1"/>
  <c r="C6165" i="1"/>
  <c r="E6165" i="1"/>
  <c r="F6165" i="1"/>
  <c r="H6165" i="1"/>
  <c r="I6165" i="1"/>
  <c r="J6165" i="1"/>
  <c r="L6165" i="1"/>
  <c r="M6165" i="1"/>
  <c r="C6166" i="1"/>
  <c r="E6166" i="1"/>
  <c r="F6166" i="1"/>
  <c r="H6166" i="1"/>
  <c r="I6166" i="1"/>
  <c r="J6166" i="1"/>
  <c r="L6166" i="1"/>
  <c r="M6166" i="1"/>
  <c r="C6167" i="1"/>
  <c r="E6167" i="1"/>
  <c r="F6167" i="1"/>
  <c r="H6167" i="1"/>
  <c r="I6167" i="1"/>
  <c r="J6167" i="1"/>
  <c r="L6167" i="1"/>
  <c r="M6167" i="1"/>
  <c r="C6168" i="1"/>
  <c r="E6168" i="1"/>
  <c r="F6168" i="1"/>
  <c r="H6168" i="1"/>
  <c r="I6168" i="1"/>
  <c r="J6168" i="1"/>
  <c r="L6168" i="1"/>
  <c r="M6168" i="1"/>
  <c r="C6169" i="1"/>
  <c r="E6169" i="1"/>
  <c r="F6169" i="1"/>
  <c r="H6169" i="1"/>
  <c r="I6169" i="1"/>
  <c r="J6169" i="1"/>
  <c r="L6169" i="1"/>
  <c r="M6169" i="1"/>
  <c r="C6170" i="1"/>
  <c r="E6170" i="1"/>
  <c r="F6170" i="1"/>
  <c r="H6170" i="1"/>
  <c r="I6170" i="1"/>
  <c r="J6170" i="1"/>
  <c r="L6170" i="1"/>
  <c r="M6170" i="1"/>
  <c r="C6171" i="1"/>
  <c r="E6171" i="1"/>
  <c r="F6171" i="1"/>
  <c r="H6171" i="1"/>
  <c r="I6171" i="1"/>
  <c r="J6171" i="1"/>
  <c r="L6171" i="1"/>
  <c r="M6171" i="1"/>
  <c r="C6172" i="1"/>
  <c r="E6172" i="1"/>
  <c r="F6172" i="1"/>
  <c r="H6172" i="1"/>
  <c r="I6172" i="1"/>
  <c r="J6172" i="1"/>
  <c r="L6172" i="1"/>
  <c r="M6172" i="1"/>
  <c r="C6173" i="1"/>
  <c r="E6173" i="1"/>
  <c r="F6173" i="1"/>
  <c r="H6173" i="1"/>
  <c r="I6173" i="1"/>
  <c r="J6173" i="1"/>
  <c r="L6173" i="1"/>
  <c r="M6173" i="1"/>
  <c r="C6174" i="1"/>
  <c r="E6174" i="1"/>
  <c r="F6174" i="1"/>
  <c r="H6174" i="1"/>
  <c r="I6174" i="1"/>
  <c r="J6174" i="1"/>
  <c r="L6174" i="1"/>
  <c r="M6174" i="1"/>
  <c r="C6175" i="1"/>
  <c r="E6175" i="1"/>
  <c r="F6175" i="1"/>
  <c r="H6175" i="1"/>
  <c r="I6175" i="1"/>
  <c r="J6175" i="1"/>
  <c r="L6175" i="1"/>
  <c r="M6175" i="1"/>
  <c r="C6176" i="1"/>
  <c r="E6176" i="1"/>
  <c r="F6176" i="1"/>
  <c r="H6176" i="1"/>
  <c r="I6176" i="1"/>
  <c r="J6176" i="1"/>
  <c r="L6176" i="1"/>
  <c r="M6176" i="1"/>
  <c r="C6177" i="1"/>
  <c r="E6177" i="1"/>
  <c r="F6177" i="1"/>
  <c r="H6177" i="1"/>
  <c r="I6177" i="1"/>
  <c r="J6177" i="1"/>
  <c r="L6177" i="1"/>
  <c r="M6177" i="1"/>
  <c r="C6178" i="1"/>
  <c r="E6178" i="1"/>
  <c r="F6178" i="1"/>
  <c r="H6178" i="1"/>
  <c r="I6178" i="1"/>
  <c r="J6178" i="1"/>
  <c r="L6178" i="1"/>
  <c r="M6178" i="1"/>
  <c r="C6179" i="1"/>
  <c r="E6179" i="1"/>
  <c r="F6179" i="1"/>
  <c r="H6179" i="1"/>
  <c r="I6179" i="1"/>
  <c r="J6179" i="1"/>
  <c r="L6179" i="1"/>
  <c r="M6179" i="1"/>
  <c r="C6180" i="1"/>
  <c r="E6180" i="1"/>
  <c r="F6180" i="1"/>
  <c r="H6180" i="1"/>
  <c r="I6180" i="1"/>
  <c r="J6180" i="1"/>
  <c r="L6180" i="1"/>
  <c r="M6180" i="1"/>
  <c r="C6181" i="1"/>
  <c r="E6181" i="1"/>
  <c r="F6181" i="1"/>
  <c r="H6181" i="1"/>
  <c r="I6181" i="1"/>
  <c r="J6181" i="1"/>
  <c r="L6181" i="1"/>
  <c r="M6181" i="1"/>
  <c r="C6182" i="1"/>
  <c r="E6182" i="1"/>
  <c r="F6182" i="1"/>
  <c r="H6182" i="1"/>
  <c r="I6182" i="1"/>
  <c r="J6182" i="1"/>
  <c r="L6182" i="1"/>
  <c r="M6182" i="1"/>
  <c r="C6183" i="1"/>
  <c r="E6183" i="1"/>
  <c r="F6183" i="1"/>
  <c r="H6183" i="1"/>
  <c r="I6183" i="1"/>
  <c r="J6183" i="1"/>
  <c r="L6183" i="1"/>
  <c r="M6183" i="1"/>
  <c r="C6184" i="1"/>
  <c r="E6184" i="1"/>
  <c r="F6184" i="1"/>
  <c r="H6184" i="1"/>
  <c r="I6184" i="1"/>
  <c r="J6184" i="1"/>
  <c r="L6184" i="1"/>
  <c r="M6184" i="1"/>
  <c r="C6185" i="1"/>
  <c r="E6185" i="1"/>
  <c r="F6185" i="1"/>
  <c r="H6185" i="1"/>
  <c r="I6185" i="1"/>
  <c r="J6185" i="1"/>
  <c r="L6185" i="1"/>
  <c r="M6185" i="1"/>
  <c r="C6186" i="1"/>
  <c r="E6186" i="1"/>
  <c r="F6186" i="1"/>
  <c r="H6186" i="1"/>
  <c r="I6186" i="1"/>
  <c r="J6186" i="1"/>
  <c r="L6186" i="1"/>
  <c r="M6186" i="1"/>
  <c r="C6187" i="1"/>
  <c r="E6187" i="1"/>
  <c r="F6187" i="1"/>
  <c r="H6187" i="1"/>
  <c r="I6187" i="1"/>
  <c r="J6187" i="1"/>
  <c r="L6187" i="1"/>
  <c r="M6187" i="1"/>
  <c r="C6188" i="1"/>
  <c r="E6188" i="1"/>
  <c r="F6188" i="1"/>
  <c r="H6188" i="1"/>
  <c r="I6188" i="1"/>
  <c r="J6188" i="1"/>
  <c r="L6188" i="1"/>
  <c r="M6188" i="1"/>
  <c r="C6189" i="1"/>
  <c r="E6189" i="1"/>
  <c r="F6189" i="1"/>
  <c r="H6189" i="1"/>
  <c r="I6189" i="1"/>
  <c r="J6189" i="1"/>
  <c r="L6189" i="1"/>
  <c r="M6189" i="1"/>
  <c r="C6190" i="1"/>
  <c r="E6190" i="1"/>
  <c r="F6190" i="1"/>
  <c r="H6190" i="1"/>
  <c r="I6190" i="1"/>
  <c r="J6190" i="1"/>
  <c r="L6190" i="1"/>
  <c r="M6190" i="1"/>
  <c r="C6191" i="1"/>
  <c r="E6191" i="1"/>
  <c r="F6191" i="1"/>
  <c r="H6191" i="1"/>
  <c r="I6191" i="1"/>
  <c r="J6191" i="1"/>
  <c r="L6191" i="1"/>
  <c r="M6191" i="1"/>
  <c r="C6192" i="1"/>
  <c r="E6192" i="1"/>
  <c r="F6192" i="1"/>
  <c r="H6192" i="1"/>
  <c r="I6192" i="1"/>
  <c r="J6192" i="1"/>
  <c r="L6192" i="1"/>
  <c r="M6192" i="1"/>
  <c r="C6193" i="1"/>
  <c r="E6193" i="1"/>
  <c r="F6193" i="1"/>
  <c r="H6193" i="1"/>
  <c r="I6193" i="1"/>
  <c r="J6193" i="1"/>
  <c r="L6193" i="1"/>
  <c r="M6193" i="1"/>
  <c r="C6194" i="1"/>
  <c r="E6194" i="1"/>
  <c r="F6194" i="1"/>
  <c r="H6194" i="1"/>
  <c r="I6194" i="1"/>
  <c r="J6194" i="1"/>
  <c r="L6194" i="1"/>
  <c r="M6194" i="1"/>
  <c r="C6195" i="1"/>
  <c r="E6195" i="1"/>
  <c r="F6195" i="1"/>
  <c r="H6195" i="1"/>
  <c r="I6195" i="1"/>
  <c r="J6195" i="1"/>
  <c r="L6195" i="1"/>
  <c r="M6195" i="1"/>
  <c r="C6196" i="1"/>
  <c r="E6196" i="1"/>
  <c r="F6196" i="1"/>
  <c r="H6196" i="1"/>
  <c r="I6196" i="1"/>
  <c r="J6196" i="1"/>
  <c r="L6196" i="1"/>
  <c r="M6196" i="1"/>
  <c r="C6197" i="1"/>
  <c r="E6197" i="1"/>
  <c r="F6197" i="1"/>
  <c r="H6197" i="1"/>
  <c r="I6197" i="1"/>
  <c r="J6197" i="1"/>
  <c r="L6197" i="1"/>
  <c r="M6197" i="1"/>
  <c r="C6198" i="1"/>
  <c r="E6198" i="1"/>
  <c r="F6198" i="1"/>
  <c r="H6198" i="1"/>
  <c r="I6198" i="1"/>
  <c r="J6198" i="1"/>
  <c r="L6198" i="1"/>
  <c r="M6198" i="1"/>
  <c r="C6199" i="1"/>
  <c r="E6199" i="1"/>
  <c r="F6199" i="1"/>
  <c r="H6199" i="1"/>
  <c r="I6199" i="1"/>
  <c r="J6199" i="1"/>
  <c r="L6199" i="1"/>
  <c r="M6199" i="1"/>
  <c r="C6200" i="1"/>
  <c r="E6200" i="1"/>
  <c r="F6200" i="1"/>
  <c r="H6200" i="1"/>
  <c r="I6200" i="1"/>
  <c r="J6200" i="1"/>
  <c r="L6200" i="1"/>
  <c r="M6200" i="1"/>
  <c r="C6201" i="1"/>
  <c r="E6201" i="1"/>
  <c r="F6201" i="1"/>
  <c r="H6201" i="1"/>
  <c r="I6201" i="1"/>
  <c r="J6201" i="1"/>
  <c r="L6201" i="1"/>
  <c r="M6201" i="1"/>
  <c r="C6202" i="1"/>
  <c r="E6202" i="1"/>
  <c r="F6202" i="1"/>
  <c r="H6202" i="1"/>
  <c r="I6202" i="1"/>
  <c r="J6202" i="1"/>
  <c r="L6202" i="1"/>
  <c r="M6202" i="1"/>
  <c r="C6203" i="1"/>
  <c r="E6203" i="1"/>
  <c r="F6203" i="1"/>
  <c r="H6203" i="1"/>
  <c r="I6203" i="1"/>
  <c r="J6203" i="1"/>
  <c r="L6203" i="1"/>
  <c r="M6203" i="1"/>
  <c r="C6204" i="1"/>
  <c r="E6204" i="1"/>
  <c r="F6204" i="1"/>
  <c r="H6204" i="1"/>
  <c r="I6204" i="1"/>
  <c r="J6204" i="1"/>
  <c r="L6204" i="1"/>
  <c r="M6204" i="1"/>
  <c r="C6205" i="1"/>
  <c r="E6205" i="1"/>
  <c r="F6205" i="1"/>
  <c r="H6205" i="1"/>
  <c r="I6205" i="1"/>
  <c r="J6205" i="1"/>
  <c r="L6205" i="1"/>
  <c r="M6205" i="1"/>
  <c r="C6206" i="1"/>
  <c r="E6206" i="1"/>
  <c r="F6206" i="1"/>
  <c r="H6206" i="1"/>
  <c r="I6206" i="1"/>
  <c r="J6206" i="1"/>
  <c r="L6206" i="1"/>
  <c r="M6206" i="1"/>
  <c r="C6207" i="1"/>
  <c r="E6207" i="1"/>
  <c r="F6207" i="1"/>
  <c r="H6207" i="1"/>
  <c r="I6207" i="1"/>
  <c r="J6207" i="1"/>
  <c r="L6207" i="1"/>
  <c r="M6207" i="1"/>
  <c r="C6208" i="1"/>
  <c r="E6208" i="1"/>
  <c r="F6208" i="1"/>
  <c r="H6208" i="1"/>
  <c r="I6208" i="1"/>
  <c r="J6208" i="1"/>
  <c r="L6208" i="1"/>
  <c r="M6208" i="1"/>
  <c r="C6209" i="1"/>
  <c r="E6209" i="1"/>
  <c r="F6209" i="1"/>
  <c r="H6209" i="1"/>
  <c r="I6209" i="1"/>
  <c r="J6209" i="1"/>
  <c r="L6209" i="1"/>
  <c r="M6209" i="1"/>
  <c r="C6210" i="1"/>
  <c r="E6210" i="1"/>
  <c r="F6210" i="1"/>
  <c r="H6210" i="1"/>
  <c r="I6210" i="1"/>
  <c r="J6210" i="1"/>
  <c r="L6210" i="1"/>
  <c r="M6210" i="1"/>
  <c r="C6211" i="1"/>
  <c r="E6211" i="1"/>
  <c r="F6211" i="1"/>
  <c r="H6211" i="1"/>
  <c r="I6211" i="1"/>
  <c r="J6211" i="1"/>
  <c r="L6211" i="1"/>
  <c r="M6211" i="1"/>
  <c r="C6212" i="1"/>
  <c r="E6212" i="1"/>
  <c r="F6212" i="1"/>
  <c r="H6212" i="1"/>
  <c r="I6212" i="1"/>
  <c r="J6212" i="1"/>
  <c r="L6212" i="1"/>
  <c r="M6212" i="1"/>
  <c r="C6213" i="1"/>
  <c r="E6213" i="1"/>
  <c r="F6213" i="1"/>
  <c r="H6213" i="1"/>
  <c r="I6213" i="1"/>
  <c r="J6213" i="1"/>
  <c r="L6213" i="1"/>
  <c r="M6213" i="1"/>
  <c r="C6214" i="1"/>
  <c r="E6214" i="1"/>
  <c r="F6214" i="1"/>
  <c r="H6214" i="1"/>
  <c r="I6214" i="1"/>
  <c r="J6214" i="1"/>
  <c r="L6214" i="1"/>
  <c r="M6214" i="1"/>
  <c r="C6215" i="1"/>
  <c r="E6215" i="1"/>
  <c r="F6215" i="1"/>
  <c r="H6215" i="1"/>
  <c r="I6215" i="1"/>
  <c r="J6215" i="1"/>
  <c r="L6215" i="1"/>
  <c r="M6215" i="1"/>
  <c r="C6216" i="1"/>
  <c r="E6216" i="1"/>
  <c r="F6216" i="1"/>
  <c r="H6216" i="1"/>
  <c r="I6216" i="1"/>
  <c r="J6216" i="1"/>
  <c r="L6216" i="1"/>
  <c r="M6216" i="1"/>
  <c r="C6217" i="1"/>
  <c r="E6217" i="1"/>
  <c r="F6217" i="1"/>
  <c r="H6217" i="1"/>
  <c r="I6217" i="1"/>
  <c r="J6217" i="1"/>
  <c r="L6217" i="1"/>
  <c r="M6217" i="1"/>
  <c r="C6218" i="1"/>
  <c r="E6218" i="1"/>
  <c r="F6218" i="1"/>
  <c r="H6218" i="1"/>
  <c r="I6218" i="1"/>
  <c r="J6218" i="1"/>
  <c r="L6218" i="1"/>
  <c r="M6218" i="1"/>
  <c r="C6219" i="1"/>
  <c r="E6219" i="1"/>
  <c r="F6219" i="1"/>
  <c r="H6219" i="1"/>
  <c r="I6219" i="1"/>
  <c r="J6219" i="1"/>
  <c r="L6219" i="1"/>
  <c r="M6219" i="1"/>
  <c r="C6220" i="1"/>
  <c r="E6220" i="1"/>
  <c r="F6220" i="1"/>
  <c r="H6220" i="1"/>
  <c r="I6220" i="1"/>
  <c r="J6220" i="1"/>
  <c r="L6220" i="1"/>
  <c r="M6220" i="1"/>
  <c r="C6221" i="1"/>
  <c r="E6221" i="1"/>
  <c r="F6221" i="1"/>
  <c r="H6221" i="1"/>
  <c r="I6221" i="1"/>
  <c r="J6221" i="1"/>
  <c r="L6221" i="1"/>
  <c r="M6221" i="1"/>
  <c r="C6222" i="1"/>
  <c r="E6222" i="1"/>
  <c r="F6222" i="1"/>
  <c r="H6222" i="1"/>
  <c r="I6222" i="1"/>
  <c r="J6222" i="1"/>
  <c r="L6222" i="1"/>
  <c r="M6222" i="1"/>
  <c r="C6223" i="1"/>
  <c r="E6223" i="1"/>
  <c r="F6223" i="1"/>
  <c r="H6223" i="1"/>
  <c r="I6223" i="1"/>
  <c r="J6223" i="1"/>
  <c r="L6223" i="1"/>
  <c r="M6223" i="1"/>
  <c r="C6224" i="1"/>
  <c r="E6224" i="1"/>
  <c r="F6224" i="1"/>
  <c r="H6224" i="1"/>
  <c r="I6224" i="1"/>
  <c r="J6224" i="1"/>
  <c r="L6224" i="1"/>
  <c r="M6224" i="1"/>
  <c r="C6225" i="1"/>
  <c r="E6225" i="1"/>
  <c r="F6225" i="1"/>
  <c r="H6225" i="1"/>
  <c r="I6225" i="1"/>
  <c r="J6225" i="1"/>
  <c r="L6225" i="1"/>
  <c r="M6225" i="1"/>
  <c r="C6226" i="1"/>
  <c r="E6226" i="1"/>
  <c r="F6226" i="1"/>
  <c r="H6226" i="1"/>
  <c r="I6226" i="1"/>
  <c r="J6226" i="1"/>
  <c r="L6226" i="1"/>
  <c r="M6226" i="1"/>
  <c r="C6227" i="1"/>
  <c r="E6227" i="1"/>
  <c r="F6227" i="1"/>
  <c r="H6227" i="1"/>
  <c r="I6227" i="1"/>
  <c r="J6227" i="1"/>
  <c r="L6227" i="1"/>
  <c r="M6227" i="1"/>
  <c r="C6228" i="1"/>
  <c r="E6228" i="1"/>
  <c r="F6228" i="1"/>
  <c r="H6228" i="1"/>
  <c r="I6228" i="1"/>
  <c r="J6228" i="1"/>
  <c r="L6228" i="1"/>
  <c r="M6228" i="1"/>
  <c r="C6229" i="1"/>
  <c r="E6229" i="1"/>
  <c r="F6229" i="1"/>
  <c r="H6229" i="1"/>
  <c r="I6229" i="1"/>
  <c r="J6229" i="1"/>
  <c r="L6229" i="1"/>
  <c r="M6229" i="1"/>
  <c r="C6230" i="1"/>
  <c r="E6230" i="1"/>
  <c r="F6230" i="1"/>
  <c r="H6230" i="1"/>
  <c r="I6230" i="1"/>
  <c r="J6230" i="1"/>
  <c r="L6230" i="1"/>
  <c r="M6230" i="1"/>
  <c r="C6231" i="1"/>
  <c r="E6231" i="1"/>
  <c r="F6231" i="1"/>
  <c r="H6231" i="1"/>
  <c r="I6231" i="1"/>
  <c r="J6231" i="1"/>
  <c r="L6231" i="1"/>
  <c r="M6231" i="1"/>
  <c r="C6232" i="1"/>
  <c r="E6232" i="1"/>
  <c r="F6232" i="1"/>
  <c r="H6232" i="1"/>
  <c r="I6232" i="1"/>
  <c r="J6232" i="1"/>
  <c r="L6232" i="1"/>
  <c r="M6232" i="1"/>
  <c r="C6233" i="1"/>
  <c r="E6233" i="1"/>
  <c r="F6233" i="1"/>
  <c r="H6233" i="1"/>
  <c r="I6233" i="1"/>
  <c r="J6233" i="1"/>
  <c r="L6233" i="1"/>
  <c r="M6233" i="1"/>
  <c r="C6234" i="1"/>
  <c r="E6234" i="1"/>
  <c r="F6234" i="1"/>
  <c r="H6234" i="1"/>
  <c r="I6234" i="1"/>
  <c r="J6234" i="1"/>
  <c r="L6234" i="1"/>
  <c r="M6234" i="1"/>
  <c r="C6235" i="1"/>
  <c r="E6235" i="1"/>
  <c r="F6235" i="1"/>
  <c r="H6235" i="1"/>
  <c r="I6235" i="1"/>
  <c r="J6235" i="1"/>
  <c r="L6235" i="1"/>
  <c r="M6235" i="1"/>
  <c r="C6236" i="1"/>
  <c r="E6236" i="1"/>
  <c r="F6236" i="1"/>
  <c r="H6236" i="1"/>
  <c r="I6236" i="1"/>
  <c r="J6236" i="1"/>
  <c r="L6236" i="1"/>
  <c r="M6236" i="1"/>
  <c r="C6237" i="1"/>
  <c r="E6237" i="1"/>
  <c r="F6237" i="1"/>
  <c r="H6237" i="1"/>
  <c r="I6237" i="1"/>
  <c r="J6237" i="1"/>
  <c r="L6237" i="1"/>
  <c r="M6237" i="1"/>
  <c r="C6238" i="1"/>
  <c r="E6238" i="1"/>
  <c r="F6238" i="1"/>
  <c r="H6238" i="1"/>
  <c r="I6238" i="1"/>
  <c r="J6238" i="1"/>
  <c r="L6238" i="1"/>
  <c r="M6238" i="1"/>
  <c r="C6239" i="1"/>
  <c r="E6239" i="1"/>
  <c r="F6239" i="1"/>
  <c r="H6239" i="1"/>
  <c r="I6239" i="1"/>
  <c r="J6239" i="1"/>
  <c r="L6239" i="1"/>
  <c r="M6239" i="1"/>
  <c r="C6240" i="1"/>
  <c r="E6240" i="1"/>
  <c r="F6240" i="1"/>
  <c r="H6240" i="1"/>
  <c r="I6240" i="1"/>
  <c r="J6240" i="1"/>
  <c r="L6240" i="1"/>
  <c r="M6240" i="1"/>
  <c r="C6241" i="1"/>
  <c r="E6241" i="1"/>
  <c r="F6241" i="1"/>
  <c r="H6241" i="1"/>
  <c r="I6241" i="1"/>
  <c r="J6241" i="1"/>
  <c r="L6241" i="1"/>
  <c r="M6241" i="1"/>
  <c r="C6242" i="1"/>
  <c r="E6242" i="1"/>
  <c r="F6242" i="1"/>
  <c r="H6242" i="1"/>
  <c r="I6242" i="1"/>
  <c r="J6242" i="1"/>
  <c r="L6242" i="1"/>
  <c r="M6242" i="1"/>
  <c r="C6243" i="1"/>
  <c r="E6243" i="1"/>
  <c r="F6243" i="1"/>
  <c r="H6243" i="1"/>
  <c r="I6243" i="1"/>
  <c r="J6243" i="1"/>
  <c r="L6243" i="1"/>
  <c r="M6243" i="1"/>
  <c r="C6244" i="1"/>
  <c r="E6244" i="1"/>
  <c r="F6244" i="1"/>
  <c r="H6244" i="1"/>
  <c r="I6244" i="1"/>
  <c r="J6244" i="1"/>
  <c r="L6244" i="1"/>
  <c r="M6244" i="1"/>
  <c r="C6245" i="1"/>
  <c r="E6245" i="1"/>
  <c r="F6245" i="1"/>
  <c r="H6245" i="1"/>
  <c r="I6245" i="1"/>
  <c r="J6245" i="1"/>
  <c r="L6245" i="1"/>
  <c r="M6245" i="1"/>
  <c r="C6246" i="1"/>
  <c r="E6246" i="1"/>
  <c r="F6246" i="1"/>
  <c r="H6246" i="1"/>
  <c r="I6246" i="1"/>
  <c r="J6246" i="1"/>
  <c r="L6246" i="1"/>
  <c r="M6246" i="1"/>
  <c r="C6247" i="1"/>
  <c r="E6247" i="1"/>
  <c r="F6247" i="1"/>
  <c r="H6247" i="1"/>
  <c r="I6247" i="1"/>
  <c r="J6247" i="1"/>
  <c r="L6247" i="1"/>
  <c r="M6247" i="1"/>
  <c r="C6248" i="1"/>
  <c r="E6248" i="1"/>
  <c r="F6248" i="1"/>
  <c r="H6248" i="1"/>
  <c r="I6248" i="1"/>
  <c r="J6248" i="1"/>
  <c r="L6248" i="1"/>
  <c r="M6248" i="1"/>
  <c r="C6249" i="1"/>
  <c r="E6249" i="1"/>
  <c r="F6249" i="1"/>
  <c r="H6249" i="1"/>
  <c r="I6249" i="1"/>
  <c r="J6249" i="1"/>
  <c r="L6249" i="1"/>
  <c r="M6249" i="1"/>
  <c r="C6250" i="1"/>
  <c r="E6250" i="1"/>
  <c r="F6250" i="1"/>
  <c r="H6250" i="1"/>
  <c r="I6250" i="1"/>
  <c r="J6250" i="1"/>
  <c r="L6250" i="1"/>
  <c r="M6250" i="1"/>
  <c r="C6251" i="1"/>
  <c r="E6251" i="1"/>
  <c r="F6251" i="1"/>
  <c r="H6251" i="1"/>
  <c r="I6251" i="1"/>
  <c r="J6251" i="1"/>
  <c r="L6251" i="1"/>
  <c r="M6251" i="1"/>
  <c r="C6252" i="1"/>
  <c r="E6252" i="1"/>
  <c r="F6252" i="1"/>
  <c r="H6252" i="1"/>
  <c r="I6252" i="1"/>
  <c r="J6252" i="1"/>
  <c r="L6252" i="1"/>
  <c r="M6252" i="1"/>
  <c r="C6253" i="1"/>
  <c r="E6253" i="1"/>
  <c r="F6253" i="1"/>
  <c r="H6253" i="1"/>
  <c r="I6253" i="1"/>
  <c r="J6253" i="1"/>
  <c r="L6253" i="1"/>
  <c r="M6253" i="1"/>
  <c r="C6254" i="1"/>
  <c r="E6254" i="1"/>
  <c r="F6254" i="1"/>
  <c r="H6254" i="1"/>
  <c r="I6254" i="1"/>
  <c r="J6254" i="1"/>
  <c r="L6254" i="1"/>
  <c r="M6254" i="1"/>
  <c r="C6255" i="1"/>
  <c r="E6255" i="1"/>
  <c r="F6255" i="1"/>
  <c r="H6255" i="1"/>
  <c r="I6255" i="1"/>
  <c r="J6255" i="1"/>
  <c r="L6255" i="1"/>
  <c r="M6255" i="1"/>
  <c r="C6256" i="1"/>
  <c r="E6256" i="1"/>
  <c r="F6256" i="1"/>
  <c r="H6256" i="1"/>
  <c r="I6256" i="1"/>
  <c r="J6256" i="1"/>
  <c r="L6256" i="1"/>
  <c r="M6256" i="1"/>
  <c r="C6257" i="1"/>
  <c r="E6257" i="1"/>
  <c r="F6257" i="1"/>
  <c r="H6257" i="1"/>
  <c r="I6257" i="1"/>
  <c r="J6257" i="1"/>
  <c r="L6257" i="1"/>
  <c r="M6257" i="1"/>
  <c r="C6258" i="1"/>
  <c r="E6258" i="1"/>
  <c r="F6258" i="1"/>
  <c r="H6258" i="1"/>
  <c r="I6258" i="1"/>
  <c r="J6258" i="1"/>
  <c r="L6258" i="1"/>
  <c r="M6258" i="1"/>
  <c r="C6259" i="1"/>
  <c r="E6259" i="1"/>
  <c r="F6259" i="1"/>
  <c r="H6259" i="1"/>
  <c r="I6259" i="1"/>
  <c r="J6259" i="1"/>
  <c r="L6259" i="1"/>
  <c r="M6259" i="1"/>
  <c r="C6260" i="1"/>
  <c r="E6260" i="1"/>
  <c r="F6260" i="1"/>
  <c r="H6260" i="1"/>
  <c r="I6260" i="1"/>
  <c r="J6260" i="1"/>
  <c r="L6260" i="1"/>
  <c r="M6260" i="1"/>
  <c r="C6261" i="1"/>
  <c r="E6261" i="1"/>
  <c r="F6261" i="1"/>
  <c r="H6261" i="1"/>
  <c r="I6261" i="1"/>
  <c r="J6261" i="1"/>
  <c r="L6261" i="1"/>
  <c r="M6261" i="1"/>
  <c r="C6262" i="1"/>
  <c r="E6262" i="1"/>
  <c r="F6262" i="1"/>
  <c r="H6262" i="1"/>
  <c r="I6262" i="1"/>
  <c r="J6262" i="1"/>
  <c r="L6262" i="1"/>
  <c r="M6262" i="1"/>
  <c r="C6263" i="1"/>
  <c r="E6263" i="1"/>
  <c r="F6263" i="1"/>
  <c r="H6263" i="1"/>
  <c r="I6263" i="1"/>
  <c r="J6263" i="1"/>
  <c r="L6263" i="1"/>
  <c r="M6263" i="1"/>
  <c r="C6264" i="1"/>
  <c r="E6264" i="1"/>
  <c r="F6264" i="1"/>
  <c r="H6264" i="1"/>
  <c r="I6264" i="1"/>
  <c r="J6264" i="1"/>
  <c r="L6264" i="1"/>
  <c r="M6264" i="1"/>
  <c r="C6265" i="1"/>
  <c r="E6265" i="1"/>
  <c r="F6265" i="1"/>
  <c r="H6265" i="1"/>
  <c r="I6265" i="1"/>
  <c r="J6265" i="1"/>
  <c r="L6265" i="1"/>
  <c r="M6265" i="1"/>
  <c r="C6266" i="1"/>
  <c r="E6266" i="1"/>
  <c r="F6266" i="1"/>
  <c r="H6266" i="1"/>
  <c r="I6266" i="1"/>
  <c r="J6266" i="1"/>
  <c r="L6266" i="1"/>
  <c r="M6266" i="1"/>
  <c r="C6267" i="1"/>
  <c r="E6267" i="1"/>
  <c r="F6267" i="1"/>
  <c r="H6267" i="1"/>
  <c r="I6267" i="1"/>
  <c r="J6267" i="1"/>
  <c r="L6267" i="1"/>
  <c r="M6267" i="1"/>
  <c r="C6268" i="1"/>
  <c r="E6268" i="1"/>
  <c r="F6268" i="1"/>
  <c r="H6268" i="1"/>
  <c r="I6268" i="1"/>
  <c r="J6268" i="1"/>
  <c r="L6268" i="1"/>
  <c r="M6268" i="1"/>
  <c r="C6269" i="1"/>
  <c r="E6269" i="1"/>
  <c r="F6269" i="1"/>
  <c r="H6269" i="1"/>
  <c r="I6269" i="1"/>
  <c r="J6269" i="1"/>
  <c r="L6269" i="1"/>
  <c r="M6269" i="1"/>
  <c r="C6270" i="1"/>
  <c r="E6270" i="1"/>
  <c r="F6270" i="1"/>
  <c r="H6270" i="1"/>
  <c r="I6270" i="1"/>
  <c r="J6270" i="1"/>
  <c r="L6270" i="1"/>
  <c r="M6270" i="1"/>
  <c r="C6271" i="1"/>
  <c r="E6271" i="1"/>
  <c r="F6271" i="1"/>
  <c r="H6271" i="1"/>
  <c r="I6271" i="1"/>
  <c r="J6271" i="1"/>
  <c r="L6271" i="1"/>
  <c r="M6271" i="1"/>
  <c r="C6272" i="1"/>
  <c r="E6272" i="1"/>
  <c r="F6272" i="1"/>
  <c r="H6272" i="1"/>
  <c r="I6272" i="1"/>
  <c r="J6272" i="1"/>
  <c r="L6272" i="1"/>
  <c r="M6272" i="1"/>
  <c r="C6273" i="1"/>
  <c r="E6273" i="1"/>
  <c r="F6273" i="1"/>
  <c r="H6273" i="1"/>
  <c r="I6273" i="1"/>
  <c r="J6273" i="1"/>
  <c r="L6273" i="1"/>
  <c r="M6273" i="1"/>
  <c r="C6274" i="1"/>
  <c r="E6274" i="1"/>
  <c r="F6274" i="1"/>
  <c r="H6274" i="1"/>
  <c r="I6274" i="1"/>
  <c r="J6274" i="1"/>
  <c r="L6274" i="1"/>
  <c r="M6274" i="1"/>
  <c r="C6275" i="1"/>
  <c r="E6275" i="1"/>
  <c r="F6275" i="1"/>
  <c r="H6275" i="1"/>
  <c r="I6275" i="1"/>
  <c r="J6275" i="1"/>
  <c r="L6275" i="1"/>
  <c r="M6275" i="1"/>
  <c r="C6276" i="1"/>
  <c r="E6276" i="1"/>
  <c r="F6276" i="1"/>
  <c r="H6276" i="1"/>
  <c r="I6276" i="1"/>
  <c r="J6276" i="1"/>
  <c r="L6276" i="1"/>
  <c r="M6276" i="1"/>
  <c r="C6277" i="1"/>
  <c r="E6277" i="1"/>
  <c r="F6277" i="1"/>
  <c r="H6277" i="1"/>
  <c r="I6277" i="1"/>
  <c r="J6277" i="1"/>
  <c r="L6277" i="1"/>
  <c r="M6277" i="1"/>
  <c r="C6278" i="1"/>
  <c r="E6278" i="1"/>
  <c r="F6278" i="1"/>
  <c r="H6278" i="1"/>
  <c r="I6278" i="1"/>
  <c r="J6278" i="1"/>
  <c r="L6278" i="1"/>
  <c r="M6278" i="1"/>
  <c r="C6279" i="1"/>
  <c r="E6279" i="1"/>
  <c r="F6279" i="1"/>
  <c r="H6279" i="1"/>
  <c r="I6279" i="1"/>
  <c r="J6279" i="1"/>
  <c r="L6279" i="1"/>
  <c r="M6279" i="1"/>
  <c r="C6280" i="1"/>
  <c r="E6280" i="1"/>
  <c r="F6280" i="1"/>
  <c r="H6280" i="1"/>
  <c r="I6280" i="1"/>
  <c r="J6280" i="1"/>
  <c r="L6280" i="1"/>
  <c r="M6280" i="1"/>
  <c r="C6281" i="1"/>
  <c r="E6281" i="1"/>
  <c r="F6281" i="1"/>
  <c r="H6281" i="1"/>
  <c r="I6281" i="1"/>
  <c r="J6281" i="1"/>
  <c r="L6281" i="1"/>
  <c r="M6281" i="1"/>
  <c r="C6282" i="1"/>
  <c r="E6282" i="1"/>
  <c r="F6282" i="1"/>
  <c r="H6282" i="1"/>
  <c r="I6282" i="1"/>
  <c r="J6282" i="1"/>
  <c r="L6282" i="1"/>
  <c r="M6282" i="1"/>
  <c r="C6283" i="1"/>
  <c r="E6283" i="1"/>
  <c r="F6283" i="1"/>
  <c r="H6283" i="1"/>
  <c r="I6283" i="1"/>
  <c r="J6283" i="1"/>
  <c r="L6283" i="1"/>
  <c r="M6283" i="1"/>
  <c r="C6284" i="1"/>
  <c r="E6284" i="1"/>
  <c r="F6284" i="1"/>
  <c r="H6284" i="1"/>
  <c r="I6284" i="1"/>
  <c r="J6284" i="1"/>
  <c r="L6284" i="1"/>
  <c r="M6284" i="1"/>
  <c r="C6285" i="1"/>
  <c r="E6285" i="1"/>
  <c r="F6285" i="1"/>
  <c r="H6285" i="1"/>
  <c r="I6285" i="1"/>
  <c r="J6285" i="1"/>
  <c r="L6285" i="1"/>
  <c r="M6285" i="1"/>
  <c r="C6286" i="1"/>
  <c r="E6286" i="1"/>
  <c r="F6286" i="1"/>
  <c r="H6286" i="1"/>
  <c r="I6286" i="1"/>
  <c r="J6286" i="1"/>
  <c r="L6286" i="1"/>
  <c r="M6286" i="1"/>
  <c r="C6287" i="1"/>
  <c r="E6287" i="1"/>
  <c r="F6287" i="1"/>
  <c r="H6287" i="1"/>
  <c r="I6287" i="1"/>
  <c r="J6287" i="1"/>
  <c r="L6287" i="1"/>
  <c r="M6287" i="1"/>
  <c r="C6288" i="1"/>
  <c r="E6288" i="1"/>
  <c r="F6288" i="1"/>
  <c r="H6288" i="1"/>
  <c r="I6288" i="1"/>
  <c r="J6288" i="1"/>
  <c r="L6288" i="1"/>
  <c r="M6288" i="1"/>
  <c r="C6289" i="1"/>
  <c r="E6289" i="1"/>
  <c r="F6289" i="1"/>
  <c r="H6289" i="1"/>
  <c r="I6289" i="1"/>
  <c r="J6289" i="1"/>
  <c r="L6289" i="1"/>
  <c r="M6289" i="1"/>
  <c r="C6290" i="1"/>
  <c r="E6290" i="1"/>
  <c r="F6290" i="1"/>
  <c r="H6290" i="1"/>
  <c r="I6290" i="1"/>
  <c r="J6290" i="1"/>
  <c r="L6290" i="1"/>
  <c r="M6290" i="1"/>
  <c r="C6291" i="1"/>
  <c r="E6291" i="1"/>
  <c r="F6291" i="1"/>
  <c r="H6291" i="1"/>
  <c r="I6291" i="1"/>
  <c r="J6291" i="1"/>
  <c r="L6291" i="1"/>
  <c r="M6291" i="1"/>
  <c r="C6292" i="1"/>
  <c r="E6292" i="1"/>
  <c r="F6292" i="1"/>
  <c r="H6292" i="1"/>
  <c r="I6292" i="1"/>
  <c r="J6292" i="1"/>
  <c r="L6292" i="1"/>
  <c r="M6292" i="1"/>
  <c r="C6293" i="1"/>
  <c r="E6293" i="1"/>
  <c r="F6293" i="1"/>
  <c r="H6293" i="1"/>
  <c r="I6293" i="1"/>
  <c r="J6293" i="1"/>
  <c r="L6293" i="1"/>
  <c r="M6293" i="1"/>
  <c r="C6294" i="1"/>
  <c r="E6294" i="1"/>
  <c r="F6294" i="1"/>
  <c r="H6294" i="1"/>
  <c r="I6294" i="1"/>
  <c r="J6294" i="1"/>
  <c r="L6294" i="1"/>
  <c r="M6294" i="1"/>
  <c r="C6295" i="1"/>
  <c r="E6295" i="1"/>
  <c r="F6295" i="1"/>
  <c r="H6295" i="1"/>
  <c r="I6295" i="1"/>
  <c r="J6295" i="1"/>
  <c r="L6295" i="1"/>
  <c r="M6295" i="1"/>
  <c r="C6296" i="1"/>
  <c r="E6296" i="1"/>
  <c r="F6296" i="1"/>
  <c r="H6296" i="1"/>
  <c r="I6296" i="1"/>
  <c r="J6296" i="1"/>
  <c r="L6296" i="1"/>
  <c r="M6296" i="1"/>
  <c r="C6297" i="1"/>
  <c r="E6297" i="1"/>
  <c r="F6297" i="1"/>
  <c r="H6297" i="1"/>
  <c r="I6297" i="1"/>
  <c r="J6297" i="1"/>
  <c r="L6297" i="1"/>
  <c r="M6297" i="1"/>
  <c r="C6298" i="1"/>
  <c r="E6298" i="1"/>
  <c r="F6298" i="1"/>
  <c r="H6298" i="1"/>
  <c r="I6298" i="1"/>
  <c r="J6298" i="1"/>
  <c r="L6298" i="1"/>
  <c r="M6298" i="1"/>
  <c r="C6299" i="1"/>
  <c r="E6299" i="1"/>
  <c r="F6299" i="1"/>
  <c r="H6299" i="1"/>
  <c r="I6299" i="1"/>
  <c r="J6299" i="1"/>
  <c r="L6299" i="1"/>
  <c r="M6299" i="1"/>
  <c r="C6300" i="1"/>
  <c r="E6300" i="1"/>
  <c r="F6300" i="1"/>
  <c r="H6300" i="1"/>
  <c r="I6300" i="1"/>
  <c r="J6300" i="1"/>
  <c r="L6300" i="1"/>
  <c r="M6300" i="1"/>
  <c r="C6301" i="1"/>
  <c r="E6301" i="1"/>
  <c r="F6301" i="1"/>
  <c r="H6301" i="1"/>
  <c r="I6301" i="1"/>
  <c r="J6301" i="1"/>
  <c r="L6301" i="1"/>
  <c r="M6301" i="1"/>
  <c r="C6302" i="1"/>
  <c r="E6302" i="1"/>
  <c r="F6302" i="1"/>
  <c r="H6302" i="1"/>
  <c r="I6302" i="1"/>
  <c r="J6302" i="1"/>
  <c r="L6302" i="1"/>
  <c r="M6302" i="1"/>
  <c r="C6303" i="1"/>
  <c r="E6303" i="1"/>
  <c r="F6303" i="1"/>
  <c r="H6303" i="1"/>
  <c r="I6303" i="1"/>
  <c r="J6303" i="1"/>
  <c r="L6303" i="1"/>
  <c r="M6303" i="1"/>
  <c r="C6304" i="1"/>
  <c r="E6304" i="1"/>
  <c r="F6304" i="1"/>
  <c r="H6304" i="1"/>
  <c r="I6304" i="1"/>
  <c r="J6304" i="1"/>
  <c r="L6304" i="1"/>
  <c r="M6304" i="1"/>
  <c r="C6305" i="1"/>
  <c r="E6305" i="1"/>
  <c r="F6305" i="1"/>
  <c r="H6305" i="1"/>
  <c r="I6305" i="1"/>
  <c r="J6305" i="1"/>
  <c r="L6305" i="1"/>
  <c r="M6305" i="1"/>
  <c r="C6306" i="1"/>
  <c r="E6306" i="1"/>
  <c r="F6306" i="1"/>
  <c r="H6306" i="1"/>
  <c r="I6306" i="1"/>
  <c r="J6306" i="1"/>
  <c r="L6306" i="1"/>
  <c r="M6306" i="1"/>
  <c r="C6307" i="1"/>
  <c r="E6307" i="1"/>
  <c r="F6307" i="1"/>
  <c r="H6307" i="1"/>
  <c r="I6307" i="1"/>
  <c r="J6307" i="1"/>
  <c r="L6307" i="1"/>
  <c r="M6307" i="1"/>
  <c r="C6308" i="1"/>
  <c r="E6308" i="1"/>
  <c r="F6308" i="1"/>
  <c r="H6308" i="1"/>
  <c r="I6308" i="1"/>
  <c r="J6308" i="1"/>
  <c r="L6308" i="1"/>
  <c r="M6308" i="1"/>
  <c r="C6309" i="1"/>
  <c r="E6309" i="1"/>
  <c r="F6309" i="1"/>
  <c r="H6309" i="1"/>
  <c r="I6309" i="1"/>
  <c r="J6309" i="1"/>
  <c r="L6309" i="1"/>
  <c r="M6309" i="1"/>
  <c r="C6310" i="1"/>
  <c r="E6310" i="1"/>
  <c r="F6310" i="1"/>
  <c r="H6310" i="1"/>
  <c r="I6310" i="1"/>
  <c r="J6310" i="1"/>
  <c r="L6310" i="1"/>
  <c r="M6310" i="1"/>
  <c r="C6311" i="1"/>
  <c r="E6311" i="1"/>
  <c r="F6311" i="1"/>
  <c r="H6311" i="1"/>
  <c r="I6311" i="1"/>
  <c r="J6311" i="1"/>
  <c r="L6311" i="1"/>
  <c r="M6311" i="1"/>
  <c r="C6312" i="1"/>
  <c r="E6312" i="1"/>
  <c r="F6312" i="1"/>
  <c r="H6312" i="1"/>
  <c r="I6312" i="1"/>
  <c r="J6312" i="1"/>
  <c r="L6312" i="1"/>
  <c r="M6312" i="1"/>
  <c r="C6313" i="1"/>
  <c r="E6313" i="1"/>
  <c r="F6313" i="1"/>
  <c r="H6313" i="1"/>
  <c r="I6313" i="1"/>
  <c r="J6313" i="1"/>
  <c r="L6313" i="1"/>
  <c r="M6313" i="1"/>
  <c r="C6314" i="1"/>
  <c r="E6314" i="1"/>
  <c r="F6314" i="1"/>
  <c r="H6314" i="1"/>
  <c r="I6314" i="1"/>
  <c r="J6314" i="1"/>
  <c r="L6314" i="1"/>
  <c r="M6314" i="1"/>
  <c r="C6315" i="1"/>
  <c r="E6315" i="1"/>
  <c r="F6315" i="1"/>
  <c r="H6315" i="1"/>
  <c r="I6315" i="1"/>
  <c r="J6315" i="1"/>
  <c r="L6315" i="1"/>
  <c r="M6315" i="1"/>
  <c r="C6316" i="1"/>
  <c r="E6316" i="1"/>
  <c r="F6316" i="1"/>
  <c r="H6316" i="1"/>
  <c r="I6316" i="1"/>
  <c r="J6316" i="1"/>
  <c r="L6316" i="1"/>
  <c r="M6316" i="1"/>
  <c r="C6317" i="1"/>
  <c r="E6317" i="1"/>
  <c r="F6317" i="1"/>
  <c r="H6317" i="1"/>
  <c r="I6317" i="1"/>
  <c r="J6317" i="1"/>
  <c r="L6317" i="1"/>
  <c r="M6317" i="1"/>
  <c r="C6318" i="1"/>
  <c r="E6318" i="1"/>
  <c r="F6318" i="1"/>
  <c r="H6318" i="1"/>
  <c r="I6318" i="1"/>
  <c r="J6318" i="1"/>
  <c r="L6318" i="1"/>
  <c r="M6318" i="1"/>
  <c r="C6319" i="1"/>
  <c r="E6319" i="1"/>
  <c r="F6319" i="1"/>
  <c r="H6319" i="1"/>
  <c r="I6319" i="1"/>
  <c r="J6319" i="1"/>
  <c r="L6319" i="1"/>
  <c r="M6319" i="1"/>
  <c r="C6320" i="1"/>
  <c r="E6320" i="1"/>
  <c r="F6320" i="1"/>
  <c r="H6320" i="1"/>
  <c r="I6320" i="1"/>
  <c r="J6320" i="1"/>
  <c r="L6320" i="1"/>
  <c r="M6320" i="1"/>
  <c r="C6321" i="1"/>
  <c r="E6321" i="1"/>
  <c r="F6321" i="1"/>
  <c r="H6321" i="1"/>
  <c r="I6321" i="1"/>
  <c r="J6321" i="1"/>
  <c r="L6321" i="1"/>
  <c r="M6321" i="1"/>
  <c r="C6322" i="1"/>
  <c r="E6322" i="1"/>
  <c r="F6322" i="1"/>
  <c r="H6322" i="1"/>
  <c r="I6322" i="1"/>
  <c r="J6322" i="1"/>
  <c r="L6322" i="1"/>
  <c r="M6322" i="1"/>
  <c r="C6323" i="1"/>
  <c r="E6323" i="1"/>
  <c r="F6323" i="1"/>
  <c r="H6323" i="1"/>
  <c r="I6323" i="1"/>
  <c r="J6323" i="1"/>
  <c r="L6323" i="1"/>
  <c r="M6323" i="1"/>
  <c r="C6324" i="1"/>
  <c r="E6324" i="1"/>
  <c r="F6324" i="1"/>
  <c r="H6324" i="1"/>
  <c r="I6324" i="1"/>
  <c r="J6324" i="1"/>
  <c r="L6324" i="1"/>
  <c r="M6324" i="1"/>
  <c r="C6325" i="1"/>
  <c r="E6325" i="1"/>
  <c r="F6325" i="1"/>
  <c r="H6325" i="1"/>
  <c r="I6325" i="1"/>
  <c r="J6325" i="1"/>
  <c r="L6325" i="1"/>
  <c r="M6325" i="1"/>
  <c r="C6326" i="1"/>
  <c r="E6326" i="1"/>
  <c r="F6326" i="1"/>
  <c r="H6326" i="1"/>
  <c r="I6326" i="1"/>
  <c r="J6326" i="1"/>
  <c r="L6326" i="1"/>
  <c r="M6326" i="1"/>
  <c r="C6327" i="1"/>
  <c r="E6327" i="1"/>
  <c r="F6327" i="1"/>
  <c r="H6327" i="1"/>
  <c r="I6327" i="1"/>
  <c r="J6327" i="1"/>
  <c r="L6327" i="1"/>
  <c r="M6327" i="1"/>
  <c r="C6328" i="1"/>
  <c r="E6328" i="1"/>
  <c r="F6328" i="1"/>
  <c r="H6328" i="1"/>
  <c r="I6328" i="1"/>
  <c r="J6328" i="1"/>
  <c r="L6328" i="1"/>
  <c r="M6328" i="1"/>
  <c r="C6329" i="1"/>
  <c r="E6329" i="1"/>
  <c r="F6329" i="1"/>
  <c r="H6329" i="1"/>
  <c r="I6329" i="1"/>
  <c r="J6329" i="1"/>
  <c r="L6329" i="1"/>
  <c r="M6329" i="1"/>
  <c r="C6330" i="1"/>
  <c r="E6330" i="1"/>
  <c r="F6330" i="1"/>
  <c r="H6330" i="1"/>
  <c r="I6330" i="1"/>
  <c r="J6330" i="1"/>
  <c r="L6330" i="1"/>
  <c r="M6330" i="1"/>
  <c r="C6331" i="1"/>
  <c r="E6331" i="1"/>
  <c r="F6331" i="1"/>
  <c r="H6331" i="1"/>
  <c r="I6331" i="1"/>
  <c r="J6331" i="1"/>
  <c r="L6331" i="1"/>
  <c r="M6331" i="1"/>
  <c r="C6332" i="1"/>
  <c r="E6332" i="1"/>
  <c r="F6332" i="1"/>
  <c r="H6332" i="1"/>
  <c r="I6332" i="1"/>
  <c r="J6332" i="1"/>
  <c r="L6332" i="1"/>
  <c r="M6332" i="1"/>
  <c r="C6333" i="1"/>
  <c r="E6333" i="1"/>
  <c r="F6333" i="1"/>
  <c r="H6333" i="1"/>
  <c r="I6333" i="1"/>
  <c r="J6333" i="1"/>
  <c r="L6333" i="1"/>
  <c r="M6333" i="1"/>
  <c r="C6334" i="1"/>
  <c r="E6334" i="1"/>
  <c r="F6334" i="1"/>
  <c r="H6334" i="1"/>
  <c r="I6334" i="1"/>
  <c r="J6334" i="1"/>
  <c r="L6334" i="1"/>
  <c r="M6334" i="1"/>
  <c r="C6335" i="1"/>
  <c r="E6335" i="1"/>
  <c r="F6335" i="1"/>
  <c r="H6335" i="1"/>
  <c r="I6335" i="1"/>
  <c r="J6335" i="1"/>
  <c r="L6335" i="1"/>
  <c r="M6335" i="1"/>
  <c r="C6336" i="1"/>
  <c r="E6336" i="1"/>
  <c r="F6336" i="1"/>
  <c r="H6336" i="1"/>
  <c r="I6336" i="1"/>
  <c r="J6336" i="1"/>
  <c r="L6336" i="1"/>
  <c r="M6336" i="1"/>
  <c r="C6337" i="1"/>
  <c r="E6337" i="1"/>
  <c r="F6337" i="1"/>
  <c r="H6337" i="1"/>
  <c r="I6337" i="1"/>
  <c r="J6337" i="1"/>
  <c r="L6337" i="1"/>
  <c r="M6337" i="1"/>
  <c r="C6338" i="1"/>
  <c r="E6338" i="1"/>
  <c r="F6338" i="1"/>
  <c r="H6338" i="1"/>
  <c r="I6338" i="1"/>
  <c r="J6338" i="1"/>
  <c r="L6338" i="1"/>
  <c r="M6338" i="1"/>
  <c r="C6339" i="1"/>
  <c r="E6339" i="1"/>
  <c r="F6339" i="1"/>
  <c r="H6339" i="1"/>
  <c r="I6339" i="1"/>
  <c r="J6339" i="1"/>
  <c r="L6339" i="1"/>
  <c r="M6339" i="1"/>
  <c r="C6340" i="1"/>
  <c r="E6340" i="1"/>
  <c r="F6340" i="1"/>
  <c r="H6340" i="1"/>
  <c r="I6340" i="1"/>
  <c r="J6340" i="1"/>
  <c r="L6340" i="1"/>
  <c r="M6340" i="1"/>
  <c r="C6341" i="1"/>
  <c r="E6341" i="1"/>
  <c r="F6341" i="1"/>
  <c r="H6341" i="1"/>
  <c r="I6341" i="1"/>
  <c r="J6341" i="1"/>
  <c r="L6341" i="1"/>
  <c r="M6341" i="1"/>
  <c r="C6342" i="1"/>
  <c r="E6342" i="1"/>
  <c r="F6342" i="1"/>
  <c r="H6342" i="1"/>
  <c r="I6342" i="1"/>
  <c r="J6342" i="1"/>
  <c r="L6342" i="1"/>
  <c r="M6342" i="1"/>
  <c r="C6343" i="1"/>
  <c r="E6343" i="1"/>
  <c r="F6343" i="1"/>
  <c r="H6343" i="1"/>
  <c r="I6343" i="1"/>
  <c r="J6343" i="1"/>
  <c r="L6343" i="1"/>
  <c r="M6343" i="1"/>
  <c r="C6344" i="1"/>
  <c r="E6344" i="1"/>
  <c r="F6344" i="1"/>
  <c r="H6344" i="1"/>
  <c r="I6344" i="1"/>
  <c r="J6344" i="1"/>
  <c r="L6344" i="1"/>
  <c r="M6344" i="1"/>
  <c r="C6345" i="1"/>
  <c r="E6345" i="1"/>
  <c r="F6345" i="1"/>
  <c r="H6345" i="1"/>
  <c r="I6345" i="1"/>
  <c r="J6345" i="1"/>
  <c r="L6345" i="1"/>
  <c r="M6345" i="1"/>
  <c r="C6346" i="1"/>
  <c r="E6346" i="1"/>
  <c r="F6346" i="1"/>
  <c r="H6346" i="1"/>
  <c r="I6346" i="1"/>
  <c r="J6346" i="1"/>
  <c r="L6346" i="1"/>
  <c r="M6346" i="1"/>
  <c r="C6347" i="1"/>
  <c r="E6347" i="1"/>
  <c r="F6347" i="1"/>
  <c r="H6347" i="1"/>
  <c r="I6347" i="1"/>
  <c r="J6347" i="1"/>
  <c r="L6347" i="1"/>
  <c r="M6347" i="1"/>
  <c r="C6348" i="1"/>
  <c r="E6348" i="1"/>
  <c r="F6348" i="1"/>
  <c r="H6348" i="1"/>
  <c r="I6348" i="1"/>
  <c r="J6348" i="1"/>
  <c r="L6348" i="1"/>
  <c r="M6348" i="1"/>
  <c r="C6349" i="1"/>
  <c r="E6349" i="1"/>
  <c r="F6349" i="1"/>
  <c r="H6349" i="1"/>
  <c r="I6349" i="1"/>
  <c r="J6349" i="1"/>
  <c r="L6349" i="1"/>
  <c r="M6349" i="1"/>
  <c r="C6350" i="1"/>
  <c r="E6350" i="1"/>
  <c r="F6350" i="1"/>
  <c r="H6350" i="1"/>
  <c r="I6350" i="1"/>
  <c r="J6350" i="1"/>
  <c r="L6350" i="1"/>
  <c r="M6350" i="1"/>
  <c r="C6351" i="1"/>
  <c r="E6351" i="1"/>
  <c r="F6351" i="1"/>
  <c r="H6351" i="1"/>
  <c r="I6351" i="1"/>
  <c r="J6351" i="1"/>
  <c r="L6351" i="1"/>
  <c r="M6351" i="1"/>
  <c r="C6352" i="1"/>
  <c r="E6352" i="1"/>
  <c r="F6352" i="1"/>
  <c r="H6352" i="1"/>
  <c r="I6352" i="1"/>
  <c r="J6352" i="1"/>
  <c r="L6352" i="1"/>
  <c r="M6352" i="1"/>
  <c r="C6353" i="1"/>
  <c r="E6353" i="1"/>
  <c r="F6353" i="1"/>
  <c r="H6353" i="1"/>
  <c r="I6353" i="1"/>
  <c r="J6353" i="1"/>
  <c r="L6353" i="1"/>
  <c r="M6353" i="1"/>
  <c r="C6354" i="1"/>
  <c r="E6354" i="1"/>
  <c r="F6354" i="1"/>
  <c r="H6354" i="1"/>
  <c r="I6354" i="1"/>
  <c r="J6354" i="1"/>
  <c r="L6354" i="1"/>
  <c r="M6354" i="1"/>
  <c r="C6355" i="1"/>
  <c r="E6355" i="1"/>
  <c r="F6355" i="1"/>
  <c r="H6355" i="1"/>
  <c r="I6355" i="1"/>
  <c r="J6355" i="1"/>
  <c r="L6355" i="1"/>
  <c r="M6355" i="1"/>
  <c r="C6356" i="1"/>
  <c r="E6356" i="1"/>
  <c r="F6356" i="1"/>
  <c r="H6356" i="1"/>
  <c r="I6356" i="1"/>
  <c r="J6356" i="1"/>
  <c r="L6356" i="1"/>
  <c r="M6356" i="1"/>
  <c r="C6357" i="1"/>
  <c r="E6357" i="1"/>
  <c r="F6357" i="1"/>
  <c r="H6357" i="1"/>
  <c r="I6357" i="1"/>
  <c r="J6357" i="1"/>
  <c r="L6357" i="1"/>
  <c r="M6357" i="1"/>
  <c r="C6358" i="1"/>
  <c r="E6358" i="1"/>
  <c r="F6358" i="1"/>
  <c r="H6358" i="1"/>
  <c r="I6358" i="1"/>
  <c r="J6358" i="1"/>
  <c r="L6358" i="1"/>
  <c r="M6358" i="1"/>
  <c r="C6359" i="1"/>
  <c r="E6359" i="1"/>
  <c r="F6359" i="1"/>
  <c r="H6359" i="1"/>
  <c r="I6359" i="1"/>
  <c r="J6359" i="1"/>
  <c r="L6359" i="1"/>
  <c r="M6359" i="1"/>
  <c r="C6360" i="1"/>
  <c r="E6360" i="1"/>
  <c r="F6360" i="1"/>
  <c r="H6360" i="1"/>
  <c r="I6360" i="1"/>
  <c r="J6360" i="1"/>
  <c r="L6360" i="1"/>
  <c r="M6360" i="1"/>
  <c r="C6361" i="1"/>
  <c r="E6361" i="1"/>
  <c r="F6361" i="1"/>
  <c r="H6361" i="1"/>
  <c r="I6361" i="1"/>
  <c r="J6361" i="1"/>
  <c r="L6361" i="1"/>
  <c r="M6361" i="1"/>
  <c r="C6362" i="1"/>
  <c r="E6362" i="1"/>
  <c r="F6362" i="1"/>
  <c r="H6362" i="1"/>
  <c r="I6362" i="1"/>
  <c r="J6362" i="1"/>
  <c r="L6362" i="1"/>
  <c r="M6362" i="1"/>
  <c r="C6363" i="1"/>
  <c r="E6363" i="1"/>
  <c r="F6363" i="1"/>
  <c r="H6363" i="1"/>
  <c r="I6363" i="1"/>
  <c r="J6363" i="1"/>
  <c r="L6363" i="1"/>
  <c r="M6363" i="1"/>
  <c r="C6364" i="1"/>
  <c r="E6364" i="1"/>
  <c r="F6364" i="1"/>
  <c r="H6364" i="1"/>
  <c r="I6364" i="1"/>
  <c r="J6364" i="1"/>
  <c r="L6364" i="1"/>
  <c r="M6364" i="1"/>
  <c r="C6365" i="1"/>
  <c r="E6365" i="1"/>
  <c r="F6365" i="1"/>
  <c r="H6365" i="1"/>
  <c r="I6365" i="1"/>
  <c r="J6365" i="1"/>
  <c r="L6365" i="1"/>
  <c r="M6365" i="1"/>
  <c r="C6366" i="1"/>
  <c r="E6366" i="1"/>
  <c r="F6366" i="1"/>
  <c r="H6366" i="1"/>
  <c r="I6366" i="1"/>
  <c r="J6366" i="1"/>
  <c r="L6366" i="1"/>
  <c r="M6366" i="1"/>
  <c r="C6367" i="1"/>
  <c r="E6367" i="1"/>
  <c r="F6367" i="1"/>
  <c r="H6367" i="1"/>
  <c r="I6367" i="1"/>
  <c r="J6367" i="1"/>
  <c r="L6367" i="1"/>
  <c r="M6367" i="1"/>
  <c r="C6368" i="1"/>
  <c r="E6368" i="1"/>
  <c r="F6368" i="1"/>
  <c r="H6368" i="1"/>
  <c r="I6368" i="1"/>
  <c r="J6368" i="1"/>
  <c r="L6368" i="1"/>
  <c r="M6368" i="1"/>
  <c r="C6369" i="1"/>
  <c r="E6369" i="1"/>
  <c r="F6369" i="1"/>
  <c r="H6369" i="1"/>
  <c r="I6369" i="1"/>
  <c r="J6369" i="1"/>
  <c r="L6369" i="1"/>
  <c r="M6369" i="1"/>
  <c r="C6370" i="1"/>
  <c r="E6370" i="1"/>
  <c r="F6370" i="1"/>
  <c r="H6370" i="1"/>
  <c r="I6370" i="1"/>
  <c r="J6370" i="1"/>
  <c r="L6370" i="1"/>
  <c r="M6370" i="1"/>
  <c r="C6371" i="1"/>
  <c r="E6371" i="1"/>
  <c r="F6371" i="1"/>
  <c r="H6371" i="1"/>
  <c r="I6371" i="1"/>
  <c r="J6371" i="1"/>
  <c r="L6371" i="1"/>
  <c r="M6371" i="1"/>
  <c r="C6372" i="1"/>
  <c r="E6372" i="1"/>
  <c r="F6372" i="1"/>
  <c r="H6372" i="1"/>
  <c r="I6372" i="1"/>
  <c r="J6372" i="1"/>
  <c r="L6372" i="1"/>
  <c r="M6372" i="1"/>
  <c r="C6373" i="1"/>
  <c r="E6373" i="1"/>
  <c r="F6373" i="1"/>
  <c r="H6373" i="1"/>
  <c r="I6373" i="1"/>
  <c r="J6373" i="1"/>
  <c r="L6373" i="1"/>
  <c r="M6373" i="1"/>
  <c r="C6374" i="1"/>
  <c r="E6374" i="1"/>
  <c r="F6374" i="1"/>
  <c r="H6374" i="1"/>
  <c r="I6374" i="1"/>
  <c r="J6374" i="1"/>
  <c r="L6374" i="1"/>
  <c r="M6374" i="1"/>
  <c r="C6375" i="1"/>
  <c r="E6375" i="1"/>
  <c r="F6375" i="1"/>
  <c r="H6375" i="1"/>
  <c r="I6375" i="1"/>
  <c r="J6375" i="1"/>
  <c r="L6375" i="1"/>
  <c r="M6375" i="1"/>
  <c r="C6376" i="1"/>
  <c r="E6376" i="1"/>
  <c r="F6376" i="1"/>
  <c r="H6376" i="1"/>
  <c r="I6376" i="1"/>
  <c r="J6376" i="1"/>
  <c r="L6376" i="1"/>
  <c r="M6376" i="1"/>
  <c r="C6377" i="1"/>
  <c r="E6377" i="1"/>
  <c r="F6377" i="1"/>
  <c r="H6377" i="1"/>
  <c r="I6377" i="1"/>
  <c r="J6377" i="1"/>
  <c r="L6377" i="1"/>
  <c r="M6377" i="1"/>
  <c r="C6378" i="1"/>
  <c r="E6378" i="1"/>
  <c r="F6378" i="1"/>
  <c r="H6378" i="1"/>
  <c r="I6378" i="1"/>
  <c r="J6378" i="1"/>
  <c r="L6378" i="1"/>
  <c r="M6378" i="1"/>
  <c r="C6379" i="1"/>
  <c r="E6379" i="1"/>
  <c r="F6379" i="1"/>
  <c r="H6379" i="1"/>
  <c r="I6379" i="1"/>
  <c r="J6379" i="1"/>
  <c r="L6379" i="1"/>
  <c r="M6379" i="1"/>
  <c r="C6380" i="1"/>
  <c r="E6380" i="1"/>
  <c r="F6380" i="1"/>
  <c r="H6380" i="1"/>
  <c r="I6380" i="1"/>
  <c r="J6380" i="1"/>
  <c r="L6380" i="1"/>
  <c r="M6380" i="1"/>
  <c r="C6381" i="1"/>
  <c r="E6381" i="1"/>
  <c r="F6381" i="1"/>
  <c r="H6381" i="1"/>
  <c r="I6381" i="1"/>
  <c r="J6381" i="1"/>
  <c r="L6381" i="1"/>
  <c r="M6381" i="1"/>
  <c r="C6382" i="1"/>
  <c r="E6382" i="1"/>
  <c r="F6382" i="1"/>
  <c r="H6382" i="1"/>
  <c r="I6382" i="1"/>
  <c r="J6382" i="1"/>
  <c r="L6382" i="1"/>
  <c r="M6382" i="1"/>
  <c r="C6383" i="1"/>
  <c r="E6383" i="1"/>
  <c r="F6383" i="1"/>
  <c r="H6383" i="1"/>
  <c r="I6383" i="1"/>
  <c r="J6383" i="1"/>
  <c r="L6383" i="1"/>
  <c r="M6383" i="1"/>
  <c r="C6384" i="1"/>
  <c r="E6384" i="1"/>
  <c r="F6384" i="1"/>
  <c r="H6384" i="1"/>
  <c r="I6384" i="1"/>
  <c r="J6384" i="1"/>
  <c r="L6384" i="1"/>
  <c r="M6384" i="1"/>
  <c r="C6385" i="1"/>
  <c r="E6385" i="1"/>
  <c r="F6385" i="1"/>
  <c r="H6385" i="1"/>
  <c r="I6385" i="1"/>
  <c r="J6385" i="1"/>
  <c r="L6385" i="1"/>
  <c r="M6385" i="1"/>
  <c r="C6386" i="1"/>
  <c r="E6386" i="1"/>
  <c r="F6386" i="1"/>
  <c r="H6386" i="1"/>
  <c r="I6386" i="1"/>
  <c r="J6386" i="1"/>
  <c r="L6386" i="1"/>
  <c r="M6386" i="1"/>
  <c r="C6387" i="1"/>
  <c r="E6387" i="1"/>
  <c r="F6387" i="1"/>
  <c r="H6387" i="1"/>
  <c r="I6387" i="1"/>
  <c r="J6387" i="1"/>
  <c r="L6387" i="1"/>
  <c r="M6387" i="1"/>
  <c r="C6388" i="1"/>
  <c r="E6388" i="1"/>
  <c r="F6388" i="1"/>
  <c r="H6388" i="1"/>
  <c r="I6388" i="1"/>
  <c r="J6388" i="1"/>
  <c r="L6388" i="1"/>
  <c r="M6388" i="1"/>
  <c r="C6389" i="1"/>
  <c r="E6389" i="1"/>
  <c r="F6389" i="1"/>
  <c r="H6389" i="1"/>
  <c r="I6389" i="1"/>
  <c r="J6389" i="1"/>
  <c r="L6389" i="1"/>
  <c r="M6389" i="1"/>
  <c r="C6390" i="1"/>
  <c r="E6390" i="1"/>
  <c r="F6390" i="1"/>
  <c r="H6390" i="1"/>
  <c r="I6390" i="1"/>
  <c r="J6390" i="1"/>
  <c r="L6390" i="1"/>
  <c r="M6390" i="1"/>
  <c r="C6391" i="1"/>
  <c r="E6391" i="1"/>
  <c r="F6391" i="1"/>
  <c r="H6391" i="1"/>
  <c r="I6391" i="1"/>
  <c r="J6391" i="1"/>
  <c r="L6391" i="1"/>
  <c r="M6391" i="1"/>
  <c r="C6392" i="1"/>
  <c r="E6392" i="1"/>
  <c r="F6392" i="1"/>
  <c r="H6392" i="1"/>
  <c r="I6392" i="1"/>
  <c r="J6392" i="1"/>
  <c r="L6392" i="1"/>
  <c r="M6392" i="1"/>
  <c r="C6393" i="1"/>
  <c r="E6393" i="1"/>
  <c r="F6393" i="1"/>
  <c r="H6393" i="1"/>
  <c r="I6393" i="1"/>
  <c r="J6393" i="1"/>
  <c r="L6393" i="1"/>
  <c r="M6393" i="1"/>
  <c r="C6394" i="1"/>
  <c r="E6394" i="1"/>
  <c r="F6394" i="1"/>
  <c r="H6394" i="1"/>
  <c r="I6394" i="1"/>
  <c r="J6394" i="1"/>
  <c r="L6394" i="1"/>
  <c r="M6394" i="1"/>
  <c r="C6395" i="1"/>
  <c r="E6395" i="1"/>
  <c r="F6395" i="1"/>
  <c r="H6395" i="1"/>
  <c r="I6395" i="1"/>
  <c r="J6395" i="1"/>
  <c r="L6395" i="1"/>
  <c r="M6395" i="1"/>
  <c r="C6396" i="1"/>
  <c r="E6396" i="1"/>
  <c r="F6396" i="1"/>
  <c r="H6396" i="1"/>
  <c r="I6396" i="1"/>
  <c r="J6396" i="1"/>
  <c r="L6396" i="1"/>
  <c r="M6396" i="1"/>
  <c r="C6397" i="1"/>
  <c r="E6397" i="1"/>
  <c r="F6397" i="1"/>
  <c r="H6397" i="1"/>
  <c r="I6397" i="1"/>
  <c r="J6397" i="1"/>
  <c r="L6397" i="1"/>
  <c r="M6397" i="1"/>
  <c r="C6398" i="1"/>
  <c r="E6398" i="1"/>
  <c r="F6398" i="1"/>
  <c r="H6398" i="1"/>
  <c r="I6398" i="1"/>
  <c r="J6398" i="1"/>
  <c r="L6398" i="1"/>
  <c r="M6398" i="1"/>
  <c r="C6399" i="1"/>
  <c r="E6399" i="1"/>
  <c r="F6399" i="1"/>
  <c r="H6399" i="1"/>
  <c r="I6399" i="1"/>
  <c r="J6399" i="1"/>
  <c r="L6399" i="1"/>
  <c r="M6399" i="1"/>
  <c r="C6400" i="1"/>
  <c r="E6400" i="1"/>
  <c r="F6400" i="1"/>
  <c r="H6400" i="1"/>
  <c r="I6400" i="1"/>
  <c r="J6400" i="1"/>
  <c r="L6400" i="1"/>
  <c r="M6400" i="1"/>
  <c r="C6401" i="1"/>
  <c r="E6401" i="1"/>
  <c r="F6401" i="1"/>
  <c r="H6401" i="1"/>
  <c r="I6401" i="1"/>
  <c r="J6401" i="1"/>
  <c r="L6401" i="1"/>
  <c r="M6401" i="1"/>
  <c r="C6402" i="1"/>
  <c r="E6402" i="1"/>
  <c r="F6402" i="1"/>
  <c r="H6402" i="1"/>
  <c r="I6402" i="1"/>
  <c r="J6402" i="1"/>
  <c r="L6402" i="1"/>
  <c r="M6402" i="1"/>
  <c r="C6403" i="1"/>
  <c r="E6403" i="1"/>
  <c r="F6403" i="1"/>
  <c r="H6403" i="1"/>
  <c r="I6403" i="1"/>
  <c r="J6403" i="1"/>
  <c r="L6403" i="1"/>
  <c r="M6403" i="1"/>
  <c r="C6404" i="1"/>
  <c r="E6404" i="1"/>
  <c r="F6404" i="1"/>
  <c r="H6404" i="1"/>
  <c r="I6404" i="1"/>
  <c r="J6404" i="1"/>
  <c r="L6404" i="1"/>
  <c r="M6404" i="1"/>
  <c r="C6405" i="1"/>
  <c r="E6405" i="1"/>
  <c r="F6405" i="1"/>
  <c r="H6405" i="1"/>
  <c r="I6405" i="1"/>
  <c r="J6405" i="1"/>
  <c r="L6405" i="1"/>
  <c r="M6405" i="1"/>
  <c r="C6406" i="1"/>
  <c r="E6406" i="1"/>
  <c r="F6406" i="1"/>
  <c r="H6406" i="1"/>
  <c r="I6406" i="1"/>
  <c r="J6406" i="1"/>
  <c r="L6406" i="1"/>
  <c r="M6406" i="1"/>
  <c r="C6407" i="1"/>
  <c r="E6407" i="1"/>
  <c r="F6407" i="1"/>
  <c r="H6407" i="1"/>
  <c r="I6407" i="1"/>
  <c r="J6407" i="1"/>
  <c r="L6407" i="1"/>
  <c r="M6407" i="1"/>
  <c r="C6408" i="1"/>
  <c r="E6408" i="1"/>
  <c r="F6408" i="1"/>
  <c r="H6408" i="1"/>
  <c r="I6408" i="1"/>
  <c r="J6408" i="1"/>
  <c r="L6408" i="1"/>
  <c r="M6408" i="1"/>
  <c r="C6409" i="1"/>
  <c r="E6409" i="1"/>
  <c r="F6409" i="1"/>
  <c r="H6409" i="1"/>
  <c r="I6409" i="1"/>
  <c r="J6409" i="1"/>
  <c r="L6409" i="1"/>
  <c r="M6409" i="1"/>
  <c r="C6410" i="1"/>
  <c r="E6410" i="1"/>
  <c r="F6410" i="1"/>
  <c r="H6410" i="1"/>
  <c r="I6410" i="1"/>
  <c r="J6410" i="1"/>
  <c r="L6410" i="1"/>
  <c r="M6410" i="1"/>
  <c r="C6411" i="1"/>
  <c r="E6411" i="1"/>
  <c r="F6411" i="1"/>
  <c r="H6411" i="1"/>
  <c r="I6411" i="1"/>
  <c r="J6411" i="1"/>
  <c r="L6411" i="1"/>
  <c r="M6411" i="1"/>
  <c r="C6412" i="1"/>
  <c r="E6412" i="1"/>
  <c r="F6412" i="1"/>
  <c r="H6412" i="1"/>
  <c r="I6412" i="1"/>
  <c r="J6412" i="1"/>
  <c r="L6412" i="1"/>
  <c r="M6412" i="1"/>
  <c r="C6413" i="1"/>
  <c r="E6413" i="1"/>
  <c r="F6413" i="1"/>
  <c r="H6413" i="1"/>
  <c r="I6413" i="1"/>
  <c r="J6413" i="1"/>
  <c r="L6413" i="1"/>
  <c r="M6413" i="1"/>
  <c r="C6414" i="1"/>
  <c r="E6414" i="1"/>
  <c r="F6414" i="1"/>
  <c r="H6414" i="1"/>
  <c r="I6414" i="1"/>
  <c r="J6414" i="1"/>
  <c r="L6414" i="1"/>
  <c r="M6414" i="1"/>
  <c r="C6415" i="1"/>
  <c r="E6415" i="1"/>
  <c r="F6415" i="1"/>
  <c r="H6415" i="1"/>
  <c r="I6415" i="1"/>
  <c r="J6415" i="1"/>
  <c r="L6415" i="1"/>
  <c r="M6415" i="1"/>
  <c r="C6416" i="1"/>
  <c r="E6416" i="1"/>
  <c r="F6416" i="1"/>
  <c r="H6416" i="1"/>
  <c r="I6416" i="1"/>
  <c r="J6416" i="1"/>
  <c r="L6416" i="1"/>
  <c r="M6416" i="1"/>
  <c r="C6417" i="1"/>
  <c r="E6417" i="1"/>
  <c r="F6417" i="1"/>
  <c r="H6417" i="1"/>
  <c r="I6417" i="1"/>
  <c r="J6417" i="1"/>
  <c r="L6417" i="1"/>
  <c r="M6417" i="1"/>
  <c r="C6418" i="1"/>
  <c r="E6418" i="1"/>
  <c r="F6418" i="1"/>
  <c r="H6418" i="1"/>
  <c r="I6418" i="1"/>
  <c r="J6418" i="1"/>
  <c r="L6418" i="1"/>
  <c r="M6418" i="1"/>
  <c r="C6419" i="1"/>
  <c r="E6419" i="1"/>
  <c r="F6419" i="1"/>
  <c r="H6419" i="1"/>
  <c r="I6419" i="1"/>
  <c r="J6419" i="1"/>
  <c r="L6419" i="1"/>
  <c r="M6419" i="1"/>
  <c r="C6420" i="1"/>
  <c r="E6420" i="1"/>
  <c r="F6420" i="1"/>
  <c r="H6420" i="1"/>
  <c r="I6420" i="1"/>
  <c r="J6420" i="1"/>
  <c r="L6420" i="1"/>
  <c r="M6420" i="1"/>
  <c r="C6421" i="1"/>
  <c r="E6421" i="1"/>
  <c r="F6421" i="1"/>
  <c r="H6421" i="1"/>
  <c r="I6421" i="1"/>
  <c r="J6421" i="1"/>
  <c r="L6421" i="1"/>
  <c r="M6421" i="1"/>
  <c r="C6422" i="1"/>
  <c r="E6422" i="1"/>
  <c r="F6422" i="1"/>
  <c r="H6422" i="1"/>
  <c r="I6422" i="1"/>
  <c r="J6422" i="1"/>
  <c r="L6422" i="1"/>
  <c r="M6422" i="1"/>
  <c r="C6423" i="1"/>
  <c r="E6423" i="1"/>
  <c r="F6423" i="1"/>
  <c r="H6423" i="1"/>
  <c r="I6423" i="1"/>
  <c r="J6423" i="1"/>
  <c r="L6423" i="1"/>
  <c r="M6423" i="1"/>
  <c r="C6424" i="1"/>
  <c r="E6424" i="1"/>
  <c r="F6424" i="1"/>
  <c r="H6424" i="1"/>
  <c r="I6424" i="1"/>
  <c r="J6424" i="1"/>
  <c r="L6424" i="1"/>
  <c r="M6424" i="1"/>
  <c r="C6425" i="1"/>
  <c r="E6425" i="1"/>
  <c r="F6425" i="1"/>
  <c r="H6425" i="1"/>
  <c r="I6425" i="1"/>
  <c r="J6425" i="1"/>
  <c r="L6425" i="1"/>
  <c r="M6425" i="1"/>
  <c r="C6426" i="1"/>
  <c r="E6426" i="1"/>
  <c r="F6426" i="1"/>
  <c r="H6426" i="1"/>
  <c r="I6426" i="1"/>
  <c r="J6426" i="1"/>
  <c r="L6426" i="1"/>
  <c r="M6426" i="1"/>
  <c r="C6427" i="1"/>
  <c r="E6427" i="1"/>
  <c r="F6427" i="1"/>
  <c r="H6427" i="1"/>
  <c r="I6427" i="1"/>
  <c r="J6427" i="1"/>
  <c r="L6427" i="1"/>
  <c r="M6427" i="1"/>
  <c r="C6428" i="1"/>
  <c r="E6428" i="1"/>
  <c r="F6428" i="1"/>
  <c r="H6428" i="1"/>
  <c r="I6428" i="1"/>
  <c r="J6428" i="1"/>
  <c r="L6428" i="1"/>
  <c r="M6428" i="1"/>
  <c r="C6429" i="1"/>
  <c r="E6429" i="1"/>
  <c r="F6429" i="1"/>
  <c r="H6429" i="1"/>
  <c r="I6429" i="1"/>
  <c r="J6429" i="1"/>
  <c r="L6429" i="1"/>
  <c r="M6429" i="1"/>
  <c r="C6430" i="1"/>
  <c r="E6430" i="1"/>
  <c r="F6430" i="1"/>
  <c r="H6430" i="1"/>
  <c r="I6430" i="1"/>
  <c r="J6430" i="1"/>
  <c r="L6430" i="1"/>
  <c r="M6430" i="1"/>
  <c r="C6431" i="1"/>
  <c r="E6431" i="1"/>
  <c r="F6431" i="1"/>
  <c r="H6431" i="1"/>
  <c r="I6431" i="1"/>
  <c r="J6431" i="1"/>
  <c r="L6431" i="1"/>
  <c r="M6431" i="1"/>
  <c r="C6432" i="1"/>
  <c r="E6432" i="1"/>
  <c r="F6432" i="1"/>
  <c r="H6432" i="1"/>
  <c r="I6432" i="1"/>
  <c r="J6432" i="1"/>
  <c r="L6432" i="1"/>
  <c r="M6432" i="1"/>
  <c r="C6433" i="1"/>
  <c r="E6433" i="1"/>
  <c r="F6433" i="1"/>
  <c r="H6433" i="1"/>
  <c r="I6433" i="1"/>
  <c r="J6433" i="1"/>
  <c r="L6433" i="1"/>
  <c r="M6433" i="1"/>
  <c r="C6434" i="1"/>
  <c r="E6434" i="1"/>
  <c r="F6434" i="1"/>
  <c r="H6434" i="1"/>
  <c r="I6434" i="1"/>
  <c r="J6434" i="1"/>
  <c r="L6434" i="1"/>
  <c r="M6434" i="1"/>
  <c r="C6435" i="1"/>
  <c r="E6435" i="1"/>
  <c r="F6435" i="1"/>
  <c r="H6435" i="1"/>
  <c r="I6435" i="1"/>
  <c r="J6435" i="1"/>
  <c r="L6435" i="1"/>
  <c r="M6435" i="1"/>
  <c r="C6436" i="1"/>
  <c r="E6436" i="1"/>
  <c r="F6436" i="1"/>
  <c r="H6436" i="1"/>
  <c r="I6436" i="1"/>
  <c r="J6436" i="1"/>
  <c r="L6436" i="1"/>
  <c r="M6436" i="1"/>
  <c r="C6437" i="1"/>
  <c r="E6437" i="1"/>
  <c r="F6437" i="1"/>
  <c r="H6437" i="1"/>
  <c r="I6437" i="1"/>
  <c r="J6437" i="1"/>
  <c r="L6437" i="1"/>
  <c r="M6437" i="1"/>
  <c r="C6438" i="1"/>
  <c r="E6438" i="1"/>
  <c r="F6438" i="1"/>
  <c r="H6438" i="1"/>
  <c r="I6438" i="1"/>
  <c r="J6438" i="1"/>
  <c r="L6438" i="1"/>
  <c r="M6438" i="1"/>
  <c r="C6439" i="1"/>
  <c r="E6439" i="1"/>
  <c r="F6439" i="1"/>
  <c r="H6439" i="1"/>
  <c r="I6439" i="1"/>
  <c r="J6439" i="1"/>
  <c r="L6439" i="1"/>
  <c r="M6439" i="1"/>
  <c r="C6440" i="1"/>
  <c r="E6440" i="1"/>
  <c r="F6440" i="1"/>
  <c r="H6440" i="1"/>
  <c r="I6440" i="1"/>
  <c r="J6440" i="1"/>
  <c r="L6440" i="1"/>
  <c r="M6440" i="1"/>
  <c r="C6441" i="1"/>
  <c r="E6441" i="1"/>
  <c r="F6441" i="1"/>
  <c r="H6441" i="1"/>
  <c r="I6441" i="1"/>
  <c r="J6441" i="1"/>
  <c r="L6441" i="1"/>
  <c r="M6441" i="1"/>
  <c r="C6442" i="1"/>
  <c r="E6442" i="1"/>
  <c r="F6442" i="1"/>
  <c r="H6442" i="1"/>
  <c r="I6442" i="1"/>
  <c r="J6442" i="1"/>
  <c r="L6442" i="1"/>
  <c r="M6442" i="1"/>
  <c r="C6443" i="1"/>
  <c r="E6443" i="1"/>
  <c r="F6443" i="1"/>
  <c r="H6443" i="1"/>
  <c r="I6443" i="1"/>
  <c r="J6443" i="1"/>
  <c r="L6443" i="1"/>
  <c r="M6443" i="1"/>
  <c r="C6444" i="1"/>
  <c r="E6444" i="1"/>
  <c r="F6444" i="1"/>
  <c r="H6444" i="1"/>
  <c r="I6444" i="1"/>
  <c r="J6444" i="1"/>
  <c r="L6444" i="1"/>
  <c r="M6444" i="1"/>
  <c r="C6445" i="1"/>
  <c r="E6445" i="1"/>
  <c r="F6445" i="1"/>
  <c r="H6445" i="1"/>
  <c r="I6445" i="1"/>
  <c r="J6445" i="1"/>
  <c r="L6445" i="1"/>
  <c r="M6445" i="1"/>
  <c r="C6446" i="1"/>
  <c r="E6446" i="1"/>
  <c r="F6446" i="1"/>
  <c r="H6446" i="1"/>
  <c r="I6446" i="1"/>
  <c r="J6446" i="1"/>
  <c r="L6446" i="1"/>
  <c r="M6446" i="1"/>
  <c r="C6447" i="1"/>
  <c r="E6447" i="1"/>
  <c r="F6447" i="1"/>
  <c r="H6447" i="1"/>
  <c r="I6447" i="1"/>
  <c r="J6447" i="1"/>
  <c r="L6447" i="1"/>
  <c r="M6447" i="1"/>
  <c r="C6448" i="1"/>
  <c r="E6448" i="1"/>
  <c r="F6448" i="1"/>
  <c r="H6448" i="1"/>
  <c r="I6448" i="1"/>
  <c r="J6448" i="1"/>
  <c r="L6448" i="1"/>
  <c r="M6448" i="1"/>
  <c r="C6449" i="1"/>
  <c r="E6449" i="1"/>
  <c r="F6449" i="1"/>
  <c r="H6449" i="1"/>
  <c r="I6449" i="1"/>
  <c r="J6449" i="1"/>
  <c r="L6449" i="1"/>
  <c r="M6449" i="1"/>
  <c r="C6450" i="1"/>
  <c r="E6450" i="1"/>
  <c r="F6450" i="1"/>
  <c r="H6450" i="1"/>
  <c r="I6450" i="1"/>
  <c r="J6450" i="1"/>
  <c r="L6450" i="1"/>
  <c r="M6450" i="1"/>
  <c r="C6451" i="1"/>
  <c r="E6451" i="1"/>
  <c r="F6451" i="1"/>
  <c r="H6451" i="1"/>
  <c r="I6451" i="1"/>
  <c r="J6451" i="1"/>
  <c r="L6451" i="1"/>
  <c r="M6451" i="1"/>
  <c r="C6452" i="1"/>
  <c r="E6452" i="1"/>
  <c r="F6452" i="1"/>
  <c r="H6452" i="1"/>
  <c r="I6452" i="1"/>
  <c r="J6452" i="1"/>
  <c r="L6452" i="1"/>
  <c r="M6452" i="1"/>
  <c r="C6453" i="1"/>
  <c r="E6453" i="1"/>
  <c r="F6453" i="1"/>
  <c r="H6453" i="1"/>
  <c r="I6453" i="1"/>
  <c r="J6453" i="1"/>
  <c r="L6453" i="1"/>
  <c r="M6453" i="1"/>
  <c r="C6454" i="1"/>
  <c r="E6454" i="1"/>
  <c r="F6454" i="1"/>
  <c r="H6454" i="1"/>
  <c r="I6454" i="1"/>
  <c r="J6454" i="1"/>
  <c r="L6454" i="1"/>
  <c r="M6454" i="1"/>
  <c r="C6455" i="1"/>
  <c r="E6455" i="1"/>
  <c r="F6455" i="1"/>
  <c r="H6455" i="1"/>
  <c r="I6455" i="1"/>
  <c r="J6455" i="1"/>
  <c r="L6455" i="1"/>
  <c r="M6455" i="1"/>
  <c r="C6456" i="1"/>
  <c r="E6456" i="1"/>
  <c r="F6456" i="1"/>
  <c r="H6456" i="1"/>
  <c r="I6456" i="1"/>
  <c r="J6456" i="1"/>
  <c r="L6456" i="1"/>
  <c r="M6456" i="1"/>
  <c r="C6457" i="1"/>
  <c r="E6457" i="1"/>
  <c r="F6457" i="1"/>
  <c r="H6457" i="1"/>
  <c r="I6457" i="1"/>
  <c r="J6457" i="1"/>
  <c r="L6457" i="1"/>
  <c r="M6457" i="1"/>
  <c r="C6458" i="1"/>
  <c r="E6458" i="1"/>
  <c r="F6458" i="1"/>
  <c r="H6458" i="1"/>
  <c r="I6458" i="1"/>
  <c r="J6458" i="1"/>
  <c r="L6458" i="1"/>
  <c r="M6458" i="1"/>
  <c r="C6459" i="1"/>
  <c r="E6459" i="1"/>
  <c r="F6459" i="1"/>
  <c r="H6459" i="1"/>
  <c r="I6459" i="1"/>
  <c r="J6459" i="1"/>
  <c r="L6459" i="1"/>
  <c r="M6459" i="1"/>
  <c r="C6460" i="1"/>
  <c r="E6460" i="1"/>
  <c r="F6460" i="1"/>
  <c r="H6460" i="1"/>
  <c r="I6460" i="1"/>
  <c r="J6460" i="1"/>
  <c r="L6460" i="1"/>
  <c r="M6460" i="1"/>
  <c r="C6461" i="1"/>
  <c r="E6461" i="1"/>
  <c r="F6461" i="1"/>
  <c r="H6461" i="1"/>
  <c r="I6461" i="1"/>
  <c r="J6461" i="1"/>
  <c r="L6461" i="1"/>
  <c r="M6461" i="1"/>
  <c r="C6462" i="1"/>
  <c r="E6462" i="1"/>
  <c r="F6462" i="1"/>
  <c r="H6462" i="1"/>
  <c r="I6462" i="1"/>
  <c r="J6462" i="1"/>
  <c r="L6462" i="1"/>
  <c r="M6462" i="1"/>
  <c r="C6463" i="1"/>
  <c r="E6463" i="1"/>
  <c r="F6463" i="1"/>
  <c r="H6463" i="1"/>
  <c r="I6463" i="1"/>
  <c r="J6463" i="1"/>
  <c r="L6463" i="1"/>
  <c r="M6463" i="1"/>
  <c r="C6464" i="1"/>
  <c r="E6464" i="1"/>
  <c r="F6464" i="1"/>
  <c r="H6464" i="1"/>
  <c r="I6464" i="1"/>
  <c r="J6464" i="1"/>
  <c r="L6464" i="1"/>
  <c r="M6464" i="1"/>
  <c r="C6465" i="1"/>
  <c r="E6465" i="1"/>
  <c r="F6465" i="1"/>
  <c r="H6465" i="1"/>
  <c r="I6465" i="1"/>
  <c r="J6465" i="1"/>
  <c r="L6465" i="1"/>
  <c r="M6465" i="1"/>
  <c r="C6466" i="1"/>
  <c r="E6466" i="1"/>
  <c r="F6466" i="1"/>
  <c r="H6466" i="1"/>
  <c r="I6466" i="1"/>
  <c r="J6466" i="1"/>
  <c r="L6466" i="1"/>
  <c r="M6466" i="1"/>
  <c r="C6467" i="1"/>
  <c r="E6467" i="1"/>
  <c r="F6467" i="1"/>
  <c r="H6467" i="1"/>
  <c r="I6467" i="1"/>
  <c r="J6467" i="1"/>
  <c r="L6467" i="1"/>
  <c r="M6467" i="1"/>
  <c r="C6468" i="1"/>
  <c r="E6468" i="1"/>
  <c r="F6468" i="1"/>
  <c r="H6468" i="1"/>
  <c r="I6468" i="1"/>
  <c r="J6468" i="1"/>
  <c r="L6468" i="1"/>
  <c r="M6468" i="1"/>
  <c r="C6469" i="1"/>
  <c r="E6469" i="1"/>
  <c r="F6469" i="1"/>
  <c r="H6469" i="1"/>
  <c r="I6469" i="1"/>
  <c r="J6469" i="1"/>
  <c r="L6469" i="1"/>
  <c r="M6469" i="1"/>
  <c r="C6470" i="1"/>
  <c r="E6470" i="1"/>
  <c r="F6470" i="1"/>
  <c r="H6470" i="1"/>
  <c r="I6470" i="1"/>
  <c r="J6470" i="1"/>
  <c r="L6470" i="1"/>
  <c r="M6470" i="1"/>
  <c r="C6471" i="1"/>
  <c r="E6471" i="1"/>
  <c r="F6471" i="1"/>
  <c r="H6471" i="1"/>
  <c r="I6471" i="1"/>
  <c r="J6471" i="1"/>
  <c r="L6471" i="1"/>
  <c r="M6471" i="1"/>
  <c r="C6472" i="1"/>
  <c r="E6472" i="1"/>
  <c r="F6472" i="1"/>
  <c r="H6472" i="1"/>
  <c r="I6472" i="1"/>
  <c r="J6472" i="1"/>
  <c r="L6472" i="1"/>
  <c r="M6472" i="1"/>
  <c r="C6473" i="1"/>
  <c r="E6473" i="1"/>
  <c r="F6473" i="1"/>
  <c r="H6473" i="1"/>
  <c r="I6473" i="1"/>
  <c r="J6473" i="1"/>
  <c r="L6473" i="1"/>
  <c r="M6473" i="1"/>
  <c r="C6474" i="1"/>
  <c r="E6474" i="1"/>
  <c r="F6474" i="1"/>
  <c r="H6474" i="1"/>
  <c r="I6474" i="1"/>
  <c r="J6474" i="1"/>
  <c r="L6474" i="1"/>
  <c r="M6474" i="1"/>
  <c r="C6475" i="1"/>
  <c r="E6475" i="1"/>
  <c r="F6475" i="1"/>
  <c r="H6475" i="1"/>
  <c r="I6475" i="1"/>
  <c r="J6475" i="1"/>
  <c r="L6475" i="1"/>
  <c r="M6475" i="1"/>
  <c r="C6476" i="1"/>
  <c r="E6476" i="1"/>
  <c r="F6476" i="1"/>
  <c r="H6476" i="1"/>
  <c r="I6476" i="1"/>
  <c r="J6476" i="1"/>
  <c r="L6476" i="1"/>
  <c r="M6476" i="1"/>
  <c r="C6477" i="1"/>
  <c r="E6477" i="1"/>
  <c r="F6477" i="1"/>
  <c r="H6477" i="1"/>
  <c r="I6477" i="1"/>
  <c r="J6477" i="1"/>
  <c r="L6477" i="1"/>
  <c r="M6477" i="1"/>
  <c r="C6478" i="1"/>
  <c r="E6478" i="1"/>
  <c r="F6478" i="1"/>
  <c r="H6478" i="1"/>
  <c r="I6478" i="1"/>
  <c r="J6478" i="1"/>
  <c r="L6478" i="1"/>
  <c r="M6478" i="1"/>
  <c r="C6479" i="1"/>
  <c r="E6479" i="1"/>
  <c r="F6479" i="1"/>
  <c r="H6479" i="1"/>
  <c r="I6479" i="1"/>
  <c r="J6479" i="1"/>
  <c r="L6479" i="1"/>
  <c r="M6479" i="1"/>
  <c r="C6480" i="1"/>
  <c r="E6480" i="1"/>
  <c r="F6480" i="1"/>
  <c r="H6480" i="1"/>
  <c r="I6480" i="1"/>
  <c r="J6480" i="1"/>
  <c r="L6480" i="1"/>
  <c r="M6480" i="1"/>
  <c r="C6481" i="1"/>
  <c r="E6481" i="1"/>
  <c r="F6481" i="1"/>
  <c r="H6481" i="1"/>
  <c r="I6481" i="1"/>
  <c r="J6481" i="1"/>
  <c r="L6481" i="1"/>
  <c r="M6481" i="1"/>
  <c r="C6482" i="1"/>
  <c r="E6482" i="1"/>
  <c r="F6482" i="1"/>
  <c r="H6482" i="1"/>
  <c r="I6482" i="1"/>
  <c r="J6482" i="1"/>
  <c r="L6482" i="1"/>
  <c r="M6482" i="1"/>
  <c r="C6483" i="1"/>
  <c r="E6483" i="1"/>
  <c r="F6483" i="1"/>
  <c r="H6483" i="1"/>
  <c r="I6483" i="1"/>
  <c r="J6483" i="1"/>
  <c r="L6483" i="1"/>
  <c r="M6483" i="1"/>
  <c r="C6484" i="1"/>
  <c r="E6484" i="1"/>
  <c r="F6484" i="1"/>
  <c r="H6484" i="1"/>
  <c r="I6484" i="1"/>
  <c r="J6484" i="1"/>
  <c r="L6484" i="1"/>
  <c r="M6484" i="1"/>
  <c r="C6485" i="1"/>
  <c r="E6485" i="1"/>
  <c r="F6485" i="1"/>
  <c r="H6485" i="1"/>
  <c r="I6485" i="1"/>
  <c r="J6485" i="1"/>
  <c r="L6485" i="1"/>
  <c r="M6485" i="1"/>
  <c r="C6486" i="1"/>
  <c r="E6486" i="1"/>
  <c r="F6486" i="1"/>
  <c r="H6486" i="1"/>
  <c r="I6486" i="1"/>
  <c r="J6486" i="1"/>
  <c r="L6486" i="1"/>
  <c r="M6486" i="1"/>
  <c r="C6487" i="1"/>
  <c r="E6487" i="1"/>
  <c r="F6487" i="1"/>
  <c r="H6487" i="1"/>
  <c r="I6487" i="1"/>
  <c r="J6487" i="1"/>
  <c r="L6487" i="1"/>
  <c r="M6487" i="1"/>
  <c r="C6488" i="1"/>
  <c r="E6488" i="1"/>
  <c r="F6488" i="1"/>
  <c r="H6488" i="1"/>
  <c r="I6488" i="1"/>
  <c r="J6488" i="1"/>
  <c r="L6488" i="1"/>
  <c r="M6488" i="1"/>
  <c r="C6489" i="1"/>
  <c r="E6489" i="1"/>
  <c r="F6489" i="1"/>
  <c r="H6489" i="1"/>
  <c r="I6489" i="1"/>
  <c r="J6489" i="1"/>
  <c r="L6489" i="1"/>
  <c r="M6489" i="1"/>
  <c r="C6490" i="1"/>
  <c r="E6490" i="1"/>
  <c r="F6490" i="1"/>
  <c r="H6490" i="1"/>
  <c r="I6490" i="1"/>
  <c r="J6490" i="1"/>
  <c r="L6490" i="1"/>
  <c r="M6490" i="1"/>
  <c r="C6491" i="1"/>
  <c r="E6491" i="1"/>
  <c r="F6491" i="1"/>
  <c r="H6491" i="1"/>
  <c r="I6491" i="1"/>
  <c r="J6491" i="1"/>
  <c r="L6491" i="1"/>
  <c r="M6491" i="1"/>
  <c r="C6492" i="1"/>
  <c r="E6492" i="1"/>
  <c r="F6492" i="1"/>
  <c r="H6492" i="1"/>
  <c r="I6492" i="1"/>
  <c r="J6492" i="1"/>
  <c r="L6492" i="1"/>
  <c r="M6492" i="1"/>
  <c r="C6493" i="1"/>
  <c r="E6493" i="1"/>
  <c r="F6493" i="1"/>
  <c r="H6493" i="1"/>
  <c r="I6493" i="1"/>
  <c r="J6493" i="1"/>
  <c r="L6493" i="1"/>
  <c r="M6493" i="1"/>
  <c r="C6494" i="1"/>
  <c r="E6494" i="1"/>
  <c r="F6494" i="1"/>
  <c r="H6494" i="1"/>
  <c r="I6494" i="1"/>
  <c r="J6494" i="1"/>
  <c r="L6494" i="1"/>
  <c r="M6494" i="1"/>
  <c r="C6495" i="1"/>
  <c r="E6495" i="1"/>
  <c r="F6495" i="1"/>
  <c r="H6495" i="1"/>
  <c r="I6495" i="1"/>
  <c r="J6495" i="1"/>
  <c r="L6495" i="1"/>
  <c r="M6495" i="1"/>
  <c r="C6496" i="1"/>
  <c r="E6496" i="1"/>
  <c r="F6496" i="1"/>
  <c r="H6496" i="1"/>
  <c r="I6496" i="1"/>
  <c r="J6496" i="1"/>
  <c r="L6496" i="1"/>
  <c r="M6496" i="1"/>
  <c r="C6497" i="1"/>
  <c r="E6497" i="1"/>
  <c r="F6497" i="1"/>
  <c r="H6497" i="1"/>
  <c r="I6497" i="1"/>
  <c r="J6497" i="1"/>
  <c r="L6497" i="1"/>
  <c r="M6497" i="1"/>
  <c r="C6498" i="1"/>
  <c r="E6498" i="1"/>
  <c r="F6498" i="1"/>
  <c r="H6498" i="1"/>
  <c r="I6498" i="1"/>
  <c r="J6498" i="1"/>
  <c r="L6498" i="1"/>
  <c r="M6498" i="1"/>
  <c r="C6499" i="1"/>
  <c r="E6499" i="1"/>
  <c r="F6499" i="1"/>
  <c r="H6499" i="1"/>
  <c r="I6499" i="1"/>
  <c r="J6499" i="1"/>
  <c r="L6499" i="1"/>
  <c r="M6499" i="1"/>
  <c r="C6500" i="1"/>
  <c r="E6500" i="1"/>
  <c r="F6500" i="1"/>
  <c r="H6500" i="1"/>
  <c r="I6500" i="1"/>
  <c r="J6500" i="1"/>
  <c r="L6500" i="1"/>
  <c r="M6500" i="1"/>
  <c r="C6501" i="1"/>
  <c r="E6501" i="1"/>
  <c r="F6501" i="1"/>
  <c r="H6501" i="1"/>
  <c r="I6501" i="1"/>
  <c r="J6501" i="1"/>
  <c r="L6501" i="1"/>
  <c r="M6501" i="1"/>
  <c r="C6502" i="1"/>
  <c r="E6502" i="1"/>
  <c r="F6502" i="1"/>
  <c r="H6502" i="1"/>
  <c r="I6502" i="1"/>
  <c r="J6502" i="1"/>
  <c r="L6502" i="1"/>
  <c r="M6502" i="1"/>
  <c r="C6503" i="1"/>
  <c r="E6503" i="1"/>
  <c r="F6503" i="1"/>
  <c r="H6503" i="1"/>
  <c r="I6503" i="1"/>
  <c r="J6503" i="1"/>
  <c r="L6503" i="1"/>
  <c r="M6503" i="1"/>
  <c r="C6504" i="1"/>
  <c r="E6504" i="1"/>
  <c r="F6504" i="1"/>
  <c r="H6504" i="1"/>
  <c r="I6504" i="1"/>
  <c r="J6504" i="1"/>
  <c r="L6504" i="1"/>
  <c r="M6504" i="1"/>
  <c r="C6505" i="1"/>
  <c r="E6505" i="1"/>
  <c r="F6505" i="1"/>
  <c r="H6505" i="1"/>
  <c r="I6505" i="1"/>
  <c r="J6505" i="1"/>
  <c r="L6505" i="1"/>
  <c r="M6505" i="1"/>
  <c r="C6506" i="1"/>
  <c r="E6506" i="1"/>
  <c r="F6506" i="1"/>
  <c r="H6506" i="1"/>
  <c r="I6506" i="1"/>
  <c r="J6506" i="1"/>
  <c r="L6506" i="1"/>
  <c r="M6506" i="1"/>
  <c r="C6507" i="1"/>
  <c r="E6507" i="1"/>
  <c r="F6507" i="1"/>
  <c r="H6507" i="1"/>
  <c r="I6507" i="1"/>
  <c r="J6507" i="1"/>
  <c r="L6507" i="1"/>
  <c r="M6507" i="1"/>
  <c r="C6508" i="1"/>
  <c r="E6508" i="1"/>
  <c r="F6508" i="1"/>
  <c r="H6508" i="1"/>
  <c r="I6508" i="1"/>
  <c r="J6508" i="1"/>
  <c r="L6508" i="1"/>
  <c r="M6508" i="1"/>
  <c r="C6509" i="1"/>
  <c r="E6509" i="1"/>
  <c r="F6509" i="1"/>
  <c r="H6509" i="1"/>
  <c r="I6509" i="1"/>
  <c r="J6509" i="1"/>
  <c r="L6509" i="1"/>
  <c r="M6509" i="1"/>
  <c r="C6510" i="1"/>
  <c r="E6510" i="1"/>
  <c r="F6510" i="1"/>
  <c r="H6510" i="1"/>
  <c r="I6510" i="1"/>
  <c r="J6510" i="1"/>
  <c r="L6510" i="1"/>
  <c r="M6510" i="1"/>
  <c r="C6511" i="1"/>
  <c r="E6511" i="1"/>
  <c r="F6511" i="1"/>
  <c r="H6511" i="1"/>
  <c r="I6511" i="1"/>
  <c r="J6511" i="1"/>
  <c r="L6511" i="1"/>
  <c r="M6511" i="1"/>
  <c r="C6512" i="1"/>
  <c r="E6512" i="1"/>
  <c r="F6512" i="1"/>
  <c r="H6512" i="1"/>
  <c r="I6512" i="1"/>
  <c r="J6512" i="1"/>
  <c r="L6512" i="1"/>
  <c r="M6512" i="1"/>
  <c r="C6513" i="1"/>
  <c r="E6513" i="1"/>
  <c r="F6513" i="1"/>
  <c r="H6513" i="1"/>
  <c r="I6513" i="1"/>
  <c r="J6513" i="1"/>
  <c r="L6513" i="1"/>
  <c r="M6513" i="1"/>
  <c r="C6514" i="1"/>
  <c r="E6514" i="1"/>
  <c r="F6514" i="1"/>
  <c r="H6514" i="1"/>
  <c r="I6514" i="1"/>
  <c r="J6514" i="1"/>
  <c r="L6514" i="1"/>
  <c r="M6514" i="1"/>
  <c r="C6515" i="1"/>
  <c r="E6515" i="1"/>
  <c r="F6515" i="1"/>
  <c r="H6515" i="1"/>
  <c r="I6515" i="1"/>
  <c r="J6515" i="1"/>
  <c r="L6515" i="1"/>
  <c r="M6515" i="1"/>
  <c r="C6516" i="1"/>
  <c r="E6516" i="1"/>
  <c r="F6516" i="1"/>
  <c r="H6516" i="1"/>
  <c r="I6516" i="1"/>
  <c r="J6516" i="1"/>
  <c r="L6516" i="1"/>
  <c r="M6516" i="1"/>
  <c r="C6517" i="1"/>
  <c r="E6517" i="1"/>
  <c r="F6517" i="1"/>
  <c r="H6517" i="1"/>
  <c r="I6517" i="1"/>
  <c r="J6517" i="1"/>
  <c r="L6517" i="1"/>
  <c r="M6517" i="1"/>
  <c r="C6518" i="1"/>
  <c r="E6518" i="1"/>
  <c r="F6518" i="1"/>
  <c r="H6518" i="1"/>
  <c r="I6518" i="1"/>
  <c r="J6518" i="1"/>
  <c r="L6518" i="1"/>
  <c r="M6518" i="1"/>
  <c r="C6519" i="1"/>
  <c r="E6519" i="1"/>
  <c r="F6519" i="1"/>
  <c r="H6519" i="1"/>
  <c r="I6519" i="1"/>
  <c r="J6519" i="1"/>
  <c r="L6519" i="1"/>
  <c r="M6519" i="1"/>
  <c r="C6520" i="1"/>
  <c r="E6520" i="1"/>
  <c r="F6520" i="1"/>
  <c r="H6520" i="1"/>
  <c r="I6520" i="1"/>
  <c r="J6520" i="1"/>
  <c r="L6520" i="1"/>
  <c r="M6520" i="1"/>
  <c r="C6521" i="1"/>
  <c r="E6521" i="1"/>
  <c r="F6521" i="1"/>
  <c r="H6521" i="1"/>
  <c r="I6521" i="1"/>
  <c r="J6521" i="1"/>
  <c r="L6521" i="1"/>
  <c r="M6521" i="1"/>
  <c r="C6522" i="1"/>
  <c r="E6522" i="1"/>
  <c r="F6522" i="1"/>
  <c r="H6522" i="1"/>
  <c r="I6522" i="1"/>
  <c r="J6522" i="1"/>
  <c r="L6522" i="1"/>
  <c r="M6522" i="1"/>
  <c r="C6523" i="1"/>
  <c r="E6523" i="1"/>
  <c r="F6523" i="1"/>
  <c r="H6523" i="1"/>
  <c r="I6523" i="1"/>
  <c r="J6523" i="1"/>
  <c r="L6523" i="1"/>
  <c r="M6523" i="1"/>
  <c r="C6524" i="1"/>
  <c r="E6524" i="1"/>
  <c r="F6524" i="1"/>
  <c r="H6524" i="1"/>
  <c r="I6524" i="1"/>
  <c r="J6524" i="1"/>
  <c r="L6524" i="1"/>
  <c r="M6524" i="1"/>
  <c r="C6525" i="1"/>
  <c r="E6525" i="1"/>
  <c r="F6525" i="1"/>
  <c r="H6525" i="1"/>
  <c r="I6525" i="1"/>
  <c r="J6525" i="1"/>
  <c r="L6525" i="1"/>
  <c r="M6525" i="1"/>
  <c r="C6526" i="1"/>
  <c r="E6526" i="1"/>
  <c r="F6526" i="1"/>
  <c r="H6526" i="1"/>
  <c r="I6526" i="1"/>
  <c r="J6526" i="1"/>
  <c r="L6526" i="1"/>
  <c r="M6526" i="1"/>
  <c r="C6527" i="1"/>
  <c r="E6527" i="1"/>
  <c r="F6527" i="1"/>
  <c r="H6527" i="1"/>
  <c r="I6527" i="1"/>
  <c r="J6527" i="1"/>
  <c r="L6527" i="1"/>
  <c r="M6527" i="1"/>
  <c r="C6528" i="1"/>
  <c r="E6528" i="1"/>
  <c r="F6528" i="1"/>
  <c r="H6528" i="1"/>
  <c r="I6528" i="1"/>
  <c r="J6528" i="1"/>
  <c r="L6528" i="1"/>
  <c r="M6528" i="1"/>
  <c r="C6529" i="1"/>
  <c r="E6529" i="1"/>
  <c r="F6529" i="1"/>
  <c r="H6529" i="1"/>
  <c r="I6529" i="1"/>
  <c r="J6529" i="1"/>
  <c r="L6529" i="1"/>
  <c r="M6529" i="1"/>
  <c r="C6530" i="1"/>
  <c r="E6530" i="1"/>
  <c r="F6530" i="1"/>
  <c r="H6530" i="1"/>
  <c r="I6530" i="1"/>
  <c r="J6530" i="1"/>
  <c r="L6530" i="1"/>
  <c r="M6530" i="1"/>
  <c r="C6531" i="1"/>
  <c r="E6531" i="1"/>
  <c r="F6531" i="1"/>
  <c r="H6531" i="1"/>
  <c r="I6531" i="1"/>
  <c r="J6531" i="1"/>
  <c r="L6531" i="1"/>
  <c r="M6531" i="1"/>
  <c r="C6532" i="1"/>
  <c r="E6532" i="1"/>
  <c r="F6532" i="1"/>
  <c r="H6532" i="1"/>
  <c r="I6532" i="1"/>
  <c r="J6532" i="1"/>
  <c r="L6532" i="1"/>
  <c r="M6532" i="1"/>
  <c r="C6533" i="1"/>
  <c r="E6533" i="1"/>
  <c r="F6533" i="1"/>
  <c r="H6533" i="1"/>
  <c r="I6533" i="1"/>
  <c r="J6533" i="1"/>
  <c r="L6533" i="1"/>
  <c r="M6533" i="1"/>
  <c r="C6534" i="1"/>
  <c r="E6534" i="1"/>
  <c r="F6534" i="1"/>
  <c r="H6534" i="1"/>
  <c r="I6534" i="1"/>
  <c r="J6534" i="1"/>
  <c r="L6534" i="1"/>
  <c r="M6534" i="1"/>
  <c r="C6535" i="1"/>
  <c r="E6535" i="1"/>
  <c r="F6535" i="1"/>
  <c r="H6535" i="1"/>
  <c r="I6535" i="1"/>
  <c r="J6535" i="1"/>
  <c r="L6535" i="1"/>
  <c r="M6535" i="1"/>
  <c r="C6536" i="1"/>
  <c r="E6536" i="1"/>
  <c r="F6536" i="1"/>
  <c r="H6536" i="1"/>
  <c r="I6536" i="1"/>
  <c r="J6536" i="1"/>
  <c r="L6536" i="1"/>
  <c r="M6536" i="1"/>
  <c r="C6537" i="1"/>
  <c r="E6537" i="1"/>
  <c r="F6537" i="1"/>
  <c r="H6537" i="1"/>
  <c r="I6537" i="1"/>
  <c r="J6537" i="1"/>
  <c r="L6537" i="1"/>
  <c r="M6537" i="1"/>
  <c r="C6538" i="1"/>
  <c r="E6538" i="1"/>
  <c r="F6538" i="1"/>
  <c r="H6538" i="1"/>
  <c r="I6538" i="1"/>
  <c r="J6538" i="1"/>
  <c r="L6538" i="1"/>
  <c r="M6538" i="1"/>
  <c r="C6539" i="1"/>
  <c r="E6539" i="1"/>
  <c r="F6539" i="1"/>
  <c r="H6539" i="1"/>
  <c r="I6539" i="1"/>
  <c r="J6539" i="1"/>
  <c r="L6539" i="1"/>
  <c r="M6539" i="1"/>
  <c r="C6540" i="1"/>
  <c r="E6540" i="1"/>
  <c r="F6540" i="1"/>
  <c r="H6540" i="1"/>
  <c r="I6540" i="1"/>
  <c r="J6540" i="1"/>
  <c r="L6540" i="1"/>
  <c r="M6540" i="1"/>
  <c r="C6541" i="1"/>
  <c r="E6541" i="1"/>
  <c r="F6541" i="1"/>
  <c r="H6541" i="1"/>
  <c r="I6541" i="1"/>
  <c r="J6541" i="1"/>
  <c r="L6541" i="1"/>
  <c r="M6541" i="1"/>
  <c r="C6542" i="1"/>
  <c r="E6542" i="1"/>
  <c r="F6542" i="1"/>
  <c r="H6542" i="1"/>
  <c r="I6542" i="1"/>
  <c r="J6542" i="1"/>
  <c r="L6542" i="1"/>
  <c r="M6542" i="1"/>
  <c r="C6543" i="1"/>
  <c r="E6543" i="1"/>
  <c r="F6543" i="1"/>
  <c r="H6543" i="1"/>
  <c r="I6543" i="1"/>
  <c r="J6543" i="1"/>
  <c r="L6543" i="1"/>
  <c r="M6543" i="1"/>
  <c r="C6544" i="1"/>
  <c r="E6544" i="1"/>
  <c r="F6544" i="1"/>
  <c r="H6544" i="1"/>
  <c r="I6544" i="1"/>
  <c r="J6544" i="1"/>
  <c r="L6544" i="1"/>
  <c r="M6544" i="1"/>
  <c r="C6545" i="1"/>
  <c r="E6545" i="1"/>
  <c r="F6545" i="1"/>
  <c r="H6545" i="1"/>
  <c r="I6545" i="1"/>
  <c r="J6545" i="1"/>
  <c r="L6545" i="1"/>
  <c r="M6545" i="1"/>
  <c r="C6546" i="1"/>
  <c r="E6546" i="1"/>
  <c r="F6546" i="1"/>
  <c r="H6546" i="1"/>
  <c r="I6546" i="1"/>
  <c r="J6546" i="1"/>
  <c r="L6546" i="1"/>
  <c r="M6546" i="1"/>
  <c r="C6547" i="1"/>
  <c r="E6547" i="1"/>
  <c r="F6547" i="1"/>
  <c r="H6547" i="1"/>
  <c r="I6547" i="1"/>
  <c r="J6547" i="1"/>
  <c r="L6547" i="1"/>
  <c r="M6547" i="1"/>
  <c r="C6548" i="1"/>
  <c r="E6548" i="1"/>
  <c r="F6548" i="1"/>
  <c r="H6548" i="1"/>
  <c r="I6548" i="1"/>
  <c r="J6548" i="1"/>
  <c r="L6548" i="1"/>
  <c r="M6548" i="1"/>
  <c r="C6549" i="1"/>
  <c r="E6549" i="1"/>
  <c r="F6549" i="1"/>
  <c r="H6549" i="1"/>
  <c r="I6549" i="1"/>
  <c r="J6549" i="1"/>
  <c r="L6549" i="1"/>
  <c r="M6549" i="1"/>
  <c r="C6550" i="1"/>
  <c r="E6550" i="1"/>
  <c r="F6550" i="1"/>
  <c r="H6550" i="1"/>
  <c r="I6550" i="1"/>
  <c r="J6550" i="1"/>
  <c r="L6550" i="1"/>
  <c r="M6550" i="1"/>
  <c r="C6551" i="1"/>
  <c r="E6551" i="1"/>
  <c r="F6551" i="1"/>
  <c r="H6551" i="1"/>
  <c r="I6551" i="1"/>
  <c r="J6551" i="1"/>
  <c r="L6551" i="1"/>
  <c r="M6551" i="1"/>
  <c r="C6552" i="1"/>
  <c r="E6552" i="1"/>
  <c r="F6552" i="1"/>
  <c r="H6552" i="1"/>
  <c r="I6552" i="1"/>
  <c r="J6552" i="1"/>
  <c r="L6552" i="1"/>
  <c r="M6552" i="1"/>
  <c r="C6553" i="1"/>
  <c r="E6553" i="1"/>
  <c r="F6553" i="1"/>
  <c r="H6553" i="1"/>
  <c r="I6553" i="1"/>
  <c r="J6553" i="1"/>
  <c r="L6553" i="1"/>
  <c r="M6553" i="1"/>
  <c r="C6554" i="1"/>
  <c r="E6554" i="1"/>
  <c r="F6554" i="1"/>
  <c r="H6554" i="1"/>
  <c r="I6554" i="1"/>
  <c r="J6554" i="1"/>
  <c r="L6554" i="1"/>
  <c r="M6554" i="1"/>
  <c r="C6555" i="1"/>
  <c r="E6555" i="1"/>
  <c r="F6555" i="1"/>
  <c r="H6555" i="1"/>
  <c r="I6555" i="1"/>
  <c r="J6555" i="1"/>
  <c r="L6555" i="1"/>
  <c r="M6555" i="1"/>
  <c r="C6556" i="1"/>
  <c r="E6556" i="1"/>
  <c r="F6556" i="1"/>
  <c r="H6556" i="1"/>
  <c r="I6556" i="1"/>
  <c r="J6556" i="1"/>
  <c r="L6556" i="1"/>
  <c r="M6556" i="1"/>
  <c r="C6557" i="1"/>
  <c r="E6557" i="1"/>
  <c r="F6557" i="1"/>
  <c r="H6557" i="1"/>
  <c r="I6557" i="1"/>
  <c r="J6557" i="1"/>
  <c r="L6557" i="1"/>
  <c r="M6557" i="1"/>
  <c r="C6558" i="1"/>
  <c r="E6558" i="1"/>
  <c r="F6558" i="1"/>
  <c r="H6558" i="1"/>
  <c r="I6558" i="1"/>
  <c r="J6558" i="1"/>
  <c r="L6558" i="1"/>
  <c r="M6558" i="1"/>
  <c r="C6559" i="1"/>
  <c r="E6559" i="1"/>
  <c r="F6559" i="1"/>
  <c r="H6559" i="1"/>
  <c r="I6559" i="1"/>
  <c r="J6559" i="1"/>
  <c r="L6559" i="1"/>
  <c r="M6559" i="1"/>
  <c r="C6560" i="1"/>
  <c r="E6560" i="1"/>
  <c r="F6560" i="1"/>
  <c r="H6560" i="1"/>
  <c r="I6560" i="1"/>
  <c r="J6560" i="1"/>
  <c r="L6560" i="1"/>
  <c r="M6560" i="1"/>
  <c r="C6561" i="1"/>
  <c r="E6561" i="1"/>
  <c r="F6561" i="1"/>
  <c r="H6561" i="1"/>
  <c r="I6561" i="1"/>
  <c r="J6561" i="1"/>
  <c r="L6561" i="1"/>
  <c r="M6561" i="1"/>
  <c r="C6562" i="1"/>
  <c r="E6562" i="1"/>
  <c r="F6562" i="1"/>
  <c r="H6562" i="1"/>
  <c r="I6562" i="1"/>
  <c r="J6562" i="1"/>
  <c r="L6562" i="1"/>
  <c r="M6562" i="1"/>
  <c r="C6563" i="1"/>
  <c r="E6563" i="1"/>
  <c r="F6563" i="1"/>
  <c r="H6563" i="1"/>
  <c r="I6563" i="1"/>
  <c r="J6563" i="1"/>
  <c r="L6563" i="1"/>
  <c r="M6563" i="1"/>
  <c r="C6564" i="1"/>
  <c r="E6564" i="1"/>
  <c r="F6564" i="1"/>
  <c r="H6564" i="1"/>
  <c r="I6564" i="1"/>
  <c r="J6564" i="1"/>
  <c r="L6564" i="1"/>
  <c r="M6564" i="1"/>
  <c r="C6565" i="1"/>
  <c r="E6565" i="1"/>
  <c r="F6565" i="1"/>
  <c r="H6565" i="1"/>
  <c r="I6565" i="1"/>
  <c r="J6565" i="1"/>
  <c r="L6565" i="1"/>
  <c r="M6565" i="1"/>
  <c r="C6566" i="1"/>
  <c r="E6566" i="1"/>
  <c r="F6566" i="1"/>
  <c r="H6566" i="1"/>
  <c r="I6566" i="1"/>
  <c r="J6566" i="1"/>
  <c r="L6566" i="1"/>
  <c r="M6566" i="1"/>
  <c r="C6567" i="1"/>
  <c r="E6567" i="1"/>
  <c r="F6567" i="1"/>
  <c r="H6567" i="1"/>
  <c r="I6567" i="1"/>
  <c r="J6567" i="1"/>
  <c r="L6567" i="1"/>
  <c r="M6567" i="1"/>
  <c r="C6568" i="1"/>
  <c r="E6568" i="1"/>
  <c r="F6568" i="1"/>
  <c r="H6568" i="1"/>
  <c r="I6568" i="1"/>
  <c r="J6568" i="1"/>
  <c r="L6568" i="1"/>
  <c r="M6568" i="1"/>
  <c r="C6569" i="1"/>
  <c r="E6569" i="1"/>
  <c r="F6569" i="1"/>
  <c r="H6569" i="1"/>
  <c r="I6569" i="1"/>
  <c r="J6569" i="1"/>
  <c r="L6569" i="1"/>
  <c r="M6569" i="1"/>
  <c r="C6570" i="1"/>
  <c r="E6570" i="1"/>
  <c r="F6570" i="1"/>
  <c r="H6570" i="1"/>
  <c r="I6570" i="1"/>
  <c r="J6570" i="1"/>
  <c r="L6570" i="1"/>
  <c r="M6570" i="1"/>
  <c r="C6571" i="1"/>
  <c r="E6571" i="1"/>
  <c r="F6571" i="1"/>
  <c r="H6571" i="1"/>
  <c r="I6571" i="1"/>
  <c r="J6571" i="1"/>
  <c r="L6571" i="1"/>
  <c r="M6571" i="1"/>
  <c r="C6572" i="1"/>
  <c r="E6572" i="1"/>
  <c r="F6572" i="1"/>
  <c r="H6572" i="1"/>
  <c r="I6572" i="1"/>
  <c r="J6572" i="1"/>
  <c r="L6572" i="1"/>
  <c r="M6572" i="1"/>
  <c r="C6573" i="1"/>
  <c r="E6573" i="1"/>
  <c r="F6573" i="1"/>
  <c r="H6573" i="1"/>
  <c r="I6573" i="1"/>
  <c r="J6573" i="1"/>
  <c r="L6573" i="1"/>
  <c r="M6573" i="1"/>
  <c r="C6574" i="1"/>
  <c r="E6574" i="1"/>
  <c r="F6574" i="1"/>
  <c r="H6574" i="1"/>
  <c r="I6574" i="1"/>
  <c r="J6574" i="1"/>
  <c r="L6574" i="1"/>
  <c r="M6574" i="1"/>
  <c r="C6575" i="1"/>
  <c r="E6575" i="1"/>
  <c r="F6575" i="1"/>
  <c r="H6575" i="1"/>
  <c r="I6575" i="1"/>
  <c r="J6575" i="1"/>
  <c r="L6575" i="1"/>
  <c r="M6575" i="1"/>
  <c r="C6576" i="1"/>
  <c r="E6576" i="1"/>
  <c r="F6576" i="1"/>
  <c r="H6576" i="1"/>
  <c r="I6576" i="1"/>
  <c r="J6576" i="1"/>
  <c r="L6576" i="1"/>
  <c r="M6576" i="1"/>
  <c r="C6577" i="1"/>
  <c r="E6577" i="1"/>
  <c r="F6577" i="1"/>
  <c r="H6577" i="1"/>
  <c r="I6577" i="1"/>
  <c r="J6577" i="1"/>
  <c r="L6577" i="1"/>
  <c r="M6577" i="1"/>
  <c r="C6578" i="1"/>
  <c r="E6578" i="1"/>
  <c r="F6578" i="1"/>
  <c r="H6578" i="1"/>
  <c r="I6578" i="1"/>
  <c r="J6578" i="1"/>
  <c r="L6578" i="1"/>
  <c r="M6578" i="1"/>
  <c r="C6579" i="1"/>
  <c r="E6579" i="1"/>
  <c r="F6579" i="1"/>
  <c r="H6579" i="1"/>
  <c r="I6579" i="1"/>
  <c r="J6579" i="1"/>
  <c r="L6579" i="1"/>
  <c r="M6579" i="1"/>
  <c r="C6580" i="1"/>
  <c r="E6580" i="1"/>
  <c r="F6580" i="1"/>
  <c r="H6580" i="1"/>
  <c r="I6580" i="1"/>
  <c r="J6580" i="1"/>
  <c r="L6580" i="1"/>
  <c r="M6580" i="1"/>
  <c r="C6581" i="1"/>
  <c r="E6581" i="1"/>
  <c r="F6581" i="1"/>
  <c r="H6581" i="1"/>
  <c r="I6581" i="1"/>
  <c r="J6581" i="1"/>
  <c r="L6581" i="1"/>
  <c r="M6581" i="1"/>
  <c r="C6582" i="1"/>
  <c r="E6582" i="1"/>
  <c r="F6582" i="1"/>
  <c r="H6582" i="1"/>
  <c r="I6582" i="1"/>
  <c r="J6582" i="1"/>
  <c r="L6582" i="1"/>
  <c r="M6582" i="1"/>
  <c r="C6583" i="1"/>
  <c r="E6583" i="1"/>
  <c r="F6583" i="1"/>
  <c r="H6583" i="1"/>
  <c r="I6583" i="1"/>
  <c r="J6583" i="1"/>
  <c r="L6583" i="1"/>
  <c r="M6583" i="1"/>
  <c r="C6584" i="1"/>
  <c r="E6584" i="1"/>
  <c r="F6584" i="1"/>
  <c r="H6584" i="1"/>
  <c r="I6584" i="1"/>
  <c r="J6584" i="1"/>
  <c r="L6584" i="1"/>
  <c r="M6584" i="1"/>
  <c r="C6585" i="1"/>
  <c r="E6585" i="1"/>
  <c r="F6585" i="1"/>
  <c r="H6585" i="1"/>
  <c r="I6585" i="1"/>
  <c r="J6585" i="1"/>
  <c r="L6585" i="1"/>
  <c r="M6585" i="1"/>
  <c r="C6586" i="1"/>
  <c r="E6586" i="1"/>
  <c r="F6586" i="1"/>
  <c r="H6586" i="1"/>
  <c r="I6586" i="1"/>
  <c r="J6586" i="1"/>
  <c r="L6586" i="1"/>
  <c r="M6586" i="1"/>
  <c r="C6587" i="1"/>
  <c r="E6587" i="1"/>
  <c r="F6587" i="1"/>
  <c r="H6587" i="1"/>
  <c r="I6587" i="1"/>
  <c r="J6587" i="1"/>
  <c r="L6587" i="1"/>
  <c r="M6587" i="1"/>
  <c r="C6588" i="1"/>
  <c r="E6588" i="1"/>
  <c r="F6588" i="1"/>
  <c r="H6588" i="1"/>
  <c r="I6588" i="1"/>
  <c r="J6588" i="1"/>
  <c r="L6588" i="1"/>
  <c r="M6588" i="1"/>
  <c r="C6589" i="1"/>
  <c r="E6589" i="1"/>
  <c r="F6589" i="1"/>
  <c r="H6589" i="1"/>
  <c r="I6589" i="1"/>
  <c r="J6589" i="1"/>
  <c r="L6589" i="1"/>
  <c r="M6589" i="1"/>
  <c r="C6590" i="1"/>
  <c r="E6590" i="1"/>
  <c r="F6590" i="1"/>
  <c r="H6590" i="1"/>
  <c r="I6590" i="1"/>
  <c r="J6590" i="1"/>
  <c r="L6590" i="1"/>
  <c r="M6590" i="1"/>
  <c r="C6591" i="1"/>
  <c r="E6591" i="1"/>
  <c r="F6591" i="1"/>
  <c r="H6591" i="1"/>
  <c r="I6591" i="1"/>
  <c r="J6591" i="1"/>
  <c r="L6591" i="1"/>
  <c r="M6591" i="1"/>
  <c r="C6592" i="1"/>
  <c r="E6592" i="1"/>
  <c r="F6592" i="1"/>
  <c r="H6592" i="1"/>
  <c r="I6592" i="1"/>
  <c r="J6592" i="1"/>
  <c r="L6592" i="1"/>
  <c r="M6592" i="1"/>
  <c r="C6593" i="1"/>
  <c r="E6593" i="1"/>
  <c r="F6593" i="1"/>
  <c r="H6593" i="1"/>
  <c r="I6593" i="1"/>
  <c r="J6593" i="1"/>
  <c r="L6593" i="1"/>
  <c r="M6593" i="1"/>
  <c r="C6594" i="1"/>
  <c r="E6594" i="1"/>
  <c r="F6594" i="1"/>
  <c r="H6594" i="1"/>
  <c r="I6594" i="1"/>
  <c r="J6594" i="1"/>
  <c r="L6594" i="1"/>
  <c r="M6594" i="1"/>
  <c r="C6595" i="1"/>
  <c r="E6595" i="1"/>
  <c r="F6595" i="1"/>
  <c r="H6595" i="1"/>
  <c r="I6595" i="1"/>
  <c r="J6595" i="1"/>
  <c r="L6595" i="1"/>
  <c r="M6595" i="1"/>
  <c r="C6596" i="1"/>
  <c r="E6596" i="1"/>
  <c r="F6596" i="1"/>
  <c r="H6596" i="1"/>
  <c r="I6596" i="1"/>
  <c r="J6596" i="1"/>
  <c r="L6596" i="1"/>
  <c r="M6596" i="1"/>
  <c r="C6597" i="1"/>
  <c r="E6597" i="1"/>
  <c r="F6597" i="1"/>
  <c r="H6597" i="1"/>
  <c r="I6597" i="1"/>
  <c r="J6597" i="1"/>
  <c r="L6597" i="1"/>
  <c r="M6597" i="1"/>
  <c r="C6598" i="1"/>
  <c r="E6598" i="1"/>
  <c r="F6598" i="1"/>
  <c r="H6598" i="1"/>
  <c r="I6598" i="1"/>
  <c r="J6598" i="1"/>
  <c r="L6598" i="1"/>
  <c r="M6598" i="1"/>
  <c r="C6599" i="1"/>
  <c r="E6599" i="1"/>
  <c r="F6599" i="1"/>
  <c r="H6599" i="1"/>
  <c r="I6599" i="1"/>
  <c r="J6599" i="1"/>
  <c r="L6599" i="1"/>
  <c r="M6599" i="1"/>
  <c r="C6600" i="1"/>
  <c r="E6600" i="1"/>
  <c r="F6600" i="1"/>
  <c r="H6600" i="1"/>
  <c r="I6600" i="1"/>
  <c r="J6600" i="1"/>
  <c r="L6600" i="1"/>
  <c r="M6600" i="1"/>
  <c r="C6601" i="1"/>
  <c r="E6601" i="1"/>
  <c r="F6601" i="1"/>
  <c r="H6601" i="1"/>
  <c r="I6601" i="1"/>
  <c r="J6601" i="1"/>
  <c r="L6601" i="1"/>
  <c r="M6601" i="1"/>
  <c r="C6602" i="1"/>
  <c r="E6602" i="1"/>
  <c r="F6602" i="1"/>
  <c r="H6602" i="1"/>
  <c r="I6602" i="1"/>
  <c r="J6602" i="1"/>
  <c r="L6602" i="1"/>
  <c r="M6602" i="1"/>
  <c r="C6603" i="1"/>
  <c r="E6603" i="1"/>
  <c r="F6603" i="1"/>
  <c r="H6603" i="1"/>
  <c r="I6603" i="1"/>
  <c r="J6603" i="1"/>
  <c r="L6603" i="1"/>
  <c r="M6603" i="1"/>
  <c r="C6604" i="1"/>
  <c r="E6604" i="1"/>
  <c r="F6604" i="1"/>
  <c r="H6604" i="1"/>
  <c r="I6604" i="1"/>
  <c r="J6604" i="1"/>
  <c r="L6604" i="1"/>
  <c r="M6604" i="1"/>
  <c r="C6605" i="1"/>
  <c r="E6605" i="1"/>
  <c r="F6605" i="1"/>
  <c r="H6605" i="1"/>
  <c r="I6605" i="1"/>
  <c r="J6605" i="1"/>
  <c r="L6605" i="1"/>
  <c r="M6605" i="1"/>
  <c r="C6606" i="1"/>
  <c r="E6606" i="1"/>
  <c r="F6606" i="1"/>
  <c r="H6606" i="1"/>
  <c r="I6606" i="1"/>
  <c r="J6606" i="1"/>
  <c r="L6606" i="1"/>
  <c r="M6606" i="1"/>
  <c r="C6607" i="1"/>
  <c r="E6607" i="1"/>
  <c r="F6607" i="1"/>
  <c r="H6607" i="1"/>
  <c r="I6607" i="1"/>
  <c r="J6607" i="1"/>
  <c r="L6607" i="1"/>
  <c r="M6607" i="1"/>
  <c r="C6608" i="1"/>
  <c r="E6608" i="1"/>
  <c r="F6608" i="1"/>
  <c r="H6608" i="1"/>
  <c r="I6608" i="1"/>
  <c r="J6608" i="1"/>
  <c r="L6608" i="1"/>
  <c r="M6608" i="1"/>
  <c r="C6609" i="1"/>
  <c r="E6609" i="1"/>
  <c r="F6609" i="1"/>
  <c r="H6609" i="1"/>
  <c r="I6609" i="1"/>
  <c r="J6609" i="1"/>
  <c r="L6609" i="1"/>
  <c r="M6609" i="1"/>
  <c r="C6610" i="1"/>
  <c r="E6610" i="1"/>
  <c r="F6610" i="1"/>
  <c r="H6610" i="1"/>
  <c r="I6610" i="1"/>
  <c r="J6610" i="1"/>
  <c r="L6610" i="1"/>
  <c r="M6610" i="1"/>
  <c r="C6611" i="1"/>
  <c r="E6611" i="1"/>
  <c r="F6611" i="1"/>
  <c r="H6611" i="1"/>
  <c r="I6611" i="1"/>
  <c r="J6611" i="1"/>
  <c r="L6611" i="1"/>
  <c r="M6611" i="1"/>
  <c r="C6612" i="1"/>
  <c r="E6612" i="1"/>
  <c r="F6612" i="1"/>
  <c r="H6612" i="1"/>
  <c r="I6612" i="1"/>
  <c r="J6612" i="1"/>
  <c r="L6612" i="1"/>
  <c r="M6612" i="1"/>
  <c r="C6613" i="1"/>
  <c r="E6613" i="1"/>
  <c r="F6613" i="1"/>
  <c r="H6613" i="1"/>
  <c r="I6613" i="1"/>
  <c r="J6613" i="1"/>
  <c r="L6613" i="1"/>
  <c r="M6613" i="1"/>
  <c r="C6614" i="1"/>
  <c r="E6614" i="1"/>
  <c r="F6614" i="1"/>
  <c r="H6614" i="1"/>
  <c r="I6614" i="1"/>
  <c r="J6614" i="1"/>
  <c r="L6614" i="1"/>
  <c r="M6614" i="1"/>
  <c r="C6615" i="1"/>
  <c r="E6615" i="1"/>
  <c r="F6615" i="1"/>
  <c r="H6615" i="1"/>
  <c r="I6615" i="1"/>
  <c r="J6615" i="1"/>
  <c r="L6615" i="1"/>
  <c r="M6615" i="1"/>
  <c r="C6616" i="1"/>
  <c r="E6616" i="1"/>
  <c r="F6616" i="1"/>
  <c r="H6616" i="1"/>
  <c r="I6616" i="1"/>
  <c r="J6616" i="1"/>
  <c r="L6616" i="1"/>
  <c r="M6616" i="1"/>
  <c r="C6617" i="1"/>
  <c r="E6617" i="1"/>
  <c r="F6617" i="1"/>
  <c r="H6617" i="1"/>
  <c r="I6617" i="1"/>
  <c r="J6617" i="1"/>
  <c r="L6617" i="1"/>
  <c r="M6617" i="1"/>
  <c r="C6618" i="1"/>
  <c r="E6618" i="1"/>
  <c r="F6618" i="1"/>
  <c r="H6618" i="1"/>
  <c r="I6618" i="1"/>
  <c r="J6618" i="1"/>
  <c r="L6618" i="1"/>
  <c r="M6618" i="1"/>
  <c r="C6619" i="1"/>
  <c r="E6619" i="1"/>
  <c r="F6619" i="1"/>
  <c r="H6619" i="1"/>
  <c r="I6619" i="1"/>
  <c r="J6619" i="1"/>
  <c r="L6619" i="1"/>
  <c r="M6619" i="1"/>
  <c r="C6620" i="1"/>
  <c r="E6620" i="1"/>
  <c r="F6620" i="1"/>
  <c r="H6620" i="1"/>
  <c r="I6620" i="1"/>
  <c r="J6620" i="1"/>
  <c r="L6620" i="1"/>
  <c r="M6620" i="1"/>
  <c r="C6621" i="1"/>
  <c r="E6621" i="1"/>
  <c r="F6621" i="1"/>
  <c r="H6621" i="1"/>
  <c r="I6621" i="1"/>
  <c r="J6621" i="1"/>
  <c r="L6621" i="1"/>
  <c r="M6621" i="1"/>
  <c r="C6622" i="1"/>
  <c r="E6622" i="1"/>
  <c r="F6622" i="1"/>
  <c r="H6622" i="1"/>
  <c r="I6622" i="1"/>
  <c r="J6622" i="1"/>
  <c r="L6622" i="1"/>
  <c r="M6622" i="1"/>
  <c r="C6623" i="1"/>
  <c r="E6623" i="1"/>
  <c r="F6623" i="1"/>
  <c r="H6623" i="1"/>
  <c r="I6623" i="1"/>
  <c r="J6623" i="1"/>
  <c r="L6623" i="1"/>
  <c r="M6623" i="1"/>
  <c r="C6624" i="1"/>
  <c r="E6624" i="1"/>
  <c r="F6624" i="1"/>
  <c r="H6624" i="1"/>
  <c r="I6624" i="1"/>
  <c r="J6624" i="1"/>
  <c r="L6624" i="1"/>
  <c r="M6624" i="1"/>
  <c r="C6625" i="1"/>
  <c r="E6625" i="1"/>
  <c r="F6625" i="1"/>
  <c r="H6625" i="1"/>
  <c r="I6625" i="1"/>
  <c r="J6625" i="1"/>
  <c r="L6625" i="1"/>
  <c r="M6625" i="1"/>
  <c r="C6626" i="1"/>
  <c r="E6626" i="1"/>
  <c r="F6626" i="1"/>
  <c r="H6626" i="1"/>
  <c r="I6626" i="1"/>
  <c r="J6626" i="1"/>
  <c r="L6626" i="1"/>
  <c r="M6626" i="1"/>
  <c r="C6627" i="1"/>
  <c r="E6627" i="1"/>
  <c r="F6627" i="1"/>
  <c r="H6627" i="1"/>
  <c r="I6627" i="1"/>
  <c r="J6627" i="1"/>
  <c r="L6627" i="1"/>
  <c r="M6627" i="1"/>
  <c r="C6628" i="1"/>
  <c r="E6628" i="1"/>
  <c r="F6628" i="1"/>
  <c r="H6628" i="1"/>
  <c r="I6628" i="1"/>
  <c r="J6628" i="1"/>
  <c r="L6628" i="1"/>
  <c r="M6628" i="1"/>
  <c r="C6629" i="1"/>
  <c r="E6629" i="1"/>
  <c r="F6629" i="1"/>
  <c r="H6629" i="1"/>
  <c r="I6629" i="1"/>
  <c r="J6629" i="1"/>
  <c r="L6629" i="1"/>
  <c r="M6629" i="1"/>
  <c r="C6630" i="1"/>
  <c r="E6630" i="1"/>
  <c r="F6630" i="1"/>
  <c r="H6630" i="1"/>
  <c r="I6630" i="1"/>
  <c r="J6630" i="1"/>
  <c r="L6630" i="1"/>
  <c r="M6630" i="1"/>
  <c r="C6631" i="1"/>
  <c r="E6631" i="1"/>
  <c r="F6631" i="1"/>
  <c r="H6631" i="1"/>
  <c r="I6631" i="1"/>
  <c r="J6631" i="1"/>
  <c r="L6631" i="1"/>
  <c r="M6631" i="1"/>
  <c r="C6632" i="1"/>
  <c r="E6632" i="1"/>
  <c r="F6632" i="1"/>
  <c r="H6632" i="1"/>
  <c r="I6632" i="1"/>
  <c r="J6632" i="1"/>
  <c r="L6632" i="1"/>
  <c r="M6632" i="1"/>
  <c r="C6633" i="1"/>
  <c r="E6633" i="1"/>
  <c r="F6633" i="1"/>
  <c r="H6633" i="1"/>
  <c r="I6633" i="1"/>
  <c r="J6633" i="1"/>
  <c r="L6633" i="1"/>
  <c r="M6633" i="1"/>
  <c r="C6634" i="1"/>
  <c r="E6634" i="1"/>
  <c r="F6634" i="1"/>
  <c r="H6634" i="1"/>
  <c r="I6634" i="1"/>
  <c r="J6634" i="1"/>
  <c r="L6634" i="1"/>
  <c r="M6634" i="1"/>
  <c r="C6635" i="1"/>
  <c r="E6635" i="1"/>
  <c r="F6635" i="1"/>
  <c r="H6635" i="1"/>
  <c r="I6635" i="1"/>
  <c r="J6635" i="1"/>
  <c r="L6635" i="1"/>
  <c r="M6635" i="1"/>
  <c r="C6636" i="1"/>
  <c r="E6636" i="1"/>
  <c r="F6636" i="1"/>
  <c r="H6636" i="1"/>
  <c r="I6636" i="1"/>
  <c r="J6636" i="1"/>
  <c r="L6636" i="1"/>
  <c r="M6636" i="1"/>
  <c r="C6637" i="1"/>
  <c r="E6637" i="1"/>
  <c r="F6637" i="1"/>
  <c r="H6637" i="1"/>
  <c r="I6637" i="1"/>
  <c r="J6637" i="1"/>
  <c r="L6637" i="1"/>
  <c r="M6637" i="1"/>
  <c r="C6638" i="1"/>
  <c r="E6638" i="1"/>
  <c r="F6638" i="1"/>
  <c r="H6638" i="1"/>
  <c r="I6638" i="1"/>
  <c r="J6638" i="1"/>
  <c r="L6638" i="1"/>
  <c r="M6638" i="1"/>
  <c r="C6639" i="1"/>
  <c r="E6639" i="1"/>
  <c r="F6639" i="1"/>
  <c r="H6639" i="1"/>
  <c r="I6639" i="1"/>
  <c r="J6639" i="1"/>
  <c r="L6639" i="1"/>
  <c r="M6639" i="1"/>
  <c r="C6640" i="1"/>
  <c r="E6640" i="1"/>
  <c r="F6640" i="1"/>
  <c r="H6640" i="1"/>
  <c r="I6640" i="1"/>
  <c r="J6640" i="1"/>
  <c r="L6640" i="1"/>
  <c r="M6640" i="1"/>
  <c r="C6641" i="1"/>
  <c r="E6641" i="1"/>
  <c r="F6641" i="1"/>
  <c r="H6641" i="1"/>
  <c r="I6641" i="1"/>
  <c r="J6641" i="1"/>
  <c r="L6641" i="1"/>
  <c r="M6641" i="1"/>
  <c r="C6642" i="1"/>
  <c r="E6642" i="1"/>
  <c r="F6642" i="1"/>
  <c r="H6642" i="1"/>
  <c r="I6642" i="1"/>
  <c r="J6642" i="1"/>
  <c r="L6642" i="1"/>
  <c r="M6642" i="1"/>
  <c r="C6643" i="1"/>
  <c r="E6643" i="1"/>
  <c r="F6643" i="1"/>
  <c r="H6643" i="1"/>
  <c r="I6643" i="1"/>
  <c r="J6643" i="1"/>
  <c r="L6643" i="1"/>
  <c r="M6643" i="1"/>
  <c r="C6644" i="1"/>
  <c r="E6644" i="1"/>
  <c r="F6644" i="1"/>
  <c r="H6644" i="1"/>
  <c r="I6644" i="1"/>
  <c r="J6644" i="1"/>
  <c r="L6644" i="1"/>
  <c r="M6644" i="1"/>
  <c r="C6645" i="1"/>
  <c r="E6645" i="1"/>
  <c r="F6645" i="1"/>
  <c r="H6645" i="1"/>
  <c r="I6645" i="1"/>
  <c r="J6645" i="1"/>
  <c r="L6645" i="1"/>
  <c r="M6645" i="1"/>
  <c r="C6646" i="1"/>
  <c r="E6646" i="1"/>
  <c r="F6646" i="1"/>
  <c r="H6646" i="1"/>
  <c r="I6646" i="1"/>
  <c r="J6646" i="1"/>
  <c r="L6646" i="1"/>
  <c r="M6646" i="1"/>
  <c r="C6647" i="1"/>
  <c r="E6647" i="1"/>
  <c r="F6647" i="1"/>
  <c r="H6647" i="1"/>
  <c r="I6647" i="1"/>
  <c r="J6647" i="1"/>
  <c r="L6647" i="1"/>
  <c r="M6647" i="1"/>
  <c r="C6648" i="1"/>
  <c r="E6648" i="1"/>
  <c r="F6648" i="1"/>
  <c r="H6648" i="1"/>
  <c r="I6648" i="1"/>
  <c r="J6648" i="1"/>
  <c r="L6648" i="1"/>
  <c r="M6648" i="1"/>
  <c r="C6649" i="1"/>
  <c r="E6649" i="1"/>
  <c r="F6649" i="1"/>
  <c r="H6649" i="1"/>
  <c r="I6649" i="1"/>
  <c r="J6649" i="1"/>
  <c r="L6649" i="1"/>
  <c r="M6649" i="1"/>
  <c r="C6650" i="1"/>
  <c r="E6650" i="1"/>
  <c r="F6650" i="1"/>
  <c r="H6650" i="1"/>
  <c r="I6650" i="1"/>
  <c r="J6650" i="1"/>
  <c r="L6650" i="1"/>
  <c r="M6650" i="1"/>
  <c r="C6651" i="1"/>
  <c r="E6651" i="1"/>
  <c r="F6651" i="1"/>
  <c r="H6651" i="1"/>
  <c r="I6651" i="1"/>
  <c r="J6651" i="1"/>
  <c r="L6651" i="1"/>
  <c r="M6651" i="1"/>
  <c r="C6652" i="1"/>
  <c r="E6652" i="1"/>
  <c r="F6652" i="1"/>
  <c r="H6652" i="1"/>
  <c r="I6652" i="1"/>
  <c r="J6652" i="1"/>
  <c r="L6652" i="1"/>
  <c r="M6652" i="1"/>
  <c r="C6653" i="1"/>
  <c r="E6653" i="1"/>
  <c r="F6653" i="1"/>
  <c r="H6653" i="1"/>
  <c r="I6653" i="1"/>
  <c r="J6653" i="1"/>
  <c r="L6653" i="1"/>
  <c r="M6653" i="1"/>
  <c r="C6654" i="1"/>
  <c r="E6654" i="1"/>
  <c r="F6654" i="1"/>
  <c r="H6654" i="1"/>
  <c r="I6654" i="1"/>
  <c r="J6654" i="1"/>
  <c r="L6654" i="1"/>
  <c r="M6654" i="1"/>
  <c r="C6655" i="1"/>
  <c r="E6655" i="1"/>
  <c r="F6655" i="1"/>
  <c r="H6655" i="1"/>
  <c r="I6655" i="1"/>
  <c r="J6655" i="1"/>
  <c r="L6655" i="1"/>
  <c r="M6655" i="1"/>
  <c r="C6656" i="1"/>
  <c r="E6656" i="1"/>
  <c r="F6656" i="1"/>
  <c r="H6656" i="1"/>
  <c r="I6656" i="1"/>
  <c r="J6656" i="1"/>
  <c r="L6656" i="1"/>
  <c r="M6656" i="1"/>
  <c r="C6657" i="1"/>
  <c r="E6657" i="1"/>
  <c r="F6657" i="1"/>
  <c r="H6657" i="1"/>
  <c r="I6657" i="1"/>
  <c r="J6657" i="1"/>
  <c r="L6657" i="1"/>
  <c r="M6657" i="1"/>
  <c r="C6658" i="1"/>
  <c r="E6658" i="1"/>
  <c r="F6658" i="1"/>
  <c r="H6658" i="1"/>
  <c r="I6658" i="1"/>
  <c r="J6658" i="1"/>
  <c r="L6658" i="1"/>
  <c r="M6658" i="1"/>
  <c r="C6659" i="1"/>
  <c r="E6659" i="1"/>
  <c r="F6659" i="1"/>
  <c r="H6659" i="1"/>
  <c r="I6659" i="1"/>
  <c r="J6659" i="1"/>
  <c r="L6659" i="1"/>
  <c r="M6659" i="1"/>
  <c r="C6660" i="1"/>
  <c r="E6660" i="1"/>
  <c r="F6660" i="1"/>
  <c r="H6660" i="1"/>
  <c r="I6660" i="1"/>
  <c r="J6660" i="1"/>
  <c r="L6660" i="1"/>
  <c r="M6660" i="1"/>
  <c r="C6661" i="1"/>
  <c r="E6661" i="1"/>
  <c r="F6661" i="1"/>
  <c r="H6661" i="1"/>
  <c r="I6661" i="1"/>
  <c r="J6661" i="1"/>
  <c r="L6661" i="1"/>
  <c r="M6661" i="1"/>
  <c r="C6662" i="1"/>
  <c r="E6662" i="1"/>
  <c r="F6662" i="1"/>
  <c r="H6662" i="1"/>
  <c r="I6662" i="1"/>
  <c r="J6662" i="1"/>
  <c r="L6662" i="1"/>
  <c r="M6662" i="1"/>
  <c r="C6663" i="1"/>
  <c r="E6663" i="1"/>
  <c r="F6663" i="1"/>
  <c r="H6663" i="1"/>
  <c r="I6663" i="1"/>
  <c r="J6663" i="1"/>
  <c r="L6663" i="1"/>
  <c r="M6663" i="1"/>
  <c r="C6664" i="1"/>
  <c r="E6664" i="1"/>
  <c r="F6664" i="1"/>
  <c r="H6664" i="1"/>
  <c r="I6664" i="1"/>
  <c r="J6664" i="1"/>
  <c r="L6664" i="1"/>
  <c r="M6664" i="1"/>
  <c r="C6665" i="1"/>
  <c r="E6665" i="1"/>
  <c r="F6665" i="1"/>
  <c r="H6665" i="1"/>
  <c r="I6665" i="1"/>
  <c r="J6665" i="1"/>
  <c r="L6665" i="1"/>
  <c r="M6665" i="1"/>
  <c r="C6666" i="1"/>
  <c r="E6666" i="1"/>
  <c r="F6666" i="1"/>
  <c r="H6666" i="1"/>
  <c r="I6666" i="1"/>
  <c r="J6666" i="1"/>
  <c r="L6666" i="1"/>
  <c r="M6666" i="1"/>
  <c r="C6667" i="1"/>
  <c r="E6667" i="1"/>
  <c r="F6667" i="1"/>
  <c r="H6667" i="1"/>
  <c r="I6667" i="1"/>
  <c r="J6667" i="1"/>
  <c r="L6667" i="1"/>
  <c r="M6667" i="1"/>
  <c r="C6668" i="1"/>
  <c r="E6668" i="1"/>
  <c r="F6668" i="1"/>
  <c r="H6668" i="1"/>
  <c r="I6668" i="1"/>
  <c r="J6668" i="1"/>
  <c r="L6668" i="1"/>
  <c r="M6668" i="1"/>
  <c r="C6669" i="1"/>
  <c r="E6669" i="1"/>
  <c r="F6669" i="1"/>
  <c r="H6669" i="1"/>
  <c r="I6669" i="1"/>
  <c r="J6669" i="1"/>
  <c r="L6669" i="1"/>
  <c r="M6669" i="1"/>
  <c r="C6670" i="1"/>
  <c r="E6670" i="1"/>
  <c r="F6670" i="1"/>
  <c r="H6670" i="1"/>
  <c r="I6670" i="1"/>
  <c r="J6670" i="1"/>
  <c r="L6670" i="1"/>
  <c r="M6670" i="1"/>
  <c r="C6671" i="1"/>
  <c r="E6671" i="1"/>
  <c r="F6671" i="1"/>
  <c r="H6671" i="1"/>
  <c r="I6671" i="1"/>
  <c r="J6671" i="1"/>
  <c r="L6671" i="1"/>
  <c r="M6671" i="1"/>
  <c r="C6672" i="1"/>
  <c r="E6672" i="1"/>
  <c r="F6672" i="1"/>
  <c r="H6672" i="1"/>
  <c r="I6672" i="1"/>
  <c r="J6672" i="1"/>
  <c r="L6672" i="1"/>
  <c r="M6672" i="1"/>
  <c r="C6673" i="1"/>
  <c r="E6673" i="1"/>
  <c r="F6673" i="1"/>
  <c r="H6673" i="1"/>
  <c r="I6673" i="1"/>
  <c r="J6673" i="1"/>
  <c r="L6673" i="1"/>
  <c r="M6673" i="1"/>
  <c r="C6674" i="1"/>
  <c r="E6674" i="1"/>
  <c r="F6674" i="1"/>
  <c r="H6674" i="1"/>
  <c r="I6674" i="1"/>
  <c r="J6674" i="1"/>
  <c r="L6674" i="1"/>
  <c r="M6674" i="1"/>
  <c r="C6675" i="1"/>
  <c r="E6675" i="1"/>
  <c r="F6675" i="1"/>
  <c r="H6675" i="1"/>
  <c r="I6675" i="1"/>
  <c r="J6675" i="1"/>
  <c r="L6675" i="1"/>
  <c r="M6675" i="1"/>
  <c r="C6676" i="1"/>
  <c r="E6676" i="1"/>
  <c r="F6676" i="1"/>
  <c r="H6676" i="1"/>
  <c r="I6676" i="1"/>
  <c r="J6676" i="1"/>
  <c r="L6676" i="1"/>
  <c r="M6676" i="1"/>
  <c r="C6677" i="1"/>
  <c r="E6677" i="1"/>
  <c r="F6677" i="1"/>
  <c r="H6677" i="1"/>
  <c r="I6677" i="1"/>
  <c r="J6677" i="1"/>
  <c r="L6677" i="1"/>
  <c r="M6677" i="1"/>
  <c r="C6678" i="1"/>
  <c r="E6678" i="1"/>
  <c r="F6678" i="1"/>
  <c r="H6678" i="1"/>
  <c r="I6678" i="1"/>
  <c r="J6678" i="1"/>
  <c r="L6678" i="1"/>
  <c r="M6678" i="1"/>
  <c r="C6679" i="1"/>
  <c r="E6679" i="1"/>
  <c r="F6679" i="1"/>
  <c r="H6679" i="1"/>
  <c r="I6679" i="1"/>
  <c r="J6679" i="1"/>
  <c r="L6679" i="1"/>
  <c r="M6679" i="1"/>
  <c r="C6680" i="1"/>
  <c r="E6680" i="1"/>
  <c r="F6680" i="1"/>
  <c r="H6680" i="1"/>
  <c r="I6680" i="1"/>
  <c r="J6680" i="1"/>
  <c r="L6680" i="1"/>
  <c r="M6680" i="1"/>
  <c r="C6681" i="1"/>
  <c r="E6681" i="1"/>
  <c r="F6681" i="1"/>
  <c r="H6681" i="1"/>
  <c r="I6681" i="1"/>
  <c r="J6681" i="1"/>
  <c r="L6681" i="1"/>
  <c r="M6681" i="1"/>
  <c r="C6682" i="1"/>
  <c r="E6682" i="1"/>
  <c r="F6682" i="1"/>
  <c r="H6682" i="1"/>
  <c r="I6682" i="1"/>
  <c r="J6682" i="1"/>
  <c r="L6682" i="1"/>
  <c r="M6682" i="1"/>
  <c r="C6683" i="1"/>
  <c r="E6683" i="1"/>
  <c r="F6683" i="1"/>
  <c r="H6683" i="1"/>
  <c r="I6683" i="1"/>
  <c r="J6683" i="1"/>
  <c r="L6683" i="1"/>
  <c r="M6683" i="1"/>
  <c r="C6684" i="1"/>
  <c r="E6684" i="1"/>
  <c r="F6684" i="1"/>
  <c r="H6684" i="1"/>
  <c r="I6684" i="1"/>
  <c r="J6684" i="1"/>
  <c r="L6684" i="1"/>
  <c r="M6684" i="1"/>
  <c r="C6685" i="1"/>
  <c r="E6685" i="1"/>
  <c r="F6685" i="1"/>
  <c r="H6685" i="1"/>
  <c r="I6685" i="1"/>
  <c r="J6685" i="1"/>
  <c r="L6685" i="1"/>
  <c r="M6685" i="1"/>
  <c r="C6686" i="1"/>
  <c r="E6686" i="1"/>
  <c r="F6686" i="1"/>
  <c r="H6686" i="1"/>
  <c r="I6686" i="1"/>
  <c r="J6686" i="1"/>
  <c r="L6686" i="1"/>
  <c r="M6686" i="1"/>
  <c r="C6687" i="1"/>
  <c r="E6687" i="1"/>
  <c r="F6687" i="1"/>
  <c r="H6687" i="1"/>
  <c r="I6687" i="1"/>
  <c r="J6687" i="1"/>
  <c r="L6687" i="1"/>
  <c r="M6687" i="1"/>
  <c r="C6688" i="1"/>
  <c r="E6688" i="1"/>
  <c r="F6688" i="1"/>
  <c r="H6688" i="1"/>
  <c r="I6688" i="1"/>
  <c r="J6688" i="1"/>
  <c r="L6688" i="1"/>
  <c r="M6688" i="1"/>
  <c r="C6689" i="1"/>
  <c r="E6689" i="1"/>
  <c r="F6689" i="1"/>
  <c r="H6689" i="1"/>
  <c r="I6689" i="1"/>
  <c r="J6689" i="1"/>
  <c r="L6689" i="1"/>
  <c r="M6689" i="1"/>
  <c r="C6690" i="1"/>
  <c r="E6690" i="1"/>
  <c r="F6690" i="1"/>
  <c r="H6690" i="1"/>
  <c r="I6690" i="1"/>
  <c r="J6690" i="1"/>
  <c r="L6690" i="1"/>
  <c r="M6690" i="1"/>
  <c r="C6691" i="1"/>
  <c r="E6691" i="1"/>
  <c r="F6691" i="1"/>
  <c r="H6691" i="1"/>
  <c r="I6691" i="1"/>
  <c r="J6691" i="1"/>
  <c r="L6691" i="1"/>
  <c r="M6691" i="1"/>
  <c r="C6692" i="1"/>
  <c r="E6692" i="1"/>
  <c r="F6692" i="1"/>
  <c r="H6692" i="1"/>
  <c r="I6692" i="1"/>
  <c r="J6692" i="1"/>
  <c r="L6692" i="1"/>
  <c r="M6692" i="1"/>
  <c r="C6693" i="1"/>
  <c r="E6693" i="1"/>
  <c r="F6693" i="1"/>
  <c r="H6693" i="1"/>
  <c r="I6693" i="1"/>
  <c r="J6693" i="1"/>
  <c r="L6693" i="1"/>
  <c r="M6693" i="1"/>
  <c r="C6694" i="1"/>
  <c r="E6694" i="1"/>
  <c r="F6694" i="1"/>
  <c r="H6694" i="1"/>
  <c r="I6694" i="1"/>
  <c r="J6694" i="1"/>
  <c r="L6694" i="1"/>
  <c r="M6694" i="1"/>
  <c r="C6695" i="1"/>
  <c r="E6695" i="1"/>
  <c r="F6695" i="1"/>
  <c r="H6695" i="1"/>
  <c r="I6695" i="1"/>
  <c r="J6695" i="1"/>
  <c r="L6695" i="1"/>
  <c r="M6695" i="1"/>
  <c r="C6696" i="1"/>
  <c r="E6696" i="1"/>
  <c r="F6696" i="1"/>
  <c r="H6696" i="1"/>
  <c r="I6696" i="1"/>
  <c r="J6696" i="1"/>
  <c r="L6696" i="1"/>
  <c r="M6696" i="1"/>
  <c r="C6697" i="1"/>
  <c r="E6697" i="1"/>
  <c r="F6697" i="1"/>
  <c r="H6697" i="1"/>
  <c r="I6697" i="1"/>
  <c r="J6697" i="1"/>
  <c r="L6697" i="1"/>
  <c r="M6697" i="1"/>
  <c r="C6698" i="1"/>
  <c r="E6698" i="1"/>
  <c r="F6698" i="1"/>
  <c r="H6698" i="1"/>
  <c r="I6698" i="1"/>
  <c r="J6698" i="1"/>
  <c r="L6698" i="1"/>
  <c r="M6698" i="1"/>
  <c r="C6699" i="1"/>
  <c r="E6699" i="1"/>
  <c r="F6699" i="1"/>
  <c r="H6699" i="1"/>
  <c r="I6699" i="1"/>
  <c r="J6699" i="1"/>
  <c r="L6699" i="1"/>
  <c r="M6699" i="1"/>
  <c r="C6700" i="1"/>
  <c r="E6700" i="1"/>
  <c r="F6700" i="1"/>
  <c r="H6700" i="1"/>
  <c r="I6700" i="1"/>
  <c r="J6700" i="1"/>
  <c r="L6700" i="1"/>
  <c r="M6700" i="1"/>
  <c r="C6701" i="1"/>
  <c r="E6701" i="1"/>
  <c r="F6701" i="1"/>
  <c r="H6701" i="1"/>
  <c r="I6701" i="1"/>
  <c r="J6701" i="1"/>
  <c r="L6701" i="1"/>
  <c r="M6701" i="1"/>
  <c r="C6702" i="1"/>
  <c r="E6702" i="1"/>
  <c r="F6702" i="1"/>
  <c r="H6702" i="1"/>
  <c r="I6702" i="1"/>
  <c r="J6702" i="1"/>
  <c r="L6702" i="1"/>
  <c r="M6702" i="1"/>
  <c r="C6703" i="1"/>
  <c r="E6703" i="1"/>
  <c r="F6703" i="1"/>
  <c r="H6703" i="1"/>
  <c r="I6703" i="1"/>
  <c r="J6703" i="1"/>
  <c r="L6703" i="1"/>
  <c r="M6703" i="1"/>
  <c r="C6704" i="1"/>
  <c r="E6704" i="1"/>
  <c r="F6704" i="1"/>
  <c r="H6704" i="1"/>
  <c r="I6704" i="1"/>
  <c r="J6704" i="1"/>
  <c r="L6704" i="1"/>
  <c r="M6704" i="1"/>
  <c r="C6705" i="1"/>
  <c r="E6705" i="1"/>
  <c r="F6705" i="1"/>
  <c r="H6705" i="1"/>
  <c r="I6705" i="1"/>
  <c r="J6705" i="1"/>
  <c r="L6705" i="1"/>
  <c r="M6705" i="1"/>
  <c r="C6706" i="1"/>
  <c r="E6706" i="1"/>
  <c r="F6706" i="1"/>
  <c r="H6706" i="1"/>
  <c r="I6706" i="1"/>
  <c r="J6706" i="1"/>
  <c r="L6706" i="1"/>
  <c r="M6706" i="1"/>
  <c r="C6707" i="1"/>
  <c r="E6707" i="1"/>
  <c r="F6707" i="1"/>
  <c r="H6707" i="1"/>
  <c r="I6707" i="1"/>
  <c r="J6707" i="1"/>
  <c r="L6707" i="1"/>
  <c r="M6707" i="1"/>
  <c r="C6708" i="1"/>
  <c r="E6708" i="1"/>
  <c r="F6708" i="1"/>
  <c r="H6708" i="1"/>
  <c r="I6708" i="1"/>
  <c r="J6708" i="1"/>
  <c r="L6708" i="1"/>
  <c r="M6708" i="1"/>
  <c r="C6709" i="1"/>
  <c r="E6709" i="1"/>
  <c r="F6709" i="1"/>
  <c r="H6709" i="1"/>
  <c r="I6709" i="1"/>
  <c r="J6709" i="1"/>
  <c r="L6709" i="1"/>
  <c r="M6709" i="1"/>
  <c r="C6710" i="1"/>
  <c r="E6710" i="1"/>
  <c r="F6710" i="1"/>
  <c r="H6710" i="1"/>
  <c r="I6710" i="1"/>
  <c r="J6710" i="1"/>
  <c r="L6710" i="1"/>
  <c r="M6710" i="1"/>
  <c r="C6711" i="1"/>
  <c r="E6711" i="1"/>
  <c r="F6711" i="1"/>
  <c r="H6711" i="1"/>
  <c r="I6711" i="1"/>
  <c r="J6711" i="1"/>
  <c r="L6711" i="1"/>
  <c r="M6711" i="1"/>
  <c r="C6712" i="1"/>
  <c r="E6712" i="1"/>
  <c r="F6712" i="1"/>
  <c r="H6712" i="1"/>
  <c r="I6712" i="1"/>
  <c r="J6712" i="1"/>
  <c r="L6712" i="1"/>
  <c r="M6712" i="1"/>
  <c r="C6713" i="1"/>
  <c r="E6713" i="1"/>
  <c r="F6713" i="1"/>
  <c r="H6713" i="1"/>
  <c r="I6713" i="1"/>
  <c r="J6713" i="1"/>
  <c r="L6713" i="1"/>
  <c r="M6713" i="1"/>
  <c r="C6714" i="1"/>
  <c r="E6714" i="1"/>
  <c r="F6714" i="1"/>
  <c r="H6714" i="1"/>
  <c r="I6714" i="1"/>
  <c r="J6714" i="1"/>
  <c r="L6714" i="1"/>
  <c r="M6714" i="1"/>
  <c r="C6715" i="1"/>
  <c r="E6715" i="1"/>
  <c r="F6715" i="1"/>
  <c r="H6715" i="1"/>
  <c r="I6715" i="1"/>
  <c r="J6715" i="1"/>
  <c r="L6715" i="1"/>
  <c r="M6715" i="1"/>
  <c r="C6716" i="1"/>
  <c r="E6716" i="1"/>
  <c r="F6716" i="1"/>
  <c r="H6716" i="1"/>
  <c r="I6716" i="1"/>
  <c r="J6716" i="1"/>
  <c r="L6716" i="1"/>
  <c r="M6716" i="1"/>
  <c r="C6717" i="1"/>
  <c r="E6717" i="1"/>
  <c r="F6717" i="1"/>
  <c r="H6717" i="1"/>
  <c r="I6717" i="1"/>
  <c r="J6717" i="1"/>
  <c r="L6717" i="1"/>
  <c r="M6717" i="1"/>
  <c r="C6718" i="1"/>
  <c r="E6718" i="1"/>
  <c r="F6718" i="1"/>
  <c r="H6718" i="1"/>
  <c r="I6718" i="1"/>
  <c r="J6718" i="1"/>
  <c r="L6718" i="1"/>
  <c r="M6718" i="1"/>
  <c r="C6719" i="1"/>
  <c r="E6719" i="1"/>
  <c r="F6719" i="1"/>
  <c r="H6719" i="1"/>
  <c r="I6719" i="1"/>
  <c r="J6719" i="1"/>
  <c r="L6719" i="1"/>
  <c r="M6719" i="1"/>
  <c r="C6720" i="1"/>
  <c r="E6720" i="1"/>
  <c r="F6720" i="1"/>
  <c r="H6720" i="1"/>
  <c r="I6720" i="1"/>
  <c r="J6720" i="1"/>
  <c r="L6720" i="1"/>
  <c r="M6720" i="1"/>
  <c r="C6721" i="1"/>
  <c r="E6721" i="1"/>
  <c r="F6721" i="1"/>
  <c r="H6721" i="1"/>
  <c r="I6721" i="1"/>
  <c r="J6721" i="1"/>
  <c r="L6721" i="1"/>
  <c r="M6721" i="1"/>
  <c r="C6722" i="1"/>
  <c r="E6722" i="1"/>
  <c r="F6722" i="1"/>
  <c r="H6722" i="1"/>
  <c r="I6722" i="1"/>
  <c r="J6722" i="1"/>
  <c r="L6722" i="1"/>
  <c r="M6722" i="1"/>
  <c r="C6723" i="1"/>
  <c r="E6723" i="1"/>
  <c r="F6723" i="1"/>
  <c r="H6723" i="1"/>
  <c r="I6723" i="1"/>
  <c r="J6723" i="1"/>
  <c r="L6723" i="1"/>
  <c r="M6723" i="1"/>
  <c r="C6724" i="1"/>
  <c r="E6724" i="1"/>
  <c r="F6724" i="1"/>
  <c r="H6724" i="1"/>
  <c r="I6724" i="1"/>
  <c r="J6724" i="1"/>
  <c r="L6724" i="1"/>
  <c r="M6724" i="1"/>
  <c r="C6725" i="1"/>
  <c r="E6725" i="1"/>
  <c r="F6725" i="1"/>
  <c r="H6725" i="1"/>
  <c r="I6725" i="1"/>
  <c r="J6725" i="1"/>
  <c r="L6725" i="1"/>
  <c r="M6725" i="1"/>
  <c r="C6726" i="1"/>
  <c r="E6726" i="1"/>
  <c r="F6726" i="1"/>
  <c r="H6726" i="1"/>
  <c r="I6726" i="1"/>
  <c r="J6726" i="1"/>
  <c r="L6726" i="1"/>
  <c r="M6726" i="1"/>
  <c r="C6727" i="1"/>
  <c r="E6727" i="1"/>
  <c r="F6727" i="1"/>
  <c r="H6727" i="1"/>
  <c r="I6727" i="1"/>
  <c r="J6727" i="1"/>
  <c r="L6727" i="1"/>
  <c r="M6727" i="1"/>
  <c r="C6728" i="1"/>
  <c r="E6728" i="1"/>
  <c r="F6728" i="1"/>
  <c r="H6728" i="1"/>
  <c r="I6728" i="1"/>
  <c r="J6728" i="1"/>
  <c r="L6728" i="1"/>
  <c r="M6728" i="1"/>
  <c r="C6729" i="1"/>
  <c r="E6729" i="1"/>
  <c r="F6729" i="1"/>
  <c r="H6729" i="1"/>
  <c r="I6729" i="1"/>
  <c r="J6729" i="1"/>
  <c r="L6729" i="1"/>
  <c r="M6729" i="1"/>
  <c r="C6730" i="1"/>
  <c r="E6730" i="1"/>
  <c r="F6730" i="1"/>
  <c r="H6730" i="1"/>
  <c r="I6730" i="1"/>
  <c r="J6730" i="1"/>
  <c r="L6730" i="1"/>
  <c r="M6730" i="1"/>
  <c r="C6731" i="1"/>
  <c r="E6731" i="1"/>
  <c r="F6731" i="1"/>
  <c r="H6731" i="1"/>
  <c r="I6731" i="1"/>
  <c r="J6731" i="1"/>
  <c r="L6731" i="1"/>
  <c r="M6731" i="1"/>
  <c r="C6732" i="1"/>
  <c r="E6732" i="1"/>
  <c r="F6732" i="1"/>
  <c r="H6732" i="1"/>
  <c r="I6732" i="1"/>
  <c r="J6732" i="1"/>
  <c r="L6732" i="1"/>
  <c r="M6732" i="1"/>
  <c r="C6733" i="1"/>
  <c r="E6733" i="1"/>
  <c r="F6733" i="1"/>
  <c r="H6733" i="1"/>
  <c r="I6733" i="1"/>
  <c r="J6733" i="1"/>
  <c r="L6733" i="1"/>
  <c r="M6733" i="1"/>
  <c r="C6734" i="1"/>
  <c r="E6734" i="1"/>
  <c r="F6734" i="1"/>
  <c r="H6734" i="1"/>
  <c r="I6734" i="1"/>
  <c r="J6734" i="1"/>
  <c r="L6734" i="1"/>
  <c r="M6734" i="1"/>
  <c r="C6735" i="1"/>
  <c r="E6735" i="1"/>
  <c r="F6735" i="1"/>
  <c r="H6735" i="1"/>
  <c r="I6735" i="1"/>
  <c r="J6735" i="1"/>
  <c r="L6735" i="1"/>
  <c r="M6735" i="1"/>
  <c r="C6736" i="1"/>
  <c r="E6736" i="1"/>
  <c r="F6736" i="1"/>
  <c r="H6736" i="1"/>
  <c r="I6736" i="1"/>
  <c r="J6736" i="1"/>
  <c r="L6736" i="1"/>
  <c r="M6736" i="1"/>
  <c r="C6737" i="1"/>
  <c r="E6737" i="1"/>
  <c r="F6737" i="1"/>
  <c r="H6737" i="1"/>
  <c r="I6737" i="1"/>
  <c r="J6737" i="1"/>
  <c r="L6737" i="1"/>
  <c r="M6737" i="1"/>
  <c r="C6738" i="1"/>
  <c r="E6738" i="1"/>
  <c r="F6738" i="1"/>
  <c r="H6738" i="1"/>
  <c r="I6738" i="1"/>
  <c r="J6738" i="1"/>
  <c r="L6738" i="1"/>
  <c r="M6738" i="1"/>
  <c r="C6739" i="1"/>
  <c r="E6739" i="1"/>
  <c r="F6739" i="1"/>
  <c r="H6739" i="1"/>
  <c r="I6739" i="1"/>
  <c r="J6739" i="1"/>
  <c r="L6739" i="1"/>
  <c r="M6739" i="1"/>
  <c r="C6740" i="1"/>
  <c r="E6740" i="1"/>
  <c r="F6740" i="1"/>
  <c r="H6740" i="1"/>
  <c r="I6740" i="1"/>
  <c r="J6740" i="1"/>
  <c r="L6740" i="1"/>
  <c r="M6740" i="1"/>
  <c r="C6741" i="1"/>
  <c r="E6741" i="1"/>
  <c r="F6741" i="1"/>
  <c r="H6741" i="1"/>
  <c r="I6741" i="1"/>
  <c r="J6741" i="1"/>
  <c r="L6741" i="1"/>
  <c r="M6741" i="1"/>
  <c r="C6742" i="1"/>
  <c r="E6742" i="1"/>
  <c r="F6742" i="1"/>
  <c r="H6742" i="1"/>
  <c r="I6742" i="1"/>
  <c r="J6742" i="1"/>
  <c r="L6742" i="1"/>
  <c r="M6742" i="1"/>
  <c r="C6743" i="1"/>
  <c r="E6743" i="1"/>
  <c r="F6743" i="1"/>
  <c r="H6743" i="1"/>
  <c r="I6743" i="1"/>
  <c r="J6743" i="1"/>
  <c r="L6743" i="1"/>
  <c r="M6743" i="1"/>
  <c r="C6744" i="1"/>
  <c r="E6744" i="1"/>
  <c r="F6744" i="1"/>
  <c r="H6744" i="1"/>
  <c r="I6744" i="1"/>
  <c r="J6744" i="1"/>
  <c r="L6744" i="1"/>
  <c r="M6744" i="1"/>
  <c r="C6745" i="1"/>
  <c r="E6745" i="1"/>
  <c r="F6745" i="1"/>
  <c r="H6745" i="1"/>
  <c r="I6745" i="1"/>
  <c r="J6745" i="1"/>
  <c r="L6745" i="1"/>
  <c r="M6745" i="1"/>
  <c r="C6746" i="1"/>
  <c r="E6746" i="1"/>
  <c r="F6746" i="1"/>
  <c r="H6746" i="1"/>
  <c r="I6746" i="1"/>
  <c r="J6746" i="1"/>
  <c r="L6746" i="1"/>
  <c r="M6746" i="1"/>
  <c r="C6747" i="1"/>
  <c r="E6747" i="1"/>
  <c r="F6747" i="1"/>
  <c r="H6747" i="1"/>
  <c r="I6747" i="1"/>
  <c r="J6747" i="1"/>
  <c r="L6747" i="1"/>
  <c r="M6747" i="1"/>
  <c r="C6748" i="1"/>
  <c r="E6748" i="1"/>
  <c r="F6748" i="1"/>
  <c r="H6748" i="1"/>
  <c r="I6748" i="1"/>
  <c r="J6748" i="1"/>
  <c r="L6748" i="1"/>
  <c r="M6748" i="1"/>
  <c r="C6749" i="1"/>
  <c r="E6749" i="1"/>
  <c r="F6749" i="1"/>
  <c r="H6749" i="1"/>
  <c r="I6749" i="1"/>
  <c r="J6749" i="1"/>
  <c r="L6749" i="1"/>
  <c r="M6749" i="1"/>
  <c r="C6750" i="1"/>
  <c r="E6750" i="1"/>
  <c r="F6750" i="1"/>
  <c r="H6750" i="1"/>
  <c r="I6750" i="1"/>
  <c r="J6750" i="1"/>
  <c r="L6750" i="1"/>
  <c r="M6750" i="1"/>
  <c r="C6751" i="1"/>
  <c r="E6751" i="1"/>
  <c r="F6751" i="1"/>
  <c r="H6751" i="1"/>
  <c r="I6751" i="1"/>
  <c r="J6751" i="1"/>
  <c r="L6751" i="1"/>
  <c r="M6751" i="1"/>
  <c r="C6752" i="1"/>
  <c r="E6752" i="1"/>
  <c r="F6752" i="1"/>
  <c r="H6752" i="1"/>
  <c r="I6752" i="1"/>
  <c r="J6752" i="1"/>
  <c r="L6752" i="1"/>
  <c r="M6752" i="1"/>
  <c r="C6753" i="1"/>
  <c r="E6753" i="1"/>
  <c r="F6753" i="1"/>
  <c r="H6753" i="1"/>
  <c r="I6753" i="1"/>
  <c r="J6753" i="1"/>
  <c r="L6753" i="1"/>
  <c r="M6753" i="1"/>
  <c r="C6754" i="1"/>
  <c r="E6754" i="1"/>
  <c r="F6754" i="1"/>
  <c r="H6754" i="1"/>
  <c r="I6754" i="1"/>
  <c r="J6754" i="1"/>
  <c r="L6754" i="1"/>
  <c r="M6754" i="1"/>
  <c r="C6755" i="1"/>
  <c r="E6755" i="1"/>
  <c r="F6755" i="1"/>
  <c r="H6755" i="1"/>
  <c r="I6755" i="1"/>
  <c r="J6755" i="1"/>
  <c r="L6755" i="1"/>
  <c r="M6755" i="1"/>
  <c r="C6756" i="1"/>
  <c r="E6756" i="1"/>
  <c r="F6756" i="1"/>
  <c r="H6756" i="1"/>
  <c r="I6756" i="1"/>
  <c r="J6756" i="1"/>
  <c r="L6756" i="1"/>
  <c r="M6756" i="1"/>
  <c r="C6757" i="1"/>
  <c r="E6757" i="1"/>
  <c r="F6757" i="1"/>
  <c r="H6757" i="1"/>
  <c r="I6757" i="1"/>
  <c r="J6757" i="1"/>
  <c r="L6757" i="1"/>
  <c r="M6757" i="1"/>
  <c r="C6758" i="1"/>
  <c r="E6758" i="1"/>
  <c r="F6758" i="1"/>
  <c r="H6758" i="1"/>
  <c r="I6758" i="1"/>
  <c r="J6758" i="1"/>
  <c r="L6758" i="1"/>
  <c r="M6758" i="1"/>
  <c r="C6759" i="1"/>
  <c r="E6759" i="1"/>
  <c r="F6759" i="1"/>
  <c r="H6759" i="1"/>
  <c r="I6759" i="1"/>
  <c r="J6759" i="1"/>
  <c r="L6759" i="1"/>
  <c r="M6759" i="1"/>
  <c r="C6760" i="1"/>
  <c r="E6760" i="1"/>
  <c r="F6760" i="1"/>
  <c r="H6760" i="1"/>
  <c r="I6760" i="1"/>
  <c r="J6760" i="1"/>
  <c r="L6760" i="1"/>
  <c r="M6760" i="1"/>
  <c r="C6761" i="1"/>
  <c r="E6761" i="1"/>
  <c r="F6761" i="1"/>
  <c r="H6761" i="1"/>
  <c r="I6761" i="1"/>
  <c r="J6761" i="1"/>
  <c r="L6761" i="1"/>
  <c r="M6761" i="1"/>
  <c r="C6762" i="1"/>
  <c r="E6762" i="1"/>
  <c r="F6762" i="1"/>
  <c r="H6762" i="1"/>
  <c r="I6762" i="1"/>
  <c r="J6762" i="1"/>
  <c r="L6762" i="1"/>
  <c r="M6762" i="1"/>
  <c r="C6763" i="1"/>
  <c r="E6763" i="1"/>
  <c r="F6763" i="1"/>
  <c r="H6763" i="1"/>
  <c r="I6763" i="1"/>
  <c r="J6763" i="1"/>
  <c r="L6763" i="1"/>
  <c r="M6763" i="1"/>
  <c r="C6764" i="1"/>
  <c r="E6764" i="1"/>
  <c r="F6764" i="1"/>
  <c r="H6764" i="1"/>
  <c r="I6764" i="1"/>
  <c r="J6764" i="1"/>
  <c r="L6764" i="1"/>
  <c r="M6764" i="1"/>
  <c r="C6765" i="1"/>
  <c r="E6765" i="1"/>
  <c r="F6765" i="1"/>
  <c r="H6765" i="1"/>
  <c r="I6765" i="1"/>
  <c r="J6765" i="1"/>
  <c r="L6765" i="1"/>
  <c r="M6765" i="1"/>
  <c r="C6766" i="1"/>
  <c r="E6766" i="1"/>
  <c r="F6766" i="1"/>
  <c r="H6766" i="1"/>
  <c r="I6766" i="1"/>
  <c r="J6766" i="1"/>
  <c r="L6766" i="1"/>
  <c r="M6766" i="1"/>
  <c r="C6767" i="1"/>
  <c r="E6767" i="1"/>
  <c r="F6767" i="1"/>
  <c r="H6767" i="1"/>
  <c r="I6767" i="1"/>
  <c r="J6767" i="1"/>
  <c r="L6767" i="1"/>
  <c r="M6767" i="1"/>
  <c r="C6768" i="1"/>
  <c r="E6768" i="1"/>
  <c r="F6768" i="1"/>
  <c r="H6768" i="1"/>
  <c r="I6768" i="1"/>
  <c r="J6768" i="1"/>
  <c r="L6768" i="1"/>
  <c r="M6768" i="1"/>
  <c r="C6769" i="1"/>
  <c r="E6769" i="1"/>
  <c r="F6769" i="1"/>
  <c r="H6769" i="1"/>
  <c r="I6769" i="1"/>
  <c r="J6769" i="1"/>
  <c r="L6769" i="1"/>
  <c r="M6769" i="1"/>
  <c r="C6770" i="1"/>
  <c r="E6770" i="1"/>
  <c r="F6770" i="1"/>
  <c r="H6770" i="1"/>
  <c r="I6770" i="1"/>
  <c r="J6770" i="1"/>
  <c r="L6770" i="1"/>
  <c r="M6770" i="1"/>
  <c r="C6771" i="1"/>
  <c r="E6771" i="1"/>
  <c r="F6771" i="1"/>
  <c r="H6771" i="1"/>
  <c r="I6771" i="1"/>
  <c r="J6771" i="1"/>
  <c r="L6771" i="1"/>
  <c r="M6771" i="1"/>
  <c r="C6772" i="1"/>
  <c r="E6772" i="1"/>
  <c r="F6772" i="1"/>
  <c r="H6772" i="1"/>
  <c r="I6772" i="1"/>
  <c r="J6772" i="1"/>
  <c r="L6772" i="1"/>
  <c r="M6772" i="1"/>
  <c r="C6773" i="1"/>
  <c r="E6773" i="1"/>
  <c r="F6773" i="1"/>
  <c r="H6773" i="1"/>
  <c r="I6773" i="1"/>
  <c r="J6773" i="1"/>
  <c r="L6773" i="1"/>
  <c r="M6773" i="1"/>
  <c r="C6774" i="1"/>
  <c r="E6774" i="1"/>
  <c r="F6774" i="1"/>
  <c r="H6774" i="1"/>
  <c r="I6774" i="1"/>
  <c r="J6774" i="1"/>
  <c r="L6774" i="1"/>
  <c r="M6774" i="1"/>
  <c r="C6775" i="1"/>
  <c r="E6775" i="1"/>
  <c r="F6775" i="1"/>
  <c r="H6775" i="1"/>
  <c r="I6775" i="1"/>
  <c r="J6775" i="1"/>
  <c r="L6775" i="1"/>
  <c r="M6775" i="1"/>
  <c r="C6776" i="1"/>
  <c r="E6776" i="1"/>
  <c r="F6776" i="1"/>
  <c r="H6776" i="1"/>
  <c r="I6776" i="1"/>
  <c r="J6776" i="1"/>
  <c r="L6776" i="1"/>
  <c r="M6776" i="1"/>
  <c r="C6777" i="1"/>
  <c r="E6777" i="1"/>
  <c r="F6777" i="1"/>
  <c r="H6777" i="1"/>
  <c r="I6777" i="1"/>
  <c r="J6777" i="1"/>
  <c r="L6777" i="1"/>
  <c r="M6777" i="1"/>
  <c r="C6778" i="1"/>
  <c r="E6778" i="1"/>
  <c r="F6778" i="1"/>
  <c r="H6778" i="1"/>
  <c r="I6778" i="1"/>
  <c r="J6778" i="1"/>
  <c r="L6778" i="1"/>
  <c r="M6778" i="1"/>
  <c r="C6779" i="1"/>
  <c r="E6779" i="1"/>
  <c r="F6779" i="1"/>
  <c r="H6779" i="1"/>
  <c r="I6779" i="1"/>
  <c r="J6779" i="1"/>
  <c r="L6779" i="1"/>
  <c r="M6779" i="1"/>
  <c r="C6780" i="1"/>
  <c r="E6780" i="1"/>
  <c r="F6780" i="1"/>
  <c r="H6780" i="1"/>
  <c r="I6780" i="1"/>
  <c r="J6780" i="1"/>
  <c r="L6780" i="1"/>
  <c r="M6780" i="1"/>
  <c r="C6781" i="1"/>
  <c r="E6781" i="1"/>
  <c r="F6781" i="1"/>
  <c r="H6781" i="1"/>
  <c r="I6781" i="1"/>
  <c r="J6781" i="1"/>
  <c r="L6781" i="1"/>
  <c r="M6781" i="1"/>
  <c r="C6782" i="1"/>
  <c r="E6782" i="1"/>
  <c r="F6782" i="1"/>
  <c r="H6782" i="1"/>
  <c r="I6782" i="1"/>
  <c r="J6782" i="1"/>
  <c r="L6782" i="1"/>
  <c r="M6782" i="1"/>
  <c r="C6783" i="1"/>
  <c r="E6783" i="1"/>
  <c r="F6783" i="1"/>
  <c r="H6783" i="1"/>
  <c r="I6783" i="1"/>
  <c r="J6783" i="1"/>
  <c r="L6783" i="1"/>
  <c r="M6783" i="1"/>
  <c r="C6784" i="1"/>
  <c r="E6784" i="1"/>
  <c r="F6784" i="1"/>
  <c r="H6784" i="1"/>
  <c r="I6784" i="1"/>
  <c r="J6784" i="1"/>
  <c r="L6784" i="1"/>
  <c r="M6784" i="1"/>
  <c r="C6785" i="1"/>
  <c r="E6785" i="1"/>
  <c r="F6785" i="1"/>
  <c r="H6785" i="1"/>
  <c r="I6785" i="1"/>
  <c r="J6785" i="1"/>
  <c r="L6785" i="1"/>
  <c r="M6785" i="1"/>
  <c r="C6786" i="1"/>
  <c r="E6786" i="1"/>
  <c r="F6786" i="1"/>
  <c r="H6786" i="1"/>
  <c r="I6786" i="1"/>
  <c r="J6786" i="1"/>
  <c r="L6786" i="1"/>
  <c r="M6786" i="1"/>
  <c r="C6787" i="1"/>
  <c r="E6787" i="1"/>
  <c r="F6787" i="1"/>
  <c r="H6787" i="1"/>
  <c r="I6787" i="1"/>
  <c r="J6787" i="1"/>
  <c r="L6787" i="1"/>
  <c r="M6787" i="1"/>
  <c r="C6788" i="1"/>
  <c r="E6788" i="1"/>
  <c r="F6788" i="1"/>
  <c r="H6788" i="1"/>
  <c r="I6788" i="1"/>
  <c r="J6788" i="1"/>
  <c r="L6788" i="1"/>
  <c r="M6788" i="1"/>
  <c r="C6789" i="1"/>
  <c r="E6789" i="1"/>
  <c r="F6789" i="1"/>
  <c r="H6789" i="1"/>
  <c r="I6789" i="1"/>
  <c r="J6789" i="1"/>
  <c r="L6789" i="1"/>
  <c r="M6789" i="1"/>
  <c r="C6790" i="1"/>
  <c r="E6790" i="1"/>
  <c r="F6790" i="1"/>
  <c r="H6790" i="1"/>
  <c r="I6790" i="1"/>
  <c r="J6790" i="1"/>
  <c r="L6790" i="1"/>
  <c r="M6790" i="1"/>
  <c r="C6791" i="1"/>
  <c r="E6791" i="1"/>
  <c r="F6791" i="1"/>
  <c r="H6791" i="1"/>
  <c r="I6791" i="1"/>
  <c r="J6791" i="1"/>
  <c r="L6791" i="1"/>
  <c r="M6791" i="1"/>
  <c r="C6792" i="1"/>
  <c r="E6792" i="1"/>
  <c r="F6792" i="1"/>
  <c r="H6792" i="1"/>
  <c r="I6792" i="1"/>
  <c r="J6792" i="1"/>
  <c r="L6792" i="1"/>
  <c r="M6792" i="1"/>
  <c r="C6793" i="1"/>
  <c r="E6793" i="1"/>
  <c r="F6793" i="1"/>
  <c r="H6793" i="1"/>
  <c r="I6793" i="1"/>
  <c r="J6793" i="1"/>
  <c r="L6793" i="1"/>
  <c r="M6793" i="1"/>
  <c r="C6794" i="1"/>
  <c r="E6794" i="1"/>
  <c r="F6794" i="1"/>
  <c r="H6794" i="1"/>
  <c r="I6794" i="1"/>
  <c r="J6794" i="1"/>
  <c r="L6794" i="1"/>
  <c r="M6794" i="1"/>
  <c r="C6795" i="1"/>
  <c r="E6795" i="1"/>
  <c r="F6795" i="1"/>
  <c r="H6795" i="1"/>
  <c r="I6795" i="1"/>
  <c r="J6795" i="1"/>
  <c r="L6795" i="1"/>
  <c r="M6795" i="1"/>
  <c r="C6796" i="1"/>
  <c r="E6796" i="1"/>
  <c r="F6796" i="1"/>
  <c r="H6796" i="1"/>
  <c r="I6796" i="1"/>
  <c r="J6796" i="1"/>
  <c r="L6796" i="1"/>
  <c r="M6796" i="1"/>
  <c r="C6797" i="1"/>
  <c r="E6797" i="1"/>
  <c r="F6797" i="1"/>
  <c r="H6797" i="1"/>
  <c r="I6797" i="1"/>
  <c r="J6797" i="1"/>
  <c r="L6797" i="1"/>
  <c r="M6797" i="1"/>
  <c r="C6798" i="1"/>
  <c r="E6798" i="1"/>
  <c r="F6798" i="1"/>
  <c r="H6798" i="1"/>
  <c r="I6798" i="1"/>
  <c r="J6798" i="1"/>
  <c r="L6798" i="1"/>
  <c r="M6798" i="1"/>
  <c r="C6799" i="1"/>
  <c r="E6799" i="1"/>
  <c r="F6799" i="1"/>
  <c r="H6799" i="1"/>
  <c r="I6799" i="1"/>
  <c r="J6799" i="1"/>
  <c r="L6799" i="1"/>
  <c r="M6799" i="1"/>
  <c r="C6800" i="1"/>
  <c r="E6800" i="1"/>
  <c r="F6800" i="1"/>
  <c r="H6800" i="1"/>
  <c r="I6800" i="1"/>
  <c r="J6800" i="1"/>
  <c r="L6800" i="1"/>
  <c r="M6800" i="1"/>
  <c r="C6801" i="1"/>
  <c r="E6801" i="1"/>
  <c r="F6801" i="1"/>
  <c r="H6801" i="1"/>
  <c r="I6801" i="1"/>
  <c r="J6801" i="1"/>
  <c r="L6801" i="1"/>
  <c r="M6801" i="1"/>
  <c r="C6802" i="1"/>
  <c r="E6802" i="1"/>
  <c r="F6802" i="1"/>
  <c r="H6802" i="1"/>
  <c r="I6802" i="1"/>
  <c r="J6802" i="1"/>
  <c r="L6802" i="1"/>
  <c r="M6802" i="1"/>
  <c r="C6803" i="1"/>
  <c r="E6803" i="1"/>
  <c r="F6803" i="1"/>
  <c r="H6803" i="1"/>
  <c r="I6803" i="1"/>
  <c r="J6803" i="1"/>
  <c r="L6803" i="1"/>
  <c r="M6803" i="1"/>
  <c r="C6804" i="1"/>
  <c r="E6804" i="1"/>
  <c r="F6804" i="1"/>
  <c r="H6804" i="1"/>
  <c r="I6804" i="1"/>
  <c r="J6804" i="1"/>
  <c r="L6804" i="1"/>
  <c r="M6804" i="1"/>
  <c r="C6805" i="1"/>
  <c r="E6805" i="1"/>
  <c r="F6805" i="1"/>
  <c r="H6805" i="1"/>
  <c r="I6805" i="1"/>
  <c r="J6805" i="1"/>
  <c r="L6805" i="1"/>
  <c r="M6805" i="1"/>
  <c r="C6806" i="1"/>
  <c r="E6806" i="1"/>
  <c r="F6806" i="1"/>
  <c r="H6806" i="1"/>
  <c r="I6806" i="1"/>
  <c r="J6806" i="1"/>
  <c r="L6806" i="1"/>
  <c r="M6806" i="1"/>
  <c r="C6807" i="1"/>
  <c r="E6807" i="1"/>
  <c r="F6807" i="1"/>
  <c r="H6807" i="1"/>
  <c r="I6807" i="1"/>
  <c r="J6807" i="1"/>
  <c r="L6807" i="1"/>
  <c r="M6807" i="1"/>
  <c r="C6808" i="1"/>
  <c r="E6808" i="1"/>
  <c r="F6808" i="1"/>
  <c r="H6808" i="1"/>
  <c r="I6808" i="1"/>
  <c r="J6808" i="1"/>
  <c r="L6808" i="1"/>
  <c r="M6808" i="1"/>
  <c r="C6809" i="1"/>
  <c r="E6809" i="1"/>
  <c r="F6809" i="1"/>
  <c r="H6809" i="1"/>
  <c r="I6809" i="1"/>
  <c r="J6809" i="1"/>
  <c r="L6809" i="1"/>
  <c r="M6809" i="1"/>
  <c r="C6810" i="1"/>
  <c r="E6810" i="1"/>
  <c r="F6810" i="1"/>
  <c r="H6810" i="1"/>
  <c r="I6810" i="1"/>
  <c r="J6810" i="1"/>
  <c r="L6810" i="1"/>
  <c r="M6810" i="1"/>
  <c r="C6811" i="1"/>
  <c r="E6811" i="1"/>
  <c r="F6811" i="1"/>
  <c r="H6811" i="1"/>
  <c r="I6811" i="1"/>
  <c r="J6811" i="1"/>
  <c r="L6811" i="1"/>
  <c r="M6811" i="1"/>
  <c r="C6812" i="1"/>
  <c r="E6812" i="1"/>
  <c r="F6812" i="1"/>
  <c r="H6812" i="1"/>
  <c r="I6812" i="1"/>
  <c r="J6812" i="1"/>
  <c r="L6812" i="1"/>
  <c r="M6812" i="1"/>
  <c r="C6813" i="1"/>
  <c r="E6813" i="1"/>
  <c r="F6813" i="1"/>
  <c r="H6813" i="1"/>
  <c r="I6813" i="1"/>
  <c r="J6813" i="1"/>
  <c r="L6813" i="1"/>
  <c r="M6813" i="1"/>
  <c r="C6814" i="1"/>
  <c r="E6814" i="1"/>
  <c r="F6814" i="1"/>
  <c r="H6814" i="1"/>
  <c r="I6814" i="1"/>
  <c r="J6814" i="1"/>
  <c r="L6814" i="1"/>
  <c r="M6814" i="1"/>
  <c r="C6815" i="1"/>
  <c r="E6815" i="1"/>
  <c r="F6815" i="1"/>
  <c r="H6815" i="1"/>
  <c r="I6815" i="1"/>
  <c r="J6815" i="1"/>
  <c r="L6815" i="1"/>
  <c r="M6815" i="1"/>
  <c r="C6816" i="1"/>
  <c r="E6816" i="1"/>
  <c r="F6816" i="1"/>
  <c r="H6816" i="1"/>
  <c r="I6816" i="1"/>
  <c r="J6816" i="1"/>
  <c r="L6816" i="1"/>
  <c r="M6816" i="1"/>
  <c r="C6817" i="1"/>
  <c r="E6817" i="1"/>
  <c r="F6817" i="1"/>
  <c r="H6817" i="1"/>
  <c r="I6817" i="1"/>
  <c r="J6817" i="1"/>
  <c r="L6817" i="1"/>
  <c r="M6817" i="1"/>
  <c r="C6818" i="1"/>
  <c r="E6818" i="1"/>
  <c r="F6818" i="1"/>
  <c r="H6818" i="1"/>
  <c r="I6818" i="1"/>
  <c r="J6818" i="1"/>
  <c r="L6818" i="1"/>
  <c r="M6818" i="1"/>
  <c r="C6819" i="1"/>
  <c r="E6819" i="1"/>
  <c r="F6819" i="1"/>
  <c r="H6819" i="1"/>
  <c r="I6819" i="1"/>
  <c r="J6819" i="1"/>
  <c r="L6819" i="1"/>
  <c r="M6819" i="1"/>
  <c r="C6820" i="1"/>
  <c r="E6820" i="1"/>
  <c r="F6820" i="1"/>
  <c r="H6820" i="1"/>
  <c r="I6820" i="1"/>
  <c r="J6820" i="1"/>
  <c r="L6820" i="1"/>
  <c r="M6820" i="1"/>
  <c r="C6821" i="1"/>
  <c r="E6821" i="1"/>
  <c r="F6821" i="1"/>
  <c r="H6821" i="1"/>
  <c r="I6821" i="1"/>
  <c r="J6821" i="1"/>
  <c r="L6821" i="1"/>
  <c r="M6821" i="1"/>
  <c r="C6822" i="1"/>
  <c r="E6822" i="1"/>
  <c r="F6822" i="1"/>
  <c r="H6822" i="1"/>
  <c r="I6822" i="1"/>
  <c r="J6822" i="1"/>
  <c r="L6822" i="1"/>
  <c r="M6822" i="1"/>
  <c r="C6823" i="1"/>
  <c r="E6823" i="1"/>
  <c r="F6823" i="1"/>
  <c r="H6823" i="1"/>
  <c r="I6823" i="1"/>
  <c r="J6823" i="1"/>
  <c r="L6823" i="1"/>
  <c r="M6823" i="1"/>
  <c r="C6824" i="1"/>
  <c r="E6824" i="1"/>
  <c r="F6824" i="1"/>
  <c r="H6824" i="1"/>
  <c r="I6824" i="1"/>
  <c r="J6824" i="1"/>
  <c r="L6824" i="1"/>
  <c r="M6824" i="1"/>
  <c r="C6825" i="1"/>
  <c r="E6825" i="1"/>
  <c r="F6825" i="1"/>
  <c r="H6825" i="1"/>
  <c r="I6825" i="1"/>
  <c r="J6825" i="1"/>
  <c r="L6825" i="1"/>
  <c r="M6825" i="1"/>
  <c r="C6826" i="1"/>
  <c r="E6826" i="1"/>
  <c r="F6826" i="1"/>
  <c r="H6826" i="1"/>
  <c r="I6826" i="1"/>
  <c r="J6826" i="1"/>
  <c r="L6826" i="1"/>
  <c r="M6826" i="1"/>
  <c r="C6827" i="1"/>
  <c r="E6827" i="1"/>
  <c r="F6827" i="1"/>
  <c r="H6827" i="1"/>
  <c r="I6827" i="1"/>
  <c r="J6827" i="1"/>
  <c r="L6827" i="1"/>
  <c r="M6827" i="1"/>
  <c r="C6828" i="1"/>
  <c r="E6828" i="1"/>
  <c r="F6828" i="1"/>
  <c r="H6828" i="1"/>
  <c r="I6828" i="1"/>
  <c r="J6828" i="1"/>
  <c r="L6828" i="1"/>
  <c r="M6828" i="1"/>
  <c r="C6829" i="1"/>
  <c r="E6829" i="1"/>
  <c r="F6829" i="1"/>
  <c r="H6829" i="1"/>
  <c r="I6829" i="1"/>
  <c r="J6829" i="1"/>
  <c r="L6829" i="1"/>
  <c r="M6829" i="1"/>
  <c r="C6830" i="1"/>
  <c r="E6830" i="1"/>
  <c r="F6830" i="1"/>
  <c r="H6830" i="1"/>
  <c r="I6830" i="1"/>
  <c r="J6830" i="1"/>
  <c r="L6830" i="1"/>
  <c r="M6830" i="1"/>
  <c r="C6831" i="1"/>
  <c r="E6831" i="1"/>
  <c r="F6831" i="1"/>
  <c r="H6831" i="1"/>
  <c r="I6831" i="1"/>
  <c r="J6831" i="1"/>
  <c r="L6831" i="1"/>
  <c r="M6831" i="1"/>
  <c r="C6832" i="1"/>
  <c r="E6832" i="1"/>
  <c r="F6832" i="1"/>
  <c r="H6832" i="1"/>
  <c r="I6832" i="1"/>
  <c r="J6832" i="1"/>
  <c r="L6832" i="1"/>
  <c r="M6832" i="1"/>
  <c r="C6833" i="1"/>
  <c r="E6833" i="1"/>
  <c r="F6833" i="1"/>
  <c r="H6833" i="1"/>
  <c r="I6833" i="1"/>
  <c r="J6833" i="1"/>
  <c r="L6833" i="1"/>
  <c r="M6833" i="1"/>
  <c r="C6834" i="1"/>
  <c r="E6834" i="1"/>
  <c r="F6834" i="1"/>
  <c r="H6834" i="1"/>
  <c r="I6834" i="1"/>
  <c r="J6834" i="1"/>
  <c r="L6834" i="1"/>
  <c r="M6834" i="1"/>
  <c r="C6835" i="1"/>
  <c r="E6835" i="1"/>
  <c r="F6835" i="1"/>
  <c r="H6835" i="1"/>
  <c r="I6835" i="1"/>
  <c r="J6835" i="1"/>
  <c r="L6835" i="1"/>
  <c r="M6835" i="1"/>
  <c r="C6836" i="1"/>
  <c r="E6836" i="1"/>
  <c r="F6836" i="1"/>
  <c r="H6836" i="1"/>
  <c r="I6836" i="1"/>
  <c r="J6836" i="1"/>
  <c r="L6836" i="1"/>
  <c r="M6836" i="1"/>
  <c r="C6837" i="1"/>
  <c r="E6837" i="1"/>
  <c r="F6837" i="1"/>
  <c r="H6837" i="1"/>
  <c r="I6837" i="1"/>
  <c r="J6837" i="1"/>
  <c r="L6837" i="1"/>
  <c r="M6837" i="1"/>
  <c r="C6838" i="1"/>
  <c r="E6838" i="1"/>
  <c r="F6838" i="1"/>
  <c r="H6838" i="1"/>
  <c r="I6838" i="1"/>
  <c r="J6838" i="1"/>
  <c r="L6838" i="1"/>
  <c r="M6838" i="1"/>
  <c r="C6839" i="1"/>
  <c r="E6839" i="1"/>
  <c r="F6839" i="1"/>
  <c r="H6839" i="1"/>
  <c r="I6839" i="1"/>
  <c r="J6839" i="1"/>
  <c r="L6839" i="1"/>
  <c r="M6839" i="1"/>
  <c r="C6840" i="1"/>
  <c r="E6840" i="1"/>
  <c r="F6840" i="1"/>
  <c r="H6840" i="1"/>
  <c r="I6840" i="1"/>
  <c r="J6840" i="1"/>
  <c r="L6840" i="1"/>
  <c r="M6840" i="1"/>
  <c r="C6841" i="1"/>
  <c r="E6841" i="1"/>
  <c r="F6841" i="1"/>
  <c r="H6841" i="1"/>
  <c r="I6841" i="1"/>
  <c r="J6841" i="1"/>
  <c r="L6841" i="1"/>
  <c r="M6841" i="1"/>
  <c r="C6842" i="1"/>
  <c r="E6842" i="1"/>
  <c r="F6842" i="1"/>
  <c r="H6842" i="1"/>
  <c r="I6842" i="1"/>
  <c r="J6842" i="1"/>
  <c r="L6842" i="1"/>
  <c r="M6842" i="1"/>
  <c r="C6843" i="1"/>
  <c r="E6843" i="1"/>
  <c r="F6843" i="1"/>
  <c r="H6843" i="1"/>
  <c r="I6843" i="1"/>
  <c r="J6843" i="1"/>
  <c r="L6843" i="1"/>
  <c r="M6843" i="1"/>
  <c r="C6844" i="1"/>
  <c r="E6844" i="1"/>
  <c r="F6844" i="1"/>
  <c r="H6844" i="1"/>
  <c r="I6844" i="1"/>
  <c r="J6844" i="1"/>
  <c r="L6844" i="1"/>
  <c r="M6844" i="1"/>
  <c r="C6845" i="1"/>
  <c r="E6845" i="1"/>
  <c r="F6845" i="1"/>
  <c r="H6845" i="1"/>
  <c r="I6845" i="1"/>
  <c r="J6845" i="1"/>
  <c r="L6845" i="1"/>
  <c r="M6845" i="1"/>
  <c r="C6846" i="1"/>
  <c r="E6846" i="1"/>
  <c r="F6846" i="1"/>
  <c r="H6846" i="1"/>
  <c r="I6846" i="1"/>
  <c r="J6846" i="1"/>
  <c r="L6846" i="1"/>
  <c r="M6846" i="1"/>
  <c r="C6847" i="1"/>
  <c r="E6847" i="1"/>
  <c r="F6847" i="1"/>
  <c r="H6847" i="1"/>
  <c r="I6847" i="1"/>
  <c r="J6847" i="1"/>
  <c r="L6847" i="1"/>
  <c r="M6847" i="1"/>
  <c r="C6848" i="1"/>
  <c r="E6848" i="1"/>
  <c r="F6848" i="1"/>
  <c r="H6848" i="1"/>
  <c r="I6848" i="1"/>
  <c r="J6848" i="1"/>
  <c r="L6848" i="1"/>
  <c r="M6848" i="1"/>
  <c r="C6849" i="1"/>
  <c r="E6849" i="1"/>
  <c r="F6849" i="1"/>
  <c r="H6849" i="1"/>
  <c r="I6849" i="1"/>
  <c r="J6849" i="1"/>
  <c r="L6849" i="1"/>
  <c r="M6849" i="1"/>
  <c r="C6850" i="1"/>
  <c r="E6850" i="1"/>
  <c r="F6850" i="1"/>
  <c r="H6850" i="1"/>
  <c r="I6850" i="1"/>
  <c r="J6850" i="1"/>
  <c r="L6850" i="1"/>
  <c r="M6850" i="1"/>
  <c r="C6851" i="1"/>
  <c r="E6851" i="1"/>
  <c r="F6851" i="1"/>
  <c r="H6851" i="1"/>
  <c r="I6851" i="1"/>
  <c r="J6851" i="1"/>
  <c r="L6851" i="1"/>
  <c r="M6851" i="1"/>
  <c r="C6852" i="1"/>
  <c r="E6852" i="1"/>
  <c r="F6852" i="1"/>
  <c r="H6852" i="1"/>
  <c r="I6852" i="1"/>
  <c r="J6852" i="1"/>
  <c r="L6852" i="1"/>
  <c r="M6852" i="1"/>
  <c r="C6853" i="1"/>
  <c r="E6853" i="1"/>
  <c r="F6853" i="1"/>
  <c r="H6853" i="1"/>
  <c r="I6853" i="1"/>
  <c r="J6853" i="1"/>
  <c r="L6853" i="1"/>
  <c r="M6853" i="1"/>
  <c r="C6854" i="1"/>
  <c r="E6854" i="1"/>
  <c r="F6854" i="1"/>
  <c r="H6854" i="1"/>
  <c r="I6854" i="1"/>
  <c r="J6854" i="1"/>
  <c r="L6854" i="1"/>
  <c r="M6854" i="1"/>
  <c r="C6855" i="1"/>
  <c r="E6855" i="1"/>
  <c r="F6855" i="1"/>
  <c r="H6855" i="1"/>
  <c r="I6855" i="1"/>
  <c r="J6855" i="1"/>
  <c r="L6855" i="1"/>
  <c r="M6855" i="1"/>
  <c r="C6856" i="1"/>
  <c r="E6856" i="1"/>
  <c r="F6856" i="1"/>
  <c r="H6856" i="1"/>
  <c r="I6856" i="1"/>
  <c r="J6856" i="1"/>
  <c r="L6856" i="1"/>
  <c r="M6856" i="1"/>
  <c r="C6857" i="1"/>
  <c r="E6857" i="1"/>
  <c r="F6857" i="1"/>
  <c r="H6857" i="1"/>
  <c r="I6857" i="1"/>
  <c r="J6857" i="1"/>
  <c r="L6857" i="1"/>
  <c r="M6857" i="1"/>
  <c r="C6858" i="1"/>
  <c r="E6858" i="1"/>
  <c r="F6858" i="1"/>
  <c r="H6858" i="1"/>
  <c r="I6858" i="1"/>
  <c r="J6858" i="1"/>
  <c r="L6858" i="1"/>
  <c r="M6858" i="1"/>
  <c r="C6859" i="1"/>
  <c r="E6859" i="1"/>
  <c r="F6859" i="1"/>
  <c r="H6859" i="1"/>
  <c r="I6859" i="1"/>
  <c r="J6859" i="1"/>
  <c r="L6859" i="1"/>
  <c r="M6859" i="1"/>
  <c r="C6860" i="1"/>
  <c r="E6860" i="1"/>
  <c r="F6860" i="1"/>
  <c r="H6860" i="1"/>
  <c r="I6860" i="1"/>
  <c r="J6860" i="1"/>
  <c r="L6860" i="1"/>
  <c r="M6860" i="1"/>
  <c r="C6861" i="1"/>
  <c r="E6861" i="1"/>
  <c r="F6861" i="1"/>
  <c r="H6861" i="1"/>
  <c r="I6861" i="1"/>
  <c r="J6861" i="1"/>
  <c r="L6861" i="1"/>
  <c r="M6861" i="1"/>
  <c r="C6862" i="1"/>
  <c r="E6862" i="1"/>
  <c r="F6862" i="1"/>
  <c r="H6862" i="1"/>
  <c r="I6862" i="1"/>
  <c r="J6862" i="1"/>
  <c r="L6862" i="1"/>
  <c r="M6862" i="1"/>
  <c r="C6863" i="1"/>
  <c r="E6863" i="1"/>
  <c r="F6863" i="1"/>
  <c r="H6863" i="1"/>
  <c r="I6863" i="1"/>
  <c r="J6863" i="1"/>
  <c r="L6863" i="1"/>
  <c r="M6863" i="1"/>
  <c r="C6864" i="1"/>
  <c r="E6864" i="1"/>
  <c r="F6864" i="1"/>
  <c r="H6864" i="1"/>
  <c r="I6864" i="1"/>
  <c r="J6864" i="1"/>
  <c r="L6864" i="1"/>
  <c r="M6864" i="1"/>
  <c r="C6865" i="1"/>
  <c r="E6865" i="1"/>
  <c r="F6865" i="1"/>
  <c r="H6865" i="1"/>
  <c r="I6865" i="1"/>
  <c r="J6865" i="1"/>
  <c r="L6865" i="1"/>
  <c r="M6865" i="1"/>
  <c r="C6866" i="1"/>
  <c r="E6866" i="1"/>
  <c r="F6866" i="1"/>
  <c r="H6866" i="1"/>
  <c r="I6866" i="1"/>
  <c r="J6866" i="1"/>
  <c r="L6866" i="1"/>
  <c r="M6866" i="1"/>
  <c r="C6867" i="1"/>
  <c r="E6867" i="1"/>
  <c r="F6867" i="1"/>
  <c r="H6867" i="1"/>
  <c r="I6867" i="1"/>
  <c r="J6867" i="1"/>
  <c r="L6867" i="1"/>
  <c r="M6867" i="1"/>
  <c r="C6868" i="1"/>
  <c r="E6868" i="1"/>
  <c r="F6868" i="1"/>
  <c r="H6868" i="1"/>
  <c r="I6868" i="1"/>
  <c r="J6868" i="1"/>
  <c r="L6868" i="1"/>
  <c r="M6868" i="1"/>
  <c r="C6869" i="1"/>
  <c r="E6869" i="1"/>
  <c r="F6869" i="1"/>
  <c r="H6869" i="1"/>
  <c r="I6869" i="1"/>
  <c r="J6869" i="1"/>
  <c r="L6869" i="1"/>
  <c r="M6869" i="1"/>
  <c r="C6870" i="1"/>
  <c r="E6870" i="1"/>
  <c r="F6870" i="1"/>
  <c r="H6870" i="1"/>
  <c r="I6870" i="1"/>
  <c r="J6870" i="1"/>
  <c r="L6870" i="1"/>
  <c r="M6870" i="1"/>
  <c r="C6871" i="1"/>
  <c r="E6871" i="1"/>
  <c r="F6871" i="1"/>
  <c r="H6871" i="1"/>
  <c r="I6871" i="1"/>
  <c r="J6871" i="1"/>
  <c r="L6871" i="1"/>
  <c r="M6871" i="1"/>
  <c r="C6872" i="1"/>
  <c r="E6872" i="1"/>
  <c r="F6872" i="1"/>
  <c r="H6872" i="1"/>
  <c r="I6872" i="1"/>
  <c r="J6872" i="1"/>
  <c r="L6872" i="1"/>
  <c r="M6872" i="1"/>
  <c r="C6873" i="1"/>
  <c r="E6873" i="1"/>
  <c r="F6873" i="1"/>
  <c r="H6873" i="1"/>
  <c r="I6873" i="1"/>
  <c r="J6873" i="1"/>
  <c r="L6873" i="1"/>
  <c r="M6873" i="1"/>
  <c r="C6874" i="1"/>
  <c r="E6874" i="1"/>
  <c r="F6874" i="1"/>
  <c r="H6874" i="1"/>
  <c r="I6874" i="1"/>
  <c r="J6874" i="1"/>
  <c r="L6874" i="1"/>
  <c r="M6874" i="1"/>
  <c r="C6875" i="1"/>
  <c r="E6875" i="1"/>
  <c r="F6875" i="1"/>
  <c r="H6875" i="1"/>
  <c r="I6875" i="1"/>
  <c r="J6875" i="1"/>
  <c r="L6875" i="1"/>
  <c r="M6875" i="1"/>
  <c r="C6876" i="1"/>
  <c r="E6876" i="1"/>
  <c r="F6876" i="1"/>
  <c r="H6876" i="1"/>
  <c r="I6876" i="1"/>
  <c r="J6876" i="1"/>
  <c r="L6876" i="1"/>
  <c r="M6876" i="1"/>
  <c r="C6877" i="1"/>
  <c r="E6877" i="1"/>
  <c r="F6877" i="1"/>
  <c r="H6877" i="1"/>
  <c r="I6877" i="1"/>
  <c r="J6877" i="1"/>
  <c r="L6877" i="1"/>
  <c r="M6877" i="1"/>
  <c r="C6878" i="1"/>
  <c r="E6878" i="1"/>
  <c r="F6878" i="1"/>
  <c r="H6878" i="1"/>
  <c r="I6878" i="1"/>
  <c r="J6878" i="1"/>
  <c r="L6878" i="1"/>
  <c r="M6878" i="1"/>
  <c r="C6879" i="1"/>
  <c r="E6879" i="1"/>
  <c r="F6879" i="1"/>
  <c r="H6879" i="1"/>
  <c r="I6879" i="1"/>
  <c r="J6879" i="1"/>
  <c r="L6879" i="1"/>
  <c r="M6879" i="1"/>
  <c r="C6880" i="1"/>
  <c r="E6880" i="1"/>
  <c r="F6880" i="1"/>
  <c r="H6880" i="1"/>
  <c r="I6880" i="1"/>
  <c r="J6880" i="1"/>
  <c r="L6880" i="1"/>
  <c r="M6880" i="1"/>
  <c r="C6881" i="1"/>
  <c r="E6881" i="1"/>
  <c r="F6881" i="1"/>
  <c r="H6881" i="1"/>
  <c r="I6881" i="1"/>
  <c r="J6881" i="1"/>
  <c r="L6881" i="1"/>
  <c r="M6881" i="1"/>
  <c r="C6882" i="1"/>
  <c r="E6882" i="1"/>
  <c r="F6882" i="1"/>
  <c r="H6882" i="1"/>
  <c r="I6882" i="1"/>
  <c r="J6882" i="1"/>
  <c r="L6882" i="1"/>
  <c r="M6882" i="1"/>
  <c r="C6883" i="1"/>
  <c r="E6883" i="1"/>
  <c r="F6883" i="1"/>
  <c r="H6883" i="1"/>
  <c r="I6883" i="1"/>
  <c r="J6883" i="1"/>
  <c r="L6883" i="1"/>
  <c r="M6883" i="1"/>
  <c r="C6884" i="1"/>
  <c r="E6884" i="1"/>
  <c r="F6884" i="1"/>
  <c r="H6884" i="1"/>
  <c r="I6884" i="1"/>
  <c r="J6884" i="1"/>
  <c r="L6884" i="1"/>
  <c r="M6884" i="1"/>
  <c r="C6885" i="1"/>
  <c r="E6885" i="1"/>
  <c r="F6885" i="1"/>
  <c r="H6885" i="1"/>
  <c r="I6885" i="1"/>
  <c r="J6885" i="1"/>
  <c r="L6885" i="1"/>
  <c r="M6885" i="1"/>
  <c r="C6886" i="1"/>
  <c r="E6886" i="1"/>
  <c r="F6886" i="1"/>
  <c r="H6886" i="1"/>
  <c r="I6886" i="1"/>
  <c r="J6886" i="1"/>
  <c r="L6886" i="1"/>
  <c r="M6886" i="1"/>
  <c r="C6887" i="1"/>
  <c r="E6887" i="1"/>
  <c r="F6887" i="1"/>
  <c r="H6887" i="1"/>
  <c r="I6887" i="1"/>
  <c r="J6887" i="1"/>
  <c r="L6887" i="1"/>
  <c r="M6887" i="1"/>
  <c r="C6888" i="1"/>
  <c r="E6888" i="1"/>
  <c r="F6888" i="1"/>
  <c r="H6888" i="1"/>
  <c r="I6888" i="1"/>
  <c r="J6888" i="1"/>
  <c r="L6888" i="1"/>
  <c r="M6888" i="1"/>
  <c r="C6889" i="1"/>
  <c r="E6889" i="1"/>
  <c r="F6889" i="1"/>
  <c r="H6889" i="1"/>
  <c r="I6889" i="1"/>
  <c r="J6889" i="1"/>
  <c r="L6889" i="1"/>
  <c r="M6889" i="1"/>
  <c r="C6890" i="1"/>
  <c r="E6890" i="1"/>
  <c r="F6890" i="1"/>
  <c r="H6890" i="1"/>
  <c r="I6890" i="1"/>
  <c r="J6890" i="1"/>
  <c r="L6890" i="1"/>
  <c r="M6890" i="1"/>
  <c r="C6891" i="1"/>
  <c r="E6891" i="1"/>
  <c r="F6891" i="1"/>
  <c r="H6891" i="1"/>
  <c r="I6891" i="1"/>
  <c r="J6891" i="1"/>
  <c r="L6891" i="1"/>
  <c r="M6891" i="1"/>
  <c r="C6892" i="1"/>
  <c r="E6892" i="1"/>
  <c r="F6892" i="1"/>
  <c r="H6892" i="1"/>
  <c r="I6892" i="1"/>
  <c r="J6892" i="1"/>
  <c r="L6892" i="1"/>
  <c r="M6892" i="1"/>
  <c r="C6893" i="1"/>
  <c r="E6893" i="1"/>
  <c r="F6893" i="1"/>
  <c r="H6893" i="1"/>
  <c r="I6893" i="1"/>
  <c r="J6893" i="1"/>
  <c r="L6893" i="1"/>
  <c r="M6893" i="1"/>
  <c r="C6894" i="1"/>
  <c r="E6894" i="1"/>
  <c r="F6894" i="1"/>
  <c r="H6894" i="1"/>
  <c r="I6894" i="1"/>
  <c r="J6894" i="1"/>
  <c r="L6894" i="1"/>
  <c r="M6894" i="1"/>
  <c r="C6895" i="1"/>
  <c r="E6895" i="1"/>
  <c r="F6895" i="1"/>
  <c r="H6895" i="1"/>
  <c r="I6895" i="1"/>
  <c r="J6895" i="1"/>
  <c r="L6895" i="1"/>
  <c r="M6895" i="1"/>
  <c r="C6896" i="1"/>
  <c r="E6896" i="1"/>
  <c r="F6896" i="1"/>
  <c r="H6896" i="1"/>
  <c r="I6896" i="1"/>
  <c r="J6896" i="1"/>
  <c r="L6896" i="1"/>
  <c r="M6896" i="1"/>
  <c r="C6897" i="1"/>
  <c r="E6897" i="1"/>
  <c r="F6897" i="1"/>
  <c r="H6897" i="1"/>
  <c r="I6897" i="1"/>
  <c r="J6897" i="1"/>
  <c r="L6897" i="1"/>
  <c r="M6897" i="1"/>
  <c r="C6898" i="1"/>
  <c r="E6898" i="1"/>
  <c r="F6898" i="1"/>
  <c r="H6898" i="1"/>
  <c r="I6898" i="1"/>
  <c r="J6898" i="1"/>
  <c r="L6898" i="1"/>
  <c r="M6898" i="1"/>
  <c r="C6899" i="1"/>
  <c r="E6899" i="1"/>
  <c r="F6899" i="1"/>
  <c r="H6899" i="1"/>
  <c r="I6899" i="1"/>
  <c r="J6899" i="1"/>
  <c r="L6899" i="1"/>
  <c r="M6899" i="1"/>
  <c r="C6900" i="1"/>
  <c r="E6900" i="1"/>
  <c r="F6900" i="1"/>
  <c r="H6900" i="1"/>
  <c r="I6900" i="1"/>
  <c r="J6900" i="1"/>
  <c r="L6900" i="1"/>
  <c r="M6900" i="1"/>
  <c r="C6901" i="1"/>
  <c r="E6901" i="1"/>
  <c r="F6901" i="1"/>
  <c r="H6901" i="1"/>
  <c r="I6901" i="1"/>
  <c r="J6901" i="1"/>
  <c r="L6901" i="1"/>
  <c r="M6901" i="1"/>
  <c r="C6902" i="1"/>
  <c r="E6902" i="1"/>
  <c r="F6902" i="1"/>
  <c r="H6902" i="1"/>
  <c r="I6902" i="1"/>
  <c r="J6902" i="1"/>
  <c r="L6902" i="1"/>
  <c r="M6902" i="1"/>
  <c r="C6903" i="1"/>
  <c r="E6903" i="1"/>
  <c r="F6903" i="1"/>
  <c r="H6903" i="1"/>
  <c r="I6903" i="1"/>
  <c r="J6903" i="1"/>
  <c r="L6903" i="1"/>
  <c r="M6903" i="1"/>
  <c r="C6904" i="1"/>
  <c r="E6904" i="1"/>
  <c r="F6904" i="1"/>
  <c r="H6904" i="1"/>
  <c r="I6904" i="1"/>
  <c r="J6904" i="1"/>
  <c r="L6904" i="1"/>
  <c r="M6904" i="1"/>
  <c r="C6905" i="1"/>
  <c r="E6905" i="1"/>
  <c r="F6905" i="1"/>
  <c r="H6905" i="1"/>
  <c r="I6905" i="1"/>
  <c r="J6905" i="1"/>
  <c r="L6905" i="1"/>
  <c r="M6905" i="1"/>
  <c r="C6906" i="1"/>
  <c r="E6906" i="1"/>
  <c r="F6906" i="1"/>
  <c r="H6906" i="1"/>
  <c r="I6906" i="1"/>
  <c r="J6906" i="1"/>
  <c r="L6906" i="1"/>
  <c r="M6906" i="1"/>
  <c r="C6907" i="1"/>
  <c r="E6907" i="1"/>
  <c r="F6907" i="1"/>
  <c r="H6907" i="1"/>
  <c r="I6907" i="1"/>
  <c r="J6907" i="1"/>
  <c r="L6907" i="1"/>
  <c r="M6907" i="1"/>
  <c r="C6908" i="1"/>
  <c r="E6908" i="1"/>
  <c r="F6908" i="1"/>
  <c r="H6908" i="1"/>
  <c r="I6908" i="1"/>
  <c r="J6908" i="1"/>
  <c r="L6908" i="1"/>
  <c r="M6908" i="1"/>
  <c r="C6909" i="1"/>
  <c r="E6909" i="1"/>
  <c r="F6909" i="1"/>
  <c r="H6909" i="1"/>
  <c r="I6909" i="1"/>
  <c r="J6909" i="1"/>
  <c r="L6909" i="1"/>
  <c r="M6909" i="1"/>
  <c r="C6910" i="1"/>
  <c r="E6910" i="1"/>
  <c r="F6910" i="1"/>
  <c r="H6910" i="1"/>
  <c r="I6910" i="1"/>
  <c r="J6910" i="1"/>
  <c r="L6910" i="1"/>
  <c r="M6910" i="1"/>
  <c r="C6911" i="1"/>
  <c r="E6911" i="1"/>
  <c r="F6911" i="1"/>
  <c r="H6911" i="1"/>
  <c r="I6911" i="1"/>
  <c r="J6911" i="1"/>
  <c r="L6911" i="1"/>
  <c r="M6911" i="1"/>
  <c r="C6912" i="1"/>
  <c r="E6912" i="1"/>
  <c r="F6912" i="1"/>
  <c r="H6912" i="1"/>
  <c r="I6912" i="1"/>
  <c r="J6912" i="1"/>
  <c r="L6912" i="1"/>
  <c r="M6912" i="1"/>
  <c r="C6913" i="1"/>
  <c r="E6913" i="1"/>
  <c r="F6913" i="1"/>
  <c r="H6913" i="1"/>
  <c r="I6913" i="1"/>
  <c r="J6913" i="1"/>
  <c r="L6913" i="1"/>
  <c r="M6913" i="1"/>
  <c r="C6914" i="1"/>
  <c r="E6914" i="1"/>
  <c r="F6914" i="1"/>
  <c r="H6914" i="1"/>
  <c r="I6914" i="1"/>
  <c r="J6914" i="1"/>
  <c r="L6914" i="1"/>
  <c r="M6914" i="1"/>
  <c r="C6915" i="1"/>
  <c r="E6915" i="1"/>
  <c r="F6915" i="1"/>
  <c r="H6915" i="1"/>
  <c r="I6915" i="1"/>
  <c r="J6915" i="1"/>
  <c r="L6915" i="1"/>
  <c r="M6915" i="1"/>
  <c r="C6916" i="1"/>
  <c r="E6916" i="1"/>
  <c r="F6916" i="1"/>
  <c r="H6916" i="1"/>
  <c r="I6916" i="1"/>
  <c r="J6916" i="1"/>
  <c r="L6916" i="1"/>
  <c r="M6916" i="1"/>
  <c r="C6917" i="1"/>
  <c r="E6917" i="1"/>
  <c r="F6917" i="1"/>
  <c r="H6917" i="1"/>
  <c r="I6917" i="1"/>
  <c r="J6917" i="1"/>
  <c r="L6917" i="1"/>
  <c r="M6917" i="1"/>
  <c r="C6918" i="1"/>
  <c r="E6918" i="1"/>
  <c r="F6918" i="1"/>
  <c r="H6918" i="1"/>
  <c r="I6918" i="1"/>
  <c r="J6918" i="1"/>
  <c r="L6918" i="1"/>
  <c r="M6918" i="1"/>
  <c r="C6919" i="1"/>
  <c r="E6919" i="1"/>
  <c r="F6919" i="1"/>
  <c r="H6919" i="1"/>
  <c r="I6919" i="1"/>
  <c r="J6919" i="1"/>
  <c r="L6919" i="1"/>
  <c r="M6919" i="1"/>
  <c r="C6920" i="1"/>
  <c r="E6920" i="1"/>
  <c r="F6920" i="1"/>
  <c r="H6920" i="1"/>
  <c r="I6920" i="1"/>
  <c r="J6920" i="1"/>
  <c r="L6920" i="1"/>
  <c r="M6920" i="1"/>
  <c r="C6921" i="1"/>
  <c r="E6921" i="1"/>
  <c r="F6921" i="1"/>
  <c r="H6921" i="1"/>
  <c r="I6921" i="1"/>
  <c r="J6921" i="1"/>
  <c r="L6921" i="1"/>
  <c r="M6921" i="1"/>
  <c r="C6922" i="1"/>
  <c r="E6922" i="1"/>
  <c r="F6922" i="1"/>
  <c r="H6922" i="1"/>
  <c r="I6922" i="1"/>
  <c r="J6922" i="1"/>
  <c r="L6922" i="1"/>
  <c r="M6922" i="1"/>
  <c r="C6923" i="1"/>
  <c r="E6923" i="1"/>
  <c r="F6923" i="1"/>
  <c r="H6923" i="1"/>
  <c r="I6923" i="1"/>
  <c r="J6923" i="1"/>
  <c r="L6923" i="1"/>
  <c r="M6923" i="1"/>
  <c r="C6924" i="1"/>
  <c r="E6924" i="1"/>
  <c r="F6924" i="1"/>
  <c r="H6924" i="1"/>
  <c r="I6924" i="1"/>
  <c r="J6924" i="1"/>
  <c r="L6924" i="1"/>
  <c r="M6924" i="1"/>
  <c r="C6925" i="1"/>
  <c r="E6925" i="1"/>
  <c r="F6925" i="1"/>
  <c r="H6925" i="1"/>
  <c r="I6925" i="1"/>
  <c r="J6925" i="1"/>
  <c r="L6925" i="1"/>
  <c r="M6925" i="1"/>
  <c r="C6926" i="1"/>
  <c r="E6926" i="1"/>
  <c r="F6926" i="1"/>
  <c r="H6926" i="1"/>
  <c r="I6926" i="1"/>
  <c r="J6926" i="1"/>
  <c r="L6926" i="1"/>
  <c r="M6926" i="1"/>
  <c r="C6927" i="1"/>
  <c r="E6927" i="1"/>
  <c r="F6927" i="1"/>
  <c r="H6927" i="1"/>
  <c r="I6927" i="1"/>
  <c r="J6927" i="1"/>
  <c r="L6927" i="1"/>
  <c r="M6927" i="1"/>
  <c r="C6928" i="1"/>
  <c r="E6928" i="1"/>
  <c r="F6928" i="1"/>
  <c r="H6928" i="1"/>
  <c r="I6928" i="1"/>
  <c r="J6928" i="1"/>
  <c r="L6928" i="1"/>
  <c r="M6928" i="1"/>
  <c r="C6929" i="1"/>
  <c r="E6929" i="1"/>
  <c r="F6929" i="1"/>
  <c r="H6929" i="1"/>
  <c r="I6929" i="1"/>
  <c r="J6929" i="1"/>
  <c r="L6929" i="1"/>
  <c r="M6929" i="1"/>
  <c r="C6930" i="1"/>
  <c r="E6930" i="1"/>
  <c r="F6930" i="1"/>
  <c r="H6930" i="1"/>
  <c r="I6930" i="1"/>
  <c r="J6930" i="1"/>
  <c r="L6930" i="1"/>
  <c r="M6930" i="1"/>
  <c r="C6931" i="1"/>
  <c r="E6931" i="1"/>
  <c r="F6931" i="1"/>
  <c r="H6931" i="1"/>
  <c r="I6931" i="1"/>
  <c r="J6931" i="1"/>
  <c r="L6931" i="1"/>
  <c r="M6931" i="1"/>
  <c r="C6932" i="1"/>
  <c r="E6932" i="1"/>
  <c r="F6932" i="1"/>
  <c r="H6932" i="1"/>
  <c r="I6932" i="1"/>
  <c r="J6932" i="1"/>
  <c r="L6932" i="1"/>
  <c r="M6932" i="1"/>
  <c r="C6933" i="1"/>
  <c r="E6933" i="1"/>
  <c r="F6933" i="1"/>
  <c r="H6933" i="1"/>
  <c r="I6933" i="1"/>
  <c r="J6933" i="1"/>
  <c r="L6933" i="1"/>
  <c r="M6933" i="1"/>
  <c r="C6934" i="1"/>
  <c r="E6934" i="1"/>
  <c r="F6934" i="1"/>
  <c r="H6934" i="1"/>
  <c r="I6934" i="1"/>
  <c r="J6934" i="1"/>
  <c r="L6934" i="1"/>
  <c r="M6934" i="1"/>
  <c r="C6935" i="1"/>
  <c r="E6935" i="1"/>
  <c r="F6935" i="1"/>
  <c r="H6935" i="1"/>
  <c r="I6935" i="1"/>
  <c r="J6935" i="1"/>
  <c r="L6935" i="1"/>
  <c r="M6935" i="1"/>
  <c r="C6936" i="1"/>
  <c r="E6936" i="1"/>
  <c r="F6936" i="1"/>
  <c r="H6936" i="1"/>
  <c r="I6936" i="1"/>
  <c r="J6936" i="1"/>
  <c r="L6936" i="1"/>
  <c r="M6936" i="1"/>
  <c r="C6937" i="1"/>
  <c r="E6937" i="1"/>
  <c r="F6937" i="1"/>
  <c r="H6937" i="1"/>
  <c r="I6937" i="1"/>
  <c r="J6937" i="1"/>
  <c r="L6937" i="1"/>
  <c r="M6937" i="1"/>
  <c r="C6938" i="1"/>
  <c r="E6938" i="1"/>
  <c r="F6938" i="1"/>
  <c r="H6938" i="1"/>
  <c r="I6938" i="1"/>
  <c r="J6938" i="1"/>
  <c r="L6938" i="1"/>
  <c r="M6938" i="1"/>
  <c r="C6939" i="1"/>
  <c r="E6939" i="1"/>
  <c r="F6939" i="1"/>
  <c r="H6939" i="1"/>
  <c r="I6939" i="1"/>
  <c r="J6939" i="1"/>
  <c r="L6939" i="1"/>
  <c r="M6939" i="1"/>
  <c r="C6940" i="1"/>
  <c r="E6940" i="1"/>
  <c r="F6940" i="1"/>
  <c r="H6940" i="1"/>
  <c r="I6940" i="1"/>
  <c r="J6940" i="1"/>
  <c r="L6940" i="1"/>
  <c r="M6940" i="1"/>
  <c r="C6941" i="1"/>
  <c r="E6941" i="1"/>
  <c r="F6941" i="1"/>
  <c r="H6941" i="1"/>
  <c r="I6941" i="1"/>
  <c r="J6941" i="1"/>
  <c r="L6941" i="1"/>
  <c r="M6941" i="1"/>
  <c r="C6942" i="1"/>
  <c r="E6942" i="1"/>
  <c r="F6942" i="1"/>
  <c r="H6942" i="1"/>
  <c r="I6942" i="1"/>
  <c r="J6942" i="1"/>
  <c r="L6942" i="1"/>
  <c r="M6942" i="1"/>
  <c r="C6943" i="1"/>
  <c r="E6943" i="1"/>
  <c r="F6943" i="1"/>
  <c r="H6943" i="1"/>
  <c r="I6943" i="1"/>
  <c r="J6943" i="1"/>
  <c r="L6943" i="1"/>
  <c r="M6943" i="1"/>
  <c r="C6944" i="1"/>
  <c r="E6944" i="1"/>
  <c r="F6944" i="1"/>
  <c r="H6944" i="1"/>
  <c r="I6944" i="1"/>
  <c r="J6944" i="1"/>
  <c r="L6944" i="1"/>
  <c r="M6944" i="1"/>
  <c r="C6945" i="1"/>
  <c r="E6945" i="1"/>
  <c r="F6945" i="1"/>
  <c r="H6945" i="1"/>
  <c r="I6945" i="1"/>
  <c r="J6945" i="1"/>
  <c r="L6945" i="1"/>
  <c r="M6945" i="1"/>
  <c r="C6946" i="1"/>
  <c r="E6946" i="1"/>
  <c r="F6946" i="1"/>
  <c r="H6946" i="1"/>
  <c r="I6946" i="1"/>
  <c r="J6946" i="1"/>
  <c r="L6946" i="1"/>
  <c r="M6946" i="1"/>
  <c r="C6947" i="1"/>
  <c r="E6947" i="1"/>
  <c r="F6947" i="1"/>
  <c r="H6947" i="1"/>
  <c r="I6947" i="1"/>
  <c r="J6947" i="1"/>
  <c r="L6947" i="1"/>
  <c r="M6947" i="1"/>
  <c r="C6948" i="1"/>
  <c r="E6948" i="1"/>
  <c r="F6948" i="1"/>
  <c r="H6948" i="1"/>
  <c r="I6948" i="1"/>
  <c r="J6948" i="1"/>
  <c r="L6948" i="1"/>
  <c r="M6948" i="1"/>
  <c r="C6949" i="1"/>
  <c r="E6949" i="1"/>
  <c r="F6949" i="1"/>
  <c r="H6949" i="1"/>
  <c r="I6949" i="1"/>
  <c r="J6949" i="1"/>
  <c r="L6949" i="1"/>
  <c r="M6949" i="1"/>
  <c r="C6950" i="1"/>
  <c r="E6950" i="1"/>
  <c r="F6950" i="1"/>
  <c r="H6950" i="1"/>
  <c r="I6950" i="1"/>
  <c r="J6950" i="1"/>
  <c r="L6950" i="1"/>
  <c r="M6950" i="1"/>
  <c r="C6951" i="1"/>
  <c r="E6951" i="1"/>
  <c r="F6951" i="1"/>
  <c r="H6951" i="1"/>
  <c r="I6951" i="1"/>
  <c r="J6951" i="1"/>
  <c r="L6951" i="1"/>
  <c r="M6951" i="1"/>
  <c r="C6952" i="1"/>
  <c r="E6952" i="1"/>
  <c r="F6952" i="1"/>
  <c r="H6952" i="1"/>
  <c r="I6952" i="1"/>
  <c r="J6952" i="1"/>
  <c r="L6952" i="1"/>
  <c r="M6952" i="1"/>
  <c r="C6953" i="1"/>
  <c r="E6953" i="1"/>
  <c r="F6953" i="1"/>
  <c r="H6953" i="1"/>
  <c r="I6953" i="1"/>
  <c r="J6953" i="1"/>
  <c r="L6953" i="1"/>
  <c r="M6953" i="1"/>
  <c r="C6954" i="1"/>
  <c r="E6954" i="1"/>
  <c r="F6954" i="1"/>
  <c r="H6954" i="1"/>
  <c r="I6954" i="1"/>
  <c r="J6954" i="1"/>
  <c r="L6954" i="1"/>
  <c r="M6954" i="1"/>
  <c r="C6955" i="1"/>
  <c r="E6955" i="1"/>
  <c r="F6955" i="1"/>
  <c r="H6955" i="1"/>
  <c r="I6955" i="1"/>
  <c r="J6955" i="1"/>
  <c r="L6955" i="1"/>
  <c r="M6955" i="1"/>
  <c r="C6956" i="1"/>
  <c r="E6956" i="1"/>
  <c r="F6956" i="1"/>
  <c r="H6956" i="1"/>
  <c r="I6956" i="1"/>
  <c r="J6956" i="1"/>
  <c r="L6956" i="1"/>
  <c r="M6956" i="1"/>
  <c r="C6957" i="1"/>
  <c r="E6957" i="1"/>
  <c r="F6957" i="1"/>
  <c r="H6957" i="1"/>
  <c r="I6957" i="1"/>
  <c r="J6957" i="1"/>
  <c r="L6957" i="1"/>
  <c r="M6957" i="1"/>
  <c r="C6958" i="1"/>
  <c r="E6958" i="1"/>
  <c r="F6958" i="1"/>
  <c r="H6958" i="1"/>
  <c r="I6958" i="1"/>
  <c r="J6958" i="1"/>
  <c r="L6958" i="1"/>
  <c r="M6958" i="1"/>
  <c r="C6959" i="1"/>
  <c r="E6959" i="1"/>
  <c r="F6959" i="1"/>
  <c r="H6959" i="1"/>
  <c r="I6959" i="1"/>
  <c r="J6959" i="1"/>
  <c r="L6959" i="1"/>
  <c r="M6959" i="1"/>
  <c r="C6960" i="1"/>
  <c r="E6960" i="1"/>
  <c r="F6960" i="1"/>
  <c r="H6960" i="1"/>
  <c r="I6960" i="1"/>
  <c r="J6960" i="1"/>
  <c r="L6960" i="1"/>
  <c r="M6960" i="1"/>
  <c r="C6961" i="1"/>
  <c r="E6961" i="1"/>
  <c r="F6961" i="1"/>
  <c r="H6961" i="1"/>
  <c r="I6961" i="1"/>
  <c r="J6961" i="1"/>
  <c r="L6961" i="1"/>
  <c r="M6961" i="1"/>
  <c r="C6962" i="1"/>
  <c r="E6962" i="1"/>
  <c r="F6962" i="1"/>
  <c r="H6962" i="1"/>
  <c r="I6962" i="1"/>
  <c r="J6962" i="1"/>
  <c r="L6962" i="1"/>
  <c r="M6962" i="1"/>
  <c r="C6963" i="1"/>
  <c r="E6963" i="1"/>
  <c r="F6963" i="1"/>
  <c r="H6963" i="1"/>
  <c r="I6963" i="1"/>
  <c r="J6963" i="1"/>
  <c r="L6963" i="1"/>
  <c r="M6963" i="1"/>
  <c r="C6964" i="1"/>
  <c r="E6964" i="1"/>
  <c r="F6964" i="1"/>
  <c r="H6964" i="1"/>
  <c r="I6964" i="1"/>
  <c r="J6964" i="1"/>
  <c r="L6964" i="1"/>
  <c r="M6964" i="1"/>
  <c r="C6965" i="1"/>
  <c r="E6965" i="1"/>
  <c r="F6965" i="1"/>
  <c r="H6965" i="1"/>
  <c r="I6965" i="1"/>
  <c r="J6965" i="1"/>
  <c r="L6965" i="1"/>
  <c r="M6965" i="1"/>
  <c r="C6966" i="1"/>
  <c r="E6966" i="1"/>
  <c r="F6966" i="1"/>
  <c r="H6966" i="1"/>
  <c r="I6966" i="1"/>
  <c r="J6966" i="1"/>
  <c r="L6966" i="1"/>
  <c r="M6966" i="1"/>
  <c r="C6967" i="1"/>
  <c r="E6967" i="1"/>
  <c r="F6967" i="1"/>
  <c r="H6967" i="1"/>
  <c r="I6967" i="1"/>
  <c r="J6967" i="1"/>
  <c r="L6967" i="1"/>
  <c r="M6967" i="1"/>
  <c r="C6968" i="1"/>
  <c r="E6968" i="1"/>
  <c r="F6968" i="1"/>
  <c r="H6968" i="1"/>
  <c r="I6968" i="1"/>
  <c r="J6968" i="1"/>
  <c r="L6968" i="1"/>
  <c r="M6968" i="1"/>
  <c r="C6969" i="1"/>
  <c r="E6969" i="1"/>
  <c r="F6969" i="1"/>
  <c r="H6969" i="1"/>
  <c r="I6969" i="1"/>
  <c r="J6969" i="1"/>
  <c r="L6969" i="1"/>
  <c r="M6969" i="1"/>
  <c r="C6970" i="1"/>
  <c r="E6970" i="1"/>
  <c r="F6970" i="1"/>
  <c r="H6970" i="1"/>
  <c r="I6970" i="1"/>
  <c r="J6970" i="1"/>
  <c r="L6970" i="1"/>
  <c r="M6970" i="1"/>
  <c r="C6971" i="1"/>
  <c r="E6971" i="1"/>
  <c r="F6971" i="1"/>
  <c r="H6971" i="1"/>
  <c r="I6971" i="1"/>
  <c r="J6971" i="1"/>
  <c r="L6971" i="1"/>
  <c r="M6971" i="1"/>
  <c r="C6972" i="1"/>
  <c r="E6972" i="1"/>
  <c r="F6972" i="1"/>
  <c r="H6972" i="1"/>
  <c r="I6972" i="1"/>
  <c r="J6972" i="1"/>
  <c r="L6972" i="1"/>
  <c r="M6972" i="1"/>
  <c r="C6973" i="1"/>
  <c r="E6973" i="1"/>
  <c r="F6973" i="1"/>
  <c r="H6973" i="1"/>
  <c r="I6973" i="1"/>
  <c r="J6973" i="1"/>
  <c r="L6973" i="1"/>
  <c r="M6973" i="1"/>
  <c r="C6974" i="1"/>
  <c r="E6974" i="1"/>
  <c r="F6974" i="1"/>
  <c r="H6974" i="1"/>
  <c r="I6974" i="1"/>
  <c r="J6974" i="1"/>
  <c r="L6974" i="1"/>
  <c r="M6974" i="1"/>
  <c r="C6975" i="1"/>
  <c r="E6975" i="1"/>
  <c r="F6975" i="1"/>
  <c r="H6975" i="1"/>
  <c r="I6975" i="1"/>
  <c r="J6975" i="1"/>
  <c r="L6975" i="1"/>
  <c r="M6975" i="1"/>
  <c r="C6976" i="1"/>
  <c r="E6976" i="1"/>
  <c r="F6976" i="1"/>
  <c r="H6976" i="1"/>
  <c r="I6976" i="1"/>
  <c r="J6976" i="1"/>
  <c r="L6976" i="1"/>
  <c r="M6976" i="1"/>
  <c r="C6977" i="1"/>
  <c r="E6977" i="1"/>
  <c r="F6977" i="1"/>
  <c r="H6977" i="1"/>
  <c r="I6977" i="1"/>
  <c r="J6977" i="1"/>
  <c r="L6977" i="1"/>
  <c r="M6977" i="1"/>
  <c r="C6978" i="1"/>
  <c r="E6978" i="1"/>
  <c r="F6978" i="1"/>
  <c r="H6978" i="1"/>
  <c r="I6978" i="1"/>
  <c r="J6978" i="1"/>
  <c r="L6978" i="1"/>
  <c r="M6978" i="1"/>
  <c r="C6979" i="1"/>
  <c r="E6979" i="1"/>
  <c r="F6979" i="1"/>
  <c r="H6979" i="1"/>
  <c r="I6979" i="1"/>
  <c r="J6979" i="1"/>
  <c r="L6979" i="1"/>
  <c r="M6979" i="1"/>
  <c r="C6980" i="1"/>
  <c r="E6980" i="1"/>
  <c r="F6980" i="1"/>
  <c r="H6980" i="1"/>
  <c r="I6980" i="1"/>
  <c r="J6980" i="1"/>
  <c r="L6980" i="1"/>
  <c r="M6980" i="1"/>
  <c r="C6981" i="1"/>
  <c r="E6981" i="1"/>
  <c r="F6981" i="1"/>
  <c r="H6981" i="1"/>
  <c r="I6981" i="1"/>
  <c r="J6981" i="1"/>
  <c r="L6981" i="1"/>
  <c r="M6981" i="1"/>
  <c r="C6982" i="1"/>
  <c r="E6982" i="1"/>
  <c r="F6982" i="1"/>
  <c r="H6982" i="1"/>
  <c r="I6982" i="1"/>
  <c r="J6982" i="1"/>
  <c r="L6982" i="1"/>
  <c r="M6982" i="1"/>
  <c r="C6983" i="1"/>
  <c r="E6983" i="1"/>
  <c r="F6983" i="1"/>
  <c r="H6983" i="1"/>
  <c r="I6983" i="1"/>
  <c r="J6983" i="1"/>
  <c r="L6983" i="1"/>
  <c r="M6983" i="1"/>
  <c r="C6984" i="1"/>
  <c r="E6984" i="1"/>
  <c r="F6984" i="1"/>
  <c r="H6984" i="1"/>
  <c r="I6984" i="1"/>
  <c r="J6984" i="1"/>
  <c r="L6984" i="1"/>
  <c r="M6984" i="1"/>
  <c r="C6985" i="1"/>
  <c r="E6985" i="1"/>
  <c r="F6985" i="1"/>
  <c r="H6985" i="1"/>
  <c r="I6985" i="1"/>
  <c r="J6985" i="1"/>
  <c r="L6985" i="1"/>
  <c r="M6985" i="1"/>
  <c r="C6986" i="1"/>
  <c r="E6986" i="1"/>
  <c r="F6986" i="1"/>
  <c r="H6986" i="1"/>
  <c r="I6986" i="1"/>
  <c r="J6986" i="1"/>
  <c r="L6986" i="1"/>
  <c r="M6986" i="1"/>
  <c r="C6987" i="1"/>
  <c r="E6987" i="1"/>
  <c r="F6987" i="1"/>
  <c r="H6987" i="1"/>
  <c r="I6987" i="1"/>
  <c r="J6987" i="1"/>
  <c r="L6987" i="1"/>
  <c r="M6987" i="1"/>
  <c r="C6988" i="1"/>
  <c r="E6988" i="1"/>
  <c r="F6988" i="1"/>
  <c r="H6988" i="1"/>
  <c r="I6988" i="1"/>
  <c r="J6988" i="1"/>
  <c r="L6988" i="1"/>
  <c r="M6988" i="1"/>
  <c r="C6989" i="1"/>
  <c r="E6989" i="1"/>
  <c r="F6989" i="1"/>
  <c r="H6989" i="1"/>
  <c r="I6989" i="1"/>
  <c r="J6989" i="1"/>
  <c r="L6989" i="1"/>
  <c r="M6989" i="1"/>
  <c r="C6990" i="1"/>
  <c r="E6990" i="1"/>
  <c r="F6990" i="1"/>
  <c r="H6990" i="1"/>
  <c r="I6990" i="1"/>
  <c r="J6990" i="1"/>
  <c r="L6990" i="1"/>
  <c r="M6990" i="1"/>
  <c r="C6991" i="1"/>
  <c r="E6991" i="1"/>
  <c r="F6991" i="1"/>
  <c r="H6991" i="1"/>
  <c r="I6991" i="1"/>
  <c r="J6991" i="1"/>
  <c r="L6991" i="1"/>
  <c r="M6991" i="1"/>
  <c r="C6992" i="1"/>
  <c r="E6992" i="1"/>
  <c r="F6992" i="1"/>
  <c r="H6992" i="1"/>
  <c r="I6992" i="1"/>
  <c r="J6992" i="1"/>
  <c r="L6992" i="1"/>
  <c r="M6992" i="1"/>
  <c r="C6993" i="1"/>
  <c r="E6993" i="1"/>
  <c r="F6993" i="1"/>
  <c r="H6993" i="1"/>
  <c r="I6993" i="1"/>
  <c r="J6993" i="1"/>
  <c r="L6993" i="1"/>
  <c r="M6993" i="1"/>
  <c r="C6994" i="1"/>
  <c r="E6994" i="1"/>
  <c r="F6994" i="1"/>
  <c r="H6994" i="1"/>
  <c r="I6994" i="1"/>
  <c r="J6994" i="1"/>
  <c r="L6994" i="1"/>
  <c r="M6994" i="1"/>
  <c r="C6995" i="1"/>
  <c r="E6995" i="1"/>
  <c r="F6995" i="1"/>
  <c r="H6995" i="1"/>
  <c r="I6995" i="1"/>
  <c r="J6995" i="1"/>
  <c r="L6995" i="1"/>
  <c r="M6995" i="1"/>
  <c r="C6996" i="1"/>
  <c r="E6996" i="1"/>
  <c r="F6996" i="1"/>
  <c r="H6996" i="1"/>
  <c r="I6996" i="1"/>
  <c r="J6996" i="1"/>
  <c r="L6996" i="1"/>
  <c r="M6996" i="1"/>
  <c r="C6997" i="1"/>
  <c r="E6997" i="1"/>
  <c r="F6997" i="1"/>
  <c r="H6997" i="1"/>
  <c r="I6997" i="1"/>
  <c r="J6997" i="1"/>
  <c r="L6997" i="1"/>
  <c r="M6997" i="1"/>
  <c r="C6998" i="1"/>
  <c r="E6998" i="1"/>
  <c r="F6998" i="1"/>
  <c r="H6998" i="1"/>
  <c r="I6998" i="1"/>
  <c r="J6998" i="1"/>
  <c r="L6998" i="1"/>
  <c r="M6998" i="1"/>
  <c r="C6999" i="1"/>
  <c r="E6999" i="1"/>
  <c r="F6999" i="1"/>
  <c r="H6999" i="1"/>
  <c r="I6999" i="1"/>
  <c r="J6999" i="1"/>
  <c r="L6999" i="1"/>
  <c r="M6999" i="1"/>
  <c r="C7000" i="1"/>
  <c r="E7000" i="1"/>
  <c r="F7000" i="1"/>
  <c r="H7000" i="1"/>
  <c r="I7000" i="1"/>
  <c r="J7000" i="1"/>
  <c r="L7000" i="1"/>
  <c r="M7000" i="1"/>
  <c r="C7001" i="1"/>
  <c r="E7001" i="1"/>
  <c r="F7001" i="1"/>
  <c r="H7001" i="1"/>
  <c r="I7001" i="1"/>
  <c r="J7001" i="1"/>
  <c r="L7001" i="1"/>
  <c r="M7001" i="1"/>
  <c r="C7002" i="1"/>
  <c r="E7002" i="1"/>
  <c r="F7002" i="1"/>
  <c r="H7002" i="1"/>
  <c r="I7002" i="1"/>
  <c r="J7002" i="1"/>
  <c r="L7002" i="1"/>
  <c r="M7002" i="1"/>
  <c r="C7003" i="1"/>
  <c r="E7003" i="1"/>
  <c r="F7003" i="1"/>
  <c r="H7003" i="1"/>
  <c r="I7003" i="1"/>
  <c r="J7003" i="1"/>
  <c r="L7003" i="1"/>
  <c r="M7003" i="1"/>
  <c r="C7004" i="1"/>
  <c r="E7004" i="1"/>
  <c r="F7004" i="1"/>
  <c r="H7004" i="1"/>
  <c r="I7004" i="1"/>
  <c r="J7004" i="1"/>
  <c r="L7004" i="1"/>
  <c r="M7004" i="1"/>
  <c r="C7005" i="1"/>
  <c r="E7005" i="1"/>
  <c r="F7005" i="1"/>
  <c r="H7005" i="1"/>
  <c r="I7005" i="1"/>
  <c r="J7005" i="1"/>
  <c r="L7005" i="1"/>
  <c r="M7005" i="1"/>
  <c r="C7006" i="1"/>
  <c r="E7006" i="1"/>
  <c r="F7006" i="1"/>
  <c r="H7006" i="1"/>
  <c r="I7006" i="1"/>
  <c r="J7006" i="1"/>
  <c r="L7006" i="1"/>
  <c r="M7006" i="1"/>
  <c r="C7007" i="1"/>
  <c r="E7007" i="1"/>
  <c r="F7007" i="1"/>
  <c r="H7007" i="1"/>
  <c r="I7007" i="1"/>
  <c r="J7007" i="1"/>
  <c r="L7007" i="1"/>
  <c r="M7007" i="1"/>
  <c r="C7008" i="1"/>
  <c r="E7008" i="1"/>
  <c r="F7008" i="1"/>
  <c r="H7008" i="1"/>
  <c r="I7008" i="1"/>
  <c r="J7008" i="1"/>
  <c r="L7008" i="1"/>
  <c r="M7008" i="1"/>
  <c r="C7009" i="1"/>
  <c r="E7009" i="1"/>
  <c r="F7009" i="1"/>
  <c r="H7009" i="1"/>
  <c r="I7009" i="1"/>
  <c r="J7009" i="1"/>
  <c r="L7009" i="1"/>
  <c r="M7009" i="1"/>
  <c r="C7010" i="1"/>
  <c r="E7010" i="1"/>
  <c r="F7010" i="1"/>
  <c r="H7010" i="1"/>
  <c r="I7010" i="1"/>
  <c r="J7010" i="1"/>
  <c r="L7010" i="1"/>
  <c r="M7010" i="1"/>
  <c r="C7011" i="1"/>
  <c r="E7011" i="1"/>
  <c r="F7011" i="1"/>
  <c r="H7011" i="1"/>
  <c r="I7011" i="1"/>
  <c r="J7011" i="1"/>
  <c r="L7011" i="1"/>
  <c r="M7011" i="1"/>
  <c r="C7012" i="1"/>
  <c r="E7012" i="1"/>
  <c r="F7012" i="1"/>
  <c r="H7012" i="1"/>
  <c r="I7012" i="1"/>
  <c r="J7012" i="1"/>
  <c r="L7012" i="1"/>
  <c r="M7012" i="1"/>
  <c r="C7013" i="1"/>
  <c r="E7013" i="1"/>
  <c r="F7013" i="1"/>
  <c r="H7013" i="1"/>
  <c r="I7013" i="1"/>
  <c r="J7013" i="1"/>
  <c r="L7013" i="1"/>
  <c r="M7013" i="1"/>
  <c r="C7014" i="1"/>
  <c r="E7014" i="1"/>
  <c r="F7014" i="1"/>
  <c r="H7014" i="1"/>
  <c r="I7014" i="1"/>
  <c r="J7014" i="1"/>
  <c r="L7014" i="1"/>
  <c r="M7014" i="1"/>
  <c r="C7015" i="1"/>
  <c r="E7015" i="1"/>
  <c r="F7015" i="1"/>
  <c r="H7015" i="1"/>
  <c r="I7015" i="1"/>
  <c r="J7015" i="1"/>
  <c r="L7015" i="1"/>
  <c r="M7015" i="1"/>
  <c r="C7016" i="1"/>
  <c r="E7016" i="1"/>
  <c r="F7016" i="1"/>
  <c r="H7016" i="1"/>
  <c r="I7016" i="1"/>
  <c r="J7016" i="1"/>
  <c r="L7016" i="1"/>
  <c r="M7016" i="1"/>
  <c r="C7017" i="1"/>
  <c r="E7017" i="1"/>
  <c r="F7017" i="1"/>
  <c r="H7017" i="1"/>
  <c r="I7017" i="1"/>
  <c r="J7017" i="1"/>
  <c r="L7017" i="1"/>
  <c r="M7017" i="1"/>
  <c r="C7018" i="1"/>
  <c r="E7018" i="1"/>
  <c r="F7018" i="1"/>
  <c r="H7018" i="1"/>
  <c r="I7018" i="1"/>
  <c r="J7018" i="1"/>
  <c r="L7018" i="1"/>
  <c r="M7018" i="1"/>
  <c r="C7019" i="1"/>
  <c r="E7019" i="1"/>
  <c r="F7019" i="1"/>
  <c r="H7019" i="1"/>
  <c r="I7019" i="1"/>
  <c r="J7019" i="1"/>
  <c r="L7019" i="1"/>
  <c r="M7019" i="1"/>
  <c r="C7020" i="1"/>
  <c r="E7020" i="1"/>
  <c r="F7020" i="1"/>
  <c r="H7020" i="1"/>
  <c r="I7020" i="1"/>
  <c r="J7020" i="1"/>
  <c r="L7020" i="1"/>
  <c r="M7020" i="1"/>
  <c r="C7021" i="1"/>
  <c r="E7021" i="1"/>
  <c r="F7021" i="1"/>
  <c r="H7021" i="1"/>
  <c r="I7021" i="1"/>
  <c r="J7021" i="1"/>
  <c r="L7021" i="1"/>
  <c r="M7021" i="1"/>
  <c r="C7022" i="1"/>
  <c r="E7022" i="1"/>
  <c r="F7022" i="1"/>
  <c r="H7022" i="1"/>
  <c r="I7022" i="1"/>
  <c r="J7022" i="1"/>
  <c r="L7022" i="1"/>
  <c r="M7022" i="1"/>
  <c r="C7023" i="1"/>
  <c r="E7023" i="1"/>
  <c r="F7023" i="1"/>
  <c r="H7023" i="1"/>
  <c r="I7023" i="1"/>
  <c r="J7023" i="1"/>
  <c r="L7023" i="1"/>
  <c r="M7023" i="1"/>
  <c r="C7024" i="1"/>
  <c r="E7024" i="1"/>
  <c r="F7024" i="1"/>
  <c r="H7024" i="1"/>
  <c r="I7024" i="1"/>
  <c r="J7024" i="1"/>
  <c r="L7024" i="1"/>
  <c r="M7024" i="1"/>
  <c r="C7025" i="1"/>
  <c r="E7025" i="1"/>
  <c r="F7025" i="1"/>
  <c r="H7025" i="1"/>
  <c r="I7025" i="1"/>
  <c r="J7025" i="1"/>
  <c r="L7025" i="1"/>
  <c r="M7025" i="1"/>
  <c r="C7026" i="1"/>
  <c r="E7026" i="1"/>
  <c r="F7026" i="1"/>
  <c r="H7026" i="1"/>
  <c r="I7026" i="1"/>
  <c r="J7026" i="1"/>
  <c r="L7026" i="1"/>
  <c r="M7026" i="1"/>
  <c r="C7027" i="1"/>
  <c r="E7027" i="1"/>
  <c r="F7027" i="1"/>
  <c r="H7027" i="1"/>
  <c r="I7027" i="1"/>
  <c r="J7027" i="1"/>
  <c r="L7027" i="1"/>
  <c r="M7027" i="1"/>
  <c r="C7028" i="1"/>
  <c r="E7028" i="1"/>
  <c r="F7028" i="1"/>
  <c r="H7028" i="1"/>
  <c r="I7028" i="1"/>
  <c r="J7028" i="1"/>
  <c r="L7028" i="1"/>
  <c r="M7028" i="1"/>
  <c r="C7029" i="1"/>
  <c r="E7029" i="1"/>
  <c r="F7029" i="1"/>
  <c r="H7029" i="1"/>
  <c r="I7029" i="1"/>
  <c r="J7029" i="1"/>
  <c r="L7029" i="1"/>
  <c r="M7029" i="1"/>
  <c r="C7030" i="1"/>
  <c r="E7030" i="1"/>
  <c r="F7030" i="1"/>
  <c r="H7030" i="1"/>
  <c r="I7030" i="1"/>
  <c r="J7030" i="1"/>
  <c r="L7030" i="1"/>
  <c r="M7030" i="1"/>
  <c r="C7031" i="1"/>
  <c r="E7031" i="1"/>
  <c r="F7031" i="1"/>
  <c r="H7031" i="1"/>
  <c r="I7031" i="1"/>
  <c r="J7031" i="1"/>
  <c r="L7031" i="1"/>
  <c r="M7031" i="1"/>
  <c r="C7032" i="1"/>
  <c r="E7032" i="1"/>
  <c r="F7032" i="1"/>
  <c r="H7032" i="1"/>
  <c r="I7032" i="1"/>
  <c r="J7032" i="1"/>
  <c r="L7032" i="1"/>
  <c r="M7032" i="1"/>
  <c r="C7033" i="1"/>
  <c r="E7033" i="1"/>
  <c r="F7033" i="1"/>
  <c r="H7033" i="1"/>
  <c r="I7033" i="1"/>
  <c r="J7033" i="1"/>
  <c r="L7033" i="1"/>
  <c r="M7033" i="1"/>
  <c r="C7034" i="1"/>
  <c r="E7034" i="1"/>
  <c r="F7034" i="1"/>
  <c r="H7034" i="1"/>
  <c r="I7034" i="1"/>
  <c r="J7034" i="1"/>
  <c r="L7034" i="1"/>
  <c r="M7034" i="1"/>
  <c r="C7035" i="1"/>
  <c r="E7035" i="1"/>
  <c r="F7035" i="1"/>
  <c r="H7035" i="1"/>
  <c r="I7035" i="1"/>
  <c r="J7035" i="1"/>
  <c r="L7035" i="1"/>
  <c r="M7035" i="1"/>
  <c r="C7036" i="1"/>
  <c r="E7036" i="1"/>
  <c r="F7036" i="1"/>
  <c r="H7036" i="1"/>
  <c r="I7036" i="1"/>
  <c r="J7036" i="1"/>
  <c r="L7036" i="1"/>
  <c r="M7036" i="1"/>
  <c r="C7037" i="1"/>
  <c r="E7037" i="1"/>
  <c r="F7037" i="1"/>
  <c r="H7037" i="1"/>
  <c r="I7037" i="1"/>
  <c r="J7037" i="1"/>
  <c r="L7037" i="1"/>
  <c r="M7037" i="1"/>
  <c r="C7038" i="1"/>
  <c r="E7038" i="1"/>
  <c r="F7038" i="1"/>
  <c r="H7038" i="1"/>
  <c r="I7038" i="1"/>
  <c r="J7038" i="1"/>
  <c r="L7038" i="1"/>
  <c r="M7038" i="1"/>
  <c r="C7039" i="1"/>
  <c r="E7039" i="1"/>
  <c r="F7039" i="1"/>
  <c r="H7039" i="1"/>
  <c r="I7039" i="1"/>
  <c r="J7039" i="1"/>
  <c r="L7039" i="1"/>
  <c r="M7039" i="1"/>
  <c r="C7040" i="1"/>
  <c r="E7040" i="1"/>
  <c r="F7040" i="1"/>
  <c r="H7040" i="1"/>
  <c r="I7040" i="1"/>
  <c r="J7040" i="1"/>
  <c r="L7040" i="1"/>
  <c r="M7040" i="1"/>
  <c r="C7041" i="1"/>
  <c r="E7041" i="1"/>
  <c r="F7041" i="1"/>
  <c r="H7041" i="1"/>
  <c r="I7041" i="1"/>
  <c r="J7041" i="1"/>
  <c r="L7041" i="1"/>
  <c r="M7041" i="1"/>
  <c r="C7042" i="1"/>
  <c r="E7042" i="1"/>
  <c r="F7042" i="1"/>
  <c r="H7042" i="1"/>
  <c r="I7042" i="1"/>
  <c r="J7042" i="1"/>
  <c r="L7042" i="1"/>
  <c r="M7042" i="1"/>
  <c r="C7043" i="1"/>
  <c r="E7043" i="1"/>
  <c r="F7043" i="1"/>
  <c r="H7043" i="1"/>
  <c r="I7043" i="1"/>
  <c r="J7043" i="1"/>
  <c r="L7043" i="1"/>
  <c r="M7043" i="1"/>
  <c r="C7044" i="1"/>
  <c r="E7044" i="1"/>
  <c r="F7044" i="1"/>
  <c r="H7044" i="1"/>
  <c r="I7044" i="1"/>
  <c r="J7044" i="1"/>
  <c r="L7044" i="1"/>
  <c r="M7044" i="1"/>
  <c r="C7045" i="1"/>
  <c r="E7045" i="1"/>
  <c r="F7045" i="1"/>
  <c r="H7045" i="1"/>
  <c r="I7045" i="1"/>
  <c r="J7045" i="1"/>
  <c r="L7045" i="1"/>
  <c r="M7045" i="1"/>
  <c r="C7046" i="1"/>
  <c r="E7046" i="1"/>
  <c r="F7046" i="1"/>
  <c r="H7046" i="1"/>
  <c r="I7046" i="1"/>
  <c r="J7046" i="1"/>
  <c r="L7046" i="1"/>
  <c r="M7046" i="1"/>
  <c r="C7047" i="1"/>
  <c r="E7047" i="1"/>
  <c r="F7047" i="1"/>
  <c r="H7047" i="1"/>
  <c r="I7047" i="1"/>
  <c r="J7047" i="1"/>
  <c r="L7047" i="1"/>
  <c r="M7047" i="1"/>
  <c r="C7048" i="1"/>
  <c r="E7048" i="1"/>
  <c r="F7048" i="1"/>
  <c r="H7048" i="1"/>
  <c r="I7048" i="1"/>
  <c r="J7048" i="1"/>
  <c r="L7048" i="1"/>
  <c r="M7048" i="1"/>
  <c r="C7049" i="1"/>
  <c r="E7049" i="1"/>
  <c r="F7049" i="1"/>
  <c r="H7049" i="1"/>
  <c r="I7049" i="1"/>
  <c r="J7049" i="1"/>
  <c r="L7049" i="1"/>
  <c r="M7049" i="1"/>
  <c r="C7050" i="1"/>
  <c r="E7050" i="1"/>
  <c r="F7050" i="1"/>
  <c r="H7050" i="1"/>
  <c r="I7050" i="1"/>
  <c r="J7050" i="1"/>
  <c r="L7050" i="1"/>
  <c r="M7050" i="1"/>
  <c r="C7051" i="1"/>
  <c r="E7051" i="1"/>
  <c r="F7051" i="1"/>
  <c r="H7051" i="1"/>
  <c r="I7051" i="1"/>
  <c r="J7051" i="1"/>
  <c r="L7051" i="1"/>
  <c r="M7051" i="1"/>
  <c r="C7052" i="1"/>
  <c r="E7052" i="1"/>
  <c r="F7052" i="1"/>
  <c r="H7052" i="1"/>
  <c r="I7052" i="1"/>
  <c r="J7052" i="1"/>
  <c r="L7052" i="1"/>
  <c r="M7052" i="1"/>
  <c r="C7053" i="1"/>
  <c r="E7053" i="1"/>
  <c r="F7053" i="1"/>
  <c r="H7053" i="1"/>
  <c r="I7053" i="1"/>
  <c r="J7053" i="1"/>
  <c r="L7053" i="1"/>
  <c r="M7053" i="1"/>
  <c r="C7054" i="1"/>
  <c r="E7054" i="1"/>
  <c r="F7054" i="1"/>
  <c r="H7054" i="1"/>
  <c r="I7054" i="1"/>
  <c r="J7054" i="1"/>
  <c r="L7054" i="1"/>
  <c r="M7054" i="1"/>
  <c r="C7055" i="1"/>
  <c r="E7055" i="1"/>
  <c r="F7055" i="1"/>
  <c r="H7055" i="1"/>
  <c r="I7055" i="1"/>
  <c r="J7055" i="1"/>
  <c r="L7055" i="1"/>
  <c r="M7055" i="1"/>
  <c r="C7056" i="1"/>
  <c r="E7056" i="1"/>
  <c r="F7056" i="1"/>
  <c r="H7056" i="1"/>
  <c r="I7056" i="1"/>
  <c r="J7056" i="1"/>
  <c r="L7056" i="1"/>
  <c r="M7056" i="1"/>
  <c r="C7057" i="1"/>
  <c r="E7057" i="1"/>
  <c r="F7057" i="1"/>
  <c r="H7057" i="1"/>
  <c r="I7057" i="1"/>
  <c r="J7057" i="1"/>
  <c r="L7057" i="1"/>
  <c r="M7057" i="1"/>
  <c r="C7058" i="1"/>
  <c r="E7058" i="1"/>
  <c r="F7058" i="1"/>
  <c r="H7058" i="1"/>
  <c r="I7058" i="1"/>
  <c r="J7058" i="1"/>
  <c r="L7058" i="1"/>
  <c r="M7058" i="1"/>
  <c r="C7059" i="1"/>
  <c r="E7059" i="1"/>
  <c r="F7059" i="1"/>
  <c r="H7059" i="1"/>
  <c r="I7059" i="1"/>
  <c r="J7059" i="1"/>
  <c r="L7059" i="1"/>
  <c r="M7059" i="1"/>
  <c r="C7060" i="1"/>
  <c r="E7060" i="1"/>
  <c r="F7060" i="1"/>
  <c r="H7060" i="1"/>
  <c r="I7060" i="1"/>
  <c r="J7060" i="1"/>
  <c r="L7060" i="1"/>
  <c r="M7060" i="1"/>
  <c r="C7061" i="1"/>
  <c r="E7061" i="1"/>
  <c r="F7061" i="1"/>
  <c r="H7061" i="1"/>
  <c r="I7061" i="1"/>
  <c r="J7061" i="1"/>
  <c r="L7061" i="1"/>
  <c r="M7061" i="1"/>
  <c r="C7062" i="1"/>
  <c r="E7062" i="1"/>
  <c r="F7062" i="1"/>
  <c r="H7062" i="1"/>
  <c r="I7062" i="1"/>
  <c r="J7062" i="1"/>
  <c r="L7062" i="1"/>
  <c r="M7062" i="1"/>
  <c r="C7063" i="1"/>
  <c r="E7063" i="1"/>
  <c r="F7063" i="1"/>
  <c r="H7063" i="1"/>
  <c r="I7063" i="1"/>
  <c r="J7063" i="1"/>
  <c r="L7063" i="1"/>
  <c r="M7063" i="1"/>
  <c r="C7064" i="1"/>
  <c r="E7064" i="1"/>
  <c r="F7064" i="1"/>
  <c r="H7064" i="1"/>
  <c r="I7064" i="1"/>
  <c r="J7064" i="1"/>
  <c r="L7064" i="1"/>
  <c r="M7064" i="1"/>
  <c r="C7065" i="1"/>
  <c r="E7065" i="1"/>
  <c r="F7065" i="1"/>
  <c r="H7065" i="1"/>
  <c r="I7065" i="1"/>
  <c r="J7065" i="1"/>
  <c r="L7065" i="1"/>
  <c r="M7065" i="1"/>
  <c r="C7066" i="1"/>
  <c r="E7066" i="1"/>
  <c r="F7066" i="1"/>
  <c r="H7066" i="1"/>
  <c r="I7066" i="1"/>
  <c r="J7066" i="1"/>
  <c r="L7066" i="1"/>
  <c r="M7066" i="1"/>
  <c r="C7067" i="1"/>
  <c r="E7067" i="1"/>
  <c r="F7067" i="1"/>
  <c r="H7067" i="1"/>
  <c r="I7067" i="1"/>
  <c r="J7067" i="1"/>
  <c r="L7067" i="1"/>
  <c r="M7067" i="1"/>
  <c r="C7068" i="1"/>
  <c r="E7068" i="1"/>
  <c r="F7068" i="1"/>
  <c r="H7068" i="1"/>
  <c r="I7068" i="1"/>
  <c r="J7068" i="1"/>
  <c r="L7068" i="1"/>
  <c r="M7068" i="1"/>
  <c r="C7069" i="1"/>
  <c r="E7069" i="1"/>
  <c r="F7069" i="1"/>
  <c r="H7069" i="1"/>
  <c r="I7069" i="1"/>
  <c r="J7069" i="1"/>
  <c r="L7069" i="1"/>
  <c r="M7069" i="1"/>
  <c r="C7070" i="1"/>
  <c r="E7070" i="1"/>
  <c r="F7070" i="1"/>
  <c r="H7070" i="1"/>
  <c r="I7070" i="1"/>
  <c r="J7070" i="1"/>
  <c r="L7070" i="1"/>
  <c r="M7070" i="1"/>
  <c r="C7071" i="1"/>
  <c r="E7071" i="1"/>
  <c r="F7071" i="1"/>
  <c r="H7071" i="1"/>
  <c r="I7071" i="1"/>
  <c r="J7071" i="1"/>
  <c r="L7071" i="1"/>
  <c r="M7071" i="1"/>
  <c r="C7072" i="1"/>
  <c r="E7072" i="1"/>
  <c r="F7072" i="1"/>
  <c r="H7072" i="1"/>
  <c r="I7072" i="1"/>
  <c r="J7072" i="1"/>
  <c r="L7072" i="1"/>
  <c r="M7072" i="1"/>
  <c r="C7073" i="1"/>
  <c r="E7073" i="1"/>
  <c r="F7073" i="1"/>
  <c r="H7073" i="1"/>
  <c r="I7073" i="1"/>
  <c r="J7073" i="1"/>
  <c r="L7073" i="1"/>
  <c r="M7073" i="1"/>
  <c r="C7074" i="1"/>
  <c r="E7074" i="1"/>
  <c r="F7074" i="1"/>
  <c r="H7074" i="1"/>
  <c r="I7074" i="1"/>
  <c r="J7074" i="1"/>
  <c r="L7074" i="1"/>
  <c r="M7074" i="1"/>
  <c r="C7075" i="1"/>
  <c r="E7075" i="1"/>
  <c r="F7075" i="1"/>
  <c r="H7075" i="1"/>
  <c r="I7075" i="1"/>
  <c r="J7075" i="1"/>
  <c r="L7075" i="1"/>
  <c r="M7075" i="1"/>
  <c r="C7076" i="1"/>
  <c r="E7076" i="1"/>
  <c r="F7076" i="1"/>
  <c r="H7076" i="1"/>
  <c r="I7076" i="1"/>
  <c r="J7076" i="1"/>
  <c r="L7076" i="1"/>
  <c r="M7076" i="1"/>
  <c r="C7077" i="1"/>
  <c r="E7077" i="1"/>
  <c r="F7077" i="1"/>
  <c r="H7077" i="1"/>
  <c r="I7077" i="1"/>
  <c r="J7077" i="1"/>
  <c r="L7077" i="1"/>
  <c r="M7077" i="1"/>
  <c r="C7078" i="1"/>
  <c r="E7078" i="1"/>
  <c r="F7078" i="1"/>
  <c r="H7078" i="1"/>
  <c r="I7078" i="1"/>
  <c r="J7078" i="1"/>
  <c r="L7078" i="1"/>
  <c r="M7078" i="1"/>
  <c r="C7079" i="1"/>
  <c r="E7079" i="1"/>
  <c r="F7079" i="1"/>
  <c r="H7079" i="1"/>
  <c r="I7079" i="1"/>
  <c r="J7079" i="1"/>
  <c r="L7079" i="1"/>
  <c r="M7079" i="1"/>
  <c r="C7080" i="1"/>
  <c r="E7080" i="1"/>
  <c r="F7080" i="1"/>
  <c r="H7080" i="1"/>
  <c r="I7080" i="1"/>
  <c r="J7080" i="1"/>
  <c r="L7080" i="1"/>
  <c r="M7080" i="1"/>
  <c r="C7081" i="1"/>
  <c r="E7081" i="1"/>
  <c r="F7081" i="1"/>
  <c r="H7081" i="1"/>
  <c r="I7081" i="1"/>
  <c r="J7081" i="1"/>
  <c r="L7081" i="1"/>
  <c r="M7081" i="1"/>
  <c r="C7082" i="1"/>
  <c r="E7082" i="1"/>
  <c r="F7082" i="1"/>
  <c r="H7082" i="1"/>
  <c r="I7082" i="1"/>
  <c r="J7082" i="1"/>
  <c r="L7082" i="1"/>
  <c r="M7082" i="1"/>
  <c r="C7083" i="1"/>
  <c r="E7083" i="1"/>
  <c r="F7083" i="1"/>
  <c r="H7083" i="1"/>
  <c r="I7083" i="1"/>
  <c r="J7083" i="1"/>
  <c r="L7083" i="1"/>
  <c r="M7083" i="1"/>
  <c r="C7084" i="1"/>
  <c r="E7084" i="1"/>
  <c r="F7084" i="1"/>
  <c r="H7084" i="1"/>
  <c r="I7084" i="1"/>
  <c r="J7084" i="1"/>
  <c r="L7084" i="1"/>
  <c r="M7084" i="1"/>
  <c r="C7085" i="1"/>
  <c r="E7085" i="1"/>
  <c r="F7085" i="1"/>
  <c r="H7085" i="1"/>
  <c r="I7085" i="1"/>
  <c r="J7085" i="1"/>
  <c r="L7085" i="1"/>
  <c r="M7085" i="1"/>
  <c r="C7086" i="1"/>
  <c r="E7086" i="1"/>
  <c r="F7086" i="1"/>
  <c r="H7086" i="1"/>
  <c r="I7086" i="1"/>
  <c r="J7086" i="1"/>
  <c r="L7086" i="1"/>
  <c r="M7086" i="1"/>
  <c r="C7087" i="1"/>
  <c r="E7087" i="1"/>
  <c r="F7087" i="1"/>
  <c r="H7087" i="1"/>
  <c r="I7087" i="1"/>
  <c r="J7087" i="1"/>
  <c r="L7087" i="1"/>
  <c r="M7087" i="1"/>
  <c r="C7088" i="1"/>
  <c r="E7088" i="1"/>
  <c r="F7088" i="1"/>
  <c r="H7088" i="1"/>
  <c r="I7088" i="1"/>
  <c r="J7088" i="1"/>
  <c r="L7088" i="1"/>
  <c r="M7088" i="1"/>
  <c r="C7089" i="1"/>
  <c r="E7089" i="1"/>
  <c r="F7089" i="1"/>
  <c r="H7089" i="1"/>
  <c r="I7089" i="1"/>
  <c r="J7089" i="1"/>
  <c r="L7089" i="1"/>
  <c r="M7089" i="1"/>
  <c r="C7090" i="1"/>
  <c r="E7090" i="1"/>
  <c r="F7090" i="1"/>
  <c r="H7090" i="1"/>
  <c r="I7090" i="1"/>
  <c r="J7090" i="1"/>
  <c r="L7090" i="1"/>
  <c r="M7090" i="1"/>
  <c r="C7091" i="1"/>
  <c r="E7091" i="1"/>
  <c r="F7091" i="1"/>
  <c r="H7091" i="1"/>
  <c r="I7091" i="1"/>
  <c r="J7091" i="1"/>
  <c r="L7091" i="1"/>
  <c r="M7091" i="1"/>
  <c r="C7092" i="1"/>
  <c r="E7092" i="1"/>
  <c r="F7092" i="1"/>
  <c r="H7092" i="1"/>
  <c r="I7092" i="1"/>
  <c r="J7092" i="1"/>
  <c r="L7092" i="1"/>
  <c r="M7092" i="1"/>
  <c r="C7093" i="1"/>
  <c r="E7093" i="1"/>
  <c r="F7093" i="1"/>
  <c r="H7093" i="1"/>
  <c r="I7093" i="1"/>
  <c r="J7093" i="1"/>
  <c r="L7093" i="1"/>
  <c r="M7093" i="1"/>
  <c r="C7094" i="1"/>
  <c r="E7094" i="1"/>
  <c r="F7094" i="1"/>
  <c r="H7094" i="1"/>
  <c r="I7094" i="1"/>
  <c r="J7094" i="1"/>
  <c r="L7094" i="1"/>
  <c r="M7094" i="1"/>
  <c r="C7095" i="1"/>
  <c r="E7095" i="1"/>
  <c r="F7095" i="1"/>
  <c r="H7095" i="1"/>
  <c r="I7095" i="1"/>
  <c r="J7095" i="1"/>
  <c r="L7095" i="1"/>
  <c r="M7095" i="1"/>
  <c r="C7096" i="1"/>
  <c r="E7096" i="1"/>
  <c r="F7096" i="1"/>
  <c r="H7096" i="1"/>
  <c r="I7096" i="1"/>
  <c r="J7096" i="1"/>
  <c r="L7096" i="1"/>
  <c r="M7096" i="1"/>
  <c r="C7097" i="1"/>
  <c r="E7097" i="1"/>
  <c r="F7097" i="1"/>
  <c r="H7097" i="1"/>
  <c r="I7097" i="1"/>
  <c r="J7097" i="1"/>
  <c r="L7097" i="1"/>
  <c r="M7097" i="1"/>
  <c r="C7098" i="1"/>
  <c r="E7098" i="1"/>
  <c r="F7098" i="1"/>
  <c r="H7098" i="1"/>
  <c r="I7098" i="1"/>
  <c r="J7098" i="1"/>
  <c r="L7098" i="1"/>
  <c r="M7098" i="1"/>
  <c r="C7099" i="1"/>
  <c r="E7099" i="1"/>
  <c r="F7099" i="1"/>
  <c r="H7099" i="1"/>
  <c r="I7099" i="1"/>
  <c r="J7099" i="1"/>
  <c r="L7099" i="1"/>
  <c r="M7099" i="1"/>
  <c r="C7100" i="1"/>
  <c r="E7100" i="1"/>
  <c r="F7100" i="1"/>
  <c r="H7100" i="1"/>
  <c r="I7100" i="1"/>
  <c r="J7100" i="1"/>
  <c r="L7100" i="1"/>
  <c r="M7100" i="1"/>
  <c r="C7101" i="1"/>
  <c r="E7101" i="1"/>
  <c r="F7101" i="1"/>
  <c r="H7101" i="1"/>
  <c r="I7101" i="1"/>
  <c r="J7101" i="1"/>
  <c r="L7101" i="1"/>
  <c r="M7101" i="1"/>
  <c r="C7102" i="1"/>
  <c r="E7102" i="1"/>
  <c r="F7102" i="1"/>
  <c r="H7102" i="1"/>
  <c r="I7102" i="1"/>
  <c r="J7102" i="1"/>
  <c r="L7102" i="1"/>
  <c r="M7102" i="1"/>
  <c r="C7103" i="1"/>
  <c r="E7103" i="1"/>
  <c r="F7103" i="1"/>
  <c r="H7103" i="1"/>
  <c r="I7103" i="1"/>
  <c r="J7103" i="1"/>
  <c r="L7103" i="1"/>
  <c r="M7103" i="1"/>
  <c r="C7104" i="1"/>
  <c r="E7104" i="1"/>
  <c r="F7104" i="1"/>
  <c r="H7104" i="1"/>
  <c r="I7104" i="1"/>
  <c r="J7104" i="1"/>
  <c r="L7104" i="1"/>
  <c r="M7104" i="1"/>
  <c r="C7105" i="1"/>
  <c r="E7105" i="1"/>
  <c r="F7105" i="1"/>
  <c r="H7105" i="1"/>
  <c r="I7105" i="1"/>
  <c r="J7105" i="1"/>
  <c r="L7105" i="1"/>
  <c r="M7105" i="1"/>
  <c r="C7106" i="1"/>
  <c r="E7106" i="1"/>
  <c r="F7106" i="1"/>
  <c r="H7106" i="1"/>
  <c r="I7106" i="1"/>
  <c r="J7106" i="1"/>
  <c r="L7106" i="1"/>
  <c r="M7106" i="1"/>
  <c r="C7107" i="1"/>
  <c r="E7107" i="1"/>
  <c r="F7107" i="1"/>
  <c r="H7107" i="1"/>
  <c r="I7107" i="1"/>
  <c r="J7107" i="1"/>
  <c r="L7107" i="1"/>
  <c r="M7107" i="1"/>
  <c r="C7108" i="1"/>
  <c r="E7108" i="1"/>
  <c r="F7108" i="1"/>
  <c r="H7108" i="1"/>
  <c r="I7108" i="1"/>
  <c r="J7108" i="1"/>
  <c r="L7108" i="1"/>
  <c r="M7108" i="1"/>
  <c r="C7109" i="1"/>
  <c r="E7109" i="1"/>
  <c r="F7109" i="1"/>
  <c r="H7109" i="1"/>
  <c r="I7109" i="1"/>
  <c r="J7109" i="1"/>
  <c r="L7109" i="1"/>
  <c r="M7109" i="1"/>
  <c r="C7110" i="1"/>
  <c r="E7110" i="1"/>
  <c r="F7110" i="1"/>
  <c r="H7110" i="1"/>
  <c r="I7110" i="1"/>
  <c r="J7110" i="1"/>
  <c r="L7110" i="1"/>
  <c r="M7110" i="1"/>
  <c r="C7111" i="1"/>
  <c r="E7111" i="1"/>
  <c r="F7111" i="1"/>
  <c r="H7111" i="1"/>
  <c r="I7111" i="1"/>
  <c r="J7111" i="1"/>
  <c r="L7111" i="1"/>
  <c r="M7111" i="1"/>
  <c r="C7112" i="1"/>
  <c r="E7112" i="1"/>
  <c r="F7112" i="1"/>
  <c r="H7112" i="1"/>
  <c r="I7112" i="1"/>
  <c r="J7112" i="1"/>
  <c r="L7112" i="1"/>
  <c r="M7112" i="1"/>
  <c r="C7113" i="1"/>
  <c r="E7113" i="1"/>
  <c r="F7113" i="1"/>
  <c r="H7113" i="1"/>
  <c r="I7113" i="1"/>
  <c r="J7113" i="1"/>
  <c r="L7113" i="1"/>
  <c r="M7113" i="1"/>
  <c r="C7114" i="1"/>
  <c r="E7114" i="1"/>
  <c r="F7114" i="1"/>
  <c r="H7114" i="1"/>
  <c r="I7114" i="1"/>
  <c r="J7114" i="1"/>
  <c r="L7114" i="1"/>
  <c r="M7114" i="1"/>
  <c r="C7115" i="1"/>
  <c r="E7115" i="1"/>
  <c r="F7115" i="1"/>
  <c r="H7115" i="1"/>
  <c r="I7115" i="1"/>
  <c r="J7115" i="1"/>
  <c r="L7115" i="1"/>
  <c r="M7115" i="1"/>
  <c r="C7116" i="1"/>
  <c r="E7116" i="1"/>
  <c r="F7116" i="1"/>
  <c r="H7116" i="1"/>
  <c r="I7116" i="1"/>
  <c r="J7116" i="1"/>
  <c r="L7116" i="1"/>
  <c r="M7116" i="1"/>
  <c r="C7117" i="1"/>
  <c r="E7117" i="1"/>
  <c r="F7117" i="1"/>
  <c r="H7117" i="1"/>
  <c r="I7117" i="1"/>
  <c r="J7117" i="1"/>
  <c r="L7117" i="1"/>
  <c r="M7117" i="1"/>
  <c r="C7118" i="1"/>
  <c r="E7118" i="1"/>
  <c r="F7118" i="1"/>
  <c r="H7118" i="1"/>
  <c r="I7118" i="1"/>
  <c r="J7118" i="1"/>
  <c r="L7118" i="1"/>
  <c r="M7118" i="1"/>
  <c r="C7119" i="1"/>
  <c r="E7119" i="1"/>
  <c r="F7119" i="1"/>
  <c r="H7119" i="1"/>
  <c r="I7119" i="1"/>
  <c r="J7119" i="1"/>
  <c r="L7119" i="1"/>
  <c r="M7119" i="1"/>
  <c r="C7120" i="1"/>
  <c r="E7120" i="1"/>
  <c r="F7120" i="1"/>
  <c r="H7120" i="1"/>
  <c r="I7120" i="1"/>
  <c r="J7120" i="1"/>
  <c r="L7120" i="1"/>
  <c r="M7120" i="1"/>
  <c r="C7121" i="1"/>
  <c r="E7121" i="1"/>
  <c r="F7121" i="1"/>
  <c r="H7121" i="1"/>
  <c r="I7121" i="1"/>
  <c r="J7121" i="1"/>
  <c r="L7121" i="1"/>
  <c r="M7121" i="1"/>
  <c r="C7122" i="1"/>
  <c r="E7122" i="1"/>
  <c r="F7122" i="1"/>
  <c r="H7122" i="1"/>
  <c r="I7122" i="1"/>
  <c r="J7122" i="1"/>
  <c r="L7122" i="1"/>
  <c r="M7122" i="1"/>
  <c r="C7123" i="1"/>
  <c r="E7123" i="1"/>
  <c r="F7123" i="1"/>
  <c r="H7123" i="1"/>
  <c r="I7123" i="1"/>
  <c r="J7123" i="1"/>
  <c r="L7123" i="1"/>
  <c r="M7123" i="1"/>
  <c r="C7124" i="1"/>
  <c r="E7124" i="1"/>
  <c r="F7124" i="1"/>
  <c r="H7124" i="1"/>
  <c r="I7124" i="1"/>
  <c r="J7124" i="1"/>
  <c r="L7124" i="1"/>
  <c r="M7124" i="1"/>
  <c r="C7125" i="1"/>
  <c r="E7125" i="1"/>
  <c r="F7125" i="1"/>
  <c r="H7125" i="1"/>
  <c r="I7125" i="1"/>
  <c r="J7125" i="1"/>
  <c r="L7125" i="1"/>
  <c r="M7125" i="1"/>
  <c r="C7126" i="1"/>
  <c r="E7126" i="1"/>
  <c r="F7126" i="1"/>
  <c r="H7126" i="1"/>
  <c r="I7126" i="1"/>
  <c r="J7126" i="1"/>
  <c r="L7126" i="1"/>
  <c r="M7126" i="1"/>
  <c r="C7127" i="1"/>
  <c r="E7127" i="1"/>
  <c r="F7127" i="1"/>
  <c r="H7127" i="1"/>
  <c r="I7127" i="1"/>
  <c r="J7127" i="1"/>
  <c r="L7127" i="1"/>
  <c r="M7127" i="1"/>
  <c r="C7128" i="1"/>
  <c r="E7128" i="1"/>
  <c r="F7128" i="1"/>
  <c r="H7128" i="1"/>
  <c r="I7128" i="1"/>
  <c r="J7128" i="1"/>
  <c r="L7128" i="1"/>
  <c r="M7128" i="1"/>
  <c r="C7129" i="1"/>
  <c r="E7129" i="1"/>
  <c r="F7129" i="1"/>
  <c r="H7129" i="1"/>
  <c r="I7129" i="1"/>
  <c r="J7129" i="1"/>
  <c r="L7129" i="1"/>
  <c r="M7129" i="1"/>
  <c r="C7130" i="1"/>
  <c r="E7130" i="1"/>
  <c r="F7130" i="1"/>
  <c r="H7130" i="1"/>
  <c r="I7130" i="1"/>
  <c r="J7130" i="1"/>
  <c r="L7130" i="1"/>
  <c r="M7130" i="1"/>
  <c r="C7131" i="1"/>
  <c r="E7131" i="1"/>
  <c r="F7131" i="1"/>
  <c r="H7131" i="1"/>
  <c r="I7131" i="1"/>
  <c r="J7131" i="1"/>
  <c r="L7131" i="1"/>
  <c r="M7131" i="1"/>
  <c r="C7132" i="1"/>
  <c r="E7132" i="1"/>
  <c r="F7132" i="1"/>
  <c r="H7132" i="1"/>
  <c r="I7132" i="1"/>
  <c r="J7132" i="1"/>
  <c r="L7132" i="1"/>
  <c r="M7132" i="1"/>
  <c r="C7133" i="1"/>
  <c r="E7133" i="1"/>
  <c r="F7133" i="1"/>
  <c r="H7133" i="1"/>
  <c r="I7133" i="1"/>
  <c r="J7133" i="1"/>
  <c r="L7133" i="1"/>
  <c r="M7133" i="1"/>
  <c r="C7134" i="1"/>
  <c r="E7134" i="1"/>
  <c r="F7134" i="1"/>
  <c r="H7134" i="1"/>
  <c r="I7134" i="1"/>
  <c r="J7134" i="1"/>
  <c r="L7134" i="1"/>
  <c r="M7134" i="1"/>
  <c r="C7135" i="1"/>
  <c r="E7135" i="1"/>
  <c r="F7135" i="1"/>
  <c r="H7135" i="1"/>
  <c r="I7135" i="1"/>
  <c r="J7135" i="1"/>
  <c r="L7135" i="1"/>
  <c r="M7135" i="1"/>
  <c r="C7136" i="1"/>
  <c r="E7136" i="1"/>
  <c r="F7136" i="1"/>
  <c r="H7136" i="1"/>
  <c r="I7136" i="1"/>
  <c r="J7136" i="1"/>
  <c r="L7136" i="1"/>
  <c r="M7136" i="1"/>
  <c r="C7137" i="1"/>
  <c r="E7137" i="1"/>
  <c r="F7137" i="1"/>
  <c r="H7137" i="1"/>
  <c r="I7137" i="1"/>
  <c r="J7137" i="1"/>
  <c r="L7137" i="1"/>
  <c r="M7137" i="1"/>
  <c r="C7138" i="1"/>
  <c r="E7138" i="1"/>
  <c r="F7138" i="1"/>
  <c r="H7138" i="1"/>
  <c r="I7138" i="1"/>
  <c r="J7138" i="1"/>
  <c r="L7138" i="1"/>
  <c r="M7138" i="1"/>
  <c r="C7139" i="1"/>
  <c r="E7139" i="1"/>
  <c r="F7139" i="1"/>
  <c r="H7139" i="1"/>
  <c r="I7139" i="1"/>
  <c r="J7139" i="1"/>
  <c r="L7139" i="1"/>
  <c r="M7139" i="1"/>
  <c r="C7140" i="1"/>
  <c r="E7140" i="1"/>
  <c r="F7140" i="1"/>
  <c r="H7140" i="1"/>
  <c r="I7140" i="1"/>
  <c r="J7140" i="1"/>
  <c r="L7140" i="1"/>
  <c r="M7140" i="1"/>
  <c r="C7141" i="1"/>
  <c r="E7141" i="1"/>
  <c r="F7141" i="1"/>
  <c r="H7141" i="1"/>
  <c r="I7141" i="1"/>
  <c r="J7141" i="1"/>
  <c r="L7141" i="1"/>
  <c r="M7141" i="1"/>
  <c r="C7142" i="1"/>
  <c r="E7142" i="1"/>
  <c r="F7142" i="1"/>
  <c r="H7142" i="1"/>
  <c r="I7142" i="1"/>
  <c r="J7142" i="1"/>
  <c r="L7142" i="1"/>
  <c r="M7142" i="1"/>
  <c r="C7143" i="1"/>
  <c r="E7143" i="1"/>
  <c r="F7143" i="1"/>
  <c r="H7143" i="1"/>
  <c r="I7143" i="1"/>
  <c r="J7143" i="1"/>
  <c r="L7143" i="1"/>
  <c r="M7143" i="1"/>
  <c r="C7144" i="1"/>
  <c r="E7144" i="1"/>
  <c r="F7144" i="1"/>
  <c r="H7144" i="1"/>
  <c r="I7144" i="1"/>
  <c r="J7144" i="1"/>
  <c r="L7144" i="1"/>
  <c r="M7144" i="1"/>
  <c r="C7145" i="1"/>
  <c r="E7145" i="1"/>
  <c r="F7145" i="1"/>
  <c r="H7145" i="1"/>
  <c r="I7145" i="1"/>
  <c r="J7145" i="1"/>
  <c r="L7145" i="1"/>
  <c r="M7145" i="1"/>
  <c r="C7146" i="1"/>
  <c r="E7146" i="1"/>
  <c r="F7146" i="1"/>
  <c r="H7146" i="1"/>
  <c r="I7146" i="1"/>
  <c r="J7146" i="1"/>
  <c r="L7146" i="1"/>
  <c r="M7146" i="1"/>
  <c r="C7147" i="1"/>
  <c r="E7147" i="1"/>
  <c r="F7147" i="1"/>
  <c r="H7147" i="1"/>
  <c r="I7147" i="1"/>
  <c r="J7147" i="1"/>
  <c r="L7147" i="1"/>
  <c r="M7147" i="1"/>
  <c r="C7148" i="1"/>
  <c r="E7148" i="1"/>
  <c r="F7148" i="1"/>
  <c r="H7148" i="1"/>
  <c r="I7148" i="1"/>
  <c r="J7148" i="1"/>
  <c r="L7148" i="1"/>
  <c r="M7148" i="1"/>
  <c r="C7149" i="1"/>
  <c r="E7149" i="1"/>
  <c r="F7149" i="1"/>
  <c r="H7149" i="1"/>
  <c r="I7149" i="1"/>
  <c r="J7149" i="1"/>
  <c r="L7149" i="1"/>
  <c r="M7149" i="1"/>
  <c r="C7150" i="1"/>
  <c r="E7150" i="1"/>
  <c r="F7150" i="1"/>
  <c r="H7150" i="1"/>
  <c r="I7150" i="1"/>
  <c r="J7150" i="1"/>
  <c r="L7150" i="1"/>
  <c r="M7150" i="1"/>
  <c r="C7151" i="1"/>
  <c r="E7151" i="1"/>
  <c r="F7151" i="1"/>
  <c r="H7151" i="1"/>
  <c r="I7151" i="1"/>
  <c r="J7151" i="1"/>
  <c r="L7151" i="1"/>
  <c r="M7151" i="1"/>
  <c r="C7152" i="1"/>
  <c r="E7152" i="1"/>
  <c r="F7152" i="1"/>
  <c r="H7152" i="1"/>
  <c r="I7152" i="1"/>
  <c r="J7152" i="1"/>
  <c r="L7152" i="1"/>
  <c r="M7152" i="1"/>
  <c r="C7153" i="1"/>
  <c r="E7153" i="1"/>
  <c r="F7153" i="1"/>
  <c r="H7153" i="1"/>
  <c r="I7153" i="1"/>
  <c r="J7153" i="1"/>
  <c r="L7153" i="1"/>
  <c r="M7153" i="1"/>
  <c r="C7154" i="1"/>
  <c r="E7154" i="1"/>
  <c r="F7154" i="1"/>
  <c r="H7154" i="1"/>
  <c r="I7154" i="1"/>
  <c r="J7154" i="1"/>
  <c r="L7154" i="1"/>
  <c r="M7154" i="1"/>
  <c r="C7155" i="1"/>
  <c r="E7155" i="1"/>
  <c r="F7155" i="1"/>
  <c r="H7155" i="1"/>
  <c r="I7155" i="1"/>
  <c r="J7155" i="1"/>
  <c r="L7155" i="1"/>
  <c r="M7155" i="1"/>
  <c r="C7156" i="1"/>
  <c r="E7156" i="1"/>
  <c r="F7156" i="1"/>
  <c r="H7156" i="1"/>
  <c r="I7156" i="1"/>
  <c r="J7156" i="1"/>
  <c r="L7156" i="1"/>
  <c r="M7156" i="1"/>
  <c r="C7157" i="1"/>
  <c r="E7157" i="1"/>
  <c r="F7157" i="1"/>
  <c r="H7157" i="1"/>
  <c r="I7157" i="1"/>
  <c r="J7157" i="1"/>
  <c r="L7157" i="1"/>
  <c r="M7157" i="1"/>
  <c r="C7158" i="1"/>
  <c r="E7158" i="1"/>
  <c r="F7158" i="1"/>
  <c r="H7158" i="1"/>
  <c r="I7158" i="1"/>
  <c r="J7158" i="1"/>
  <c r="L7158" i="1"/>
  <c r="M7158" i="1"/>
  <c r="C7159" i="1"/>
  <c r="E7159" i="1"/>
  <c r="F7159" i="1"/>
  <c r="H7159" i="1"/>
  <c r="I7159" i="1"/>
  <c r="J7159" i="1"/>
  <c r="L7159" i="1"/>
  <c r="M7159" i="1"/>
  <c r="C7160" i="1"/>
  <c r="E7160" i="1"/>
  <c r="F7160" i="1"/>
  <c r="H7160" i="1"/>
  <c r="I7160" i="1"/>
  <c r="J7160" i="1"/>
  <c r="L7160" i="1"/>
  <c r="M7160" i="1"/>
  <c r="C7161" i="1"/>
  <c r="E7161" i="1"/>
  <c r="F7161" i="1"/>
  <c r="H7161" i="1"/>
  <c r="I7161" i="1"/>
  <c r="J7161" i="1"/>
  <c r="L7161" i="1"/>
  <c r="M7161" i="1"/>
  <c r="C7162" i="1"/>
  <c r="E7162" i="1"/>
  <c r="F7162" i="1"/>
  <c r="H7162" i="1"/>
  <c r="I7162" i="1"/>
  <c r="J7162" i="1"/>
  <c r="L7162" i="1"/>
  <c r="M7162" i="1"/>
  <c r="C7163" i="1"/>
  <c r="E7163" i="1"/>
  <c r="F7163" i="1"/>
  <c r="H7163" i="1"/>
  <c r="I7163" i="1"/>
  <c r="J7163" i="1"/>
  <c r="L7163" i="1"/>
  <c r="M7163" i="1"/>
  <c r="C7164" i="1"/>
  <c r="E7164" i="1"/>
  <c r="F7164" i="1"/>
  <c r="H7164" i="1"/>
  <c r="I7164" i="1"/>
  <c r="J7164" i="1"/>
  <c r="L7164" i="1"/>
  <c r="M7164" i="1"/>
  <c r="C7165" i="1"/>
  <c r="E7165" i="1"/>
  <c r="F7165" i="1"/>
  <c r="H7165" i="1"/>
  <c r="I7165" i="1"/>
  <c r="J7165" i="1"/>
  <c r="L7165" i="1"/>
  <c r="M7165" i="1"/>
  <c r="C7166" i="1"/>
  <c r="E7166" i="1"/>
  <c r="F7166" i="1"/>
  <c r="H7166" i="1"/>
  <c r="I7166" i="1"/>
  <c r="J7166" i="1"/>
  <c r="L7166" i="1"/>
  <c r="M7166" i="1"/>
  <c r="C7167" i="1"/>
  <c r="E7167" i="1"/>
  <c r="F7167" i="1"/>
  <c r="H7167" i="1"/>
  <c r="I7167" i="1"/>
  <c r="J7167" i="1"/>
  <c r="L7167" i="1"/>
  <c r="M7167" i="1"/>
  <c r="C7168" i="1"/>
  <c r="E7168" i="1"/>
  <c r="F7168" i="1"/>
  <c r="H7168" i="1"/>
  <c r="I7168" i="1"/>
  <c r="J7168" i="1"/>
  <c r="L7168" i="1"/>
  <c r="M7168" i="1"/>
  <c r="C7169" i="1"/>
  <c r="E7169" i="1"/>
  <c r="F7169" i="1"/>
  <c r="H7169" i="1"/>
  <c r="I7169" i="1"/>
  <c r="J7169" i="1"/>
  <c r="L7169" i="1"/>
  <c r="M7169" i="1"/>
  <c r="C7170" i="1"/>
  <c r="E7170" i="1"/>
  <c r="F7170" i="1"/>
  <c r="H7170" i="1"/>
  <c r="I7170" i="1"/>
  <c r="J7170" i="1"/>
  <c r="L7170" i="1"/>
  <c r="M7170" i="1"/>
  <c r="C7171" i="1"/>
  <c r="E7171" i="1"/>
  <c r="F7171" i="1"/>
  <c r="H7171" i="1"/>
  <c r="I7171" i="1"/>
  <c r="J7171" i="1"/>
  <c r="L7171" i="1"/>
  <c r="M7171" i="1"/>
  <c r="C7172" i="1"/>
  <c r="E7172" i="1"/>
  <c r="F7172" i="1"/>
  <c r="H7172" i="1"/>
  <c r="I7172" i="1"/>
  <c r="J7172" i="1"/>
  <c r="L7172" i="1"/>
  <c r="M7172" i="1"/>
  <c r="C7173" i="1"/>
  <c r="E7173" i="1"/>
  <c r="F7173" i="1"/>
  <c r="H7173" i="1"/>
  <c r="I7173" i="1"/>
  <c r="J7173" i="1"/>
  <c r="L7173" i="1"/>
  <c r="M7173" i="1"/>
  <c r="C7174" i="1"/>
  <c r="E7174" i="1"/>
  <c r="F7174" i="1"/>
  <c r="H7174" i="1"/>
  <c r="I7174" i="1"/>
  <c r="J7174" i="1"/>
  <c r="L7174" i="1"/>
  <c r="M7174" i="1"/>
  <c r="C7175" i="1"/>
  <c r="E7175" i="1"/>
  <c r="F7175" i="1"/>
  <c r="H7175" i="1"/>
  <c r="I7175" i="1"/>
  <c r="J7175" i="1"/>
  <c r="L7175" i="1"/>
  <c r="M7175" i="1"/>
  <c r="C7176" i="1"/>
  <c r="E7176" i="1"/>
  <c r="F7176" i="1"/>
  <c r="H7176" i="1"/>
  <c r="I7176" i="1"/>
  <c r="J7176" i="1"/>
  <c r="L7176" i="1"/>
  <c r="M7176" i="1"/>
  <c r="C7177" i="1"/>
  <c r="E7177" i="1"/>
  <c r="F7177" i="1"/>
  <c r="H7177" i="1"/>
  <c r="I7177" i="1"/>
  <c r="J7177" i="1"/>
  <c r="L7177" i="1"/>
  <c r="M7177" i="1"/>
  <c r="C7178" i="1"/>
  <c r="E7178" i="1"/>
  <c r="F7178" i="1"/>
  <c r="H7178" i="1"/>
  <c r="I7178" i="1"/>
  <c r="J7178" i="1"/>
  <c r="L7178" i="1"/>
  <c r="M7178" i="1"/>
  <c r="C7179" i="1"/>
  <c r="E7179" i="1"/>
  <c r="F7179" i="1"/>
  <c r="H7179" i="1"/>
  <c r="I7179" i="1"/>
  <c r="J7179" i="1"/>
  <c r="L7179" i="1"/>
  <c r="M7179" i="1"/>
  <c r="C7180" i="1"/>
  <c r="E7180" i="1"/>
  <c r="F7180" i="1"/>
  <c r="H7180" i="1"/>
  <c r="I7180" i="1"/>
  <c r="J7180" i="1"/>
  <c r="L7180" i="1"/>
  <c r="M7180" i="1"/>
  <c r="C7181" i="1"/>
  <c r="E7181" i="1"/>
  <c r="F7181" i="1"/>
  <c r="H7181" i="1"/>
  <c r="I7181" i="1"/>
  <c r="J7181" i="1"/>
  <c r="L7181" i="1"/>
  <c r="M7181" i="1"/>
  <c r="C7182" i="1"/>
  <c r="E7182" i="1"/>
  <c r="F7182" i="1"/>
  <c r="H7182" i="1"/>
  <c r="I7182" i="1"/>
  <c r="J7182" i="1"/>
  <c r="L7182" i="1"/>
  <c r="M7182" i="1"/>
  <c r="C7183" i="1"/>
  <c r="E7183" i="1"/>
  <c r="F7183" i="1"/>
  <c r="H7183" i="1"/>
  <c r="I7183" i="1"/>
  <c r="J7183" i="1"/>
  <c r="L7183" i="1"/>
  <c r="M7183" i="1"/>
  <c r="C7184" i="1"/>
  <c r="E7184" i="1"/>
  <c r="F7184" i="1"/>
  <c r="H7184" i="1"/>
  <c r="I7184" i="1"/>
  <c r="J7184" i="1"/>
  <c r="L7184" i="1"/>
  <c r="M7184" i="1"/>
  <c r="C7185" i="1"/>
  <c r="E7185" i="1"/>
  <c r="F7185" i="1"/>
  <c r="H7185" i="1"/>
  <c r="I7185" i="1"/>
  <c r="J7185" i="1"/>
  <c r="L7185" i="1"/>
  <c r="M7185" i="1"/>
  <c r="C7186" i="1"/>
  <c r="E7186" i="1"/>
  <c r="F7186" i="1"/>
  <c r="H7186" i="1"/>
  <c r="I7186" i="1"/>
  <c r="J7186" i="1"/>
  <c r="L7186" i="1"/>
  <c r="M7186" i="1"/>
  <c r="C7187" i="1"/>
  <c r="E7187" i="1"/>
  <c r="F7187" i="1"/>
  <c r="H7187" i="1"/>
  <c r="I7187" i="1"/>
  <c r="J7187" i="1"/>
  <c r="L7187" i="1"/>
  <c r="M7187" i="1"/>
  <c r="C7188" i="1"/>
  <c r="E7188" i="1"/>
  <c r="F7188" i="1"/>
  <c r="H7188" i="1"/>
  <c r="I7188" i="1"/>
  <c r="J7188" i="1"/>
  <c r="L7188" i="1"/>
  <c r="M7188" i="1"/>
  <c r="C7189" i="1"/>
  <c r="E7189" i="1"/>
  <c r="F7189" i="1"/>
  <c r="H7189" i="1"/>
  <c r="I7189" i="1"/>
  <c r="J7189" i="1"/>
  <c r="L7189" i="1"/>
  <c r="M7189" i="1"/>
  <c r="C7190" i="1"/>
  <c r="E7190" i="1"/>
  <c r="F7190" i="1"/>
  <c r="H7190" i="1"/>
  <c r="I7190" i="1"/>
  <c r="J7190" i="1"/>
  <c r="L7190" i="1"/>
  <c r="M7190" i="1"/>
  <c r="C7191" i="1"/>
  <c r="E7191" i="1"/>
  <c r="F7191" i="1"/>
  <c r="H7191" i="1"/>
  <c r="I7191" i="1"/>
  <c r="J7191" i="1"/>
  <c r="L7191" i="1"/>
  <c r="M7191" i="1"/>
  <c r="C7192" i="1"/>
  <c r="E7192" i="1"/>
  <c r="F7192" i="1"/>
  <c r="H7192" i="1"/>
  <c r="I7192" i="1"/>
  <c r="J7192" i="1"/>
  <c r="L7192" i="1"/>
  <c r="M7192" i="1"/>
  <c r="C7193" i="1"/>
  <c r="E7193" i="1"/>
  <c r="F7193" i="1"/>
  <c r="H7193" i="1"/>
  <c r="I7193" i="1"/>
  <c r="J7193" i="1"/>
  <c r="L7193" i="1"/>
  <c r="M7193" i="1"/>
  <c r="C7194" i="1"/>
  <c r="E7194" i="1"/>
  <c r="F7194" i="1"/>
  <c r="H7194" i="1"/>
  <c r="I7194" i="1"/>
  <c r="J7194" i="1"/>
  <c r="L7194" i="1"/>
  <c r="M7194" i="1"/>
  <c r="C7195" i="1"/>
  <c r="E7195" i="1"/>
  <c r="F7195" i="1"/>
  <c r="H7195" i="1"/>
  <c r="I7195" i="1"/>
  <c r="J7195" i="1"/>
  <c r="L7195" i="1"/>
  <c r="M7195" i="1"/>
  <c r="C7196" i="1"/>
  <c r="E7196" i="1"/>
  <c r="F7196" i="1"/>
  <c r="H7196" i="1"/>
  <c r="I7196" i="1"/>
  <c r="J7196" i="1"/>
  <c r="L7196" i="1"/>
  <c r="M7196" i="1"/>
  <c r="C7197" i="1"/>
  <c r="E7197" i="1"/>
  <c r="F7197" i="1"/>
  <c r="H7197" i="1"/>
  <c r="I7197" i="1"/>
  <c r="J7197" i="1"/>
  <c r="L7197" i="1"/>
  <c r="M7197" i="1"/>
  <c r="C7198" i="1"/>
  <c r="E7198" i="1"/>
  <c r="F7198" i="1"/>
  <c r="H7198" i="1"/>
  <c r="I7198" i="1"/>
  <c r="J7198" i="1"/>
  <c r="L7198" i="1"/>
  <c r="M7198" i="1"/>
  <c r="C7199" i="1"/>
  <c r="E7199" i="1"/>
  <c r="F7199" i="1"/>
  <c r="H7199" i="1"/>
  <c r="I7199" i="1"/>
  <c r="J7199" i="1"/>
  <c r="L7199" i="1"/>
  <c r="M7199" i="1"/>
  <c r="C7200" i="1"/>
  <c r="E7200" i="1"/>
  <c r="F7200" i="1"/>
  <c r="H7200" i="1"/>
  <c r="I7200" i="1"/>
  <c r="J7200" i="1"/>
  <c r="L7200" i="1"/>
  <c r="M7200" i="1"/>
  <c r="C7201" i="1"/>
  <c r="E7201" i="1"/>
  <c r="F7201" i="1"/>
  <c r="H7201" i="1"/>
  <c r="I7201" i="1"/>
  <c r="J7201" i="1"/>
  <c r="L7201" i="1"/>
  <c r="M7201" i="1"/>
  <c r="C7202" i="1"/>
  <c r="E7202" i="1"/>
  <c r="F7202" i="1"/>
  <c r="H7202" i="1"/>
  <c r="I7202" i="1"/>
  <c r="J7202" i="1"/>
  <c r="L7202" i="1"/>
  <c r="M7202" i="1"/>
  <c r="C7203" i="1"/>
  <c r="E7203" i="1"/>
  <c r="F7203" i="1"/>
  <c r="H7203" i="1"/>
  <c r="I7203" i="1"/>
  <c r="J7203" i="1"/>
  <c r="L7203" i="1"/>
  <c r="M7203" i="1"/>
  <c r="C7204" i="1"/>
  <c r="E7204" i="1"/>
  <c r="F7204" i="1"/>
  <c r="H7204" i="1"/>
  <c r="I7204" i="1"/>
  <c r="J7204" i="1"/>
  <c r="L7204" i="1"/>
  <c r="M7204" i="1"/>
  <c r="C7205" i="1"/>
  <c r="E7205" i="1"/>
  <c r="F7205" i="1"/>
  <c r="H7205" i="1"/>
  <c r="I7205" i="1"/>
  <c r="J7205" i="1"/>
  <c r="L7205" i="1"/>
  <c r="M7205" i="1"/>
  <c r="C7206" i="1"/>
  <c r="E7206" i="1"/>
  <c r="F7206" i="1"/>
  <c r="H7206" i="1"/>
  <c r="I7206" i="1"/>
  <c r="J7206" i="1"/>
  <c r="L7206" i="1"/>
  <c r="M7206" i="1"/>
  <c r="C7207" i="1"/>
  <c r="E7207" i="1"/>
  <c r="F7207" i="1"/>
  <c r="H7207" i="1"/>
  <c r="I7207" i="1"/>
  <c r="J7207" i="1"/>
  <c r="L7207" i="1"/>
  <c r="M7207" i="1"/>
  <c r="C7208" i="1"/>
  <c r="E7208" i="1"/>
  <c r="F7208" i="1"/>
  <c r="H7208" i="1"/>
  <c r="I7208" i="1"/>
  <c r="J7208" i="1"/>
  <c r="L7208" i="1"/>
  <c r="M7208" i="1"/>
  <c r="C7209" i="1"/>
  <c r="E7209" i="1"/>
  <c r="F7209" i="1"/>
  <c r="H7209" i="1"/>
  <c r="I7209" i="1"/>
  <c r="J7209" i="1"/>
  <c r="L7209" i="1"/>
  <c r="M7209" i="1"/>
  <c r="C7210" i="1"/>
  <c r="E7210" i="1"/>
  <c r="F7210" i="1"/>
  <c r="H7210" i="1"/>
  <c r="I7210" i="1"/>
  <c r="J7210" i="1"/>
  <c r="L7210" i="1"/>
  <c r="M7210" i="1"/>
  <c r="C7211" i="1"/>
  <c r="E7211" i="1"/>
  <c r="F7211" i="1"/>
  <c r="H7211" i="1"/>
  <c r="I7211" i="1"/>
  <c r="J7211" i="1"/>
  <c r="L7211" i="1"/>
  <c r="M7211" i="1"/>
  <c r="C7212" i="1"/>
  <c r="E7212" i="1"/>
  <c r="F7212" i="1"/>
  <c r="H7212" i="1"/>
  <c r="I7212" i="1"/>
  <c r="J7212" i="1"/>
  <c r="L7212" i="1"/>
  <c r="M7212" i="1"/>
  <c r="C7213" i="1"/>
  <c r="E7213" i="1"/>
  <c r="F7213" i="1"/>
  <c r="H7213" i="1"/>
  <c r="I7213" i="1"/>
  <c r="J7213" i="1"/>
  <c r="L7213" i="1"/>
  <c r="M7213" i="1"/>
  <c r="C7214" i="1"/>
  <c r="E7214" i="1"/>
  <c r="F7214" i="1"/>
  <c r="H7214" i="1"/>
  <c r="I7214" i="1"/>
  <c r="J7214" i="1"/>
  <c r="L7214" i="1"/>
  <c r="M7214" i="1"/>
  <c r="C7215" i="1"/>
  <c r="E7215" i="1"/>
  <c r="F7215" i="1"/>
  <c r="H7215" i="1"/>
  <c r="I7215" i="1"/>
  <c r="J7215" i="1"/>
  <c r="L7215" i="1"/>
  <c r="M7215" i="1"/>
  <c r="C7216" i="1"/>
  <c r="E7216" i="1"/>
  <c r="F7216" i="1"/>
  <c r="H7216" i="1"/>
  <c r="I7216" i="1"/>
  <c r="J7216" i="1"/>
  <c r="L7216" i="1"/>
  <c r="M7216" i="1"/>
  <c r="C7217" i="1"/>
  <c r="E7217" i="1"/>
  <c r="F7217" i="1"/>
  <c r="H7217" i="1"/>
  <c r="I7217" i="1"/>
  <c r="J7217" i="1"/>
  <c r="L7217" i="1"/>
  <c r="M7217" i="1"/>
  <c r="C7218" i="1"/>
  <c r="E7218" i="1"/>
  <c r="F7218" i="1"/>
  <c r="H7218" i="1"/>
  <c r="I7218" i="1"/>
  <c r="J7218" i="1"/>
  <c r="L7218" i="1"/>
  <c r="M7218" i="1"/>
  <c r="C7219" i="1"/>
  <c r="E7219" i="1"/>
  <c r="F7219" i="1"/>
  <c r="H7219" i="1"/>
  <c r="I7219" i="1"/>
  <c r="J7219" i="1"/>
  <c r="L7219" i="1"/>
  <c r="M7219" i="1"/>
  <c r="C7220" i="1"/>
  <c r="E7220" i="1"/>
  <c r="F7220" i="1"/>
  <c r="H7220" i="1"/>
  <c r="I7220" i="1"/>
  <c r="J7220" i="1"/>
  <c r="L7220" i="1"/>
  <c r="M7220" i="1"/>
  <c r="C7221" i="1"/>
  <c r="E7221" i="1"/>
  <c r="F7221" i="1"/>
  <c r="H7221" i="1"/>
  <c r="I7221" i="1"/>
  <c r="J7221" i="1"/>
  <c r="L7221" i="1"/>
  <c r="M7221" i="1"/>
  <c r="C7222" i="1"/>
  <c r="E7222" i="1"/>
  <c r="F7222" i="1"/>
  <c r="H7222" i="1"/>
  <c r="I7222" i="1"/>
  <c r="J7222" i="1"/>
  <c r="L7222" i="1"/>
  <c r="M7222" i="1"/>
  <c r="C7223" i="1"/>
  <c r="E7223" i="1"/>
  <c r="F7223" i="1"/>
  <c r="H7223" i="1"/>
  <c r="I7223" i="1"/>
  <c r="J7223" i="1"/>
  <c r="L7223" i="1"/>
  <c r="M7223" i="1"/>
  <c r="C7224" i="1"/>
  <c r="E7224" i="1"/>
  <c r="F7224" i="1"/>
  <c r="H7224" i="1"/>
  <c r="I7224" i="1"/>
  <c r="J7224" i="1"/>
  <c r="L7224" i="1"/>
  <c r="M7224" i="1"/>
  <c r="C7225" i="1"/>
  <c r="E7225" i="1"/>
  <c r="F7225" i="1"/>
  <c r="H7225" i="1"/>
  <c r="I7225" i="1"/>
  <c r="J7225" i="1"/>
  <c r="L7225" i="1"/>
  <c r="M7225" i="1"/>
  <c r="C7226" i="1"/>
  <c r="E7226" i="1"/>
  <c r="F7226" i="1"/>
  <c r="H7226" i="1"/>
  <c r="I7226" i="1"/>
  <c r="J7226" i="1"/>
  <c r="L7226" i="1"/>
  <c r="M7226" i="1"/>
  <c r="C7227" i="1"/>
  <c r="E7227" i="1"/>
  <c r="F7227" i="1"/>
  <c r="H7227" i="1"/>
  <c r="I7227" i="1"/>
  <c r="J7227" i="1"/>
  <c r="L7227" i="1"/>
  <c r="M7227" i="1"/>
  <c r="C7228" i="1"/>
  <c r="E7228" i="1"/>
  <c r="F7228" i="1"/>
  <c r="H7228" i="1"/>
  <c r="I7228" i="1"/>
  <c r="J7228" i="1"/>
  <c r="L7228" i="1"/>
  <c r="M7228" i="1"/>
  <c r="C7229" i="1"/>
  <c r="E7229" i="1"/>
  <c r="F7229" i="1"/>
  <c r="H7229" i="1"/>
  <c r="I7229" i="1"/>
  <c r="J7229" i="1"/>
  <c r="L7229" i="1"/>
  <c r="M7229" i="1"/>
  <c r="C7230" i="1"/>
  <c r="E7230" i="1"/>
  <c r="F7230" i="1"/>
  <c r="H7230" i="1"/>
  <c r="I7230" i="1"/>
  <c r="J7230" i="1"/>
  <c r="L7230" i="1"/>
  <c r="M7230" i="1"/>
  <c r="C7231" i="1"/>
  <c r="E7231" i="1"/>
  <c r="F7231" i="1"/>
  <c r="H7231" i="1"/>
  <c r="I7231" i="1"/>
  <c r="J7231" i="1"/>
  <c r="L7231" i="1"/>
  <c r="M7231" i="1"/>
  <c r="C7232" i="1"/>
  <c r="E7232" i="1"/>
  <c r="F7232" i="1"/>
  <c r="H7232" i="1"/>
  <c r="I7232" i="1"/>
  <c r="J7232" i="1"/>
  <c r="L7232" i="1"/>
  <c r="M7232" i="1"/>
  <c r="C7233" i="1"/>
  <c r="E7233" i="1"/>
  <c r="F7233" i="1"/>
  <c r="H7233" i="1"/>
  <c r="I7233" i="1"/>
  <c r="J7233" i="1"/>
  <c r="L7233" i="1"/>
  <c r="M7233" i="1"/>
  <c r="C7234" i="1"/>
  <c r="E7234" i="1"/>
  <c r="F7234" i="1"/>
  <c r="H7234" i="1"/>
  <c r="I7234" i="1"/>
  <c r="J7234" i="1"/>
  <c r="L7234" i="1"/>
  <c r="M7234" i="1"/>
  <c r="C7235" i="1"/>
  <c r="E7235" i="1"/>
  <c r="F7235" i="1"/>
  <c r="H7235" i="1"/>
  <c r="I7235" i="1"/>
  <c r="J7235" i="1"/>
  <c r="L7235" i="1"/>
  <c r="M7235" i="1"/>
  <c r="C7236" i="1"/>
  <c r="E7236" i="1"/>
  <c r="F7236" i="1"/>
  <c r="H7236" i="1"/>
  <c r="I7236" i="1"/>
  <c r="J7236" i="1"/>
  <c r="L7236" i="1"/>
  <c r="M7236" i="1"/>
  <c r="C7237" i="1"/>
  <c r="E7237" i="1"/>
  <c r="F7237" i="1"/>
  <c r="H7237" i="1"/>
  <c r="I7237" i="1"/>
  <c r="J7237" i="1"/>
  <c r="L7237" i="1"/>
  <c r="M7237" i="1"/>
  <c r="C7238" i="1"/>
  <c r="E7238" i="1"/>
  <c r="F7238" i="1"/>
  <c r="H7238" i="1"/>
  <c r="I7238" i="1"/>
  <c r="J7238" i="1"/>
  <c r="L7238" i="1"/>
  <c r="M7238" i="1"/>
  <c r="C7239" i="1"/>
  <c r="E7239" i="1"/>
  <c r="F7239" i="1"/>
  <c r="H7239" i="1"/>
  <c r="I7239" i="1"/>
  <c r="J7239" i="1"/>
  <c r="L7239" i="1"/>
  <c r="M7239" i="1"/>
  <c r="C7240" i="1"/>
  <c r="E7240" i="1"/>
  <c r="F7240" i="1"/>
  <c r="H7240" i="1"/>
  <c r="I7240" i="1"/>
  <c r="J7240" i="1"/>
  <c r="L7240" i="1"/>
  <c r="M7240" i="1"/>
  <c r="C7241" i="1"/>
  <c r="E7241" i="1"/>
  <c r="F7241" i="1"/>
  <c r="H7241" i="1"/>
  <c r="I7241" i="1"/>
  <c r="J7241" i="1"/>
  <c r="L7241" i="1"/>
  <c r="M7241" i="1"/>
  <c r="C7242" i="1"/>
  <c r="E7242" i="1"/>
  <c r="F7242" i="1"/>
  <c r="H7242" i="1"/>
  <c r="I7242" i="1"/>
  <c r="J7242" i="1"/>
  <c r="L7242" i="1"/>
  <c r="M7242" i="1"/>
  <c r="C7243" i="1"/>
  <c r="E7243" i="1"/>
  <c r="F7243" i="1"/>
  <c r="H7243" i="1"/>
  <c r="I7243" i="1"/>
  <c r="J7243" i="1"/>
  <c r="L7243" i="1"/>
  <c r="M7243" i="1"/>
  <c r="C7244" i="1"/>
  <c r="E7244" i="1"/>
  <c r="F7244" i="1"/>
  <c r="H7244" i="1"/>
  <c r="I7244" i="1"/>
  <c r="J7244" i="1"/>
  <c r="L7244" i="1"/>
  <c r="M7244" i="1"/>
  <c r="C7245" i="1"/>
  <c r="E7245" i="1"/>
  <c r="F7245" i="1"/>
  <c r="H7245" i="1"/>
  <c r="I7245" i="1"/>
  <c r="J7245" i="1"/>
  <c r="L7245" i="1"/>
  <c r="M7245" i="1"/>
  <c r="C7246" i="1"/>
  <c r="E7246" i="1"/>
  <c r="F7246" i="1"/>
  <c r="H7246" i="1"/>
  <c r="I7246" i="1"/>
  <c r="J7246" i="1"/>
  <c r="L7246" i="1"/>
  <c r="M7246" i="1"/>
  <c r="C7247" i="1"/>
  <c r="E7247" i="1"/>
  <c r="F7247" i="1"/>
  <c r="H7247" i="1"/>
  <c r="I7247" i="1"/>
  <c r="J7247" i="1"/>
  <c r="L7247" i="1"/>
  <c r="M7247" i="1"/>
  <c r="C7248" i="1"/>
  <c r="E7248" i="1"/>
  <c r="F7248" i="1"/>
  <c r="H7248" i="1"/>
  <c r="I7248" i="1"/>
  <c r="J7248" i="1"/>
  <c r="L7248" i="1"/>
  <c r="M7248" i="1"/>
  <c r="C7249" i="1"/>
  <c r="E7249" i="1"/>
  <c r="F7249" i="1"/>
  <c r="H7249" i="1"/>
  <c r="I7249" i="1"/>
  <c r="J7249" i="1"/>
  <c r="L7249" i="1"/>
  <c r="M7249" i="1"/>
  <c r="C7250" i="1"/>
  <c r="E7250" i="1"/>
  <c r="F7250" i="1"/>
  <c r="H7250" i="1"/>
  <c r="I7250" i="1"/>
  <c r="J7250" i="1"/>
  <c r="L7250" i="1"/>
  <c r="M7250" i="1"/>
  <c r="C7251" i="1"/>
  <c r="E7251" i="1"/>
  <c r="F7251" i="1"/>
  <c r="H7251" i="1"/>
  <c r="I7251" i="1"/>
  <c r="J7251" i="1"/>
  <c r="L7251" i="1"/>
  <c r="M7251" i="1"/>
  <c r="C7252" i="1"/>
  <c r="E7252" i="1"/>
  <c r="F7252" i="1"/>
  <c r="H7252" i="1"/>
  <c r="I7252" i="1"/>
  <c r="J7252" i="1"/>
  <c r="L7252" i="1"/>
  <c r="M7252" i="1"/>
  <c r="C7253" i="1"/>
  <c r="E7253" i="1"/>
  <c r="F7253" i="1"/>
  <c r="H7253" i="1"/>
  <c r="I7253" i="1"/>
  <c r="J7253" i="1"/>
  <c r="L7253" i="1"/>
  <c r="M7253" i="1"/>
  <c r="C7254" i="1"/>
  <c r="E7254" i="1"/>
  <c r="F7254" i="1"/>
  <c r="H7254" i="1"/>
  <c r="I7254" i="1"/>
  <c r="J7254" i="1"/>
  <c r="L7254" i="1"/>
  <c r="M7254" i="1"/>
  <c r="C7255" i="1"/>
  <c r="E7255" i="1"/>
  <c r="F7255" i="1"/>
  <c r="H7255" i="1"/>
  <c r="I7255" i="1"/>
  <c r="J7255" i="1"/>
  <c r="L7255" i="1"/>
  <c r="M7255" i="1"/>
  <c r="C7256" i="1"/>
  <c r="E7256" i="1"/>
  <c r="F7256" i="1"/>
  <c r="H7256" i="1"/>
  <c r="I7256" i="1"/>
  <c r="J7256" i="1"/>
  <c r="L7256" i="1"/>
  <c r="M7256" i="1"/>
  <c r="C7257" i="1"/>
  <c r="E7257" i="1"/>
  <c r="F7257" i="1"/>
  <c r="H7257" i="1"/>
  <c r="I7257" i="1"/>
  <c r="J7257" i="1"/>
  <c r="L7257" i="1"/>
  <c r="M7257" i="1"/>
  <c r="C7258" i="1"/>
  <c r="E7258" i="1"/>
  <c r="F7258" i="1"/>
  <c r="H7258" i="1"/>
  <c r="I7258" i="1"/>
  <c r="J7258" i="1"/>
  <c r="L7258" i="1"/>
  <c r="M7258" i="1"/>
  <c r="C7259" i="1"/>
  <c r="E7259" i="1"/>
  <c r="F7259" i="1"/>
  <c r="H7259" i="1"/>
  <c r="I7259" i="1"/>
  <c r="J7259" i="1"/>
  <c r="L7259" i="1"/>
  <c r="M7259" i="1"/>
  <c r="C7260" i="1"/>
  <c r="E7260" i="1"/>
  <c r="F7260" i="1"/>
  <c r="H7260" i="1"/>
  <c r="I7260" i="1"/>
  <c r="J7260" i="1"/>
  <c r="L7260" i="1"/>
  <c r="M7260" i="1"/>
  <c r="C7261" i="1"/>
  <c r="E7261" i="1"/>
  <c r="F7261" i="1"/>
  <c r="H7261" i="1"/>
  <c r="I7261" i="1"/>
  <c r="J7261" i="1"/>
  <c r="L7261" i="1"/>
  <c r="M7261" i="1"/>
  <c r="C7262" i="1"/>
  <c r="E7262" i="1"/>
  <c r="F7262" i="1"/>
  <c r="H7262" i="1"/>
  <c r="I7262" i="1"/>
  <c r="J7262" i="1"/>
  <c r="L7262" i="1"/>
  <c r="M7262" i="1"/>
  <c r="C7263" i="1"/>
  <c r="E7263" i="1"/>
  <c r="F7263" i="1"/>
  <c r="H7263" i="1"/>
  <c r="I7263" i="1"/>
  <c r="J7263" i="1"/>
  <c r="L7263" i="1"/>
  <c r="M7263" i="1"/>
  <c r="C7264" i="1"/>
  <c r="E7264" i="1"/>
  <c r="F7264" i="1"/>
  <c r="H7264" i="1"/>
  <c r="I7264" i="1"/>
  <c r="J7264" i="1"/>
  <c r="L7264" i="1"/>
  <c r="M7264" i="1"/>
  <c r="C7265" i="1"/>
  <c r="E7265" i="1"/>
  <c r="F7265" i="1"/>
  <c r="H7265" i="1"/>
  <c r="I7265" i="1"/>
  <c r="J7265" i="1"/>
  <c r="L7265" i="1"/>
  <c r="M7265" i="1"/>
  <c r="C7266" i="1"/>
  <c r="E7266" i="1"/>
  <c r="F7266" i="1"/>
  <c r="H7266" i="1"/>
  <c r="I7266" i="1"/>
  <c r="J7266" i="1"/>
  <c r="L7266" i="1"/>
  <c r="M7266" i="1"/>
  <c r="C7267" i="1"/>
  <c r="E7267" i="1"/>
  <c r="F7267" i="1"/>
  <c r="H7267" i="1"/>
  <c r="I7267" i="1"/>
  <c r="J7267" i="1"/>
  <c r="L7267" i="1"/>
  <c r="M7267" i="1"/>
  <c r="C7268" i="1"/>
  <c r="E7268" i="1"/>
  <c r="F7268" i="1"/>
  <c r="H7268" i="1"/>
  <c r="I7268" i="1"/>
  <c r="J7268" i="1"/>
  <c r="L7268" i="1"/>
  <c r="M7268" i="1"/>
  <c r="C7269" i="1"/>
  <c r="E7269" i="1"/>
  <c r="F7269" i="1"/>
  <c r="H7269" i="1"/>
  <c r="I7269" i="1"/>
  <c r="J7269" i="1"/>
  <c r="L7269" i="1"/>
  <c r="M7269" i="1"/>
  <c r="C7270" i="1"/>
  <c r="E7270" i="1"/>
  <c r="F7270" i="1"/>
  <c r="H7270" i="1"/>
  <c r="I7270" i="1"/>
  <c r="J7270" i="1"/>
  <c r="L7270" i="1"/>
  <c r="M7270" i="1"/>
  <c r="C7271" i="1"/>
  <c r="E7271" i="1"/>
  <c r="F7271" i="1"/>
  <c r="H7271" i="1"/>
  <c r="I7271" i="1"/>
  <c r="J7271" i="1"/>
  <c r="L7271" i="1"/>
  <c r="M7271" i="1"/>
  <c r="C7272" i="1"/>
  <c r="E7272" i="1"/>
  <c r="F7272" i="1"/>
  <c r="H7272" i="1"/>
  <c r="I7272" i="1"/>
  <c r="J7272" i="1"/>
  <c r="L7272" i="1"/>
  <c r="M7272" i="1"/>
  <c r="C7273" i="1"/>
  <c r="E7273" i="1"/>
  <c r="F7273" i="1"/>
  <c r="H7273" i="1"/>
  <c r="I7273" i="1"/>
  <c r="J7273" i="1"/>
  <c r="L7273" i="1"/>
  <c r="M7273" i="1"/>
  <c r="C7274" i="1"/>
  <c r="E7274" i="1"/>
  <c r="F7274" i="1"/>
  <c r="H7274" i="1"/>
  <c r="I7274" i="1"/>
  <c r="J7274" i="1"/>
  <c r="L7274" i="1"/>
  <c r="M7274" i="1"/>
  <c r="C7275" i="1"/>
  <c r="E7275" i="1"/>
  <c r="F7275" i="1"/>
  <c r="H7275" i="1"/>
  <c r="I7275" i="1"/>
  <c r="J7275" i="1"/>
  <c r="L7275" i="1"/>
  <c r="M7275" i="1"/>
  <c r="C7276" i="1"/>
  <c r="E7276" i="1"/>
  <c r="F7276" i="1"/>
  <c r="H7276" i="1"/>
  <c r="I7276" i="1"/>
  <c r="J7276" i="1"/>
  <c r="L7276" i="1"/>
  <c r="M7276" i="1"/>
  <c r="C7277" i="1"/>
  <c r="E7277" i="1"/>
  <c r="F7277" i="1"/>
  <c r="H7277" i="1"/>
  <c r="I7277" i="1"/>
  <c r="J7277" i="1"/>
  <c r="L7277" i="1"/>
  <c r="M7277" i="1"/>
  <c r="C7278" i="1"/>
  <c r="E7278" i="1"/>
  <c r="F7278" i="1"/>
  <c r="H7278" i="1"/>
  <c r="I7278" i="1"/>
  <c r="J7278" i="1"/>
  <c r="L7278" i="1"/>
  <c r="M7278" i="1"/>
  <c r="C7279" i="1"/>
  <c r="E7279" i="1"/>
  <c r="F7279" i="1"/>
  <c r="H7279" i="1"/>
  <c r="I7279" i="1"/>
  <c r="J7279" i="1"/>
  <c r="L7279" i="1"/>
  <c r="M7279" i="1"/>
  <c r="C7280" i="1"/>
  <c r="E7280" i="1"/>
  <c r="F7280" i="1"/>
  <c r="H7280" i="1"/>
  <c r="I7280" i="1"/>
  <c r="J7280" i="1"/>
  <c r="L7280" i="1"/>
  <c r="M7280" i="1"/>
  <c r="C7281" i="1"/>
  <c r="E7281" i="1"/>
  <c r="F7281" i="1"/>
  <c r="H7281" i="1"/>
  <c r="I7281" i="1"/>
  <c r="J7281" i="1"/>
  <c r="L7281" i="1"/>
  <c r="M7281" i="1"/>
  <c r="C7282" i="1"/>
  <c r="E7282" i="1"/>
  <c r="F7282" i="1"/>
  <c r="H7282" i="1"/>
  <c r="I7282" i="1"/>
  <c r="J7282" i="1"/>
  <c r="L7282" i="1"/>
  <c r="M7282" i="1"/>
  <c r="C7283" i="1"/>
  <c r="E7283" i="1"/>
  <c r="F7283" i="1"/>
  <c r="H7283" i="1"/>
  <c r="I7283" i="1"/>
  <c r="J7283" i="1"/>
  <c r="L7283" i="1"/>
  <c r="M7283" i="1"/>
  <c r="C7284" i="1"/>
  <c r="E7284" i="1"/>
  <c r="F7284" i="1"/>
  <c r="H7284" i="1"/>
  <c r="I7284" i="1"/>
  <c r="J7284" i="1"/>
  <c r="L7284" i="1"/>
  <c r="M7284" i="1"/>
  <c r="C7285" i="1"/>
  <c r="E7285" i="1"/>
  <c r="F7285" i="1"/>
  <c r="H7285" i="1"/>
  <c r="I7285" i="1"/>
  <c r="J7285" i="1"/>
  <c r="L7285" i="1"/>
  <c r="M7285" i="1"/>
  <c r="C7286" i="1"/>
  <c r="E7286" i="1"/>
  <c r="F7286" i="1"/>
  <c r="H7286" i="1"/>
  <c r="I7286" i="1"/>
  <c r="J7286" i="1"/>
  <c r="L7286" i="1"/>
  <c r="M7286" i="1"/>
  <c r="C7287" i="1"/>
  <c r="E7287" i="1"/>
  <c r="F7287" i="1"/>
  <c r="H7287" i="1"/>
  <c r="I7287" i="1"/>
  <c r="J7287" i="1"/>
  <c r="L7287" i="1"/>
  <c r="M7287" i="1"/>
  <c r="C7288" i="1"/>
  <c r="E7288" i="1"/>
  <c r="F7288" i="1"/>
  <c r="H7288" i="1"/>
  <c r="I7288" i="1"/>
  <c r="J7288" i="1"/>
  <c r="L7288" i="1"/>
  <c r="M7288" i="1"/>
  <c r="C7289" i="1"/>
  <c r="E7289" i="1"/>
  <c r="F7289" i="1"/>
  <c r="H7289" i="1"/>
  <c r="I7289" i="1"/>
  <c r="J7289" i="1"/>
  <c r="L7289" i="1"/>
  <c r="M7289" i="1"/>
  <c r="C7290" i="1"/>
  <c r="E7290" i="1"/>
  <c r="F7290" i="1"/>
  <c r="H7290" i="1"/>
  <c r="I7290" i="1"/>
  <c r="J7290" i="1"/>
  <c r="L7290" i="1"/>
  <c r="M7290" i="1"/>
  <c r="C7291" i="1"/>
  <c r="E7291" i="1"/>
  <c r="F7291" i="1"/>
  <c r="H7291" i="1"/>
  <c r="I7291" i="1"/>
  <c r="J7291" i="1"/>
  <c r="L7291" i="1"/>
  <c r="M7291" i="1"/>
  <c r="C7292" i="1"/>
  <c r="E7292" i="1"/>
  <c r="F7292" i="1"/>
  <c r="H7292" i="1"/>
  <c r="I7292" i="1"/>
  <c r="J7292" i="1"/>
  <c r="L7292" i="1"/>
  <c r="M7292" i="1"/>
  <c r="C7293" i="1"/>
  <c r="E7293" i="1"/>
  <c r="F7293" i="1"/>
  <c r="H7293" i="1"/>
  <c r="I7293" i="1"/>
  <c r="J7293" i="1"/>
  <c r="L7293" i="1"/>
  <c r="M7293" i="1"/>
  <c r="C7294" i="1"/>
  <c r="E7294" i="1"/>
  <c r="F7294" i="1"/>
  <c r="H7294" i="1"/>
  <c r="I7294" i="1"/>
  <c r="J7294" i="1"/>
  <c r="L7294" i="1"/>
  <c r="M7294" i="1"/>
  <c r="C7295" i="1"/>
  <c r="E7295" i="1"/>
  <c r="F7295" i="1"/>
  <c r="H7295" i="1"/>
  <c r="I7295" i="1"/>
  <c r="J7295" i="1"/>
  <c r="L7295" i="1"/>
  <c r="M7295" i="1"/>
  <c r="C7296" i="1"/>
  <c r="E7296" i="1"/>
  <c r="F7296" i="1"/>
  <c r="H7296" i="1"/>
  <c r="I7296" i="1"/>
  <c r="J7296" i="1"/>
  <c r="L7296" i="1"/>
  <c r="M7296" i="1"/>
  <c r="C7297" i="1"/>
  <c r="E7297" i="1"/>
  <c r="F7297" i="1"/>
  <c r="H7297" i="1"/>
  <c r="I7297" i="1"/>
  <c r="J7297" i="1"/>
  <c r="L7297" i="1"/>
  <c r="M7297" i="1"/>
  <c r="C7298" i="1"/>
  <c r="E7298" i="1"/>
  <c r="F7298" i="1"/>
  <c r="H7298" i="1"/>
  <c r="I7298" i="1"/>
  <c r="J7298" i="1"/>
  <c r="L7298" i="1"/>
  <c r="M7298" i="1"/>
  <c r="C7299" i="1"/>
  <c r="E7299" i="1"/>
  <c r="F7299" i="1"/>
  <c r="H7299" i="1"/>
  <c r="I7299" i="1"/>
  <c r="J7299" i="1"/>
  <c r="L7299" i="1"/>
  <c r="M7299" i="1"/>
  <c r="C7300" i="1"/>
  <c r="E7300" i="1"/>
  <c r="F7300" i="1"/>
  <c r="H7300" i="1"/>
  <c r="I7300" i="1"/>
  <c r="J7300" i="1"/>
  <c r="L7300" i="1"/>
  <c r="M7300" i="1"/>
  <c r="C7301" i="1"/>
  <c r="E7301" i="1"/>
  <c r="F7301" i="1"/>
  <c r="H7301" i="1"/>
  <c r="I7301" i="1"/>
  <c r="J7301" i="1"/>
  <c r="L7301" i="1"/>
  <c r="M7301" i="1"/>
  <c r="C7302" i="1"/>
  <c r="E7302" i="1"/>
  <c r="F7302" i="1"/>
  <c r="H7302" i="1"/>
  <c r="I7302" i="1"/>
  <c r="J7302" i="1"/>
  <c r="L7302" i="1"/>
  <c r="M7302" i="1"/>
  <c r="C7303" i="1"/>
  <c r="E7303" i="1"/>
  <c r="F7303" i="1"/>
  <c r="H7303" i="1"/>
  <c r="I7303" i="1"/>
  <c r="J7303" i="1"/>
  <c r="L7303" i="1"/>
  <c r="M7303" i="1"/>
  <c r="C7304" i="1"/>
  <c r="E7304" i="1"/>
  <c r="F7304" i="1"/>
  <c r="H7304" i="1"/>
  <c r="I7304" i="1"/>
  <c r="J7304" i="1"/>
  <c r="L7304" i="1"/>
  <c r="M7304" i="1"/>
  <c r="C7305" i="1"/>
  <c r="E7305" i="1"/>
  <c r="F7305" i="1"/>
  <c r="H7305" i="1"/>
  <c r="I7305" i="1"/>
  <c r="J7305" i="1"/>
  <c r="L7305" i="1"/>
  <c r="M7305" i="1"/>
  <c r="C7306" i="1"/>
  <c r="E7306" i="1"/>
  <c r="F7306" i="1"/>
  <c r="H7306" i="1"/>
  <c r="I7306" i="1"/>
  <c r="J7306" i="1"/>
  <c r="L7306" i="1"/>
  <c r="M7306" i="1"/>
  <c r="C7307" i="1"/>
  <c r="E7307" i="1"/>
  <c r="F7307" i="1"/>
  <c r="H7307" i="1"/>
  <c r="I7307" i="1"/>
  <c r="J7307" i="1"/>
  <c r="L7307" i="1"/>
  <c r="M7307" i="1"/>
  <c r="C7308" i="1"/>
  <c r="E7308" i="1"/>
  <c r="F7308" i="1"/>
  <c r="H7308" i="1"/>
  <c r="I7308" i="1"/>
  <c r="J7308" i="1"/>
  <c r="L7308" i="1"/>
  <c r="M7308" i="1"/>
  <c r="C7309" i="1"/>
  <c r="E7309" i="1"/>
  <c r="F7309" i="1"/>
  <c r="H7309" i="1"/>
  <c r="I7309" i="1"/>
  <c r="J7309" i="1"/>
  <c r="L7309" i="1"/>
  <c r="M7309" i="1"/>
  <c r="C7310" i="1"/>
  <c r="E7310" i="1"/>
  <c r="F7310" i="1"/>
  <c r="H7310" i="1"/>
  <c r="I7310" i="1"/>
  <c r="J7310" i="1"/>
  <c r="L7310" i="1"/>
  <c r="M7310" i="1"/>
  <c r="C7311" i="1"/>
  <c r="E7311" i="1"/>
  <c r="F7311" i="1"/>
  <c r="H7311" i="1"/>
  <c r="I7311" i="1"/>
  <c r="J7311" i="1"/>
  <c r="L7311" i="1"/>
  <c r="M7311" i="1"/>
  <c r="C7312" i="1"/>
  <c r="E7312" i="1"/>
  <c r="F7312" i="1"/>
  <c r="H7312" i="1"/>
  <c r="I7312" i="1"/>
  <c r="J7312" i="1"/>
  <c r="L7312" i="1"/>
  <c r="M7312" i="1"/>
  <c r="C7313" i="1"/>
  <c r="E7313" i="1"/>
  <c r="F7313" i="1"/>
  <c r="H7313" i="1"/>
  <c r="I7313" i="1"/>
  <c r="J7313" i="1"/>
  <c r="L7313" i="1"/>
  <c r="M7313" i="1"/>
  <c r="C7314" i="1"/>
  <c r="E7314" i="1"/>
  <c r="F7314" i="1"/>
  <c r="H7314" i="1"/>
  <c r="I7314" i="1"/>
  <c r="J7314" i="1"/>
  <c r="L7314" i="1"/>
  <c r="M7314" i="1"/>
  <c r="C7315" i="1"/>
  <c r="E7315" i="1"/>
  <c r="F7315" i="1"/>
  <c r="H7315" i="1"/>
  <c r="I7315" i="1"/>
  <c r="J7315" i="1"/>
  <c r="L7315" i="1"/>
  <c r="M7315" i="1"/>
  <c r="C7316" i="1"/>
  <c r="E7316" i="1"/>
  <c r="F7316" i="1"/>
  <c r="H7316" i="1"/>
  <c r="I7316" i="1"/>
  <c r="J7316" i="1"/>
  <c r="L7316" i="1"/>
  <c r="M7316" i="1"/>
  <c r="C7317" i="1"/>
  <c r="E7317" i="1"/>
  <c r="F7317" i="1"/>
  <c r="H7317" i="1"/>
  <c r="I7317" i="1"/>
  <c r="J7317" i="1"/>
  <c r="L7317" i="1"/>
  <c r="M7317" i="1"/>
  <c r="C7318" i="1"/>
  <c r="E7318" i="1"/>
  <c r="F7318" i="1"/>
  <c r="H7318" i="1"/>
  <c r="I7318" i="1"/>
  <c r="J7318" i="1"/>
  <c r="L7318" i="1"/>
  <c r="M7318" i="1"/>
  <c r="C7319" i="1"/>
  <c r="E7319" i="1"/>
  <c r="F7319" i="1"/>
  <c r="H7319" i="1"/>
  <c r="I7319" i="1"/>
  <c r="J7319" i="1"/>
  <c r="L7319" i="1"/>
  <c r="M7319" i="1"/>
  <c r="C7320" i="1"/>
  <c r="E7320" i="1"/>
  <c r="F7320" i="1"/>
  <c r="H7320" i="1"/>
  <c r="I7320" i="1"/>
  <c r="J7320" i="1"/>
  <c r="L7320" i="1"/>
  <c r="M7320" i="1"/>
  <c r="C7321" i="1"/>
  <c r="E7321" i="1"/>
  <c r="F7321" i="1"/>
  <c r="H7321" i="1"/>
  <c r="I7321" i="1"/>
  <c r="J7321" i="1"/>
  <c r="L7321" i="1"/>
  <c r="M7321" i="1"/>
  <c r="C7322" i="1"/>
  <c r="E7322" i="1"/>
  <c r="F7322" i="1"/>
  <c r="H7322" i="1"/>
  <c r="I7322" i="1"/>
  <c r="J7322" i="1"/>
  <c r="L7322" i="1"/>
  <c r="M7322" i="1"/>
  <c r="C7323" i="1"/>
  <c r="E7323" i="1"/>
  <c r="F7323" i="1"/>
  <c r="H7323" i="1"/>
  <c r="I7323" i="1"/>
  <c r="J7323" i="1"/>
  <c r="L7323" i="1"/>
  <c r="M7323" i="1"/>
  <c r="C7324" i="1"/>
  <c r="E7324" i="1"/>
  <c r="F7324" i="1"/>
  <c r="H7324" i="1"/>
  <c r="I7324" i="1"/>
  <c r="J7324" i="1"/>
  <c r="L7324" i="1"/>
  <c r="M7324" i="1"/>
  <c r="C7325" i="1"/>
  <c r="E7325" i="1"/>
  <c r="F7325" i="1"/>
  <c r="H7325" i="1"/>
  <c r="I7325" i="1"/>
  <c r="J7325" i="1"/>
  <c r="L7325" i="1"/>
  <c r="M7325" i="1"/>
  <c r="C7326" i="1"/>
  <c r="E7326" i="1"/>
  <c r="F7326" i="1"/>
  <c r="H7326" i="1"/>
  <c r="I7326" i="1"/>
  <c r="J7326" i="1"/>
  <c r="L7326" i="1"/>
  <c r="M7326" i="1"/>
  <c r="C7327" i="1"/>
  <c r="E7327" i="1"/>
  <c r="F7327" i="1"/>
  <c r="H7327" i="1"/>
  <c r="I7327" i="1"/>
  <c r="J7327" i="1"/>
  <c r="L7327" i="1"/>
  <c r="M7327" i="1"/>
  <c r="C7328" i="1"/>
  <c r="E7328" i="1"/>
  <c r="F7328" i="1"/>
  <c r="H7328" i="1"/>
  <c r="I7328" i="1"/>
  <c r="J7328" i="1"/>
  <c r="L7328" i="1"/>
  <c r="M7328" i="1"/>
  <c r="C7329" i="1"/>
  <c r="E7329" i="1"/>
  <c r="F7329" i="1"/>
  <c r="H7329" i="1"/>
  <c r="I7329" i="1"/>
  <c r="J7329" i="1"/>
  <c r="L7329" i="1"/>
  <c r="M7329" i="1"/>
  <c r="C7330" i="1"/>
  <c r="E7330" i="1"/>
  <c r="F7330" i="1"/>
  <c r="H7330" i="1"/>
  <c r="I7330" i="1"/>
  <c r="J7330" i="1"/>
  <c r="L7330" i="1"/>
  <c r="M7330" i="1"/>
  <c r="C7331" i="1"/>
  <c r="E7331" i="1"/>
  <c r="F7331" i="1"/>
  <c r="H7331" i="1"/>
  <c r="I7331" i="1"/>
  <c r="J7331" i="1"/>
  <c r="L7331" i="1"/>
  <c r="M7331" i="1"/>
  <c r="C7332" i="1"/>
  <c r="E7332" i="1"/>
  <c r="F7332" i="1"/>
  <c r="H7332" i="1"/>
  <c r="I7332" i="1"/>
  <c r="J7332" i="1"/>
  <c r="L7332" i="1"/>
  <c r="M7332" i="1"/>
  <c r="C7333" i="1"/>
  <c r="E7333" i="1"/>
  <c r="F7333" i="1"/>
  <c r="H7333" i="1"/>
  <c r="I7333" i="1"/>
  <c r="J7333" i="1"/>
  <c r="L7333" i="1"/>
  <c r="M7333" i="1"/>
  <c r="C7334" i="1"/>
  <c r="E7334" i="1"/>
  <c r="F7334" i="1"/>
  <c r="H7334" i="1"/>
  <c r="I7334" i="1"/>
  <c r="J7334" i="1"/>
  <c r="L7334" i="1"/>
  <c r="M7334" i="1"/>
  <c r="C7335" i="1"/>
  <c r="E7335" i="1"/>
  <c r="F7335" i="1"/>
  <c r="H7335" i="1"/>
  <c r="I7335" i="1"/>
  <c r="J7335" i="1"/>
  <c r="L7335" i="1"/>
  <c r="M7335" i="1"/>
  <c r="C7336" i="1"/>
  <c r="E7336" i="1"/>
  <c r="F7336" i="1"/>
  <c r="H7336" i="1"/>
  <c r="I7336" i="1"/>
  <c r="J7336" i="1"/>
  <c r="L7336" i="1"/>
  <c r="M7336" i="1"/>
  <c r="C7337" i="1"/>
  <c r="E7337" i="1"/>
  <c r="F7337" i="1"/>
  <c r="H7337" i="1"/>
  <c r="I7337" i="1"/>
  <c r="J7337" i="1"/>
  <c r="L7337" i="1"/>
  <c r="M7337" i="1"/>
  <c r="C7338" i="1"/>
  <c r="E7338" i="1"/>
  <c r="F7338" i="1"/>
  <c r="H7338" i="1"/>
  <c r="I7338" i="1"/>
  <c r="J7338" i="1"/>
  <c r="L7338" i="1"/>
  <c r="M7338" i="1"/>
  <c r="C7339" i="1"/>
  <c r="E7339" i="1"/>
  <c r="F7339" i="1"/>
  <c r="H7339" i="1"/>
  <c r="I7339" i="1"/>
  <c r="J7339" i="1"/>
  <c r="L7339" i="1"/>
  <c r="M7339" i="1"/>
  <c r="C7340" i="1"/>
  <c r="E7340" i="1"/>
  <c r="F7340" i="1"/>
  <c r="H7340" i="1"/>
  <c r="I7340" i="1"/>
  <c r="J7340" i="1"/>
  <c r="L7340" i="1"/>
  <c r="M7340" i="1"/>
  <c r="C7341" i="1"/>
  <c r="E7341" i="1"/>
  <c r="F7341" i="1"/>
  <c r="H7341" i="1"/>
  <c r="I7341" i="1"/>
  <c r="J7341" i="1"/>
  <c r="L7341" i="1"/>
  <c r="M7341" i="1"/>
  <c r="C7342" i="1"/>
  <c r="E7342" i="1"/>
  <c r="F7342" i="1"/>
  <c r="H7342" i="1"/>
  <c r="I7342" i="1"/>
  <c r="J7342" i="1"/>
  <c r="L7342" i="1"/>
  <c r="M7342" i="1"/>
  <c r="C7343" i="1"/>
  <c r="E7343" i="1"/>
  <c r="F7343" i="1"/>
  <c r="H7343" i="1"/>
  <c r="I7343" i="1"/>
  <c r="J7343" i="1"/>
  <c r="L7343" i="1"/>
  <c r="M7343" i="1"/>
  <c r="C7344" i="1"/>
  <c r="E7344" i="1"/>
  <c r="F7344" i="1"/>
  <c r="H7344" i="1"/>
  <c r="I7344" i="1"/>
  <c r="J7344" i="1"/>
  <c r="L7344" i="1"/>
  <c r="M7344" i="1"/>
  <c r="C7345" i="1"/>
  <c r="E7345" i="1"/>
  <c r="F7345" i="1"/>
  <c r="H7345" i="1"/>
  <c r="I7345" i="1"/>
  <c r="J7345" i="1"/>
  <c r="L7345" i="1"/>
  <c r="M7345" i="1"/>
  <c r="C7346" i="1"/>
  <c r="E7346" i="1"/>
  <c r="F7346" i="1"/>
  <c r="H7346" i="1"/>
  <c r="I7346" i="1"/>
  <c r="J7346" i="1"/>
  <c r="L7346" i="1"/>
  <c r="M7346" i="1"/>
  <c r="C7347" i="1"/>
  <c r="E7347" i="1"/>
  <c r="F7347" i="1"/>
  <c r="H7347" i="1"/>
  <c r="I7347" i="1"/>
  <c r="J7347" i="1"/>
  <c r="L7347" i="1"/>
  <c r="M7347" i="1"/>
  <c r="C7348" i="1"/>
  <c r="E7348" i="1"/>
  <c r="F7348" i="1"/>
  <c r="H7348" i="1"/>
  <c r="I7348" i="1"/>
  <c r="J7348" i="1"/>
  <c r="L7348" i="1"/>
  <c r="M7348" i="1"/>
  <c r="C7349" i="1"/>
  <c r="E7349" i="1"/>
  <c r="F7349" i="1"/>
  <c r="H7349" i="1"/>
  <c r="I7349" i="1"/>
  <c r="J7349" i="1"/>
  <c r="L7349" i="1"/>
  <c r="M7349" i="1"/>
  <c r="C7350" i="1"/>
  <c r="E7350" i="1"/>
  <c r="F7350" i="1"/>
  <c r="H7350" i="1"/>
  <c r="I7350" i="1"/>
  <c r="J7350" i="1"/>
  <c r="L7350" i="1"/>
  <c r="M7350" i="1"/>
  <c r="C7351" i="1"/>
  <c r="E7351" i="1"/>
  <c r="F7351" i="1"/>
  <c r="H7351" i="1"/>
  <c r="I7351" i="1"/>
  <c r="J7351" i="1"/>
  <c r="L7351" i="1"/>
  <c r="M7351" i="1"/>
  <c r="C7352" i="1"/>
  <c r="E7352" i="1"/>
  <c r="F7352" i="1"/>
  <c r="H7352" i="1"/>
  <c r="I7352" i="1"/>
  <c r="J7352" i="1"/>
  <c r="L7352" i="1"/>
  <c r="M7352" i="1"/>
  <c r="C7353" i="1"/>
  <c r="E7353" i="1"/>
  <c r="F7353" i="1"/>
  <c r="H7353" i="1"/>
  <c r="I7353" i="1"/>
  <c r="J7353" i="1"/>
  <c r="L7353" i="1"/>
  <c r="M7353" i="1"/>
  <c r="C7354" i="1"/>
  <c r="E7354" i="1"/>
  <c r="F7354" i="1"/>
  <c r="H7354" i="1"/>
  <c r="I7354" i="1"/>
  <c r="J7354" i="1"/>
  <c r="L7354" i="1"/>
  <c r="M7354" i="1"/>
  <c r="C7355" i="1"/>
  <c r="E7355" i="1"/>
  <c r="F7355" i="1"/>
  <c r="H7355" i="1"/>
  <c r="I7355" i="1"/>
  <c r="J7355" i="1"/>
  <c r="L7355" i="1"/>
  <c r="M7355" i="1"/>
  <c r="C7356" i="1"/>
  <c r="E7356" i="1"/>
  <c r="F7356" i="1"/>
  <c r="H7356" i="1"/>
  <c r="I7356" i="1"/>
  <c r="J7356" i="1"/>
  <c r="L7356" i="1"/>
  <c r="M7356" i="1"/>
  <c r="C7357" i="1"/>
  <c r="E7357" i="1"/>
  <c r="F7357" i="1"/>
  <c r="H7357" i="1"/>
  <c r="I7357" i="1"/>
  <c r="J7357" i="1"/>
  <c r="L7357" i="1"/>
  <c r="M7357" i="1"/>
  <c r="C7358" i="1"/>
  <c r="E7358" i="1"/>
  <c r="F7358" i="1"/>
  <c r="H7358" i="1"/>
  <c r="I7358" i="1"/>
  <c r="J7358" i="1"/>
  <c r="L7358" i="1"/>
  <c r="M7358" i="1"/>
  <c r="C7359" i="1"/>
  <c r="E7359" i="1"/>
  <c r="F7359" i="1"/>
  <c r="H7359" i="1"/>
  <c r="I7359" i="1"/>
  <c r="J7359" i="1"/>
  <c r="L7359" i="1"/>
  <c r="M7359" i="1"/>
  <c r="C7360" i="1"/>
  <c r="E7360" i="1"/>
  <c r="F7360" i="1"/>
  <c r="H7360" i="1"/>
  <c r="I7360" i="1"/>
  <c r="J7360" i="1"/>
  <c r="L7360" i="1"/>
  <c r="M7360" i="1"/>
  <c r="C7361" i="1"/>
  <c r="E7361" i="1"/>
  <c r="F7361" i="1"/>
  <c r="H7361" i="1"/>
  <c r="I7361" i="1"/>
  <c r="J7361" i="1"/>
  <c r="L7361" i="1"/>
  <c r="M7361" i="1"/>
  <c r="C7362" i="1"/>
  <c r="E7362" i="1"/>
  <c r="F7362" i="1"/>
  <c r="H7362" i="1"/>
  <c r="I7362" i="1"/>
  <c r="J7362" i="1"/>
  <c r="L7362" i="1"/>
  <c r="M7362" i="1"/>
  <c r="C7363" i="1"/>
  <c r="E7363" i="1"/>
  <c r="F7363" i="1"/>
  <c r="H7363" i="1"/>
  <c r="I7363" i="1"/>
  <c r="J7363" i="1"/>
  <c r="L7363" i="1"/>
  <c r="M7363" i="1"/>
  <c r="C7364" i="1"/>
  <c r="E7364" i="1"/>
  <c r="F7364" i="1"/>
  <c r="H7364" i="1"/>
  <c r="I7364" i="1"/>
  <c r="J7364" i="1"/>
  <c r="L7364" i="1"/>
  <c r="M7364" i="1"/>
  <c r="C7365" i="1"/>
  <c r="E7365" i="1"/>
  <c r="F7365" i="1"/>
  <c r="H7365" i="1"/>
  <c r="I7365" i="1"/>
  <c r="J7365" i="1"/>
  <c r="L7365" i="1"/>
  <c r="M7365" i="1"/>
  <c r="C7366" i="1"/>
  <c r="E7366" i="1"/>
  <c r="F7366" i="1"/>
  <c r="H7366" i="1"/>
  <c r="I7366" i="1"/>
  <c r="J7366" i="1"/>
  <c r="L7366" i="1"/>
  <c r="M7366" i="1"/>
  <c r="C7367" i="1"/>
  <c r="E7367" i="1"/>
  <c r="F7367" i="1"/>
  <c r="H7367" i="1"/>
  <c r="I7367" i="1"/>
  <c r="J7367" i="1"/>
  <c r="L7367" i="1"/>
  <c r="M7367" i="1"/>
  <c r="C7368" i="1"/>
  <c r="E7368" i="1"/>
  <c r="F7368" i="1"/>
  <c r="H7368" i="1"/>
  <c r="I7368" i="1"/>
  <c r="J7368" i="1"/>
  <c r="L7368" i="1"/>
  <c r="M7368" i="1"/>
  <c r="C7369" i="1"/>
  <c r="E7369" i="1"/>
  <c r="F7369" i="1"/>
  <c r="H7369" i="1"/>
  <c r="I7369" i="1"/>
  <c r="J7369" i="1"/>
  <c r="L7369" i="1"/>
  <c r="M7369" i="1"/>
  <c r="C7370" i="1"/>
  <c r="E7370" i="1"/>
  <c r="F7370" i="1"/>
  <c r="H7370" i="1"/>
  <c r="I7370" i="1"/>
  <c r="J7370" i="1"/>
  <c r="L7370" i="1"/>
  <c r="M7370" i="1"/>
  <c r="C7371" i="1"/>
  <c r="E7371" i="1"/>
  <c r="F7371" i="1"/>
  <c r="H7371" i="1"/>
  <c r="I7371" i="1"/>
  <c r="J7371" i="1"/>
  <c r="L7371" i="1"/>
  <c r="M7371" i="1"/>
  <c r="C7372" i="1"/>
  <c r="E7372" i="1"/>
  <c r="F7372" i="1"/>
  <c r="H7372" i="1"/>
  <c r="I7372" i="1"/>
  <c r="J7372" i="1"/>
  <c r="L7372" i="1"/>
  <c r="M7372" i="1"/>
  <c r="C7373" i="1"/>
  <c r="E7373" i="1"/>
  <c r="F7373" i="1"/>
  <c r="H7373" i="1"/>
  <c r="I7373" i="1"/>
  <c r="J7373" i="1"/>
  <c r="L7373" i="1"/>
  <c r="M7373" i="1"/>
  <c r="C7374" i="1"/>
  <c r="E7374" i="1"/>
  <c r="F7374" i="1"/>
  <c r="H7374" i="1"/>
  <c r="I7374" i="1"/>
  <c r="J7374" i="1"/>
  <c r="L7374" i="1"/>
  <c r="M7374" i="1"/>
  <c r="C7375" i="1"/>
  <c r="E7375" i="1"/>
  <c r="F7375" i="1"/>
  <c r="H7375" i="1"/>
  <c r="I7375" i="1"/>
  <c r="J7375" i="1"/>
  <c r="L7375" i="1"/>
  <c r="M7375" i="1"/>
  <c r="C7376" i="1"/>
  <c r="E7376" i="1"/>
  <c r="F7376" i="1"/>
  <c r="H7376" i="1"/>
  <c r="I7376" i="1"/>
  <c r="J7376" i="1"/>
  <c r="L7376" i="1"/>
  <c r="M7376" i="1"/>
  <c r="C7377" i="1"/>
  <c r="E7377" i="1"/>
  <c r="F7377" i="1"/>
  <c r="H7377" i="1"/>
  <c r="I7377" i="1"/>
  <c r="J7377" i="1"/>
  <c r="L7377" i="1"/>
  <c r="M7377" i="1"/>
  <c r="C7378" i="1"/>
  <c r="E7378" i="1"/>
  <c r="F7378" i="1"/>
  <c r="H7378" i="1"/>
  <c r="I7378" i="1"/>
  <c r="J7378" i="1"/>
  <c r="L7378" i="1"/>
  <c r="M7378" i="1"/>
  <c r="C7379" i="1"/>
  <c r="E7379" i="1"/>
  <c r="F7379" i="1"/>
  <c r="H7379" i="1"/>
  <c r="I7379" i="1"/>
  <c r="J7379" i="1"/>
  <c r="L7379" i="1"/>
  <c r="M7379" i="1"/>
  <c r="C7380" i="1"/>
  <c r="E7380" i="1"/>
  <c r="F7380" i="1"/>
  <c r="H7380" i="1"/>
  <c r="I7380" i="1"/>
  <c r="J7380" i="1"/>
  <c r="L7380" i="1"/>
  <c r="M7380" i="1"/>
  <c r="C7381" i="1"/>
  <c r="E7381" i="1"/>
  <c r="F7381" i="1"/>
  <c r="H7381" i="1"/>
  <c r="I7381" i="1"/>
  <c r="J7381" i="1"/>
  <c r="L7381" i="1"/>
  <c r="M7381" i="1"/>
  <c r="C7382" i="1"/>
  <c r="E7382" i="1"/>
  <c r="F7382" i="1"/>
  <c r="H7382" i="1"/>
  <c r="I7382" i="1"/>
  <c r="J7382" i="1"/>
  <c r="L7382" i="1"/>
  <c r="M7382" i="1"/>
  <c r="C7383" i="1"/>
  <c r="E7383" i="1"/>
  <c r="F7383" i="1"/>
  <c r="H7383" i="1"/>
  <c r="I7383" i="1"/>
  <c r="J7383" i="1"/>
  <c r="L7383" i="1"/>
  <c r="M7383" i="1"/>
  <c r="C7384" i="1"/>
  <c r="E7384" i="1"/>
  <c r="F7384" i="1"/>
  <c r="H7384" i="1"/>
  <c r="I7384" i="1"/>
  <c r="J7384" i="1"/>
  <c r="L7384" i="1"/>
  <c r="M7384" i="1"/>
  <c r="C7385" i="1"/>
  <c r="E7385" i="1"/>
  <c r="F7385" i="1"/>
  <c r="H7385" i="1"/>
  <c r="I7385" i="1"/>
  <c r="J7385" i="1"/>
  <c r="L7385" i="1"/>
  <c r="M7385" i="1"/>
  <c r="C7386" i="1"/>
  <c r="E7386" i="1"/>
  <c r="F7386" i="1"/>
  <c r="H7386" i="1"/>
  <c r="I7386" i="1"/>
  <c r="J7386" i="1"/>
  <c r="L7386" i="1"/>
  <c r="M7386" i="1"/>
  <c r="C7387" i="1"/>
  <c r="E7387" i="1"/>
  <c r="F7387" i="1"/>
  <c r="H7387" i="1"/>
  <c r="I7387" i="1"/>
  <c r="J7387" i="1"/>
  <c r="L7387" i="1"/>
  <c r="M7387" i="1"/>
  <c r="C7388" i="1"/>
  <c r="E7388" i="1"/>
  <c r="F7388" i="1"/>
  <c r="H7388" i="1"/>
  <c r="I7388" i="1"/>
  <c r="J7388" i="1"/>
  <c r="L7388" i="1"/>
  <c r="M7388" i="1"/>
  <c r="C7389" i="1"/>
  <c r="E7389" i="1"/>
  <c r="F7389" i="1"/>
  <c r="H7389" i="1"/>
  <c r="I7389" i="1"/>
  <c r="J7389" i="1"/>
  <c r="L7389" i="1"/>
  <c r="M7389" i="1"/>
  <c r="C7390" i="1"/>
  <c r="E7390" i="1"/>
  <c r="F7390" i="1"/>
  <c r="H7390" i="1"/>
  <c r="I7390" i="1"/>
  <c r="J7390" i="1"/>
  <c r="L7390" i="1"/>
  <c r="M7390" i="1"/>
  <c r="C7391" i="1"/>
  <c r="E7391" i="1"/>
  <c r="F7391" i="1"/>
  <c r="H7391" i="1"/>
  <c r="I7391" i="1"/>
  <c r="J7391" i="1"/>
  <c r="L7391" i="1"/>
  <c r="M7391" i="1"/>
  <c r="C7392" i="1"/>
  <c r="E7392" i="1"/>
  <c r="F7392" i="1"/>
  <c r="H7392" i="1"/>
  <c r="I7392" i="1"/>
  <c r="J7392" i="1"/>
  <c r="L7392" i="1"/>
  <c r="M7392" i="1"/>
  <c r="C7393" i="1"/>
  <c r="E7393" i="1"/>
  <c r="F7393" i="1"/>
  <c r="H7393" i="1"/>
  <c r="I7393" i="1"/>
  <c r="J7393" i="1"/>
  <c r="L7393" i="1"/>
  <c r="M7393" i="1"/>
  <c r="C7394" i="1"/>
  <c r="E7394" i="1"/>
  <c r="F7394" i="1"/>
  <c r="H7394" i="1"/>
  <c r="I7394" i="1"/>
  <c r="J7394" i="1"/>
  <c r="L7394" i="1"/>
  <c r="M7394" i="1"/>
  <c r="C7395" i="1"/>
  <c r="E7395" i="1"/>
  <c r="F7395" i="1"/>
  <c r="H7395" i="1"/>
  <c r="I7395" i="1"/>
  <c r="J7395" i="1"/>
  <c r="L7395" i="1"/>
  <c r="M7395" i="1"/>
  <c r="C7396" i="1"/>
  <c r="E7396" i="1"/>
  <c r="F7396" i="1"/>
  <c r="H7396" i="1"/>
  <c r="I7396" i="1"/>
  <c r="J7396" i="1"/>
  <c r="L7396" i="1"/>
  <c r="M7396" i="1"/>
  <c r="C7397" i="1"/>
  <c r="E7397" i="1"/>
  <c r="F7397" i="1"/>
  <c r="H7397" i="1"/>
  <c r="I7397" i="1"/>
  <c r="J7397" i="1"/>
  <c r="L7397" i="1"/>
  <c r="M7397" i="1"/>
  <c r="C7398" i="1"/>
  <c r="E7398" i="1"/>
  <c r="F7398" i="1"/>
  <c r="H7398" i="1"/>
  <c r="I7398" i="1"/>
  <c r="J7398" i="1"/>
  <c r="L7398" i="1"/>
  <c r="M7398" i="1"/>
  <c r="C7399" i="1"/>
  <c r="E7399" i="1"/>
  <c r="F7399" i="1"/>
  <c r="H7399" i="1"/>
  <c r="I7399" i="1"/>
  <c r="J7399" i="1"/>
  <c r="L7399" i="1"/>
  <c r="M7399" i="1"/>
  <c r="C7400" i="1"/>
  <c r="E7400" i="1"/>
  <c r="F7400" i="1"/>
  <c r="H7400" i="1"/>
  <c r="I7400" i="1"/>
  <c r="J7400" i="1"/>
  <c r="L7400" i="1"/>
  <c r="M7400" i="1"/>
  <c r="C7401" i="1"/>
  <c r="E7401" i="1"/>
  <c r="F7401" i="1"/>
  <c r="H7401" i="1"/>
  <c r="I7401" i="1"/>
  <c r="J7401" i="1"/>
  <c r="L7401" i="1"/>
  <c r="M7401" i="1"/>
  <c r="C7402" i="1"/>
  <c r="E7402" i="1"/>
  <c r="F7402" i="1"/>
  <c r="H7402" i="1"/>
  <c r="I7402" i="1"/>
  <c r="J7402" i="1"/>
  <c r="L7402" i="1"/>
  <c r="M7402" i="1"/>
  <c r="C7403" i="1"/>
  <c r="E7403" i="1"/>
  <c r="F7403" i="1"/>
  <c r="H7403" i="1"/>
  <c r="I7403" i="1"/>
  <c r="J7403" i="1"/>
  <c r="L7403" i="1"/>
  <c r="M7403" i="1"/>
  <c r="C7404" i="1"/>
  <c r="E7404" i="1"/>
  <c r="F7404" i="1"/>
  <c r="H7404" i="1"/>
  <c r="I7404" i="1"/>
  <c r="J7404" i="1"/>
  <c r="L7404" i="1"/>
  <c r="M7404" i="1"/>
  <c r="C7405" i="1"/>
  <c r="E7405" i="1"/>
  <c r="F7405" i="1"/>
  <c r="H7405" i="1"/>
  <c r="I7405" i="1"/>
  <c r="J7405" i="1"/>
  <c r="L7405" i="1"/>
  <c r="M7405" i="1"/>
  <c r="C7406" i="1"/>
  <c r="E7406" i="1"/>
  <c r="F7406" i="1"/>
  <c r="H7406" i="1"/>
  <c r="I7406" i="1"/>
  <c r="J7406" i="1"/>
  <c r="L7406" i="1"/>
  <c r="M7406" i="1"/>
  <c r="C7407" i="1"/>
  <c r="E7407" i="1"/>
  <c r="F7407" i="1"/>
  <c r="H7407" i="1"/>
  <c r="I7407" i="1"/>
  <c r="J7407" i="1"/>
  <c r="L7407" i="1"/>
  <c r="M7407" i="1"/>
  <c r="C7408" i="1"/>
  <c r="E7408" i="1"/>
  <c r="F7408" i="1"/>
  <c r="H7408" i="1"/>
  <c r="I7408" i="1"/>
  <c r="J7408" i="1"/>
  <c r="L7408" i="1"/>
  <c r="M7408" i="1"/>
  <c r="C7409" i="1"/>
  <c r="E7409" i="1"/>
  <c r="F7409" i="1"/>
  <c r="H7409" i="1"/>
  <c r="I7409" i="1"/>
  <c r="J7409" i="1"/>
  <c r="L7409" i="1"/>
  <c r="M7409" i="1"/>
  <c r="C7410" i="1"/>
  <c r="E7410" i="1"/>
  <c r="F7410" i="1"/>
  <c r="H7410" i="1"/>
  <c r="I7410" i="1"/>
  <c r="J7410" i="1"/>
  <c r="L7410" i="1"/>
  <c r="M7410" i="1"/>
  <c r="C7411" i="1"/>
  <c r="E7411" i="1"/>
  <c r="F7411" i="1"/>
  <c r="H7411" i="1"/>
  <c r="I7411" i="1"/>
  <c r="J7411" i="1"/>
  <c r="L7411" i="1"/>
  <c r="M7411" i="1"/>
  <c r="C7412" i="1"/>
  <c r="E7412" i="1"/>
  <c r="F7412" i="1"/>
  <c r="H7412" i="1"/>
  <c r="I7412" i="1"/>
  <c r="J7412" i="1"/>
  <c r="L7412" i="1"/>
  <c r="M7412" i="1"/>
  <c r="C7413" i="1"/>
  <c r="E7413" i="1"/>
  <c r="F7413" i="1"/>
  <c r="H7413" i="1"/>
  <c r="I7413" i="1"/>
  <c r="J7413" i="1"/>
  <c r="L7413" i="1"/>
  <c r="M7413" i="1"/>
  <c r="C7414" i="1"/>
  <c r="E7414" i="1"/>
  <c r="F7414" i="1"/>
  <c r="H7414" i="1"/>
  <c r="I7414" i="1"/>
  <c r="J7414" i="1"/>
  <c r="L7414" i="1"/>
  <c r="M7414" i="1"/>
  <c r="C7415" i="1"/>
  <c r="E7415" i="1"/>
  <c r="F7415" i="1"/>
  <c r="H7415" i="1"/>
  <c r="I7415" i="1"/>
  <c r="J7415" i="1"/>
  <c r="L7415" i="1"/>
  <c r="M7415" i="1"/>
  <c r="C7416" i="1"/>
  <c r="E7416" i="1"/>
  <c r="F7416" i="1"/>
  <c r="H7416" i="1"/>
  <c r="I7416" i="1"/>
  <c r="J7416" i="1"/>
  <c r="L7416" i="1"/>
  <c r="M7416" i="1"/>
  <c r="C7417" i="1"/>
  <c r="E7417" i="1"/>
  <c r="F7417" i="1"/>
  <c r="H7417" i="1"/>
  <c r="I7417" i="1"/>
  <c r="J7417" i="1"/>
  <c r="L7417" i="1"/>
  <c r="M7417" i="1"/>
  <c r="C7418" i="1"/>
  <c r="E7418" i="1"/>
  <c r="F7418" i="1"/>
  <c r="H7418" i="1"/>
  <c r="I7418" i="1"/>
  <c r="J7418" i="1"/>
  <c r="L7418" i="1"/>
  <c r="M7418" i="1"/>
  <c r="C7419" i="1"/>
  <c r="E7419" i="1"/>
  <c r="F7419" i="1"/>
  <c r="H7419" i="1"/>
  <c r="I7419" i="1"/>
  <c r="J7419" i="1"/>
  <c r="L7419" i="1"/>
  <c r="M7419" i="1"/>
  <c r="C7420" i="1"/>
  <c r="E7420" i="1"/>
  <c r="F7420" i="1"/>
  <c r="H7420" i="1"/>
  <c r="I7420" i="1"/>
  <c r="J7420" i="1"/>
  <c r="L7420" i="1"/>
  <c r="M7420" i="1"/>
  <c r="C7421" i="1"/>
  <c r="E7421" i="1"/>
  <c r="F7421" i="1"/>
  <c r="H7421" i="1"/>
  <c r="I7421" i="1"/>
  <c r="J7421" i="1"/>
  <c r="L7421" i="1"/>
  <c r="M7421" i="1"/>
  <c r="C7422" i="1"/>
  <c r="E7422" i="1"/>
  <c r="F7422" i="1"/>
  <c r="H7422" i="1"/>
  <c r="I7422" i="1"/>
  <c r="J7422" i="1"/>
  <c r="L7422" i="1"/>
  <c r="M7422" i="1"/>
  <c r="C7423" i="1"/>
  <c r="E7423" i="1"/>
  <c r="F7423" i="1"/>
  <c r="H7423" i="1"/>
  <c r="I7423" i="1"/>
  <c r="J7423" i="1"/>
  <c r="L7423" i="1"/>
  <c r="M7423" i="1"/>
  <c r="C7424" i="1"/>
  <c r="E7424" i="1"/>
  <c r="F7424" i="1"/>
  <c r="H7424" i="1"/>
  <c r="I7424" i="1"/>
  <c r="J7424" i="1"/>
  <c r="L7424" i="1"/>
  <c r="M7424" i="1"/>
  <c r="C7425" i="1"/>
  <c r="E7425" i="1"/>
  <c r="F7425" i="1"/>
  <c r="H7425" i="1"/>
  <c r="I7425" i="1"/>
  <c r="J7425" i="1"/>
  <c r="L7425" i="1"/>
  <c r="M7425" i="1"/>
  <c r="C7426" i="1"/>
  <c r="E7426" i="1"/>
  <c r="F7426" i="1"/>
  <c r="H7426" i="1"/>
  <c r="I7426" i="1"/>
  <c r="J7426" i="1"/>
  <c r="L7426" i="1"/>
  <c r="M7426" i="1"/>
  <c r="C7427" i="1"/>
  <c r="E7427" i="1"/>
  <c r="F7427" i="1"/>
  <c r="H7427" i="1"/>
  <c r="I7427" i="1"/>
  <c r="J7427" i="1"/>
  <c r="L7427" i="1"/>
  <c r="M7427" i="1"/>
  <c r="C7428" i="1"/>
  <c r="E7428" i="1"/>
  <c r="F7428" i="1"/>
  <c r="H7428" i="1"/>
  <c r="I7428" i="1"/>
  <c r="J7428" i="1"/>
  <c r="L7428" i="1"/>
  <c r="M7428" i="1"/>
  <c r="C7429" i="1"/>
  <c r="E7429" i="1"/>
  <c r="F7429" i="1"/>
  <c r="H7429" i="1"/>
  <c r="I7429" i="1"/>
  <c r="J7429" i="1"/>
  <c r="L7429" i="1"/>
  <c r="M7429" i="1"/>
  <c r="C7430" i="1"/>
  <c r="E7430" i="1"/>
  <c r="F7430" i="1"/>
  <c r="H7430" i="1"/>
  <c r="I7430" i="1"/>
  <c r="J7430" i="1"/>
  <c r="L7430" i="1"/>
  <c r="M7430" i="1"/>
  <c r="C7431" i="1"/>
  <c r="E7431" i="1"/>
  <c r="F7431" i="1"/>
  <c r="H7431" i="1"/>
  <c r="I7431" i="1"/>
  <c r="J7431" i="1"/>
  <c r="L7431" i="1"/>
  <c r="M7431" i="1"/>
  <c r="C7432" i="1"/>
  <c r="E7432" i="1"/>
  <c r="F7432" i="1"/>
  <c r="H7432" i="1"/>
  <c r="I7432" i="1"/>
  <c r="J7432" i="1"/>
  <c r="L7432" i="1"/>
  <c r="M7432" i="1"/>
  <c r="C7433" i="1"/>
  <c r="E7433" i="1"/>
  <c r="F7433" i="1"/>
  <c r="H7433" i="1"/>
  <c r="I7433" i="1"/>
  <c r="J7433" i="1"/>
  <c r="L7433" i="1"/>
  <c r="M7433" i="1"/>
  <c r="C7434" i="1"/>
  <c r="E7434" i="1"/>
  <c r="F7434" i="1"/>
  <c r="H7434" i="1"/>
  <c r="I7434" i="1"/>
  <c r="J7434" i="1"/>
  <c r="L7434" i="1"/>
  <c r="M7434" i="1"/>
  <c r="C7435" i="1"/>
  <c r="E7435" i="1"/>
  <c r="F7435" i="1"/>
  <c r="H7435" i="1"/>
  <c r="I7435" i="1"/>
  <c r="J7435" i="1"/>
  <c r="L7435" i="1"/>
  <c r="M7435" i="1"/>
  <c r="C7436" i="1"/>
  <c r="E7436" i="1"/>
  <c r="F7436" i="1"/>
  <c r="H7436" i="1"/>
  <c r="I7436" i="1"/>
  <c r="J7436" i="1"/>
  <c r="L7436" i="1"/>
  <c r="M7436" i="1"/>
  <c r="C7437" i="1"/>
  <c r="E7437" i="1"/>
  <c r="F7437" i="1"/>
  <c r="H7437" i="1"/>
  <c r="I7437" i="1"/>
  <c r="J7437" i="1"/>
  <c r="L7437" i="1"/>
  <c r="M7437" i="1"/>
  <c r="C7438" i="1"/>
  <c r="E7438" i="1"/>
  <c r="F7438" i="1"/>
  <c r="H7438" i="1"/>
  <c r="I7438" i="1"/>
  <c r="J7438" i="1"/>
  <c r="L7438" i="1"/>
  <c r="M7438" i="1"/>
  <c r="C7439" i="1"/>
  <c r="E7439" i="1"/>
  <c r="F7439" i="1"/>
  <c r="H7439" i="1"/>
  <c r="I7439" i="1"/>
  <c r="J7439" i="1"/>
  <c r="L7439" i="1"/>
  <c r="M7439" i="1"/>
  <c r="C7440" i="1"/>
  <c r="E7440" i="1"/>
  <c r="F7440" i="1"/>
  <c r="H7440" i="1"/>
  <c r="I7440" i="1"/>
  <c r="J7440" i="1"/>
  <c r="L7440" i="1"/>
  <c r="M7440" i="1"/>
  <c r="C7441" i="1"/>
  <c r="E7441" i="1"/>
  <c r="F7441" i="1"/>
  <c r="H7441" i="1"/>
  <c r="I7441" i="1"/>
  <c r="J7441" i="1"/>
  <c r="L7441" i="1"/>
  <c r="M7441" i="1"/>
  <c r="C7442" i="1"/>
  <c r="E7442" i="1"/>
  <c r="F7442" i="1"/>
  <c r="H7442" i="1"/>
  <c r="I7442" i="1"/>
  <c r="J7442" i="1"/>
  <c r="L7442" i="1"/>
  <c r="M7442" i="1"/>
  <c r="C7443" i="1"/>
  <c r="E7443" i="1"/>
  <c r="F7443" i="1"/>
  <c r="H7443" i="1"/>
  <c r="I7443" i="1"/>
  <c r="J7443" i="1"/>
  <c r="L7443" i="1"/>
  <c r="M7443" i="1"/>
  <c r="C7444" i="1"/>
  <c r="E7444" i="1"/>
  <c r="F7444" i="1"/>
  <c r="H7444" i="1"/>
  <c r="I7444" i="1"/>
  <c r="J7444" i="1"/>
  <c r="L7444" i="1"/>
  <c r="M7444" i="1"/>
  <c r="C7445" i="1"/>
  <c r="E7445" i="1"/>
  <c r="F7445" i="1"/>
  <c r="H7445" i="1"/>
  <c r="I7445" i="1"/>
  <c r="J7445" i="1"/>
  <c r="L7445" i="1"/>
  <c r="M7445" i="1"/>
  <c r="C7446" i="1"/>
  <c r="E7446" i="1"/>
  <c r="F7446" i="1"/>
  <c r="H7446" i="1"/>
  <c r="I7446" i="1"/>
  <c r="J7446" i="1"/>
  <c r="L7446" i="1"/>
  <c r="M7446" i="1"/>
  <c r="C7447" i="1"/>
  <c r="E7447" i="1"/>
  <c r="F7447" i="1"/>
  <c r="H7447" i="1"/>
  <c r="I7447" i="1"/>
  <c r="J7447" i="1"/>
  <c r="L7447" i="1"/>
  <c r="M7447" i="1"/>
  <c r="C7448" i="1"/>
  <c r="E7448" i="1"/>
  <c r="F7448" i="1"/>
  <c r="H7448" i="1"/>
  <c r="I7448" i="1"/>
  <c r="J7448" i="1"/>
  <c r="L7448" i="1"/>
  <c r="M7448" i="1"/>
  <c r="C7449" i="1"/>
  <c r="E7449" i="1"/>
  <c r="F7449" i="1"/>
  <c r="H7449" i="1"/>
  <c r="I7449" i="1"/>
  <c r="J7449" i="1"/>
  <c r="L7449" i="1"/>
  <c r="M7449" i="1"/>
  <c r="C7450" i="1"/>
  <c r="E7450" i="1"/>
  <c r="F7450" i="1"/>
  <c r="H7450" i="1"/>
  <c r="I7450" i="1"/>
  <c r="J7450" i="1"/>
  <c r="L7450" i="1"/>
  <c r="M7450" i="1"/>
  <c r="C7451" i="1"/>
  <c r="E7451" i="1"/>
  <c r="F7451" i="1"/>
  <c r="H7451" i="1"/>
  <c r="I7451" i="1"/>
  <c r="J7451" i="1"/>
  <c r="L7451" i="1"/>
  <c r="M7451" i="1"/>
  <c r="C7452" i="1"/>
  <c r="E7452" i="1"/>
  <c r="F7452" i="1"/>
  <c r="H7452" i="1"/>
  <c r="I7452" i="1"/>
  <c r="J7452" i="1"/>
  <c r="L7452" i="1"/>
  <c r="M7452" i="1"/>
  <c r="C7453" i="1"/>
  <c r="E7453" i="1"/>
  <c r="F7453" i="1"/>
  <c r="H7453" i="1"/>
  <c r="I7453" i="1"/>
  <c r="J7453" i="1"/>
  <c r="L7453" i="1"/>
  <c r="M7453" i="1"/>
  <c r="C7454" i="1"/>
  <c r="E7454" i="1"/>
  <c r="F7454" i="1"/>
  <c r="H7454" i="1"/>
  <c r="I7454" i="1"/>
  <c r="J7454" i="1"/>
  <c r="L7454" i="1"/>
  <c r="M7454" i="1"/>
  <c r="C7455" i="1"/>
  <c r="E7455" i="1"/>
  <c r="F7455" i="1"/>
  <c r="H7455" i="1"/>
  <c r="I7455" i="1"/>
  <c r="J7455" i="1"/>
  <c r="L7455" i="1"/>
  <c r="M7455" i="1"/>
  <c r="C7456" i="1"/>
  <c r="E7456" i="1"/>
  <c r="F7456" i="1"/>
  <c r="H7456" i="1"/>
  <c r="I7456" i="1"/>
  <c r="J7456" i="1"/>
  <c r="L7456" i="1"/>
  <c r="M7456" i="1"/>
  <c r="C7457" i="1"/>
  <c r="E7457" i="1"/>
  <c r="F7457" i="1"/>
  <c r="H7457" i="1"/>
  <c r="I7457" i="1"/>
  <c r="J7457" i="1"/>
  <c r="L7457" i="1"/>
  <c r="M7457" i="1"/>
  <c r="C7458" i="1"/>
  <c r="E7458" i="1"/>
  <c r="F7458" i="1"/>
  <c r="H7458" i="1"/>
  <c r="I7458" i="1"/>
  <c r="J7458" i="1"/>
  <c r="L7458" i="1"/>
  <c r="M7458" i="1"/>
  <c r="C7459" i="1"/>
  <c r="E7459" i="1"/>
  <c r="F7459" i="1"/>
  <c r="H7459" i="1"/>
  <c r="I7459" i="1"/>
  <c r="J7459" i="1"/>
  <c r="L7459" i="1"/>
  <c r="M7459" i="1"/>
  <c r="C7460" i="1"/>
  <c r="E7460" i="1"/>
  <c r="F7460" i="1"/>
  <c r="H7460" i="1"/>
  <c r="I7460" i="1"/>
  <c r="J7460" i="1"/>
  <c r="L7460" i="1"/>
  <c r="M7460" i="1"/>
  <c r="C7461" i="1"/>
  <c r="E7461" i="1"/>
  <c r="F7461" i="1"/>
  <c r="H7461" i="1"/>
  <c r="I7461" i="1"/>
  <c r="J7461" i="1"/>
  <c r="L7461" i="1"/>
  <c r="M7461" i="1"/>
  <c r="C7462" i="1"/>
  <c r="E7462" i="1"/>
  <c r="F7462" i="1"/>
  <c r="H7462" i="1"/>
  <c r="I7462" i="1"/>
  <c r="J7462" i="1"/>
  <c r="L7462" i="1"/>
  <c r="M7462" i="1"/>
  <c r="C7463" i="1"/>
  <c r="E7463" i="1"/>
  <c r="F7463" i="1"/>
  <c r="H7463" i="1"/>
  <c r="I7463" i="1"/>
  <c r="J7463" i="1"/>
  <c r="L7463" i="1"/>
  <c r="M7463" i="1"/>
  <c r="C7464" i="1"/>
  <c r="E7464" i="1"/>
  <c r="F7464" i="1"/>
  <c r="H7464" i="1"/>
  <c r="I7464" i="1"/>
  <c r="J7464" i="1"/>
  <c r="L7464" i="1"/>
  <c r="M7464" i="1"/>
  <c r="C7465" i="1"/>
  <c r="E7465" i="1"/>
  <c r="F7465" i="1"/>
  <c r="H7465" i="1"/>
  <c r="I7465" i="1"/>
  <c r="J7465" i="1"/>
  <c r="L7465" i="1"/>
  <c r="M7465" i="1"/>
  <c r="C7466" i="1"/>
  <c r="E7466" i="1"/>
  <c r="F7466" i="1"/>
  <c r="H7466" i="1"/>
  <c r="I7466" i="1"/>
  <c r="J7466" i="1"/>
  <c r="L7466" i="1"/>
  <c r="M7466" i="1"/>
  <c r="C7467" i="1"/>
  <c r="E7467" i="1"/>
  <c r="F7467" i="1"/>
  <c r="H7467" i="1"/>
  <c r="I7467" i="1"/>
  <c r="J7467" i="1"/>
  <c r="L7467" i="1"/>
  <c r="M7467" i="1"/>
  <c r="C7468" i="1"/>
  <c r="E7468" i="1"/>
  <c r="F7468" i="1"/>
  <c r="H7468" i="1"/>
  <c r="I7468" i="1"/>
  <c r="J7468" i="1"/>
  <c r="L7468" i="1"/>
  <c r="M7468" i="1"/>
  <c r="C7469" i="1"/>
  <c r="E7469" i="1"/>
  <c r="F7469" i="1"/>
  <c r="H7469" i="1"/>
  <c r="I7469" i="1"/>
  <c r="J7469" i="1"/>
  <c r="L7469" i="1"/>
  <c r="M7469" i="1"/>
  <c r="C7470" i="1"/>
  <c r="E7470" i="1"/>
  <c r="F7470" i="1"/>
  <c r="H7470" i="1"/>
  <c r="I7470" i="1"/>
  <c r="J7470" i="1"/>
  <c r="L7470" i="1"/>
  <c r="M7470" i="1"/>
  <c r="C7471" i="1"/>
  <c r="E7471" i="1"/>
  <c r="F7471" i="1"/>
  <c r="H7471" i="1"/>
  <c r="I7471" i="1"/>
  <c r="J7471" i="1"/>
  <c r="L7471" i="1"/>
  <c r="M7471" i="1"/>
  <c r="C7472" i="1"/>
  <c r="E7472" i="1"/>
  <c r="F7472" i="1"/>
  <c r="H7472" i="1"/>
  <c r="I7472" i="1"/>
  <c r="J7472" i="1"/>
  <c r="L7472" i="1"/>
  <c r="M7472" i="1"/>
  <c r="C7473" i="1"/>
  <c r="E7473" i="1"/>
  <c r="F7473" i="1"/>
  <c r="H7473" i="1"/>
  <c r="I7473" i="1"/>
  <c r="J7473" i="1"/>
  <c r="L7473" i="1"/>
  <c r="M7473" i="1"/>
  <c r="C7474" i="1"/>
  <c r="E7474" i="1"/>
  <c r="F7474" i="1"/>
  <c r="H7474" i="1"/>
  <c r="I7474" i="1"/>
  <c r="J7474" i="1"/>
  <c r="L7474" i="1"/>
  <c r="M7474" i="1"/>
  <c r="C7475" i="1"/>
  <c r="E7475" i="1"/>
  <c r="F7475" i="1"/>
  <c r="H7475" i="1"/>
  <c r="I7475" i="1"/>
  <c r="J7475" i="1"/>
  <c r="L7475" i="1"/>
  <c r="M7475" i="1"/>
  <c r="C7476" i="1"/>
  <c r="E7476" i="1"/>
  <c r="F7476" i="1"/>
  <c r="H7476" i="1"/>
  <c r="I7476" i="1"/>
  <c r="J7476" i="1"/>
  <c r="L7476" i="1"/>
  <c r="M7476" i="1"/>
  <c r="C7477" i="1"/>
  <c r="E7477" i="1"/>
  <c r="F7477" i="1"/>
  <c r="H7477" i="1"/>
  <c r="I7477" i="1"/>
  <c r="J7477" i="1"/>
  <c r="L7477" i="1"/>
  <c r="M7477" i="1"/>
  <c r="C7478" i="1"/>
  <c r="E7478" i="1"/>
  <c r="F7478" i="1"/>
  <c r="H7478" i="1"/>
  <c r="I7478" i="1"/>
  <c r="J7478" i="1"/>
  <c r="L7478" i="1"/>
  <c r="M7478" i="1"/>
  <c r="C7479" i="1"/>
  <c r="E7479" i="1"/>
  <c r="F7479" i="1"/>
  <c r="H7479" i="1"/>
  <c r="I7479" i="1"/>
  <c r="J7479" i="1"/>
  <c r="L7479" i="1"/>
  <c r="M7479" i="1"/>
  <c r="C7480" i="1"/>
  <c r="E7480" i="1"/>
  <c r="F7480" i="1"/>
  <c r="H7480" i="1"/>
  <c r="I7480" i="1"/>
  <c r="J7480" i="1"/>
  <c r="L7480" i="1"/>
  <c r="M7480" i="1"/>
  <c r="C7481" i="1"/>
  <c r="E7481" i="1"/>
  <c r="F7481" i="1"/>
  <c r="H7481" i="1"/>
  <c r="I7481" i="1"/>
  <c r="J7481" i="1"/>
  <c r="L7481" i="1"/>
  <c r="M7481" i="1"/>
  <c r="C7482" i="1"/>
  <c r="E7482" i="1"/>
  <c r="F7482" i="1"/>
  <c r="H7482" i="1"/>
  <c r="I7482" i="1"/>
  <c r="J7482" i="1"/>
  <c r="L7482" i="1"/>
  <c r="M7482" i="1"/>
  <c r="C7483" i="1"/>
  <c r="E7483" i="1"/>
  <c r="F7483" i="1"/>
  <c r="H7483" i="1"/>
  <c r="I7483" i="1"/>
  <c r="J7483" i="1"/>
  <c r="L7483" i="1"/>
  <c r="M7483" i="1"/>
  <c r="C7484" i="1"/>
  <c r="E7484" i="1"/>
  <c r="F7484" i="1"/>
  <c r="H7484" i="1"/>
  <c r="I7484" i="1"/>
  <c r="J7484" i="1"/>
  <c r="L7484" i="1"/>
  <c r="M7484" i="1"/>
  <c r="C7485" i="1"/>
  <c r="E7485" i="1"/>
  <c r="F7485" i="1"/>
  <c r="H7485" i="1"/>
  <c r="I7485" i="1"/>
  <c r="J7485" i="1"/>
  <c r="L7485" i="1"/>
  <c r="M7485" i="1"/>
  <c r="C7486" i="1"/>
  <c r="E7486" i="1"/>
  <c r="F7486" i="1"/>
  <c r="H7486" i="1"/>
  <c r="I7486" i="1"/>
  <c r="J7486" i="1"/>
  <c r="L7486" i="1"/>
  <c r="M7486" i="1"/>
  <c r="C7487" i="1"/>
  <c r="E7487" i="1"/>
  <c r="F7487" i="1"/>
  <c r="H7487" i="1"/>
  <c r="I7487" i="1"/>
  <c r="J7487" i="1"/>
  <c r="L7487" i="1"/>
  <c r="M7487" i="1"/>
  <c r="C7488" i="1"/>
  <c r="E7488" i="1"/>
  <c r="F7488" i="1"/>
  <c r="H7488" i="1"/>
  <c r="I7488" i="1"/>
  <c r="J7488" i="1"/>
  <c r="L7488" i="1"/>
  <c r="M7488" i="1"/>
  <c r="C7489" i="1"/>
  <c r="E7489" i="1"/>
  <c r="F7489" i="1"/>
  <c r="H7489" i="1"/>
  <c r="I7489" i="1"/>
  <c r="J7489" i="1"/>
  <c r="L7489" i="1"/>
  <c r="M7489" i="1"/>
  <c r="C7490" i="1"/>
  <c r="E7490" i="1"/>
  <c r="F7490" i="1"/>
  <c r="H7490" i="1"/>
  <c r="I7490" i="1"/>
  <c r="J7490" i="1"/>
  <c r="L7490" i="1"/>
  <c r="M7490" i="1"/>
  <c r="C7491" i="1"/>
  <c r="E7491" i="1"/>
  <c r="F7491" i="1"/>
  <c r="H7491" i="1"/>
  <c r="I7491" i="1"/>
  <c r="J7491" i="1"/>
  <c r="L7491" i="1"/>
  <c r="M7491" i="1"/>
  <c r="C7492" i="1"/>
  <c r="E7492" i="1"/>
  <c r="F7492" i="1"/>
  <c r="H7492" i="1"/>
  <c r="I7492" i="1"/>
  <c r="J7492" i="1"/>
  <c r="L7492" i="1"/>
  <c r="M7492" i="1"/>
  <c r="C7493" i="1"/>
  <c r="E7493" i="1"/>
  <c r="F7493" i="1"/>
  <c r="H7493" i="1"/>
  <c r="I7493" i="1"/>
  <c r="J7493" i="1"/>
  <c r="L7493" i="1"/>
  <c r="M7493" i="1"/>
  <c r="C7494" i="1"/>
  <c r="E7494" i="1"/>
  <c r="F7494" i="1"/>
  <c r="H7494" i="1"/>
  <c r="I7494" i="1"/>
  <c r="J7494" i="1"/>
  <c r="L7494" i="1"/>
  <c r="M7494" i="1"/>
  <c r="C7495" i="1"/>
  <c r="E7495" i="1"/>
  <c r="F7495" i="1"/>
  <c r="H7495" i="1"/>
  <c r="I7495" i="1"/>
  <c r="J7495" i="1"/>
  <c r="L7495" i="1"/>
  <c r="M7495" i="1"/>
  <c r="C7496" i="1"/>
  <c r="E7496" i="1"/>
  <c r="F7496" i="1"/>
  <c r="H7496" i="1"/>
  <c r="I7496" i="1"/>
  <c r="J7496" i="1"/>
  <c r="L7496" i="1"/>
  <c r="M7496" i="1"/>
  <c r="C7497" i="1"/>
  <c r="E7497" i="1"/>
  <c r="F7497" i="1"/>
  <c r="H7497" i="1"/>
  <c r="I7497" i="1"/>
  <c r="J7497" i="1"/>
  <c r="L7497" i="1"/>
  <c r="M7497" i="1"/>
  <c r="C7498" i="1"/>
  <c r="E7498" i="1"/>
  <c r="F7498" i="1"/>
  <c r="H7498" i="1"/>
  <c r="I7498" i="1"/>
  <c r="J7498" i="1"/>
  <c r="L7498" i="1"/>
  <c r="M7498" i="1"/>
  <c r="C7499" i="1"/>
  <c r="E7499" i="1"/>
  <c r="F7499" i="1"/>
  <c r="H7499" i="1"/>
  <c r="I7499" i="1"/>
  <c r="J7499" i="1"/>
  <c r="L7499" i="1"/>
  <c r="M7499" i="1"/>
  <c r="C7500" i="1"/>
  <c r="E7500" i="1"/>
  <c r="F7500" i="1"/>
  <c r="H7500" i="1"/>
  <c r="I7500" i="1"/>
  <c r="J7500" i="1"/>
  <c r="L7500" i="1"/>
  <c r="M7500" i="1"/>
  <c r="C7501" i="1"/>
  <c r="E7501" i="1"/>
  <c r="F7501" i="1"/>
  <c r="H7501" i="1"/>
  <c r="I7501" i="1"/>
  <c r="J7501" i="1"/>
  <c r="L7501" i="1"/>
  <c r="M7501" i="1"/>
  <c r="C7502" i="1"/>
  <c r="E7502" i="1"/>
  <c r="F7502" i="1"/>
  <c r="H7502" i="1"/>
  <c r="I7502" i="1"/>
  <c r="J7502" i="1"/>
  <c r="L7502" i="1"/>
  <c r="M7502" i="1"/>
  <c r="C7503" i="1"/>
  <c r="E7503" i="1"/>
  <c r="F7503" i="1"/>
  <c r="H7503" i="1"/>
  <c r="I7503" i="1"/>
  <c r="J7503" i="1"/>
  <c r="L7503" i="1"/>
  <c r="M7503" i="1"/>
  <c r="C7504" i="1"/>
  <c r="E7504" i="1"/>
  <c r="F7504" i="1"/>
  <c r="H7504" i="1"/>
  <c r="I7504" i="1"/>
  <c r="J7504" i="1"/>
  <c r="L7504" i="1"/>
  <c r="M7504" i="1"/>
  <c r="C7505" i="1"/>
  <c r="E7505" i="1"/>
  <c r="F7505" i="1"/>
  <c r="H7505" i="1"/>
  <c r="I7505" i="1"/>
  <c r="J7505" i="1"/>
  <c r="L7505" i="1"/>
  <c r="M7505" i="1"/>
  <c r="C7506" i="1"/>
  <c r="E7506" i="1"/>
  <c r="F7506" i="1"/>
  <c r="H7506" i="1"/>
  <c r="I7506" i="1"/>
  <c r="J7506" i="1"/>
  <c r="L7506" i="1"/>
  <c r="M7506" i="1"/>
  <c r="C7507" i="1"/>
  <c r="E7507" i="1"/>
  <c r="F7507" i="1"/>
  <c r="H7507" i="1"/>
  <c r="I7507" i="1"/>
  <c r="J7507" i="1"/>
  <c r="L7507" i="1"/>
  <c r="M7507" i="1"/>
  <c r="C7508" i="1"/>
  <c r="E7508" i="1"/>
  <c r="F7508" i="1"/>
  <c r="H7508" i="1"/>
  <c r="I7508" i="1"/>
  <c r="J7508" i="1"/>
  <c r="L7508" i="1"/>
  <c r="M7508" i="1"/>
  <c r="C7509" i="1"/>
  <c r="E7509" i="1"/>
  <c r="F7509" i="1"/>
  <c r="H7509" i="1"/>
  <c r="I7509" i="1"/>
  <c r="J7509" i="1"/>
  <c r="L7509" i="1"/>
  <c r="M7509" i="1"/>
  <c r="C7510" i="1"/>
  <c r="E7510" i="1"/>
  <c r="F7510" i="1"/>
  <c r="H7510" i="1"/>
  <c r="I7510" i="1"/>
  <c r="J7510" i="1"/>
  <c r="L7510" i="1"/>
  <c r="M7510" i="1"/>
  <c r="C7511" i="1"/>
  <c r="E7511" i="1"/>
  <c r="F7511" i="1"/>
  <c r="H7511" i="1"/>
  <c r="I7511" i="1"/>
  <c r="J7511" i="1"/>
  <c r="L7511" i="1"/>
  <c r="M7511" i="1"/>
  <c r="C7512" i="1"/>
  <c r="E7512" i="1"/>
  <c r="F7512" i="1"/>
  <c r="H7512" i="1"/>
  <c r="I7512" i="1"/>
  <c r="J7512" i="1"/>
  <c r="L7512" i="1"/>
  <c r="M7512" i="1"/>
  <c r="C7513" i="1"/>
  <c r="E7513" i="1"/>
  <c r="F7513" i="1"/>
  <c r="H7513" i="1"/>
  <c r="I7513" i="1"/>
  <c r="J7513" i="1"/>
  <c r="L7513" i="1"/>
  <c r="M7513" i="1"/>
  <c r="C7514" i="1"/>
  <c r="E7514" i="1"/>
  <c r="F7514" i="1"/>
  <c r="H7514" i="1"/>
  <c r="I7514" i="1"/>
  <c r="J7514" i="1"/>
  <c r="L7514" i="1"/>
  <c r="M7514" i="1"/>
  <c r="C7515" i="1"/>
  <c r="E7515" i="1"/>
  <c r="F7515" i="1"/>
  <c r="H7515" i="1"/>
  <c r="I7515" i="1"/>
  <c r="J7515" i="1"/>
  <c r="L7515" i="1"/>
  <c r="M7515" i="1"/>
  <c r="C7516" i="1"/>
  <c r="E7516" i="1"/>
  <c r="F7516" i="1"/>
  <c r="H7516" i="1"/>
  <c r="I7516" i="1"/>
  <c r="J7516" i="1"/>
  <c r="L7516" i="1"/>
  <c r="M7516" i="1"/>
  <c r="C7517" i="1"/>
  <c r="E7517" i="1"/>
  <c r="F7517" i="1"/>
  <c r="H7517" i="1"/>
  <c r="I7517" i="1"/>
  <c r="J7517" i="1"/>
  <c r="L7517" i="1"/>
  <c r="M7517" i="1"/>
  <c r="C7518" i="1"/>
  <c r="E7518" i="1"/>
  <c r="F7518" i="1"/>
  <c r="H7518" i="1"/>
  <c r="I7518" i="1"/>
  <c r="J7518" i="1"/>
  <c r="L7518" i="1"/>
  <c r="M7518" i="1"/>
  <c r="C7519" i="1"/>
  <c r="E7519" i="1"/>
  <c r="F7519" i="1"/>
  <c r="H7519" i="1"/>
  <c r="I7519" i="1"/>
  <c r="J7519" i="1"/>
  <c r="L7519" i="1"/>
  <c r="M7519" i="1"/>
  <c r="C7520" i="1"/>
  <c r="E7520" i="1"/>
  <c r="F7520" i="1"/>
  <c r="H7520" i="1"/>
  <c r="I7520" i="1"/>
  <c r="J7520" i="1"/>
  <c r="L7520" i="1"/>
  <c r="M7520" i="1"/>
  <c r="C7521" i="1"/>
  <c r="E7521" i="1"/>
  <c r="F7521" i="1"/>
  <c r="H7521" i="1"/>
  <c r="I7521" i="1"/>
  <c r="J7521" i="1"/>
  <c r="L7521" i="1"/>
  <c r="M7521" i="1"/>
  <c r="C7522" i="1"/>
  <c r="E7522" i="1"/>
  <c r="F7522" i="1"/>
  <c r="H7522" i="1"/>
  <c r="I7522" i="1"/>
  <c r="J7522" i="1"/>
  <c r="L7522" i="1"/>
  <c r="M7522" i="1"/>
  <c r="C7523" i="1"/>
  <c r="E7523" i="1"/>
  <c r="F7523" i="1"/>
  <c r="H7523" i="1"/>
  <c r="I7523" i="1"/>
  <c r="J7523" i="1"/>
  <c r="L7523" i="1"/>
  <c r="M7523" i="1"/>
  <c r="C7524" i="1"/>
  <c r="E7524" i="1"/>
  <c r="F7524" i="1"/>
  <c r="H7524" i="1"/>
  <c r="I7524" i="1"/>
  <c r="J7524" i="1"/>
  <c r="L7524" i="1"/>
  <c r="M7524" i="1"/>
  <c r="C7525" i="1"/>
  <c r="E7525" i="1"/>
  <c r="F7525" i="1"/>
  <c r="H7525" i="1"/>
  <c r="I7525" i="1"/>
  <c r="J7525" i="1"/>
  <c r="L7525" i="1"/>
  <c r="M7525" i="1"/>
  <c r="C7526" i="1"/>
  <c r="E7526" i="1"/>
  <c r="F7526" i="1"/>
  <c r="H7526" i="1"/>
  <c r="I7526" i="1"/>
  <c r="J7526" i="1"/>
  <c r="L7526" i="1"/>
  <c r="M7526" i="1"/>
  <c r="C7527" i="1"/>
  <c r="E7527" i="1"/>
  <c r="F7527" i="1"/>
  <c r="H7527" i="1"/>
  <c r="I7527" i="1"/>
  <c r="J7527" i="1"/>
  <c r="L7527" i="1"/>
  <c r="M7527" i="1"/>
  <c r="C7528" i="1"/>
  <c r="E7528" i="1"/>
  <c r="F7528" i="1"/>
  <c r="H7528" i="1"/>
  <c r="I7528" i="1"/>
  <c r="J7528" i="1"/>
  <c r="L7528" i="1"/>
  <c r="M7528" i="1"/>
  <c r="C7529" i="1"/>
  <c r="E7529" i="1"/>
  <c r="F7529" i="1"/>
  <c r="H7529" i="1"/>
  <c r="I7529" i="1"/>
  <c r="J7529" i="1"/>
  <c r="L7529" i="1"/>
  <c r="M7529" i="1"/>
  <c r="C7530" i="1"/>
  <c r="E7530" i="1"/>
  <c r="F7530" i="1"/>
  <c r="H7530" i="1"/>
  <c r="I7530" i="1"/>
  <c r="J7530" i="1"/>
  <c r="L7530" i="1"/>
  <c r="M7530" i="1"/>
  <c r="C7531" i="1"/>
  <c r="E7531" i="1"/>
  <c r="F7531" i="1"/>
  <c r="H7531" i="1"/>
  <c r="I7531" i="1"/>
  <c r="J7531" i="1"/>
  <c r="L7531" i="1"/>
  <c r="M7531" i="1"/>
  <c r="C7532" i="1"/>
  <c r="E7532" i="1"/>
  <c r="F7532" i="1"/>
  <c r="H7532" i="1"/>
  <c r="I7532" i="1"/>
  <c r="J7532" i="1"/>
  <c r="L7532" i="1"/>
  <c r="M7532" i="1"/>
  <c r="C7533" i="1"/>
  <c r="E7533" i="1"/>
  <c r="F7533" i="1"/>
  <c r="H7533" i="1"/>
  <c r="I7533" i="1"/>
  <c r="J7533" i="1"/>
  <c r="L7533" i="1"/>
  <c r="M7533" i="1"/>
  <c r="C7534" i="1"/>
  <c r="E7534" i="1"/>
  <c r="F7534" i="1"/>
  <c r="H7534" i="1"/>
  <c r="I7534" i="1"/>
  <c r="J7534" i="1"/>
  <c r="L7534" i="1"/>
  <c r="M7534" i="1"/>
  <c r="C7535" i="1"/>
  <c r="E7535" i="1"/>
  <c r="F7535" i="1"/>
  <c r="H7535" i="1"/>
  <c r="I7535" i="1"/>
  <c r="J7535" i="1"/>
  <c r="L7535" i="1"/>
  <c r="M7535" i="1"/>
  <c r="C7536" i="1"/>
  <c r="E7536" i="1"/>
  <c r="F7536" i="1"/>
  <c r="H7536" i="1"/>
  <c r="I7536" i="1"/>
  <c r="J7536" i="1"/>
  <c r="L7536" i="1"/>
  <c r="M7536" i="1"/>
  <c r="C7537" i="1"/>
  <c r="E7537" i="1"/>
  <c r="F7537" i="1"/>
  <c r="H7537" i="1"/>
  <c r="I7537" i="1"/>
  <c r="J7537" i="1"/>
  <c r="L7537" i="1"/>
  <c r="M7537" i="1"/>
  <c r="C7538" i="1"/>
  <c r="E7538" i="1"/>
  <c r="F7538" i="1"/>
  <c r="H7538" i="1"/>
  <c r="I7538" i="1"/>
  <c r="J7538" i="1"/>
  <c r="L7538" i="1"/>
  <c r="M7538" i="1"/>
  <c r="C7539" i="1"/>
  <c r="E7539" i="1"/>
  <c r="F7539" i="1"/>
  <c r="H7539" i="1"/>
  <c r="I7539" i="1"/>
  <c r="J7539" i="1"/>
  <c r="L7539" i="1"/>
  <c r="M7539" i="1"/>
  <c r="C7540" i="1"/>
  <c r="E7540" i="1"/>
  <c r="F7540" i="1"/>
  <c r="H7540" i="1"/>
  <c r="I7540" i="1"/>
  <c r="J7540" i="1"/>
  <c r="L7540" i="1"/>
  <c r="M7540" i="1"/>
  <c r="C7541" i="1"/>
  <c r="E7541" i="1"/>
  <c r="F7541" i="1"/>
  <c r="H7541" i="1"/>
  <c r="I7541" i="1"/>
  <c r="J7541" i="1"/>
  <c r="L7541" i="1"/>
  <c r="M7541" i="1"/>
  <c r="C7542" i="1"/>
  <c r="E7542" i="1"/>
  <c r="F7542" i="1"/>
  <c r="H7542" i="1"/>
  <c r="I7542" i="1"/>
  <c r="J7542" i="1"/>
  <c r="L7542" i="1"/>
  <c r="M7542" i="1"/>
  <c r="C7543" i="1"/>
  <c r="E7543" i="1"/>
  <c r="F7543" i="1"/>
  <c r="H7543" i="1"/>
  <c r="I7543" i="1"/>
  <c r="J7543" i="1"/>
  <c r="L7543" i="1"/>
  <c r="M7543" i="1"/>
  <c r="C7544" i="1"/>
  <c r="E7544" i="1"/>
  <c r="F7544" i="1"/>
  <c r="H7544" i="1"/>
  <c r="I7544" i="1"/>
  <c r="J7544" i="1"/>
  <c r="L7544" i="1"/>
  <c r="M7544" i="1"/>
  <c r="C7545" i="1"/>
  <c r="E7545" i="1"/>
  <c r="F7545" i="1"/>
  <c r="H7545" i="1"/>
  <c r="I7545" i="1"/>
  <c r="J7545" i="1"/>
  <c r="L7545" i="1"/>
  <c r="M7545" i="1"/>
  <c r="C7546" i="1"/>
  <c r="E7546" i="1"/>
  <c r="F7546" i="1"/>
  <c r="H7546" i="1"/>
  <c r="I7546" i="1"/>
  <c r="J7546" i="1"/>
  <c r="L7546" i="1"/>
  <c r="M7546" i="1"/>
  <c r="C7547" i="1"/>
  <c r="E7547" i="1"/>
  <c r="F7547" i="1"/>
  <c r="H7547" i="1"/>
  <c r="I7547" i="1"/>
  <c r="J7547" i="1"/>
  <c r="L7547" i="1"/>
  <c r="M7547" i="1"/>
  <c r="C7548" i="1"/>
  <c r="E7548" i="1"/>
  <c r="F7548" i="1"/>
  <c r="H7548" i="1"/>
  <c r="I7548" i="1"/>
  <c r="J7548" i="1"/>
  <c r="L7548" i="1"/>
  <c r="M7548" i="1"/>
  <c r="C7549" i="1"/>
  <c r="E7549" i="1"/>
  <c r="F7549" i="1"/>
  <c r="H7549" i="1"/>
  <c r="I7549" i="1"/>
  <c r="J7549" i="1"/>
  <c r="L7549" i="1"/>
  <c r="M7549" i="1"/>
  <c r="C7550" i="1"/>
  <c r="E7550" i="1"/>
  <c r="F7550" i="1"/>
  <c r="H7550" i="1"/>
  <c r="I7550" i="1"/>
  <c r="J7550" i="1"/>
  <c r="L7550" i="1"/>
  <c r="M7550" i="1"/>
  <c r="C7551" i="1"/>
  <c r="E7551" i="1"/>
  <c r="F7551" i="1"/>
  <c r="H7551" i="1"/>
  <c r="I7551" i="1"/>
  <c r="J7551" i="1"/>
  <c r="L7551" i="1"/>
  <c r="M7551" i="1"/>
  <c r="C7552" i="1"/>
  <c r="E7552" i="1"/>
  <c r="F7552" i="1"/>
  <c r="H7552" i="1"/>
  <c r="I7552" i="1"/>
  <c r="J7552" i="1"/>
  <c r="L7552" i="1"/>
  <c r="M7552" i="1"/>
  <c r="C7553" i="1"/>
  <c r="E7553" i="1"/>
  <c r="F7553" i="1"/>
  <c r="H7553" i="1"/>
  <c r="I7553" i="1"/>
  <c r="J7553" i="1"/>
  <c r="L7553" i="1"/>
  <c r="M7553" i="1"/>
  <c r="C7554" i="1"/>
  <c r="E7554" i="1"/>
  <c r="F7554" i="1"/>
  <c r="H7554" i="1"/>
  <c r="I7554" i="1"/>
  <c r="J7554" i="1"/>
  <c r="L7554" i="1"/>
  <c r="M7554" i="1"/>
  <c r="C7555" i="1"/>
  <c r="E7555" i="1"/>
  <c r="F7555" i="1"/>
  <c r="H7555" i="1"/>
  <c r="I7555" i="1"/>
  <c r="J7555" i="1"/>
  <c r="L7555" i="1"/>
  <c r="M7555" i="1"/>
  <c r="C7556" i="1"/>
  <c r="E7556" i="1"/>
  <c r="F7556" i="1"/>
  <c r="H7556" i="1"/>
  <c r="I7556" i="1"/>
  <c r="J7556" i="1"/>
  <c r="L7556" i="1"/>
  <c r="M7556" i="1"/>
  <c r="C7557" i="1"/>
  <c r="E7557" i="1"/>
  <c r="F7557" i="1"/>
  <c r="H7557" i="1"/>
  <c r="I7557" i="1"/>
  <c r="J7557" i="1"/>
  <c r="L7557" i="1"/>
  <c r="M7557" i="1"/>
  <c r="C7558" i="1"/>
  <c r="E7558" i="1"/>
  <c r="F7558" i="1"/>
  <c r="H7558" i="1"/>
  <c r="I7558" i="1"/>
  <c r="J7558" i="1"/>
  <c r="L7558" i="1"/>
  <c r="M7558" i="1"/>
  <c r="C7559" i="1"/>
  <c r="E7559" i="1"/>
  <c r="F7559" i="1"/>
  <c r="H7559" i="1"/>
  <c r="I7559" i="1"/>
  <c r="J7559" i="1"/>
  <c r="L7559" i="1"/>
  <c r="M7559" i="1"/>
  <c r="C7560" i="1"/>
  <c r="E7560" i="1"/>
  <c r="F7560" i="1"/>
  <c r="H7560" i="1"/>
  <c r="I7560" i="1"/>
  <c r="J7560" i="1"/>
  <c r="L7560" i="1"/>
  <c r="M7560" i="1"/>
  <c r="C7561" i="1"/>
  <c r="E7561" i="1"/>
  <c r="F7561" i="1"/>
  <c r="H7561" i="1"/>
  <c r="I7561" i="1"/>
  <c r="J7561" i="1"/>
  <c r="L7561" i="1"/>
  <c r="M7561" i="1"/>
  <c r="C7562" i="1"/>
  <c r="E7562" i="1"/>
  <c r="F7562" i="1"/>
  <c r="H7562" i="1"/>
  <c r="I7562" i="1"/>
  <c r="J7562" i="1"/>
  <c r="L7562" i="1"/>
  <c r="M7562" i="1"/>
  <c r="C7563" i="1"/>
  <c r="E7563" i="1"/>
  <c r="F7563" i="1"/>
  <c r="H7563" i="1"/>
  <c r="I7563" i="1"/>
  <c r="J7563" i="1"/>
  <c r="L7563" i="1"/>
  <c r="M7563" i="1"/>
  <c r="C7564" i="1"/>
  <c r="E7564" i="1"/>
  <c r="F7564" i="1"/>
  <c r="H7564" i="1"/>
  <c r="I7564" i="1"/>
  <c r="J7564" i="1"/>
  <c r="L7564" i="1"/>
  <c r="M7564" i="1"/>
  <c r="C7565" i="1"/>
  <c r="E7565" i="1"/>
  <c r="F7565" i="1"/>
  <c r="H7565" i="1"/>
  <c r="I7565" i="1"/>
  <c r="J7565" i="1"/>
  <c r="L7565" i="1"/>
  <c r="M7565" i="1"/>
  <c r="C7566" i="1"/>
  <c r="E7566" i="1"/>
  <c r="F7566" i="1"/>
  <c r="H7566" i="1"/>
  <c r="I7566" i="1"/>
  <c r="J7566" i="1"/>
  <c r="L7566" i="1"/>
  <c r="M7566" i="1"/>
  <c r="C7567" i="1"/>
  <c r="E7567" i="1"/>
  <c r="F7567" i="1"/>
  <c r="H7567" i="1"/>
  <c r="I7567" i="1"/>
  <c r="J7567" i="1"/>
  <c r="L7567" i="1"/>
  <c r="M7567" i="1"/>
  <c r="C7568" i="1"/>
  <c r="E7568" i="1"/>
  <c r="F7568" i="1"/>
  <c r="H7568" i="1"/>
  <c r="I7568" i="1"/>
  <c r="J7568" i="1"/>
  <c r="L7568" i="1"/>
  <c r="M7568" i="1"/>
  <c r="C7569" i="1"/>
  <c r="E7569" i="1"/>
  <c r="F7569" i="1"/>
  <c r="H7569" i="1"/>
  <c r="I7569" i="1"/>
  <c r="J7569" i="1"/>
  <c r="L7569" i="1"/>
  <c r="M7569" i="1"/>
  <c r="C7570" i="1"/>
  <c r="E7570" i="1"/>
  <c r="F7570" i="1"/>
  <c r="H7570" i="1"/>
  <c r="I7570" i="1"/>
  <c r="J7570" i="1"/>
  <c r="L7570" i="1"/>
  <c r="M7570" i="1"/>
  <c r="C7571" i="1"/>
  <c r="E7571" i="1"/>
  <c r="F7571" i="1"/>
  <c r="H7571" i="1"/>
  <c r="I7571" i="1"/>
  <c r="J7571" i="1"/>
  <c r="L7571" i="1"/>
  <c r="M7571" i="1"/>
  <c r="C7572" i="1"/>
  <c r="E7572" i="1"/>
  <c r="F7572" i="1"/>
  <c r="H7572" i="1"/>
  <c r="I7572" i="1"/>
  <c r="J7572" i="1"/>
  <c r="L7572" i="1"/>
  <c r="M7572" i="1"/>
  <c r="C7573" i="1"/>
  <c r="E7573" i="1"/>
  <c r="F7573" i="1"/>
  <c r="H7573" i="1"/>
  <c r="I7573" i="1"/>
  <c r="J7573" i="1"/>
  <c r="L7573" i="1"/>
  <c r="M7573" i="1"/>
  <c r="C7574" i="1"/>
  <c r="E7574" i="1"/>
  <c r="F7574" i="1"/>
  <c r="H7574" i="1"/>
  <c r="I7574" i="1"/>
  <c r="J7574" i="1"/>
  <c r="L7574" i="1"/>
  <c r="M7574" i="1"/>
  <c r="C7575" i="1"/>
  <c r="E7575" i="1"/>
  <c r="F7575" i="1"/>
  <c r="H7575" i="1"/>
  <c r="I7575" i="1"/>
  <c r="J7575" i="1"/>
  <c r="L7575" i="1"/>
  <c r="M7575" i="1"/>
  <c r="C7576" i="1"/>
  <c r="E7576" i="1"/>
  <c r="F7576" i="1"/>
  <c r="H7576" i="1"/>
  <c r="I7576" i="1"/>
  <c r="J7576" i="1"/>
  <c r="L7576" i="1"/>
  <c r="M7576" i="1"/>
  <c r="C7577" i="1"/>
  <c r="E7577" i="1"/>
  <c r="F7577" i="1"/>
  <c r="H7577" i="1"/>
  <c r="I7577" i="1"/>
  <c r="J7577" i="1"/>
  <c r="L7577" i="1"/>
  <c r="M7577" i="1"/>
  <c r="C7578" i="1"/>
  <c r="E7578" i="1"/>
  <c r="F7578" i="1"/>
  <c r="H7578" i="1"/>
  <c r="I7578" i="1"/>
  <c r="J7578" i="1"/>
  <c r="L7578" i="1"/>
  <c r="M7578" i="1"/>
  <c r="C7579" i="1"/>
  <c r="E7579" i="1"/>
  <c r="F7579" i="1"/>
  <c r="H7579" i="1"/>
  <c r="I7579" i="1"/>
  <c r="J7579" i="1"/>
  <c r="L7579" i="1"/>
  <c r="M7579" i="1"/>
  <c r="C7580" i="1"/>
  <c r="E7580" i="1"/>
  <c r="F7580" i="1"/>
  <c r="H7580" i="1"/>
  <c r="I7580" i="1"/>
  <c r="J7580" i="1"/>
  <c r="L7580" i="1"/>
  <c r="M7580" i="1"/>
  <c r="C7581" i="1"/>
  <c r="E7581" i="1"/>
  <c r="F7581" i="1"/>
  <c r="H7581" i="1"/>
  <c r="I7581" i="1"/>
  <c r="J7581" i="1"/>
  <c r="L7581" i="1"/>
  <c r="M7581" i="1"/>
  <c r="C7582" i="1"/>
  <c r="E7582" i="1"/>
  <c r="F7582" i="1"/>
  <c r="H7582" i="1"/>
  <c r="I7582" i="1"/>
  <c r="J7582" i="1"/>
  <c r="L7582" i="1"/>
  <c r="M7582" i="1"/>
  <c r="C7583" i="1"/>
  <c r="E7583" i="1"/>
  <c r="F7583" i="1"/>
  <c r="H7583" i="1"/>
  <c r="I7583" i="1"/>
  <c r="J7583" i="1"/>
  <c r="L7583" i="1"/>
  <c r="M7583" i="1"/>
  <c r="C7584" i="1"/>
  <c r="E7584" i="1"/>
  <c r="F7584" i="1"/>
  <c r="H7584" i="1"/>
  <c r="I7584" i="1"/>
  <c r="J7584" i="1"/>
  <c r="L7584" i="1"/>
  <c r="M7584" i="1"/>
  <c r="C7585" i="1"/>
  <c r="E7585" i="1"/>
  <c r="F7585" i="1"/>
  <c r="H7585" i="1"/>
  <c r="I7585" i="1"/>
  <c r="J7585" i="1"/>
  <c r="L7585" i="1"/>
  <c r="M7585" i="1"/>
  <c r="C7586" i="1"/>
  <c r="E7586" i="1"/>
  <c r="F7586" i="1"/>
  <c r="H7586" i="1"/>
  <c r="I7586" i="1"/>
  <c r="J7586" i="1"/>
  <c r="L7586" i="1"/>
  <c r="M7586" i="1"/>
  <c r="C7587" i="1"/>
  <c r="E7587" i="1"/>
  <c r="F7587" i="1"/>
  <c r="H7587" i="1"/>
  <c r="I7587" i="1"/>
  <c r="J7587" i="1"/>
  <c r="L7587" i="1"/>
  <c r="M7587" i="1"/>
  <c r="C7588" i="1"/>
  <c r="E7588" i="1"/>
  <c r="F7588" i="1"/>
  <c r="H7588" i="1"/>
  <c r="I7588" i="1"/>
  <c r="J7588" i="1"/>
  <c r="L7588" i="1"/>
  <c r="M7588" i="1"/>
  <c r="C7589" i="1"/>
  <c r="E7589" i="1"/>
  <c r="F7589" i="1"/>
  <c r="H7589" i="1"/>
  <c r="I7589" i="1"/>
  <c r="J7589" i="1"/>
  <c r="L7589" i="1"/>
  <c r="M7589" i="1"/>
  <c r="C7590" i="1"/>
  <c r="E7590" i="1"/>
  <c r="F7590" i="1"/>
  <c r="H7590" i="1"/>
  <c r="I7590" i="1"/>
  <c r="J7590" i="1"/>
  <c r="L7590" i="1"/>
  <c r="M7590" i="1"/>
  <c r="C7591" i="1"/>
  <c r="E7591" i="1"/>
  <c r="F7591" i="1"/>
  <c r="H7591" i="1"/>
  <c r="I7591" i="1"/>
  <c r="J7591" i="1"/>
  <c r="L7591" i="1"/>
  <c r="M7591" i="1"/>
  <c r="C7592" i="1"/>
  <c r="E7592" i="1"/>
  <c r="F7592" i="1"/>
  <c r="H7592" i="1"/>
  <c r="I7592" i="1"/>
  <c r="J7592" i="1"/>
  <c r="L7592" i="1"/>
  <c r="M7592" i="1"/>
  <c r="C7593" i="1"/>
  <c r="E7593" i="1"/>
  <c r="F7593" i="1"/>
  <c r="H7593" i="1"/>
  <c r="I7593" i="1"/>
  <c r="J7593" i="1"/>
  <c r="L7593" i="1"/>
  <c r="M7593" i="1"/>
  <c r="C7594" i="1"/>
  <c r="E7594" i="1"/>
  <c r="F7594" i="1"/>
  <c r="H7594" i="1"/>
  <c r="I7594" i="1"/>
  <c r="J7594" i="1"/>
  <c r="L7594" i="1"/>
  <c r="M7594" i="1"/>
  <c r="C7595" i="1"/>
  <c r="E7595" i="1"/>
  <c r="F7595" i="1"/>
  <c r="H7595" i="1"/>
  <c r="I7595" i="1"/>
  <c r="J7595" i="1"/>
  <c r="L7595" i="1"/>
  <c r="M7595" i="1"/>
  <c r="C7596" i="1"/>
  <c r="E7596" i="1"/>
  <c r="F7596" i="1"/>
  <c r="H7596" i="1"/>
  <c r="I7596" i="1"/>
  <c r="J7596" i="1"/>
  <c r="L7596" i="1"/>
  <c r="M7596" i="1"/>
  <c r="C7597" i="1"/>
  <c r="E7597" i="1"/>
  <c r="F7597" i="1"/>
  <c r="H7597" i="1"/>
  <c r="I7597" i="1"/>
  <c r="J7597" i="1"/>
  <c r="L7597" i="1"/>
  <c r="M7597" i="1"/>
  <c r="C7598" i="1"/>
  <c r="E7598" i="1"/>
  <c r="F7598" i="1"/>
  <c r="H7598" i="1"/>
  <c r="I7598" i="1"/>
  <c r="J7598" i="1"/>
  <c r="L7598" i="1"/>
  <c r="M7598" i="1"/>
  <c r="C7599" i="1"/>
  <c r="E7599" i="1"/>
  <c r="F7599" i="1"/>
  <c r="H7599" i="1"/>
  <c r="I7599" i="1"/>
  <c r="J7599" i="1"/>
  <c r="L7599" i="1"/>
  <c r="M7599" i="1"/>
  <c r="C7600" i="1"/>
  <c r="E7600" i="1"/>
  <c r="F7600" i="1"/>
  <c r="H7600" i="1"/>
  <c r="I7600" i="1"/>
  <c r="J7600" i="1"/>
  <c r="L7600" i="1"/>
  <c r="M7600" i="1"/>
  <c r="C7601" i="1"/>
  <c r="E7601" i="1"/>
  <c r="F7601" i="1"/>
  <c r="H7601" i="1"/>
  <c r="I7601" i="1"/>
  <c r="J7601" i="1"/>
  <c r="L7601" i="1"/>
  <c r="M7601" i="1"/>
  <c r="C7602" i="1"/>
  <c r="E7602" i="1"/>
  <c r="F7602" i="1"/>
  <c r="H7602" i="1"/>
  <c r="I7602" i="1"/>
  <c r="J7602" i="1"/>
  <c r="L7602" i="1"/>
  <c r="M7602" i="1"/>
  <c r="C7603" i="1"/>
  <c r="E7603" i="1"/>
  <c r="F7603" i="1"/>
  <c r="H7603" i="1"/>
  <c r="I7603" i="1"/>
  <c r="J7603" i="1"/>
  <c r="L7603" i="1"/>
  <c r="M7603" i="1"/>
  <c r="C7604" i="1"/>
  <c r="E7604" i="1"/>
  <c r="F7604" i="1"/>
  <c r="H7604" i="1"/>
  <c r="I7604" i="1"/>
  <c r="J7604" i="1"/>
  <c r="L7604" i="1"/>
  <c r="M7604" i="1"/>
  <c r="C7605" i="1"/>
  <c r="E7605" i="1"/>
  <c r="F7605" i="1"/>
  <c r="H7605" i="1"/>
  <c r="I7605" i="1"/>
  <c r="J7605" i="1"/>
  <c r="L7605" i="1"/>
  <c r="M7605" i="1"/>
  <c r="C7606" i="1"/>
  <c r="E7606" i="1"/>
  <c r="F7606" i="1"/>
  <c r="H7606" i="1"/>
  <c r="I7606" i="1"/>
  <c r="J7606" i="1"/>
  <c r="L7606" i="1"/>
  <c r="M7606" i="1"/>
  <c r="C7607" i="1"/>
  <c r="E7607" i="1"/>
  <c r="F7607" i="1"/>
  <c r="H7607" i="1"/>
  <c r="I7607" i="1"/>
  <c r="J7607" i="1"/>
  <c r="L7607" i="1"/>
  <c r="M7607" i="1"/>
  <c r="C7608" i="1"/>
  <c r="E7608" i="1"/>
  <c r="F7608" i="1"/>
  <c r="H7608" i="1"/>
  <c r="I7608" i="1"/>
  <c r="J7608" i="1"/>
  <c r="L7608" i="1"/>
  <c r="M7608" i="1"/>
  <c r="C7609" i="1"/>
  <c r="E7609" i="1"/>
  <c r="F7609" i="1"/>
  <c r="H7609" i="1"/>
  <c r="I7609" i="1"/>
  <c r="J7609" i="1"/>
  <c r="L7609" i="1"/>
  <c r="M7609" i="1"/>
  <c r="C7610" i="1"/>
  <c r="E7610" i="1"/>
  <c r="F7610" i="1"/>
  <c r="H7610" i="1"/>
  <c r="I7610" i="1"/>
  <c r="J7610" i="1"/>
  <c r="L7610" i="1"/>
  <c r="M7610" i="1"/>
  <c r="C7611" i="1"/>
  <c r="E7611" i="1"/>
  <c r="F7611" i="1"/>
  <c r="H7611" i="1"/>
  <c r="I7611" i="1"/>
  <c r="J7611" i="1"/>
  <c r="L7611" i="1"/>
  <c r="M7611" i="1"/>
  <c r="C7612" i="1"/>
  <c r="E7612" i="1"/>
  <c r="F7612" i="1"/>
  <c r="H7612" i="1"/>
  <c r="I7612" i="1"/>
  <c r="J7612" i="1"/>
  <c r="L7612" i="1"/>
  <c r="M7612" i="1"/>
  <c r="C7613" i="1"/>
  <c r="E7613" i="1"/>
  <c r="F7613" i="1"/>
  <c r="H7613" i="1"/>
  <c r="I7613" i="1"/>
  <c r="J7613" i="1"/>
  <c r="L7613" i="1"/>
  <c r="M7613" i="1"/>
  <c r="C7614" i="1"/>
  <c r="E7614" i="1"/>
  <c r="F7614" i="1"/>
  <c r="H7614" i="1"/>
  <c r="I7614" i="1"/>
  <c r="J7614" i="1"/>
  <c r="L7614" i="1"/>
  <c r="M7614" i="1"/>
  <c r="C7615" i="1"/>
  <c r="E7615" i="1"/>
  <c r="F7615" i="1"/>
  <c r="H7615" i="1"/>
  <c r="I7615" i="1"/>
  <c r="J7615" i="1"/>
  <c r="L7615" i="1"/>
  <c r="M7615" i="1"/>
  <c r="C7616" i="1"/>
  <c r="E7616" i="1"/>
  <c r="F7616" i="1"/>
  <c r="H7616" i="1"/>
  <c r="I7616" i="1"/>
  <c r="J7616" i="1"/>
  <c r="L7616" i="1"/>
  <c r="M7616" i="1"/>
  <c r="C7617" i="1"/>
  <c r="E7617" i="1"/>
  <c r="F7617" i="1"/>
  <c r="H7617" i="1"/>
  <c r="I7617" i="1"/>
  <c r="J7617" i="1"/>
  <c r="L7617" i="1"/>
  <c r="M7617" i="1"/>
  <c r="C7618" i="1"/>
  <c r="E7618" i="1"/>
  <c r="F7618" i="1"/>
  <c r="H7618" i="1"/>
  <c r="I7618" i="1"/>
  <c r="J7618" i="1"/>
  <c r="L7618" i="1"/>
  <c r="M7618" i="1"/>
  <c r="C7619" i="1"/>
  <c r="E7619" i="1"/>
  <c r="F7619" i="1"/>
  <c r="H7619" i="1"/>
  <c r="I7619" i="1"/>
  <c r="J7619" i="1"/>
  <c r="L7619" i="1"/>
  <c r="M7619" i="1"/>
  <c r="C7620" i="1"/>
  <c r="E7620" i="1"/>
  <c r="F7620" i="1"/>
  <c r="H7620" i="1"/>
  <c r="I7620" i="1"/>
  <c r="J7620" i="1"/>
  <c r="L7620" i="1"/>
  <c r="M7620" i="1"/>
  <c r="C7621" i="1"/>
  <c r="E7621" i="1"/>
  <c r="F7621" i="1"/>
  <c r="H7621" i="1"/>
  <c r="I7621" i="1"/>
  <c r="J7621" i="1"/>
  <c r="L7621" i="1"/>
  <c r="M7621" i="1"/>
  <c r="C7622" i="1"/>
  <c r="E7622" i="1"/>
  <c r="F7622" i="1"/>
  <c r="H7622" i="1"/>
  <c r="I7622" i="1"/>
  <c r="J7622" i="1"/>
  <c r="L7622" i="1"/>
  <c r="M7622" i="1"/>
  <c r="C7623" i="1"/>
  <c r="E7623" i="1"/>
  <c r="F7623" i="1"/>
  <c r="H7623" i="1"/>
  <c r="I7623" i="1"/>
  <c r="J7623" i="1"/>
  <c r="L7623" i="1"/>
  <c r="M7623" i="1"/>
  <c r="C7624" i="1"/>
  <c r="E7624" i="1"/>
  <c r="F7624" i="1"/>
  <c r="H7624" i="1"/>
  <c r="I7624" i="1"/>
  <c r="J7624" i="1"/>
  <c r="L7624" i="1"/>
  <c r="M7624" i="1"/>
  <c r="C7625" i="1"/>
  <c r="E7625" i="1"/>
  <c r="F7625" i="1"/>
  <c r="H7625" i="1"/>
  <c r="I7625" i="1"/>
  <c r="J7625" i="1"/>
  <c r="L7625" i="1"/>
  <c r="M7625" i="1"/>
  <c r="C7626" i="1"/>
  <c r="E7626" i="1"/>
  <c r="F7626" i="1"/>
  <c r="H7626" i="1"/>
  <c r="I7626" i="1"/>
  <c r="J7626" i="1"/>
  <c r="L7626" i="1"/>
  <c r="M7626" i="1"/>
  <c r="C7627" i="1"/>
  <c r="E7627" i="1"/>
  <c r="F7627" i="1"/>
  <c r="H7627" i="1"/>
  <c r="I7627" i="1"/>
  <c r="J7627" i="1"/>
  <c r="L7627" i="1"/>
  <c r="M7627" i="1"/>
  <c r="C7628" i="1"/>
  <c r="E7628" i="1"/>
  <c r="F7628" i="1"/>
  <c r="H7628" i="1"/>
  <c r="I7628" i="1"/>
  <c r="J7628" i="1"/>
  <c r="L7628" i="1"/>
  <c r="M7628" i="1"/>
  <c r="C7629" i="1"/>
  <c r="E7629" i="1"/>
  <c r="F7629" i="1"/>
  <c r="H7629" i="1"/>
  <c r="I7629" i="1"/>
  <c r="J7629" i="1"/>
  <c r="L7629" i="1"/>
  <c r="M7629" i="1"/>
  <c r="C7630" i="1"/>
  <c r="E7630" i="1"/>
  <c r="F7630" i="1"/>
  <c r="H7630" i="1"/>
  <c r="I7630" i="1"/>
  <c r="J7630" i="1"/>
  <c r="L7630" i="1"/>
  <c r="M7630" i="1"/>
  <c r="C7631" i="1"/>
  <c r="E7631" i="1"/>
  <c r="F7631" i="1"/>
  <c r="H7631" i="1"/>
  <c r="I7631" i="1"/>
  <c r="J7631" i="1"/>
  <c r="L7631" i="1"/>
  <c r="M7631" i="1"/>
  <c r="C7632" i="1"/>
  <c r="E7632" i="1"/>
  <c r="F7632" i="1"/>
  <c r="H7632" i="1"/>
  <c r="I7632" i="1"/>
  <c r="J7632" i="1"/>
  <c r="L7632" i="1"/>
  <c r="M7632" i="1"/>
  <c r="C7633" i="1"/>
  <c r="E7633" i="1"/>
  <c r="F7633" i="1"/>
  <c r="H7633" i="1"/>
  <c r="I7633" i="1"/>
  <c r="J7633" i="1"/>
  <c r="L7633" i="1"/>
  <c r="M7633" i="1"/>
  <c r="C7634" i="1"/>
  <c r="E7634" i="1"/>
  <c r="F7634" i="1"/>
  <c r="H7634" i="1"/>
  <c r="I7634" i="1"/>
  <c r="J7634" i="1"/>
  <c r="L7634" i="1"/>
  <c r="M7634" i="1"/>
  <c r="C7635" i="1"/>
  <c r="E7635" i="1"/>
  <c r="F7635" i="1"/>
  <c r="H7635" i="1"/>
  <c r="I7635" i="1"/>
  <c r="J7635" i="1"/>
  <c r="L7635" i="1"/>
  <c r="M7635" i="1"/>
  <c r="C7636" i="1"/>
  <c r="E7636" i="1"/>
  <c r="F7636" i="1"/>
  <c r="H7636" i="1"/>
  <c r="I7636" i="1"/>
  <c r="J7636" i="1"/>
  <c r="L7636" i="1"/>
  <c r="M7636" i="1"/>
  <c r="C7637" i="1"/>
  <c r="E7637" i="1"/>
  <c r="F7637" i="1"/>
  <c r="H7637" i="1"/>
  <c r="I7637" i="1"/>
  <c r="J7637" i="1"/>
  <c r="L7637" i="1"/>
  <c r="M7637" i="1"/>
  <c r="C7638" i="1"/>
  <c r="E7638" i="1"/>
  <c r="F7638" i="1"/>
  <c r="H7638" i="1"/>
  <c r="I7638" i="1"/>
  <c r="J7638" i="1"/>
  <c r="L7638" i="1"/>
  <c r="M7638" i="1"/>
  <c r="C7639" i="1"/>
  <c r="E7639" i="1"/>
  <c r="F7639" i="1"/>
  <c r="H7639" i="1"/>
  <c r="I7639" i="1"/>
  <c r="J7639" i="1"/>
  <c r="L7639" i="1"/>
  <c r="M7639" i="1"/>
  <c r="C7640" i="1"/>
  <c r="E7640" i="1"/>
  <c r="F7640" i="1"/>
  <c r="H7640" i="1"/>
  <c r="I7640" i="1"/>
  <c r="J7640" i="1"/>
  <c r="L7640" i="1"/>
  <c r="M7640" i="1"/>
  <c r="C7641" i="1"/>
  <c r="E7641" i="1"/>
  <c r="F7641" i="1"/>
  <c r="H7641" i="1"/>
  <c r="I7641" i="1"/>
  <c r="J7641" i="1"/>
  <c r="L7641" i="1"/>
  <c r="M7641" i="1"/>
  <c r="C7642" i="1"/>
  <c r="E7642" i="1"/>
  <c r="F7642" i="1"/>
  <c r="H7642" i="1"/>
  <c r="I7642" i="1"/>
  <c r="J7642" i="1"/>
  <c r="L7642" i="1"/>
  <c r="M7642" i="1"/>
  <c r="C7643" i="1"/>
  <c r="E7643" i="1"/>
  <c r="F7643" i="1"/>
  <c r="H7643" i="1"/>
  <c r="I7643" i="1"/>
  <c r="J7643" i="1"/>
  <c r="L7643" i="1"/>
  <c r="M7643" i="1"/>
  <c r="C7644" i="1"/>
  <c r="E7644" i="1"/>
  <c r="F7644" i="1"/>
  <c r="H7644" i="1"/>
  <c r="I7644" i="1"/>
  <c r="J7644" i="1"/>
  <c r="L7644" i="1"/>
  <c r="M7644" i="1"/>
  <c r="C7645" i="1"/>
  <c r="E7645" i="1"/>
  <c r="F7645" i="1"/>
  <c r="H7645" i="1"/>
  <c r="I7645" i="1"/>
  <c r="J7645" i="1"/>
  <c r="L7645" i="1"/>
  <c r="M7645" i="1"/>
  <c r="C7646" i="1"/>
  <c r="E7646" i="1"/>
  <c r="F7646" i="1"/>
  <c r="H7646" i="1"/>
  <c r="I7646" i="1"/>
  <c r="J7646" i="1"/>
  <c r="L7646" i="1"/>
  <c r="M7646" i="1"/>
  <c r="C7647" i="1"/>
  <c r="E7647" i="1"/>
  <c r="F7647" i="1"/>
  <c r="H7647" i="1"/>
  <c r="I7647" i="1"/>
  <c r="J7647" i="1"/>
  <c r="L7647" i="1"/>
  <c r="M7647" i="1"/>
  <c r="C7648" i="1"/>
  <c r="E7648" i="1"/>
  <c r="F7648" i="1"/>
  <c r="H7648" i="1"/>
  <c r="I7648" i="1"/>
  <c r="J7648" i="1"/>
  <c r="L7648" i="1"/>
  <c r="M7648" i="1"/>
  <c r="C7649" i="1"/>
  <c r="E7649" i="1"/>
  <c r="F7649" i="1"/>
  <c r="H7649" i="1"/>
  <c r="I7649" i="1"/>
  <c r="J7649" i="1"/>
  <c r="L7649" i="1"/>
  <c r="M7649" i="1"/>
  <c r="C7650" i="1"/>
  <c r="E7650" i="1"/>
  <c r="F7650" i="1"/>
  <c r="H7650" i="1"/>
  <c r="I7650" i="1"/>
  <c r="J7650" i="1"/>
  <c r="L7650" i="1"/>
  <c r="M7650" i="1"/>
  <c r="C7651" i="1"/>
  <c r="E7651" i="1"/>
  <c r="F7651" i="1"/>
  <c r="H7651" i="1"/>
  <c r="I7651" i="1"/>
  <c r="J7651" i="1"/>
  <c r="L7651" i="1"/>
  <c r="M7651" i="1"/>
  <c r="C7652" i="1"/>
  <c r="E7652" i="1"/>
  <c r="F7652" i="1"/>
  <c r="H7652" i="1"/>
  <c r="I7652" i="1"/>
  <c r="J7652" i="1"/>
  <c r="L7652" i="1"/>
  <c r="M7652" i="1"/>
  <c r="C7653" i="1"/>
  <c r="E7653" i="1"/>
  <c r="F7653" i="1"/>
  <c r="H7653" i="1"/>
  <c r="I7653" i="1"/>
  <c r="J7653" i="1"/>
  <c r="L7653" i="1"/>
  <c r="M7653" i="1"/>
  <c r="C7654" i="1"/>
  <c r="E7654" i="1"/>
  <c r="F7654" i="1"/>
  <c r="H7654" i="1"/>
  <c r="I7654" i="1"/>
  <c r="J7654" i="1"/>
  <c r="L7654" i="1"/>
  <c r="M7654" i="1"/>
  <c r="C7655" i="1"/>
  <c r="E7655" i="1"/>
  <c r="F7655" i="1"/>
  <c r="H7655" i="1"/>
  <c r="I7655" i="1"/>
  <c r="J7655" i="1"/>
  <c r="L7655" i="1"/>
  <c r="M7655" i="1"/>
  <c r="C7656" i="1"/>
  <c r="E7656" i="1"/>
  <c r="F7656" i="1"/>
  <c r="H7656" i="1"/>
  <c r="I7656" i="1"/>
  <c r="J7656" i="1"/>
  <c r="L7656" i="1"/>
  <c r="M7656" i="1"/>
  <c r="C7657" i="1"/>
  <c r="E7657" i="1"/>
  <c r="F7657" i="1"/>
  <c r="H7657" i="1"/>
  <c r="I7657" i="1"/>
  <c r="J7657" i="1"/>
  <c r="L7657" i="1"/>
  <c r="M7657" i="1"/>
  <c r="C7658" i="1"/>
  <c r="E7658" i="1"/>
  <c r="F7658" i="1"/>
  <c r="H7658" i="1"/>
  <c r="I7658" i="1"/>
  <c r="J7658" i="1"/>
  <c r="L7658" i="1"/>
  <c r="M7658" i="1"/>
  <c r="C7659" i="1"/>
  <c r="E7659" i="1"/>
  <c r="F7659" i="1"/>
  <c r="H7659" i="1"/>
  <c r="I7659" i="1"/>
  <c r="J7659" i="1"/>
  <c r="L7659" i="1"/>
  <c r="M7659" i="1"/>
  <c r="C7660" i="1"/>
  <c r="E7660" i="1"/>
  <c r="F7660" i="1"/>
  <c r="H7660" i="1"/>
  <c r="I7660" i="1"/>
  <c r="J7660" i="1"/>
  <c r="L7660" i="1"/>
  <c r="M7660" i="1"/>
  <c r="C7661" i="1"/>
  <c r="E7661" i="1"/>
  <c r="F7661" i="1"/>
  <c r="H7661" i="1"/>
  <c r="I7661" i="1"/>
  <c r="J7661" i="1"/>
  <c r="L7661" i="1"/>
  <c r="M7661" i="1"/>
  <c r="C7662" i="1"/>
  <c r="E7662" i="1"/>
  <c r="F7662" i="1"/>
  <c r="H7662" i="1"/>
  <c r="I7662" i="1"/>
  <c r="J7662" i="1"/>
  <c r="L7662" i="1"/>
  <c r="M7662" i="1"/>
  <c r="C7663" i="1"/>
  <c r="E7663" i="1"/>
  <c r="F7663" i="1"/>
  <c r="H7663" i="1"/>
  <c r="I7663" i="1"/>
  <c r="J7663" i="1"/>
  <c r="L7663" i="1"/>
  <c r="M7663" i="1"/>
  <c r="C7664" i="1"/>
  <c r="E7664" i="1"/>
  <c r="F7664" i="1"/>
  <c r="H7664" i="1"/>
  <c r="I7664" i="1"/>
  <c r="J7664" i="1"/>
  <c r="L7664" i="1"/>
  <c r="M7664" i="1"/>
  <c r="C7665" i="1"/>
  <c r="E7665" i="1"/>
  <c r="F7665" i="1"/>
  <c r="H7665" i="1"/>
  <c r="I7665" i="1"/>
  <c r="J7665" i="1"/>
  <c r="L7665" i="1"/>
  <c r="M7665" i="1"/>
  <c r="C7666" i="1"/>
  <c r="E7666" i="1"/>
  <c r="F7666" i="1"/>
  <c r="H7666" i="1"/>
  <c r="I7666" i="1"/>
  <c r="J7666" i="1"/>
  <c r="L7666" i="1"/>
  <c r="M7666" i="1"/>
  <c r="C7667" i="1"/>
  <c r="E7667" i="1"/>
  <c r="F7667" i="1"/>
  <c r="H7667" i="1"/>
  <c r="I7667" i="1"/>
  <c r="J7667" i="1"/>
  <c r="L7667" i="1"/>
  <c r="M7667" i="1"/>
  <c r="C7668" i="1"/>
  <c r="E7668" i="1"/>
  <c r="F7668" i="1"/>
  <c r="H7668" i="1"/>
  <c r="I7668" i="1"/>
  <c r="J7668" i="1"/>
  <c r="L7668" i="1"/>
  <c r="M7668" i="1"/>
  <c r="C7669" i="1"/>
  <c r="E7669" i="1"/>
  <c r="F7669" i="1"/>
  <c r="H7669" i="1"/>
  <c r="I7669" i="1"/>
  <c r="J7669" i="1"/>
  <c r="L7669" i="1"/>
  <c r="M7669" i="1"/>
  <c r="C7670" i="1"/>
  <c r="E7670" i="1"/>
  <c r="F7670" i="1"/>
  <c r="H7670" i="1"/>
  <c r="I7670" i="1"/>
  <c r="J7670" i="1"/>
  <c r="L7670" i="1"/>
  <c r="M7670" i="1"/>
  <c r="C7671" i="1"/>
  <c r="E7671" i="1"/>
  <c r="F7671" i="1"/>
  <c r="H7671" i="1"/>
  <c r="I7671" i="1"/>
  <c r="J7671" i="1"/>
  <c r="L7671" i="1"/>
  <c r="M7671" i="1"/>
  <c r="C7672" i="1"/>
  <c r="E7672" i="1"/>
  <c r="F7672" i="1"/>
  <c r="H7672" i="1"/>
  <c r="I7672" i="1"/>
  <c r="J7672" i="1"/>
  <c r="L7672" i="1"/>
  <c r="M7672" i="1"/>
  <c r="C7673" i="1"/>
  <c r="E7673" i="1"/>
  <c r="F7673" i="1"/>
  <c r="H7673" i="1"/>
  <c r="I7673" i="1"/>
  <c r="J7673" i="1"/>
  <c r="L7673" i="1"/>
  <c r="M7673" i="1"/>
  <c r="C7674" i="1"/>
  <c r="E7674" i="1"/>
  <c r="F7674" i="1"/>
  <c r="H7674" i="1"/>
  <c r="I7674" i="1"/>
  <c r="J7674" i="1"/>
  <c r="L7674" i="1"/>
  <c r="M7674" i="1"/>
  <c r="C7675" i="1"/>
  <c r="E7675" i="1"/>
  <c r="F7675" i="1"/>
  <c r="H7675" i="1"/>
  <c r="I7675" i="1"/>
  <c r="J7675" i="1"/>
  <c r="L7675" i="1"/>
  <c r="M7675" i="1"/>
  <c r="C7676" i="1"/>
  <c r="E7676" i="1"/>
  <c r="F7676" i="1"/>
  <c r="H7676" i="1"/>
  <c r="I7676" i="1"/>
  <c r="J7676" i="1"/>
  <c r="L7676" i="1"/>
  <c r="M7676" i="1"/>
  <c r="C7677" i="1"/>
  <c r="E7677" i="1"/>
  <c r="F7677" i="1"/>
  <c r="H7677" i="1"/>
  <c r="I7677" i="1"/>
  <c r="J7677" i="1"/>
  <c r="L7677" i="1"/>
  <c r="M7677" i="1"/>
  <c r="C7678" i="1"/>
  <c r="E7678" i="1"/>
  <c r="F7678" i="1"/>
  <c r="H7678" i="1"/>
  <c r="I7678" i="1"/>
  <c r="J7678" i="1"/>
  <c r="L7678" i="1"/>
  <c r="M7678" i="1"/>
  <c r="C7679" i="1"/>
  <c r="E7679" i="1"/>
  <c r="F7679" i="1"/>
  <c r="H7679" i="1"/>
  <c r="I7679" i="1"/>
  <c r="J7679" i="1"/>
  <c r="L7679" i="1"/>
  <c r="M7679" i="1"/>
  <c r="C7680" i="1"/>
  <c r="E7680" i="1"/>
  <c r="F7680" i="1"/>
  <c r="H7680" i="1"/>
  <c r="I7680" i="1"/>
  <c r="J7680" i="1"/>
  <c r="L7680" i="1"/>
  <c r="M7680" i="1"/>
  <c r="C7681" i="1"/>
  <c r="E7681" i="1"/>
  <c r="F7681" i="1"/>
  <c r="H7681" i="1"/>
  <c r="I7681" i="1"/>
  <c r="J7681" i="1"/>
  <c r="L7681" i="1"/>
  <c r="M7681" i="1"/>
  <c r="C7682" i="1"/>
  <c r="E7682" i="1"/>
  <c r="F7682" i="1"/>
  <c r="H7682" i="1"/>
  <c r="I7682" i="1"/>
  <c r="J7682" i="1"/>
  <c r="L7682" i="1"/>
  <c r="M7682" i="1"/>
  <c r="C7683" i="1"/>
  <c r="E7683" i="1"/>
  <c r="F7683" i="1"/>
  <c r="H7683" i="1"/>
  <c r="I7683" i="1"/>
  <c r="J7683" i="1"/>
  <c r="L7683" i="1"/>
  <c r="M7683" i="1"/>
  <c r="C7684" i="1"/>
  <c r="E7684" i="1"/>
  <c r="F7684" i="1"/>
  <c r="H7684" i="1"/>
  <c r="I7684" i="1"/>
  <c r="J7684" i="1"/>
  <c r="L7684" i="1"/>
  <c r="M7684" i="1"/>
  <c r="C7685" i="1"/>
  <c r="E7685" i="1"/>
  <c r="F7685" i="1"/>
  <c r="H7685" i="1"/>
  <c r="I7685" i="1"/>
  <c r="J7685" i="1"/>
  <c r="L7685" i="1"/>
  <c r="M7685" i="1"/>
  <c r="C7686" i="1"/>
  <c r="E7686" i="1"/>
  <c r="F7686" i="1"/>
  <c r="H7686" i="1"/>
  <c r="I7686" i="1"/>
  <c r="J7686" i="1"/>
  <c r="L7686" i="1"/>
  <c r="M7686" i="1"/>
  <c r="C7687" i="1"/>
  <c r="E7687" i="1"/>
  <c r="F7687" i="1"/>
  <c r="H7687" i="1"/>
  <c r="I7687" i="1"/>
  <c r="J7687" i="1"/>
  <c r="L7687" i="1"/>
  <c r="M7687" i="1"/>
  <c r="C7688" i="1"/>
  <c r="E7688" i="1"/>
  <c r="F7688" i="1"/>
  <c r="H7688" i="1"/>
  <c r="I7688" i="1"/>
  <c r="J7688" i="1"/>
  <c r="L7688" i="1"/>
  <c r="M7688" i="1"/>
  <c r="C7689" i="1"/>
  <c r="E7689" i="1"/>
  <c r="F7689" i="1"/>
  <c r="H7689" i="1"/>
  <c r="I7689" i="1"/>
  <c r="J7689" i="1"/>
  <c r="L7689" i="1"/>
  <c r="M7689" i="1"/>
  <c r="C7690" i="1"/>
  <c r="E7690" i="1"/>
  <c r="F7690" i="1"/>
  <c r="H7690" i="1"/>
  <c r="I7690" i="1"/>
  <c r="J7690" i="1"/>
  <c r="L7690" i="1"/>
  <c r="M7690" i="1"/>
  <c r="C7691" i="1"/>
  <c r="E7691" i="1"/>
  <c r="F7691" i="1"/>
  <c r="H7691" i="1"/>
  <c r="I7691" i="1"/>
  <c r="J7691" i="1"/>
  <c r="L7691" i="1"/>
  <c r="M7691" i="1"/>
  <c r="C7692" i="1"/>
  <c r="E7692" i="1"/>
  <c r="F7692" i="1"/>
  <c r="H7692" i="1"/>
  <c r="I7692" i="1"/>
  <c r="J7692" i="1"/>
  <c r="L7692" i="1"/>
  <c r="M7692" i="1"/>
  <c r="C7693" i="1"/>
  <c r="E7693" i="1"/>
  <c r="F7693" i="1"/>
  <c r="H7693" i="1"/>
  <c r="I7693" i="1"/>
  <c r="J7693" i="1"/>
  <c r="L7693" i="1"/>
  <c r="M7693" i="1"/>
  <c r="C7694" i="1"/>
  <c r="E7694" i="1"/>
  <c r="F7694" i="1"/>
  <c r="H7694" i="1"/>
  <c r="I7694" i="1"/>
  <c r="J7694" i="1"/>
  <c r="L7694" i="1"/>
  <c r="M7694" i="1"/>
  <c r="C7695" i="1"/>
  <c r="E7695" i="1"/>
  <c r="F7695" i="1"/>
  <c r="H7695" i="1"/>
  <c r="I7695" i="1"/>
  <c r="J7695" i="1"/>
  <c r="L7695" i="1"/>
  <c r="M7695" i="1"/>
  <c r="C7696" i="1"/>
  <c r="E7696" i="1"/>
  <c r="F7696" i="1"/>
  <c r="H7696" i="1"/>
  <c r="I7696" i="1"/>
  <c r="J7696" i="1"/>
  <c r="L7696" i="1"/>
  <c r="M7696" i="1"/>
  <c r="C7697" i="1"/>
  <c r="E7697" i="1"/>
  <c r="F7697" i="1"/>
  <c r="H7697" i="1"/>
  <c r="I7697" i="1"/>
  <c r="J7697" i="1"/>
  <c r="L7697" i="1"/>
  <c r="M7697" i="1"/>
  <c r="C7698" i="1"/>
  <c r="E7698" i="1"/>
  <c r="F7698" i="1"/>
  <c r="H7698" i="1"/>
  <c r="I7698" i="1"/>
  <c r="J7698" i="1"/>
  <c r="L7698" i="1"/>
  <c r="M7698" i="1"/>
  <c r="C7699" i="1"/>
  <c r="E7699" i="1"/>
  <c r="F7699" i="1"/>
  <c r="H7699" i="1"/>
  <c r="I7699" i="1"/>
  <c r="J7699" i="1"/>
  <c r="L7699" i="1"/>
  <c r="M7699" i="1"/>
  <c r="C7700" i="1"/>
  <c r="E7700" i="1"/>
  <c r="F7700" i="1"/>
  <c r="H7700" i="1"/>
  <c r="I7700" i="1"/>
  <c r="J7700" i="1"/>
  <c r="L7700" i="1"/>
  <c r="M7700" i="1"/>
  <c r="C7701" i="1"/>
  <c r="E7701" i="1"/>
  <c r="F7701" i="1"/>
  <c r="H7701" i="1"/>
  <c r="I7701" i="1"/>
  <c r="J7701" i="1"/>
  <c r="L7701" i="1"/>
  <c r="M7701" i="1"/>
  <c r="C7702" i="1"/>
  <c r="E7702" i="1"/>
  <c r="F7702" i="1"/>
  <c r="H7702" i="1"/>
  <c r="I7702" i="1"/>
  <c r="J7702" i="1"/>
  <c r="L7702" i="1"/>
  <c r="M7702" i="1"/>
  <c r="C7703" i="1"/>
  <c r="E7703" i="1"/>
  <c r="F7703" i="1"/>
  <c r="H7703" i="1"/>
  <c r="I7703" i="1"/>
  <c r="J7703" i="1"/>
  <c r="L7703" i="1"/>
  <c r="M7703" i="1"/>
  <c r="C7704" i="1"/>
  <c r="E7704" i="1"/>
  <c r="F7704" i="1"/>
  <c r="H7704" i="1"/>
  <c r="I7704" i="1"/>
  <c r="J7704" i="1"/>
  <c r="L7704" i="1"/>
  <c r="M7704" i="1"/>
  <c r="C7705" i="1"/>
  <c r="E7705" i="1"/>
  <c r="F7705" i="1"/>
  <c r="H7705" i="1"/>
  <c r="I7705" i="1"/>
  <c r="J7705" i="1"/>
  <c r="L7705" i="1"/>
  <c r="M7705" i="1"/>
  <c r="C7706" i="1"/>
  <c r="E7706" i="1"/>
  <c r="F7706" i="1"/>
  <c r="H7706" i="1"/>
  <c r="I7706" i="1"/>
  <c r="J7706" i="1"/>
  <c r="L7706" i="1"/>
  <c r="M7706" i="1"/>
  <c r="C7707" i="1"/>
  <c r="E7707" i="1"/>
  <c r="F7707" i="1"/>
  <c r="H7707" i="1"/>
  <c r="I7707" i="1"/>
  <c r="J7707" i="1"/>
  <c r="L7707" i="1"/>
  <c r="M7707" i="1"/>
  <c r="C7708" i="1"/>
  <c r="E7708" i="1"/>
  <c r="F7708" i="1"/>
  <c r="H7708" i="1"/>
  <c r="I7708" i="1"/>
  <c r="J7708" i="1"/>
  <c r="L7708" i="1"/>
  <c r="M7708" i="1"/>
  <c r="C7709" i="1"/>
  <c r="E7709" i="1"/>
  <c r="F7709" i="1"/>
  <c r="H7709" i="1"/>
  <c r="I7709" i="1"/>
  <c r="J7709" i="1"/>
  <c r="L7709" i="1"/>
  <c r="M7709" i="1"/>
  <c r="C7710" i="1"/>
  <c r="E7710" i="1"/>
  <c r="F7710" i="1"/>
  <c r="H7710" i="1"/>
  <c r="I7710" i="1"/>
  <c r="J7710" i="1"/>
  <c r="L7710" i="1"/>
  <c r="M7710" i="1"/>
  <c r="C7711" i="1"/>
  <c r="E7711" i="1"/>
  <c r="F7711" i="1"/>
  <c r="H7711" i="1"/>
  <c r="I7711" i="1"/>
  <c r="J7711" i="1"/>
  <c r="L7711" i="1"/>
  <c r="M7711" i="1"/>
  <c r="C7712" i="1"/>
  <c r="E7712" i="1"/>
  <c r="F7712" i="1"/>
  <c r="H7712" i="1"/>
  <c r="I7712" i="1"/>
  <c r="J7712" i="1"/>
  <c r="L7712" i="1"/>
  <c r="M7712" i="1"/>
  <c r="C7713" i="1"/>
  <c r="E7713" i="1"/>
  <c r="F7713" i="1"/>
  <c r="H7713" i="1"/>
  <c r="I7713" i="1"/>
  <c r="J7713" i="1"/>
  <c r="L7713" i="1"/>
  <c r="M7713" i="1"/>
  <c r="C7714" i="1"/>
  <c r="E7714" i="1"/>
  <c r="F7714" i="1"/>
  <c r="H7714" i="1"/>
  <c r="I7714" i="1"/>
  <c r="J7714" i="1"/>
  <c r="L7714" i="1"/>
  <c r="M7714" i="1"/>
  <c r="C7715" i="1"/>
  <c r="E7715" i="1"/>
  <c r="F7715" i="1"/>
  <c r="H7715" i="1"/>
  <c r="I7715" i="1"/>
  <c r="J7715" i="1"/>
  <c r="L7715" i="1"/>
  <c r="M7715" i="1"/>
  <c r="C7716" i="1"/>
  <c r="E7716" i="1"/>
  <c r="F7716" i="1"/>
  <c r="H7716" i="1"/>
  <c r="I7716" i="1"/>
  <c r="J7716" i="1"/>
  <c r="L7716" i="1"/>
  <c r="M7716" i="1"/>
  <c r="C7717" i="1"/>
  <c r="E7717" i="1"/>
  <c r="F7717" i="1"/>
  <c r="H7717" i="1"/>
  <c r="I7717" i="1"/>
  <c r="J7717" i="1"/>
  <c r="L7717" i="1"/>
  <c r="M7717" i="1"/>
  <c r="C7718" i="1"/>
  <c r="E7718" i="1"/>
  <c r="F7718" i="1"/>
  <c r="H7718" i="1"/>
  <c r="I7718" i="1"/>
  <c r="J7718" i="1"/>
  <c r="L7718" i="1"/>
  <c r="M7718" i="1"/>
  <c r="C7719" i="1"/>
  <c r="E7719" i="1"/>
  <c r="F7719" i="1"/>
  <c r="H7719" i="1"/>
  <c r="I7719" i="1"/>
  <c r="J7719" i="1"/>
  <c r="L7719" i="1"/>
  <c r="M7719" i="1"/>
  <c r="C7720" i="1"/>
  <c r="E7720" i="1"/>
  <c r="F7720" i="1"/>
  <c r="H7720" i="1"/>
  <c r="I7720" i="1"/>
  <c r="J7720" i="1"/>
  <c r="L7720" i="1"/>
  <c r="M7720" i="1"/>
  <c r="C7721" i="1"/>
  <c r="E7721" i="1"/>
  <c r="F7721" i="1"/>
  <c r="H7721" i="1"/>
  <c r="I7721" i="1"/>
  <c r="J7721" i="1"/>
  <c r="L7721" i="1"/>
  <c r="M7721" i="1"/>
  <c r="C7722" i="1"/>
  <c r="E7722" i="1"/>
  <c r="F7722" i="1"/>
  <c r="H7722" i="1"/>
  <c r="I7722" i="1"/>
  <c r="J7722" i="1"/>
  <c r="L7722" i="1"/>
  <c r="M7722" i="1"/>
  <c r="C7723" i="1"/>
  <c r="E7723" i="1"/>
  <c r="F7723" i="1"/>
  <c r="H7723" i="1"/>
  <c r="I7723" i="1"/>
  <c r="J7723" i="1"/>
  <c r="L7723" i="1"/>
  <c r="M7723" i="1"/>
  <c r="C7724" i="1"/>
  <c r="E7724" i="1"/>
  <c r="F7724" i="1"/>
  <c r="H7724" i="1"/>
  <c r="I7724" i="1"/>
  <c r="J7724" i="1"/>
  <c r="L7724" i="1"/>
  <c r="M7724" i="1"/>
  <c r="C7725" i="1"/>
  <c r="E7725" i="1"/>
  <c r="F7725" i="1"/>
  <c r="H7725" i="1"/>
  <c r="I7725" i="1"/>
  <c r="J7725" i="1"/>
  <c r="L7725" i="1"/>
  <c r="M7725" i="1"/>
  <c r="C7726" i="1"/>
  <c r="E7726" i="1"/>
  <c r="F7726" i="1"/>
  <c r="H7726" i="1"/>
  <c r="I7726" i="1"/>
  <c r="J7726" i="1"/>
  <c r="L7726" i="1"/>
  <c r="M7726" i="1"/>
  <c r="C7727" i="1"/>
  <c r="E7727" i="1"/>
  <c r="F7727" i="1"/>
  <c r="H7727" i="1"/>
  <c r="I7727" i="1"/>
  <c r="J7727" i="1"/>
  <c r="L7727" i="1"/>
  <c r="M7727" i="1"/>
  <c r="C7728" i="1"/>
  <c r="E7728" i="1"/>
  <c r="F7728" i="1"/>
  <c r="H7728" i="1"/>
  <c r="I7728" i="1"/>
  <c r="J7728" i="1"/>
  <c r="L7728" i="1"/>
  <c r="M7728" i="1"/>
  <c r="C7729" i="1"/>
  <c r="E7729" i="1"/>
  <c r="F7729" i="1"/>
  <c r="H7729" i="1"/>
  <c r="I7729" i="1"/>
  <c r="J7729" i="1"/>
  <c r="L7729" i="1"/>
  <c r="M7729" i="1"/>
  <c r="C7730" i="1"/>
  <c r="E7730" i="1"/>
  <c r="F7730" i="1"/>
  <c r="H7730" i="1"/>
  <c r="I7730" i="1"/>
  <c r="J7730" i="1"/>
  <c r="L7730" i="1"/>
  <c r="M7730" i="1"/>
  <c r="C7731" i="1"/>
  <c r="E7731" i="1"/>
  <c r="F7731" i="1"/>
  <c r="H7731" i="1"/>
  <c r="I7731" i="1"/>
  <c r="J7731" i="1"/>
  <c r="L7731" i="1"/>
  <c r="M7731" i="1"/>
  <c r="C7732" i="1"/>
  <c r="E7732" i="1"/>
  <c r="F7732" i="1"/>
  <c r="H7732" i="1"/>
  <c r="I7732" i="1"/>
  <c r="J7732" i="1"/>
  <c r="L7732" i="1"/>
  <c r="M7732" i="1"/>
  <c r="C7733" i="1"/>
  <c r="E7733" i="1"/>
  <c r="F7733" i="1"/>
  <c r="H7733" i="1"/>
  <c r="I7733" i="1"/>
  <c r="J7733" i="1"/>
  <c r="L7733" i="1"/>
  <c r="M7733" i="1"/>
  <c r="C7734" i="1"/>
  <c r="E7734" i="1"/>
  <c r="F7734" i="1"/>
  <c r="H7734" i="1"/>
  <c r="I7734" i="1"/>
  <c r="J7734" i="1"/>
  <c r="L7734" i="1"/>
  <c r="M7734" i="1"/>
  <c r="C7735" i="1"/>
  <c r="E7735" i="1"/>
  <c r="F7735" i="1"/>
  <c r="H7735" i="1"/>
  <c r="I7735" i="1"/>
  <c r="J7735" i="1"/>
  <c r="L7735" i="1"/>
  <c r="M7735" i="1"/>
  <c r="C7736" i="1"/>
  <c r="E7736" i="1"/>
  <c r="F7736" i="1"/>
  <c r="H7736" i="1"/>
  <c r="I7736" i="1"/>
  <c r="J7736" i="1"/>
  <c r="L7736" i="1"/>
  <c r="M7736" i="1"/>
  <c r="C7737" i="1"/>
  <c r="E7737" i="1"/>
  <c r="F7737" i="1"/>
  <c r="H7737" i="1"/>
  <c r="I7737" i="1"/>
  <c r="J7737" i="1"/>
  <c r="L7737" i="1"/>
  <c r="M7737" i="1"/>
  <c r="C7738" i="1"/>
  <c r="E7738" i="1"/>
  <c r="F7738" i="1"/>
  <c r="H7738" i="1"/>
  <c r="I7738" i="1"/>
  <c r="J7738" i="1"/>
  <c r="L7738" i="1"/>
  <c r="M7738" i="1"/>
  <c r="C7739" i="1"/>
  <c r="E7739" i="1"/>
  <c r="F7739" i="1"/>
  <c r="H7739" i="1"/>
  <c r="I7739" i="1"/>
  <c r="J7739" i="1"/>
  <c r="L7739" i="1"/>
  <c r="M7739" i="1"/>
  <c r="C7740" i="1"/>
  <c r="E7740" i="1"/>
  <c r="F7740" i="1"/>
  <c r="H7740" i="1"/>
  <c r="I7740" i="1"/>
  <c r="J7740" i="1"/>
  <c r="L7740" i="1"/>
  <c r="M7740" i="1"/>
  <c r="C7741" i="1"/>
  <c r="E7741" i="1"/>
  <c r="F7741" i="1"/>
  <c r="H7741" i="1"/>
  <c r="I7741" i="1"/>
  <c r="J7741" i="1"/>
  <c r="L7741" i="1"/>
  <c r="M7741" i="1"/>
  <c r="C7742" i="1"/>
  <c r="E7742" i="1"/>
  <c r="F7742" i="1"/>
  <c r="H7742" i="1"/>
  <c r="I7742" i="1"/>
  <c r="J7742" i="1"/>
  <c r="L7742" i="1"/>
  <c r="M7742" i="1"/>
  <c r="C7743" i="1"/>
  <c r="E7743" i="1"/>
  <c r="F7743" i="1"/>
  <c r="H7743" i="1"/>
  <c r="I7743" i="1"/>
  <c r="J7743" i="1"/>
  <c r="L7743" i="1"/>
  <c r="M7743" i="1"/>
  <c r="C7744" i="1"/>
  <c r="E7744" i="1"/>
  <c r="F7744" i="1"/>
  <c r="H7744" i="1"/>
  <c r="I7744" i="1"/>
  <c r="J7744" i="1"/>
  <c r="L7744" i="1"/>
  <c r="M7744" i="1"/>
  <c r="C7745" i="1"/>
  <c r="E7745" i="1"/>
  <c r="F7745" i="1"/>
  <c r="H7745" i="1"/>
  <c r="I7745" i="1"/>
  <c r="J7745" i="1"/>
  <c r="L7745" i="1"/>
  <c r="M7745" i="1"/>
  <c r="C7746" i="1"/>
  <c r="E7746" i="1"/>
  <c r="F7746" i="1"/>
  <c r="H7746" i="1"/>
  <c r="I7746" i="1"/>
  <c r="J7746" i="1"/>
  <c r="L7746" i="1"/>
  <c r="M7746" i="1"/>
  <c r="C7747" i="1"/>
  <c r="E7747" i="1"/>
  <c r="F7747" i="1"/>
  <c r="H7747" i="1"/>
  <c r="I7747" i="1"/>
  <c r="J7747" i="1"/>
  <c r="L7747" i="1"/>
  <c r="M7747" i="1"/>
  <c r="C7748" i="1"/>
  <c r="E7748" i="1"/>
  <c r="F7748" i="1"/>
  <c r="H7748" i="1"/>
  <c r="I7748" i="1"/>
  <c r="J7748" i="1"/>
  <c r="L7748" i="1"/>
  <c r="M7748" i="1"/>
  <c r="C7749" i="1"/>
  <c r="E7749" i="1"/>
  <c r="F7749" i="1"/>
  <c r="H7749" i="1"/>
  <c r="I7749" i="1"/>
  <c r="J7749" i="1"/>
  <c r="L7749" i="1"/>
  <c r="M7749" i="1"/>
  <c r="C7750" i="1"/>
  <c r="E7750" i="1"/>
  <c r="F7750" i="1"/>
  <c r="H7750" i="1"/>
  <c r="I7750" i="1"/>
  <c r="J7750" i="1"/>
  <c r="L7750" i="1"/>
  <c r="M7750" i="1"/>
  <c r="C7751" i="1"/>
  <c r="E7751" i="1"/>
  <c r="F7751" i="1"/>
  <c r="H7751" i="1"/>
  <c r="I7751" i="1"/>
  <c r="J7751" i="1"/>
  <c r="L7751" i="1"/>
  <c r="M7751" i="1"/>
  <c r="C7752" i="1"/>
  <c r="E7752" i="1"/>
  <c r="F7752" i="1"/>
  <c r="H7752" i="1"/>
  <c r="I7752" i="1"/>
  <c r="J7752" i="1"/>
  <c r="L7752" i="1"/>
  <c r="M7752" i="1"/>
  <c r="C7753" i="1"/>
  <c r="E7753" i="1"/>
  <c r="F7753" i="1"/>
  <c r="H7753" i="1"/>
  <c r="I7753" i="1"/>
  <c r="J7753" i="1"/>
  <c r="L7753" i="1"/>
  <c r="M7753" i="1"/>
  <c r="C7754" i="1"/>
  <c r="E7754" i="1"/>
  <c r="F7754" i="1"/>
  <c r="H7754" i="1"/>
  <c r="I7754" i="1"/>
  <c r="J7754" i="1"/>
  <c r="L7754" i="1"/>
  <c r="M7754" i="1"/>
  <c r="C7755" i="1"/>
  <c r="E7755" i="1"/>
  <c r="F7755" i="1"/>
  <c r="H7755" i="1"/>
  <c r="I7755" i="1"/>
  <c r="J7755" i="1"/>
  <c r="L7755" i="1"/>
  <c r="M7755" i="1"/>
  <c r="C7756" i="1"/>
  <c r="E7756" i="1"/>
  <c r="F7756" i="1"/>
  <c r="H7756" i="1"/>
  <c r="I7756" i="1"/>
  <c r="J7756" i="1"/>
  <c r="L7756" i="1"/>
  <c r="M7756" i="1"/>
  <c r="C7757" i="1"/>
  <c r="E7757" i="1"/>
  <c r="F7757" i="1"/>
  <c r="H7757" i="1"/>
  <c r="I7757" i="1"/>
  <c r="J7757" i="1"/>
  <c r="L7757" i="1"/>
  <c r="M7757" i="1"/>
  <c r="C7758" i="1"/>
  <c r="E7758" i="1"/>
  <c r="F7758" i="1"/>
  <c r="H7758" i="1"/>
  <c r="I7758" i="1"/>
  <c r="J7758" i="1"/>
  <c r="L7758" i="1"/>
  <c r="M7758" i="1"/>
  <c r="C7759" i="1"/>
  <c r="E7759" i="1"/>
  <c r="F7759" i="1"/>
  <c r="H7759" i="1"/>
  <c r="I7759" i="1"/>
  <c r="J7759" i="1"/>
  <c r="L7759" i="1"/>
  <c r="M7759" i="1"/>
  <c r="C7760" i="1"/>
  <c r="E7760" i="1"/>
  <c r="F7760" i="1"/>
  <c r="H7760" i="1"/>
  <c r="I7760" i="1"/>
  <c r="J7760" i="1"/>
  <c r="L7760" i="1"/>
  <c r="M7760" i="1"/>
  <c r="C7761" i="1"/>
  <c r="E7761" i="1"/>
  <c r="F7761" i="1"/>
  <c r="H7761" i="1"/>
  <c r="I7761" i="1"/>
  <c r="J7761" i="1"/>
  <c r="L7761" i="1"/>
  <c r="M7761" i="1"/>
  <c r="C7762" i="1"/>
  <c r="E7762" i="1"/>
  <c r="F7762" i="1"/>
  <c r="H7762" i="1"/>
  <c r="I7762" i="1"/>
  <c r="J7762" i="1"/>
  <c r="L7762" i="1"/>
  <c r="M7762" i="1"/>
  <c r="C7763" i="1"/>
  <c r="E7763" i="1"/>
  <c r="F7763" i="1"/>
  <c r="H7763" i="1"/>
  <c r="I7763" i="1"/>
  <c r="J7763" i="1"/>
  <c r="L7763" i="1"/>
  <c r="M7763" i="1"/>
  <c r="C7764" i="1"/>
  <c r="E7764" i="1"/>
  <c r="F7764" i="1"/>
  <c r="H7764" i="1"/>
  <c r="I7764" i="1"/>
  <c r="J7764" i="1"/>
  <c r="L7764" i="1"/>
  <c r="M7764" i="1"/>
  <c r="C7765" i="1"/>
  <c r="E7765" i="1"/>
  <c r="F7765" i="1"/>
  <c r="H7765" i="1"/>
  <c r="I7765" i="1"/>
  <c r="J7765" i="1"/>
  <c r="L7765" i="1"/>
  <c r="M7765" i="1"/>
  <c r="C7766" i="1"/>
  <c r="E7766" i="1"/>
  <c r="F7766" i="1"/>
  <c r="H7766" i="1"/>
  <c r="I7766" i="1"/>
  <c r="J7766" i="1"/>
  <c r="L7766" i="1"/>
  <c r="M7766" i="1"/>
  <c r="C7767" i="1"/>
  <c r="E7767" i="1"/>
  <c r="F7767" i="1"/>
  <c r="H7767" i="1"/>
  <c r="I7767" i="1"/>
  <c r="J7767" i="1"/>
  <c r="L7767" i="1"/>
  <c r="M7767" i="1"/>
  <c r="C7768" i="1"/>
  <c r="E7768" i="1"/>
  <c r="F7768" i="1"/>
  <c r="H7768" i="1"/>
  <c r="I7768" i="1"/>
  <c r="J7768" i="1"/>
  <c r="L7768" i="1"/>
  <c r="M7768" i="1"/>
  <c r="C7769" i="1"/>
  <c r="E7769" i="1"/>
  <c r="F7769" i="1"/>
  <c r="H7769" i="1"/>
  <c r="I7769" i="1"/>
  <c r="J7769" i="1"/>
  <c r="L7769" i="1"/>
  <c r="M7769" i="1"/>
  <c r="C7770" i="1"/>
  <c r="E7770" i="1"/>
  <c r="F7770" i="1"/>
  <c r="H7770" i="1"/>
  <c r="I7770" i="1"/>
  <c r="J7770" i="1"/>
  <c r="L7770" i="1"/>
  <c r="M7770" i="1"/>
  <c r="C7771" i="1"/>
  <c r="E7771" i="1"/>
  <c r="F7771" i="1"/>
  <c r="H7771" i="1"/>
  <c r="I7771" i="1"/>
  <c r="J7771" i="1"/>
  <c r="L7771" i="1"/>
  <c r="M7771" i="1"/>
  <c r="C7772" i="1"/>
  <c r="E7772" i="1"/>
  <c r="F7772" i="1"/>
  <c r="H7772" i="1"/>
  <c r="I7772" i="1"/>
  <c r="J7772" i="1"/>
  <c r="L7772" i="1"/>
  <c r="M7772" i="1"/>
  <c r="C7773" i="1"/>
  <c r="E7773" i="1"/>
  <c r="F7773" i="1"/>
  <c r="H7773" i="1"/>
  <c r="I7773" i="1"/>
  <c r="J7773" i="1"/>
  <c r="L7773" i="1"/>
  <c r="M7773" i="1"/>
  <c r="C7774" i="1"/>
  <c r="E7774" i="1"/>
  <c r="F7774" i="1"/>
  <c r="H7774" i="1"/>
  <c r="I7774" i="1"/>
  <c r="J7774" i="1"/>
  <c r="L7774" i="1"/>
  <c r="M7774" i="1"/>
  <c r="C7775" i="1"/>
  <c r="E7775" i="1"/>
  <c r="F7775" i="1"/>
  <c r="H7775" i="1"/>
  <c r="I7775" i="1"/>
  <c r="J7775" i="1"/>
  <c r="L7775" i="1"/>
  <c r="M7775" i="1"/>
  <c r="C7776" i="1"/>
  <c r="E7776" i="1"/>
  <c r="F7776" i="1"/>
  <c r="H7776" i="1"/>
  <c r="I7776" i="1"/>
  <c r="J7776" i="1"/>
  <c r="L7776" i="1"/>
  <c r="M7776" i="1"/>
  <c r="C7777" i="1"/>
  <c r="E7777" i="1"/>
  <c r="F7777" i="1"/>
  <c r="H7777" i="1"/>
  <c r="I7777" i="1"/>
  <c r="J7777" i="1"/>
  <c r="L7777" i="1"/>
  <c r="M7777" i="1"/>
  <c r="C7778" i="1"/>
  <c r="E7778" i="1"/>
  <c r="F7778" i="1"/>
  <c r="H7778" i="1"/>
  <c r="I7778" i="1"/>
  <c r="J7778" i="1"/>
  <c r="L7778" i="1"/>
  <c r="M7778" i="1"/>
  <c r="C7779" i="1"/>
  <c r="E7779" i="1"/>
  <c r="F7779" i="1"/>
  <c r="H7779" i="1"/>
  <c r="I7779" i="1"/>
  <c r="J7779" i="1"/>
  <c r="L7779" i="1"/>
  <c r="M7779" i="1"/>
  <c r="C7780" i="1"/>
  <c r="E7780" i="1"/>
  <c r="F7780" i="1"/>
  <c r="H7780" i="1"/>
  <c r="I7780" i="1"/>
  <c r="J7780" i="1"/>
  <c r="L7780" i="1"/>
  <c r="M7780" i="1"/>
  <c r="C7781" i="1"/>
  <c r="E7781" i="1"/>
  <c r="F7781" i="1"/>
  <c r="H7781" i="1"/>
  <c r="I7781" i="1"/>
  <c r="J7781" i="1"/>
  <c r="L7781" i="1"/>
  <c r="M7781" i="1"/>
  <c r="C7782" i="1"/>
  <c r="E7782" i="1"/>
  <c r="F7782" i="1"/>
  <c r="H7782" i="1"/>
  <c r="I7782" i="1"/>
  <c r="J7782" i="1"/>
  <c r="L7782" i="1"/>
  <c r="M7782" i="1"/>
  <c r="C7783" i="1"/>
  <c r="E7783" i="1"/>
  <c r="F7783" i="1"/>
  <c r="H7783" i="1"/>
  <c r="I7783" i="1"/>
  <c r="J7783" i="1"/>
  <c r="L7783" i="1"/>
  <c r="M7783" i="1"/>
  <c r="C7784" i="1"/>
  <c r="E7784" i="1"/>
  <c r="F7784" i="1"/>
  <c r="H7784" i="1"/>
  <c r="I7784" i="1"/>
  <c r="J7784" i="1"/>
  <c r="L7784" i="1"/>
  <c r="M7784" i="1"/>
  <c r="C7785" i="1"/>
  <c r="E7785" i="1"/>
  <c r="F7785" i="1"/>
  <c r="H7785" i="1"/>
  <c r="I7785" i="1"/>
  <c r="J7785" i="1"/>
  <c r="L7785" i="1"/>
  <c r="M7785" i="1"/>
  <c r="C7786" i="1"/>
  <c r="E7786" i="1"/>
  <c r="F7786" i="1"/>
  <c r="H7786" i="1"/>
  <c r="I7786" i="1"/>
  <c r="J7786" i="1"/>
  <c r="L7786" i="1"/>
  <c r="M7786" i="1"/>
  <c r="C7787" i="1"/>
  <c r="E7787" i="1"/>
  <c r="F7787" i="1"/>
  <c r="H7787" i="1"/>
  <c r="I7787" i="1"/>
  <c r="J7787" i="1"/>
  <c r="L7787" i="1"/>
  <c r="M7787" i="1"/>
  <c r="C7788" i="1"/>
  <c r="E7788" i="1"/>
  <c r="F7788" i="1"/>
  <c r="H7788" i="1"/>
  <c r="I7788" i="1"/>
  <c r="J7788" i="1"/>
  <c r="L7788" i="1"/>
  <c r="M7788" i="1"/>
  <c r="C7789" i="1"/>
  <c r="E7789" i="1"/>
  <c r="F7789" i="1"/>
  <c r="H7789" i="1"/>
  <c r="I7789" i="1"/>
  <c r="J7789" i="1"/>
  <c r="L7789" i="1"/>
  <c r="M7789" i="1"/>
  <c r="C7790" i="1"/>
  <c r="E7790" i="1"/>
  <c r="F7790" i="1"/>
  <c r="H7790" i="1"/>
  <c r="I7790" i="1"/>
  <c r="J7790" i="1"/>
  <c r="L7790" i="1"/>
  <c r="M7790" i="1"/>
  <c r="C7791" i="1"/>
  <c r="E7791" i="1"/>
  <c r="F7791" i="1"/>
  <c r="H7791" i="1"/>
  <c r="I7791" i="1"/>
  <c r="J7791" i="1"/>
  <c r="L7791" i="1"/>
  <c r="M7791" i="1"/>
  <c r="C7792" i="1"/>
  <c r="E7792" i="1"/>
  <c r="F7792" i="1"/>
  <c r="H7792" i="1"/>
  <c r="I7792" i="1"/>
  <c r="J7792" i="1"/>
  <c r="L7792" i="1"/>
  <c r="M7792" i="1"/>
  <c r="C7793" i="1"/>
  <c r="E7793" i="1"/>
  <c r="F7793" i="1"/>
  <c r="H7793" i="1"/>
  <c r="I7793" i="1"/>
  <c r="J7793" i="1"/>
  <c r="L7793" i="1"/>
  <c r="M7793" i="1"/>
  <c r="C7794" i="1"/>
  <c r="E7794" i="1"/>
  <c r="F7794" i="1"/>
  <c r="H7794" i="1"/>
  <c r="I7794" i="1"/>
  <c r="J7794" i="1"/>
  <c r="L7794" i="1"/>
  <c r="M7794" i="1"/>
  <c r="C7795" i="1"/>
  <c r="E7795" i="1"/>
  <c r="F7795" i="1"/>
  <c r="H7795" i="1"/>
  <c r="I7795" i="1"/>
  <c r="J7795" i="1"/>
  <c r="L7795" i="1"/>
  <c r="M7795" i="1"/>
  <c r="C7796" i="1"/>
  <c r="E7796" i="1"/>
  <c r="F7796" i="1"/>
  <c r="H7796" i="1"/>
  <c r="I7796" i="1"/>
  <c r="J7796" i="1"/>
  <c r="L7796" i="1"/>
  <c r="M7796" i="1"/>
  <c r="C7797" i="1"/>
  <c r="E7797" i="1"/>
  <c r="F7797" i="1"/>
  <c r="H7797" i="1"/>
  <c r="I7797" i="1"/>
  <c r="J7797" i="1"/>
  <c r="L7797" i="1"/>
  <c r="M7797" i="1"/>
  <c r="C7798" i="1"/>
  <c r="E7798" i="1"/>
  <c r="F7798" i="1"/>
  <c r="H7798" i="1"/>
  <c r="I7798" i="1"/>
  <c r="J7798" i="1"/>
  <c r="L7798" i="1"/>
  <c r="M7798" i="1"/>
  <c r="C7799" i="1"/>
  <c r="E7799" i="1"/>
  <c r="F7799" i="1"/>
  <c r="H7799" i="1"/>
  <c r="I7799" i="1"/>
  <c r="J7799" i="1"/>
  <c r="L7799" i="1"/>
  <c r="M7799" i="1"/>
  <c r="C7800" i="1"/>
  <c r="E7800" i="1"/>
  <c r="F7800" i="1"/>
  <c r="H7800" i="1"/>
  <c r="I7800" i="1"/>
  <c r="J7800" i="1"/>
  <c r="L7800" i="1"/>
  <c r="M7800" i="1"/>
  <c r="C7801" i="1"/>
  <c r="E7801" i="1"/>
  <c r="F7801" i="1"/>
  <c r="H7801" i="1"/>
  <c r="I7801" i="1"/>
  <c r="J7801" i="1"/>
  <c r="L7801" i="1"/>
  <c r="M7801" i="1"/>
  <c r="C7802" i="1"/>
  <c r="E7802" i="1"/>
  <c r="F7802" i="1"/>
  <c r="H7802" i="1"/>
  <c r="I7802" i="1"/>
  <c r="J7802" i="1"/>
  <c r="L7802" i="1"/>
  <c r="M7802" i="1"/>
  <c r="C7803" i="1"/>
  <c r="E7803" i="1"/>
  <c r="F7803" i="1"/>
  <c r="H7803" i="1"/>
  <c r="I7803" i="1"/>
  <c r="J7803" i="1"/>
  <c r="L7803" i="1"/>
  <c r="M7803" i="1"/>
  <c r="C7804" i="1"/>
  <c r="E7804" i="1"/>
  <c r="F7804" i="1"/>
  <c r="H7804" i="1"/>
  <c r="I7804" i="1"/>
  <c r="J7804" i="1"/>
  <c r="L7804" i="1"/>
  <c r="M7804" i="1"/>
  <c r="C7805" i="1"/>
  <c r="E7805" i="1"/>
  <c r="F7805" i="1"/>
  <c r="H7805" i="1"/>
  <c r="I7805" i="1"/>
  <c r="J7805" i="1"/>
  <c r="L7805" i="1"/>
  <c r="M7805" i="1"/>
  <c r="C7806" i="1"/>
  <c r="E7806" i="1"/>
  <c r="F7806" i="1"/>
  <c r="H7806" i="1"/>
  <c r="I7806" i="1"/>
  <c r="J7806" i="1"/>
  <c r="L7806" i="1"/>
  <c r="M7806" i="1"/>
  <c r="C7807" i="1"/>
  <c r="E7807" i="1"/>
  <c r="F7807" i="1"/>
  <c r="H7807" i="1"/>
  <c r="I7807" i="1"/>
  <c r="J7807" i="1"/>
  <c r="L7807" i="1"/>
  <c r="M7807" i="1"/>
  <c r="C7808" i="1"/>
  <c r="E7808" i="1"/>
  <c r="F7808" i="1"/>
  <c r="H7808" i="1"/>
  <c r="I7808" i="1"/>
  <c r="J7808" i="1"/>
  <c r="L7808" i="1"/>
  <c r="M7808" i="1"/>
  <c r="C7809" i="1"/>
  <c r="E7809" i="1"/>
  <c r="F7809" i="1"/>
  <c r="H7809" i="1"/>
  <c r="I7809" i="1"/>
  <c r="J7809" i="1"/>
  <c r="L7809" i="1"/>
  <c r="M7809" i="1"/>
  <c r="C7810" i="1"/>
  <c r="E7810" i="1"/>
  <c r="F7810" i="1"/>
  <c r="H7810" i="1"/>
  <c r="I7810" i="1"/>
  <c r="J7810" i="1"/>
  <c r="L7810" i="1"/>
  <c r="M7810" i="1"/>
  <c r="C7811" i="1"/>
  <c r="E7811" i="1"/>
  <c r="F7811" i="1"/>
  <c r="H7811" i="1"/>
  <c r="I7811" i="1"/>
  <c r="J7811" i="1"/>
  <c r="L7811" i="1"/>
  <c r="M7811" i="1"/>
  <c r="C7812" i="1"/>
  <c r="E7812" i="1"/>
  <c r="F7812" i="1"/>
  <c r="H7812" i="1"/>
  <c r="I7812" i="1"/>
  <c r="J7812" i="1"/>
  <c r="L7812" i="1"/>
  <c r="M7812" i="1"/>
  <c r="C7813" i="1"/>
  <c r="E7813" i="1"/>
  <c r="F7813" i="1"/>
  <c r="H7813" i="1"/>
  <c r="I7813" i="1"/>
  <c r="J7813" i="1"/>
  <c r="L7813" i="1"/>
  <c r="M7813" i="1"/>
  <c r="C7814" i="1"/>
  <c r="E7814" i="1"/>
  <c r="F7814" i="1"/>
  <c r="H7814" i="1"/>
  <c r="I7814" i="1"/>
  <c r="J7814" i="1"/>
  <c r="L7814" i="1"/>
  <c r="M7814" i="1"/>
  <c r="C7815" i="1"/>
  <c r="E7815" i="1"/>
  <c r="F7815" i="1"/>
  <c r="H7815" i="1"/>
  <c r="I7815" i="1"/>
  <c r="J7815" i="1"/>
  <c r="L7815" i="1"/>
  <c r="M7815" i="1"/>
  <c r="C7816" i="1"/>
  <c r="E7816" i="1"/>
  <c r="F7816" i="1"/>
  <c r="H7816" i="1"/>
  <c r="I7816" i="1"/>
  <c r="J7816" i="1"/>
  <c r="L7816" i="1"/>
  <c r="M7816" i="1"/>
  <c r="C7817" i="1"/>
  <c r="E7817" i="1"/>
  <c r="F7817" i="1"/>
  <c r="H7817" i="1"/>
  <c r="I7817" i="1"/>
  <c r="J7817" i="1"/>
  <c r="L7817" i="1"/>
  <c r="M7817" i="1"/>
  <c r="C7818" i="1"/>
  <c r="E7818" i="1"/>
  <c r="F7818" i="1"/>
  <c r="H7818" i="1"/>
  <c r="I7818" i="1"/>
  <c r="J7818" i="1"/>
  <c r="L7818" i="1"/>
  <c r="M7818" i="1"/>
  <c r="C7819" i="1"/>
  <c r="E7819" i="1"/>
  <c r="F7819" i="1"/>
  <c r="H7819" i="1"/>
  <c r="I7819" i="1"/>
  <c r="J7819" i="1"/>
  <c r="L7819" i="1"/>
  <c r="M7819" i="1"/>
  <c r="C7820" i="1"/>
  <c r="E7820" i="1"/>
  <c r="F7820" i="1"/>
  <c r="H7820" i="1"/>
  <c r="I7820" i="1"/>
  <c r="J7820" i="1"/>
  <c r="L7820" i="1"/>
  <c r="M7820" i="1"/>
  <c r="C7821" i="1"/>
  <c r="E7821" i="1"/>
  <c r="F7821" i="1"/>
  <c r="H7821" i="1"/>
  <c r="I7821" i="1"/>
  <c r="J7821" i="1"/>
  <c r="L7821" i="1"/>
  <c r="M7821" i="1"/>
  <c r="C7822" i="1"/>
  <c r="E7822" i="1"/>
  <c r="F7822" i="1"/>
  <c r="H7822" i="1"/>
  <c r="I7822" i="1"/>
  <c r="J7822" i="1"/>
  <c r="L7822" i="1"/>
  <c r="M7822" i="1"/>
  <c r="C7823" i="1"/>
  <c r="E7823" i="1"/>
  <c r="F7823" i="1"/>
  <c r="H7823" i="1"/>
  <c r="I7823" i="1"/>
  <c r="J7823" i="1"/>
  <c r="L7823" i="1"/>
  <c r="M7823" i="1"/>
  <c r="C7824" i="1"/>
  <c r="E7824" i="1"/>
  <c r="F7824" i="1"/>
  <c r="H7824" i="1"/>
  <c r="I7824" i="1"/>
  <c r="J7824" i="1"/>
  <c r="L7824" i="1"/>
  <c r="M7824" i="1"/>
  <c r="C7825" i="1"/>
  <c r="E7825" i="1"/>
  <c r="F7825" i="1"/>
  <c r="H7825" i="1"/>
  <c r="I7825" i="1"/>
  <c r="J7825" i="1"/>
  <c r="L7825" i="1"/>
  <c r="M7825" i="1"/>
  <c r="C7826" i="1"/>
  <c r="E7826" i="1"/>
  <c r="F7826" i="1"/>
  <c r="H7826" i="1"/>
  <c r="I7826" i="1"/>
  <c r="J7826" i="1"/>
  <c r="L7826" i="1"/>
  <c r="M7826" i="1"/>
  <c r="C7827" i="1"/>
  <c r="E7827" i="1"/>
  <c r="F7827" i="1"/>
  <c r="H7827" i="1"/>
  <c r="I7827" i="1"/>
  <c r="J7827" i="1"/>
  <c r="L7827" i="1"/>
  <c r="M7827" i="1"/>
  <c r="C7828" i="1"/>
  <c r="E7828" i="1"/>
  <c r="F7828" i="1"/>
  <c r="H7828" i="1"/>
  <c r="I7828" i="1"/>
  <c r="J7828" i="1"/>
  <c r="L7828" i="1"/>
  <c r="M7828" i="1"/>
  <c r="C7829" i="1"/>
  <c r="E7829" i="1"/>
  <c r="F7829" i="1"/>
  <c r="H7829" i="1"/>
  <c r="I7829" i="1"/>
  <c r="J7829" i="1"/>
  <c r="L7829" i="1"/>
  <c r="M7829" i="1"/>
  <c r="C7830" i="1"/>
  <c r="E7830" i="1"/>
  <c r="F7830" i="1"/>
  <c r="H7830" i="1"/>
  <c r="I7830" i="1"/>
  <c r="J7830" i="1"/>
  <c r="L7830" i="1"/>
  <c r="M7830" i="1"/>
  <c r="C7831" i="1"/>
  <c r="E7831" i="1"/>
  <c r="F7831" i="1"/>
  <c r="H7831" i="1"/>
  <c r="I7831" i="1"/>
  <c r="J7831" i="1"/>
  <c r="L7831" i="1"/>
  <c r="M7831" i="1"/>
  <c r="C7832" i="1"/>
  <c r="E7832" i="1"/>
  <c r="F7832" i="1"/>
  <c r="H7832" i="1"/>
  <c r="I7832" i="1"/>
  <c r="J7832" i="1"/>
  <c r="L7832" i="1"/>
  <c r="M7832" i="1"/>
  <c r="C7833" i="1"/>
  <c r="E7833" i="1"/>
  <c r="F7833" i="1"/>
  <c r="H7833" i="1"/>
  <c r="I7833" i="1"/>
  <c r="J7833" i="1"/>
  <c r="L7833" i="1"/>
  <c r="M7833" i="1"/>
  <c r="C7834" i="1"/>
  <c r="E7834" i="1"/>
  <c r="F7834" i="1"/>
  <c r="H7834" i="1"/>
  <c r="I7834" i="1"/>
  <c r="J7834" i="1"/>
  <c r="L7834" i="1"/>
  <c r="M7834" i="1"/>
  <c r="C7835" i="1"/>
  <c r="E7835" i="1"/>
  <c r="F7835" i="1"/>
  <c r="H7835" i="1"/>
  <c r="I7835" i="1"/>
  <c r="J7835" i="1"/>
  <c r="L7835" i="1"/>
  <c r="M7835" i="1"/>
  <c r="C7836" i="1"/>
  <c r="E7836" i="1"/>
  <c r="F7836" i="1"/>
  <c r="H7836" i="1"/>
  <c r="I7836" i="1"/>
  <c r="J7836" i="1"/>
  <c r="L7836" i="1"/>
  <c r="M7836" i="1"/>
  <c r="C7837" i="1"/>
  <c r="E7837" i="1"/>
  <c r="F7837" i="1"/>
  <c r="H7837" i="1"/>
  <c r="I7837" i="1"/>
  <c r="J7837" i="1"/>
  <c r="L7837" i="1"/>
  <c r="M7837" i="1"/>
  <c r="C7838" i="1"/>
  <c r="E7838" i="1"/>
  <c r="F7838" i="1"/>
  <c r="H7838" i="1"/>
  <c r="I7838" i="1"/>
  <c r="J7838" i="1"/>
  <c r="L7838" i="1"/>
  <c r="M7838" i="1"/>
  <c r="C7839" i="1"/>
  <c r="E7839" i="1"/>
  <c r="F7839" i="1"/>
  <c r="H7839" i="1"/>
  <c r="I7839" i="1"/>
  <c r="J7839" i="1"/>
  <c r="L7839" i="1"/>
  <c r="M7839" i="1"/>
  <c r="C7840" i="1"/>
  <c r="E7840" i="1"/>
  <c r="F7840" i="1"/>
  <c r="H7840" i="1"/>
  <c r="I7840" i="1"/>
  <c r="J7840" i="1"/>
  <c r="L7840" i="1"/>
  <c r="M7840" i="1"/>
  <c r="C7841" i="1"/>
  <c r="E7841" i="1"/>
  <c r="F7841" i="1"/>
  <c r="H7841" i="1"/>
  <c r="I7841" i="1"/>
  <c r="J7841" i="1"/>
  <c r="L7841" i="1"/>
  <c r="M7841" i="1"/>
  <c r="C7842" i="1"/>
  <c r="E7842" i="1"/>
  <c r="F7842" i="1"/>
  <c r="H7842" i="1"/>
  <c r="I7842" i="1"/>
  <c r="J7842" i="1"/>
  <c r="L7842" i="1"/>
  <c r="M7842" i="1"/>
  <c r="C7843" i="1"/>
  <c r="E7843" i="1"/>
  <c r="F7843" i="1"/>
  <c r="H7843" i="1"/>
  <c r="I7843" i="1"/>
  <c r="J7843" i="1"/>
  <c r="L7843" i="1"/>
  <c r="M7843" i="1"/>
  <c r="C7844" i="1"/>
  <c r="E7844" i="1"/>
  <c r="F7844" i="1"/>
  <c r="H7844" i="1"/>
  <c r="I7844" i="1"/>
  <c r="J7844" i="1"/>
  <c r="L7844" i="1"/>
  <c r="M7844" i="1"/>
  <c r="C7845" i="1"/>
  <c r="E7845" i="1"/>
  <c r="F7845" i="1"/>
  <c r="H7845" i="1"/>
  <c r="I7845" i="1"/>
  <c r="J7845" i="1"/>
  <c r="L7845" i="1"/>
  <c r="M7845" i="1"/>
  <c r="C7846" i="1"/>
  <c r="E7846" i="1"/>
  <c r="F7846" i="1"/>
  <c r="H7846" i="1"/>
  <c r="I7846" i="1"/>
  <c r="J7846" i="1"/>
  <c r="L7846" i="1"/>
  <c r="M7846" i="1"/>
  <c r="C7847" i="1"/>
  <c r="E7847" i="1"/>
  <c r="F7847" i="1"/>
  <c r="H7847" i="1"/>
  <c r="I7847" i="1"/>
  <c r="J7847" i="1"/>
  <c r="L7847" i="1"/>
  <c r="M7847" i="1"/>
  <c r="C7848" i="1"/>
  <c r="E7848" i="1"/>
  <c r="F7848" i="1"/>
  <c r="H7848" i="1"/>
  <c r="I7848" i="1"/>
  <c r="J7848" i="1"/>
  <c r="L7848" i="1"/>
  <c r="M7848" i="1"/>
  <c r="C7849" i="1"/>
  <c r="E7849" i="1"/>
  <c r="F7849" i="1"/>
  <c r="H7849" i="1"/>
  <c r="I7849" i="1"/>
  <c r="J7849" i="1"/>
  <c r="L7849" i="1"/>
  <c r="M7849" i="1"/>
  <c r="C7850" i="1"/>
  <c r="E7850" i="1"/>
  <c r="F7850" i="1"/>
  <c r="H7850" i="1"/>
  <c r="I7850" i="1"/>
  <c r="J7850" i="1"/>
  <c r="L7850" i="1"/>
  <c r="M7850" i="1"/>
  <c r="C7851" i="1"/>
  <c r="E7851" i="1"/>
  <c r="F7851" i="1"/>
  <c r="H7851" i="1"/>
  <c r="I7851" i="1"/>
  <c r="J7851" i="1"/>
  <c r="L7851" i="1"/>
  <c r="M7851" i="1"/>
  <c r="C7852" i="1"/>
  <c r="E7852" i="1"/>
  <c r="F7852" i="1"/>
  <c r="H7852" i="1"/>
  <c r="I7852" i="1"/>
  <c r="J7852" i="1"/>
  <c r="L7852" i="1"/>
  <c r="M7852" i="1"/>
  <c r="C7853" i="1"/>
  <c r="E7853" i="1"/>
  <c r="F7853" i="1"/>
  <c r="H7853" i="1"/>
  <c r="I7853" i="1"/>
  <c r="J7853" i="1"/>
  <c r="L7853" i="1"/>
  <c r="M7853" i="1"/>
  <c r="C7854" i="1"/>
  <c r="E7854" i="1"/>
  <c r="F7854" i="1"/>
  <c r="H7854" i="1"/>
  <c r="I7854" i="1"/>
  <c r="J7854" i="1"/>
  <c r="L7854" i="1"/>
  <c r="M7854" i="1"/>
  <c r="C7855" i="1"/>
  <c r="E7855" i="1"/>
  <c r="F7855" i="1"/>
  <c r="H7855" i="1"/>
  <c r="I7855" i="1"/>
  <c r="J7855" i="1"/>
  <c r="L7855" i="1"/>
  <c r="M7855" i="1"/>
  <c r="C7856" i="1"/>
  <c r="E7856" i="1"/>
  <c r="F7856" i="1"/>
  <c r="H7856" i="1"/>
  <c r="I7856" i="1"/>
  <c r="J7856" i="1"/>
  <c r="L7856" i="1"/>
  <c r="M7856" i="1"/>
  <c r="C7857" i="1"/>
  <c r="E7857" i="1"/>
  <c r="F7857" i="1"/>
  <c r="H7857" i="1"/>
  <c r="I7857" i="1"/>
  <c r="J7857" i="1"/>
  <c r="L7857" i="1"/>
  <c r="M7857" i="1"/>
  <c r="C7858" i="1"/>
  <c r="E7858" i="1"/>
  <c r="F7858" i="1"/>
  <c r="H7858" i="1"/>
  <c r="I7858" i="1"/>
  <c r="J7858" i="1"/>
  <c r="L7858" i="1"/>
  <c r="M7858" i="1"/>
  <c r="C7859" i="1"/>
  <c r="E7859" i="1"/>
  <c r="F7859" i="1"/>
  <c r="H7859" i="1"/>
  <c r="I7859" i="1"/>
  <c r="J7859" i="1"/>
  <c r="L7859" i="1"/>
  <c r="M7859" i="1"/>
  <c r="C7860" i="1"/>
  <c r="E7860" i="1"/>
  <c r="F7860" i="1"/>
  <c r="H7860" i="1"/>
  <c r="I7860" i="1"/>
  <c r="J7860" i="1"/>
  <c r="L7860" i="1"/>
  <c r="M7860" i="1"/>
  <c r="C7861" i="1"/>
  <c r="E7861" i="1"/>
  <c r="F7861" i="1"/>
  <c r="H7861" i="1"/>
  <c r="I7861" i="1"/>
  <c r="J7861" i="1"/>
  <c r="L7861" i="1"/>
  <c r="M7861" i="1"/>
  <c r="C7862" i="1"/>
  <c r="E7862" i="1"/>
  <c r="F7862" i="1"/>
  <c r="H7862" i="1"/>
  <c r="I7862" i="1"/>
  <c r="J7862" i="1"/>
  <c r="L7862" i="1"/>
  <c r="M7862" i="1"/>
  <c r="C7863" i="1"/>
  <c r="E7863" i="1"/>
  <c r="F7863" i="1"/>
  <c r="H7863" i="1"/>
  <c r="I7863" i="1"/>
  <c r="J7863" i="1"/>
  <c r="L7863" i="1"/>
  <c r="M7863" i="1"/>
  <c r="C7864" i="1"/>
  <c r="E7864" i="1"/>
  <c r="F7864" i="1"/>
  <c r="H7864" i="1"/>
  <c r="I7864" i="1"/>
  <c r="J7864" i="1"/>
  <c r="L7864" i="1"/>
  <c r="M7864" i="1"/>
  <c r="C7865" i="1"/>
  <c r="E7865" i="1"/>
  <c r="F7865" i="1"/>
  <c r="H7865" i="1"/>
  <c r="I7865" i="1"/>
  <c r="J7865" i="1"/>
  <c r="L7865" i="1"/>
  <c r="M7865" i="1"/>
  <c r="C7866" i="1"/>
  <c r="E7866" i="1"/>
  <c r="F7866" i="1"/>
  <c r="H7866" i="1"/>
  <c r="I7866" i="1"/>
  <c r="J7866" i="1"/>
  <c r="L7866" i="1"/>
  <c r="M7866" i="1"/>
  <c r="C7867" i="1"/>
  <c r="E7867" i="1"/>
  <c r="F7867" i="1"/>
  <c r="H7867" i="1"/>
  <c r="I7867" i="1"/>
  <c r="J7867" i="1"/>
  <c r="L7867" i="1"/>
  <c r="M7867" i="1"/>
  <c r="C7868" i="1"/>
  <c r="E7868" i="1"/>
  <c r="F7868" i="1"/>
  <c r="H7868" i="1"/>
  <c r="I7868" i="1"/>
  <c r="J7868" i="1"/>
  <c r="L7868" i="1"/>
  <c r="M7868" i="1"/>
  <c r="C7869" i="1"/>
  <c r="E7869" i="1"/>
  <c r="F7869" i="1"/>
  <c r="H7869" i="1"/>
  <c r="I7869" i="1"/>
  <c r="J7869" i="1"/>
  <c r="L7869" i="1"/>
  <c r="M7869" i="1"/>
  <c r="C7870" i="1"/>
  <c r="E7870" i="1"/>
  <c r="F7870" i="1"/>
  <c r="H7870" i="1"/>
  <c r="I7870" i="1"/>
  <c r="J7870" i="1"/>
  <c r="L7870" i="1"/>
  <c r="M7870" i="1"/>
  <c r="C7871" i="1"/>
  <c r="E7871" i="1"/>
  <c r="F7871" i="1"/>
  <c r="H7871" i="1"/>
  <c r="I7871" i="1"/>
  <c r="J7871" i="1"/>
  <c r="L7871" i="1"/>
  <c r="M7871" i="1"/>
  <c r="C7872" i="1"/>
  <c r="E7872" i="1"/>
  <c r="F7872" i="1"/>
  <c r="H7872" i="1"/>
  <c r="I7872" i="1"/>
  <c r="J7872" i="1"/>
  <c r="L7872" i="1"/>
  <c r="M7872" i="1"/>
  <c r="C7873" i="1"/>
  <c r="E7873" i="1"/>
  <c r="F7873" i="1"/>
  <c r="H7873" i="1"/>
  <c r="I7873" i="1"/>
  <c r="J7873" i="1"/>
  <c r="L7873" i="1"/>
  <c r="M7873" i="1"/>
  <c r="C7874" i="1"/>
  <c r="E7874" i="1"/>
  <c r="F7874" i="1"/>
  <c r="H7874" i="1"/>
  <c r="I7874" i="1"/>
  <c r="J7874" i="1"/>
  <c r="L7874" i="1"/>
  <c r="M7874" i="1"/>
  <c r="C7875" i="1"/>
  <c r="E7875" i="1"/>
  <c r="F7875" i="1"/>
  <c r="H7875" i="1"/>
  <c r="I7875" i="1"/>
  <c r="J7875" i="1"/>
  <c r="L7875" i="1"/>
  <c r="M7875" i="1"/>
  <c r="C7876" i="1"/>
  <c r="E7876" i="1"/>
  <c r="F7876" i="1"/>
  <c r="H7876" i="1"/>
  <c r="I7876" i="1"/>
  <c r="J7876" i="1"/>
  <c r="L7876" i="1"/>
  <c r="M7876" i="1"/>
  <c r="C7877" i="1"/>
  <c r="E7877" i="1"/>
  <c r="F7877" i="1"/>
  <c r="H7877" i="1"/>
  <c r="I7877" i="1"/>
  <c r="J7877" i="1"/>
  <c r="L7877" i="1"/>
  <c r="M7877" i="1"/>
  <c r="C7878" i="1"/>
  <c r="E7878" i="1"/>
  <c r="F7878" i="1"/>
  <c r="H7878" i="1"/>
  <c r="I7878" i="1"/>
  <c r="J7878" i="1"/>
  <c r="L7878" i="1"/>
  <c r="M7878" i="1"/>
  <c r="C7879" i="1"/>
  <c r="E7879" i="1"/>
  <c r="F7879" i="1"/>
  <c r="H7879" i="1"/>
  <c r="I7879" i="1"/>
  <c r="J7879" i="1"/>
  <c r="L7879" i="1"/>
  <c r="M7879" i="1"/>
  <c r="C7880" i="1"/>
  <c r="E7880" i="1"/>
  <c r="F7880" i="1"/>
  <c r="H7880" i="1"/>
  <c r="I7880" i="1"/>
  <c r="J7880" i="1"/>
  <c r="L7880" i="1"/>
  <c r="M7880" i="1"/>
  <c r="C7881" i="1"/>
  <c r="E7881" i="1"/>
  <c r="F7881" i="1"/>
  <c r="H7881" i="1"/>
  <c r="I7881" i="1"/>
  <c r="J7881" i="1"/>
  <c r="L7881" i="1"/>
  <c r="M7881" i="1"/>
  <c r="C7882" i="1"/>
  <c r="E7882" i="1"/>
  <c r="F7882" i="1"/>
  <c r="H7882" i="1"/>
  <c r="I7882" i="1"/>
  <c r="J7882" i="1"/>
  <c r="L7882" i="1"/>
  <c r="M7882" i="1"/>
  <c r="C7883" i="1"/>
  <c r="E7883" i="1"/>
  <c r="F7883" i="1"/>
  <c r="H7883" i="1"/>
  <c r="I7883" i="1"/>
  <c r="J7883" i="1"/>
  <c r="L7883" i="1"/>
  <c r="M7883" i="1"/>
  <c r="C7884" i="1"/>
  <c r="E7884" i="1"/>
  <c r="F7884" i="1"/>
  <c r="H7884" i="1"/>
  <c r="I7884" i="1"/>
  <c r="J7884" i="1"/>
  <c r="L7884" i="1"/>
  <c r="M7884" i="1"/>
  <c r="C7885" i="1"/>
  <c r="E7885" i="1"/>
  <c r="F7885" i="1"/>
  <c r="H7885" i="1"/>
  <c r="I7885" i="1"/>
  <c r="J7885" i="1"/>
  <c r="L7885" i="1"/>
  <c r="M7885" i="1"/>
  <c r="C7886" i="1"/>
  <c r="E7886" i="1"/>
  <c r="F7886" i="1"/>
  <c r="H7886" i="1"/>
  <c r="I7886" i="1"/>
  <c r="J7886" i="1"/>
  <c r="L7886" i="1"/>
  <c r="M7886" i="1"/>
  <c r="C7887" i="1"/>
  <c r="E7887" i="1"/>
  <c r="F7887" i="1"/>
  <c r="H7887" i="1"/>
  <c r="I7887" i="1"/>
  <c r="J7887" i="1"/>
  <c r="L7887" i="1"/>
  <c r="M7887" i="1"/>
  <c r="C7888" i="1"/>
  <c r="E7888" i="1"/>
  <c r="F7888" i="1"/>
  <c r="H7888" i="1"/>
  <c r="I7888" i="1"/>
  <c r="J7888" i="1"/>
  <c r="L7888" i="1"/>
  <c r="M7888" i="1"/>
  <c r="C7889" i="1"/>
  <c r="E7889" i="1"/>
  <c r="F7889" i="1"/>
  <c r="H7889" i="1"/>
  <c r="I7889" i="1"/>
  <c r="J7889" i="1"/>
  <c r="L7889" i="1"/>
  <c r="M7889" i="1"/>
  <c r="C7890" i="1"/>
  <c r="E7890" i="1"/>
  <c r="F7890" i="1"/>
  <c r="H7890" i="1"/>
  <c r="I7890" i="1"/>
  <c r="J7890" i="1"/>
  <c r="L7890" i="1"/>
  <c r="M7890" i="1"/>
  <c r="C7891" i="1"/>
  <c r="E7891" i="1"/>
  <c r="F7891" i="1"/>
  <c r="H7891" i="1"/>
  <c r="I7891" i="1"/>
  <c r="J7891" i="1"/>
  <c r="L7891" i="1"/>
  <c r="M7891" i="1"/>
  <c r="C7892" i="1"/>
  <c r="E7892" i="1"/>
  <c r="F7892" i="1"/>
  <c r="H7892" i="1"/>
  <c r="I7892" i="1"/>
  <c r="J7892" i="1"/>
  <c r="L7892" i="1"/>
  <c r="M7892" i="1"/>
  <c r="C7893" i="1"/>
  <c r="E7893" i="1"/>
  <c r="F7893" i="1"/>
  <c r="H7893" i="1"/>
  <c r="I7893" i="1"/>
  <c r="J7893" i="1"/>
  <c r="L7893" i="1"/>
  <c r="M7893" i="1"/>
  <c r="C7894" i="1"/>
  <c r="E7894" i="1"/>
  <c r="F7894" i="1"/>
  <c r="H7894" i="1"/>
  <c r="I7894" i="1"/>
  <c r="J7894" i="1"/>
  <c r="L7894" i="1"/>
  <c r="M7894" i="1"/>
  <c r="C7895" i="1"/>
  <c r="E7895" i="1"/>
  <c r="F7895" i="1"/>
  <c r="H7895" i="1"/>
  <c r="I7895" i="1"/>
  <c r="J7895" i="1"/>
  <c r="L7895" i="1"/>
  <c r="M7895" i="1"/>
  <c r="C7896" i="1"/>
  <c r="E7896" i="1"/>
  <c r="F7896" i="1"/>
  <c r="H7896" i="1"/>
  <c r="I7896" i="1"/>
  <c r="J7896" i="1"/>
  <c r="L7896" i="1"/>
  <c r="M7896" i="1"/>
  <c r="C7897" i="1"/>
  <c r="E7897" i="1"/>
  <c r="F7897" i="1"/>
  <c r="H7897" i="1"/>
  <c r="I7897" i="1"/>
  <c r="J7897" i="1"/>
  <c r="L7897" i="1"/>
  <c r="M7897" i="1"/>
  <c r="C7898" i="1"/>
  <c r="E7898" i="1"/>
  <c r="F7898" i="1"/>
  <c r="H7898" i="1"/>
  <c r="I7898" i="1"/>
  <c r="J7898" i="1"/>
  <c r="L7898" i="1"/>
  <c r="M7898" i="1"/>
  <c r="C7899" i="1"/>
  <c r="E7899" i="1"/>
  <c r="F7899" i="1"/>
  <c r="H7899" i="1"/>
  <c r="I7899" i="1"/>
  <c r="J7899" i="1"/>
  <c r="L7899" i="1"/>
  <c r="M7899" i="1"/>
  <c r="C7900" i="1"/>
  <c r="E7900" i="1"/>
  <c r="F7900" i="1"/>
  <c r="H7900" i="1"/>
  <c r="I7900" i="1"/>
  <c r="J7900" i="1"/>
  <c r="L7900" i="1"/>
  <c r="M7900" i="1"/>
  <c r="C7901" i="1"/>
  <c r="E7901" i="1"/>
  <c r="F7901" i="1"/>
  <c r="H7901" i="1"/>
  <c r="I7901" i="1"/>
  <c r="J7901" i="1"/>
  <c r="L7901" i="1"/>
  <c r="M7901" i="1"/>
  <c r="C7902" i="1"/>
  <c r="E7902" i="1"/>
  <c r="F7902" i="1"/>
  <c r="H7902" i="1"/>
  <c r="I7902" i="1"/>
  <c r="J7902" i="1"/>
  <c r="L7902" i="1"/>
  <c r="M7902" i="1"/>
  <c r="C7903" i="1"/>
  <c r="E7903" i="1"/>
  <c r="F7903" i="1"/>
  <c r="H7903" i="1"/>
  <c r="I7903" i="1"/>
  <c r="J7903" i="1"/>
  <c r="L7903" i="1"/>
  <c r="M7903" i="1"/>
  <c r="C7904" i="1"/>
  <c r="E7904" i="1"/>
  <c r="F7904" i="1"/>
  <c r="H7904" i="1"/>
  <c r="I7904" i="1"/>
  <c r="J7904" i="1"/>
  <c r="L7904" i="1"/>
  <c r="M7904" i="1"/>
  <c r="C7905" i="1"/>
  <c r="E7905" i="1"/>
  <c r="F7905" i="1"/>
  <c r="H7905" i="1"/>
  <c r="I7905" i="1"/>
  <c r="J7905" i="1"/>
  <c r="L7905" i="1"/>
  <c r="M7905" i="1"/>
  <c r="C7906" i="1"/>
  <c r="E7906" i="1"/>
  <c r="F7906" i="1"/>
  <c r="H7906" i="1"/>
  <c r="I7906" i="1"/>
  <c r="J7906" i="1"/>
  <c r="L7906" i="1"/>
  <c r="M7906" i="1"/>
  <c r="C7907" i="1"/>
  <c r="E7907" i="1"/>
  <c r="F7907" i="1"/>
  <c r="H7907" i="1"/>
  <c r="I7907" i="1"/>
  <c r="J7907" i="1"/>
  <c r="L7907" i="1"/>
  <c r="M7907" i="1"/>
  <c r="C7908" i="1"/>
  <c r="E7908" i="1"/>
  <c r="F7908" i="1"/>
  <c r="H7908" i="1"/>
  <c r="I7908" i="1"/>
  <c r="J7908" i="1"/>
  <c r="L7908" i="1"/>
  <c r="M7908" i="1"/>
  <c r="C7909" i="1"/>
  <c r="E7909" i="1"/>
  <c r="F7909" i="1"/>
  <c r="H7909" i="1"/>
  <c r="I7909" i="1"/>
  <c r="J7909" i="1"/>
  <c r="L7909" i="1"/>
  <c r="M7909" i="1"/>
  <c r="C7910" i="1"/>
  <c r="E7910" i="1"/>
  <c r="F7910" i="1"/>
  <c r="H7910" i="1"/>
  <c r="I7910" i="1"/>
  <c r="J7910" i="1"/>
  <c r="L7910" i="1"/>
  <c r="M7910" i="1"/>
  <c r="C7911" i="1"/>
  <c r="E7911" i="1"/>
  <c r="F7911" i="1"/>
  <c r="H7911" i="1"/>
  <c r="I7911" i="1"/>
  <c r="J7911" i="1"/>
  <c r="L7911" i="1"/>
  <c r="M7911" i="1"/>
  <c r="C7912" i="1"/>
  <c r="E7912" i="1"/>
  <c r="F7912" i="1"/>
  <c r="H7912" i="1"/>
  <c r="I7912" i="1"/>
  <c r="J7912" i="1"/>
  <c r="L7912" i="1"/>
  <c r="M7912" i="1"/>
  <c r="C7913" i="1"/>
  <c r="E7913" i="1"/>
  <c r="F7913" i="1"/>
  <c r="H7913" i="1"/>
  <c r="I7913" i="1"/>
  <c r="J7913" i="1"/>
  <c r="L7913" i="1"/>
  <c r="M7913" i="1"/>
  <c r="C7914" i="1"/>
  <c r="E7914" i="1"/>
  <c r="F7914" i="1"/>
  <c r="H7914" i="1"/>
  <c r="I7914" i="1"/>
  <c r="J7914" i="1"/>
  <c r="L7914" i="1"/>
  <c r="M7914" i="1"/>
  <c r="C7915" i="1"/>
  <c r="E7915" i="1"/>
  <c r="F7915" i="1"/>
  <c r="H7915" i="1"/>
  <c r="I7915" i="1"/>
  <c r="J7915" i="1"/>
  <c r="L7915" i="1"/>
  <c r="M7915" i="1"/>
  <c r="C7916" i="1"/>
  <c r="E7916" i="1"/>
  <c r="F7916" i="1"/>
  <c r="H7916" i="1"/>
  <c r="I7916" i="1"/>
  <c r="J7916" i="1"/>
  <c r="L7916" i="1"/>
  <c r="M7916" i="1"/>
  <c r="C7917" i="1"/>
  <c r="E7917" i="1"/>
  <c r="F7917" i="1"/>
  <c r="H7917" i="1"/>
  <c r="I7917" i="1"/>
  <c r="J7917" i="1"/>
  <c r="L7917" i="1"/>
  <c r="M7917" i="1"/>
  <c r="C7918" i="1"/>
  <c r="E7918" i="1"/>
  <c r="F7918" i="1"/>
  <c r="H7918" i="1"/>
  <c r="I7918" i="1"/>
  <c r="J7918" i="1"/>
  <c r="L7918" i="1"/>
  <c r="M7918" i="1"/>
  <c r="C7919" i="1"/>
  <c r="E7919" i="1"/>
  <c r="F7919" i="1"/>
  <c r="H7919" i="1"/>
  <c r="I7919" i="1"/>
  <c r="J7919" i="1"/>
  <c r="L7919" i="1"/>
  <c r="M7919" i="1"/>
  <c r="C7920" i="1"/>
  <c r="E7920" i="1"/>
  <c r="F7920" i="1"/>
  <c r="H7920" i="1"/>
  <c r="I7920" i="1"/>
  <c r="J7920" i="1"/>
  <c r="L7920" i="1"/>
  <c r="M7920" i="1"/>
  <c r="C7921" i="1"/>
  <c r="E7921" i="1"/>
  <c r="F7921" i="1"/>
  <c r="H7921" i="1"/>
  <c r="I7921" i="1"/>
  <c r="J7921" i="1"/>
  <c r="L7921" i="1"/>
  <c r="M7921" i="1"/>
  <c r="C7922" i="1"/>
  <c r="E7922" i="1"/>
  <c r="F7922" i="1"/>
  <c r="H7922" i="1"/>
  <c r="I7922" i="1"/>
  <c r="J7922" i="1"/>
  <c r="L7922" i="1"/>
  <c r="M7922" i="1"/>
  <c r="C7923" i="1"/>
  <c r="E7923" i="1"/>
  <c r="F7923" i="1"/>
  <c r="H7923" i="1"/>
  <c r="I7923" i="1"/>
  <c r="J7923" i="1"/>
  <c r="L7923" i="1"/>
  <c r="M7923" i="1"/>
  <c r="C7924" i="1"/>
  <c r="E7924" i="1"/>
  <c r="F7924" i="1"/>
  <c r="H7924" i="1"/>
  <c r="I7924" i="1"/>
  <c r="J7924" i="1"/>
  <c r="L7924" i="1"/>
  <c r="M7924" i="1"/>
  <c r="C7925" i="1"/>
  <c r="E7925" i="1"/>
  <c r="F7925" i="1"/>
  <c r="H7925" i="1"/>
  <c r="I7925" i="1"/>
  <c r="J7925" i="1"/>
  <c r="L7925" i="1"/>
  <c r="M7925" i="1"/>
  <c r="C7926" i="1"/>
  <c r="E7926" i="1"/>
  <c r="F7926" i="1"/>
  <c r="H7926" i="1"/>
  <c r="I7926" i="1"/>
  <c r="J7926" i="1"/>
  <c r="L7926" i="1"/>
  <c r="M7926" i="1"/>
  <c r="C7927" i="1"/>
  <c r="E7927" i="1"/>
  <c r="F7927" i="1"/>
  <c r="H7927" i="1"/>
  <c r="I7927" i="1"/>
  <c r="J7927" i="1"/>
  <c r="L7927" i="1"/>
  <c r="M7927" i="1"/>
  <c r="C7928" i="1"/>
  <c r="E7928" i="1"/>
  <c r="F7928" i="1"/>
  <c r="H7928" i="1"/>
  <c r="I7928" i="1"/>
  <c r="J7928" i="1"/>
  <c r="L7928" i="1"/>
  <c r="M7928" i="1"/>
  <c r="C7929" i="1"/>
  <c r="E7929" i="1"/>
  <c r="F7929" i="1"/>
  <c r="H7929" i="1"/>
  <c r="I7929" i="1"/>
  <c r="J7929" i="1"/>
  <c r="L7929" i="1"/>
  <c r="M7929" i="1"/>
  <c r="C7930" i="1"/>
  <c r="E7930" i="1"/>
  <c r="F7930" i="1"/>
  <c r="H7930" i="1"/>
  <c r="I7930" i="1"/>
  <c r="J7930" i="1"/>
  <c r="L7930" i="1"/>
  <c r="M7930" i="1"/>
  <c r="C7931" i="1"/>
  <c r="E7931" i="1"/>
  <c r="F7931" i="1"/>
  <c r="H7931" i="1"/>
  <c r="I7931" i="1"/>
  <c r="J7931" i="1"/>
  <c r="L7931" i="1"/>
  <c r="M7931" i="1"/>
  <c r="C7932" i="1"/>
  <c r="E7932" i="1"/>
  <c r="F7932" i="1"/>
  <c r="H7932" i="1"/>
  <c r="I7932" i="1"/>
  <c r="J7932" i="1"/>
  <c r="L7932" i="1"/>
  <c r="M7932" i="1"/>
  <c r="C7933" i="1"/>
  <c r="E7933" i="1"/>
  <c r="F7933" i="1"/>
  <c r="H7933" i="1"/>
  <c r="I7933" i="1"/>
  <c r="J7933" i="1"/>
  <c r="L7933" i="1"/>
  <c r="M7933" i="1"/>
  <c r="C7934" i="1"/>
  <c r="E7934" i="1"/>
  <c r="F7934" i="1"/>
  <c r="H7934" i="1"/>
  <c r="I7934" i="1"/>
  <c r="J7934" i="1"/>
  <c r="L7934" i="1"/>
  <c r="M7934" i="1"/>
  <c r="C7935" i="1"/>
  <c r="E7935" i="1"/>
  <c r="F7935" i="1"/>
  <c r="H7935" i="1"/>
  <c r="I7935" i="1"/>
  <c r="J7935" i="1"/>
  <c r="L7935" i="1"/>
  <c r="M7935" i="1"/>
  <c r="C7936" i="1"/>
  <c r="E7936" i="1"/>
  <c r="F7936" i="1"/>
  <c r="H7936" i="1"/>
  <c r="I7936" i="1"/>
  <c r="J7936" i="1"/>
  <c r="L7936" i="1"/>
  <c r="M7936" i="1"/>
  <c r="C7937" i="1"/>
  <c r="E7937" i="1"/>
  <c r="F7937" i="1"/>
  <c r="H7937" i="1"/>
  <c r="I7937" i="1"/>
  <c r="J7937" i="1"/>
  <c r="L7937" i="1"/>
  <c r="M7937" i="1"/>
  <c r="C7938" i="1"/>
  <c r="E7938" i="1"/>
  <c r="F7938" i="1"/>
  <c r="H7938" i="1"/>
  <c r="I7938" i="1"/>
  <c r="J7938" i="1"/>
  <c r="L7938" i="1"/>
  <c r="M7938" i="1"/>
  <c r="C7939" i="1"/>
  <c r="E7939" i="1"/>
  <c r="F7939" i="1"/>
  <c r="H7939" i="1"/>
  <c r="I7939" i="1"/>
  <c r="J7939" i="1"/>
  <c r="L7939" i="1"/>
  <c r="M7939" i="1"/>
  <c r="C7940" i="1"/>
  <c r="E7940" i="1"/>
  <c r="F7940" i="1"/>
  <c r="H7940" i="1"/>
  <c r="I7940" i="1"/>
  <c r="J7940" i="1"/>
  <c r="L7940" i="1"/>
  <c r="M7940" i="1"/>
  <c r="C7941" i="1"/>
  <c r="E7941" i="1"/>
  <c r="F7941" i="1"/>
  <c r="H7941" i="1"/>
  <c r="I7941" i="1"/>
  <c r="J7941" i="1"/>
  <c r="L7941" i="1"/>
  <c r="M7941" i="1"/>
  <c r="C7942" i="1"/>
  <c r="E7942" i="1"/>
  <c r="F7942" i="1"/>
  <c r="H7942" i="1"/>
  <c r="I7942" i="1"/>
  <c r="J7942" i="1"/>
  <c r="L7942" i="1"/>
  <c r="M7942" i="1"/>
  <c r="C7943" i="1"/>
  <c r="E7943" i="1"/>
  <c r="F7943" i="1"/>
  <c r="H7943" i="1"/>
  <c r="I7943" i="1"/>
  <c r="J7943" i="1"/>
  <c r="L7943" i="1"/>
  <c r="M7943" i="1"/>
  <c r="C7944" i="1"/>
  <c r="E7944" i="1"/>
  <c r="F7944" i="1"/>
  <c r="H7944" i="1"/>
  <c r="I7944" i="1"/>
  <c r="J7944" i="1"/>
  <c r="L7944" i="1"/>
  <c r="M7944" i="1"/>
  <c r="C7945" i="1"/>
  <c r="E7945" i="1"/>
  <c r="F7945" i="1"/>
  <c r="H7945" i="1"/>
  <c r="I7945" i="1"/>
  <c r="J7945" i="1"/>
  <c r="L7945" i="1"/>
  <c r="M7945" i="1"/>
  <c r="C7946" i="1"/>
  <c r="E7946" i="1"/>
  <c r="F7946" i="1"/>
  <c r="H7946" i="1"/>
  <c r="I7946" i="1"/>
  <c r="J7946" i="1"/>
  <c r="L7946" i="1"/>
  <c r="M7946" i="1"/>
  <c r="C7947" i="1"/>
  <c r="E7947" i="1"/>
  <c r="F7947" i="1"/>
  <c r="H7947" i="1"/>
  <c r="I7947" i="1"/>
  <c r="J7947" i="1"/>
  <c r="L7947" i="1"/>
  <c r="M7947" i="1"/>
  <c r="C7948" i="1"/>
  <c r="E7948" i="1"/>
  <c r="F7948" i="1"/>
  <c r="H7948" i="1"/>
  <c r="I7948" i="1"/>
  <c r="J7948" i="1"/>
  <c r="L7948" i="1"/>
  <c r="M7948" i="1"/>
  <c r="C7949" i="1"/>
  <c r="E7949" i="1"/>
  <c r="F7949" i="1"/>
  <c r="H7949" i="1"/>
  <c r="I7949" i="1"/>
  <c r="J7949" i="1"/>
  <c r="L7949" i="1"/>
  <c r="M7949" i="1"/>
  <c r="C7950" i="1"/>
  <c r="E7950" i="1"/>
  <c r="F7950" i="1"/>
  <c r="H7950" i="1"/>
  <c r="I7950" i="1"/>
  <c r="J7950" i="1"/>
  <c r="L7950" i="1"/>
  <c r="M7950" i="1"/>
  <c r="C7951" i="1"/>
  <c r="E7951" i="1"/>
  <c r="F7951" i="1"/>
  <c r="H7951" i="1"/>
  <c r="I7951" i="1"/>
  <c r="J7951" i="1"/>
  <c r="L7951" i="1"/>
  <c r="M7951" i="1"/>
  <c r="C7952" i="1"/>
  <c r="E7952" i="1"/>
  <c r="F7952" i="1"/>
  <c r="H7952" i="1"/>
  <c r="I7952" i="1"/>
  <c r="J7952" i="1"/>
  <c r="L7952" i="1"/>
  <c r="M7952" i="1"/>
  <c r="C7953" i="1"/>
  <c r="E7953" i="1"/>
  <c r="F7953" i="1"/>
  <c r="H7953" i="1"/>
  <c r="I7953" i="1"/>
  <c r="J7953" i="1"/>
  <c r="L7953" i="1"/>
  <c r="M7953" i="1"/>
  <c r="C7954" i="1"/>
  <c r="E7954" i="1"/>
  <c r="F7954" i="1"/>
  <c r="H7954" i="1"/>
  <c r="I7954" i="1"/>
  <c r="J7954" i="1"/>
  <c r="L7954" i="1"/>
  <c r="M7954" i="1"/>
  <c r="C7955" i="1"/>
  <c r="E7955" i="1"/>
  <c r="F7955" i="1"/>
  <c r="H7955" i="1"/>
  <c r="I7955" i="1"/>
  <c r="J7955" i="1"/>
  <c r="L7955" i="1"/>
  <c r="M7955" i="1"/>
  <c r="C7956" i="1"/>
  <c r="E7956" i="1"/>
  <c r="F7956" i="1"/>
  <c r="H7956" i="1"/>
  <c r="I7956" i="1"/>
  <c r="J7956" i="1"/>
  <c r="L7956" i="1"/>
  <c r="M7956" i="1"/>
  <c r="C7957" i="1"/>
  <c r="E7957" i="1"/>
  <c r="F7957" i="1"/>
  <c r="H7957" i="1"/>
  <c r="I7957" i="1"/>
  <c r="J7957" i="1"/>
  <c r="L7957" i="1"/>
  <c r="M7957" i="1"/>
  <c r="C7958" i="1"/>
  <c r="E7958" i="1"/>
  <c r="F7958" i="1"/>
  <c r="H7958" i="1"/>
  <c r="I7958" i="1"/>
  <c r="J7958" i="1"/>
  <c r="L7958" i="1"/>
  <c r="M7958" i="1"/>
  <c r="C7959" i="1"/>
  <c r="E7959" i="1"/>
  <c r="F7959" i="1"/>
  <c r="H7959" i="1"/>
  <c r="I7959" i="1"/>
  <c r="J7959" i="1"/>
  <c r="L7959" i="1"/>
  <c r="M7959" i="1"/>
  <c r="C7960" i="1"/>
  <c r="E7960" i="1"/>
  <c r="F7960" i="1"/>
  <c r="H7960" i="1"/>
  <c r="I7960" i="1"/>
  <c r="J7960" i="1"/>
  <c r="L7960" i="1"/>
  <c r="M7960" i="1"/>
  <c r="C7961" i="1"/>
  <c r="E7961" i="1"/>
  <c r="F7961" i="1"/>
  <c r="H7961" i="1"/>
  <c r="I7961" i="1"/>
  <c r="J7961" i="1"/>
  <c r="L7961" i="1"/>
  <c r="M7961" i="1"/>
  <c r="C7962" i="1"/>
  <c r="E7962" i="1"/>
  <c r="F7962" i="1"/>
  <c r="H7962" i="1"/>
  <c r="I7962" i="1"/>
  <c r="J7962" i="1"/>
  <c r="L7962" i="1"/>
  <c r="M7962" i="1"/>
  <c r="C7963" i="1"/>
  <c r="E7963" i="1"/>
  <c r="F7963" i="1"/>
  <c r="H7963" i="1"/>
  <c r="I7963" i="1"/>
  <c r="J7963" i="1"/>
  <c r="L7963" i="1"/>
  <c r="M7963" i="1"/>
  <c r="C7964" i="1"/>
  <c r="E7964" i="1"/>
  <c r="F7964" i="1"/>
  <c r="H7964" i="1"/>
  <c r="I7964" i="1"/>
  <c r="J7964" i="1"/>
  <c r="L7964" i="1"/>
  <c r="M7964" i="1"/>
  <c r="C7965" i="1"/>
  <c r="E7965" i="1"/>
  <c r="F7965" i="1"/>
  <c r="H7965" i="1"/>
  <c r="I7965" i="1"/>
  <c r="J7965" i="1"/>
  <c r="L7965" i="1"/>
  <c r="M7965" i="1"/>
  <c r="C7966" i="1"/>
  <c r="E7966" i="1"/>
  <c r="F7966" i="1"/>
  <c r="H7966" i="1"/>
  <c r="I7966" i="1"/>
  <c r="J7966" i="1"/>
  <c r="L7966" i="1"/>
  <c r="M7966" i="1"/>
  <c r="C7967" i="1"/>
  <c r="E7967" i="1"/>
  <c r="F7967" i="1"/>
  <c r="H7967" i="1"/>
  <c r="I7967" i="1"/>
  <c r="J7967" i="1"/>
  <c r="L7967" i="1"/>
  <c r="M7967" i="1"/>
  <c r="C7968" i="1"/>
  <c r="E7968" i="1"/>
  <c r="F7968" i="1"/>
  <c r="H7968" i="1"/>
  <c r="I7968" i="1"/>
  <c r="J7968" i="1"/>
  <c r="L7968" i="1"/>
  <c r="M7968" i="1"/>
  <c r="C7969" i="1"/>
  <c r="E7969" i="1"/>
  <c r="F7969" i="1"/>
  <c r="H7969" i="1"/>
  <c r="I7969" i="1"/>
  <c r="J7969" i="1"/>
  <c r="L7969" i="1"/>
  <c r="M7969" i="1"/>
  <c r="C7970" i="1"/>
  <c r="E7970" i="1"/>
  <c r="F7970" i="1"/>
  <c r="H7970" i="1"/>
  <c r="I7970" i="1"/>
  <c r="J7970" i="1"/>
  <c r="L7970" i="1"/>
  <c r="M7970" i="1"/>
  <c r="C7971" i="1"/>
  <c r="E7971" i="1"/>
  <c r="F7971" i="1"/>
  <c r="H7971" i="1"/>
  <c r="I7971" i="1"/>
  <c r="J7971" i="1"/>
  <c r="L7971" i="1"/>
  <c r="M7971" i="1"/>
  <c r="C7972" i="1"/>
  <c r="E7972" i="1"/>
  <c r="F7972" i="1"/>
  <c r="H7972" i="1"/>
  <c r="I7972" i="1"/>
  <c r="J7972" i="1"/>
  <c r="L7972" i="1"/>
  <c r="M7972" i="1"/>
  <c r="C7973" i="1"/>
  <c r="E7973" i="1"/>
  <c r="F7973" i="1"/>
  <c r="H7973" i="1"/>
  <c r="I7973" i="1"/>
  <c r="J7973" i="1"/>
  <c r="L7973" i="1"/>
  <c r="M7973" i="1"/>
  <c r="C7974" i="1"/>
  <c r="E7974" i="1"/>
  <c r="F7974" i="1"/>
  <c r="H7974" i="1"/>
  <c r="I7974" i="1"/>
  <c r="J7974" i="1"/>
  <c r="L7974" i="1"/>
  <c r="M7974" i="1"/>
  <c r="C7975" i="1"/>
  <c r="E7975" i="1"/>
  <c r="F7975" i="1"/>
  <c r="H7975" i="1"/>
  <c r="I7975" i="1"/>
  <c r="J7975" i="1"/>
  <c r="L7975" i="1"/>
  <c r="M7975" i="1"/>
  <c r="C7976" i="1"/>
  <c r="E7976" i="1"/>
  <c r="F7976" i="1"/>
  <c r="H7976" i="1"/>
  <c r="I7976" i="1"/>
  <c r="J7976" i="1"/>
  <c r="L7976" i="1"/>
  <c r="M7976" i="1"/>
  <c r="C7977" i="1"/>
  <c r="E7977" i="1"/>
  <c r="F7977" i="1"/>
  <c r="H7977" i="1"/>
  <c r="I7977" i="1"/>
  <c r="J7977" i="1"/>
  <c r="L7977" i="1"/>
  <c r="M7977" i="1"/>
  <c r="C7978" i="1"/>
  <c r="E7978" i="1"/>
  <c r="F7978" i="1"/>
  <c r="H7978" i="1"/>
  <c r="I7978" i="1"/>
  <c r="J7978" i="1"/>
  <c r="L7978" i="1"/>
  <c r="M7978" i="1"/>
  <c r="C7979" i="1"/>
  <c r="E7979" i="1"/>
  <c r="F7979" i="1"/>
  <c r="H7979" i="1"/>
  <c r="I7979" i="1"/>
  <c r="J7979" i="1"/>
  <c r="L7979" i="1"/>
  <c r="M7979" i="1"/>
  <c r="C7980" i="1"/>
  <c r="E7980" i="1"/>
  <c r="F7980" i="1"/>
  <c r="H7980" i="1"/>
  <c r="I7980" i="1"/>
  <c r="J7980" i="1"/>
  <c r="L7980" i="1"/>
  <c r="M7980" i="1"/>
  <c r="C7981" i="1"/>
  <c r="E7981" i="1"/>
  <c r="F7981" i="1"/>
  <c r="H7981" i="1"/>
  <c r="I7981" i="1"/>
  <c r="J7981" i="1"/>
  <c r="L7981" i="1"/>
  <c r="M7981" i="1"/>
  <c r="C7982" i="1"/>
  <c r="E7982" i="1"/>
  <c r="F7982" i="1"/>
  <c r="H7982" i="1"/>
  <c r="I7982" i="1"/>
  <c r="J7982" i="1"/>
  <c r="L7982" i="1"/>
  <c r="M7982" i="1"/>
  <c r="C7983" i="1"/>
  <c r="E7983" i="1"/>
  <c r="F7983" i="1"/>
  <c r="H7983" i="1"/>
  <c r="I7983" i="1"/>
  <c r="J7983" i="1"/>
  <c r="L7983" i="1"/>
  <c r="M7983" i="1"/>
  <c r="C7984" i="1"/>
  <c r="E7984" i="1"/>
  <c r="F7984" i="1"/>
  <c r="H7984" i="1"/>
  <c r="I7984" i="1"/>
  <c r="J7984" i="1"/>
  <c r="L7984" i="1"/>
  <c r="M7984" i="1"/>
  <c r="C7985" i="1"/>
  <c r="E7985" i="1"/>
  <c r="F7985" i="1"/>
  <c r="H7985" i="1"/>
  <c r="I7985" i="1"/>
  <c r="J7985" i="1"/>
  <c r="L7985" i="1"/>
  <c r="M7985" i="1"/>
  <c r="C7986" i="1"/>
  <c r="E7986" i="1"/>
  <c r="F7986" i="1"/>
  <c r="H7986" i="1"/>
  <c r="I7986" i="1"/>
  <c r="J7986" i="1"/>
  <c r="L7986" i="1"/>
  <c r="M7986" i="1"/>
  <c r="C7987" i="1"/>
  <c r="E7987" i="1"/>
  <c r="F7987" i="1"/>
  <c r="H7987" i="1"/>
  <c r="I7987" i="1"/>
  <c r="J7987" i="1"/>
  <c r="L7987" i="1"/>
  <c r="M7987" i="1"/>
  <c r="C7988" i="1"/>
  <c r="E7988" i="1"/>
  <c r="F7988" i="1"/>
  <c r="H7988" i="1"/>
  <c r="I7988" i="1"/>
  <c r="J7988" i="1"/>
  <c r="L7988" i="1"/>
  <c r="M7988" i="1"/>
  <c r="C7989" i="1"/>
  <c r="E7989" i="1"/>
  <c r="F7989" i="1"/>
  <c r="H7989" i="1"/>
  <c r="I7989" i="1"/>
  <c r="J7989" i="1"/>
  <c r="L7989" i="1"/>
  <c r="M7989" i="1"/>
  <c r="C7990" i="1"/>
  <c r="E7990" i="1"/>
  <c r="F7990" i="1"/>
  <c r="H7990" i="1"/>
  <c r="I7990" i="1"/>
  <c r="J7990" i="1"/>
  <c r="L7990" i="1"/>
  <c r="M7990" i="1"/>
  <c r="C7991" i="1"/>
  <c r="E7991" i="1"/>
  <c r="F7991" i="1"/>
  <c r="H7991" i="1"/>
  <c r="I7991" i="1"/>
  <c r="J7991" i="1"/>
  <c r="L7991" i="1"/>
  <c r="M7991" i="1"/>
  <c r="C7992" i="1"/>
  <c r="E7992" i="1"/>
  <c r="F7992" i="1"/>
  <c r="H7992" i="1"/>
  <c r="I7992" i="1"/>
  <c r="J7992" i="1"/>
  <c r="L7992" i="1"/>
  <c r="M7992" i="1"/>
  <c r="C7993" i="1"/>
  <c r="E7993" i="1"/>
  <c r="F7993" i="1"/>
  <c r="H7993" i="1"/>
  <c r="I7993" i="1"/>
  <c r="J7993" i="1"/>
  <c r="L7993" i="1"/>
  <c r="M7993" i="1"/>
  <c r="C7994" i="1"/>
  <c r="E7994" i="1"/>
  <c r="F7994" i="1"/>
  <c r="H7994" i="1"/>
  <c r="I7994" i="1"/>
  <c r="J7994" i="1"/>
  <c r="L7994" i="1"/>
  <c r="M7994" i="1"/>
  <c r="C7995" i="1"/>
  <c r="E7995" i="1"/>
  <c r="F7995" i="1"/>
  <c r="H7995" i="1"/>
  <c r="I7995" i="1"/>
  <c r="J7995" i="1"/>
  <c r="L7995" i="1"/>
  <c r="M7995" i="1"/>
  <c r="C7996" i="1"/>
  <c r="E7996" i="1"/>
  <c r="F7996" i="1"/>
  <c r="H7996" i="1"/>
  <c r="I7996" i="1"/>
  <c r="J7996" i="1"/>
  <c r="L7996" i="1"/>
  <c r="M7996" i="1"/>
  <c r="C7997" i="1"/>
  <c r="E7997" i="1"/>
  <c r="F7997" i="1"/>
  <c r="H7997" i="1"/>
  <c r="I7997" i="1"/>
  <c r="J7997" i="1"/>
  <c r="L7997" i="1"/>
  <c r="M7997" i="1"/>
  <c r="C7998" i="1"/>
  <c r="E7998" i="1"/>
  <c r="F7998" i="1"/>
  <c r="H7998" i="1"/>
  <c r="I7998" i="1"/>
  <c r="J7998" i="1"/>
  <c r="L7998" i="1"/>
  <c r="M7998" i="1"/>
  <c r="C7999" i="1"/>
  <c r="E7999" i="1"/>
  <c r="F7999" i="1"/>
  <c r="H7999" i="1"/>
  <c r="I7999" i="1"/>
  <c r="J7999" i="1"/>
  <c r="L7999" i="1"/>
  <c r="M7999" i="1"/>
  <c r="C8000" i="1"/>
  <c r="E8000" i="1"/>
  <c r="F8000" i="1"/>
  <c r="H8000" i="1"/>
  <c r="I8000" i="1"/>
  <c r="J8000" i="1"/>
  <c r="L8000" i="1"/>
  <c r="M8000" i="1"/>
  <c r="C8001" i="1"/>
  <c r="E8001" i="1"/>
  <c r="F8001" i="1"/>
  <c r="H8001" i="1"/>
  <c r="I8001" i="1"/>
  <c r="J8001" i="1"/>
  <c r="L8001" i="1"/>
  <c r="M8001" i="1"/>
  <c r="C8002" i="1"/>
  <c r="E8002" i="1"/>
  <c r="F8002" i="1"/>
  <c r="H8002" i="1"/>
  <c r="I8002" i="1"/>
  <c r="J8002" i="1"/>
  <c r="L8002" i="1"/>
  <c r="M8002" i="1"/>
  <c r="C8003" i="1"/>
  <c r="E8003" i="1"/>
  <c r="F8003" i="1"/>
  <c r="H8003" i="1"/>
  <c r="I8003" i="1"/>
  <c r="J8003" i="1"/>
  <c r="L8003" i="1"/>
  <c r="M8003" i="1"/>
  <c r="C8004" i="1"/>
  <c r="E8004" i="1"/>
  <c r="F8004" i="1"/>
  <c r="H8004" i="1"/>
  <c r="I8004" i="1"/>
  <c r="J8004" i="1"/>
  <c r="L8004" i="1"/>
  <c r="M8004" i="1"/>
  <c r="C8005" i="1"/>
  <c r="E8005" i="1"/>
  <c r="F8005" i="1"/>
  <c r="H8005" i="1"/>
  <c r="I8005" i="1"/>
  <c r="J8005" i="1"/>
  <c r="L8005" i="1"/>
  <c r="M8005" i="1"/>
  <c r="C8006" i="1"/>
  <c r="E8006" i="1"/>
  <c r="F8006" i="1"/>
  <c r="H8006" i="1"/>
  <c r="I8006" i="1"/>
  <c r="J8006" i="1"/>
  <c r="L8006" i="1"/>
  <c r="M8006" i="1"/>
  <c r="C8007" i="1"/>
  <c r="E8007" i="1"/>
  <c r="F8007" i="1"/>
  <c r="H8007" i="1"/>
  <c r="I8007" i="1"/>
  <c r="J8007" i="1"/>
  <c r="L8007" i="1"/>
  <c r="M8007" i="1"/>
  <c r="C8008" i="1"/>
  <c r="E8008" i="1"/>
  <c r="F8008" i="1"/>
  <c r="H8008" i="1"/>
  <c r="I8008" i="1"/>
  <c r="J8008" i="1"/>
  <c r="L8008" i="1"/>
  <c r="M8008" i="1"/>
  <c r="C8009" i="1"/>
  <c r="E8009" i="1"/>
  <c r="F8009" i="1"/>
  <c r="H8009" i="1"/>
  <c r="I8009" i="1"/>
  <c r="J8009" i="1"/>
  <c r="L8009" i="1"/>
  <c r="M8009" i="1"/>
  <c r="C8010" i="1"/>
  <c r="E8010" i="1"/>
  <c r="F8010" i="1"/>
  <c r="H8010" i="1"/>
  <c r="I8010" i="1"/>
  <c r="J8010" i="1"/>
  <c r="L8010" i="1"/>
  <c r="M8010" i="1"/>
  <c r="C8011" i="1"/>
  <c r="E8011" i="1"/>
  <c r="F8011" i="1"/>
  <c r="H8011" i="1"/>
  <c r="I8011" i="1"/>
  <c r="J8011" i="1"/>
  <c r="L8011" i="1"/>
  <c r="M8011" i="1"/>
  <c r="C8012" i="1"/>
  <c r="E8012" i="1"/>
  <c r="F8012" i="1"/>
  <c r="H8012" i="1"/>
  <c r="I8012" i="1"/>
  <c r="J8012" i="1"/>
  <c r="L8012" i="1"/>
  <c r="M8012" i="1"/>
  <c r="C8013" i="1"/>
  <c r="E8013" i="1"/>
  <c r="F8013" i="1"/>
  <c r="H8013" i="1"/>
  <c r="I8013" i="1"/>
  <c r="J8013" i="1"/>
  <c r="L8013" i="1"/>
  <c r="M8013" i="1"/>
  <c r="C8014" i="1"/>
  <c r="E8014" i="1"/>
  <c r="F8014" i="1"/>
  <c r="H8014" i="1"/>
  <c r="I8014" i="1"/>
  <c r="J8014" i="1"/>
  <c r="L8014" i="1"/>
  <c r="M8014" i="1"/>
  <c r="C8015" i="1"/>
  <c r="E8015" i="1"/>
  <c r="F8015" i="1"/>
  <c r="H8015" i="1"/>
  <c r="I8015" i="1"/>
  <c r="J8015" i="1"/>
  <c r="L8015" i="1"/>
  <c r="M8015" i="1"/>
  <c r="C8016" i="1"/>
  <c r="E8016" i="1"/>
  <c r="F8016" i="1"/>
  <c r="H8016" i="1"/>
  <c r="I8016" i="1"/>
  <c r="J8016" i="1"/>
  <c r="L8016" i="1"/>
  <c r="M8016" i="1"/>
  <c r="C8017" i="1"/>
  <c r="E8017" i="1"/>
  <c r="F8017" i="1"/>
  <c r="H8017" i="1"/>
  <c r="I8017" i="1"/>
  <c r="J8017" i="1"/>
  <c r="L8017" i="1"/>
  <c r="M8017" i="1"/>
  <c r="C8018" i="1"/>
  <c r="E8018" i="1"/>
  <c r="F8018" i="1"/>
  <c r="H8018" i="1"/>
  <c r="I8018" i="1"/>
  <c r="J8018" i="1"/>
  <c r="L8018" i="1"/>
  <c r="M8018" i="1"/>
  <c r="C8019" i="1"/>
  <c r="E8019" i="1"/>
  <c r="F8019" i="1"/>
  <c r="H8019" i="1"/>
  <c r="I8019" i="1"/>
  <c r="J8019" i="1"/>
  <c r="L8019" i="1"/>
  <c r="M8019" i="1"/>
  <c r="C8020" i="1"/>
  <c r="E8020" i="1"/>
  <c r="F8020" i="1"/>
  <c r="H8020" i="1"/>
  <c r="I8020" i="1"/>
  <c r="J8020" i="1"/>
  <c r="L8020" i="1"/>
  <c r="M8020" i="1"/>
  <c r="C8021" i="1"/>
  <c r="E8021" i="1"/>
  <c r="F8021" i="1"/>
  <c r="H8021" i="1"/>
  <c r="I8021" i="1"/>
  <c r="J8021" i="1"/>
  <c r="L8021" i="1"/>
  <c r="M8021" i="1"/>
  <c r="C8022" i="1"/>
  <c r="E8022" i="1"/>
  <c r="F8022" i="1"/>
  <c r="H8022" i="1"/>
  <c r="I8022" i="1"/>
  <c r="J8022" i="1"/>
  <c r="L8022" i="1"/>
  <c r="M8022" i="1"/>
  <c r="C8023" i="1"/>
  <c r="E8023" i="1"/>
  <c r="F8023" i="1"/>
  <c r="H8023" i="1"/>
  <c r="I8023" i="1"/>
  <c r="J8023" i="1"/>
  <c r="L8023" i="1"/>
  <c r="M8023" i="1"/>
  <c r="C8024" i="1"/>
  <c r="E8024" i="1"/>
  <c r="F8024" i="1"/>
  <c r="H8024" i="1"/>
  <c r="I8024" i="1"/>
  <c r="J8024" i="1"/>
  <c r="L8024" i="1"/>
  <c r="M8024" i="1"/>
  <c r="C8025" i="1"/>
  <c r="E8025" i="1"/>
  <c r="F8025" i="1"/>
  <c r="H8025" i="1"/>
  <c r="I8025" i="1"/>
  <c r="J8025" i="1"/>
  <c r="L8025" i="1"/>
  <c r="M8025" i="1"/>
  <c r="C8026" i="1"/>
  <c r="E8026" i="1"/>
  <c r="F8026" i="1"/>
  <c r="H8026" i="1"/>
  <c r="I8026" i="1"/>
  <c r="J8026" i="1"/>
  <c r="L8026" i="1"/>
  <c r="M8026" i="1"/>
  <c r="C8027" i="1"/>
  <c r="E8027" i="1"/>
  <c r="F8027" i="1"/>
  <c r="H8027" i="1"/>
  <c r="I8027" i="1"/>
  <c r="J8027" i="1"/>
  <c r="L8027" i="1"/>
  <c r="M8027" i="1"/>
  <c r="C8028" i="1"/>
  <c r="E8028" i="1"/>
  <c r="F8028" i="1"/>
  <c r="H8028" i="1"/>
  <c r="I8028" i="1"/>
  <c r="J8028" i="1"/>
  <c r="L8028" i="1"/>
  <c r="M8028" i="1"/>
  <c r="C8029" i="1"/>
  <c r="E8029" i="1"/>
  <c r="F8029" i="1"/>
  <c r="H8029" i="1"/>
  <c r="I8029" i="1"/>
  <c r="J8029" i="1"/>
  <c r="L8029" i="1"/>
  <c r="M8029" i="1"/>
  <c r="C8030" i="1"/>
  <c r="E8030" i="1"/>
  <c r="F8030" i="1"/>
  <c r="H8030" i="1"/>
  <c r="I8030" i="1"/>
  <c r="J8030" i="1"/>
  <c r="L8030" i="1"/>
  <c r="M8030" i="1"/>
  <c r="C8031" i="1"/>
  <c r="E8031" i="1"/>
  <c r="F8031" i="1"/>
  <c r="H8031" i="1"/>
  <c r="I8031" i="1"/>
  <c r="J8031" i="1"/>
  <c r="L8031" i="1"/>
  <c r="M8031" i="1"/>
  <c r="C8032" i="1"/>
  <c r="E8032" i="1"/>
  <c r="F8032" i="1"/>
  <c r="H8032" i="1"/>
  <c r="I8032" i="1"/>
  <c r="J8032" i="1"/>
  <c r="L8032" i="1"/>
  <c r="M8032" i="1"/>
  <c r="C8033" i="1"/>
  <c r="E8033" i="1"/>
  <c r="F8033" i="1"/>
  <c r="H8033" i="1"/>
  <c r="I8033" i="1"/>
  <c r="J8033" i="1"/>
  <c r="L8033" i="1"/>
  <c r="M8033" i="1"/>
  <c r="C8034" i="1"/>
  <c r="E8034" i="1"/>
  <c r="F8034" i="1"/>
  <c r="H8034" i="1"/>
  <c r="I8034" i="1"/>
  <c r="J8034" i="1"/>
  <c r="L8034" i="1"/>
  <c r="M8034" i="1"/>
  <c r="C8035" i="1"/>
  <c r="E8035" i="1"/>
  <c r="F8035" i="1"/>
  <c r="H8035" i="1"/>
  <c r="I8035" i="1"/>
  <c r="J8035" i="1"/>
  <c r="L8035" i="1"/>
  <c r="M8035" i="1"/>
  <c r="C8036" i="1"/>
  <c r="E8036" i="1"/>
  <c r="F8036" i="1"/>
  <c r="H8036" i="1"/>
  <c r="I8036" i="1"/>
  <c r="J8036" i="1"/>
  <c r="L8036" i="1"/>
  <c r="M8036" i="1"/>
  <c r="C8037" i="1"/>
  <c r="E8037" i="1"/>
  <c r="F8037" i="1"/>
  <c r="H8037" i="1"/>
  <c r="I8037" i="1"/>
  <c r="J8037" i="1"/>
  <c r="L8037" i="1"/>
  <c r="M8037" i="1"/>
  <c r="C8038" i="1"/>
  <c r="E8038" i="1"/>
  <c r="F8038" i="1"/>
  <c r="H8038" i="1"/>
  <c r="I8038" i="1"/>
  <c r="J8038" i="1"/>
  <c r="L8038" i="1"/>
  <c r="M8038" i="1"/>
  <c r="C8039" i="1"/>
  <c r="E8039" i="1"/>
  <c r="F8039" i="1"/>
  <c r="H8039" i="1"/>
  <c r="I8039" i="1"/>
  <c r="J8039" i="1"/>
  <c r="L8039" i="1"/>
  <c r="M8039" i="1"/>
  <c r="C8040" i="1"/>
  <c r="E8040" i="1"/>
  <c r="F8040" i="1"/>
  <c r="H8040" i="1"/>
  <c r="I8040" i="1"/>
  <c r="J8040" i="1"/>
  <c r="L8040" i="1"/>
  <c r="M8040" i="1"/>
  <c r="C8041" i="1"/>
  <c r="E8041" i="1"/>
  <c r="F8041" i="1"/>
  <c r="H8041" i="1"/>
  <c r="I8041" i="1"/>
  <c r="J8041" i="1"/>
  <c r="L8041" i="1"/>
  <c r="M8041" i="1"/>
  <c r="C8042" i="1"/>
  <c r="E8042" i="1"/>
  <c r="F8042" i="1"/>
  <c r="H8042" i="1"/>
  <c r="I8042" i="1"/>
  <c r="J8042" i="1"/>
  <c r="L8042" i="1"/>
  <c r="M8042" i="1"/>
  <c r="C8043" i="1"/>
  <c r="E8043" i="1"/>
  <c r="F8043" i="1"/>
  <c r="H8043" i="1"/>
  <c r="I8043" i="1"/>
  <c r="J8043" i="1"/>
  <c r="L8043" i="1"/>
  <c r="M8043" i="1"/>
  <c r="C8044" i="1"/>
  <c r="E8044" i="1"/>
  <c r="F8044" i="1"/>
  <c r="H8044" i="1"/>
  <c r="I8044" i="1"/>
  <c r="J8044" i="1"/>
  <c r="L8044" i="1"/>
  <c r="M8044" i="1"/>
  <c r="C8045" i="1"/>
  <c r="E8045" i="1"/>
  <c r="F8045" i="1"/>
  <c r="H8045" i="1"/>
  <c r="I8045" i="1"/>
  <c r="J8045" i="1"/>
  <c r="L8045" i="1"/>
  <c r="M8045" i="1"/>
  <c r="C8046" i="1"/>
  <c r="E8046" i="1"/>
  <c r="F8046" i="1"/>
  <c r="H8046" i="1"/>
  <c r="I8046" i="1"/>
  <c r="J8046" i="1"/>
  <c r="L8046" i="1"/>
  <c r="M8046" i="1"/>
  <c r="C8047" i="1"/>
  <c r="E8047" i="1"/>
  <c r="F8047" i="1"/>
  <c r="H8047" i="1"/>
  <c r="I8047" i="1"/>
  <c r="J8047" i="1"/>
  <c r="L8047" i="1"/>
  <c r="M8047" i="1"/>
  <c r="C8048" i="1"/>
  <c r="E8048" i="1"/>
  <c r="F8048" i="1"/>
  <c r="H8048" i="1"/>
  <c r="I8048" i="1"/>
  <c r="J8048" i="1"/>
  <c r="L8048" i="1"/>
  <c r="M8048" i="1"/>
  <c r="C8049" i="1"/>
  <c r="E8049" i="1"/>
  <c r="F8049" i="1"/>
  <c r="H8049" i="1"/>
  <c r="I8049" i="1"/>
  <c r="J8049" i="1"/>
  <c r="L8049" i="1"/>
  <c r="M8049" i="1"/>
  <c r="C8050" i="1"/>
  <c r="E8050" i="1"/>
  <c r="F8050" i="1"/>
  <c r="H8050" i="1"/>
  <c r="I8050" i="1"/>
  <c r="J8050" i="1"/>
  <c r="L8050" i="1"/>
  <c r="M8050" i="1"/>
  <c r="C8051" i="1"/>
  <c r="E8051" i="1"/>
  <c r="F8051" i="1"/>
  <c r="H8051" i="1"/>
  <c r="I8051" i="1"/>
  <c r="J8051" i="1"/>
  <c r="L8051" i="1"/>
  <c r="M8051" i="1"/>
  <c r="C8052" i="1"/>
  <c r="E8052" i="1"/>
  <c r="F8052" i="1"/>
  <c r="H8052" i="1"/>
  <c r="I8052" i="1"/>
  <c r="J8052" i="1"/>
  <c r="L8052" i="1"/>
  <c r="M8052" i="1"/>
  <c r="C8053" i="1"/>
  <c r="E8053" i="1"/>
  <c r="F8053" i="1"/>
  <c r="H8053" i="1"/>
  <c r="I8053" i="1"/>
  <c r="J8053" i="1"/>
  <c r="L8053" i="1"/>
  <c r="M8053" i="1"/>
  <c r="C8054" i="1"/>
  <c r="E8054" i="1"/>
  <c r="F8054" i="1"/>
  <c r="H8054" i="1"/>
  <c r="I8054" i="1"/>
  <c r="J8054" i="1"/>
  <c r="L8054" i="1"/>
  <c r="M8054" i="1"/>
  <c r="C8055" i="1"/>
  <c r="E8055" i="1"/>
  <c r="F8055" i="1"/>
  <c r="H8055" i="1"/>
  <c r="I8055" i="1"/>
  <c r="J8055" i="1"/>
  <c r="L8055" i="1"/>
  <c r="M8055" i="1"/>
  <c r="C8056" i="1"/>
  <c r="E8056" i="1"/>
  <c r="F8056" i="1"/>
  <c r="H8056" i="1"/>
  <c r="I8056" i="1"/>
  <c r="J8056" i="1"/>
  <c r="L8056" i="1"/>
  <c r="M8056" i="1"/>
  <c r="C8057" i="1"/>
  <c r="E8057" i="1"/>
  <c r="F8057" i="1"/>
  <c r="H8057" i="1"/>
  <c r="I8057" i="1"/>
  <c r="J8057" i="1"/>
  <c r="L8057" i="1"/>
  <c r="M8057" i="1"/>
  <c r="C8058" i="1"/>
  <c r="E8058" i="1"/>
  <c r="F8058" i="1"/>
  <c r="H8058" i="1"/>
  <c r="I8058" i="1"/>
  <c r="J8058" i="1"/>
  <c r="L8058" i="1"/>
  <c r="M8058" i="1"/>
  <c r="C8059" i="1"/>
  <c r="E8059" i="1"/>
  <c r="F8059" i="1"/>
  <c r="H8059" i="1"/>
  <c r="I8059" i="1"/>
  <c r="J8059" i="1"/>
  <c r="L8059" i="1"/>
  <c r="M8059" i="1"/>
  <c r="C8060" i="1"/>
  <c r="E8060" i="1"/>
  <c r="F8060" i="1"/>
  <c r="H8060" i="1"/>
  <c r="I8060" i="1"/>
  <c r="J8060" i="1"/>
  <c r="L8060" i="1"/>
  <c r="M8060" i="1"/>
  <c r="C8061" i="1"/>
  <c r="E8061" i="1"/>
  <c r="F8061" i="1"/>
  <c r="H8061" i="1"/>
  <c r="I8061" i="1"/>
  <c r="J8061" i="1"/>
  <c r="L8061" i="1"/>
  <c r="M8061" i="1"/>
  <c r="C8062" i="1"/>
  <c r="E8062" i="1"/>
  <c r="F8062" i="1"/>
  <c r="H8062" i="1"/>
  <c r="I8062" i="1"/>
  <c r="J8062" i="1"/>
  <c r="L8062" i="1"/>
  <c r="M8062" i="1"/>
  <c r="C8063" i="1"/>
  <c r="E8063" i="1"/>
  <c r="F8063" i="1"/>
  <c r="H8063" i="1"/>
  <c r="I8063" i="1"/>
  <c r="J8063" i="1"/>
  <c r="L8063" i="1"/>
  <c r="M8063" i="1"/>
  <c r="C8064" i="1"/>
  <c r="E8064" i="1"/>
  <c r="F8064" i="1"/>
  <c r="H8064" i="1"/>
  <c r="I8064" i="1"/>
  <c r="J8064" i="1"/>
  <c r="L8064" i="1"/>
  <c r="M8064" i="1"/>
  <c r="C8065" i="1"/>
  <c r="E8065" i="1"/>
  <c r="F8065" i="1"/>
  <c r="H8065" i="1"/>
  <c r="I8065" i="1"/>
  <c r="J8065" i="1"/>
  <c r="L8065" i="1"/>
  <c r="M8065" i="1"/>
  <c r="C8066" i="1"/>
  <c r="E8066" i="1"/>
  <c r="F8066" i="1"/>
  <c r="H8066" i="1"/>
  <c r="I8066" i="1"/>
  <c r="J8066" i="1"/>
  <c r="L8066" i="1"/>
  <c r="M8066" i="1"/>
  <c r="C8067" i="1"/>
  <c r="E8067" i="1"/>
  <c r="F8067" i="1"/>
  <c r="H8067" i="1"/>
  <c r="I8067" i="1"/>
  <c r="J8067" i="1"/>
  <c r="L8067" i="1"/>
  <c r="M8067" i="1"/>
  <c r="C8068" i="1"/>
  <c r="E8068" i="1"/>
  <c r="F8068" i="1"/>
  <c r="H8068" i="1"/>
  <c r="I8068" i="1"/>
  <c r="J8068" i="1"/>
  <c r="L8068" i="1"/>
  <c r="M8068" i="1"/>
  <c r="C8069" i="1"/>
  <c r="E8069" i="1"/>
  <c r="F8069" i="1"/>
  <c r="H8069" i="1"/>
  <c r="I8069" i="1"/>
  <c r="J8069" i="1"/>
  <c r="L8069" i="1"/>
  <c r="M8069" i="1"/>
  <c r="C8070" i="1"/>
  <c r="E8070" i="1"/>
  <c r="F8070" i="1"/>
  <c r="H8070" i="1"/>
  <c r="I8070" i="1"/>
  <c r="J8070" i="1"/>
  <c r="L8070" i="1"/>
  <c r="M8070" i="1"/>
  <c r="C8071" i="1"/>
  <c r="E8071" i="1"/>
  <c r="F8071" i="1"/>
  <c r="H8071" i="1"/>
  <c r="I8071" i="1"/>
  <c r="J8071" i="1"/>
  <c r="L8071" i="1"/>
  <c r="M8071" i="1"/>
  <c r="C8072" i="1"/>
  <c r="E8072" i="1"/>
  <c r="F8072" i="1"/>
  <c r="H8072" i="1"/>
  <c r="I8072" i="1"/>
  <c r="J8072" i="1"/>
  <c r="L8072" i="1"/>
  <c r="M8072" i="1"/>
  <c r="C8073" i="1"/>
  <c r="E8073" i="1"/>
  <c r="F8073" i="1"/>
  <c r="H8073" i="1"/>
  <c r="I8073" i="1"/>
  <c r="J8073" i="1"/>
  <c r="L8073" i="1"/>
  <c r="M8073" i="1"/>
  <c r="C8074" i="1"/>
  <c r="E8074" i="1"/>
  <c r="F8074" i="1"/>
  <c r="H8074" i="1"/>
  <c r="I8074" i="1"/>
  <c r="J8074" i="1"/>
  <c r="L8074" i="1"/>
  <c r="M8074" i="1"/>
  <c r="C8075" i="1"/>
  <c r="E8075" i="1"/>
  <c r="F8075" i="1"/>
  <c r="H8075" i="1"/>
  <c r="I8075" i="1"/>
  <c r="J8075" i="1"/>
  <c r="L8075" i="1"/>
  <c r="M8075" i="1"/>
  <c r="C8076" i="1"/>
  <c r="E8076" i="1"/>
  <c r="F8076" i="1"/>
  <c r="H8076" i="1"/>
  <c r="I8076" i="1"/>
  <c r="J8076" i="1"/>
  <c r="L8076" i="1"/>
  <c r="M8076" i="1"/>
  <c r="C8077" i="1"/>
  <c r="E8077" i="1"/>
  <c r="F8077" i="1"/>
  <c r="H8077" i="1"/>
  <c r="I8077" i="1"/>
  <c r="J8077" i="1"/>
  <c r="L8077" i="1"/>
  <c r="M8077" i="1"/>
  <c r="C8078" i="1"/>
  <c r="E8078" i="1"/>
  <c r="F8078" i="1"/>
  <c r="H8078" i="1"/>
  <c r="I8078" i="1"/>
  <c r="J8078" i="1"/>
  <c r="L8078" i="1"/>
  <c r="M8078" i="1"/>
  <c r="C8079" i="1"/>
  <c r="E8079" i="1"/>
  <c r="F8079" i="1"/>
  <c r="H8079" i="1"/>
  <c r="I8079" i="1"/>
  <c r="J8079" i="1"/>
  <c r="L8079" i="1"/>
  <c r="M8079" i="1"/>
  <c r="C8080" i="1"/>
  <c r="E8080" i="1"/>
  <c r="F8080" i="1"/>
  <c r="H8080" i="1"/>
  <c r="I8080" i="1"/>
  <c r="J8080" i="1"/>
  <c r="L8080" i="1"/>
  <c r="M8080" i="1"/>
  <c r="C8081" i="1"/>
  <c r="E8081" i="1"/>
  <c r="F8081" i="1"/>
  <c r="H8081" i="1"/>
  <c r="I8081" i="1"/>
  <c r="J8081" i="1"/>
  <c r="L8081" i="1"/>
  <c r="M8081" i="1"/>
  <c r="C8082" i="1"/>
  <c r="E8082" i="1"/>
  <c r="F8082" i="1"/>
  <c r="H8082" i="1"/>
  <c r="I8082" i="1"/>
  <c r="J8082" i="1"/>
  <c r="L8082" i="1"/>
  <c r="M8082" i="1"/>
  <c r="C8083" i="1"/>
  <c r="E8083" i="1"/>
  <c r="F8083" i="1"/>
  <c r="H8083" i="1"/>
  <c r="I8083" i="1"/>
  <c r="J8083" i="1"/>
  <c r="L8083" i="1"/>
  <c r="M8083" i="1"/>
  <c r="C8084" i="1"/>
  <c r="E8084" i="1"/>
  <c r="F8084" i="1"/>
  <c r="H8084" i="1"/>
  <c r="I8084" i="1"/>
  <c r="J8084" i="1"/>
  <c r="L8084" i="1"/>
  <c r="M8084" i="1"/>
  <c r="C8085" i="1"/>
  <c r="E8085" i="1"/>
  <c r="F8085" i="1"/>
  <c r="H8085" i="1"/>
  <c r="I8085" i="1"/>
  <c r="J8085" i="1"/>
  <c r="L8085" i="1"/>
  <c r="M8085" i="1"/>
  <c r="C8086" i="1"/>
  <c r="E8086" i="1"/>
  <c r="F8086" i="1"/>
  <c r="H8086" i="1"/>
  <c r="I8086" i="1"/>
  <c r="J8086" i="1"/>
  <c r="L8086" i="1"/>
  <c r="M8086" i="1"/>
  <c r="C8087" i="1"/>
  <c r="E8087" i="1"/>
  <c r="F8087" i="1"/>
  <c r="H8087" i="1"/>
  <c r="I8087" i="1"/>
  <c r="J8087" i="1"/>
  <c r="L8087" i="1"/>
  <c r="M8087" i="1"/>
  <c r="C8088" i="1"/>
  <c r="E8088" i="1"/>
  <c r="F8088" i="1"/>
  <c r="H8088" i="1"/>
  <c r="I8088" i="1"/>
  <c r="J8088" i="1"/>
  <c r="L8088" i="1"/>
  <c r="M8088" i="1"/>
  <c r="C8089" i="1"/>
  <c r="E8089" i="1"/>
  <c r="F8089" i="1"/>
  <c r="H8089" i="1"/>
  <c r="I8089" i="1"/>
  <c r="J8089" i="1"/>
  <c r="L8089" i="1"/>
  <c r="M8089" i="1"/>
  <c r="C8090" i="1"/>
  <c r="E8090" i="1"/>
  <c r="F8090" i="1"/>
  <c r="H8090" i="1"/>
  <c r="I8090" i="1"/>
  <c r="J8090" i="1"/>
  <c r="L8090" i="1"/>
  <c r="M8090" i="1"/>
  <c r="C8091" i="1"/>
  <c r="E8091" i="1"/>
  <c r="F8091" i="1"/>
  <c r="H8091" i="1"/>
  <c r="I8091" i="1"/>
  <c r="J8091" i="1"/>
  <c r="L8091" i="1"/>
  <c r="M8091" i="1"/>
  <c r="C8092" i="1"/>
  <c r="E8092" i="1"/>
  <c r="F8092" i="1"/>
  <c r="H8092" i="1"/>
  <c r="I8092" i="1"/>
  <c r="J8092" i="1"/>
  <c r="L8092" i="1"/>
  <c r="M8092" i="1"/>
  <c r="C8093" i="1"/>
  <c r="E8093" i="1"/>
  <c r="F8093" i="1"/>
  <c r="H8093" i="1"/>
  <c r="I8093" i="1"/>
  <c r="J8093" i="1"/>
  <c r="L8093" i="1"/>
  <c r="M8093" i="1"/>
  <c r="C8094" i="1"/>
  <c r="E8094" i="1"/>
  <c r="F8094" i="1"/>
  <c r="H8094" i="1"/>
  <c r="I8094" i="1"/>
  <c r="J8094" i="1"/>
  <c r="L8094" i="1"/>
  <c r="M8094" i="1"/>
  <c r="C8095" i="1"/>
  <c r="E8095" i="1"/>
  <c r="F8095" i="1"/>
  <c r="H8095" i="1"/>
  <c r="I8095" i="1"/>
  <c r="J8095" i="1"/>
  <c r="L8095" i="1"/>
  <c r="M8095" i="1"/>
  <c r="C8096" i="1"/>
  <c r="E8096" i="1"/>
  <c r="F8096" i="1"/>
  <c r="H8096" i="1"/>
  <c r="I8096" i="1"/>
  <c r="J8096" i="1"/>
  <c r="L8096" i="1"/>
  <c r="M8096" i="1"/>
  <c r="C8097" i="1"/>
  <c r="E8097" i="1"/>
  <c r="F8097" i="1"/>
  <c r="H8097" i="1"/>
  <c r="I8097" i="1"/>
  <c r="J8097" i="1"/>
  <c r="L8097" i="1"/>
  <c r="M8097" i="1"/>
  <c r="C8098" i="1"/>
  <c r="E8098" i="1"/>
  <c r="F8098" i="1"/>
  <c r="H8098" i="1"/>
  <c r="I8098" i="1"/>
  <c r="J8098" i="1"/>
  <c r="L8098" i="1"/>
  <c r="M8098" i="1"/>
  <c r="C8099" i="1"/>
  <c r="E8099" i="1"/>
  <c r="F8099" i="1"/>
  <c r="H8099" i="1"/>
  <c r="I8099" i="1"/>
  <c r="J8099" i="1"/>
  <c r="L8099" i="1"/>
  <c r="M8099" i="1"/>
  <c r="C8100" i="1"/>
  <c r="E8100" i="1"/>
  <c r="F8100" i="1"/>
  <c r="H8100" i="1"/>
  <c r="I8100" i="1"/>
  <c r="J8100" i="1"/>
  <c r="L8100" i="1"/>
  <c r="M8100" i="1"/>
  <c r="C8101" i="1"/>
  <c r="E8101" i="1"/>
  <c r="F8101" i="1"/>
  <c r="H8101" i="1"/>
  <c r="I8101" i="1"/>
  <c r="J8101" i="1"/>
  <c r="L8101" i="1"/>
  <c r="M8101" i="1"/>
  <c r="C8102" i="1"/>
  <c r="E8102" i="1"/>
  <c r="F8102" i="1"/>
  <c r="H8102" i="1"/>
  <c r="I8102" i="1"/>
  <c r="J8102" i="1"/>
  <c r="L8102" i="1"/>
  <c r="M8102" i="1"/>
  <c r="C8103" i="1"/>
  <c r="E8103" i="1"/>
  <c r="F8103" i="1"/>
  <c r="H8103" i="1"/>
  <c r="I8103" i="1"/>
  <c r="J8103" i="1"/>
  <c r="L8103" i="1"/>
  <c r="M8103" i="1"/>
  <c r="C8104" i="1"/>
  <c r="E8104" i="1"/>
  <c r="F8104" i="1"/>
  <c r="H8104" i="1"/>
  <c r="I8104" i="1"/>
  <c r="J8104" i="1"/>
  <c r="L8104" i="1"/>
  <c r="M8104" i="1"/>
  <c r="C8105" i="1"/>
  <c r="E8105" i="1"/>
  <c r="F8105" i="1"/>
  <c r="H8105" i="1"/>
  <c r="I8105" i="1"/>
  <c r="J8105" i="1"/>
  <c r="L8105" i="1"/>
  <c r="M8105" i="1"/>
  <c r="C8106" i="1"/>
  <c r="E8106" i="1"/>
  <c r="F8106" i="1"/>
  <c r="H8106" i="1"/>
  <c r="I8106" i="1"/>
  <c r="J8106" i="1"/>
  <c r="L8106" i="1"/>
  <c r="M8106" i="1"/>
  <c r="C8107" i="1"/>
  <c r="E8107" i="1"/>
  <c r="F8107" i="1"/>
  <c r="H8107" i="1"/>
  <c r="I8107" i="1"/>
  <c r="J8107" i="1"/>
  <c r="L8107" i="1"/>
  <c r="M8107" i="1"/>
  <c r="C8108" i="1"/>
  <c r="E8108" i="1"/>
  <c r="F8108" i="1"/>
  <c r="H8108" i="1"/>
  <c r="I8108" i="1"/>
  <c r="J8108" i="1"/>
  <c r="L8108" i="1"/>
  <c r="M8108" i="1"/>
  <c r="C8109" i="1"/>
  <c r="E8109" i="1"/>
  <c r="F8109" i="1"/>
  <c r="H8109" i="1"/>
  <c r="I8109" i="1"/>
  <c r="J8109" i="1"/>
  <c r="L8109" i="1"/>
  <c r="M8109" i="1"/>
  <c r="C8110" i="1"/>
  <c r="E8110" i="1"/>
  <c r="F8110" i="1"/>
  <c r="H8110" i="1"/>
  <c r="I8110" i="1"/>
  <c r="J8110" i="1"/>
  <c r="L8110" i="1"/>
  <c r="M8110" i="1"/>
  <c r="C8111" i="1"/>
  <c r="E8111" i="1"/>
  <c r="F8111" i="1"/>
  <c r="H8111" i="1"/>
  <c r="I8111" i="1"/>
  <c r="J8111" i="1"/>
  <c r="L8111" i="1"/>
  <c r="M8111" i="1"/>
  <c r="C8112" i="1"/>
  <c r="E8112" i="1"/>
  <c r="F8112" i="1"/>
  <c r="H8112" i="1"/>
  <c r="I8112" i="1"/>
  <c r="J8112" i="1"/>
  <c r="L8112" i="1"/>
  <c r="M8112" i="1"/>
  <c r="C8113" i="1"/>
  <c r="E8113" i="1"/>
  <c r="F8113" i="1"/>
  <c r="H8113" i="1"/>
  <c r="I8113" i="1"/>
  <c r="J8113" i="1"/>
  <c r="L8113" i="1"/>
  <c r="M8113" i="1"/>
  <c r="C8114" i="1"/>
  <c r="E8114" i="1"/>
  <c r="F8114" i="1"/>
  <c r="H8114" i="1"/>
  <c r="I8114" i="1"/>
  <c r="J8114" i="1"/>
  <c r="L8114" i="1"/>
  <c r="M8114" i="1"/>
  <c r="C8115" i="1"/>
  <c r="E8115" i="1"/>
  <c r="F8115" i="1"/>
  <c r="H8115" i="1"/>
  <c r="I8115" i="1"/>
  <c r="J8115" i="1"/>
  <c r="L8115" i="1"/>
  <c r="M8115" i="1"/>
  <c r="C8116" i="1"/>
  <c r="E8116" i="1"/>
  <c r="F8116" i="1"/>
  <c r="H8116" i="1"/>
  <c r="I8116" i="1"/>
  <c r="J8116" i="1"/>
  <c r="L8116" i="1"/>
  <c r="M8116" i="1"/>
  <c r="C8117" i="1"/>
  <c r="E8117" i="1"/>
  <c r="F8117" i="1"/>
  <c r="H8117" i="1"/>
  <c r="I8117" i="1"/>
  <c r="J8117" i="1"/>
  <c r="L8117" i="1"/>
  <c r="M8117" i="1"/>
  <c r="C8118" i="1"/>
  <c r="E8118" i="1"/>
  <c r="F8118" i="1"/>
  <c r="H8118" i="1"/>
  <c r="I8118" i="1"/>
  <c r="J8118" i="1"/>
  <c r="L8118" i="1"/>
  <c r="M8118" i="1"/>
  <c r="C8119" i="1"/>
  <c r="E8119" i="1"/>
  <c r="F8119" i="1"/>
  <c r="H8119" i="1"/>
  <c r="I8119" i="1"/>
  <c r="J8119" i="1"/>
  <c r="L8119" i="1"/>
  <c r="M8119" i="1"/>
  <c r="C8120" i="1"/>
  <c r="E8120" i="1"/>
  <c r="F8120" i="1"/>
  <c r="H8120" i="1"/>
  <c r="I8120" i="1"/>
  <c r="J8120" i="1"/>
  <c r="L8120" i="1"/>
  <c r="M8120" i="1"/>
  <c r="C8121" i="1"/>
  <c r="E8121" i="1"/>
  <c r="F8121" i="1"/>
  <c r="H8121" i="1"/>
  <c r="I8121" i="1"/>
  <c r="J8121" i="1"/>
  <c r="L8121" i="1"/>
  <c r="M8121" i="1"/>
  <c r="C8122" i="1"/>
  <c r="E8122" i="1"/>
  <c r="F8122" i="1"/>
  <c r="H8122" i="1"/>
  <c r="I8122" i="1"/>
  <c r="J8122" i="1"/>
  <c r="L8122" i="1"/>
  <c r="M8122" i="1"/>
  <c r="C8123" i="1"/>
  <c r="E8123" i="1"/>
  <c r="F8123" i="1"/>
  <c r="H8123" i="1"/>
  <c r="I8123" i="1"/>
  <c r="J8123" i="1"/>
  <c r="L8123" i="1"/>
  <c r="M8123" i="1"/>
  <c r="C8124" i="1"/>
  <c r="E8124" i="1"/>
  <c r="F8124" i="1"/>
  <c r="H8124" i="1"/>
  <c r="I8124" i="1"/>
  <c r="J8124" i="1"/>
  <c r="L8124" i="1"/>
  <c r="M8124" i="1"/>
  <c r="C8125" i="1"/>
  <c r="E8125" i="1"/>
  <c r="F8125" i="1"/>
  <c r="H8125" i="1"/>
  <c r="I8125" i="1"/>
  <c r="J8125" i="1"/>
  <c r="L8125" i="1"/>
  <c r="M8125" i="1"/>
  <c r="C8126" i="1"/>
  <c r="E8126" i="1"/>
  <c r="F8126" i="1"/>
  <c r="H8126" i="1"/>
  <c r="I8126" i="1"/>
  <c r="J8126" i="1"/>
  <c r="L8126" i="1"/>
  <c r="M8126" i="1"/>
  <c r="C8127" i="1"/>
  <c r="E8127" i="1"/>
  <c r="F8127" i="1"/>
  <c r="H8127" i="1"/>
  <c r="I8127" i="1"/>
  <c r="J8127" i="1"/>
  <c r="L8127" i="1"/>
  <c r="M8127" i="1"/>
  <c r="C8128" i="1"/>
  <c r="E8128" i="1"/>
  <c r="F8128" i="1"/>
  <c r="H8128" i="1"/>
  <c r="I8128" i="1"/>
  <c r="J8128" i="1"/>
  <c r="L8128" i="1"/>
  <c r="M8128" i="1"/>
  <c r="C8129" i="1"/>
  <c r="E8129" i="1"/>
  <c r="F8129" i="1"/>
  <c r="H8129" i="1"/>
  <c r="I8129" i="1"/>
  <c r="J8129" i="1"/>
  <c r="L8129" i="1"/>
  <c r="M8129" i="1"/>
  <c r="C8130" i="1"/>
  <c r="E8130" i="1"/>
  <c r="F8130" i="1"/>
  <c r="H8130" i="1"/>
  <c r="I8130" i="1"/>
  <c r="J8130" i="1"/>
  <c r="L8130" i="1"/>
  <c r="M8130" i="1"/>
  <c r="C8131" i="1"/>
  <c r="E8131" i="1"/>
  <c r="F8131" i="1"/>
  <c r="H8131" i="1"/>
  <c r="I8131" i="1"/>
  <c r="J8131" i="1"/>
  <c r="L8131" i="1"/>
  <c r="M8131" i="1"/>
  <c r="C8132" i="1"/>
  <c r="E8132" i="1"/>
  <c r="F8132" i="1"/>
  <c r="H8132" i="1"/>
  <c r="I8132" i="1"/>
  <c r="J8132" i="1"/>
  <c r="L8132" i="1"/>
  <c r="M8132" i="1"/>
  <c r="C8133" i="1"/>
  <c r="E8133" i="1"/>
  <c r="F8133" i="1"/>
  <c r="H8133" i="1"/>
  <c r="I8133" i="1"/>
  <c r="J8133" i="1"/>
  <c r="L8133" i="1"/>
  <c r="M8133" i="1"/>
  <c r="C8134" i="1"/>
  <c r="E8134" i="1"/>
  <c r="F8134" i="1"/>
  <c r="H8134" i="1"/>
  <c r="I8134" i="1"/>
  <c r="J8134" i="1"/>
  <c r="L8134" i="1"/>
  <c r="M8134" i="1"/>
  <c r="C8135" i="1"/>
  <c r="E8135" i="1"/>
  <c r="F8135" i="1"/>
  <c r="H8135" i="1"/>
  <c r="I8135" i="1"/>
  <c r="J8135" i="1"/>
  <c r="L8135" i="1"/>
  <c r="M8135" i="1"/>
  <c r="C8136" i="1"/>
  <c r="E8136" i="1"/>
  <c r="F8136" i="1"/>
  <c r="H8136" i="1"/>
  <c r="I8136" i="1"/>
  <c r="J8136" i="1"/>
  <c r="L8136" i="1"/>
  <c r="M8136" i="1"/>
  <c r="C8137" i="1"/>
  <c r="E8137" i="1"/>
  <c r="F8137" i="1"/>
  <c r="H8137" i="1"/>
  <c r="I8137" i="1"/>
  <c r="J8137" i="1"/>
  <c r="L8137" i="1"/>
  <c r="M8137" i="1"/>
  <c r="C8138" i="1"/>
  <c r="E8138" i="1"/>
  <c r="F8138" i="1"/>
  <c r="H8138" i="1"/>
  <c r="I8138" i="1"/>
  <c r="J8138" i="1"/>
  <c r="L8138" i="1"/>
  <c r="M8138" i="1"/>
  <c r="C8139" i="1"/>
  <c r="E8139" i="1"/>
  <c r="F8139" i="1"/>
  <c r="H8139" i="1"/>
  <c r="I8139" i="1"/>
  <c r="J8139" i="1"/>
  <c r="L8139" i="1"/>
  <c r="M8139" i="1"/>
  <c r="C8140" i="1"/>
  <c r="E8140" i="1"/>
  <c r="F8140" i="1"/>
  <c r="H8140" i="1"/>
  <c r="I8140" i="1"/>
  <c r="J8140" i="1"/>
  <c r="L8140" i="1"/>
  <c r="M8140" i="1"/>
  <c r="C8141" i="1"/>
  <c r="E8141" i="1"/>
  <c r="F8141" i="1"/>
  <c r="H8141" i="1"/>
  <c r="I8141" i="1"/>
  <c r="J8141" i="1"/>
  <c r="L8141" i="1"/>
  <c r="M8141" i="1"/>
  <c r="C8142" i="1"/>
  <c r="E8142" i="1"/>
  <c r="F8142" i="1"/>
  <c r="H8142" i="1"/>
  <c r="I8142" i="1"/>
  <c r="J8142" i="1"/>
  <c r="L8142" i="1"/>
  <c r="M8142" i="1"/>
  <c r="C8143" i="1"/>
  <c r="E8143" i="1"/>
  <c r="F8143" i="1"/>
  <c r="H8143" i="1"/>
  <c r="I8143" i="1"/>
  <c r="J8143" i="1"/>
  <c r="L8143" i="1"/>
  <c r="M8143" i="1"/>
  <c r="C8144" i="1"/>
  <c r="E8144" i="1"/>
  <c r="F8144" i="1"/>
  <c r="H8144" i="1"/>
  <c r="I8144" i="1"/>
  <c r="J8144" i="1"/>
  <c r="L8144" i="1"/>
  <c r="M8144" i="1"/>
  <c r="C8145" i="1"/>
  <c r="E8145" i="1"/>
  <c r="F8145" i="1"/>
  <c r="H8145" i="1"/>
  <c r="I8145" i="1"/>
  <c r="J8145" i="1"/>
  <c r="L8145" i="1"/>
  <c r="M8145" i="1"/>
  <c r="C8146" i="1"/>
  <c r="E8146" i="1"/>
  <c r="F8146" i="1"/>
  <c r="H8146" i="1"/>
  <c r="I8146" i="1"/>
  <c r="J8146" i="1"/>
  <c r="L8146" i="1"/>
  <c r="M8146" i="1"/>
  <c r="C8147" i="1"/>
  <c r="E8147" i="1"/>
  <c r="F8147" i="1"/>
  <c r="H8147" i="1"/>
  <c r="I8147" i="1"/>
  <c r="J8147" i="1"/>
  <c r="L8147" i="1"/>
  <c r="M8147" i="1"/>
  <c r="C8148" i="1"/>
  <c r="E8148" i="1"/>
  <c r="F8148" i="1"/>
  <c r="H8148" i="1"/>
  <c r="I8148" i="1"/>
  <c r="J8148" i="1"/>
  <c r="L8148" i="1"/>
  <c r="M8148" i="1"/>
  <c r="C8149" i="1"/>
  <c r="E8149" i="1"/>
  <c r="F8149" i="1"/>
  <c r="H8149" i="1"/>
  <c r="I8149" i="1"/>
  <c r="J8149" i="1"/>
  <c r="L8149" i="1"/>
  <c r="M8149" i="1"/>
  <c r="C8150" i="1"/>
  <c r="E8150" i="1"/>
  <c r="F8150" i="1"/>
  <c r="H8150" i="1"/>
  <c r="I8150" i="1"/>
  <c r="J8150" i="1"/>
  <c r="L8150" i="1"/>
  <c r="M8150" i="1"/>
  <c r="C8151" i="1"/>
  <c r="E8151" i="1"/>
  <c r="F8151" i="1"/>
  <c r="H8151" i="1"/>
  <c r="I8151" i="1"/>
  <c r="J8151" i="1"/>
  <c r="L8151" i="1"/>
  <c r="M8151" i="1"/>
  <c r="C8152" i="1"/>
  <c r="E8152" i="1"/>
  <c r="F8152" i="1"/>
  <c r="H8152" i="1"/>
  <c r="I8152" i="1"/>
  <c r="J8152" i="1"/>
  <c r="L8152" i="1"/>
  <c r="M8152" i="1"/>
  <c r="C8153" i="1"/>
  <c r="E8153" i="1"/>
  <c r="F8153" i="1"/>
  <c r="H8153" i="1"/>
  <c r="I8153" i="1"/>
  <c r="J8153" i="1"/>
  <c r="L8153" i="1"/>
  <c r="M8153" i="1"/>
  <c r="C8154" i="1"/>
  <c r="E8154" i="1"/>
  <c r="F8154" i="1"/>
  <c r="H8154" i="1"/>
  <c r="I8154" i="1"/>
  <c r="J8154" i="1"/>
  <c r="L8154" i="1"/>
  <c r="M8154" i="1"/>
  <c r="C8155" i="1"/>
  <c r="E8155" i="1"/>
  <c r="F8155" i="1"/>
  <c r="H8155" i="1"/>
  <c r="I8155" i="1"/>
  <c r="J8155" i="1"/>
  <c r="L8155" i="1"/>
  <c r="M8155" i="1"/>
  <c r="C8156" i="1"/>
  <c r="E8156" i="1"/>
  <c r="F8156" i="1"/>
  <c r="H8156" i="1"/>
  <c r="I8156" i="1"/>
  <c r="J8156" i="1"/>
  <c r="L8156" i="1"/>
  <c r="M8156" i="1"/>
  <c r="C8157" i="1"/>
  <c r="E8157" i="1"/>
  <c r="F8157" i="1"/>
  <c r="H8157" i="1"/>
  <c r="I8157" i="1"/>
  <c r="J8157" i="1"/>
  <c r="L8157" i="1"/>
  <c r="M8157" i="1"/>
  <c r="C8158" i="1"/>
  <c r="E8158" i="1"/>
  <c r="F8158" i="1"/>
  <c r="H8158" i="1"/>
  <c r="I8158" i="1"/>
  <c r="J8158" i="1"/>
  <c r="L8158" i="1"/>
  <c r="M8158" i="1"/>
  <c r="C8159" i="1"/>
  <c r="E8159" i="1"/>
  <c r="F8159" i="1"/>
  <c r="H8159" i="1"/>
  <c r="I8159" i="1"/>
  <c r="J8159" i="1"/>
  <c r="L8159" i="1"/>
  <c r="M8159" i="1"/>
  <c r="C8160" i="1"/>
  <c r="E8160" i="1"/>
  <c r="F8160" i="1"/>
  <c r="H8160" i="1"/>
  <c r="I8160" i="1"/>
  <c r="J8160" i="1"/>
  <c r="L8160" i="1"/>
  <c r="M8160" i="1"/>
  <c r="C8161" i="1"/>
  <c r="E8161" i="1"/>
  <c r="F8161" i="1"/>
  <c r="H8161" i="1"/>
  <c r="I8161" i="1"/>
  <c r="J8161" i="1"/>
  <c r="L8161" i="1"/>
  <c r="M8161" i="1"/>
  <c r="C8162" i="1"/>
  <c r="E8162" i="1"/>
  <c r="F8162" i="1"/>
  <c r="H8162" i="1"/>
  <c r="I8162" i="1"/>
  <c r="J8162" i="1"/>
  <c r="L8162" i="1"/>
  <c r="M8162" i="1"/>
  <c r="C8163" i="1"/>
  <c r="E8163" i="1"/>
  <c r="F8163" i="1"/>
  <c r="H8163" i="1"/>
  <c r="I8163" i="1"/>
  <c r="J8163" i="1"/>
  <c r="L8163" i="1"/>
  <c r="M8163" i="1"/>
  <c r="C8164" i="1"/>
  <c r="E8164" i="1"/>
  <c r="F8164" i="1"/>
  <c r="H8164" i="1"/>
  <c r="I8164" i="1"/>
  <c r="J8164" i="1"/>
  <c r="L8164" i="1"/>
  <c r="M8164" i="1"/>
  <c r="C8165" i="1"/>
  <c r="E8165" i="1"/>
  <c r="F8165" i="1"/>
  <c r="H8165" i="1"/>
  <c r="I8165" i="1"/>
  <c r="J8165" i="1"/>
  <c r="L8165" i="1"/>
  <c r="M8165" i="1"/>
  <c r="C8166" i="1"/>
  <c r="E8166" i="1"/>
  <c r="F8166" i="1"/>
  <c r="H8166" i="1"/>
  <c r="I8166" i="1"/>
  <c r="J8166" i="1"/>
  <c r="L8166" i="1"/>
  <c r="M8166" i="1"/>
  <c r="C8167" i="1"/>
  <c r="E8167" i="1"/>
  <c r="F8167" i="1"/>
  <c r="H8167" i="1"/>
  <c r="I8167" i="1"/>
  <c r="J8167" i="1"/>
  <c r="L8167" i="1"/>
  <c r="M8167" i="1"/>
  <c r="C8168" i="1"/>
  <c r="E8168" i="1"/>
  <c r="F8168" i="1"/>
  <c r="H8168" i="1"/>
  <c r="I8168" i="1"/>
  <c r="J8168" i="1"/>
  <c r="L8168" i="1"/>
  <c r="M8168" i="1"/>
  <c r="C8169" i="1"/>
  <c r="E8169" i="1"/>
  <c r="F8169" i="1"/>
  <c r="H8169" i="1"/>
  <c r="I8169" i="1"/>
  <c r="J8169" i="1"/>
  <c r="L8169" i="1"/>
  <c r="M8169" i="1"/>
  <c r="C8170" i="1"/>
  <c r="E8170" i="1"/>
  <c r="F8170" i="1"/>
  <c r="H8170" i="1"/>
  <c r="I8170" i="1"/>
  <c r="J8170" i="1"/>
  <c r="L8170" i="1"/>
  <c r="M8170" i="1"/>
  <c r="C8171" i="1"/>
  <c r="E8171" i="1"/>
  <c r="F8171" i="1"/>
  <c r="H8171" i="1"/>
  <c r="I8171" i="1"/>
  <c r="J8171" i="1"/>
  <c r="L8171" i="1"/>
  <c r="M8171" i="1"/>
  <c r="C8172" i="1"/>
  <c r="E8172" i="1"/>
  <c r="F8172" i="1"/>
  <c r="H8172" i="1"/>
  <c r="I8172" i="1"/>
  <c r="J8172" i="1"/>
  <c r="L8172" i="1"/>
  <c r="M8172" i="1"/>
  <c r="C8173" i="1"/>
  <c r="E8173" i="1"/>
  <c r="F8173" i="1"/>
  <c r="H8173" i="1"/>
  <c r="I8173" i="1"/>
  <c r="J8173" i="1"/>
  <c r="L8173" i="1"/>
  <c r="M8173" i="1"/>
  <c r="C8174" i="1"/>
  <c r="E8174" i="1"/>
  <c r="F8174" i="1"/>
  <c r="H8174" i="1"/>
  <c r="I8174" i="1"/>
  <c r="J8174" i="1"/>
  <c r="L8174" i="1"/>
  <c r="M8174" i="1"/>
  <c r="C8175" i="1"/>
  <c r="E8175" i="1"/>
  <c r="F8175" i="1"/>
  <c r="H8175" i="1"/>
  <c r="I8175" i="1"/>
  <c r="J8175" i="1"/>
  <c r="L8175" i="1"/>
  <c r="M8175" i="1"/>
  <c r="C8176" i="1"/>
  <c r="E8176" i="1"/>
  <c r="F8176" i="1"/>
  <c r="H8176" i="1"/>
  <c r="I8176" i="1"/>
  <c r="J8176" i="1"/>
  <c r="L8176" i="1"/>
  <c r="M8176" i="1"/>
  <c r="C8177" i="1"/>
  <c r="E8177" i="1"/>
  <c r="F8177" i="1"/>
  <c r="H8177" i="1"/>
  <c r="I8177" i="1"/>
  <c r="J8177" i="1"/>
  <c r="L8177" i="1"/>
  <c r="M8177" i="1"/>
  <c r="C8178" i="1"/>
  <c r="E8178" i="1"/>
  <c r="F8178" i="1"/>
  <c r="H8178" i="1"/>
  <c r="I8178" i="1"/>
  <c r="J8178" i="1"/>
  <c r="L8178" i="1"/>
  <c r="M8178" i="1"/>
  <c r="C8179" i="1"/>
  <c r="E8179" i="1"/>
  <c r="F8179" i="1"/>
  <c r="H8179" i="1"/>
  <c r="I8179" i="1"/>
  <c r="J8179" i="1"/>
  <c r="L8179" i="1"/>
  <c r="M8179" i="1"/>
  <c r="C8180" i="1"/>
  <c r="E8180" i="1"/>
  <c r="F8180" i="1"/>
  <c r="H8180" i="1"/>
  <c r="I8180" i="1"/>
  <c r="J8180" i="1"/>
  <c r="L8180" i="1"/>
  <c r="M8180" i="1"/>
  <c r="C8181" i="1"/>
  <c r="E8181" i="1"/>
  <c r="F8181" i="1"/>
  <c r="H8181" i="1"/>
  <c r="I8181" i="1"/>
  <c r="J8181" i="1"/>
  <c r="L8181" i="1"/>
  <c r="M8181" i="1"/>
  <c r="C8182" i="1"/>
  <c r="E8182" i="1"/>
  <c r="F8182" i="1"/>
  <c r="H8182" i="1"/>
  <c r="I8182" i="1"/>
  <c r="J8182" i="1"/>
  <c r="L8182" i="1"/>
  <c r="M8182" i="1"/>
  <c r="C8183" i="1"/>
  <c r="E8183" i="1"/>
  <c r="F8183" i="1"/>
  <c r="H8183" i="1"/>
  <c r="I8183" i="1"/>
  <c r="J8183" i="1"/>
  <c r="L8183" i="1"/>
  <c r="M8183" i="1"/>
  <c r="C8184" i="1"/>
  <c r="E8184" i="1"/>
  <c r="F8184" i="1"/>
  <c r="H8184" i="1"/>
  <c r="I8184" i="1"/>
  <c r="J8184" i="1"/>
  <c r="L8184" i="1"/>
  <c r="M8184" i="1"/>
  <c r="C8185" i="1"/>
  <c r="E8185" i="1"/>
  <c r="F8185" i="1"/>
  <c r="H8185" i="1"/>
  <c r="I8185" i="1"/>
  <c r="J8185" i="1"/>
  <c r="L8185" i="1"/>
  <c r="M8185" i="1"/>
  <c r="C8186" i="1"/>
  <c r="E8186" i="1"/>
  <c r="F8186" i="1"/>
  <c r="H8186" i="1"/>
  <c r="I8186" i="1"/>
  <c r="J8186" i="1"/>
  <c r="L8186" i="1"/>
  <c r="M8186" i="1"/>
  <c r="C8187" i="1"/>
  <c r="E8187" i="1"/>
  <c r="F8187" i="1"/>
  <c r="H8187" i="1"/>
  <c r="I8187" i="1"/>
  <c r="J8187" i="1"/>
  <c r="L8187" i="1"/>
  <c r="M8187" i="1"/>
  <c r="C8188" i="1"/>
  <c r="E8188" i="1"/>
  <c r="F8188" i="1"/>
  <c r="H8188" i="1"/>
  <c r="I8188" i="1"/>
  <c r="J8188" i="1"/>
  <c r="L8188" i="1"/>
  <c r="M8188" i="1"/>
  <c r="C8189" i="1"/>
  <c r="E8189" i="1"/>
  <c r="F8189" i="1"/>
  <c r="H8189" i="1"/>
  <c r="I8189" i="1"/>
  <c r="J8189" i="1"/>
  <c r="L8189" i="1"/>
  <c r="M8189" i="1"/>
  <c r="C8190" i="1"/>
  <c r="E8190" i="1"/>
  <c r="F8190" i="1"/>
  <c r="H8190" i="1"/>
  <c r="I8190" i="1"/>
  <c r="J8190" i="1"/>
  <c r="L8190" i="1"/>
  <c r="M8190" i="1"/>
  <c r="C8191" i="1"/>
  <c r="E8191" i="1"/>
  <c r="F8191" i="1"/>
  <c r="H8191" i="1"/>
  <c r="I8191" i="1"/>
  <c r="J8191" i="1"/>
  <c r="L8191" i="1"/>
  <c r="M8191" i="1"/>
  <c r="C8192" i="1"/>
  <c r="E8192" i="1"/>
  <c r="F8192" i="1"/>
  <c r="H8192" i="1"/>
  <c r="I8192" i="1"/>
  <c r="J8192" i="1"/>
  <c r="L8192" i="1"/>
  <c r="M8192" i="1"/>
  <c r="C8193" i="1"/>
  <c r="E8193" i="1"/>
  <c r="F8193" i="1"/>
  <c r="H8193" i="1"/>
  <c r="I8193" i="1"/>
  <c r="J8193" i="1"/>
  <c r="L8193" i="1"/>
  <c r="M8193" i="1"/>
  <c r="C8194" i="1"/>
  <c r="E8194" i="1"/>
  <c r="F8194" i="1"/>
  <c r="H8194" i="1"/>
  <c r="I8194" i="1"/>
  <c r="J8194" i="1"/>
  <c r="L8194" i="1"/>
  <c r="M8194" i="1"/>
  <c r="C8195" i="1"/>
  <c r="E8195" i="1"/>
  <c r="F8195" i="1"/>
  <c r="H8195" i="1"/>
  <c r="I8195" i="1"/>
  <c r="J8195" i="1"/>
  <c r="L8195" i="1"/>
  <c r="M8195" i="1"/>
  <c r="C8196" i="1"/>
  <c r="E8196" i="1"/>
  <c r="F8196" i="1"/>
  <c r="H8196" i="1"/>
  <c r="I8196" i="1"/>
  <c r="J8196" i="1"/>
  <c r="L8196" i="1"/>
  <c r="M8196" i="1"/>
  <c r="C8197" i="1"/>
  <c r="E8197" i="1"/>
  <c r="F8197" i="1"/>
  <c r="H8197" i="1"/>
  <c r="I8197" i="1"/>
  <c r="J8197" i="1"/>
  <c r="L8197" i="1"/>
  <c r="M8197" i="1"/>
  <c r="C8198" i="1"/>
  <c r="E8198" i="1"/>
  <c r="F8198" i="1"/>
  <c r="H8198" i="1"/>
  <c r="I8198" i="1"/>
  <c r="J8198" i="1"/>
  <c r="L8198" i="1"/>
  <c r="M8198" i="1"/>
  <c r="C8199" i="1"/>
  <c r="E8199" i="1"/>
  <c r="F8199" i="1"/>
  <c r="H8199" i="1"/>
  <c r="I8199" i="1"/>
  <c r="J8199" i="1"/>
  <c r="L8199" i="1"/>
  <c r="M8199" i="1"/>
  <c r="C8200" i="1"/>
  <c r="E8200" i="1"/>
  <c r="F8200" i="1"/>
  <c r="H8200" i="1"/>
  <c r="I8200" i="1"/>
  <c r="J8200" i="1"/>
  <c r="L8200" i="1"/>
  <c r="M8200" i="1"/>
  <c r="C8201" i="1"/>
  <c r="E8201" i="1"/>
  <c r="F8201" i="1"/>
  <c r="H8201" i="1"/>
  <c r="I8201" i="1"/>
  <c r="J8201" i="1"/>
  <c r="L8201" i="1"/>
  <c r="M8201" i="1"/>
  <c r="C8202" i="1"/>
  <c r="E8202" i="1"/>
  <c r="F8202" i="1"/>
  <c r="H8202" i="1"/>
  <c r="I8202" i="1"/>
  <c r="J8202" i="1"/>
  <c r="L8202" i="1"/>
  <c r="M8202" i="1"/>
  <c r="C8203" i="1"/>
  <c r="E8203" i="1"/>
  <c r="F8203" i="1"/>
  <c r="H8203" i="1"/>
  <c r="I8203" i="1"/>
  <c r="J8203" i="1"/>
  <c r="L8203" i="1"/>
  <c r="M8203" i="1"/>
  <c r="C8204" i="1"/>
  <c r="E8204" i="1"/>
  <c r="F8204" i="1"/>
  <c r="H8204" i="1"/>
  <c r="I8204" i="1"/>
  <c r="J8204" i="1"/>
  <c r="L8204" i="1"/>
  <c r="M8204" i="1"/>
  <c r="C8205" i="1"/>
  <c r="E8205" i="1"/>
  <c r="F8205" i="1"/>
  <c r="H8205" i="1"/>
  <c r="I8205" i="1"/>
  <c r="J8205" i="1"/>
  <c r="L8205" i="1"/>
  <c r="M8205" i="1"/>
  <c r="C8206" i="1"/>
  <c r="E8206" i="1"/>
  <c r="F8206" i="1"/>
  <c r="H8206" i="1"/>
  <c r="I8206" i="1"/>
  <c r="J8206" i="1"/>
  <c r="L8206" i="1"/>
  <c r="M8206" i="1"/>
  <c r="C8207" i="1"/>
  <c r="E8207" i="1"/>
  <c r="F8207" i="1"/>
  <c r="H8207" i="1"/>
  <c r="I8207" i="1"/>
  <c r="J8207" i="1"/>
  <c r="L8207" i="1"/>
  <c r="M8207" i="1"/>
  <c r="C8208" i="1"/>
  <c r="E8208" i="1"/>
  <c r="F8208" i="1"/>
  <c r="H8208" i="1"/>
  <c r="I8208" i="1"/>
  <c r="J8208" i="1"/>
  <c r="L8208" i="1"/>
  <c r="M8208" i="1"/>
  <c r="C8209" i="1"/>
  <c r="E8209" i="1"/>
  <c r="F8209" i="1"/>
  <c r="H8209" i="1"/>
  <c r="I8209" i="1"/>
  <c r="J8209" i="1"/>
  <c r="L8209" i="1"/>
  <c r="M8209" i="1"/>
  <c r="C8210" i="1"/>
  <c r="E8210" i="1"/>
  <c r="F8210" i="1"/>
  <c r="H8210" i="1"/>
  <c r="I8210" i="1"/>
  <c r="J8210" i="1"/>
  <c r="L8210" i="1"/>
  <c r="M8210" i="1"/>
  <c r="C8211" i="1"/>
  <c r="E8211" i="1"/>
  <c r="F8211" i="1"/>
  <c r="H8211" i="1"/>
  <c r="I8211" i="1"/>
  <c r="J8211" i="1"/>
  <c r="L8211" i="1"/>
  <c r="M8211" i="1"/>
  <c r="C8212" i="1"/>
  <c r="E8212" i="1"/>
  <c r="F8212" i="1"/>
  <c r="H8212" i="1"/>
  <c r="I8212" i="1"/>
  <c r="J8212" i="1"/>
  <c r="L8212" i="1"/>
  <c r="M8212" i="1"/>
  <c r="C8213" i="1"/>
  <c r="E8213" i="1"/>
  <c r="F8213" i="1"/>
  <c r="H8213" i="1"/>
  <c r="I8213" i="1"/>
  <c r="J8213" i="1"/>
  <c r="L8213" i="1"/>
  <c r="M8213" i="1"/>
  <c r="C8214" i="1"/>
  <c r="E8214" i="1"/>
  <c r="F8214" i="1"/>
  <c r="H8214" i="1"/>
  <c r="I8214" i="1"/>
  <c r="J8214" i="1"/>
  <c r="L8214" i="1"/>
  <c r="M8214" i="1"/>
  <c r="C8215" i="1"/>
  <c r="E8215" i="1"/>
  <c r="F8215" i="1"/>
  <c r="H8215" i="1"/>
  <c r="I8215" i="1"/>
  <c r="J8215" i="1"/>
  <c r="L8215" i="1"/>
  <c r="M8215" i="1"/>
  <c r="C8216" i="1"/>
  <c r="E8216" i="1"/>
  <c r="F8216" i="1"/>
  <c r="H8216" i="1"/>
  <c r="I8216" i="1"/>
  <c r="J8216" i="1"/>
  <c r="L8216" i="1"/>
  <c r="M8216" i="1"/>
  <c r="C8217" i="1"/>
  <c r="E8217" i="1"/>
  <c r="F8217" i="1"/>
  <c r="H8217" i="1"/>
  <c r="I8217" i="1"/>
  <c r="J8217" i="1"/>
  <c r="L8217" i="1"/>
  <c r="M8217" i="1"/>
  <c r="C8218" i="1"/>
  <c r="E8218" i="1"/>
  <c r="F8218" i="1"/>
  <c r="H8218" i="1"/>
  <c r="I8218" i="1"/>
  <c r="J8218" i="1"/>
  <c r="L8218" i="1"/>
  <c r="M8218" i="1"/>
  <c r="C8219" i="1"/>
  <c r="E8219" i="1"/>
  <c r="F8219" i="1"/>
  <c r="H8219" i="1"/>
  <c r="I8219" i="1"/>
  <c r="J8219" i="1"/>
  <c r="L8219" i="1"/>
  <c r="M8219" i="1"/>
  <c r="C8220" i="1"/>
  <c r="E8220" i="1"/>
  <c r="F8220" i="1"/>
  <c r="H8220" i="1"/>
  <c r="I8220" i="1"/>
  <c r="J8220" i="1"/>
  <c r="L8220" i="1"/>
  <c r="M8220" i="1"/>
  <c r="C8221" i="1"/>
  <c r="E8221" i="1"/>
  <c r="F8221" i="1"/>
  <c r="H8221" i="1"/>
  <c r="I8221" i="1"/>
  <c r="J8221" i="1"/>
  <c r="L8221" i="1"/>
  <c r="M8221" i="1"/>
  <c r="C8222" i="1"/>
  <c r="E8222" i="1"/>
  <c r="F8222" i="1"/>
  <c r="H8222" i="1"/>
  <c r="I8222" i="1"/>
  <c r="J8222" i="1"/>
  <c r="L8222" i="1"/>
  <c r="M8222" i="1"/>
  <c r="C8223" i="1"/>
  <c r="E8223" i="1"/>
  <c r="F8223" i="1"/>
  <c r="H8223" i="1"/>
  <c r="I8223" i="1"/>
  <c r="J8223" i="1"/>
  <c r="L8223" i="1"/>
  <c r="M8223" i="1"/>
  <c r="C8224" i="1"/>
  <c r="E8224" i="1"/>
  <c r="F8224" i="1"/>
  <c r="H8224" i="1"/>
  <c r="I8224" i="1"/>
  <c r="J8224" i="1"/>
  <c r="L8224" i="1"/>
  <c r="M8224" i="1"/>
  <c r="C8225" i="1"/>
  <c r="E8225" i="1"/>
  <c r="F8225" i="1"/>
  <c r="H8225" i="1"/>
  <c r="I8225" i="1"/>
  <c r="J8225" i="1"/>
  <c r="L8225" i="1"/>
  <c r="M8225" i="1"/>
  <c r="C8226" i="1"/>
  <c r="E8226" i="1"/>
  <c r="F8226" i="1"/>
  <c r="H8226" i="1"/>
  <c r="I8226" i="1"/>
  <c r="J8226" i="1"/>
  <c r="L8226" i="1"/>
  <c r="M8226" i="1"/>
  <c r="C8227" i="1"/>
  <c r="E8227" i="1"/>
  <c r="F8227" i="1"/>
  <c r="H8227" i="1"/>
  <c r="I8227" i="1"/>
  <c r="J8227" i="1"/>
  <c r="L8227" i="1"/>
  <c r="M8227" i="1"/>
  <c r="C8228" i="1"/>
  <c r="E8228" i="1"/>
  <c r="F8228" i="1"/>
  <c r="H8228" i="1"/>
  <c r="I8228" i="1"/>
  <c r="J8228" i="1"/>
  <c r="L8228" i="1"/>
  <c r="M8228" i="1"/>
  <c r="C8229" i="1"/>
  <c r="E8229" i="1"/>
  <c r="F8229" i="1"/>
  <c r="H8229" i="1"/>
  <c r="I8229" i="1"/>
  <c r="J8229" i="1"/>
  <c r="L8229" i="1"/>
  <c r="M8229" i="1"/>
  <c r="C8230" i="1"/>
  <c r="E8230" i="1"/>
  <c r="F8230" i="1"/>
  <c r="H8230" i="1"/>
  <c r="I8230" i="1"/>
  <c r="J8230" i="1"/>
  <c r="L8230" i="1"/>
  <c r="M8230" i="1"/>
  <c r="C8231" i="1"/>
  <c r="E8231" i="1"/>
  <c r="F8231" i="1"/>
  <c r="H8231" i="1"/>
  <c r="I8231" i="1"/>
  <c r="J8231" i="1"/>
  <c r="L8231" i="1"/>
  <c r="M8231" i="1"/>
  <c r="C8232" i="1"/>
  <c r="E8232" i="1"/>
  <c r="F8232" i="1"/>
  <c r="H8232" i="1"/>
  <c r="I8232" i="1"/>
  <c r="J8232" i="1"/>
  <c r="L8232" i="1"/>
  <c r="M8232" i="1"/>
  <c r="C8233" i="1"/>
  <c r="E8233" i="1"/>
  <c r="F8233" i="1"/>
  <c r="H8233" i="1"/>
  <c r="I8233" i="1"/>
  <c r="J8233" i="1"/>
  <c r="L8233" i="1"/>
  <c r="M8233" i="1"/>
  <c r="C8234" i="1"/>
  <c r="E8234" i="1"/>
  <c r="F8234" i="1"/>
  <c r="H8234" i="1"/>
  <c r="I8234" i="1"/>
  <c r="J8234" i="1"/>
  <c r="L8234" i="1"/>
  <c r="M8234" i="1"/>
  <c r="C8235" i="1"/>
  <c r="E8235" i="1"/>
  <c r="F8235" i="1"/>
  <c r="H8235" i="1"/>
  <c r="I8235" i="1"/>
  <c r="J8235" i="1"/>
  <c r="L8235" i="1"/>
  <c r="M8235" i="1"/>
  <c r="C8236" i="1"/>
  <c r="E8236" i="1"/>
  <c r="F8236" i="1"/>
  <c r="H8236" i="1"/>
  <c r="I8236" i="1"/>
  <c r="J8236" i="1"/>
  <c r="L8236" i="1"/>
  <c r="M8236" i="1"/>
  <c r="C8237" i="1"/>
  <c r="E8237" i="1"/>
  <c r="F8237" i="1"/>
  <c r="H8237" i="1"/>
  <c r="I8237" i="1"/>
  <c r="J8237" i="1"/>
  <c r="L8237" i="1"/>
  <c r="M8237" i="1"/>
  <c r="C8238" i="1"/>
  <c r="E8238" i="1"/>
  <c r="F8238" i="1"/>
  <c r="H8238" i="1"/>
  <c r="I8238" i="1"/>
  <c r="J8238" i="1"/>
  <c r="L8238" i="1"/>
  <c r="M8238" i="1"/>
  <c r="C8239" i="1"/>
  <c r="E8239" i="1"/>
  <c r="F8239" i="1"/>
  <c r="H8239" i="1"/>
  <c r="I8239" i="1"/>
  <c r="J8239" i="1"/>
  <c r="L8239" i="1"/>
  <c r="M8239" i="1"/>
  <c r="C8240" i="1"/>
  <c r="E8240" i="1"/>
  <c r="F8240" i="1"/>
  <c r="H8240" i="1"/>
  <c r="I8240" i="1"/>
  <c r="J8240" i="1"/>
  <c r="L8240" i="1"/>
  <c r="M8240" i="1"/>
  <c r="C8241" i="1"/>
  <c r="E8241" i="1"/>
  <c r="F8241" i="1"/>
  <c r="H8241" i="1"/>
  <c r="I8241" i="1"/>
  <c r="J8241" i="1"/>
  <c r="L8241" i="1"/>
  <c r="M8241" i="1"/>
  <c r="C8242" i="1"/>
  <c r="E8242" i="1"/>
  <c r="F8242" i="1"/>
  <c r="H8242" i="1"/>
  <c r="I8242" i="1"/>
  <c r="J8242" i="1"/>
  <c r="L8242" i="1"/>
  <c r="M8242" i="1"/>
  <c r="C8243" i="1"/>
  <c r="E8243" i="1"/>
  <c r="F8243" i="1"/>
  <c r="H8243" i="1"/>
  <c r="I8243" i="1"/>
  <c r="J8243" i="1"/>
  <c r="L8243" i="1"/>
  <c r="M8243" i="1"/>
  <c r="C8244" i="1"/>
  <c r="E8244" i="1"/>
  <c r="F8244" i="1"/>
  <c r="H8244" i="1"/>
  <c r="I8244" i="1"/>
  <c r="J8244" i="1"/>
  <c r="L8244" i="1"/>
  <c r="M8244" i="1"/>
  <c r="C8245" i="1"/>
  <c r="E8245" i="1"/>
  <c r="F8245" i="1"/>
  <c r="H8245" i="1"/>
  <c r="I8245" i="1"/>
  <c r="J8245" i="1"/>
  <c r="L8245" i="1"/>
  <c r="M8245" i="1"/>
  <c r="C8246" i="1"/>
  <c r="E8246" i="1"/>
  <c r="F8246" i="1"/>
  <c r="H8246" i="1"/>
  <c r="I8246" i="1"/>
  <c r="J8246" i="1"/>
  <c r="L8246" i="1"/>
  <c r="M8246" i="1"/>
  <c r="C8247" i="1"/>
  <c r="E8247" i="1"/>
  <c r="F8247" i="1"/>
  <c r="H8247" i="1"/>
  <c r="I8247" i="1"/>
  <c r="J8247" i="1"/>
  <c r="L8247" i="1"/>
  <c r="M8247" i="1"/>
  <c r="C8248" i="1"/>
  <c r="E8248" i="1"/>
  <c r="F8248" i="1"/>
  <c r="H8248" i="1"/>
  <c r="I8248" i="1"/>
  <c r="J8248" i="1"/>
  <c r="L8248" i="1"/>
  <c r="M8248" i="1"/>
  <c r="C8249" i="1"/>
  <c r="E8249" i="1"/>
  <c r="F8249" i="1"/>
  <c r="H8249" i="1"/>
  <c r="I8249" i="1"/>
  <c r="J8249" i="1"/>
  <c r="L8249" i="1"/>
  <c r="M8249" i="1"/>
  <c r="C8250" i="1"/>
  <c r="E8250" i="1"/>
  <c r="F8250" i="1"/>
  <c r="H8250" i="1"/>
  <c r="I8250" i="1"/>
  <c r="J8250" i="1"/>
  <c r="L8250" i="1"/>
  <c r="M8250" i="1"/>
  <c r="C8251" i="1"/>
  <c r="E8251" i="1"/>
  <c r="F8251" i="1"/>
  <c r="H8251" i="1"/>
  <c r="I8251" i="1"/>
  <c r="J8251" i="1"/>
  <c r="L8251" i="1"/>
  <c r="M8251" i="1"/>
  <c r="C8252" i="1"/>
  <c r="E8252" i="1"/>
  <c r="F8252" i="1"/>
  <c r="H8252" i="1"/>
  <c r="I8252" i="1"/>
  <c r="J8252" i="1"/>
  <c r="L8252" i="1"/>
  <c r="M8252" i="1"/>
  <c r="C8253" i="1"/>
  <c r="E8253" i="1"/>
  <c r="F8253" i="1"/>
  <c r="H8253" i="1"/>
  <c r="I8253" i="1"/>
  <c r="J8253" i="1"/>
  <c r="L8253" i="1"/>
  <c r="M8253" i="1"/>
  <c r="C8254" i="1"/>
  <c r="E8254" i="1"/>
  <c r="F8254" i="1"/>
  <c r="H8254" i="1"/>
  <c r="I8254" i="1"/>
  <c r="J8254" i="1"/>
  <c r="L8254" i="1"/>
  <c r="M8254" i="1"/>
  <c r="C8255" i="1"/>
  <c r="E8255" i="1"/>
  <c r="F8255" i="1"/>
  <c r="H8255" i="1"/>
  <c r="I8255" i="1"/>
  <c r="J8255" i="1"/>
  <c r="L8255" i="1"/>
  <c r="M8255" i="1"/>
  <c r="C8256" i="1"/>
  <c r="E8256" i="1"/>
  <c r="F8256" i="1"/>
  <c r="H8256" i="1"/>
  <c r="I8256" i="1"/>
  <c r="J8256" i="1"/>
  <c r="L8256" i="1"/>
  <c r="M8256" i="1"/>
  <c r="C8257" i="1"/>
  <c r="E8257" i="1"/>
  <c r="F8257" i="1"/>
  <c r="H8257" i="1"/>
  <c r="I8257" i="1"/>
  <c r="J8257" i="1"/>
  <c r="L8257" i="1"/>
  <c r="M8257" i="1"/>
  <c r="C8258" i="1"/>
  <c r="E8258" i="1"/>
  <c r="F8258" i="1"/>
  <c r="H8258" i="1"/>
  <c r="I8258" i="1"/>
  <c r="J8258" i="1"/>
  <c r="L8258" i="1"/>
  <c r="M8258" i="1"/>
  <c r="C8259" i="1"/>
  <c r="E8259" i="1"/>
  <c r="F8259" i="1"/>
  <c r="H8259" i="1"/>
  <c r="I8259" i="1"/>
  <c r="J8259" i="1"/>
  <c r="L8259" i="1"/>
  <c r="M8259" i="1"/>
  <c r="C8260" i="1"/>
  <c r="E8260" i="1"/>
  <c r="F8260" i="1"/>
  <c r="H8260" i="1"/>
  <c r="I8260" i="1"/>
  <c r="J8260" i="1"/>
  <c r="L8260" i="1"/>
  <c r="M8260" i="1"/>
  <c r="C8261" i="1"/>
  <c r="E8261" i="1"/>
  <c r="F8261" i="1"/>
  <c r="H8261" i="1"/>
  <c r="I8261" i="1"/>
  <c r="J8261" i="1"/>
  <c r="L8261" i="1"/>
  <c r="M8261" i="1"/>
  <c r="C8262" i="1"/>
  <c r="E8262" i="1"/>
  <c r="F8262" i="1"/>
  <c r="H8262" i="1"/>
  <c r="I8262" i="1"/>
  <c r="J8262" i="1"/>
  <c r="L8262" i="1"/>
  <c r="M8262" i="1"/>
  <c r="C8263" i="1"/>
  <c r="E8263" i="1"/>
  <c r="F8263" i="1"/>
  <c r="H8263" i="1"/>
  <c r="I8263" i="1"/>
  <c r="J8263" i="1"/>
  <c r="L8263" i="1"/>
  <c r="M8263" i="1"/>
  <c r="C8264" i="1"/>
  <c r="E8264" i="1"/>
  <c r="F8264" i="1"/>
  <c r="H8264" i="1"/>
  <c r="I8264" i="1"/>
  <c r="J8264" i="1"/>
  <c r="L8264" i="1"/>
  <c r="M8264" i="1"/>
  <c r="C8265" i="1"/>
  <c r="E8265" i="1"/>
  <c r="F8265" i="1"/>
  <c r="H8265" i="1"/>
  <c r="I8265" i="1"/>
  <c r="J8265" i="1"/>
  <c r="L8265" i="1"/>
  <c r="M8265" i="1"/>
  <c r="C8266" i="1"/>
  <c r="E8266" i="1"/>
  <c r="F8266" i="1"/>
  <c r="H8266" i="1"/>
  <c r="I8266" i="1"/>
  <c r="J8266" i="1"/>
  <c r="L8266" i="1"/>
  <c r="M8266" i="1"/>
  <c r="C8267" i="1"/>
  <c r="E8267" i="1"/>
  <c r="F8267" i="1"/>
  <c r="H8267" i="1"/>
  <c r="I8267" i="1"/>
  <c r="J8267" i="1"/>
  <c r="L8267" i="1"/>
  <c r="M8267" i="1"/>
  <c r="C8268" i="1"/>
  <c r="E8268" i="1"/>
  <c r="F8268" i="1"/>
  <c r="H8268" i="1"/>
  <c r="I8268" i="1"/>
  <c r="J8268" i="1"/>
  <c r="L8268" i="1"/>
  <c r="M8268" i="1"/>
  <c r="C8269" i="1"/>
  <c r="E8269" i="1"/>
  <c r="F8269" i="1"/>
  <c r="H8269" i="1"/>
  <c r="I8269" i="1"/>
  <c r="J8269" i="1"/>
  <c r="L8269" i="1"/>
  <c r="M8269" i="1"/>
  <c r="C8270" i="1"/>
  <c r="E8270" i="1"/>
  <c r="F8270" i="1"/>
  <c r="H8270" i="1"/>
  <c r="I8270" i="1"/>
  <c r="J8270" i="1"/>
  <c r="L8270" i="1"/>
  <c r="M8270" i="1"/>
  <c r="C8271" i="1"/>
  <c r="E8271" i="1"/>
  <c r="F8271" i="1"/>
  <c r="H8271" i="1"/>
  <c r="I8271" i="1"/>
  <c r="J8271" i="1"/>
  <c r="L8271" i="1"/>
  <c r="M8271" i="1"/>
  <c r="C8272" i="1"/>
  <c r="E8272" i="1"/>
  <c r="F8272" i="1"/>
  <c r="H8272" i="1"/>
  <c r="I8272" i="1"/>
  <c r="J8272" i="1"/>
  <c r="L8272" i="1"/>
  <c r="M8272" i="1"/>
  <c r="C8273" i="1"/>
  <c r="E8273" i="1"/>
  <c r="F8273" i="1"/>
  <c r="H8273" i="1"/>
  <c r="I8273" i="1"/>
  <c r="J8273" i="1"/>
  <c r="L8273" i="1"/>
  <c r="M8273" i="1"/>
  <c r="C8274" i="1"/>
  <c r="E8274" i="1"/>
  <c r="F8274" i="1"/>
  <c r="H8274" i="1"/>
  <c r="I8274" i="1"/>
  <c r="J8274" i="1"/>
  <c r="L8274" i="1"/>
  <c r="M8274" i="1"/>
  <c r="C8275" i="1"/>
  <c r="E8275" i="1"/>
  <c r="F8275" i="1"/>
  <c r="H8275" i="1"/>
  <c r="I8275" i="1"/>
  <c r="J8275" i="1"/>
  <c r="L8275" i="1"/>
  <c r="M8275" i="1"/>
  <c r="C8276" i="1"/>
  <c r="E8276" i="1"/>
  <c r="F8276" i="1"/>
  <c r="H8276" i="1"/>
  <c r="I8276" i="1"/>
  <c r="J8276" i="1"/>
  <c r="L8276" i="1"/>
  <c r="M8276" i="1"/>
  <c r="C8277" i="1"/>
  <c r="E8277" i="1"/>
  <c r="F8277" i="1"/>
  <c r="H8277" i="1"/>
  <c r="I8277" i="1"/>
  <c r="J8277" i="1"/>
  <c r="L8277" i="1"/>
  <c r="M8277" i="1"/>
  <c r="C8278" i="1"/>
  <c r="E8278" i="1"/>
  <c r="F8278" i="1"/>
  <c r="H8278" i="1"/>
  <c r="I8278" i="1"/>
  <c r="J8278" i="1"/>
  <c r="L8278" i="1"/>
  <c r="M8278" i="1"/>
  <c r="C8279" i="1"/>
  <c r="E8279" i="1"/>
  <c r="F8279" i="1"/>
  <c r="H8279" i="1"/>
  <c r="I8279" i="1"/>
  <c r="J8279" i="1"/>
  <c r="L8279" i="1"/>
  <c r="M8279" i="1"/>
  <c r="C8280" i="1"/>
  <c r="E8280" i="1"/>
  <c r="F8280" i="1"/>
  <c r="H8280" i="1"/>
  <c r="I8280" i="1"/>
  <c r="J8280" i="1"/>
  <c r="L8280" i="1"/>
  <c r="M8280" i="1"/>
  <c r="C8281" i="1"/>
  <c r="E8281" i="1"/>
  <c r="F8281" i="1"/>
  <c r="H8281" i="1"/>
  <c r="I8281" i="1"/>
  <c r="J8281" i="1"/>
  <c r="L8281" i="1"/>
  <c r="M8281" i="1"/>
  <c r="C8282" i="1"/>
  <c r="E8282" i="1"/>
  <c r="F8282" i="1"/>
  <c r="H8282" i="1"/>
  <c r="I8282" i="1"/>
  <c r="J8282" i="1"/>
  <c r="L8282" i="1"/>
  <c r="M8282" i="1"/>
  <c r="C8283" i="1"/>
  <c r="E8283" i="1"/>
  <c r="F8283" i="1"/>
  <c r="H8283" i="1"/>
  <c r="I8283" i="1"/>
  <c r="J8283" i="1"/>
  <c r="L8283" i="1"/>
  <c r="M8283" i="1"/>
  <c r="C8284" i="1"/>
  <c r="E8284" i="1"/>
  <c r="F8284" i="1"/>
  <c r="H8284" i="1"/>
  <c r="I8284" i="1"/>
  <c r="J8284" i="1"/>
  <c r="L8284" i="1"/>
  <c r="M8284" i="1"/>
  <c r="C8285" i="1"/>
  <c r="E8285" i="1"/>
  <c r="F8285" i="1"/>
  <c r="H8285" i="1"/>
  <c r="I8285" i="1"/>
  <c r="J8285" i="1"/>
  <c r="L8285" i="1"/>
  <c r="M8285" i="1"/>
  <c r="C8286" i="1"/>
  <c r="E8286" i="1"/>
  <c r="F8286" i="1"/>
  <c r="H8286" i="1"/>
  <c r="I8286" i="1"/>
  <c r="J8286" i="1"/>
  <c r="L8286" i="1"/>
  <c r="M8286" i="1"/>
  <c r="C8287" i="1"/>
  <c r="E8287" i="1"/>
  <c r="F8287" i="1"/>
  <c r="H8287" i="1"/>
  <c r="I8287" i="1"/>
  <c r="J8287" i="1"/>
  <c r="L8287" i="1"/>
  <c r="M8287" i="1"/>
  <c r="C8288" i="1"/>
  <c r="E8288" i="1"/>
  <c r="F8288" i="1"/>
  <c r="H8288" i="1"/>
  <c r="I8288" i="1"/>
  <c r="J8288" i="1"/>
  <c r="L8288" i="1"/>
  <c r="M8288" i="1"/>
  <c r="C8289" i="1"/>
  <c r="E8289" i="1"/>
  <c r="F8289" i="1"/>
  <c r="H8289" i="1"/>
  <c r="I8289" i="1"/>
  <c r="J8289" i="1"/>
  <c r="L8289" i="1"/>
  <c r="M8289" i="1"/>
  <c r="C8290" i="1"/>
  <c r="E8290" i="1"/>
  <c r="F8290" i="1"/>
  <c r="H8290" i="1"/>
  <c r="I8290" i="1"/>
  <c r="J8290" i="1"/>
  <c r="L8290" i="1"/>
  <c r="M8290" i="1"/>
  <c r="C8291" i="1"/>
  <c r="E8291" i="1"/>
  <c r="F8291" i="1"/>
  <c r="H8291" i="1"/>
  <c r="I8291" i="1"/>
  <c r="J8291" i="1"/>
  <c r="L8291" i="1"/>
  <c r="M8291" i="1"/>
  <c r="C8292" i="1"/>
  <c r="E8292" i="1"/>
  <c r="F8292" i="1"/>
  <c r="H8292" i="1"/>
  <c r="I8292" i="1"/>
  <c r="J8292" i="1"/>
  <c r="L8292" i="1"/>
  <c r="M8292" i="1"/>
  <c r="C8293" i="1"/>
  <c r="E8293" i="1"/>
  <c r="F8293" i="1"/>
  <c r="H8293" i="1"/>
  <c r="I8293" i="1"/>
  <c r="J8293" i="1"/>
  <c r="L8293" i="1"/>
  <c r="M8293" i="1"/>
  <c r="C8294" i="1"/>
  <c r="E8294" i="1"/>
  <c r="F8294" i="1"/>
  <c r="H8294" i="1"/>
  <c r="I8294" i="1"/>
  <c r="J8294" i="1"/>
  <c r="L8294" i="1"/>
  <c r="M8294" i="1"/>
  <c r="C8295" i="1"/>
  <c r="E8295" i="1"/>
  <c r="F8295" i="1"/>
  <c r="H8295" i="1"/>
  <c r="I8295" i="1"/>
  <c r="J8295" i="1"/>
  <c r="L8295" i="1"/>
  <c r="M8295" i="1"/>
  <c r="C8296" i="1"/>
  <c r="E8296" i="1"/>
  <c r="F8296" i="1"/>
  <c r="H8296" i="1"/>
  <c r="I8296" i="1"/>
  <c r="J8296" i="1"/>
  <c r="L8296" i="1"/>
  <c r="M8296" i="1"/>
  <c r="C8297" i="1"/>
  <c r="E8297" i="1"/>
  <c r="F8297" i="1"/>
  <c r="H8297" i="1"/>
  <c r="I8297" i="1"/>
  <c r="J8297" i="1"/>
  <c r="L8297" i="1"/>
  <c r="M8297" i="1"/>
  <c r="C8298" i="1"/>
  <c r="E8298" i="1"/>
  <c r="F8298" i="1"/>
  <c r="H8298" i="1"/>
  <c r="I8298" i="1"/>
  <c r="J8298" i="1"/>
  <c r="L8298" i="1"/>
  <c r="M8298" i="1"/>
  <c r="C8299" i="1"/>
  <c r="E8299" i="1"/>
  <c r="F8299" i="1"/>
  <c r="H8299" i="1"/>
  <c r="I8299" i="1"/>
  <c r="J8299" i="1"/>
  <c r="L8299" i="1"/>
  <c r="M8299" i="1"/>
  <c r="C8300" i="1"/>
  <c r="E8300" i="1"/>
  <c r="F8300" i="1"/>
  <c r="H8300" i="1"/>
  <c r="I8300" i="1"/>
  <c r="J8300" i="1"/>
  <c r="L8300" i="1"/>
  <c r="M8300" i="1"/>
  <c r="C8301" i="1"/>
  <c r="E8301" i="1"/>
  <c r="F8301" i="1"/>
  <c r="H8301" i="1"/>
  <c r="I8301" i="1"/>
  <c r="J8301" i="1"/>
  <c r="L8301" i="1"/>
  <c r="M8301" i="1"/>
  <c r="C8302" i="1"/>
  <c r="E8302" i="1"/>
  <c r="F8302" i="1"/>
  <c r="H8302" i="1"/>
  <c r="I8302" i="1"/>
  <c r="J8302" i="1"/>
  <c r="L8302" i="1"/>
  <c r="M8302" i="1"/>
  <c r="C8303" i="1"/>
  <c r="E8303" i="1"/>
  <c r="F8303" i="1"/>
  <c r="H8303" i="1"/>
  <c r="I8303" i="1"/>
  <c r="J8303" i="1"/>
  <c r="L8303" i="1"/>
  <c r="M8303" i="1"/>
  <c r="C8304" i="1"/>
  <c r="E8304" i="1"/>
  <c r="F8304" i="1"/>
  <c r="H8304" i="1"/>
  <c r="I8304" i="1"/>
  <c r="J8304" i="1"/>
  <c r="L8304" i="1"/>
  <c r="M8304" i="1"/>
  <c r="C8305" i="1"/>
  <c r="E8305" i="1"/>
  <c r="F8305" i="1"/>
  <c r="H8305" i="1"/>
  <c r="I8305" i="1"/>
  <c r="J8305" i="1"/>
  <c r="L8305" i="1"/>
  <c r="M8305" i="1"/>
  <c r="C8306" i="1"/>
  <c r="E8306" i="1"/>
  <c r="F8306" i="1"/>
  <c r="H8306" i="1"/>
  <c r="I8306" i="1"/>
  <c r="J8306" i="1"/>
  <c r="L8306" i="1"/>
  <c r="M8306" i="1"/>
  <c r="C8307" i="1"/>
  <c r="E8307" i="1"/>
  <c r="F8307" i="1"/>
  <c r="H8307" i="1"/>
  <c r="I8307" i="1"/>
  <c r="J8307" i="1"/>
  <c r="L8307" i="1"/>
  <c r="M8307" i="1"/>
  <c r="C8308" i="1"/>
  <c r="E8308" i="1"/>
  <c r="F8308" i="1"/>
  <c r="H8308" i="1"/>
  <c r="I8308" i="1"/>
  <c r="J8308" i="1"/>
  <c r="L8308" i="1"/>
  <c r="M8308" i="1"/>
  <c r="C8309" i="1"/>
  <c r="E8309" i="1"/>
  <c r="F8309" i="1"/>
  <c r="H8309" i="1"/>
  <c r="I8309" i="1"/>
  <c r="J8309" i="1"/>
  <c r="L8309" i="1"/>
  <c r="M8309" i="1"/>
  <c r="C8310" i="1"/>
  <c r="E8310" i="1"/>
  <c r="F8310" i="1"/>
  <c r="H8310" i="1"/>
  <c r="I8310" i="1"/>
  <c r="J8310" i="1"/>
  <c r="L8310" i="1"/>
  <c r="M8310" i="1"/>
  <c r="C8311" i="1"/>
  <c r="E8311" i="1"/>
  <c r="F8311" i="1"/>
  <c r="H8311" i="1"/>
  <c r="I8311" i="1"/>
  <c r="J8311" i="1"/>
  <c r="L8311" i="1"/>
  <c r="M8311" i="1"/>
  <c r="C8312" i="1"/>
  <c r="E8312" i="1"/>
  <c r="F8312" i="1"/>
  <c r="H8312" i="1"/>
  <c r="I8312" i="1"/>
  <c r="J8312" i="1"/>
  <c r="L8312" i="1"/>
  <c r="M8312" i="1"/>
  <c r="C8313" i="1"/>
  <c r="E8313" i="1"/>
  <c r="F8313" i="1"/>
  <c r="H8313" i="1"/>
  <c r="I8313" i="1"/>
  <c r="J8313" i="1"/>
  <c r="L8313" i="1"/>
  <c r="M8313" i="1"/>
  <c r="C8314" i="1"/>
  <c r="E8314" i="1"/>
  <c r="F8314" i="1"/>
  <c r="H8314" i="1"/>
  <c r="I8314" i="1"/>
  <c r="J8314" i="1"/>
  <c r="L8314" i="1"/>
  <c r="M8314" i="1"/>
  <c r="C8315" i="1"/>
  <c r="E8315" i="1"/>
  <c r="F8315" i="1"/>
  <c r="H8315" i="1"/>
  <c r="I8315" i="1"/>
  <c r="J8315" i="1"/>
  <c r="L8315" i="1"/>
  <c r="M8315" i="1"/>
  <c r="C8316" i="1"/>
  <c r="E8316" i="1"/>
  <c r="F8316" i="1"/>
  <c r="H8316" i="1"/>
  <c r="I8316" i="1"/>
  <c r="J8316" i="1"/>
  <c r="L8316" i="1"/>
  <c r="M8316" i="1"/>
  <c r="C8317" i="1"/>
  <c r="E8317" i="1"/>
  <c r="F8317" i="1"/>
  <c r="H8317" i="1"/>
  <c r="I8317" i="1"/>
  <c r="J8317" i="1"/>
  <c r="L8317" i="1"/>
  <c r="M8317" i="1"/>
  <c r="C8318" i="1"/>
  <c r="E8318" i="1"/>
  <c r="F8318" i="1"/>
  <c r="H8318" i="1"/>
  <c r="I8318" i="1"/>
  <c r="J8318" i="1"/>
  <c r="L8318" i="1"/>
  <c r="M8318" i="1"/>
  <c r="C8319" i="1"/>
  <c r="E8319" i="1"/>
  <c r="F8319" i="1"/>
  <c r="H8319" i="1"/>
  <c r="I8319" i="1"/>
  <c r="J8319" i="1"/>
  <c r="L8319" i="1"/>
  <c r="M8319" i="1"/>
  <c r="C8320" i="1"/>
  <c r="E8320" i="1"/>
  <c r="F8320" i="1"/>
  <c r="H8320" i="1"/>
  <c r="I8320" i="1"/>
  <c r="J8320" i="1"/>
  <c r="L8320" i="1"/>
  <c r="M8320" i="1"/>
  <c r="C8321" i="1"/>
  <c r="E8321" i="1"/>
  <c r="F8321" i="1"/>
  <c r="H8321" i="1"/>
  <c r="I8321" i="1"/>
  <c r="J8321" i="1"/>
  <c r="L8321" i="1"/>
  <c r="M8321" i="1"/>
  <c r="C8322" i="1"/>
  <c r="E8322" i="1"/>
  <c r="F8322" i="1"/>
  <c r="H8322" i="1"/>
  <c r="I8322" i="1"/>
  <c r="J8322" i="1"/>
  <c r="L8322" i="1"/>
  <c r="M8322" i="1"/>
  <c r="C8323" i="1"/>
  <c r="E8323" i="1"/>
  <c r="F8323" i="1"/>
  <c r="H8323" i="1"/>
  <c r="I8323" i="1"/>
  <c r="J8323" i="1"/>
  <c r="L8323" i="1"/>
  <c r="M8323" i="1"/>
  <c r="C8324" i="1"/>
  <c r="E8324" i="1"/>
  <c r="F8324" i="1"/>
  <c r="H8324" i="1"/>
  <c r="I8324" i="1"/>
  <c r="J8324" i="1"/>
  <c r="L8324" i="1"/>
  <c r="M8324" i="1"/>
  <c r="C8325" i="1"/>
  <c r="E8325" i="1"/>
  <c r="F8325" i="1"/>
  <c r="H8325" i="1"/>
  <c r="I8325" i="1"/>
  <c r="J8325" i="1"/>
  <c r="L8325" i="1"/>
  <c r="M8325" i="1"/>
  <c r="C8326" i="1"/>
  <c r="E8326" i="1"/>
  <c r="F8326" i="1"/>
  <c r="H8326" i="1"/>
  <c r="I8326" i="1"/>
  <c r="J8326" i="1"/>
  <c r="L8326" i="1"/>
  <c r="M8326" i="1"/>
  <c r="C8327" i="1"/>
  <c r="E8327" i="1"/>
  <c r="F8327" i="1"/>
  <c r="H8327" i="1"/>
  <c r="I8327" i="1"/>
  <c r="J8327" i="1"/>
  <c r="L8327" i="1"/>
  <c r="M8327" i="1"/>
  <c r="C8328" i="1"/>
  <c r="E8328" i="1"/>
  <c r="F8328" i="1"/>
  <c r="H8328" i="1"/>
  <c r="I8328" i="1"/>
  <c r="J8328" i="1"/>
  <c r="L8328" i="1"/>
  <c r="M8328" i="1"/>
  <c r="C8329" i="1"/>
  <c r="E8329" i="1"/>
  <c r="F8329" i="1"/>
  <c r="H8329" i="1"/>
  <c r="I8329" i="1"/>
  <c r="J8329" i="1"/>
  <c r="L8329" i="1"/>
  <c r="M8329" i="1"/>
  <c r="C8330" i="1"/>
  <c r="E8330" i="1"/>
  <c r="F8330" i="1"/>
  <c r="H8330" i="1"/>
  <c r="I8330" i="1"/>
  <c r="J8330" i="1"/>
  <c r="L8330" i="1"/>
  <c r="M8330" i="1"/>
  <c r="C8331" i="1"/>
  <c r="E8331" i="1"/>
  <c r="F8331" i="1"/>
  <c r="H8331" i="1"/>
  <c r="I8331" i="1"/>
  <c r="J8331" i="1"/>
  <c r="L8331" i="1"/>
  <c r="M8331" i="1"/>
  <c r="C8332" i="1"/>
  <c r="E8332" i="1"/>
  <c r="F8332" i="1"/>
  <c r="H8332" i="1"/>
  <c r="I8332" i="1"/>
  <c r="J8332" i="1"/>
  <c r="L8332" i="1"/>
  <c r="M8332" i="1"/>
  <c r="C8333" i="1"/>
  <c r="E8333" i="1"/>
  <c r="F8333" i="1"/>
  <c r="H8333" i="1"/>
  <c r="I8333" i="1"/>
  <c r="J8333" i="1"/>
  <c r="L8333" i="1"/>
  <c r="M8333" i="1"/>
  <c r="C8334" i="1"/>
  <c r="E8334" i="1"/>
  <c r="F8334" i="1"/>
  <c r="H8334" i="1"/>
  <c r="I8334" i="1"/>
  <c r="J8334" i="1"/>
  <c r="L8334" i="1"/>
  <c r="M8334" i="1"/>
  <c r="C8335" i="1"/>
  <c r="E8335" i="1"/>
  <c r="F8335" i="1"/>
  <c r="H8335" i="1"/>
  <c r="I8335" i="1"/>
  <c r="J8335" i="1"/>
  <c r="L8335" i="1"/>
  <c r="M8335" i="1"/>
  <c r="C8336" i="1"/>
  <c r="E8336" i="1"/>
  <c r="F8336" i="1"/>
  <c r="H8336" i="1"/>
  <c r="I8336" i="1"/>
  <c r="J8336" i="1"/>
  <c r="L8336" i="1"/>
  <c r="M8336" i="1"/>
  <c r="C8337" i="1"/>
  <c r="E8337" i="1"/>
  <c r="F8337" i="1"/>
  <c r="H8337" i="1"/>
  <c r="I8337" i="1"/>
  <c r="J8337" i="1"/>
  <c r="L8337" i="1"/>
  <c r="M8337" i="1"/>
  <c r="C8338" i="1"/>
  <c r="E8338" i="1"/>
  <c r="F8338" i="1"/>
  <c r="H8338" i="1"/>
  <c r="I8338" i="1"/>
  <c r="J8338" i="1"/>
  <c r="L8338" i="1"/>
  <c r="M8338" i="1"/>
  <c r="C8339" i="1"/>
  <c r="E8339" i="1"/>
  <c r="F8339" i="1"/>
  <c r="H8339" i="1"/>
  <c r="I8339" i="1"/>
  <c r="J8339" i="1"/>
  <c r="L8339" i="1"/>
  <c r="M8339" i="1"/>
  <c r="C8340" i="1"/>
  <c r="E8340" i="1"/>
  <c r="F8340" i="1"/>
  <c r="H8340" i="1"/>
  <c r="I8340" i="1"/>
  <c r="J8340" i="1"/>
  <c r="L8340" i="1"/>
  <c r="M8340" i="1"/>
  <c r="C8341" i="1"/>
  <c r="E8341" i="1"/>
  <c r="F8341" i="1"/>
  <c r="H8341" i="1"/>
  <c r="I8341" i="1"/>
  <c r="J8341" i="1"/>
  <c r="L8341" i="1"/>
  <c r="M8341" i="1"/>
  <c r="C8342" i="1"/>
  <c r="E8342" i="1"/>
  <c r="F8342" i="1"/>
  <c r="H8342" i="1"/>
  <c r="I8342" i="1"/>
  <c r="J8342" i="1"/>
  <c r="L8342" i="1"/>
  <c r="M8342" i="1"/>
  <c r="C8343" i="1"/>
  <c r="E8343" i="1"/>
  <c r="F8343" i="1"/>
  <c r="H8343" i="1"/>
  <c r="I8343" i="1"/>
  <c r="J8343" i="1"/>
  <c r="L8343" i="1"/>
  <c r="M8343" i="1"/>
  <c r="C8344" i="1"/>
  <c r="E8344" i="1"/>
  <c r="F8344" i="1"/>
  <c r="H8344" i="1"/>
  <c r="I8344" i="1"/>
  <c r="J8344" i="1"/>
  <c r="L8344" i="1"/>
  <c r="M8344" i="1"/>
  <c r="C8345" i="1"/>
  <c r="E8345" i="1"/>
  <c r="F8345" i="1"/>
  <c r="H8345" i="1"/>
  <c r="I8345" i="1"/>
  <c r="J8345" i="1"/>
  <c r="L8345" i="1"/>
  <c r="M8345" i="1"/>
  <c r="C8346" i="1"/>
  <c r="E8346" i="1"/>
  <c r="F8346" i="1"/>
  <c r="H8346" i="1"/>
  <c r="I8346" i="1"/>
  <c r="J8346" i="1"/>
  <c r="L8346" i="1"/>
  <c r="M8346" i="1"/>
  <c r="C8347" i="1"/>
  <c r="E8347" i="1"/>
  <c r="F8347" i="1"/>
  <c r="H8347" i="1"/>
  <c r="I8347" i="1"/>
  <c r="J8347" i="1"/>
  <c r="L8347" i="1"/>
  <c r="M8347" i="1"/>
  <c r="C8348" i="1"/>
  <c r="E8348" i="1"/>
  <c r="F8348" i="1"/>
  <c r="H8348" i="1"/>
  <c r="I8348" i="1"/>
  <c r="J8348" i="1"/>
  <c r="L8348" i="1"/>
  <c r="M8348" i="1"/>
  <c r="C8349" i="1"/>
  <c r="E8349" i="1"/>
  <c r="F8349" i="1"/>
  <c r="H8349" i="1"/>
  <c r="I8349" i="1"/>
  <c r="J8349" i="1"/>
  <c r="L8349" i="1"/>
  <c r="M8349" i="1"/>
  <c r="C8350" i="1"/>
  <c r="E8350" i="1"/>
  <c r="F8350" i="1"/>
  <c r="H8350" i="1"/>
  <c r="I8350" i="1"/>
  <c r="J8350" i="1"/>
  <c r="L8350" i="1"/>
  <c r="M8350" i="1"/>
  <c r="C8351" i="1"/>
  <c r="E8351" i="1"/>
  <c r="F8351" i="1"/>
  <c r="H8351" i="1"/>
  <c r="I8351" i="1"/>
  <c r="J8351" i="1"/>
  <c r="L8351" i="1"/>
  <c r="M8351" i="1"/>
  <c r="C8352" i="1"/>
  <c r="E8352" i="1"/>
  <c r="F8352" i="1"/>
  <c r="H8352" i="1"/>
  <c r="I8352" i="1"/>
  <c r="J8352" i="1"/>
  <c r="L8352" i="1"/>
  <c r="M8352" i="1"/>
  <c r="C8353" i="1"/>
  <c r="E8353" i="1"/>
  <c r="F8353" i="1"/>
  <c r="H8353" i="1"/>
  <c r="I8353" i="1"/>
  <c r="J8353" i="1"/>
  <c r="L8353" i="1"/>
  <c r="M8353" i="1"/>
  <c r="C8354" i="1"/>
  <c r="E8354" i="1"/>
  <c r="F8354" i="1"/>
  <c r="H8354" i="1"/>
  <c r="I8354" i="1"/>
  <c r="J8354" i="1"/>
  <c r="L8354" i="1"/>
  <c r="M8354" i="1"/>
  <c r="C8355" i="1"/>
  <c r="E8355" i="1"/>
  <c r="F8355" i="1"/>
  <c r="H8355" i="1"/>
  <c r="I8355" i="1"/>
  <c r="J8355" i="1"/>
  <c r="L8355" i="1"/>
  <c r="M8355" i="1"/>
  <c r="C8356" i="1"/>
  <c r="E8356" i="1"/>
  <c r="F8356" i="1"/>
  <c r="H8356" i="1"/>
  <c r="I8356" i="1"/>
  <c r="J8356" i="1"/>
  <c r="L8356" i="1"/>
  <c r="M8356" i="1"/>
  <c r="C8357" i="1"/>
  <c r="E8357" i="1"/>
  <c r="F8357" i="1"/>
  <c r="H8357" i="1"/>
  <c r="I8357" i="1"/>
  <c r="J8357" i="1"/>
  <c r="L8357" i="1"/>
  <c r="M8357" i="1"/>
  <c r="C8358" i="1"/>
  <c r="E8358" i="1"/>
  <c r="F8358" i="1"/>
  <c r="H8358" i="1"/>
  <c r="I8358" i="1"/>
  <c r="J8358" i="1"/>
  <c r="L8358" i="1"/>
  <c r="M8358" i="1"/>
  <c r="C8359" i="1"/>
  <c r="E8359" i="1"/>
  <c r="F8359" i="1"/>
  <c r="H8359" i="1"/>
  <c r="I8359" i="1"/>
  <c r="J8359" i="1"/>
  <c r="L8359" i="1"/>
  <c r="M8359" i="1"/>
  <c r="C8360" i="1"/>
  <c r="E8360" i="1"/>
  <c r="F8360" i="1"/>
  <c r="H8360" i="1"/>
  <c r="I8360" i="1"/>
  <c r="J8360" i="1"/>
  <c r="L8360" i="1"/>
  <c r="M8360" i="1"/>
  <c r="C8361" i="1"/>
  <c r="E8361" i="1"/>
  <c r="F8361" i="1"/>
  <c r="H8361" i="1"/>
  <c r="I8361" i="1"/>
  <c r="J8361" i="1"/>
  <c r="L8361" i="1"/>
  <c r="M8361" i="1"/>
  <c r="C8362" i="1"/>
  <c r="E8362" i="1"/>
  <c r="F8362" i="1"/>
  <c r="H8362" i="1"/>
  <c r="I8362" i="1"/>
  <c r="J8362" i="1"/>
  <c r="L8362" i="1"/>
  <c r="M8362" i="1"/>
  <c r="C8363" i="1"/>
  <c r="E8363" i="1"/>
  <c r="F8363" i="1"/>
  <c r="H8363" i="1"/>
  <c r="I8363" i="1"/>
  <c r="J8363" i="1"/>
  <c r="L8363" i="1"/>
  <c r="M8363" i="1"/>
  <c r="C8364" i="1"/>
  <c r="E8364" i="1"/>
  <c r="F8364" i="1"/>
  <c r="H8364" i="1"/>
  <c r="I8364" i="1"/>
  <c r="J8364" i="1"/>
  <c r="L8364" i="1"/>
  <c r="M8364" i="1"/>
  <c r="C8365" i="1"/>
  <c r="E8365" i="1"/>
  <c r="F8365" i="1"/>
  <c r="H8365" i="1"/>
  <c r="I8365" i="1"/>
  <c r="J8365" i="1"/>
  <c r="L8365" i="1"/>
  <c r="M8365" i="1"/>
  <c r="C8366" i="1"/>
  <c r="E8366" i="1"/>
  <c r="F8366" i="1"/>
  <c r="H8366" i="1"/>
  <c r="I8366" i="1"/>
  <c r="J8366" i="1"/>
  <c r="L8366" i="1"/>
  <c r="M8366" i="1"/>
  <c r="C8367" i="1"/>
  <c r="E8367" i="1"/>
  <c r="F8367" i="1"/>
  <c r="H8367" i="1"/>
  <c r="I8367" i="1"/>
  <c r="J8367" i="1"/>
  <c r="L8367" i="1"/>
  <c r="M8367" i="1"/>
  <c r="C8368" i="1"/>
  <c r="E8368" i="1"/>
  <c r="F8368" i="1"/>
  <c r="H8368" i="1"/>
  <c r="I8368" i="1"/>
  <c r="J8368" i="1"/>
  <c r="L8368" i="1"/>
  <c r="M8368" i="1"/>
  <c r="C8369" i="1"/>
  <c r="E8369" i="1"/>
  <c r="F8369" i="1"/>
  <c r="H8369" i="1"/>
  <c r="I8369" i="1"/>
  <c r="J8369" i="1"/>
  <c r="L8369" i="1"/>
  <c r="M8369" i="1"/>
  <c r="C8370" i="1"/>
  <c r="E8370" i="1"/>
  <c r="F8370" i="1"/>
  <c r="H8370" i="1"/>
  <c r="I8370" i="1"/>
  <c r="J8370" i="1"/>
  <c r="L8370" i="1"/>
  <c r="M8370" i="1"/>
  <c r="C8371" i="1"/>
  <c r="E8371" i="1"/>
  <c r="F8371" i="1"/>
  <c r="H8371" i="1"/>
  <c r="I8371" i="1"/>
  <c r="J8371" i="1"/>
  <c r="L8371" i="1"/>
  <c r="M8371" i="1"/>
  <c r="C8372" i="1"/>
  <c r="E8372" i="1"/>
  <c r="F8372" i="1"/>
  <c r="H8372" i="1"/>
  <c r="I8372" i="1"/>
  <c r="J8372" i="1"/>
  <c r="L8372" i="1"/>
  <c r="M8372" i="1"/>
  <c r="C8373" i="1"/>
  <c r="E8373" i="1"/>
  <c r="F8373" i="1"/>
  <c r="H8373" i="1"/>
  <c r="I8373" i="1"/>
  <c r="J8373" i="1"/>
  <c r="L8373" i="1"/>
  <c r="M8373" i="1"/>
  <c r="C8374" i="1"/>
  <c r="E8374" i="1"/>
  <c r="F8374" i="1"/>
  <c r="H8374" i="1"/>
  <c r="I8374" i="1"/>
  <c r="J8374" i="1"/>
  <c r="L8374" i="1"/>
  <c r="M8374" i="1"/>
  <c r="C8375" i="1"/>
  <c r="E8375" i="1"/>
  <c r="F8375" i="1"/>
  <c r="H8375" i="1"/>
  <c r="I8375" i="1"/>
  <c r="J8375" i="1"/>
  <c r="L8375" i="1"/>
  <c r="M8375" i="1"/>
  <c r="C8376" i="1"/>
  <c r="E8376" i="1"/>
  <c r="F8376" i="1"/>
  <c r="H8376" i="1"/>
  <c r="I8376" i="1"/>
  <c r="J8376" i="1"/>
  <c r="L8376" i="1"/>
  <c r="M8376" i="1"/>
  <c r="C8377" i="1"/>
  <c r="E8377" i="1"/>
  <c r="F8377" i="1"/>
  <c r="H8377" i="1"/>
  <c r="I8377" i="1"/>
  <c r="J8377" i="1"/>
  <c r="L8377" i="1"/>
  <c r="M8377" i="1"/>
  <c r="C8378" i="1"/>
  <c r="E8378" i="1"/>
  <c r="F8378" i="1"/>
  <c r="H8378" i="1"/>
  <c r="I8378" i="1"/>
  <c r="J8378" i="1"/>
  <c r="L8378" i="1"/>
  <c r="M8378" i="1"/>
  <c r="C8379" i="1"/>
  <c r="E8379" i="1"/>
  <c r="F8379" i="1"/>
  <c r="H8379" i="1"/>
  <c r="I8379" i="1"/>
  <c r="J8379" i="1"/>
  <c r="L8379" i="1"/>
  <c r="M8379" i="1"/>
  <c r="C8380" i="1"/>
  <c r="E8380" i="1"/>
  <c r="F8380" i="1"/>
  <c r="H8380" i="1"/>
  <c r="I8380" i="1"/>
  <c r="J8380" i="1"/>
  <c r="L8380" i="1"/>
  <c r="M8380" i="1"/>
  <c r="C8381" i="1"/>
  <c r="E8381" i="1"/>
  <c r="F8381" i="1"/>
  <c r="H8381" i="1"/>
  <c r="I8381" i="1"/>
  <c r="J8381" i="1"/>
  <c r="L8381" i="1"/>
  <c r="M8381" i="1"/>
  <c r="C8382" i="1"/>
  <c r="E8382" i="1"/>
  <c r="F8382" i="1"/>
  <c r="H8382" i="1"/>
  <c r="I8382" i="1"/>
  <c r="J8382" i="1"/>
  <c r="L8382" i="1"/>
  <c r="M8382" i="1"/>
  <c r="C8383" i="1"/>
  <c r="E8383" i="1"/>
  <c r="F8383" i="1"/>
  <c r="H8383" i="1"/>
  <c r="I8383" i="1"/>
  <c r="J8383" i="1"/>
  <c r="L8383" i="1"/>
  <c r="M8383" i="1"/>
  <c r="C8384" i="1"/>
  <c r="E8384" i="1"/>
  <c r="F8384" i="1"/>
  <c r="H8384" i="1"/>
  <c r="I8384" i="1"/>
  <c r="J8384" i="1"/>
  <c r="L8384" i="1"/>
  <c r="M8384" i="1"/>
  <c r="C8385" i="1"/>
  <c r="E8385" i="1"/>
  <c r="F8385" i="1"/>
  <c r="H8385" i="1"/>
  <c r="I8385" i="1"/>
  <c r="J8385" i="1"/>
  <c r="L8385" i="1"/>
  <c r="M8385" i="1"/>
  <c r="C8386" i="1"/>
  <c r="E8386" i="1"/>
  <c r="F8386" i="1"/>
  <c r="H8386" i="1"/>
  <c r="I8386" i="1"/>
  <c r="J8386" i="1"/>
  <c r="L8386" i="1"/>
  <c r="M8386" i="1"/>
  <c r="C8387" i="1"/>
  <c r="E8387" i="1"/>
  <c r="F8387" i="1"/>
  <c r="H8387" i="1"/>
  <c r="I8387" i="1"/>
  <c r="J8387" i="1"/>
  <c r="L8387" i="1"/>
  <c r="M8387" i="1"/>
  <c r="C8388" i="1"/>
  <c r="E8388" i="1"/>
  <c r="F8388" i="1"/>
  <c r="H8388" i="1"/>
  <c r="I8388" i="1"/>
  <c r="J8388" i="1"/>
  <c r="L8388" i="1"/>
  <c r="M8388" i="1"/>
  <c r="C8389" i="1"/>
  <c r="E8389" i="1"/>
  <c r="F8389" i="1"/>
  <c r="H8389" i="1"/>
  <c r="I8389" i="1"/>
  <c r="J8389" i="1"/>
  <c r="L8389" i="1"/>
  <c r="M8389" i="1"/>
  <c r="C8390" i="1"/>
  <c r="E8390" i="1"/>
  <c r="F8390" i="1"/>
  <c r="H8390" i="1"/>
  <c r="I8390" i="1"/>
  <c r="J8390" i="1"/>
  <c r="L8390" i="1"/>
  <c r="M8390" i="1"/>
  <c r="C8391" i="1"/>
  <c r="E8391" i="1"/>
  <c r="F8391" i="1"/>
  <c r="H8391" i="1"/>
  <c r="I8391" i="1"/>
  <c r="J8391" i="1"/>
  <c r="L8391" i="1"/>
  <c r="M8391" i="1"/>
  <c r="C8392" i="1"/>
  <c r="E8392" i="1"/>
  <c r="F8392" i="1"/>
  <c r="H8392" i="1"/>
  <c r="I8392" i="1"/>
  <c r="J8392" i="1"/>
  <c r="L8392" i="1"/>
  <c r="M8392" i="1"/>
  <c r="C8393" i="1"/>
  <c r="E8393" i="1"/>
  <c r="F8393" i="1"/>
  <c r="H8393" i="1"/>
  <c r="I8393" i="1"/>
  <c r="J8393" i="1"/>
  <c r="L8393" i="1"/>
  <c r="M8393" i="1"/>
  <c r="C8394" i="1"/>
  <c r="E8394" i="1"/>
  <c r="F8394" i="1"/>
  <c r="H8394" i="1"/>
  <c r="I8394" i="1"/>
  <c r="J8394" i="1"/>
  <c r="L8394" i="1"/>
  <c r="M8394" i="1"/>
  <c r="C8395" i="1"/>
  <c r="E8395" i="1"/>
  <c r="F8395" i="1"/>
  <c r="H8395" i="1"/>
  <c r="I8395" i="1"/>
  <c r="J8395" i="1"/>
  <c r="L8395" i="1"/>
  <c r="M8395" i="1"/>
  <c r="C8396" i="1"/>
  <c r="E8396" i="1"/>
  <c r="F8396" i="1"/>
  <c r="H8396" i="1"/>
  <c r="I8396" i="1"/>
  <c r="J8396" i="1"/>
  <c r="L8396" i="1"/>
  <c r="M8396" i="1"/>
  <c r="C8397" i="1"/>
  <c r="E8397" i="1"/>
  <c r="F8397" i="1"/>
  <c r="H8397" i="1"/>
  <c r="I8397" i="1"/>
  <c r="J8397" i="1"/>
  <c r="L8397" i="1"/>
  <c r="M8397" i="1"/>
  <c r="C8398" i="1"/>
  <c r="E8398" i="1"/>
  <c r="F8398" i="1"/>
  <c r="H8398" i="1"/>
  <c r="I8398" i="1"/>
  <c r="J8398" i="1"/>
  <c r="L8398" i="1"/>
  <c r="M8398" i="1"/>
  <c r="C8399" i="1"/>
  <c r="E8399" i="1"/>
  <c r="F8399" i="1"/>
  <c r="H8399" i="1"/>
  <c r="I8399" i="1"/>
  <c r="J8399" i="1"/>
  <c r="L8399" i="1"/>
  <c r="M8399" i="1"/>
  <c r="C8400" i="1"/>
  <c r="E8400" i="1"/>
  <c r="F8400" i="1"/>
  <c r="H8400" i="1"/>
  <c r="I8400" i="1"/>
  <c r="J8400" i="1"/>
  <c r="L8400" i="1"/>
  <c r="M8400" i="1"/>
  <c r="C8401" i="1"/>
  <c r="E8401" i="1"/>
  <c r="F8401" i="1"/>
  <c r="H8401" i="1"/>
  <c r="I8401" i="1"/>
  <c r="J8401" i="1"/>
  <c r="L8401" i="1"/>
  <c r="M8401" i="1"/>
  <c r="C8402" i="1"/>
  <c r="E8402" i="1"/>
  <c r="F8402" i="1"/>
  <c r="H8402" i="1"/>
  <c r="I8402" i="1"/>
  <c r="J8402" i="1"/>
  <c r="L8402" i="1"/>
  <c r="M8402" i="1"/>
  <c r="C8403" i="1"/>
  <c r="E8403" i="1"/>
  <c r="F8403" i="1"/>
  <c r="H8403" i="1"/>
  <c r="I8403" i="1"/>
  <c r="J8403" i="1"/>
  <c r="L8403" i="1"/>
  <c r="M8403" i="1"/>
  <c r="C8404" i="1"/>
  <c r="E8404" i="1"/>
  <c r="F8404" i="1"/>
  <c r="H8404" i="1"/>
  <c r="I8404" i="1"/>
  <c r="J8404" i="1"/>
  <c r="L8404" i="1"/>
  <c r="M8404" i="1"/>
  <c r="C8405" i="1"/>
  <c r="E8405" i="1"/>
  <c r="F8405" i="1"/>
  <c r="H8405" i="1"/>
  <c r="I8405" i="1"/>
  <c r="J8405" i="1"/>
  <c r="L8405" i="1"/>
  <c r="M8405" i="1"/>
  <c r="C8406" i="1"/>
  <c r="E8406" i="1"/>
  <c r="F8406" i="1"/>
  <c r="H8406" i="1"/>
  <c r="I8406" i="1"/>
  <c r="J8406" i="1"/>
  <c r="L8406" i="1"/>
  <c r="M8406" i="1"/>
  <c r="C8407" i="1"/>
  <c r="E8407" i="1"/>
  <c r="F8407" i="1"/>
  <c r="H8407" i="1"/>
  <c r="I8407" i="1"/>
  <c r="J8407" i="1"/>
  <c r="L8407" i="1"/>
  <c r="M8407" i="1"/>
  <c r="C8408" i="1"/>
  <c r="E8408" i="1"/>
  <c r="F8408" i="1"/>
  <c r="H8408" i="1"/>
  <c r="I8408" i="1"/>
  <c r="J8408" i="1"/>
  <c r="L8408" i="1"/>
  <c r="M8408" i="1"/>
  <c r="C8409" i="1"/>
  <c r="E8409" i="1"/>
  <c r="F8409" i="1"/>
  <c r="H8409" i="1"/>
  <c r="I8409" i="1"/>
  <c r="J8409" i="1"/>
  <c r="L8409" i="1"/>
  <c r="M8409" i="1"/>
  <c r="C8410" i="1"/>
  <c r="E8410" i="1"/>
  <c r="F8410" i="1"/>
  <c r="H8410" i="1"/>
  <c r="I8410" i="1"/>
  <c r="J8410" i="1"/>
  <c r="L8410" i="1"/>
  <c r="M8410" i="1"/>
  <c r="C8411" i="1"/>
  <c r="E8411" i="1"/>
  <c r="F8411" i="1"/>
  <c r="H8411" i="1"/>
  <c r="I8411" i="1"/>
  <c r="J8411" i="1"/>
  <c r="L8411" i="1"/>
  <c r="M8411" i="1"/>
  <c r="C8412" i="1"/>
  <c r="E8412" i="1"/>
  <c r="F8412" i="1"/>
  <c r="H8412" i="1"/>
  <c r="I8412" i="1"/>
  <c r="J8412" i="1"/>
  <c r="L8412" i="1"/>
  <c r="M8412" i="1"/>
  <c r="C8413" i="1"/>
  <c r="E8413" i="1"/>
  <c r="F8413" i="1"/>
  <c r="H8413" i="1"/>
  <c r="I8413" i="1"/>
  <c r="J8413" i="1"/>
  <c r="L8413" i="1"/>
  <c r="M8413" i="1"/>
  <c r="C8414" i="1"/>
  <c r="E8414" i="1"/>
  <c r="F8414" i="1"/>
  <c r="H8414" i="1"/>
  <c r="I8414" i="1"/>
  <c r="J8414" i="1"/>
  <c r="L8414" i="1"/>
  <c r="M8414" i="1"/>
  <c r="C8415" i="1"/>
  <c r="E8415" i="1"/>
  <c r="F8415" i="1"/>
  <c r="H8415" i="1"/>
  <c r="I8415" i="1"/>
  <c r="J8415" i="1"/>
  <c r="L8415" i="1"/>
  <c r="M8415" i="1"/>
  <c r="C8416" i="1"/>
  <c r="E8416" i="1"/>
  <c r="F8416" i="1"/>
  <c r="H8416" i="1"/>
  <c r="I8416" i="1"/>
  <c r="J8416" i="1"/>
  <c r="L8416" i="1"/>
  <c r="M8416" i="1"/>
  <c r="C8417" i="1"/>
  <c r="E8417" i="1"/>
  <c r="F8417" i="1"/>
  <c r="H8417" i="1"/>
  <c r="I8417" i="1"/>
  <c r="J8417" i="1"/>
  <c r="L8417" i="1"/>
  <c r="M8417" i="1"/>
  <c r="C8418" i="1"/>
  <c r="E8418" i="1"/>
  <c r="F8418" i="1"/>
  <c r="H8418" i="1"/>
  <c r="I8418" i="1"/>
  <c r="J8418" i="1"/>
  <c r="L8418" i="1"/>
  <c r="M8418" i="1"/>
  <c r="C8419" i="1"/>
  <c r="E8419" i="1"/>
  <c r="F8419" i="1"/>
  <c r="H8419" i="1"/>
  <c r="I8419" i="1"/>
  <c r="J8419" i="1"/>
  <c r="L8419" i="1"/>
  <c r="M8419" i="1"/>
  <c r="C8420" i="1"/>
  <c r="E8420" i="1"/>
  <c r="F8420" i="1"/>
  <c r="H8420" i="1"/>
  <c r="I8420" i="1"/>
  <c r="J8420" i="1"/>
  <c r="L8420" i="1"/>
  <c r="M8420" i="1"/>
  <c r="C8421" i="1"/>
  <c r="E8421" i="1"/>
  <c r="F8421" i="1"/>
  <c r="H8421" i="1"/>
  <c r="I8421" i="1"/>
  <c r="J8421" i="1"/>
  <c r="L8421" i="1"/>
  <c r="M8421" i="1"/>
  <c r="C8422" i="1"/>
  <c r="E8422" i="1"/>
  <c r="F8422" i="1"/>
  <c r="H8422" i="1"/>
  <c r="I8422" i="1"/>
  <c r="J8422" i="1"/>
  <c r="L8422" i="1"/>
  <c r="M8422" i="1"/>
  <c r="C8423" i="1"/>
  <c r="E8423" i="1"/>
  <c r="F8423" i="1"/>
  <c r="H8423" i="1"/>
  <c r="I8423" i="1"/>
  <c r="J8423" i="1"/>
  <c r="L8423" i="1"/>
  <c r="M8423" i="1"/>
  <c r="C8424" i="1"/>
  <c r="E8424" i="1"/>
  <c r="F8424" i="1"/>
  <c r="H8424" i="1"/>
  <c r="I8424" i="1"/>
  <c r="J8424" i="1"/>
  <c r="L8424" i="1"/>
  <c r="M8424" i="1"/>
  <c r="C8425" i="1"/>
  <c r="E8425" i="1"/>
  <c r="F8425" i="1"/>
  <c r="H8425" i="1"/>
  <c r="I8425" i="1"/>
  <c r="J8425" i="1"/>
  <c r="L8425" i="1"/>
  <c r="M8425" i="1"/>
  <c r="C8426" i="1"/>
  <c r="E8426" i="1"/>
  <c r="F8426" i="1"/>
  <c r="H8426" i="1"/>
  <c r="I8426" i="1"/>
  <c r="J8426" i="1"/>
  <c r="L8426" i="1"/>
  <c r="M8426" i="1"/>
  <c r="C8427" i="1"/>
  <c r="E8427" i="1"/>
  <c r="F8427" i="1"/>
  <c r="H8427" i="1"/>
  <c r="I8427" i="1"/>
  <c r="J8427" i="1"/>
  <c r="L8427" i="1"/>
  <c r="M8427" i="1"/>
  <c r="C8428" i="1"/>
  <c r="E8428" i="1"/>
  <c r="F8428" i="1"/>
  <c r="H8428" i="1"/>
  <c r="I8428" i="1"/>
  <c r="J8428" i="1"/>
  <c r="L8428" i="1"/>
  <c r="M8428" i="1"/>
  <c r="C8429" i="1"/>
  <c r="E8429" i="1"/>
  <c r="F8429" i="1"/>
  <c r="H8429" i="1"/>
  <c r="I8429" i="1"/>
  <c r="J8429" i="1"/>
  <c r="L8429" i="1"/>
  <c r="M8429" i="1"/>
  <c r="C8430" i="1"/>
  <c r="E8430" i="1"/>
  <c r="F8430" i="1"/>
  <c r="H8430" i="1"/>
  <c r="I8430" i="1"/>
  <c r="J8430" i="1"/>
  <c r="L8430" i="1"/>
  <c r="M8430" i="1"/>
  <c r="C8431" i="1"/>
  <c r="E8431" i="1"/>
  <c r="F8431" i="1"/>
  <c r="H8431" i="1"/>
  <c r="I8431" i="1"/>
  <c r="J8431" i="1"/>
  <c r="L8431" i="1"/>
  <c r="M8431" i="1"/>
  <c r="C8432" i="1"/>
  <c r="E8432" i="1"/>
  <c r="F8432" i="1"/>
  <c r="H8432" i="1"/>
  <c r="I8432" i="1"/>
  <c r="J8432" i="1"/>
  <c r="L8432" i="1"/>
  <c r="M8432" i="1"/>
  <c r="C8433" i="1"/>
  <c r="E8433" i="1"/>
  <c r="F8433" i="1"/>
  <c r="H8433" i="1"/>
  <c r="I8433" i="1"/>
  <c r="J8433" i="1"/>
  <c r="L8433" i="1"/>
  <c r="M8433" i="1"/>
  <c r="C8434" i="1"/>
  <c r="E8434" i="1"/>
  <c r="F8434" i="1"/>
  <c r="H8434" i="1"/>
  <c r="I8434" i="1"/>
  <c r="J8434" i="1"/>
  <c r="L8434" i="1"/>
  <c r="M8434" i="1"/>
  <c r="C8435" i="1"/>
  <c r="E8435" i="1"/>
  <c r="F8435" i="1"/>
  <c r="H8435" i="1"/>
  <c r="I8435" i="1"/>
  <c r="J8435" i="1"/>
  <c r="L8435" i="1"/>
  <c r="M8435" i="1"/>
  <c r="C8436" i="1"/>
  <c r="E8436" i="1"/>
  <c r="F8436" i="1"/>
  <c r="H8436" i="1"/>
  <c r="I8436" i="1"/>
  <c r="J8436" i="1"/>
  <c r="L8436" i="1"/>
  <c r="M8436" i="1"/>
  <c r="C8437" i="1"/>
  <c r="E8437" i="1"/>
  <c r="F8437" i="1"/>
  <c r="H8437" i="1"/>
  <c r="I8437" i="1"/>
  <c r="J8437" i="1"/>
  <c r="L8437" i="1"/>
  <c r="M8437" i="1"/>
  <c r="C8438" i="1"/>
  <c r="E8438" i="1"/>
  <c r="F8438" i="1"/>
  <c r="H8438" i="1"/>
  <c r="I8438" i="1"/>
  <c r="J8438" i="1"/>
  <c r="L8438" i="1"/>
  <c r="M8438" i="1"/>
  <c r="C8439" i="1"/>
  <c r="E8439" i="1"/>
  <c r="F8439" i="1"/>
  <c r="H8439" i="1"/>
  <c r="I8439" i="1"/>
  <c r="J8439" i="1"/>
  <c r="L8439" i="1"/>
  <c r="M8439" i="1"/>
  <c r="C8440" i="1"/>
  <c r="E8440" i="1"/>
  <c r="F8440" i="1"/>
  <c r="H8440" i="1"/>
  <c r="I8440" i="1"/>
  <c r="J8440" i="1"/>
  <c r="L8440" i="1"/>
  <c r="M8440" i="1"/>
  <c r="C8441" i="1"/>
  <c r="E8441" i="1"/>
  <c r="F8441" i="1"/>
  <c r="H8441" i="1"/>
  <c r="I8441" i="1"/>
  <c r="J8441" i="1"/>
  <c r="L8441" i="1"/>
  <c r="M8441" i="1"/>
  <c r="C8442" i="1"/>
  <c r="E8442" i="1"/>
  <c r="F8442" i="1"/>
  <c r="H8442" i="1"/>
  <c r="I8442" i="1"/>
  <c r="J8442" i="1"/>
  <c r="L8442" i="1"/>
  <c r="M8442" i="1"/>
  <c r="C8443" i="1"/>
  <c r="E8443" i="1"/>
  <c r="F8443" i="1"/>
  <c r="H8443" i="1"/>
  <c r="I8443" i="1"/>
  <c r="J8443" i="1"/>
  <c r="L8443" i="1"/>
  <c r="M8443" i="1"/>
  <c r="C8444" i="1"/>
  <c r="E8444" i="1"/>
  <c r="F8444" i="1"/>
  <c r="H8444" i="1"/>
  <c r="I8444" i="1"/>
  <c r="J8444" i="1"/>
  <c r="L8444" i="1"/>
  <c r="M8444" i="1"/>
  <c r="C8445" i="1"/>
  <c r="E8445" i="1"/>
  <c r="F8445" i="1"/>
  <c r="H8445" i="1"/>
  <c r="I8445" i="1"/>
  <c r="J8445" i="1"/>
  <c r="L8445" i="1"/>
  <c r="M8445" i="1"/>
  <c r="C8446" i="1"/>
  <c r="E8446" i="1"/>
  <c r="F8446" i="1"/>
  <c r="H8446" i="1"/>
  <c r="I8446" i="1"/>
  <c r="J8446" i="1"/>
  <c r="L8446" i="1"/>
  <c r="M8446" i="1"/>
  <c r="C8447" i="1"/>
  <c r="E8447" i="1"/>
  <c r="F8447" i="1"/>
  <c r="H8447" i="1"/>
  <c r="I8447" i="1"/>
  <c r="J8447" i="1"/>
  <c r="L8447" i="1"/>
  <c r="M8447" i="1"/>
  <c r="C8448" i="1"/>
  <c r="E8448" i="1"/>
  <c r="F8448" i="1"/>
  <c r="H8448" i="1"/>
  <c r="I8448" i="1"/>
  <c r="J8448" i="1"/>
  <c r="L8448" i="1"/>
  <c r="M8448" i="1"/>
  <c r="C8449" i="1"/>
  <c r="E8449" i="1"/>
  <c r="F8449" i="1"/>
  <c r="H8449" i="1"/>
  <c r="I8449" i="1"/>
  <c r="J8449" i="1"/>
  <c r="L8449" i="1"/>
  <c r="M8449" i="1"/>
  <c r="C8450" i="1"/>
  <c r="E8450" i="1"/>
  <c r="F8450" i="1"/>
  <c r="H8450" i="1"/>
  <c r="I8450" i="1"/>
  <c r="J8450" i="1"/>
  <c r="L8450" i="1"/>
  <c r="M8450" i="1"/>
  <c r="C8451" i="1"/>
  <c r="E8451" i="1"/>
  <c r="F8451" i="1"/>
  <c r="H8451" i="1"/>
  <c r="I8451" i="1"/>
  <c r="J8451" i="1"/>
  <c r="L8451" i="1"/>
  <c r="M8451" i="1"/>
  <c r="C8452" i="1"/>
  <c r="E8452" i="1"/>
  <c r="F8452" i="1"/>
  <c r="H8452" i="1"/>
  <c r="I8452" i="1"/>
  <c r="J8452" i="1"/>
  <c r="L8452" i="1"/>
  <c r="M8452" i="1"/>
  <c r="C8453" i="1"/>
  <c r="E8453" i="1"/>
  <c r="F8453" i="1"/>
  <c r="H8453" i="1"/>
  <c r="I8453" i="1"/>
  <c r="J8453" i="1"/>
  <c r="L8453" i="1"/>
  <c r="M8453" i="1"/>
  <c r="C8454" i="1"/>
  <c r="E8454" i="1"/>
  <c r="F8454" i="1"/>
  <c r="H8454" i="1"/>
  <c r="I8454" i="1"/>
  <c r="J8454" i="1"/>
  <c r="L8454" i="1"/>
  <c r="M8454" i="1"/>
  <c r="C8455" i="1"/>
  <c r="E8455" i="1"/>
  <c r="F8455" i="1"/>
  <c r="H8455" i="1"/>
  <c r="I8455" i="1"/>
  <c r="J8455" i="1"/>
  <c r="L8455" i="1"/>
  <c r="M8455" i="1"/>
  <c r="C8456" i="1"/>
  <c r="E8456" i="1"/>
  <c r="F8456" i="1"/>
  <c r="H8456" i="1"/>
  <c r="I8456" i="1"/>
  <c r="J8456" i="1"/>
  <c r="L8456" i="1"/>
  <c r="M8456" i="1"/>
  <c r="C8457" i="1"/>
  <c r="E8457" i="1"/>
  <c r="F8457" i="1"/>
  <c r="H8457" i="1"/>
  <c r="I8457" i="1"/>
  <c r="J8457" i="1"/>
  <c r="L8457" i="1"/>
  <c r="M8457" i="1"/>
  <c r="C8458" i="1"/>
  <c r="E8458" i="1"/>
  <c r="F8458" i="1"/>
  <c r="H8458" i="1"/>
  <c r="I8458" i="1"/>
  <c r="J8458" i="1"/>
  <c r="L8458" i="1"/>
  <c r="M8458" i="1"/>
  <c r="C8459" i="1"/>
  <c r="E8459" i="1"/>
  <c r="F8459" i="1"/>
  <c r="H8459" i="1"/>
  <c r="I8459" i="1"/>
  <c r="J8459" i="1"/>
  <c r="L8459" i="1"/>
  <c r="M8459" i="1"/>
  <c r="C8460" i="1"/>
  <c r="E8460" i="1"/>
  <c r="F8460" i="1"/>
  <c r="H8460" i="1"/>
  <c r="I8460" i="1"/>
  <c r="J8460" i="1"/>
  <c r="L8460" i="1"/>
  <c r="M8460" i="1"/>
  <c r="C8461" i="1"/>
  <c r="E8461" i="1"/>
  <c r="F8461" i="1"/>
  <c r="H8461" i="1"/>
  <c r="I8461" i="1"/>
  <c r="J8461" i="1"/>
  <c r="L8461" i="1"/>
  <c r="M8461" i="1"/>
  <c r="C8462" i="1"/>
  <c r="E8462" i="1"/>
  <c r="F8462" i="1"/>
  <c r="H8462" i="1"/>
  <c r="I8462" i="1"/>
  <c r="J8462" i="1"/>
  <c r="L8462" i="1"/>
  <c r="M8462" i="1"/>
  <c r="C8463" i="1"/>
  <c r="E8463" i="1"/>
  <c r="F8463" i="1"/>
  <c r="H8463" i="1"/>
  <c r="I8463" i="1"/>
  <c r="J8463" i="1"/>
  <c r="L8463" i="1"/>
  <c r="M8463" i="1"/>
  <c r="C8464" i="1"/>
  <c r="E8464" i="1"/>
  <c r="F8464" i="1"/>
  <c r="H8464" i="1"/>
  <c r="I8464" i="1"/>
  <c r="J8464" i="1"/>
  <c r="L8464" i="1"/>
  <c r="M8464" i="1"/>
  <c r="C8465" i="1"/>
  <c r="E8465" i="1"/>
  <c r="F8465" i="1"/>
  <c r="H8465" i="1"/>
  <c r="I8465" i="1"/>
  <c r="J8465" i="1"/>
  <c r="L8465" i="1"/>
  <c r="M8465" i="1"/>
  <c r="C8466" i="1"/>
  <c r="E8466" i="1"/>
  <c r="F8466" i="1"/>
  <c r="H8466" i="1"/>
  <c r="I8466" i="1"/>
  <c r="J8466" i="1"/>
  <c r="L8466" i="1"/>
  <c r="M8466" i="1"/>
  <c r="C8467" i="1"/>
  <c r="E8467" i="1"/>
  <c r="F8467" i="1"/>
  <c r="H8467" i="1"/>
  <c r="I8467" i="1"/>
  <c r="J8467" i="1"/>
  <c r="L8467" i="1"/>
  <c r="M8467" i="1"/>
  <c r="C8468" i="1"/>
  <c r="E8468" i="1"/>
  <c r="F8468" i="1"/>
  <c r="H8468" i="1"/>
  <c r="I8468" i="1"/>
  <c r="J8468" i="1"/>
  <c r="L8468" i="1"/>
  <c r="M8468" i="1"/>
  <c r="C8469" i="1"/>
  <c r="E8469" i="1"/>
  <c r="F8469" i="1"/>
  <c r="H8469" i="1"/>
  <c r="I8469" i="1"/>
  <c r="J8469" i="1"/>
  <c r="L8469" i="1"/>
  <c r="M8469" i="1"/>
  <c r="C8470" i="1"/>
  <c r="E8470" i="1"/>
  <c r="F8470" i="1"/>
  <c r="H8470" i="1"/>
  <c r="I8470" i="1"/>
  <c r="J8470" i="1"/>
  <c r="L8470" i="1"/>
  <c r="M8470" i="1"/>
  <c r="C8471" i="1"/>
  <c r="E8471" i="1"/>
  <c r="F8471" i="1"/>
  <c r="H8471" i="1"/>
  <c r="I8471" i="1"/>
  <c r="J8471" i="1"/>
  <c r="L8471" i="1"/>
  <c r="M8471" i="1"/>
  <c r="C8472" i="1"/>
  <c r="E8472" i="1"/>
  <c r="F8472" i="1"/>
  <c r="H8472" i="1"/>
  <c r="I8472" i="1"/>
  <c r="J8472" i="1"/>
  <c r="L8472" i="1"/>
  <c r="M8472" i="1"/>
  <c r="C8473" i="1"/>
  <c r="E8473" i="1"/>
  <c r="F8473" i="1"/>
  <c r="H8473" i="1"/>
  <c r="I8473" i="1"/>
  <c r="J8473" i="1"/>
  <c r="L8473" i="1"/>
  <c r="M8473" i="1"/>
  <c r="C8474" i="1"/>
  <c r="E8474" i="1"/>
  <c r="F8474" i="1"/>
  <c r="H8474" i="1"/>
  <c r="I8474" i="1"/>
  <c r="J8474" i="1"/>
  <c r="L8474" i="1"/>
  <c r="M8474" i="1"/>
  <c r="C8475" i="1"/>
  <c r="E8475" i="1"/>
  <c r="F8475" i="1"/>
  <c r="H8475" i="1"/>
  <c r="I8475" i="1"/>
  <c r="J8475" i="1"/>
  <c r="L8475" i="1"/>
  <c r="M8475" i="1"/>
  <c r="C8476" i="1"/>
  <c r="E8476" i="1"/>
  <c r="F8476" i="1"/>
  <c r="H8476" i="1"/>
  <c r="I8476" i="1"/>
  <c r="J8476" i="1"/>
  <c r="L8476" i="1"/>
  <c r="M8476" i="1"/>
  <c r="C8477" i="1"/>
  <c r="E8477" i="1"/>
  <c r="F8477" i="1"/>
  <c r="H8477" i="1"/>
  <c r="I8477" i="1"/>
  <c r="J8477" i="1"/>
  <c r="L8477" i="1"/>
  <c r="M8477" i="1"/>
  <c r="C8478" i="1"/>
  <c r="E8478" i="1"/>
  <c r="F8478" i="1"/>
  <c r="H8478" i="1"/>
  <c r="I8478" i="1"/>
  <c r="J8478" i="1"/>
  <c r="L8478" i="1"/>
  <c r="M8478" i="1"/>
  <c r="C8479" i="1"/>
  <c r="E8479" i="1"/>
  <c r="F8479" i="1"/>
  <c r="H8479" i="1"/>
  <c r="I8479" i="1"/>
  <c r="J8479" i="1"/>
  <c r="L8479" i="1"/>
  <c r="M8479" i="1"/>
  <c r="C8480" i="1"/>
  <c r="E8480" i="1"/>
  <c r="F8480" i="1"/>
  <c r="H8480" i="1"/>
  <c r="I8480" i="1"/>
  <c r="J8480" i="1"/>
  <c r="L8480" i="1"/>
  <c r="M8480" i="1"/>
  <c r="C8481" i="1"/>
  <c r="E8481" i="1"/>
  <c r="F8481" i="1"/>
  <c r="H8481" i="1"/>
  <c r="I8481" i="1"/>
  <c r="J8481" i="1"/>
  <c r="L8481" i="1"/>
  <c r="M8481" i="1"/>
  <c r="C8482" i="1"/>
  <c r="E8482" i="1"/>
  <c r="F8482" i="1"/>
  <c r="H8482" i="1"/>
  <c r="I8482" i="1"/>
  <c r="J8482" i="1"/>
  <c r="L8482" i="1"/>
  <c r="M8482" i="1"/>
  <c r="C8483" i="1"/>
  <c r="E8483" i="1"/>
  <c r="F8483" i="1"/>
  <c r="H8483" i="1"/>
  <c r="I8483" i="1"/>
  <c r="J8483" i="1"/>
  <c r="L8483" i="1"/>
  <c r="M8483" i="1"/>
  <c r="C8484" i="1"/>
  <c r="E8484" i="1"/>
  <c r="F8484" i="1"/>
  <c r="H8484" i="1"/>
  <c r="I8484" i="1"/>
  <c r="J8484" i="1"/>
  <c r="L8484" i="1"/>
  <c r="M8484" i="1"/>
  <c r="C8485" i="1"/>
  <c r="E8485" i="1"/>
  <c r="F8485" i="1"/>
  <c r="H8485" i="1"/>
  <c r="I8485" i="1"/>
  <c r="J8485" i="1"/>
  <c r="L8485" i="1"/>
  <c r="M8485" i="1"/>
  <c r="C8486" i="1"/>
  <c r="E8486" i="1"/>
  <c r="F8486" i="1"/>
  <c r="H8486" i="1"/>
  <c r="I8486" i="1"/>
  <c r="J8486" i="1"/>
  <c r="L8486" i="1"/>
  <c r="M8486" i="1"/>
  <c r="C8487" i="1"/>
  <c r="E8487" i="1"/>
  <c r="F8487" i="1"/>
  <c r="H8487" i="1"/>
  <c r="I8487" i="1"/>
  <c r="J8487" i="1"/>
  <c r="L8487" i="1"/>
  <c r="M8487" i="1"/>
  <c r="C8488" i="1"/>
  <c r="E8488" i="1"/>
  <c r="F8488" i="1"/>
  <c r="H8488" i="1"/>
  <c r="I8488" i="1"/>
  <c r="J8488" i="1"/>
  <c r="L8488" i="1"/>
  <c r="M8488" i="1"/>
  <c r="C8489" i="1"/>
  <c r="E8489" i="1"/>
  <c r="F8489" i="1"/>
  <c r="H8489" i="1"/>
  <c r="I8489" i="1"/>
  <c r="J8489" i="1"/>
  <c r="L8489" i="1"/>
  <c r="M8489" i="1"/>
  <c r="C8490" i="1"/>
  <c r="E8490" i="1"/>
  <c r="F8490" i="1"/>
  <c r="H8490" i="1"/>
  <c r="I8490" i="1"/>
  <c r="J8490" i="1"/>
  <c r="L8490" i="1"/>
  <c r="M8490" i="1"/>
  <c r="C8491" i="1"/>
  <c r="E8491" i="1"/>
  <c r="F8491" i="1"/>
  <c r="H8491" i="1"/>
  <c r="I8491" i="1"/>
  <c r="J8491" i="1"/>
  <c r="L8491" i="1"/>
  <c r="M8491" i="1"/>
  <c r="C8492" i="1"/>
  <c r="E8492" i="1"/>
  <c r="F8492" i="1"/>
  <c r="H8492" i="1"/>
  <c r="I8492" i="1"/>
  <c r="J8492" i="1"/>
  <c r="L8492" i="1"/>
  <c r="M8492" i="1"/>
  <c r="C8493" i="1"/>
  <c r="E8493" i="1"/>
  <c r="F8493" i="1"/>
  <c r="H8493" i="1"/>
  <c r="I8493" i="1"/>
  <c r="J8493" i="1"/>
  <c r="L8493" i="1"/>
  <c r="M8493" i="1"/>
  <c r="C8494" i="1"/>
  <c r="E8494" i="1"/>
  <c r="F8494" i="1"/>
  <c r="H8494" i="1"/>
  <c r="I8494" i="1"/>
  <c r="J8494" i="1"/>
  <c r="L8494" i="1"/>
  <c r="M8494" i="1"/>
  <c r="C8495" i="1"/>
  <c r="E8495" i="1"/>
  <c r="F8495" i="1"/>
  <c r="H8495" i="1"/>
  <c r="I8495" i="1"/>
  <c r="J8495" i="1"/>
  <c r="L8495" i="1"/>
  <c r="M8495" i="1"/>
  <c r="C8496" i="1"/>
  <c r="E8496" i="1"/>
  <c r="F8496" i="1"/>
  <c r="H8496" i="1"/>
  <c r="I8496" i="1"/>
  <c r="J8496" i="1"/>
  <c r="L8496" i="1"/>
  <c r="M8496" i="1"/>
  <c r="C8497" i="1"/>
  <c r="E8497" i="1"/>
  <c r="F8497" i="1"/>
  <c r="H8497" i="1"/>
  <c r="I8497" i="1"/>
  <c r="J8497" i="1"/>
  <c r="L8497" i="1"/>
  <c r="M8497" i="1"/>
  <c r="C8498" i="1"/>
  <c r="E8498" i="1"/>
  <c r="F8498" i="1"/>
  <c r="H8498" i="1"/>
  <c r="I8498" i="1"/>
  <c r="J8498" i="1"/>
  <c r="L8498" i="1"/>
  <c r="M8498" i="1"/>
  <c r="C8499" i="1"/>
  <c r="E8499" i="1"/>
  <c r="F8499" i="1"/>
  <c r="H8499" i="1"/>
  <c r="I8499" i="1"/>
  <c r="J8499" i="1"/>
  <c r="L8499" i="1"/>
  <c r="M8499" i="1"/>
  <c r="C8500" i="1"/>
  <c r="E8500" i="1"/>
  <c r="F8500" i="1"/>
  <c r="H8500" i="1"/>
  <c r="I8500" i="1"/>
  <c r="J8500" i="1"/>
  <c r="L8500" i="1"/>
  <c r="M8500" i="1"/>
  <c r="C8501" i="1"/>
  <c r="E8501" i="1"/>
  <c r="F8501" i="1"/>
  <c r="H8501" i="1"/>
  <c r="I8501" i="1"/>
  <c r="J8501" i="1"/>
  <c r="L8501" i="1"/>
  <c r="M8501" i="1"/>
  <c r="C8502" i="1"/>
  <c r="E8502" i="1"/>
  <c r="F8502" i="1"/>
  <c r="H8502" i="1"/>
  <c r="I8502" i="1"/>
  <c r="J8502" i="1"/>
  <c r="L8502" i="1"/>
  <c r="M8502" i="1"/>
  <c r="C8503" i="1"/>
  <c r="E8503" i="1"/>
  <c r="F8503" i="1"/>
  <c r="H8503" i="1"/>
  <c r="I8503" i="1"/>
  <c r="J8503" i="1"/>
  <c r="L8503" i="1"/>
  <c r="M8503" i="1"/>
  <c r="C8504" i="1"/>
  <c r="E8504" i="1"/>
  <c r="F8504" i="1"/>
  <c r="H8504" i="1"/>
  <c r="I8504" i="1"/>
  <c r="J8504" i="1"/>
  <c r="L8504" i="1"/>
  <c r="M8504" i="1"/>
  <c r="C8505" i="1"/>
  <c r="E8505" i="1"/>
  <c r="F8505" i="1"/>
  <c r="H8505" i="1"/>
  <c r="I8505" i="1"/>
  <c r="J8505" i="1"/>
  <c r="L8505" i="1"/>
  <c r="M8505" i="1"/>
  <c r="C8506" i="1"/>
  <c r="E8506" i="1"/>
  <c r="F8506" i="1"/>
  <c r="H8506" i="1"/>
  <c r="I8506" i="1"/>
  <c r="J8506" i="1"/>
  <c r="L8506" i="1"/>
  <c r="M8506" i="1"/>
  <c r="C8507" i="1"/>
  <c r="E8507" i="1"/>
  <c r="F8507" i="1"/>
  <c r="H8507" i="1"/>
  <c r="I8507" i="1"/>
  <c r="J8507" i="1"/>
  <c r="L8507" i="1"/>
  <c r="M8507" i="1"/>
  <c r="C8508" i="1"/>
  <c r="E8508" i="1"/>
  <c r="F8508" i="1"/>
  <c r="H8508" i="1"/>
  <c r="I8508" i="1"/>
  <c r="J8508" i="1"/>
  <c r="L8508" i="1"/>
  <c r="M8508" i="1"/>
  <c r="C8509" i="1"/>
  <c r="E8509" i="1"/>
  <c r="F8509" i="1"/>
  <c r="H8509" i="1"/>
  <c r="I8509" i="1"/>
  <c r="J8509" i="1"/>
  <c r="L8509" i="1"/>
  <c r="M8509" i="1"/>
  <c r="C8510" i="1"/>
  <c r="E8510" i="1"/>
  <c r="F8510" i="1"/>
  <c r="H8510" i="1"/>
  <c r="I8510" i="1"/>
  <c r="J8510" i="1"/>
  <c r="L8510" i="1"/>
  <c r="M8510" i="1"/>
  <c r="C8511" i="1"/>
  <c r="E8511" i="1"/>
  <c r="F8511" i="1"/>
  <c r="H8511" i="1"/>
  <c r="I8511" i="1"/>
  <c r="J8511" i="1"/>
  <c r="L8511" i="1"/>
  <c r="M8511" i="1"/>
  <c r="C8512" i="1"/>
  <c r="E8512" i="1"/>
  <c r="F8512" i="1"/>
  <c r="H8512" i="1"/>
  <c r="I8512" i="1"/>
  <c r="J8512" i="1"/>
  <c r="L8512" i="1"/>
  <c r="M8512" i="1"/>
  <c r="C8513" i="1"/>
  <c r="E8513" i="1"/>
  <c r="F8513" i="1"/>
  <c r="H8513" i="1"/>
  <c r="I8513" i="1"/>
  <c r="J8513" i="1"/>
  <c r="L8513" i="1"/>
  <c r="M8513" i="1"/>
  <c r="C8514" i="1"/>
  <c r="E8514" i="1"/>
  <c r="F8514" i="1"/>
  <c r="H8514" i="1"/>
  <c r="I8514" i="1"/>
  <c r="J8514" i="1"/>
  <c r="L8514" i="1"/>
  <c r="M8514" i="1"/>
  <c r="C8515" i="1"/>
  <c r="E8515" i="1"/>
  <c r="F8515" i="1"/>
  <c r="H8515" i="1"/>
  <c r="I8515" i="1"/>
  <c r="J8515" i="1"/>
  <c r="L8515" i="1"/>
  <c r="M8515" i="1"/>
  <c r="C8516" i="1"/>
  <c r="E8516" i="1"/>
  <c r="F8516" i="1"/>
  <c r="H8516" i="1"/>
  <c r="I8516" i="1"/>
  <c r="J8516" i="1"/>
  <c r="L8516" i="1"/>
  <c r="M8516" i="1"/>
  <c r="C8517" i="1"/>
  <c r="E8517" i="1"/>
  <c r="F8517" i="1"/>
  <c r="H8517" i="1"/>
  <c r="I8517" i="1"/>
  <c r="J8517" i="1"/>
  <c r="L8517" i="1"/>
  <c r="M8517" i="1"/>
  <c r="C8518" i="1"/>
  <c r="E8518" i="1"/>
  <c r="F8518" i="1"/>
  <c r="H8518" i="1"/>
  <c r="I8518" i="1"/>
  <c r="J8518" i="1"/>
  <c r="L8518" i="1"/>
  <c r="M8518" i="1"/>
  <c r="C8519" i="1"/>
  <c r="E8519" i="1"/>
  <c r="F8519" i="1"/>
  <c r="H8519" i="1"/>
  <c r="I8519" i="1"/>
  <c r="J8519" i="1"/>
  <c r="L8519" i="1"/>
  <c r="M8519" i="1"/>
  <c r="C8520" i="1"/>
  <c r="E8520" i="1"/>
  <c r="F8520" i="1"/>
  <c r="H8520" i="1"/>
  <c r="I8520" i="1"/>
  <c r="J8520" i="1"/>
  <c r="L8520" i="1"/>
  <c r="M8520" i="1"/>
  <c r="C8521" i="1"/>
  <c r="E8521" i="1"/>
  <c r="F8521" i="1"/>
  <c r="H8521" i="1"/>
  <c r="I8521" i="1"/>
  <c r="J8521" i="1"/>
  <c r="L8521" i="1"/>
  <c r="M8521" i="1"/>
  <c r="C8522" i="1"/>
  <c r="E8522" i="1"/>
  <c r="F8522" i="1"/>
  <c r="H8522" i="1"/>
  <c r="I8522" i="1"/>
  <c r="J8522" i="1"/>
  <c r="L8522" i="1"/>
  <c r="M8522" i="1"/>
  <c r="C8523" i="1"/>
  <c r="E8523" i="1"/>
  <c r="F8523" i="1"/>
  <c r="H8523" i="1"/>
  <c r="I8523" i="1"/>
  <c r="J8523" i="1"/>
  <c r="L8523" i="1"/>
  <c r="M8523" i="1"/>
  <c r="C8524" i="1"/>
  <c r="E8524" i="1"/>
  <c r="F8524" i="1"/>
  <c r="H8524" i="1"/>
  <c r="I8524" i="1"/>
  <c r="J8524" i="1"/>
  <c r="L8524" i="1"/>
  <c r="M8524" i="1"/>
  <c r="C8525" i="1"/>
  <c r="E8525" i="1"/>
  <c r="F8525" i="1"/>
  <c r="H8525" i="1"/>
  <c r="I8525" i="1"/>
  <c r="J8525" i="1"/>
  <c r="L8525" i="1"/>
  <c r="M8525" i="1"/>
  <c r="C8526" i="1"/>
  <c r="E8526" i="1"/>
  <c r="F8526" i="1"/>
  <c r="H8526" i="1"/>
  <c r="I8526" i="1"/>
  <c r="J8526" i="1"/>
  <c r="L8526" i="1"/>
  <c r="M8526" i="1"/>
  <c r="C8527" i="1"/>
  <c r="E8527" i="1"/>
  <c r="F8527" i="1"/>
  <c r="H8527" i="1"/>
  <c r="I8527" i="1"/>
  <c r="J8527" i="1"/>
  <c r="L8527" i="1"/>
  <c r="M8527" i="1"/>
  <c r="C8528" i="1"/>
  <c r="E8528" i="1"/>
  <c r="F8528" i="1"/>
  <c r="H8528" i="1"/>
  <c r="I8528" i="1"/>
  <c r="J8528" i="1"/>
  <c r="L8528" i="1"/>
  <c r="M8528" i="1"/>
  <c r="C8529" i="1"/>
  <c r="E8529" i="1"/>
  <c r="F8529" i="1"/>
  <c r="H8529" i="1"/>
  <c r="I8529" i="1"/>
  <c r="J8529" i="1"/>
  <c r="L8529" i="1"/>
  <c r="M8529" i="1"/>
  <c r="C8530" i="1"/>
  <c r="E8530" i="1"/>
  <c r="F8530" i="1"/>
  <c r="H8530" i="1"/>
  <c r="I8530" i="1"/>
  <c r="J8530" i="1"/>
  <c r="L8530" i="1"/>
  <c r="M8530" i="1"/>
  <c r="C8531" i="1"/>
  <c r="E8531" i="1"/>
  <c r="F8531" i="1"/>
  <c r="H8531" i="1"/>
  <c r="I8531" i="1"/>
  <c r="J8531" i="1"/>
  <c r="L8531" i="1"/>
  <c r="M8531" i="1"/>
  <c r="C8532" i="1"/>
  <c r="E8532" i="1"/>
  <c r="F8532" i="1"/>
  <c r="H8532" i="1"/>
  <c r="I8532" i="1"/>
  <c r="J8532" i="1"/>
  <c r="L8532" i="1"/>
  <c r="M8532" i="1"/>
  <c r="C8533" i="1"/>
  <c r="E8533" i="1"/>
  <c r="F8533" i="1"/>
  <c r="H8533" i="1"/>
  <c r="I8533" i="1"/>
  <c r="J8533" i="1"/>
  <c r="L8533" i="1"/>
  <c r="M8533" i="1"/>
  <c r="C8534" i="1"/>
  <c r="E8534" i="1"/>
  <c r="F8534" i="1"/>
  <c r="H8534" i="1"/>
  <c r="I8534" i="1"/>
  <c r="J8534" i="1"/>
  <c r="L8534" i="1"/>
  <c r="M8534" i="1"/>
  <c r="C8535" i="1"/>
  <c r="E8535" i="1"/>
  <c r="F8535" i="1"/>
  <c r="H8535" i="1"/>
  <c r="I8535" i="1"/>
  <c r="J8535" i="1"/>
  <c r="L8535" i="1"/>
  <c r="M8535" i="1"/>
  <c r="C8536" i="1"/>
  <c r="E8536" i="1"/>
  <c r="F8536" i="1"/>
  <c r="H8536" i="1"/>
  <c r="I8536" i="1"/>
  <c r="J8536" i="1"/>
  <c r="L8536" i="1"/>
  <c r="M8536" i="1"/>
  <c r="C8537" i="1"/>
  <c r="E8537" i="1"/>
  <c r="F8537" i="1"/>
  <c r="H8537" i="1"/>
  <c r="I8537" i="1"/>
  <c r="J8537" i="1"/>
  <c r="L8537" i="1"/>
  <c r="M8537" i="1"/>
  <c r="C8538" i="1"/>
  <c r="E8538" i="1"/>
  <c r="F8538" i="1"/>
  <c r="H8538" i="1"/>
  <c r="I8538" i="1"/>
  <c r="J8538" i="1"/>
  <c r="L8538" i="1"/>
  <c r="M8538" i="1"/>
  <c r="C8539" i="1"/>
  <c r="E8539" i="1"/>
  <c r="F8539" i="1"/>
  <c r="H8539" i="1"/>
  <c r="I8539" i="1"/>
  <c r="J8539" i="1"/>
  <c r="L8539" i="1"/>
  <c r="M8539" i="1"/>
  <c r="C8540" i="1"/>
  <c r="E8540" i="1"/>
  <c r="F8540" i="1"/>
  <c r="H8540" i="1"/>
  <c r="I8540" i="1"/>
  <c r="J8540" i="1"/>
  <c r="L8540" i="1"/>
  <c r="M8540" i="1"/>
  <c r="C8541" i="1"/>
  <c r="E8541" i="1"/>
  <c r="F8541" i="1"/>
  <c r="H8541" i="1"/>
  <c r="I8541" i="1"/>
  <c r="J8541" i="1"/>
  <c r="L8541" i="1"/>
  <c r="M8541" i="1"/>
  <c r="C8542" i="1"/>
  <c r="E8542" i="1"/>
  <c r="F8542" i="1"/>
  <c r="H8542" i="1"/>
  <c r="I8542" i="1"/>
  <c r="J8542" i="1"/>
  <c r="L8542" i="1"/>
  <c r="M8542" i="1"/>
  <c r="C8543" i="1"/>
  <c r="E8543" i="1"/>
  <c r="F8543" i="1"/>
  <c r="H8543" i="1"/>
  <c r="I8543" i="1"/>
  <c r="J8543" i="1"/>
  <c r="L8543" i="1"/>
  <c r="M8543" i="1"/>
  <c r="C8544" i="1"/>
  <c r="E8544" i="1"/>
  <c r="F8544" i="1"/>
  <c r="H8544" i="1"/>
  <c r="I8544" i="1"/>
  <c r="J8544" i="1"/>
  <c r="L8544" i="1"/>
  <c r="M8544" i="1"/>
  <c r="C8545" i="1"/>
  <c r="E8545" i="1"/>
  <c r="F8545" i="1"/>
  <c r="H8545" i="1"/>
  <c r="I8545" i="1"/>
  <c r="J8545" i="1"/>
  <c r="L8545" i="1"/>
  <c r="M8545" i="1"/>
  <c r="C8546" i="1"/>
  <c r="E8546" i="1"/>
  <c r="F8546" i="1"/>
  <c r="H8546" i="1"/>
  <c r="I8546" i="1"/>
  <c r="J8546" i="1"/>
  <c r="L8546" i="1"/>
  <c r="M8546" i="1"/>
  <c r="C8547" i="1"/>
  <c r="E8547" i="1"/>
  <c r="F8547" i="1"/>
  <c r="H8547" i="1"/>
  <c r="I8547" i="1"/>
  <c r="J8547" i="1"/>
  <c r="L8547" i="1"/>
  <c r="M8547" i="1"/>
  <c r="C8548" i="1"/>
  <c r="E8548" i="1"/>
  <c r="F8548" i="1"/>
  <c r="H8548" i="1"/>
  <c r="I8548" i="1"/>
  <c r="J8548" i="1"/>
  <c r="L8548" i="1"/>
  <c r="M8548" i="1"/>
  <c r="C8549" i="1"/>
  <c r="E8549" i="1"/>
  <c r="F8549" i="1"/>
  <c r="H8549" i="1"/>
  <c r="I8549" i="1"/>
  <c r="J8549" i="1"/>
  <c r="L8549" i="1"/>
  <c r="M8549" i="1"/>
  <c r="C8550" i="1"/>
  <c r="E8550" i="1"/>
  <c r="F8550" i="1"/>
  <c r="H8550" i="1"/>
  <c r="I8550" i="1"/>
  <c r="J8550" i="1"/>
  <c r="L8550" i="1"/>
  <c r="M8550" i="1"/>
  <c r="C8551" i="1"/>
  <c r="E8551" i="1"/>
  <c r="F8551" i="1"/>
  <c r="H8551" i="1"/>
  <c r="I8551" i="1"/>
  <c r="J8551" i="1"/>
  <c r="L8551" i="1"/>
  <c r="M8551" i="1"/>
  <c r="C8552" i="1"/>
  <c r="E8552" i="1"/>
  <c r="F8552" i="1"/>
  <c r="H8552" i="1"/>
  <c r="I8552" i="1"/>
  <c r="J8552" i="1"/>
  <c r="L8552" i="1"/>
  <c r="M8552" i="1"/>
  <c r="C8553" i="1"/>
  <c r="E8553" i="1"/>
  <c r="F8553" i="1"/>
  <c r="H8553" i="1"/>
  <c r="I8553" i="1"/>
  <c r="J8553" i="1"/>
  <c r="L8553" i="1"/>
  <c r="M8553" i="1"/>
  <c r="C8554" i="1"/>
  <c r="E8554" i="1"/>
  <c r="F8554" i="1"/>
  <c r="H8554" i="1"/>
  <c r="I8554" i="1"/>
  <c r="J8554" i="1"/>
  <c r="L8554" i="1"/>
  <c r="M8554" i="1"/>
  <c r="C8555" i="1"/>
  <c r="E8555" i="1"/>
  <c r="F8555" i="1"/>
  <c r="H8555" i="1"/>
  <c r="I8555" i="1"/>
  <c r="J8555" i="1"/>
  <c r="L8555" i="1"/>
  <c r="M8555" i="1"/>
  <c r="C8556" i="1"/>
  <c r="E8556" i="1"/>
  <c r="F8556" i="1"/>
  <c r="H8556" i="1"/>
  <c r="I8556" i="1"/>
  <c r="J8556" i="1"/>
  <c r="L8556" i="1"/>
  <c r="M8556" i="1"/>
  <c r="C8557" i="1"/>
  <c r="E8557" i="1"/>
  <c r="F8557" i="1"/>
  <c r="H8557" i="1"/>
  <c r="I8557" i="1"/>
  <c r="J8557" i="1"/>
  <c r="L8557" i="1"/>
  <c r="M8557" i="1"/>
  <c r="C8558" i="1"/>
  <c r="E8558" i="1"/>
  <c r="F8558" i="1"/>
  <c r="H8558" i="1"/>
  <c r="I8558" i="1"/>
  <c r="J8558" i="1"/>
  <c r="L8558" i="1"/>
  <c r="M8558" i="1"/>
  <c r="C8559" i="1"/>
  <c r="E8559" i="1"/>
  <c r="F8559" i="1"/>
  <c r="H8559" i="1"/>
  <c r="I8559" i="1"/>
  <c r="J8559" i="1"/>
  <c r="L8559" i="1"/>
  <c r="M8559" i="1"/>
  <c r="C8560" i="1"/>
  <c r="E8560" i="1"/>
  <c r="F8560" i="1"/>
  <c r="H8560" i="1"/>
  <c r="I8560" i="1"/>
  <c r="J8560" i="1"/>
  <c r="L8560" i="1"/>
  <c r="M8560" i="1"/>
  <c r="C8561" i="1"/>
  <c r="E8561" i="1"/>
  <c r="F8561" i="1"/>
  <c r="H8561" i="1"/>
  <c r="I8561" i="1"/>
  <c r="J8561" i="1"/>
  <c r="L8561" i="1"/>
  <c r="M8561" i="1"/>
  <c r="C8562" i="1"/>
  <c r="E8562" i="1"/>
  <c r="F8562" i="1"/>
  <c r="H8562" i="1"/>
  <c r="I8562" i="1"/>
  <c r="J8562" i="1"/>
  <c r="L8562" i="1"/>
  <c r="M8562" i="1"/>
  <c r="C8563" i="1"/>
  <c r="E8563" i="1"/>
  <c r="F8563" i="1"/>
  <c r="H8563" i="1"/>
  <c r="I8563" i="1"/>
  <c r="J8563" i="1"/>
  <c r="L8563" i="1"/>
  <c r="M8563" i="1"/>
  <c r="C8564" i="1"/>
  <c r="E8564" i="1"/>
  <c r="F8564" i="1"/>
  <c r="H8564" i="1"/>
  <c r="I8564" i="1"/>
  <c r="J8564" i="1"/>
  <c r="L8564" i="1"/>
  <c r="M8564" i="1"/>
  <c r="C8565" i="1"/>
  <c r="E8565" i="1"/>
  <c r="F8565" i="1"/>
  <c r="H8565" i="1"/>
  <c r="I8565" i="1"/>
  <c r="J8565" i="1"/>
  <c r="L8565" i="1"/>
  <c r="M8565" i="1"/>
  <c r="C8566" i="1"/>
  <c r="E8566" i="1"/>
  <c r="F8566" i="1"/>
  <c r="H8566" i="1"/>
  <c r="I8566" i="1"/>
  <c r="J8566" i="1"/>
  <c r="L8566" i="1"/>
  <c r="M8566" i="1"/>
  <c r="C8567" i="1"/>
  <c r="E8567" i="1"/>
  <c r="F8567" i="1"/>
  <c r="H8567" i="1"/>
  <c r="I8567" i="1"/>
  <c r="J8567" i="1"/>
  <c r="L8567" i="1"/>
  <c r="M8567" i="1"/>
  <c r="C8568" i="1"/>
  <c r="E8568" i="1"/>
  <c r="F8568" i="1"/>
  <c r="H8568" i="1"/>
  <c r="I8568" i="1"/>
  <c r="J8568" i="1"/>
  <c r="L8568" i="1"/>
  <c r="M8568" i="1"/>
  <c r="C8569" i="1"/>
  <c r="E8569" i="1"/>
  <c r="F8569" i="1"/>
  <c r="H8569" i="1"/>
  <c r="I8569" i="1"/>
  <c r="J8569" i="1"/>
  <c r="L8569" i="1"/>
  <c r="M8569" i="1"/>
  <c r="C8570" i="1"/>
  <c r="E8570" i="1"/>
  <c r="F8570" i="1"/>
  <c r="H8570" i="1"/>
  <c r="I8570" i="1"/>
  <c r="J8570" i="1"/>
  <c r="L8570" i="1"/>
  <c r="M8570" i="1"/>
  <c r="C8571" i="1"/>
  <c r="E8571" i="1"/>
  <c r="F8571" i="1"/>
  <c r="H8571" i="1"/>
  <c r="I8571" i="1"/>
  <c r="J8571" i="1"/>
  <c r="L8571" i="1"/>
  <c r="M8571" i="1"/>
  <c r="C8572" i="1"/>
  <c r="E8572" i="1"/>
  <c r="F8572" i="1"/>
  <c r="H8572" i="1"/>
  <c r="I8572" i="1"/>
  <c r="J8572" i="1"/>
  <c r="L8572" i="1"/>
  <c r="M8572" i="1"/>
  <c r="C8573" i="1"/>
  <c r="E8573" i="1"/>
  <c r="F8573" i="1"/>
  <c r="H8573" i="1"/>
  <c r="I8573" i="1"/>
  <c r="J8573" i="1"/>
  <c r="L8573" i="1"/>
  <c r="M8573" i="1"/>
  <c r="C8574" i="1"/>
  <c r="E8574" i="1"/>
  <c r="F8574" i="1"/>
  <c r="H8574" i="1"/>
  <c r="I8574" i="1"/>
  <c r="J8574" i="1"/>
  <c r="L8574" i="1"/>
  <c r="M8574" i="1"/>
  <c r="C8575" i="1"/>
  <c r="E8575" i="1"/>
  <c r="F8575" i="1"/>
  <c r="H8575" i="1"/>
  <c r="I8575" i="1"/>
  <c r="J8575" i="1"/>
  <c r="L8575" i="1"/>
  <c r="M8575" i="1"/>
  <c r="C8576" i="1"/>
  <c r="E8576" i="1"/>
  <c r="F8576" i="1"/>
  <c r="H8576" i="1"/>
  <c r="I8576" i="1"/>
  <c r="J8576" i="1"/>
  <c r="L8576" i="1"/>
  <c r="M8576" i="1"/>
  <c r="C8577" i="1"/>
  <c r="E8577" i="1"/>
  <c r="F8577" i="1"/>
  <c r="H8577" i="1"/>
  <c r="I8577" i="1"/>
  <c r="J8577" i="1"/>
  <c r="L8577" i="1"/>
  <c r="M8577" i="1"/>
  <c r="C8578" i="1"/>
  <c r="E8578" i="1"/>
  <c r="F8578" i="1"/>
  <c r="H8578" i="1"/>
  <c r="I8578" i="1"/>
  <c r="J8578" i="1"/>
  <c r="L8578" i="1"/>
  <c r="M8578" i="1"/>
  <c r="C8579" i="1"/>
  <c r="E8579" i="1"/>
  <c r="F8579" i="1"/>
  <c r="H8579" i="1"/>
  <c r="I8579" i="1"/>
  <c r="J8579" i="1"/>
  <c r="L8579" i="1"/>
  <c r="M8579" i="1"/>
  <c r="C8580" i="1"/>
  <c r="E8580" i="1"/>
  <c r="F8580" i="1"/>
  <c r="H8580" i="1"/>
  <c r="I8580" i="1"/>
  <c r="J8580" i="1"/>
  <c r="L8580" i="1"/>
  <c r="M8580" i="1"/>
  <c r="C8581" i="1"/>
  <c r="E8581" i="1"/>
  <c r="F8581" i="1"/>
  <c r="H8581" i="1"/>
  <c r="I8581" i="1"/>
  <c r="J8581" i="1"/>
  <c r="L8581" i="1"/>
  <c r="M8581" i="1"/>
  <c r="C8582" i="1"/>
  <c r="E8582" i="1"/>
  <c r="F8582" i="1"/>
  <c r="H8582" i="1"/>
  <c r="I8582" i="1"/>
  <c r="J8582" i="1"/>
  <c r="L8582" i="1"/>
  <c r="M8582" i="1"/>
  <c r="C8583" i="1"/>
  <c r="E8583" i="1"/>
  <c r="F8583" i="1"/>
  <c r="H8583" i="1"/>
  <c r="I8583" i="1"/>
  <c r="J8583" i="1"/>
  <c r="L8583" i="1"/>
  <c r="M8583" i="1"/>
  <c r="C8584" i="1"/>
  <c r="E8584" i="1"/>
  <c r="F8584" i="1"/>
  <c r="H8584" i="1"/>
  <c r="I8584" i="1"/>
  <c r="J8584" i="1"/>
  <c r="L8584" i="1"/>
  <c r="M8584" i="1"/>
  <c r="C8585" i="1"/>
  <c r="E8585" i="1"/>
  <c r="F8585" i="1"/>
  <c r="H8585" i="1"/>
  <c r="I8585" i="1"/>
  <c r="J8585" i="1"/>
  <c r="L8585" i="1"/>
  <c r="M8585" i="1"/>
  <c r="C8586" i="1"/>
  <c r="E8586" i="1"/>
  <c r="F8586" i="1"/>
  <c r="H8586" i="1"/>
  <c r="I8586" i="1"/>
  <c r="J8586" i="1"/>
  <c r="L8586" i="1"/>
  <c r="M8586" i="1"/>
  <c r="C8587" i="1"/>
  <c r="E8587" i="1"/>
  <c r="F8587" i="1"/>
  <c r="H8587" i="1"/>
  <c r="I8587" i="1"/>
  <c r="J8587" i="1"/>
  <c r="L8587" i="1"/>
  <c r="M8587" i="1"/>
  <c r="C8588" i="1"/>
  <c r="E8588" i="1"/>
  <c r="F8588" i="1"/>
  <c r="H8588" i="1"/>
  <c r="I8588" i="1"/>
  <c r="J8588" i="1"/>
  <c r="L8588" i="1"/>
  <c r="M8588" i="1"/>
  <c r="C8589" i="1"/>
  <c r="E8589" i="1"/>
  <c r="F8589" i="1"/>
  <c r="H8589" i="1"/>
  <c r="I8589" i="1"/>
  <c r="J8589" i="1"/>
  <c r="L8589" i="1"/>
  <c r="M8589" i="1"/>
  <c r="C8590" i="1"/>
  <c r="E8590" i="1"/>
  <c r="F8590" i="1"/>
  <c r="H8590" i="1"/>
  <c r="I8590" i="1"/>
  <c r="J8590" i="1"/>
  <c r="L8590" i="1"/>
  <c r="M8590" i="1"/>
  <c r="C8591" i="1"/>
  <c r="E8591" i="1"/>
  <c r="F8591" i="1"/>
  <c r="H8591" i="1"/>
  <c r="I8591" i="1"/>
  <c r="J8591" i="1"/>
  <c r="L8591" i="1"/>
  <c r="M8591" i="1"/>
  <c r="C8592" i="1"/>
  <c r="E8592" i="1"/>
  <c r="F8592" i="1"/>
  <c r="H8592" i="1"/>
  <c r="I8592" i="1"/>
  <c r="J8592" i="1"/>
  <c r="L8592" i="1"/>
  <c r="M8592" i="1"/>
  <c r="C8593" i="1"/>
  <c r="E8593" i="1"/>
  <c r="F8593" i="1"/>
  <c r="H8593" i="1"/>
  <c r="I8593" i="1"/>
  <c r="J8593" i="1"/>
  <c r="L8593" i="1"/>
  <c r="M8593" i="1"/>
  <c r="C8594" i="1"/>
  <c r="E8594" i="1"/>
  <c r="F8594" i="1"/>
  <c r="H8594" i="1"/>
  <c r="I8594" i="1"/>
  <c r="J8594" i="1"/>
  <c r="L8594" i="1"/>
  <c r="M8594" i="1"/>
  <c r="C8595" i="1"/>
  <c r="E8595" i="1"/>
  <c r="F8595" i="1"/>
  <c r="H8595" i="1"/>
  <c r="I8595" i="1"/>
  <c r="J8595" i="1"/>
  <c r="L8595" i="1"/>
  <c r="M8595" i="1"/>
  <c r="C8596" i="1"/>
  <c r="E8596" i="1"/>
  <c r="F8596" i="1"/>
  <c r="H8596" i="1"/>
  <c r="I8596" i="1"/>
  <c r="J8596" i="1"/>
  <c r="L8596" i="1"/>
  <c r="M8596" i="1"/>
  <c r="C8597" i="1"/>
  <c r="E8597" i="1"/>
  <c r="F8597" i="1"/>
  <c r="H8597" i="1"/>
  <c r="I8597" i="1"/>
  <c r="J8597" i="1"/>
  <c r="L8597" i="1"/>
  <c r="M8597" i="1"/>
  <c r="C8598" i="1"/>
  <c r="E8598" i="1"/>
  <c r="F8598" i="1"/>
  <c r="H8598" i="1"/>
  <c r="I8598" i="1"/>
  <c r="J8598" i="1"/>
  <c r="L8598" i="1"/>
  <c r="M8598" i="1"/>
  <c r="C8599" i="1"/>
  <c r="E8599" i="1"/>
  <c r="F8599" i="1"/>
  <c r="H8599" i="1"/>
  <c r="I8599" i="1"/>
  <c r="J8599" i="1"/>
  <c r="L8599" i="1"/>
  <c r="M8599" i="1"/>
  <c r="C8600" i="1"/>
  <c r="E8600" i="1"/>
  <c r="F8600" i="1"/>
  <c r="H8600" i="1"/>
  <c r="I8600" i="1"/>
  <c r="J8600" i="1"/>
  <c r="L8600" i="1"/>
  <c r="M8600" i="1"/>
  <c r="C8601" i="1"/>
  <c r="E8601" i="1"/>
  <c r="F8601" i="1"/>
  <c r="H8601" i="1"/>
  <c r="I8601" i="1"/>
  <c r="J8601" i="1"/>
  <c r="L8601" i="1"/>
  <c r="M8601" i="1"/>
  <c r="C8602" i="1"/>
  <c r="E8602" i="1"/>
  <c r="F8602" i="1"/>
  <c r="H8602" i="1"/>
  <c r="I8602" i="1"/>
  <c r="J8602" i="1"/>
  <c r="L8602" i="1"/>
  <c r="M8602" i="1"/>
  <c r="C8603" i="1"/>
  <c r="E8603" i="1"/>
  <c r="F8603" i="1"/>
  <c r="H8603" i="1"/>
  <c r="I8603" i="1"/>
  <c r="J8603" i="1"/>
  <c r="L8603" i="1"/>
  <c r="M8603" i="1"/>
  <c r="C8604" i="1"/>
  <c r="E8604" i="1"/>
  <c r="F8604" i="1"/>
  <c r="H8604" i="1"/>
  <c r="I8604" i="1"/>
  <c r="J8604" i="1"/>
  <c r="L8604" i="1"/>
  <c r="M8604" i="1"/>
  <c r="C8605" i="1"/>
  <c r="E8605" i="1"/>
  <c r="F8605" i="1"/>
  <c r="H8605" i="1"/>
  <c r="I8605" i="1"/>
  <c r="J8605" i="1"/>
  <c r="L8605" i="1"/>
  <c r="M8605" i="1"/>
  <c r="C8606" i="1"/>
  <c r="E8606" i="1"/>
  <c r="F8606" i="1"/>
  <c r="H8606" i="1"/>
  <c r="I8606" i="1"/>
  <c r="J8606" i="1"/>
  <c r="L8606" i="1"/>
  <c r="M8606" i="1"/>
  <c r="C8607" i="1"/>
  <c r="E8607" i="1"/>
  <c r="F8607" i="1"/>
  <c r="H8607" i="1"/>
  <c r="I8607" i="1"/>
  <c r="J8607" i="1"/>
  <c r="L8607" i="1"/>
  <c r="M8607" i="1"/>
  <c r="C8608" i="1"/>
  <c r="E8608" i="1"/>
  <c r="F8608" i="1"/>
  <c r="H8608" i="1"/>
  <c r="I8608" i="1"/>
  <c r="J8608" i="1"/>
  <c r="L8608" i="1"/>
  <c r="M8608" i="1"/>
  <c r="C8609" i="1"/>
  <c r="E8609" i="1"/>
  <c r="F8609" i="1"/>
  <c r="H8609" i="1"/>
  <c r="I8609" i="1"/>
  <c r="J8609" i="1"/>
  <c r="L8609" i="1"/>
  <c r="M8609" i="1"/>
  <c r="C8610" i="1"/>
  <c r="E8610" i="1"/>
  <c r="F8610" i="1"/>
  <c r="H8610" i="1"/>
  <c r="I8610" i="1"/>
  <c r="J8610" i="1"/>
  <c r="L8610" i="1"/>
  <c r="M8610" i="1"/>
  <c r="C8611" i="1"/>
  <c r="E8611" i="1"/>
  <c r="F8611" i="1"/>
  <c r="H8611" i="1"/>
  <c r="I8611" i="1"/>
  <c r="J8611" i="1"/>
  <c r="L8611" i="1"/>
  <c r="M8611" i="1"/>
  <c r="C8612" i="1"/>
  <c r="E8612" i="1"/>
  <c r="F8612" i="1"/>
  <c r="H8612" i="1"/>
  <c r="I8612" i="1"/>
  <c r="J8612" i="1"/>
  <c r="L8612" i="1"/>
  <c r="M8612" i="1"/>
  <c r="C8613" i="1"/>
  <c r="E8613" i="1"/>
  <c r="F8613" i="1"/>
  <c r="H8613" i="1"/>
  <c r="I8613" i="1"/>
  <c r="J8613" i="1"/>
  <c r="L8613" i="1"/>
  <c r="M8613" i="1"/>
  <c r="C8614" i="1"/>
  <c r="E8614" i="1"/>
  <c r="F8614" i="1"/>
  <c r="H8614" i="1"/>
  <c r="I8614" i="1"/>
  <c r="J8614" i="1"/>
  <c r="L8614" i="1"/>
  <c r="M8614" i="1"/>
  <c r="C8615" i="1"/>
  <c r="E8615" i="1"/>
  <c r="F8615" i="1"/>
  <c r="H8615" i="1"/>
  <c r="I8615" i="1"/>
  <c r="J8615" i="1"/>
  <c r="L8615" i="1"/>
  <c r="M8615" i="1"/>
  <c r="C8616" i="1"/>
  <c r="E8616" i="1"/>
  <c r="F8616" i="1"/>
  <c r="H8616" i="1"/>
  <c r="I8616" i="1"/>
  <c r="J8616" i="1"/>
  <c r="L8616" i="1"/>
  <c r="M8616" i="1"/>
  <c r="C8617" i="1"/>
  <c r="E8617" i="1"/>
  <c r="F8617" i="1"/>
  <c r="H8617" i="1"/>
  <c r="I8617" i="1"/>
  <c r="J8617" i="1"/>
  <c r="L8617" i="1"/>
  <c r="M8617" i="1"/>
  <c r="C8618" i="1"/>
  <c r="E8618" i="1"/>
  <c r="F8618" i="1"/>
  <c r="H8618" i="1"/>
  <c r="I8618" i="1"/>
  <c r="J8618" i="1"/>
  <c r="L8618" i="1"/>
  <c r="M8618" i="1"/>
  <c r="C8619" i="1"/>
  <c r="E8619" i="1"/>
  <c r="F8619" i="1"/>
  <c r="H8619" i="1"/>
  <c r="I8619" i="1"/>
  <c r="J8619" i="1"/>
  <c r="L8619" i="1"/>
  <c r="M8619" i="1"/>
  <c r="C8620" i="1"/>
  <c r="E8620" i="1"/>
  <c r="F8620" i="1"/>
  <c r="H8620" i="1"/>
  <c r="I8620" i="1"/>
  <c r="J8620" i="1"/>
  <c r="L8620" i="1"/>
  <c r="M8620" i="1"/>
  <c r="C8621" i="1"/>
  <c r="E8621" i="1"/>
  <c r="F8621" i="1"/>
  <c r="H8621" i="1"/>
  <c r="I8621" i="1"/>
  <c r="J8621" i="1"/>
  <c r="L8621" i="1"/>
  <c r="M8621" i="1"/>
  <c r="C8622" i="1"/>
  <c r="E8622" i="1"/>
  <c r="F8622" i="1"/>
  <c r="H8622" i="1"/>
  <c r="I8622" i="1"/>
  <c r="J8622" i="1"/>
  <c r="L8622" i="1"/>
  <c r="M8622" i="1"/>
  <c r="C8623" i="1"/>
  <c r="E8623" i="1"/>
  <c r="F8623" i="1"/>
  <c r="H8623" i="1"/>
  <c r="I8623" i="1"/>
  <c r="J8623" i="1"/>
  <c r="L8623" i="1"/>
  <c r="M8623" i="1"/>
  <c r="C8624" i="1"/>
  <c r="E8624" i="1"/>
  <c r="F8624" i="1"/>
  <c r="H8624" i="1"/>
  <c r="I8624" i="1"/>
  <c r="J8624" i="1"/>
  <c r="L8624" i="1"/>
  <c r="M8624" i="1"/>
  <c r="C8625" i="1"/>
  <c r="E8625" i="1"/>
  <c r="F8625" i="1"/>
  <c r="H8625" i="1"/>
  <c r="I8625" i="1"/>
  <c r="J8625" i="1"/>
  <c r="L8625" i="1"/>
  <c r="M8625" i="1"/>
  <c r="C8626" i="1"/>
  <c r="E8626" i="1"/>
  <c r="F8626" i="1"/>
  <c r="H8626" i="1"/>
  <c r="I8626" i="1"/>
  <c r="J8626" i="1"/>
  <c r="L8626" i="1"/>
  <c r="M8626" i="1"/>
  <c r="C8627" i="1"/>
  <c r="E8627" i="1"/>
  <c r="F8627" i="1"/>
  <c r="H8627" i="1"/>
  <c r="I8627" i="1"/>
  <c r="J8627" i="1"/>
  <c r="L8627" i="1"/>
  <c r="M8627" i="1"/>
  <c r="C8628" i="1"/>
  <c r="E8628" i="1"/>
  <c r="F8628" i="1"/>
  <c r="H8628" i="1"/>
  <c r="I8628" i="1"/>
  <c r="J8628" i="1"/>
  <c r="L8628" i="1"/>
  <c r="M8628" i="1"/>
  <c r="C8629" i="1"/>
  <c r="E8629" i="1"/>
  <c r="F8629" i="1"/>
  <c r="H8629" i="1"/>
  <c r="I8629" i="1"/>
  <c r="J8629" i="1"/>
  <c r="L8629" i="1"/>
  <c r="M8629" i="1"/>
  <c r="C8630" i="1"/>
  <c r="E8630" i="1"/>
  <c r="F8630" i="1"/>
  <c r="H8630" i="1"/>
  <c r="I8630" i="1"/>
  <c r="J8630" i="1"/>
  <c r="L8630" i="1"/>
  <c r="M8630" i="1"/>
  <c r="C8631" i="1"/>
  <c r="E8631" i="1"/>
  <c r="F8631" i="1"/>
  <c r="H8631" i="1"/>
  <c r="I8631" i="1"/>
  <c r="J8631" i="1"/>
  <c r="L8631" i="1"/>
  <c r="M8631" i="1"/>
  <c r="C8632" i="1"/>
  <c r="E8632" i="1"/>
  <c r="F8632" i="1"/>
  <c r="H8632" i="1"/>
  <c r="I8632" i="1"/>
  <c r="J8632" i="1"/>
  <c r="L8632" i="1"/>
  <c r="M8632" i="1"/>
  <c r="C8633" i="1"/>
  <c r="E8633" i="1"/>
  <c r="F8633" i="1"/>
  <c r="H8633" i="1"/>
  <c r="I8633" i="1"/>
  <c r="J8633" i="1"/>
  <c r="L8633" i="1"/>
  <c r="M8633" i="1"/>
  <c r="C8634" i="1"/>
  <c r="E8634" i="1"/>
  <c r="F8634" i="1"/>
  <c r="H8634" i="1"/>
  <c r="I8634" i="1"/>
  <c r="J8634" i="1"/>
  <c r="L8634" i="1"/>
  <c r="M8634" i="1"/>
  <c r="C8635" i="1"/>
  <c r="E8635" i="1"/>
  <c r="F8635" i="1"/>
  <c r="H8635" i="1"/>
  <c r="I8635" i="1"/>
  <c r="J8635" i="1"/>
  <c r="L8635" i="1"/>
  <c r="M8635" i="1"/>
  <c r="C8636" i="1"/>
  <c r="E8636" i="1"/>
  <c r="F8636" i="1"/>
  <c r="H8636" i="1"/>
  <c r="I8636" i="1"/>
  <c r="J8636" i="1"/>
  <c r="L8636" i="1"/>
  <c r="M8636" i="1"/>
  <c r="C8637" i="1"/>
  <c r="E8637" i="1"/>
  <c r="F8637" i="1"/>
  <c r="H8637" i="1"/>
  <c r="I8637" i="1"/>
  <c r="J8637" i="1"/>
  <c r="L8637" i="1"/>
  <c r="M8637" i="1"/>
  <c r="C8638" i="1"/>
  <c r="E8638" i="1"/>
  <c r="F8638" i="1"/>
  <c r="H8638" i="1"/>
  <c r="I8638" i="1"/>
  <c r="J8638" i="1"/>
  <c r="L8638" i="1"/>
  <c r="M8638" i="1"/>
  <c r="C8639" i="1"/>
  <c r="E8639" i="1"/>
  <c r="F8639" i="1"/>
  <c r="H8639" i="1"/>
  <c r="I8639" i="1"/>
  <c r="J8639" i="1"/>
  <c r="L8639" i="1"/>
  <c r="M8639" i="1"/>
  <c r="C8640" i="1"/>
  <c r="E8640" i="1"/>
  <c r="F8640" i="1"/>
  <c r="H8640" i="1"/>
  <c r="I8640" i="1"/>
  <c r="J8640" i="1"/>
  <c r="L8640" i="1"/>
  <c r="M8640" i="1"/>
  <c r="C8641" i="1"/>
  <c r="E8641" i="1"/>
  <c r="F8641" i="1"/>
  <c r="H8641" i="1"/>
  <c r="I8641" i="1"/>
  <c r="J8641" i="1"/>
  <c r="L8641" i="1"/>
  <c r="M8641" i="1"/>
  <c r="C8642" i="1"/>
  <c r="E8642" i="1"/>
  <c r="F8642" i="1"/>
  <c r="H8642" i="1"/>
  <c r="I8642" i="1"/>
  <c r="J8642" i="1"/>
  <c r="L8642" i="1"/>
  <c r="M8642" i="1"/>
  <c r="C8643" i="1"/>
  <c r="E8643" i="1"/>
  <c r="F8643" i="1"/>
  <c r="H8643" i="1"/>
  <c r="I8643" i="1"/>
  <c r="J8643" i="1"/>
  <c r="L8643" i="1"/>
  <c r="M8643" i="1"/>
  <c r="C8644" i="1"/>
  <c r="E8644" i="1"/>
  <c r="F8644" i="1"/>
  <c r="H8644" i="1"/>
  <c r="I8644" i="1"/>
  <c r="J8644" i="1"/>
  <c r="L8644" i="1"/>
  <c r="M8644" i="1"/>
  <c r="C8645" i="1"/>
  <c r="E8645" i="1"/>
  <c r="F8645" i="1"/>
  <c r="H8645" i="1"/>
  <c r="I8645" i="1"/>
  <c r="J8645" i="1"/>
  <c r="L8645" i="1"/>
  <c r="M8645" i="1"/>
  <c r="C8646" i="1"/>
  <c r="E8646" i="1"/>
  <c r="F8646" i="1"/>
  <c r="H8646" i="1"/>
  <c r="I8646" i="1"/>
  <c r="J8646" i="1"/>
  <c r="L8646" i="1"/>
  <c r="M8646" i="1"/>
  <c r="C8647" i="1"/>
  <c r="E8647" i="1"/>
  <c r="F8647" i="1"/>
  <c r="H8647" i="1"/>
  <c r="I8647" i="1"/>
  <c r="J8647" i="1"/>
  <c r="L8647" i="1"/>
  <c r="M8647" i="1"/>
  <c r="C8648" i="1"/>
  <c r="E8648" i="1"/>
  <c r="F8648" i="1"/>
  <c r="H8648" i="1"/>
  <c r="I8648" i="1"/>
  <c r="J8648" i="1"/>
  <c r="L8648" i="1"/>
  <c r="M8648" i="1"/>
  <c r="C8649" i="1"/>
  <c r="E8649" i="1"/>
  <c r="F8649" i="1"/>
  <c r="H8649" i="1"/>
  <c r="I8649" i="1"/>
  <c r="J8649" i="1"/>
  <c r="L8649" i="1"/>
  <c r="M8649" i="1"/>
  <c r="C8650" i="1"/>
  <c r="E8650" i="1"/>
  <c r="F8650" i="1"/>
  <c r="H8650" i="1"/>
  <c r="I8650" i="1"/>
  <c r="J8650" i="1"/>
  <c r="L8650" i="1"/>
  <c r="M8650" i="1"/>
  <c r="C8651" i="1"/>
  <c r="E8651" i="1"/>
  <c r="F8651" i="1"/>
  <c r="H8651" i="1"/>
  <c r="I8651" i="1"/>
  <c r="J8651" i="1"/>
  <c r="L8651" i="1"/>
  <c r="M8651" i="1"/>
  <c r="C8652" i="1"/>
  <c r="E8652" i="1"/>
  <c r="F8652" i="1"/>
  <c r="H8652" i="1"/>
  <c r="I8652" i="1"/>
  <c r="J8652" i="1"/>
  <c r="L8652" i="1"/>
  <c r="M8652" i="1"/>
  <c r="C8653" i="1"/>
  <c r="E8653" i="1"/>
  <c r="F8653" i="1"/>
  <c r="H8653" i="1"/>
  <c r="I8653" i="1"/>
  <c r="J8653" i="1"/>
  <c r="L8653" i="1"/>
  <c r="M8653" i="1"/>
  <c r="C8654" i="1"/>
  <c r="E8654" i="1"/>
  <c r="F8654" i="1"/>
  <c r="H8654" i="1"/>
  <c r="I8654" i="1"/>
  <c r="J8654" i="1"/>
  <c r="L8654" i="1"/>
  <c r="M8654" i="1"/>
  <c r="C8655" i="1"/>
  <c r="E8655" i="1"/>
  <c r="F8655" i="1"/>
  <c r="H8655" i="1"/>
  <c r="I8655" i="1"/>
  <c r="J8655" i="1"/>
  <c r="L8655" i="1"/>
  <c r="M8655" i="1"/>
  <c r="C8656" i="1"/>
  <c r="E8656" i="1"/>
  <c r="F8656" i="1"/>
  <c r="H8656" i="1"/>
  <c r="I8656" i="1"/>
  <c r="J8656" i="1"/>
  <c r="L8656" i="1"/>
  <c r="M8656" i="1"/>
  <c r="C8657" i="1"/>
  <c r="E8657" i="1"/>
  <c r="F8657" i="1"/>
  <c r="H8657" i="1"/>
  <c r="I8657" i="1"/>
  <c r="J8657" i="1"/>
  <c r="L8657" i="1"/>
  <c r="M8657" i="1"/>
  <c r="C8658" i="1"/>
  <c r="E8658" i="1"/>
  <c r="F8658" i="1"/>
  <c r="H8658" i="1"/>
  <c r="I8658" i="1"/>
  <c r="J8658" i="1"/>
  <c r="L8658" i="1"/>
  <c r="M8658" i="1"/>
  <c r="C8659" i="1"/>
  <c r="E8659" i="1"/>
  <c r="F8659" i="1"/>
  <c r="H8659" i="1"/>
  <c r="I8659" i="1"/>
  <c r="J8659" i="1"/>
  <c r="L8659" i="1"/>
  <c r="M8659" i="1"/>
  <c r="C8660" i="1"/>
  <c r="E8660" i="1"/>
  <c r="F8660" i="1"/>
  <c r="H8660" i="1"/>
  <c r="I8660" i="1"/>
  <c r="J8660" i="1"/>
  <c r="L8660" i="1"/>
  <c r="M8660" i="1"/>
  <c r="C8661" i="1"/>
  <c r="E8661" i="1"/>
  <c r="F8661" i="1"/>
  <c r="H8661" i="1"/>
  <c r="I8661" i="1"/>
  <c r="J8661" i="1"/>
  <c r="L8661" i="1"/>
  <c r="M8661" i="1"/>
  <c r="C8662" i="1"/>
  <c r="E8662" i="1"/>
  <c r="F8662" i="1"/>
  <c r="H8662" i="1"/>
  <c r="I8662" i="1"/>
  <c r="J8662" i="1"/>
  <c r="L8662" i="1"/>
  <c r="M8662" i="1"/>
  <c r="C8663" i="1"/>
  <c r="E8663" i="1"/>
  <c r="F8663" i="1"/>
  <c r="H8663" i="1"/>
  <c r="I8663" i="1"/>
  <c r="J8663" i="1"/>
  <c r="L8663" i="1"/>
  <c r="M8663" i="1"/>
  <c r="C8664" i="1"/>
  <c r="E8664" i="1"/>
  <c r="F8664" i="1"/>
  <c r="H8664" i="1"/>
  <c r="I8664" i="1"/>
  <c r="J8664" i="1"/>
  <c r="L8664" i="1"/>
  <c r="M8664" i="1"/>
  <c r="C8665" i="1"/>
  <c r="E8665" i="1"/>
  <c r="F8665" i="1"/>
  <c r="H8665" i="1"/>
  <c r="I8665" i="1"/>
  <c r="J8665" i="1"/>
  <c r="L8665" i="1"/>
  <c r="M8665" i="1"/>
  <c r="C8666" i="1"/>
  <c r="E8666" i="1"/>
  <c r="F8666" i="1"/>
  <c r="H8666" i="1"/>
  <c r="I8666" i="1"/>
  <c r="J8666" i="1"/>
  <c r="L8666" i="1"/>
  <c r="M8666" i="1"/>
  <c r="C8667" i="1"/>
  <c r="E8667" i="1"/>
  <c r="F8667" i="1"/>
  <c r="H8667" i="1"/>
  <c r="I8667" i="1"/>
  <c r="J8667" i="1"/>
  <c r="L8667" i="1"/>
  <c r="M8667" i="1"/>
  <c r="C8668" i="1"/>
  <c r="E8668" i="1"/>
  <c r="F8668" i="1"/>
  <c r="H8668" i="1"/>
  <c r="I8668" i="1"/>
  <c r="J8668" i="1"/>
  <c r="L8668" i="1"/>
  <c r="M8668" i="1"/>
  <c r="C8669" i="1"/>
  <c r="E8669" i="1"/>
  <c r="F8669" i="1"/>
  <c r="H8669" i="1"/>
  <c r="I8669" i="1"/>
  <c r="J8669" i="1"/>
  <c r="L8669" i="1"/>
  <c r="M8669" i="1"/>
  <c r="C8670" i="1"/>
  <c r="E8670" i="1"/>
  <c r="F8670" i="1"/>
  <c r="H8670" i="1"/>
  <c r="I8670" i="1"/>
  <c r="J8670" i="1"/>
  <c r="L8670" i="1"/>
  <c r="M8670" i="1"/>
  <c r="C8671" i="1"/>
  <c r="E8671" i="1"/>
  <c r="F8671" i="1"/>
  <c r="H8671" i="1"/>
  <c r="I8671" i="1"/>
  <c r="J8671" i="1"/>
  <c r="L8671" i="1"/>
  <c r="M8671" i="1"/>
  <c r="C8672" i="1"/>
  <c r="E8672" i="1"/>
  <c r="F8672" i="1"/>
  <c r="H8672" i="1"/>
  <c r="I8672" i="1"/>
  <c r="J8672" i="1"/>
  <c r="L8672" i="1"/>
  <c r="M8672" i="1"/>
  <c r="C8673" i="1"/>
  <c r="E8673" i="1"/>
  <c r="F8673" i="1"/>
  <c r="H8673" i="1"/>
  <c r="I8673" i="1"/>
  <c r="J8673" i="1"/>
  <c r="L8673" i="1"/>
  <c r="M8673" i="1"/>
  <c r="C8674" i="1"/>
  <c r="E8674" i="1"/>
  <c r="F8674" i="1"/>
  <c r="H8674" i="1"/>
  <c r="I8674" i="1"/>
  <c r="J8674" i="1"/>
  <c r="L8674" i="1"/>
  <c r="M8674" i="1"/>
  <c r="C8675" i="1"/>
  <c r="E8675" i="1"/>
  <c r="F8675" i="1"/>
  <c r="H8675" i="1"/>
  <c r="I8675" i="1"/>
  <c r="J8675" i="1"/>
  <c r="L8675" i="1"/>
  <c r="M8675" i="1"/>
  <c r="C8676" i="1"/>
  <c r="E8676" i="1"/>
  <c r="F8676" i="1"/>
  <c r="H8676" i="1"/>
  <c r="I8676" i="1"/>
  <c r="J8676" i="1"/>
  <c r="L8676" i="1"/>
  <c r="M8676" i="1"/>
  <c r="C8677" i="1"/>
  <c r="E8677" i="1"/>
  <c r="F8677" i="1"/>
  <c r="H8677" i="1"/>
  <c r="I8677" i="1"/>
  <c r="J8677" i="1"/>
  <c r="L8677" i="1"/>
  <c r="M8677" i="1"/>
  <c r="C8678" i="1"/>
  <c r="E8678" i="1"/>
  <c r="F8678" i="1"/>
  <c r="H8678" i="1"/>
  <c r="I8678" i="1"/>
  <c r="J8678" i="1"/>
  <c r="L8678" i="1"/>
  <c r="M8678" i="1"/>
  <c r="C8679" i="1"/>
  <c r="E8679" i="1"/>
  <c r="F8679" i="1"/>
  <c r="H8679" i="1"/>
  <c r="I8679" i="1"/>
  <c r="J8679" i="1"/>
  <c r="L8679" i="1"/>
  <c r="M8679" i="1"/>
  <c r="C8680" i="1"/>
  <c r="E8680" i="1"/>
  <c r="F8680" i="1"/>
  <c r="H8680" i="1"/>
  <c r="I8680" i="1"/>
  <c r="J8680" i="1"/>
  <c r="L8680" i="1"/>
  <c r="M8680" i="1"/>
  <c r="C8681" i="1"/>
  <c r="E8681" i="1"/>
  <c r="F8681" i="1"/>
  <c r="H8681" i="1"/>
  <c r="I8681" i="1"/>
  <c r="J8681" i="1"/>
  <c r="L8681" i="1"/>
  <c r="M8681" i="1"/>
  <c r="C8682" i="1"/>
  <c r="E8682" i="1"/>
  <c r="F8682" i="1"/>
  <c r="H8682" i="1"/>
  <c r="I8682" i="1"/>
  <c r="J8682" i="1"/>
  <c r="L8682" i="1"/>
  <c r="M8682" i="1"/>
  <c r="C8683" i="1"/>
  <c r="E8683" i="1"/>
  <c r="F8683" i="1"/>
  <c r="H8683" i="1"/>
  <c r="I8683" i="1"/>
  <c r="J8683" i="1"/>
  <c r="L8683" i="1"/>
  <c r="M8683" i="1"/>
  <c r="C8684" i="1"/>
  <c r="E8684" i="1"/>
  <c r="F8684" i="1"/>
  <c r="H8684" i="1"/>
  <c r="I8684" i="1"/>
  <c r="J8684" i="1"/>
  <c r="L8684" i="1"/>
  <c r="M8684" i="1"/>
  <c r="C8685" i="1"/>
  <c r="E8685" i="1"/>
  <c r="F8685" i="1"/>
  <c r="H8685" i="1"/>
  <c r="I8685" i="1"/>
  <c r="J8685" i="1"/>
  <c r="L8685" i="1"/>
  <c r="M8685" i="1"/>
  <c r="C8686" i="1"/>
  <c r="E8686" i="1"/>
  <c r="F8686" i="1"/>
  <c r="H8686" i="1"/>
  <c r="I8686" i="1"/>
  <c r="J8686" i="1"/>
  <c r="L8686" i="1"/>
  <c r="M8686" i="1"/>
  <c r="C8687" i="1"/>
  <c r="E8687" i="1"/>
  <c r="F8687" i="1"/>
  <c r="H8687" i="1"/>
  <c r="I8687" i="1"/>
  <c r="J8687" i="1"/>
  <c r="L8687" i="1"/>
  <c r="M8687" i="1"/>
  <c r="C8688" i="1"/>
  <c r="E8688" i="1"/>
  <c r="F8688" i="1"/>
  <c r="H8688" i="1"/>
  <c r="I8688" i="1"/>
  <c r="J8688" i="1"/>
  <c r="L8688" i="1"/>
  <c r="M8688" i="1"/>
  <c r="C8689" i="1"/>
  <c r="E8689" i="1"/>
  <c r="F8689" i="1"/>
  <c r="H8689" i="1"/>
  <c r="I8689" i="1"/>
  <c r="J8689" i="1"/>
  <c r="L8689" i="1"/>
  <c r="M8689" i="1"/>
  <c r="C8690" i="1"/>
  <c r="E8690" i="1"/>
  <c r="F8690" i="1"/>
  <c r="H8690" i="1"/>
  <c r="I8690" i="1"/>
  <c r="J8690" i="1"/>
  <c r="L8690" i="1"/>
  <c r="M8690" i="1"/>
  <c r="C8691" i="1"/>
  <c r="E8691" i="1"/>
  <c r="F8691" i="1"/>
  <c r="H8691" i="1"/>
  <c r="I8691" i="1"/>
  <c r="J8691" i="1"/>
  <c r="L8691" i="1"/>
  <c r="M8691" i="1"/>
  <c r="C8692" i="1"/>
  <c r="E8692" i="1"/>
  <c r="F8692" i="1"/>
  <c r="H8692" i="1"/>
  <c r="I8692" i="1"/>
  <c r="J8692" i="1"/>
  <c r="L8692" i="1"/>
  <c r="M8692" i="1"/>
  <c r="C8693" i="1"/>
  <c r="E8693" i="1"/>
  <c r="F8693" i="1"/>
  <c r="H8693" i="1"/>
  <c r="I8693" i="1"/>
  <c r="J8693" i="1"/>
  <c r="L8693" i="1"/>
  <c r="M8693" i="1"/>
  <c r="C8694" i="1"/>
  <c r="E8694" i="1"/>
  <c r="F8694" i="1"/>
  <c r="H8694" i="1"/>
  <c r="I8694" i="1"/>
  <c r="J8694" i="1"/>
  <c r="L8694" i="1"/>
  <c r="M8694" i="1"/>
  <c r="C8695" i="1"/>
  <c r="E8695" i="1"/>
  <c r="F8695" i="1"/>
  <c r="H8695" i="1"/>
  <c r="I8695" i="1"/>
  <c r="J8695" i="1"/>
  <c r="L8695" i="1"/>
  <c r="M8695" i="1"/>
  <c r="C8696" i="1"/>
  <c r="E8696" i="1"/>
  <c r="F8696" i="1"/>
  <c r="H8696" i="1"/>
  <c r="I8696" i="1"/>
  <c r="J8696" i="1"/>
  <c r="L8696" i="1"/>
  <c r="M8696" i="1"/>
  <c r="C8697" i="1"/>
  <c r="E8697" i="1"/>
  <c r="F8697" i="1"/>
  <c r="H8697" i="1"/>
  <c r="I8697" i="1"/>
  <c r="J8697" i="1"/>
  <c r="L8697" i="1"/>
  <c r="M8697" i="1"/>
  <c r="C8698" i="1"/>
  <c r="E8698" i="1"/>
  <c r="F8698" i="1"/>
  <c r="H8698" i="1"/>
  <c r="I8698" i="1"/>
  <c r="J8698" i="1"/>
  <c r="L8698" i="1"/>
  <c r="M8698" i="1"/>
  <c r="C8699" i="1"/>
  <c r="E8699" i="1"/>
  <c r="F8699" i="1"/>
  <c r="H8699" i="1"/>
  <c r="I8699" i="1"/>
  <c r="J8699" i="1"/>
  <c r="L8699" i="1"/>
  <c r="M8699" i="1"/>
  <c r="C8700" i="1"/>
  <c r="E8700" i="1"/>
  <c r="F8700" i="1"/>
  <c r="H8700" i="1"/>
  <c r="I8700" i="1"/>
  <c r="J8700" i="1"/>
  <c r="L8700" i="1"/>
  <c r="M8700" i="1"/>
  <c r="C8701" i="1"/>
  <c r="E8701" i="1"/>
  <c r="F8701" i="1"/>
  <c r="H8701" i="1"/>
  <c r="I8701" i="1"/>
  <c r="J8701" i="1"/>
  <c r="L8701" i="1"/>
  <c r="M8701" i="1"/>
  <c r="C8702" i="1"/>
  <c r="E8702" i="1"/>
  <c r="F8702" i="1"/>
  <c r="H8702" i="1"/>
  <c r="I8702" i="1"/>
  <c r="J8702" i="1"/>
  <c r="L8702" i="1"/>
  <c r="M8702" i="1"/>
  <c r="C8703" i="1"/>
  <c r="E8703" i="1"/>
  <c r="F8703" i="1"/>
  <c r="H8703" i="1"/>
  <c r="I8703" i="1"/>
  <c r="J8703" i="1"/>
  <c r="L8703" i="1"/>
  <c r="M8703" i="1"/>
  <c r="C8704" i="1"/>
  <c r="E8704" i="1"/>
  <c r="F8704" i="1"/>
  <c r="H8704" i="1"/>
  <c r="I8704" i="1"/>
  <c r="J8704" i="1"/>
  <c r="L8704" i="1"/>
  <c r="M8704" i="1"/>
  <c r="C8705" i="1"/>
  <c r="E8705" i="1"/>
  <c r="F8705" i="1"/>
  <c r="H8705" i="1"/>
  <c r="I8705" i="1"/>
  <c r="J8705" i="1"/>
  <c r="L8705" i="1"/>
  <c r="M8705" i="1"/>
  <c r="C8706" i="1"/>
  <c r="E8706" i="1"/>
  <c r="F8706" i="1"/>
  <c r="H8706" i="1"/>
  <c r="I8706" i="1"/>
  <c r="J8706" i="1"/>
  <c r="L8706" i="1"/>
  <c r="M8706" i="1"/>
  <c r="C8707" i="1"/>
  <c r="E8707" i="1"/>
  <c r="F8707" i="1"/>
  <c r="H8707" i="1"/>
  <c r="I8707" i="1"/>
  <c r="J8707" i="1"/>
  <c r="L8707" i="1"/>
  <c r="M8707" i="1"/>
  <c r="C8708" i="1"/>
  <c r="E8708" i="1"/>
  <c r="F8708" i="1"/>
  <c r="H8708" i="1"/>
  <c r="I8708" i="1"/>
  <c r="J8708" i="1"/>
  <c r="L8708" i="1"/>
  <c r="M8708" i="1"/>
  <c r="C8709" i="1"/>
  <c r="E8709" i="1"/>
  <c r="F8709" i="1"/>
  <c r="H8709" i="1"/>
  <c r="I8709" i="1"/>
  <c r="J8709" i="1"/>
  <c r="L8709" i="1"/>
  <c r="M8709" i="1"/>
  <c r="C8710" i="1"/>
  <c r="E8710" i="1"/>
  <c r="F8710" i="1"/>
  <c r="H8710" i="1"/>
  <c r="I8710" i="1"/>
  <c r="J8710" i="1"/>
  <c r="L8710" i="1"/>
  <c r="M8710" i="1"/>
  <c r="C8711" i="1"/>
  <c r="E8711" i="1"/>
  <c r="F8711" i="1"/>
  <c r="H8711" i="1"/>
  <c r="I8711" i="1"/>
  <c r="J8711" i="1"/>
  <c r="L8711" i="1"/>
  <c r="M8711" i="1"/>
  <c r="C8712" i="1"/>
  <c r="E8712" i="1"/>
  <c r="F8712" i="1"/>
  <c r="H8712" i="1"/>
  <c r="I8712" i="1"/>
  <c r="J8712" i="1"/>
  <c r="L8712" i="1"/>
  <c r="M8712" i="1"/>
  <c r="C8713" i="1"/>
  <c r="E8713" i="1"/>
  <c r="F8713" i="1"/>
  <c r="H8713" i="1"/>
  <c r="I8713" i="1"/>
  <c r="J8713" i="1"/>
  <c r="L8713" i="1"/>
  <c r="M8713" i="1"/>
  <c r="C8714" i="1"/>
  <c r="E8714" i="1"/>
  <c r="F8714" i="1"/>
  <c r="H8714" i="1"/>
  <c r="I8714" i="1"/>
  <c r="J8714" i="1"/>
  <c r="L8714" i="1"/>
  <c r="M8714" i="1"/>
  <c r="C8715" i="1"/>
  <c r="E8715" i="1"/>
  <c r="F8715" i="1"/>
  <c r="H8715" i="1"/>
  <c r="I8715" i="1"/>
  <c r="J8715" i="1"/>
  <c r="L8715" i="1"/>
  <c r="M8715" i="1"/>
  <c r="C8716" i="1"/>
  <c r="E8716" i="1"/>
  <c r="F8716" i="1"/>
  <c r="H8716" i="1"/>
  <c r="I8716" i="1"/>
  <c r="J8716" i="1"/>
  <c r="L8716" i="1"/>
  <c r="M8716" i="1"/>
  <c r="C8717" i="1"/>
  <c r="E8717" i="1"/>
  <c r="F8717" i="1"/>
  <c r="H8717" i="1"/>
  <c r="I8717" i="1"/>
  <c r="J8717" i="1"/>
  <c r="L8717" i="1"/>
  <c r="M8717" i="1"/>
  <c r="C8718" i="1"/>
  <c r="E8718" i="1"/>
  <c r="F8718" i="1"/>
  <c r="H8718" i="1"/>
  <c r="I8718" i="1"/>
  <c r="J8718" i="1"/>
  <c r="L8718" i="1"/>
  <c r="M8718" i="1"/>
  <c r="C8719" i="1"/>
  <c r="E8719" i="1"/>
  <c r="F8719" i="1"/>
  <c r="H8719" i="1"/>
  <c r="I8719" i="1"/>
  <c r="J8719" i="1"/>
  <c r="L8719" i="1"/>
  <c r="M8719" i="1"/>
  <c r="C8720" i="1"/>
  <c r="E8720" i="1"/>
  <c r="F8720" i="1"/>
  <c r="H8720" i="1"/>
  <c r="I8720" i="1"/>
  <c r="J8720" i="1"/>
  <c r="L8720" i="1"/>
  <c r="M8720" i="1"/>
  <c r="C8721" i="1"/>
  <c r="E8721" i="1"/>
  <c r="F8721" i="1"/>
  <c r="H8721" i="1"/>
  <c r="I8721" i="1"/>
  <c r="J8721" i="1"/>
  <c r="L8721" i="1"/>
  <c r="M8721" i="1"/>
  <c r="C8722" i="1"/>
  <c r="E8722" i="1"/>
  <c r="F8722" i="1"/>
  <c r="H8722" i="1"/>
  <c r="I8722" i="1"/>
  <c r="J8722" i="1"/>
  <c r="L8722" i="1"/>
  <c r="M8722" i="1"/>
  <c r="C8723" i="1"/>
  <c r="E8723" i="1"/>
  <c r="F8723" i="1"/>
  <c r="H8723" i="1"/>
  <c r="I8723" i="1"/>
  <c r="J8723" i="1"/>
  <c r="L8723" i="1"/>
  <c r="M8723" i="1"/>
  <c r="C8724" i="1"/>
  <c r="E8724" i="1"/>
  <c r="F8724" i="1"/>
  <c r="H8724" i="1"/>
  <c r="I8724" i="1"/>
  <c r="J8724" i="1"/>
  <c r="L8724" i="1"/>
  <c r="M8724" i="1"/>
  <c r="C8725" i="1"/>
  <c r="E8725" i="1"/>
  <c r="F8725" i="1"/>
  <c r="H8725" i="1"/>
  <c r="I8725" i="1"/>
  <c r="J8725" i="1"/>
  <c r="L8725" i="1"/>
  <c r="M8725" i="1"/>
  <c r="C8726" i="1"/>
  <c r="E8726" i="1"/>
  <c r="F8726" i="1"/>
  <c r="H8726" i="1"/>
  <c r="I8726" i="1"/>
  <c r="J8726" i="1"/>
  <c r="L8726" i="1"/>
  <c r="M8726" i="1"/>
  <c r="C8727" i="1"/>
  <c r="E8727" i="1"/>
  <c r="F8727" i="1"/>
  <c r="H8727" i="1"/>
  <c r="I8727" i="1"/>
  <c r="J8727" i="1"/>
  <c r="L8727" i="1"/>
  <c r="M8727" i="1"/>
  <c r="C8728" i="1"/>
  <c r="E8728" i="1"/>
  <c r="F8728" i="1"/>
  <c r="H8728" i="1"/>
  <c r="I8728" i="1"/>
  <c r="J8728" i="1"/>
  <c r="L8728" i="1"/>
  <c r="M8728" i="1"/>
  <c r="C8729" i="1"/>
  <c r="E8729" i="1"/>
  <c r="F8729" i="1"/>
  <c r="H8729" i="1"/>
  <c r="I8729" i="1"/>
  <c r="J8729" i="1"/>
  <c r="L8729" i="1"/>
  <c r="M8729" i="1"/>
  <c r="C8730" i="1"/>
  <c r="E8730" i="1"/>
  <c r="F8730" i="1"/>
  <c r="H8730" i="1"/>
  <c r="I8730" i="1"/>
  <c r="J8730" i="1"/>
  <c r="L8730" i="1"/>
  <c r="M8730" i="1"/>
  <c r="C8731" i="1"/>
  <c r="E8731" i="1"/>
  <c r="F8731" i="1"/>
  <c r="H8731" i="1"/>
  <c r="I8731" i="1"/>
  <c r="J8731" i="1"/>
  <c r="L8731" i="1"/>
  <c r="M8731" i="1"/>
  <c r="C8732" i="1"/>
  <c r="E8732" i="1"/>
  <c r="F8732" i="1"/>
  <c r="H8732" i="1"/>
  <c r="I8732" i="1"/>
  <c r="J8732" i="1"/>
  <c r="L8732" i="1"/>
  <c r="M8732" i="1"/>
  <c r="C8733" i="1"/>
  <c r="E8733" i="1"/>
  <c r="F8733" i="1"/>
  <c r="H8733" i="1"/>
  <c r="I8733" i="1"/>
  <c r="J8733" i="1"/>
  <c r="L8733" i="1"/>
  <c r="M8733" i="1"/>
  <c r="C8734" i="1"/>
  <c r="E8734" i="1"/>
  <c r="F8734" i="1"/>
  <c r="H8734" i="1"/>
  <c r="I8734" i="1"/>
  <c r="J8734" i="1"/>
  <c r="L8734" i="1"/>
  <c r="M8734" i="1"/>
  <c r="C8735" i="1"/>
  <c r="E8735" i="1"/>
  <c r="F8735" i="1"/>
  <c r="H8735" i="1"/>
  <c r="I8735" i="1"/>
  <c r="J8735" i="1"/>
  <c r="L8735" i="1"/>
  <c r="M8735" i="1"/>
  <c r="C8736" i="1"/>
  <c r="E8736" i="1"/>
  <c r="F8736" i="1"/>
  <c r="H8736" i="1"/>
  <c r="I8736" i="1"/>
  <c r="J8736" i="1"/>
  <c r="L8736" i="1"/>
  <c r="M8736" i="1"/>
  <c r="C8737" i="1"/>
  <c r="E8737" i="1"/>
  <c r="F8737" i="1"/>
  <c r="H8737" i="1"/>
  <c r="I8737" i="1"/>
  <c r="J8737" i="1"/>
  <c r="L8737" i="1"/>
  <c r="M8737" i="1"/>
  <c r="C8738" i="1"/>
  <c r="E8738" i="1"/>
  <c r="F8738" i="1"/>
  <c r="H8738" i="1"/>
  <c r="I8738" i="1"/>
  <c r="J8738" i="1"/>
  <c r="L8738" i="1"/>
  <c r="M8738" i="1"/>
  <c r="C8739" i="1"/>
  <c r="E8739" i="1"/>
  <c r="F8739" i="1"/>
  <c r="H8739" i="1"/>
  <c r="I8739" i="1"/>
  <c r="J8739" i="1"/>
  <c r="L8739" i="1"/>
  <c r="M8739" i="1"/>
  <c r="C8740" i="1"/>
  <c r="E8740" i="1"/>
  <c r="F8740" i="1"/>
  <c r="H8740" i="1"/>
  <c r="I8740" i="1"/>
  <c r="J8740" i="1"/>
  <c r="L8740" i="1"/>
  <c r="M8740" i="1"/>
  <c r="C8741" i="1"/>
  <c r="E8741" i="1"/>
  <c r="F8741" i="1"/>
  <c r="H8741" i="1"/>
  <c r="I8741" i="1"/>
  <c r="J8741" i="1"/>
  <c r="L8741" i="1"/>
  <c r="M8741" i="1"/>
  <c r="C8742" i="1"/>
  <c r="E8742" i="1"/>
  <c r="F8742" i="1"/>
  <c r="H8742" i="1"/>
  <c r="I8742" i="1"/>
  <c r="J8742" i="1"/>
  <c r="L8742" i="1"/>
  <c r="M8742" i="1"/>
  <c r="C8743" i="1"/>
  <c r="E8743" i="1"/>
  <c r="F8743" i="1"/>
  <c r="H8743" i="1"/>
  <c r="I8743" i="1"/>
  <c r="J8743" i="1"/>
  <c r="L8743" i="1"/>
  <c r="M8743" i="1"/>
  <c r="C8744" i="1"/>
  <c r="E8744" i="1"/>
  <c r="F8744" i="1"/>
  <c r="H8744" i="1"/>
  <c r="I8744" i="1"/>
  <c r="J8744" i="1"/>
  <c r="L8744" i="1"/>
  <c r="M8744" i="1"/>
  <c r="C8745" i="1"/>
  <c r="E8745" i="1"/>
  <c r="F8745" i="1"/>
  <c r="H8745" i="1"/>
  <c r="I8745" i="1"/>
  <c r="J8745" i="1"/>
  <c r="L8745" i="1"/>
  <c r="M8745" i="1"/>
  <c r="C8746" i="1"/>
  <c r="E8746" i="1"/>
  <c r="F8746" i="1"/>
  <c r="H8746" i="1"/>
  <c r="I8746" i="1"/>
  <c r="J8746" i="1"/>
  <c r="L8746" i="1"/>
  <c r="M8746" i="1"/>
  <c r="C8747" i="1"/>
  <c r="E8747" i="1"/>
  <c r="F8747" i="1"/>
  <c r="H8747" i="1"/>
  <c r="I8747" i="1"/>
  <c r="J8747" i="1"/>
  <c r="L8747" i="1"/>
  <c r="M8747" i="1"/>
  <c r="C8748" i="1"/>
  <c r="E8748" i="1"/>
  <c r="F8748" i="1"/>
  <c r="H8748" i="1"/>
  <c r="I8748" i="1"/>
  <c r="J8748" i="1"/>
  <c r="L8748" i="1"/>
  <c r="M8748" i="1"/>
  <c r="C8749" i="1"/>
  <c r="E8749" i="1"/>
  <c r="F8749" i="1"/>
  <c r="H8749" i="1"/>
  <c r="I8749" i="1"/>
  <c r="J8749" i="1"/>
  <c r="L8749" i="1"/>
  <c r="M8749" i="1"/>
  <c r="C8750" i="1"/>
  <c r="E8750" i="1"/>
  <c r="F8750" i="1"/>
  <c r="H8750" i="1"/>
  <c r="I8750" i="1"/>
  <c r="J8750" i="1"/>
  <c r="L8750" i="1"/>
  <c r="M8750" i="1"/>
  <c r="C8751" i="1"/>
  <c r="E8751" i="1"/>
  <c r="F8751" i="1"/>
  <c r="H8751" i="1"/>
  <c r="I8751" i="1"/>
  <c r="J8751" i="1"/>
  <c r="L8751" i="1"/>
  <c r="M8751" i="1"/>
  <c r="C8752" i="1"/>
  <c r="E8752" i="1"/>
  <c r="F8752" i="1"/>
  <c r="H8752" i="1"/>
  <c r="I8752" i="1"/>
  <c r="J8752" i="1"/>
  <c r="L8752" i="1"/>
  <c r="M8752" i="1"/>
  <c r="C8753" i="1"/>
  <c r="E8753" i="1"/>
  <c r="F8753" i="1"/>
  <c r="H8753" i="1"/>
  <c r="I8753" i="1"/>
  <c r="J8753" i="1"/>
  <c r="L8753" i="1"/>
  <c r="M8753" i="1"/>
  <c r="C8754" i="1"/>
  <c r="E8754" i="1"/>
  <c r="F8754" i="1"/>
  <c r="H8754" i="1"/>
  <c r="I8754" i="1"/>
  <c r="J8754" i="1"/>
  <c r="L8754" i="1"/>
  <c r="M8754" i="1"/>
  <c r="C8755" i="1"/>
  <c r="E8755" i="1"/>
  <c r="F8755" i="1"/>
  <c r="H8755" i="1"/>
  <c r="I8755" i="1"/>
  <c r="J8755" i="1"/>
  <c r="L8755" i="1"/>
  <c r="M8755" i="1"/>
  <c r="C8756" i="1"/>
  <c r="E8756" i="1"/>
  <c r="F8756" i="1"/>
  <c r="H8756" i="1"/>
  <c r="I8756" i="1"/>
  <c r="J8756" i="1"/>
  <c r="L8756" i="1"/>
  <c r="M8756" i="1"/>
  <c r="C8757" i="1"/>
  <c r="E8757" i="1"/>
  <c r="F8757" i="1"/>
  <c r="H8757" i="1"/>
  <c r="I8757" i="1"/>
  <c r="J8757" i="1"/>
  <c r="L8757" i="1"/>
  <c r="M8757" i="1"/>
  <c r="C8758" i="1"/>
  <c r="E8758" i="1"/>
  <c r="F8758" i="1"/>
  <c r="H8758" i="1"/>
  <c r="I8758" i="1"/>
  <c r="J8758" i="1"/>
  <c r="L8758" i="1"/>
  <c r="M8758" i="1"/>
  <c r="C8759" i="1"/>
  <c r="E8759" i="1"/>
  <c r="F8759" i="1"/>
  <c r="H8759" i="1"/>
  <c r="I8759" i="1"/>
  <c r="J8759" i="1"/>
  <c r="L8759" i="1"/>
  <c r="M8759" i="1"/>
  <c r="C8760" i="1"/>
  <c r="E8760" i="1"/>
  <c r="F8760" i="1"/>
  <c r="H8760" i="1"/>
  <c r="I8760" i="1"/>
  <c r="J8760" i="1"/>
  <c r="L8760" i="1"/>
  <c r="M8760" i="1"/>
  <c r="C8761" i="1"/>
  <c r="E8761" i="1"/>
  <c r="F8761" i="1"/>
  <c r="H8761" i="1"/>
  <c r="I8761" i="1"/>
  <c r="J8761" i="1"/>
  <c r="L8761" i="1"/>
  <c r="M8761" i="1"/>
  <c r="C8762" i="1"/>
  <c r="E8762" i="1"/>
  <c r="F8762" i="1"/>
  <c r="H8762" i="1"/>
  <c r="I8762" i="1"/>
  <c r="J8762" i="1"/>
  <c r="L8762" i="1"/>
  <c r="M8762" i="1"/>
  <c r="C8763" i="1"/>
  <c r="E8763" i="1"/>
  <c r="F8763" i="1"/>
  <c r="H8763" i="1"/>
  <c r="I8763" i="1"/>
  <c r="J8763" i="1"/>
  <c r="L8763" i="1"/>
  <c r="M8763" i="1"/>
  <c r="C8764" i="1"/>
  <c r="E8764" i="1"/>
  <c r="F8764" i="1"/>
  <c r="H8764" i="1"/>
  <c r="I8764" i="1"/>
  <c r="J8764" i="1"/>
  <c r="L8764" i="1"/>
  <c r="M8764" i="1"/>
  <c r="C8765" i="1"/>
  <c r="E8765" i="1"/>
  <c r="F8765" i="1"/>
  <c r="H8765" i="1"/>
  <c r="I8765" i="1"/>
  <c r="J8765" i="1"/>
  <c r="L8765" i="1"/>
  <c r="M8765" i="1"/>
  <c r="C8766" i="1"/>
  <c r="E8766" i="1"/>
  <c r="F8766" i="1"/>
  <c r="H8766" i="1"/>
  <c r="I8766" i="1"/>
  <c r="J8766" i="1"/>
  <c r="L8766" i="1"/>
  <c r="M8766" i="1"/>
  <c r="C8767" i="1"/>
  <c r="E8767" i="1"/>
  <c r="F8767" i="1"/>
  <c r="H8767" i="1"/>
  <c r="I8767" i="1"/>
  <c r="J8767" i="1"/>
  <c r="L8767" i="1"/>
  <c r="M8767" i="1"/>
  <c r="C8768" i="1"/>
  <c r="E8768" i="1"/>
  <c r="F8768" i="1"/>
  <c r="H8768" i="1"/>
  <c r="I8768" i="1"/>
  <c r="J8768" i="1"/>
  <c r="L8768" i="1"/>
  <c r="M8768" i="1"/>
  <c r="C8769" i="1"/>
  <c r="E8769" i="1"/>
  <c r="F8769" i="1"/>
  <c r="H8769" i="1"/>
  <c r="I8769" i="1"/>
  <c r="J8769" i="1"/>
  <c r="L8769" i="1"/>
  <c r="M8769" i="1"/>
  <c r="C8770" i="1"/>
  <c r="E8770" i="1"/>
  <c r="F8770" i="1"/>
  <c r="H8770" i="1"/>
  <c r="I8770" i="1"/>
  <c r="J8770" i="1"/>
  <c r="L8770" i="1"/>
  <c r="M8770" i="1"/>
  <c r="C8771" i="1"/>
  <c r="E8771" i="1"/>
  <c r="F8771" i="1"/>
  <c r="H8771" i="1"/>
  <c r="I8771" i="1"/>
  <c r="J8771" i="1"/>
  <c r="L8771" i="1"/>
  <c r="M8771" i="1"/>
  <c r="C8772" i="1"/>
  <c r="E8772" i="1"/>
  <c r="F8772" i="1"/>
  <c r="H8772" i="1"/>
  <c r="I8772" i="1"/>
  <c r="J8772" i="1"/>
  <c r="L8772" i="1"/>
  <c r="M8772" i="1"/>
  <c r="C8773" i="1"/>
  <c r="E8773" i="1"/>
  <c r="F8773" i="1"/>
  <c r="H8773" i="1"/>
  <c r="I8773" i="1"/>
  <c r="J8773" i="1"/>
  <c r="L8773" i="1"/>
  <c r="M8773" i="1"/>
  <c r="C8774" i="1"/>
  <c r="E8774" i="1"/>
  <c r="F8774" i="1"/>
  <c r="H8774" i="1"/>
  <c r="I8774" i="1"/>
  <c r="J8774" i="1"/>
  <c r="L8774" i="1"/>
  <c r="M8774" i="1"/>
  <c r="C8775" i="1"/>
  <c r="E8775" i="1"/>
  <c r="F8775" i="1"/>
  <c r="H8775" i="1"/>
  <c r="I8775" i="1"/>
  <c r="J8775" i="1"/>
  <c r="L8775" i="1"/>
  <c r="M8775" i="1"/>
  <c r="C8776" i="1"/>
  <c r="E8776" i="1"/>
  <c r="F8776" i="1"/>
  <c r="H8776" i="1"/>
  <c r="I8776" i="1"/>
  <c r="J8776" i="1"/>
  <c r="L8776" i="1"/>
  <c r="M8776" i="1"/>
  <c r="C8777" i="1"/>
  <c r="E8777" i="1"/>
  <c r="F8777" i="1"/>
  <c r="H8777" i="1"/>
  <c r="I8777" i="1"/>
  <c r="J8777" i="1"/>
  <c r="L8777" i="1"/>
  <c r="M8777" i="1"/>
  <c r="C8778" i="1"/>
  <c r="E8778" i="1"/>
  <c r="F8778" i="1"/>
  <c r="H8778" i="1"/>
  <c r="I8778" i="1"/>
  <c r="J8778" i="1"/>
  <c r="L8778" i="1"/>
  <c r="M8778" i="1"/>
  <c r="C8779" i="1"/>
  <c r="E8779" i="1"/>
  <c r="F8779" i="1"/>
  <c r="H8779" i="1"/>
  <c r="I8779" i="1"/>
  <c r="J8779" i="1"/>
  <c r="L8779" i="1"/>
  <c r="M8779" i="1"/>
  <c r="C8780" i="1"/>
  <c r="E8780" i="1"/>
  <c r="F8780" i="1"/>
  <c r="H8780" i="1"/>
  <c r="I8780" i="1"/>
  <c r="J8780" i="1"/>
  <c r="L8780" i="1"/>
  <c r="M8780" i="1"/>
  <c r="C8781" i="1"/>
  <c r="E8781" i="1"/>
  <c r="F8781" i="1"/>
  <c r="H8781" i="1"/>
  <c r="I8781" i="1"/>
  <c r="J8781" i="1"/>
  <c r="L8781" i="1"/>
  <c r="M8781" i="1"/>
  <c r="C8782" i="1"/>
  <c r="E8782" i="1"/>
  <c r="F8782" i="1"/>
  <c r="H8782" i="1"/>
  <c r="I8782" i="1"/>
  <c r="J8782" i="1"/>
  <c r="L8782" i="1"/>
  <c r="M8782" i="1"/>
  <c r="C8783" i="1"/>
  <c r="E8783" i="1"/>
  <c r="F8783" i="1"/>
  <c r="H8783" i="1"/>
  <c r="I8783" i="1"/>
  <c r="J8783" i="1"/>
  <c r="L8783" i="1"/>
  <c r="M8783" i="1"/>
  <c r="C8784" i="1"/>
  <c r="E8784" i="1"/>
  <c r="F8784" i="1"/>
  <c r="H8784" i="1"/>
  <c r="I8784" i="1"/>
  <c r="J8784" i="1"/>
  <c r="L8784" i="1"/>
  <c r="M8784" i="1"/>
  <c r="C8785" i="1"/>
  <c r="E8785" i="1"/>
  <c r="F8785" i="1"/>
  <c r="H8785" i="1"/>
  <c r="I8785" i="1"/>
  <c r="J8785" i="1"/>
  <c r="L8785" i="1"/>
  <c r="M8785" i="1"/>
  <c r="C8786" i="1"/>
  <c r="E8786" i="1"/>
  <c r="F8786" i="1"/>
  <c r="H8786" i="1"/>
  <c r="I8786" i="1"/>
  <c r="J8786" i="1"/>
  <c r="L8786" i="1"/>
  <c r="M8786" i="1"/>
  <c r="C8787" i="1"/>
  <c r="E8787" i="1"/>
  <c r="F8787" i="1"/>
  <c r="H8787" i="1"/>
  <c r="I8787" i="1"/>
  <c r="J8787" i="1"/>
  <c r="L8787" i="1"/>
  <c r="M8787" i="1"/>
  <c r="C8788" i="1"/>
  <c r="E8788" i="1"/>
  <c r="F8788" i="1"/>
  <c r="H8788" i="1"/>
  <c r="I8788" i="1"/>
  <c r="J8788" i="1"/>
  <c r="L8788" i="1"/>
  <c r="M8788" i="1"/>
  <c r="C8789" i="1"/>
  <c r="E8789" i="1"/>
  <c r="F8789" i="1"/>
  <c r="H8789" i="1"/>
  <c r="I8789" i="1"/>
  <c r="J8789" i="1"/>
  <c r="L8789" i="1"/>
  <c r="M8789" i="1"/>
  <c r="C8790" i="1"/>
  <c r="E8790" i="1"/>
  <c r="F8790" i="1"/>
  <c r="H8790" i="1"/>
  <c r="I8790" i="1"/>
  <c r="J8790" i="1"/>
  <c r="L8790" i="1"/>
  <c r="M8790" i="1"/>
  <c r="C8791" i="1"/>
  <c r="E8791" i="1"/>
  <c r="F8791" i="1"/>
  <c r="H8791" i="1"/>
  <c r="I8791" i="1"/>
  <c r="J8791" i="1"/>
  <c r="L8791" i="1"/>
  <c r="M8791" i="1"/>
  <c r="C8792" i="1"/>
  <c r="E8792" i="1"/>
  <c r="F8792" i="1"/>
  <c r="H8792" i="1"/>
  <c r="I8792" i="1"/>
  <c r="J8792" i="1"/>
  <c r="L8792" i="1"/>
  <c r="M8792" i="1"/>
  <c r="C8793" i="1"/>
  <c r="E8793" i="1"/>
  <c r="F8793" i="1"/>
  <c r="H8793" i="1"/>
  <c r="I8793" i="1"/>
  <c r="J8793" i="1"/>
  <c r="L8793" i="1"/>
  <c r="M8793" i="1"/>
  <c r="C8794" i="1"/>
  <c r="E8794" i="1"/>
  <c r="F8794" i="1"/>
  <c r="H8794" i="1"/>
  <c r="I8794" i="1"/>
  <c r="J8794" i="1"/>
  <c r="L8794" i="1"/>
  <c r="M8794" i="1"/>
  <c r="C8795" i="1"/>
  <c r="E8795" i="1"/>
  <c r="F8795" i="1"/>
  <c r="H8795" i="1"/>
  <c r="I8795" i="1"/>
  <c r="J8795" i="1"/>
  <c r="L8795" i="1"/>
  <c r="M8795" i="1"/>
  <c r="C8796" i="1"/>
  <c r="E8796" i="1"/>
  <c r="F8796" i="1"/>
  <c r="H8796" i="1"/>
  <c r="I8796" i="1"/>
  <c r="J8796" i="1"/>
  <c r="L8796" i="1"/>
  <c r="M8796" i="1"/>
  <c r="C8797" i="1"/>
  <c r="E8797" i="1"/>
  <c r="F8797" i="1"/>
  <c r="H8797" i="1"/>
  <c r="I8797" i="1"/>
  <c r="J8797" i="1"/>
  <c r="L8797" i="1"/>
  <c r="M8797" i="1"/>
  <c r="C8798" i="1"/>
  <c r="E8798" i="1"/>
  <c r="F8798" i="1"/>
  <c r="H8798" i="1"/>
  <c r="I8798" i="1"/>
  <c r="J8798" i="1"/>
  <c r="L8798" i="1"/>
  <c r="M8798" i="1"/>
  <c r="C8799" i="1"/>
  <c r="E8799" i="1"/>
  <c r="F8799" i="1"/>
  <c r="H8799" i="1"/>
  <c r="I8799" i="1"/>
  <c r="J8799" i="1"/>
  <c r="L8799" i="1"/>
  <c r="M8799" i="1"/>
  <c r="C8800" i="1"/>
  <c r="E8800" i="1"/>
  <c r="F8800" i="1"/>
  <c r="H8800" i="1"/>
  <c r="I8800" i="1"/>
  <c r="J8800" i="1"/>
  <c r="L8800" i="1"/>
  <c r="M8800" i="1"/>
  <c r="C8801" i="1"/>
  <c r="E8801" i="1"/>
  <c r="F8801" i="1"/>
  <c r="H8801" i="1"/>
  <c r="I8801" i="1"/>
  <c r="J8801" i="1"/>
  <c r="L8801" i="1"/>
  <c r="M8801" i="1"/>
  <c r="C8802" i="1"/>
  <c r="E8802" i="1"/>
  <c r="F8802" i="1"/>
  <c r="H8802" i="1"/>
  <c r="I8802" i="1"/>
  <c r="J8802" i="1"/>
  <c r="L8802" i="1"/>
  <c r="M8802" i="1"/>
  <c r="C8803" i="1"/>
  <c r="E8803" i="1"/>
  <c r="F8803" i="1"/>
  <c r="H8803" i="1"/>
  <c r="I8803" i="1"/>
  <c r="J8803" i="1"/>
  <c r="L8803" i="1"/>
  <c r="M8803" i="1"/>
  <c r="C8804" i="1"/>
  <c r="E8804" i="1"/>
  <c r="F8804" i="1"/>
  <c r="H8804" i="1"/>
  <c r="I8804" i="1"/>
  <c r="J8804" i="1"/>
  <c r="L8804" i="1"/>
  <c r="M8804" i="1"/>
  <c r="C8805" i="1"/>
  <c r="E8805" i="1"/>
  <c r="F8805" i="1"/>
  <c r="H8805" i="1"/>
  <c r="I8805" i="1"/>
  <c r="J8805" i="1"/>
  <c r="L8805" i="1"/>
  <c r="M8805" i="1"/>
  <c r="C8806" i="1"/>
  <c r="E8806" i="1"/>
  <c r="F8806" i="1"/>
  <c r="H8806" i="1"/>
  <c r="I8806" i="1"/>
  <c r="J8806" i="1"/>
  <c r="L8806" i="1"/>
  <c r="M8806" i="1"/>
  <c r="C8807" i="1"/>
  <c r="E8807" i="1"/>
  <c r="F8807" i="1"/>
  <c r="H8807" i="1"/>
  <c r="I8807" i="1"/>
  <c r="J8807" i="1"/>
  <c r="L8807" i="1"/>
  <c r="M8807" i="1"/>
  <c r="C8808" i="1"/>
  <c r="E8808" i="1"/>
  <c r="F8808" i="1"/>
  <c r="H8808" i="1"/>
  <c r="I8808" i="1"/>
  <c r="J8808" i="1"/>
  <c r="L8808" i="1"/>
  <c r="M8808" i="1"/>
  <c r="C8809" i="1"/>
  <c r="E8809" i="1"/>
  <c r="F8809" i="1"/>
  <c r="H8809" i="1"/>
  <c r="I8809" i="1"/>
  <c r="J8809" i="1"/>
  <c r="L8809" i="1"/>
  <c r="M8809" i="1"/>
  <c r="C8810" i="1"/>
  <c r="E8810" i="1"/>
  <c r="F8810" i="1"/>
  <c r="H8810" i="1"/>
  <c r="I8810" i="1"/>
  <c r="J8810" i="1"/>
  <c r="L8810" i="1"/>
  <c r="M8810" i="1"/>
  <c r="C8811" i="1"/>
  <c r="E8811" i="1"/>
  <c r="F8811" i="1"/>
  <c r="H8811" i="1"/>
  <c r="I8811" i="1"/>
  <c r="J8811" i="1"/>
  <c r="L8811" i="1"/>
  <c r="M8811" i="1"/>
  <c r="C8812" i="1"/>
  <c r="E8812" i="1"/>
  <c r="F8812" i="1"/>
  <c r="H8812" i="1"/>
  <c r="I8812" i="1"/>
  <c r="J8812" i="1"/>
  <c r="L8812" i="1"/>
  <c r="M8812" i="1"/>
  <c r="C8813" i="1"/>
  <c r="E8813" i="1"/>
  <c r="F8813" i="1"/>
  <c r="H8813" i="1"/>
  <c r="I8813" i="1"/>
  <c r="J8813" i="1"/>
  <c r="L8813" i="1"/>
  <c r="M8813" i="1"/>
  <c r="C8814" i="1"/>
  <c r="E8814" i="1"/>
  <c r="F8814" i="1"/>
  <c r="H8814" i="1"/>
  <c r="I8814" i="1"/>
  <c r="J8814" i="1"/>
  <c r="L8814" i="1"/>
  <c r="M8814" i="1"/>
  <c r="C8815" i="1"/>
  <c r="E8815" i="1"/>
  <c r="F8815" i="1"/>
  <c r="H8815" i="1"/>
  <c r="I8815" i="1"/>
  <c r="J8815" i="1"/>
  <c r="L8815" i="1"/>
  <c r="M8815" i="1"/>
  <c r="C8816" i="1"/>
  <c r="E8816" i="1"/>
  <c r="F8816" i="1"/>
  <c r="H8816" i="1"/>
  <c r="I8816" i="1"/>
  <c r="J8816" i="1"/>
  <c r="L8816" i="1"/>
  <c r="M8816" i="1"/>
  <c r="C8817" i="1"/>
  <c r="E8817" i="1"/>
  <c r="F8817" i="1"/>
  <c r="H8817" i="1"/>
  <c r="I8817" i="1"/>
  <c r="J8817" i="1"/>
  <c r="L8817" i="1"/>
  <c r="M8817" i="1"/>
  <c r="C8818" i="1"/>
  <c r="E8818" i="1"/>
  <c r="F8818" i="1"/>
  <c r="H8818" i="1"/>
  <c r="I8818" i="1"/>
  <c r="J8818" i="1"/>
  <c r="L8818" i="1"/>
  <c r="M8818" i="1"/>
  <c r="C8819" i="1"/>
  <c r="E8819" i="1"/>
  <c r="F8819" i="1"/>
  <c r="H8819" i="1"/>
  <c r="I8819" i="1"/>
  <c r="J8819" i="1"/>
  <c r="L8819" i="1"/>
  <c r="M8819" i="1"/>
  <c r="C8820" i="1"/>
  <c r="E8820" i="1"/>
  <c r="F8820" i="1"/>
  <c r="H8820" i="1"/>
  <c r="I8820" i="1"/>
  <c r="J8820" i="1"/>
  <c r="L8820" i="1"/>
  <c r="M8820" i="1"/>
  <c r="C8821" i="1"/>
  <c r="E8821" i="1"/>
  <c r="F8821" i="1"/>
  <c r="H8821" i="1"/>
  <c r="I8821" i="1"/>
  <c r="J8821" i="1"/>
  <c r="L8821" i="1"/>
  <c r="M8821" i="1"/>
  <c r="C8822" i="1"/>
  <c r="E8822" i="1"/>
  <c r="F8822" i="1"/>
  <c r="H8822" i="1"/>
  <c r="I8822" i="1"/>
  <c r="J8822" i="1"/>
  <c r="L8822" i="1"/>
  <c r="M8822" i="1"/>
  <c r="C8823" i="1"/>
  <c r="E8823" i="1"/>
  <c r="F8823" i="1"/>
  <c r="H8823" i="1"/>
  <c r="I8823" i="1"/>
  <c r="J8823" i="1"/>
  <c r="L8823" i="1"/>
  <c r="M8823" i="1"/>
  <c r="C8824" i="1"/>
  <c r="E8824" i="1"/>
  <c r="F8824" i="1"/>
  <c r="H8824" i="1"/>
  <c r="I8824" i="1"/>
  <c r="J8824" i="1"/>
  <c r="L8824" i="1"/>
  <c r="M8824" i="1"/>
  <c r="C8825" i="1"/>
  <c r="E8825" i="1"/>
  <c r="F8825" i="1"/>
  <c r="H8825" i="1"/>
  <c r="I8825" i="1"/>
  <c r="J8825" i="1"/>
  <c r="L8825" i="1"/>
  <c r="M8825" i="1"/>
  <c r="C8826" i="1"/>
  <c r="E8826" i="1"/>
  <c r="F8826" i="1"/>
  <c r="H8826" i="1"/>
  <c r="I8826" i="1"/>
  <c r="J8826" i="1"/>
  <c r="L8826" i="1"/>
  <c r="M8826" i="1"/>
  <c r="C8827" i="1"/>
  <c r="E8827" i="1"/>
  <c r="F8827" i="1"/>
  <c r="H8827" i="1"/>
  <c r="I8827" i="1"/>
  <c r="J8827" i="1"/>
  <c r="L8827" i="1"/>
  <c r="M8827" i="1"/>
  <c r="C8828" i="1"/>
  <c r="E8828" i="1"/>
  <c r="F8828" i="1"/>
  <c r="H8828" i="1"/>
  <c r="I8828" i="1"/>
  <c r="J8828" i="1"/>
  <c r="L8828" i="1"/>
  <c r="M8828" i="1"/>
  <c r="C8829" i="1"/>
  <c r="E8829" i="1"/>
  <c r="F8829" i="1"/>
  <c r="H8829" i="1"/>
  <c r="I8829" i="1"/>
  <c r="J8829" i="1"/>
  <c r="L8829" i="1"/>
  <c r="M8829" i="1"/>
  <c r="C8830" i="1"/>
  <c r="E8830" i="1"/>
  <c r="F8830" i="1"/>
  <c r="H8830" i="1"/>
  <c r="I8830" i="1"/>
  <c r="J8830" i="1"/>
  <c r="L8830" i="1"/>
  <c r="M8830" i="1"/>
  <c r="C8831" i="1"/>
  <c r="E8831" i="1"/>
  <c r="F8831" i="1"/>
  <c r="H8831" i="1"/>
  <c r="I8831" i="1"/>
  <c r="J8831" i="1"/>
  <c r="L8831" i="1"/>
  <c r="M8831" i="1"/>
  <c r="C8832" i="1"/>
  <c r="E8832" i="1"/>
  <c r="F8832" i="1"/>
  <c r="H8832" i="1"/>
  <c r="I8832" i="1"/>
  <c r="J8832" i="1"/>
  <c r="L8832" i="1"/>
  <c r="M8832" i="1"/>
  <c r="C8833" i="1"/>
  <c r="E8833" i="1"/>
  <c r="F8833" i="1"/>
  <c r="H8833" i="1"/>
  <c r="I8833" i="1"/>
  <c r="J8833" i="1"/>
  <c r="L8833" i="1"/>
  <c r="M8833" i="1"/>
  <c r="C8834" i="1"/>
  <c r="E8834" i="1"/>
  <c r="F8834" i="1"/>
  <c r="H8834" i="1"/>
  <c r="I8834" i="1"/>
  <c r="J8834" i="1"/>
  <c r="L8834" i="1"/>
  <c r="M8834" i="1"/>
  <c r="C8835" i="1"/>
  <c r="E8835" i="1"/>
  <c r="F8835" i="1"/>
  <c r="H8835" i="1"/>
  <c r="I8835" i="1"/>
  <c r="J8835" i="1"/>
  <c r="L8835" i="1"/>
  <c r="M8835" i="1"/>
  <c r="C8836" i="1"/>
  <c r="E8836" i="1"/>
  <c r="F8836" i="1"/>
  <c r="H8836" i="1"/>
  <c r="I8836" i="1"/>
  <c r="J8836" i="1"/>
  <c r="L8836" i="1"/>
  <c r="M8836" i="1"/>
  <c r="C8837" i="1"/>
  <c r="E8837" i="1"/>
  <c r="F8837" i="1"/>
  <c r="H8837" i="1"/>
  <c r="I8837" i="1"/>
  <c r="J8837" i="1"/>
  <c r="L8837" i="1"/>
  <c r="M8837" i="1"/>
  <c r="C8838" i="1"/>
  <c r="E8838" i="1"/>
  <c r="F8838" i="1"/>
  <c r="H8838" i="1"/>
  <c r="I8838" i="1"/>
  <c r="J8838" i="1"/>
  <c r="L8838" i="1"/>
  <c r="M8838" i="1"/>
  <c r="C8839" i="1"/>
  <c r="E8839" i="1"/>
  <c r="F8839" i="1"/>
  <c r="H8839" i="1"/>
  <c r="I8839" i="1"/>
  <c r="J8839" i="1"/>
  <c r="L8839" i="1"/>
  <c r="M8839" i="1"/>
  <c r="C8840" i="1"/>
  <c r="E8840" i="1"/>
  <c r="F8840" i="1"/>
  <c r="H8840" i="1"/>
  <c r="I8840" i="1"/>
  <c r="J8840" i="1"/>
  <c r="L8840" i="1"/>
  <c r="M8840" i="1"/>
  <c r="C8841" i="1"/>
  <c r="E8841" i="1"/>
  <c r="F8841" i="1"/>
  <c r="H8841" i="1"/>
  <c r="I8841" i="1"/>
  <c r="J8841" i="1"/>
  <c r="L8841" i="1"/>
  <c r="M8841" i="1"/>
  <c r="C8842" i="1"/>
  <c r="E8842" i="1"/>
  <c r="F8842" i="1"/>
  <c r="H8842" i="1"/>
  <c r="I8842" i="1"/>
  <c r="J8842" i="1"/>
  <c r="L8842" i="1"/>
  <c r="M8842" i="1"/>
  <c r="C8843" i="1"/>
  <c r="E8843" i="1"/>
  <c r="F8843" i="1"/>
  <c r="H8843" i="1"/>
  <c r="I8843" i="1"/>
  <c r="J8843" i="1"/>
  <c r="L8843" i="1"/>
  <c r="M8843" i="1"/>
  <c r="C8844" i="1"/>
  <c r="E8844" i="1"/>
  <c r="F8844" i="1"/>
  <c r="H8844" i="1"/>
  <c r="I8844" i="1"/>
  <c r="J8844" i="1"/>
  <c r="L8844" i="1"/>
  <c r="M8844" i="1"/>
  <c r="C8845" i="1"/>
  <c r="E8845" i="1"/>
  <c r="F8845" i="1"/>
  <c r="H8845" i="1"/>
  <c r="I8845" i="1"/>
  <c r="J8845" i="1"/>
  <c r="L8845" i="1"/>
  <c r="M8845" i="1"/>
  <c r="C8846" i="1"/>
  <c r="E8846" i="1"/>
  <c r="F8846" i="1"/>
  <c r="H8846" i="1"/>
  <c r="I8846" i="1"/>
  <c r="J8846" i="1"/>
  <c r="L8846" i="1"/>
  <c r="M8846" i="1"/>
  <c r="C8847" i="1"/>
  <c r="E8847" i="1"/>
  <c r="F8847" i="1"/>
  <c r="H8847" i="1"/>
  <c r="I8847" i="1"/>
  <c r="J8847" i="1"/>
  <c r="L8847" i="1"/>
  <c r="M8847" i="1"/>
  <c r="C8848" i="1"/>
  <c r="E8848" i="1"/>
  <c r="F8848" i="1"/>
  <c r="H8848" i="1"/>
  <c r="I8848" i="1"/>
  <c r="J8848" i="1"/>
  <c r="L8848" i="1"/>
  <c r="M8848" i="1"/>
  <c r="C8849" i="1"/>
  <c r="E8849" i="1"/>
  <c r="F8849" i="1"/>
  <c r="H8849" i="1"/>
  <c r="I8849" i="1"/>
  <c r="J8849" i="1"/>
  <c r="L8849" i="1"/>
  <c r="M8849" i="1"/>
  <c r="C8850" i="1"/>
  <c r="E8850" i="1"/>
  <c r="F8850" i="1"/>
  <c r="H8850" i="1"/>
  <c r="I8850" i="1"/>
  <c r="J8850" i="1"/>
  <c r="L8850" i="1"/>
  <c r="M8850" i="1"/>
  <c r="C8851" i="1"/>
  <c r="E8851" i="1"/>
  <c r="F8851" i="1"/>
  <c r="H8851" i="1"/>
  <c r="I8851" i="1"/>
  <c r="J8851" i="1"/>
  <c r="L8851" i="1"/>
  <c r="M8851" i="1"/>
  <c r="C8852" i="1"/>
  <c r="E8852" i="1"/>
  <c r="F8852" i="1"/>
  <c r="H8852" i="1"/>
  <c r="I8852" i="1"/>
  <c r="J8852" i="1"/>
  <c r="L8852" i="1"/>
  <c r="M8852" i="1"/>
  <c r="C8853" i="1"/>
  <c r="E8853" i="1"/>
  <c r="F8853" i="1"/>
  <c r="H8853" i="1"/>
  <c r="I8853" i="1"/>
  <c r="J8853" i="1"/>
  <c r="L8853" i="1"/>
  <c r="M8853" i="1"/>
  <c r="C8854" i="1"/>
  <c r="E8854" i="1"/>
  <c r="F8854" i="1"/>
  <c r="H8854" i="1"/>
  <c r="I8854" i="1"/>
  <c r="J8854" i="1"/>
  <c r="L8854" i="1"/>
  <c r="M8854" i="1"/>
  <c r="C8855" i="1"/>
  <c r="E8855" i="1"/>
  <c r="F8855" i="1"/>
  <c r="H8855" i="1"/>
  <c r="I8855" i="1"/>
  <c r="J8855" i="1"/>
  <c r="L8855" i="1"/>
  <c r="M8855" i="1"/>
  <c r="C8856" i="1"/>
  <c r="E8856" i="1"/>
  <c r="F8856" i="1"/>
  <c r="H8856" i="1"/>
  <c r="I8856" i="1"/>
  <c r="J8856" i="1"/>
  <c r="L8856" i="1"/>
  <c r="M8856" i="1"/>
  <c r="C8857" i="1"/>
  <c r="E8857" i="1"/>
  <c r="F8857" i="1"/>
  <c r="H8857" i="1"/>
  <c r="I8857" i="1"/>
  <c r="J8857" i="1"/>
  <c r="L8857" i="1"/>
  <c r="M8857" i="1"/>
  <c r="C8858" i="1"/>
  <c r="E8858" i="1"/>
  <c r="F8858" i="1"/>
  <c r="H8858" i="1"/>
  <c r="I8858" i="1"/>
  <c r="J8858" i="1"/>
  <c r="L8858" i="1"/>
  <c r="M8858" i="1"/>
  <c r="C8859" i="1"/>
  <c r="E8859" i="1"/>
  <c r="F8859" i="1"/>
  <c r="H8859" i="1"/>
  <c r="I8859" i="1"/>
  <c r="J8859" i="1"/>
  <c r="L8859" i="1"/>
  <c r="M8859" i="1"/>
  <c r="C8860" i="1"/>
  <c r="E8860" i="1"/>
  <c r="F8860" i="1"/>
  <c r="H8860" i="1"/>
  <c r="I8860" i="1"/>
  <c r="J8860" i="1"/>
  <c r="L8860" i="1"/>
  <c r="M8860" i="1"/>
  <c r="C8861" i="1"/>
  <c r="E8861" i="1"/>
  <c r="F8861" i="1"/>
  <c r="H8861" i="1"/>
  <c r="I8861" i="1"/>
  <c r="J8861" i="1"/>
  <c r="L8861" i="1"/>
  <c r="M8861" i="1"/>
  <c r="C8862" i="1"/>
  <c r="E8862" i="1"/>
  <c r="F8862" i="1"/>
  <c r="H8862" i="1"/>
  <c r="I8862" i="1"/>
  <c r="J8862" i="1"/>
  <c r="L8862" i="1"/>
  <c r="M8862" i="1"/>
  <c r="C8863" i="1"/>
  <c r="E8863" i="1"/>
  <c r="F8863" i="1"/>
  <c r="H8863" i="1"/>
  <c r="I8863" i="1"/>
  <c r="J8863" i="1"/>
  <c r="L8863" i="1"/>
  <c r="M8863" i="1"/>
  <c r="C8864" i="1"/>
  <c r="E8864" i="1"/>
  <c r="F8864" i="1"/>
  <c r="H8864" i="1"/>
  <c r="I8864" i="1"/>
  <c r="J8864" i="1"/>
  <c r="L8864" i="1"/>
  <c r="M8864" i="1"/>
  <c r="C8865" i="1"/>
  <c r="E8865" i="1"/>
  <c r="F8865" i="1"/>
  <c r="H8865" i="1"/>
  <c r="I8865" i="1"/>
  <c r="J8865" i="1"/>
  <c r="L8865" i="1"/>
  <c r="M8865" i="1"/>
  <c r="C8866" i="1"/>
  <c r="E8866" i="1"/>
  <c r="F8866" i="1"/>
  <c r="H8866" i="1"/>
  <c r="I8866" i="1"/>
  <c r="J8866" i="1"/>
  <c r="L8866" i="1"/>
  <c r="M8866" i="1"/>
  <c r="C8867" i="1"/>
  <c r="E8867" i="1"/>
  <c r="F8867" i="1"/>
  <c r="H8867" i="1"/>
  <c r="I8867" i="1"/>
  <c r="J8867" i="1"/>
  <c r="L8867" i="1"/>
  <c r="M8867" i="1"/>
  <c r="C8868" i="1"/>
  <c r="E8868" i="1"/>
  <c r="F8868" i="1"/>
  <c r="H8868" i="1"/>
  <c r="I8868" i="1"/>
  <c r="J8868" i="1"/>
  <c r="L8868" i="1"/>
  <c r="M8868" i="1"/>
  <c r="C8869" i="1"/>
  <c r="E8869" i="1"/>
  <c r="F8869" i="1"/>
  <c r="H8869" i="1"/>
  <c r="I8869" i="1"/>
  <c r="J8869" i="1"/>
  <c r="L8869" i="1"/>
  <c r="M8869" i="1"/>
  <c r="C8870" i="1"/>
  <c r="E8870" i="1"/>
  <c r="F8870" i="1"/>
  <c r="H8870" i="1"/>
  <c r="I8870" i="1"/>
  <c r="J8870" i="1"/>
  <c r="L8870" i="1"/>
  <c r="M8870" i="1"/>
  <c r="C8871" i="1"/>
  <c r="E8871" i="1"/>
  <c r="F8871" i="1"/>
  <c r="H8871" i="1"/>
  <c r="I8871" i="1"/>
  <c r="J8871" i="1"/>
  <c r="L8871" i="1"/>
  <c r="M8871" i="1"/>
  <c r="C8872" i="1"/>
  <c r="E8872" i="1"/>
  <c r="F8872" i="1"/>
  <c r="H8872" i="1"/>
  <c r="I8872" i="1"/>
  <c r="J8872" i="1"/>
  <c r="L8872" i="1"/>
  <c r="M8872" i="1"/>
  <c r="C8873" i="1"/>
  <c r="E8873" i="1"/>
  <c r="F8873" i="1"/>
  <c r="H8873" i="1"/>
  <c r="I8873" i="1"/>
  <c r="J8873" i="1"/>
  <c r="L8873" i="1"/>
  <c r="M8873" i="1"/>
  <c r="C8874" i="1"/>
  <c r="E8874" i="1"/>
  <c r="F8874" i="1"/>
  <c r="H8874" i="1"/>
  <c r="I8874" i="1"/>
  <c r="J8874" i="1"/>
  <c r="L8874" i="1"/>
  <c r="M8874" i="1"/>
  <c r="C8875" i="1"/>
  <c r="E8875" i="1"/>
  <c r="F8875" i="1"/>
  <c r="H8875" i="1"/>
  <c r="I8875" i="1"/>
  <c r="J8875" i="1"/>
  <c r="L8875" i="1"/>
  <c r="M8875" i="1"/>
  <c r="C8876" i="1"/>
  <c r="E8876" i="1"/>
  <c r="F8876" i="1"/>
  <c r="H8876" i="1"/>
  <c r="I8876" i="1"/>
  <c r="J8876" i="1"/>
  <c r="L8876" i="1"/>
  <c r="M8876" i="1"/>
  <c r="C8877" i="1"/>
  <c r="E8877" i="1"/>
  <c r="F8877" i="1"/>
  <c r="H8877" i="1"/>
  <c r="I8877" i="1"/>
  <c r="J8877" i="1"/>
  <c r="L8877" i="1"/>
  <c r="M8877" i="1"/>
  <c r="C8878" i="1"/>
  <c r="E8878" i="1"/>
  <c r="F8878" i="1"/>
  <c r="H8878" i="1"/>
  <c r="I8878" i="1"/>
  <c r="J8878" i="1"/>
  <c r="L8878" i="1"/>
  <c r="M8878" i="1"/>
  <c r="C8879" i="1"/>
  <c r="E8879" i="1"/>
  <c r="F8879" i="1"/>
  <c r="H8879" i="1"/>
  <c r="I8879" i="1"/>
  <c r="J8879" i="1"/>
  <c r="L8879" i="1"/>
  <c r="M8879" i="1"/>
  <c r="C8880" i="1"/>
  <c r="E8880" i="1"/>
  <c r="F8880" i="1"/>
  <c r="H8880" i="1"/>
  <c r="I8880" i="1"/>
  <c r="J8880" i="1"/>
  <c r="L8880" i="1"/>
  <c r="M8880" i="1"/>
  <c r="C8881" i="1"/>
  <c r="E8881" i="1"/>
  <c r="F8881" i="1"/>
  <c r="H8881" i="1"/>
  <c r="I8881" i="1"/>
  <c r="J8881" i="1"/>
  <c r="L8881" i="1"/>
  <c r="M8881" i="1"/>
  <c r="C8882" i="1"/>
  <c r="E8882" i="1"/>
  <c r="F8882" i="1"/>
  <c r="H8882" i="1"/>
  <c r="I8882" i="1"/>
  <c r="J8882" i="1"/>
  <c r="L8882" i="1"/>
  <c r="M8882" i="1"/>
  <c r="C8883" i="1"/>
  <c r="E8883" i="1"/>
  <c r="F8883" i="1"/>
  <c r="H8883" i="1"/>
  <c r="I8883" i="1"/>
  <c r="J8883" i="1"/>
  <c r="L8883" i="1"/>
  <c r="M8883" i="1"/>
  <c r="C8884" i="1"/>
  <c r="E8884" i="1"/>
  <c r="F8884" i="1"/>
  <c r="H8884" i="1"/>
  <c r="I8884" i="1"/>
  <c r="J8884" i="1"/>
  <c r="L8884" i="1"/>
  <c r="M8884" i="1"/>
  <c r="C8885" i="1"/>
  <c r="E8885" i="1"/>
  <c r="F8885" i="1"/>
  <c r="H8885" i="1"/>
  <c r="I8885" i="1"/>
  <c r="J8885" i="1"/>
  <c r="L8885" i="1"/>
  <c r="M8885" i="1"/>
  <c r="C8886" i="1"/>
  <c r="E8886" i="1"/>
  <c r="F8886" i="1"/>
  <c r="H8886" i="1"/>
  <c r="I8886" i="1"/>
  <c r="J8886" i="1"/>
  <c r="L8886" i="1"/>
  <c r="M8886" i="1"/>
  <c r="C8887" i="1"/>
  <c r="E8887" i="1"/>
  <c r="F8887" i="1"/>
  <c r="H8887" i="1"/>
  <c r="I8887" i="1"/>
  <c r="J8887" i="1"/>
  <c r="L8887" i="1"/>
  <c r="M8887" i="1"/>
  <c r="C8888" i="1"/>
  <c r="E8888" i="1"/>
  <c r="F8888" i="1"/>
  <c r="H8888" i="1"/>
  <c r="I8888" i="1"/>
  <c r="J8888" i="1"/>
  <c r="L8888" i="1"/>
  <c r="M8888" i="1"/>
  <c r="C8889" i="1"/>
  <c r="E8889" i="1"/>
  <c r="F8889" i="1"/>
  <c r="H8889" i="1"/>
  <c r="I8889" i="1"/>
  <c r="J8889" i="1"/>
  <c r="L8889" i="1"/>
  <c r="M8889" i="1"/>
  <c r="C8890" i="1"/>
  <c r="E8890" i="1"/>
  <c r="F8890" i="1"/>
  <c r="H8890" i="1"/>
  <c r="I8890" i="1"/>
  <c r="J8890" i="1"/>
  <c r="L8890" i="1"/>
  <c r="M8890" i="1"/>
  <c r="C8891" i="1"/>
  <c r="E8891" i="1"/>
  <c r="F8891" i="1"/>
  <c r="H8891" i="1"/>
  <c r="I8891" i="1"/>
  <c r="J8891" i="1"/>
  <c r="L8891" i="1"/>
  <c r="M8891" i="1"/>
  <c r="C8892" i="1"/>
  <c r="E8892" i="1"/>
  <c r="F8892" i="1"/>
  <c r="H8892" i="1"/>
  <c r="I8892" i="1"/>
  <c r="J8892" i="1"/>
  <c r="L8892" i="1"/>
  <c r="M8892" i="1"/>
  <c r="C8893" i="1"/>
  <c r="E8893" i="1"/>
  <c r="F8893" i="1"/>
  <c r="H8893" i="1"/>
  <c r="I8893" i="1"/>
  <c r="J8893" i="1"/>
  <c r="L8893" i="1"/>
  <c r="M8893" i="1"/>
  <c r="C8894" i="1"/>
  <c r="E8894" i="1"/>
  <c r="F8894" i="1"/>
  <c r="H8894" i="1"/>
  <c r="I8894" i="1"/>
  <c r="J8894" i="1"/>
  <c r="L8894" i="1"/>
  <c r="M8894" i="1"/>
  <c r="C8895" i="1"/>
  <c r="E8895" i="1"/>
  <c r="F8895" i="1"/>
  <c r="H8895" i="1"/>
  <c r="I8895" i="1"/>
  <c r="J8895" i="1"/>
  <c r="L8895" i="1"/>
  <c r="M8895" i="1"/>
  <c r="C8896" i="1"/>
  <c r="E8896" i="1"/>
  <c r="F8896" i="1"/>
  <c r="H8896" i="1"/>
  <c r="I8896" i="1"/>
  <c r="J8896" i="1"/>
  <c r="L8896" i="1"/>
  <c r="M8896" i="1"/>
  <c r="C8897" i="1"/>
  <c r="E8897" i="1"/>
  <c r="F8897" i="1"/>
  <c r="H8897" i="1"/>
  <c r="I8897" i="1"/>
  <c r="J8897" i="1"/>
  <c r="L8897" i="1"/>
  <c r="M8897" i="1"/>
  <c r="C8898" i="1"/>
  <c r="E8898" i="1"/>
  <c r="F8898" i="1"/>
  <c r="H8898" i="1"/>
  <c r="I8898" i="1"/>
  <c r="J8898" i="1"/>
  <c r="L8898" i="1"/>
  <c r="M8898" i="1"/>
  <c r="C8899" i="1"/>
  <c r="E8899" i="1"/>
  <c r="F8899" i="1"/>
  <c r="H8899" i="1"/>
  <c r="I8899" i="1"/>
  <c r="J8899" i="1"/>
  <c r="L8899" i="1"/>
  <c r="M8899" i="1"/>
  <c r="C8900" i="1"/>
  <c r="E8900" i="1"/>
  <c r="F8900" i="1"/>
  <c r="H8900" i="1"/>
  <c r="I8900" i="1"/>
  <c r="J8900" i="1"/>
  <c r="L8900" i="1"/>
  <c r="M8900" i="1"/>
  <c r="C8901" i="1"/>
  <c r="E8901" i="1"/>
  <c r="F8901" i="1"/>
  <c r="H8901" i="1"/>
  <c r="I8901" i="1"/>
  <c r="J8901" i="1"/>
  <c r="L8901" i="1"/>
  <c r="M8901" i="1"/>
  <c r="C8902" i="1"/>
  <c r="E8902" i="1"/>
  <c r="F8902" i="1"/>
  <c r="H8902" i="1"/>
  <c r="I8902" i="1"/>
  <c r="J8902" i="1"/>
  <c r="L8902" i="1"/>
  <c r="M8902" i="1"/>
  <c r="C8903" i="1"/>
  <c r="E8903" i="1"/>
  <c r="F8903" i="1"/>
  <c r="H8903" i="1"/>
  <c r="I8903" i="1"/>
  <c r="J8903" i="1"/>
  <c r="L8903" i="1"/>
  <c r="M8903" i="1"/>
  <c r="C8904" i="1"/>
  <c r="E8904" i="1"/>
  <c r="F8904" i="1"/>
  <c r="H8904" i="1"/>
  <c r="I8904" i="1"/>
  <c r="J8904" i="1"/>
  <c r="L8904" i="1"/>
  <c r="M8904" i="1"/>
  <c r="C8905" i="1"/>
  <c r="E8905" i="1"/>
  <c r="F8905" i="1"/>
  <c r="H8905" i="1"/>
  <c r="I8905" i="1"/>
  <c r="J8905" i="1"/>
  <c r="L8905" i="1"/>
  <c r="M8905" i="1"/>
  <c r="C8906" i="1"/>
  <c r="E8906" i="1"/>
  <c r="F8906" i="1"/>
  <c r="H8906" i="1"/>
  <c r="I8906" i="1"/>
  <c r="J8906" i="1"/>
  <c r="L8906" i="1"/>
  <c r="M8906" i="1"/>
  <c r="C8907" i="1"/>
  <c r="E8907" i="1"/>
  <c r="F8907" i="1"/>
  <c r="H8907" i="1"/>
  <c r="I8907" i="1"/>
  <c r="J8907" i="1"/>
  <c r="L8907" i="1"/>
  <c r="M8907" i="1"/>
  <c r="C8908" i="1"/>
  <c r="E8908" i="1"/>
  <c r="F8908" i="1"/>
  <c r="H8908" i="1"/>
  <c r="I8908" i="1"/>
  <c r="J8908" i="1"/>
  <c r="L8908" i="1"/>
  <c r="M8908" i="1"/>
  <c r="C8909" i="1"/>
  <c r="E8909" i="1"/>
  <c r="F8909" i="1"/>
  <c r="H8909" i="1"/>
  <c r="I8909" i="1"/>
  <c r="J8909" i="1"/>
  <c r="L8909" i="1"/>
  <c r="M8909" i="1"/>
  <c r="C8910" i="1"/>
  <c r="E8910" i="1"/>
  <c r="F8910" i="1"/>
  <c r="H8910" i="1"/>
  <c r="I8910" i="1"/>
  <c r="J8910" i="1"/>
  <c r="L8910" i="1"/>
  <c r="M8910" i="1"/>
  <c r="C8911" i="1"/>
  <c r="E8911" i="1"/>
  <c r="F8911" i="1"/>
  <c r="H8911" i="1"/>
  <c r="I8911" i="1"/>
  <c r="J8911" i="1"/>
  <c r="L8911" i="1"/>
  <c r="M8911" i="1"/>
  <c r="C8912" i="1"/>
  <c r="E8912" i="1"/>
  <c r="F8912" i="1"/>
  <c r="H8912" i="1"/>
  <c r="I8912" i="1"/>
  <c r="J8912" i="1"/>
  <c r="L8912" i="1"/>
  <c r="M8912" i="1"/>
  <c r="C8913" i="1"/>
  <c r="E8913" i="1"/>
  <c r="F8913" i="1"/>
  <c r="H8913" i="1"/>
  <c r="I8913" i="1"/>
  <c r="J8913" i="1"/>
  <c r="L8913" i="1"/>
  <c r="M8913" i="1"/>
  <c r="C8914" i="1"/>
  <c r="E8914" i="1"/>
  <c r="F8914" i="1"/>
  <c r="H8914" i="1"/>
  <c r="I8914" i="1"/>
  <c r="J8914" i="1"/>
  <c r="L8914" i="1"/>
  <c r="M8914" i="1"/>
  <c r="C8915" i="1"/>
  <c r="E8915" i="1"/>
  <c r="F8915" i="1"/>
  <c r="H8915" i="1"/>
  <c r="I8915" i="1"/>
  <c r="J8915" i="1"/>
  <c r="L8915" i="1"/>
  <c r="M8915" i="1"/>
  <c r="C8916" i="1"/>
  <c r="E8916" i="1"/>
  <c r="F8916" i="1"/>
  <c r="H8916" i="1"/>
  <c r="I8916" i="1"/>
  <c r="J8916" i="1"/>
  <c r="L8916" i="1"/>
  <c r="M8916" i="1"/>
  <c r="C8917" i="1"/>
  <c r="E8917" i="1"/>
  <c r="F8917" i="1"/>
  <c r="H8917" i="1"/>
  <c r="I8917" i="1"/>
  <c r="J8917" i="1"/>
  <c r="L8917" i="1"/>
  <c r="M8917" i="1"/>
  <c r="C8918" i="1"/>
  <c r="E8918" i="1"/>
  <c r="F8918" i="1"/>
  <c r="H8918" i="1"/>
  <c r="I8918" i="1"/>
  <c r="J8918" i="1"/>
  <c r="L8918" i="1"/>
  <c r="M8918" i="1"/>
  <c r="C8919" i="1"/>
  <c r="E8919" i="1"/>
  <c r="F8919" i="1"/>
  <c r="H8919" i="1"/>
  <c r="I8919" i="1"/>
  <c r="J8919" i="1"/>
  <c r="L8919" i="1"/>
  <c r="M8919" i="1"/>
  <c r="C8920" i="1"/>
  <c r="E8920" i="1"/>
  <c r="F8920" i="1"/>
  <c r="H8920" i="1"/>
  <c r="I8920" i="1"/>
  <c r="J8920" i="1"/>
  <c r="L8920" i="1"/>
  <c r="M8920" i="1"/>
  <c r="C8921" i="1"/>
  <c r="E8921" i="1"/>
  <c r="F8921" i="1"/>
  <c r="H8921" i="1"/>
  <c r="I8921" i="1"/>
  <c r="J8921" i="1"/>
  <c r="L8921" i="1"/>
  <c r="M8921" i="1"/>
  <c r="C8922" i="1"/>
  <c r="E8922" i="1"/>
  <c r="F8922" i="1"/>
  <c r="H8922" i="1"/>
  <c r="I8922" i="1"/>
  <c r="J8922" i="1"/>
  <c r="L8922" i="1"/>
  <c r="M8922" i="1"/>
  <c r="C8923" i="1"/>
  <c r="E8923" i="1"/>
  <c r="F8923" i="1"/>
  <c r="H8923" i="1"/>
  <c r="I8923" i="1"/>
  <c r="J8923" i="1"/>
  <c r="L8923" i="1"/>
  <c r="M8923" i="1"/>
  <c r="C8924" i="1"/>
  <c r="E8924" i="1"/>
  <c r="F8924" i="1"/>
  <c r="H8924" i="1"/>
  <c r="I8924" i="1"/>
  <c r="J8924" i="1"/>
  <c r="L8924" i="1"/>
  <c r="M8924" i="1"/>
  <c r="C8925" i="1"/>
  <c r="E8925" i="1"/>
  <c r="F8925" i="1"/>
  <c r="H8925" i="1"/>
  <c r="I8925" i="1"/>
  <c r="J8925" i="1"/>
  <c r="L8925" i="1"/>
  <c r="M8925" i="1"/>
  <c r="C8926" i="1"/>
  <c r="E8926" i="1"/>
  <c r="F8926" i="1"/>
  <c r="H8926" i="1"/>
  <c r="I8926" i="1"/>
  <c r="J8926" i="1"/>
  <c r="L8926" i="1"/>
  <c r="M8926" i="1"/>
  <c r="C8927" i="1"/>
  <c r="E8927" i="1"/>
  <c r="F8927" i="1"/>
  <c r="H8927" i="1"/>
  <c r="I8927" i="1"/>
  <c r="J8927" i="1"/>
  <c r="L8927" i="1"/>
  <c r="M8927" i="1"/>
  <c r="C8928" i="1"/>
  <c r="E8928" i="1"/>
  <c r="F8928" i="1"/>
  <c r="H8928" i="1"/>
  <c r="I8928" i="1"/>
  <c r="J8928" i="1"/>
  <c r="L8928" i="1"/>
  <c r="M8928" i="1"/>
  <c r="C8929" i="1"/>
  <c r="E8929" i="1"/>
  <c r="F8929" i="1"/>
  <c r="H8929" i="1"/>
  <c r="I8929" i="1"/>
  <c r="J8929" i="1"/>
  <c r="L8929" i="1"/>
  <c r="M8929" i="1"/>
  <c r="C8930" i="1"/>
  <c r="E8930" i="1"/>
  <c r="F8930" i="1"/>
  <c r="H8930" i="1"/>
  <c r="I8930" i="1"/>
  <c r="J8930" i="1"/>
  <c r="L8930" i="1"/>
  <c r="M8930" i="1"/>
  <c r="C8931" i="1"/>
  <c r="E8931" i="1"/>
  <c r="F8931" i="1"/>
  <c r="H8931" i="1"/>
  <c r="I8931" i="1"/>
  <c r="J8931" i="1"/>
  <c r="L8931" i="1"/>
  <c r="M8931" i="1"/>
  <c r="C8932" i="1"/>
  <c r="E8932" i="1"/>
  <c r="F8932" i="1"/>
  <c r="H8932" i="1"/>
  <c r="I8932" i="1"/>
  <c r="J8932" i="1"/>
  <c r="L8932" i="1"/>
  <c r="M8932" i="1"/>
  <c r="C8933" i="1"/>
  <c r="E8933" i="1"/>
  <c r="F8933" i="1"/>
  <c r="H8933" i="1"/>
  <c r="I8933" i="1"/>
  <c r="J8933" i="1"/>
  <c r="L8933" i="1"/>
  <c r="M8933" i="1"/>
  <c r="C8934" i="1"/>
  <c r="E8934" i="1"/>
  <c r="F8934" i="1"/>
  <c r="H8934" i="1"/>
  <c r="I8934" i="1"/>
  <c r="J8934" i="1"/>
  <c r="L8934" i="1"/>
  <c r="M8934" i="1"/>
  <c r="C8935" i="1"/>
  <c r="E8935" i="1"/>
  <c r="F8935" i="1"/>
  <c r="H8935" i="1"/>
  <c r="I8935" i="1"/>
  <c r="J8935" i="1"/>
  <c r="L8935" i="1"/>
  <c r="M8935" i="1"/>
  <c r="C8936" i="1"/>
  <c r="E8936" i="1"/>
  <c r="F8936" i="1"/>
  <c r="H8936" i="1"/>
  <c r="I8936" i="1"/>
  <c r="J8936" i="1"/>
  <c r="L8936" i="1"/>
  <c r="M8936" i="1"/>
  <c r="C8937" i="1"/>
  <c r="E8937" i="1"/>
  <c r="F8937" i="1"/>
  <c r="H8937" i="1"/>
  <c r="I8937" i="1"/>
  <c r="J8937" i="1"/>
  <c r="L8937" i="1"/>
  <c r="M8937" i="1"/>
  <c r="C8938" i="1"/>
  <c r="E8938" i="1"/>
  <c r="F8938" i="1"/>
  <c r="H8938" i="1"/>
  <c r="I8938" i="1"/>
  <c r="J8938" i="1"/>
  <c r="L8938" i="1"/>
  <c r="M8938" i="1"/>
  <c r="C8939" i="1"/>
  <c r="E8939" i="1"/>
  <c r="F8939" i="1"/>
  <c r="H8939" i="1"/>
  <c r="I8939" i="1"/>
  <c r="J8939" i="1"/>
  <c r="L8939" i="1"/>
  <c r="M8939" i="1"/>
  <c r="C8940" i="1"/>
  <c r="E8940" i="1"/>
  <c r="F8940" i="1"/>
  <c r="H8940" i="1"/>
  <c r="I8940" i="1"/>
  <c r="J8940" i="1"/>
  <c r="L8940" i="1"/>
  <c r="M8940" i="1"/>
  <c r="C8941" i="1"/>
  <c r="E8941" i="1"/>
  <c r="F8941" i="1"/>
  <c r="H8941" i="1"/>
  <c r="I8941" i="1"/>
  <c r="J8941" i="1"/>
  <c r="L8941" i="1"/>
  <c r="M8941" i="1"/>
  <c r="C8942" i="1"/>
  <c r="E8942" i="1"/>
  <c r="F8942" i="1"/>
  <c r="H8942" i="1"/>
  <c r="I8942" i="1"/>
  <c r="J8942" i="1"/>
  <c r="L8942" i="1"/>
  <c r="M8942" i="1"/>
  <c r="C8943" i="1"/>
  <c r="E8943" i="1"/>
  <c r="F8943" i="1"/>
  <c r="H8943" i="1"/>
  <c r="I8943" i="1"/>
  <c r="J8943" i="1"/>
  <c r="L8943" i="1"/>
  <c r="M8943" i="1"/>
  <c r="C8944" i="1"/>
  <c r="E8944" i="1"/>
  <c r="F8944" i="1"/>
  <c r="H8944" i="1"/>
  <c r="I8944" i="1"/>
  <c r="J8944" i="1"/>
  <c r="L8944" i="1"/>
  <c r="M8944" i="1"/>
  <c r="C8945" i="1"/>
  <c r="E8945" i="1"/>
  <c r="F8945" i="1"/>
  <c r="H8945" i="1"/>
  <c r="I8945" i="1"/>
  <c r="J8945" i="1"/>
  <c r="L8945" i="1"/>
  <c r="M8945" i="1"/>
  <c r="C8946" i="1"/>
  <c r="E8946" i="1"/>
  <c r="F8946" i="1"/>
  <c r="H8946" i="1"/>
  <c r="I8946" i="1"/>
  <c r="J8946" i="1"/>
  <c r="L8946" i="1"/>
  <c r="M8946" i="1"/>
  <c r="C8947" i="1"/>
  <c r="E8947" i="1"/>
  <c r="F8947" i="1"/>
  <c r="H8947" i="1"/>
  <c r="I8947" i="1"/>
  <c r="J8947" i="1"/>
  <c r="L8947" i="1"/>
  <c r="M8947" i="1"/>
  <c r="C8948" i="1"/>
  <c r="E8948" i="1"/>
  <c r="F8948" i="1"/>
  <c r="H8948" i="1"/>
  <c r="I8948" i="1"/>
  <c r="J8948" i="1"/>
  <c r="L8948" i="1"/>
  <c r="M8948" i="1"/>
  <c r="C8949" i="1"/>
  <c r="E8949" i="1"/>
  <c r="F8949" i="1"/>
  <c r="H8949" i="1"/>
  <c r="I8949" i="1"/>
  <c r="J8949" i="1"/>
  <c r="L8949" i="1"/>
  <c r="M8949" i="1"/>
  <c r="C8950" i="1"/>
  <c r="E8950" i="1"/>
  <c r="F8950" i="1"/>
  <c r="H8950" i="1"/>
  <c r="I8950" i="1"/>
  <c r="J8950" i="1"/>
  <c r="L8950" i="1"/>
  <c r="M8950" i="1"/>
  <c r="C8951" i="1"/>
  <c r="E8951" i="1"/>
  <c r="F8951" i="1"/>
  <c r="H8951" i="1"/>
  <c r="I8951" i="1"/>
  <c r="J8951" i="1"/>
  <c r="L8951" i="1"/>
  <c r="M8951" i="1"/>
  <c r="C8952" i="1"/>
  <c r="E8952" i="1"/>
  <c r="F8952" i="1"/>
  <c r="H8952" i="1"/>
  <c r="I8952" i="1"/>
  <c r="J8952" i="1"/>
  <c r="L8952" i="1"/>
  <c r="M8952" i="1"/>
  <c r="C8953" i="1"/>
  <c r="E8953" i="1"/>
  <c r="F8953" i="1"/>
  <c r="H8953" i="1"/>
  <c r="I8953" i="1"/>
  <c r="J8953" i="1"/>
  <c r="L8953" i="1"/>
  <c r="M8953" i="1"/>
  <c r="C8954" i="1"/>
  <c r="E8954" i="1"/>
  <c r="F8954" i="1"/>
  <c r="H8954" i="1"/>
  <c r="I8954" i="1"/>
  <c r="J8954" i="1"/>
  <c r="L8954" i="1"/>
  <c r="M8954" i="1"/>
  <c r="C8955" i="1"/>
  <c r="E8955" i="1"/>
  <c r="F8955" i="1"/>
  <c r="H8955" i="1"/>
  <c r="I8955" i="1"/>
  <c r="J8955" i="1"/>
  <c r="L8955" i="1"/>
  <c r="M8955" i="1"/>
  <c r="C8956" i="1"/>
  <c r="E8956" i="1"/>
  <c r="F8956" i="1"/>
  <c r="H8956" i="1"/>
  <c r="I8956" i="1"/>
  <c r="J8956" i="1"/>
  <c r="L8956" i="1"/>
  <c r="M8956" i="1"/>
  <c r="C8957" i="1"/>
  <c r="E8957" i="1"/>
  <c r="F8957" i="1"/>
  <c r="H8957" i="1"/>
  <c r="I8957" i="1"/>
  <c r="J8957" i="1"/>
  <c r="L8957" i="1"/>
  <c r="M8957" i="1"/>
  <c r="C8958" i="1"/>
  <c r="E8958" i="1"/>
  <c r="F8958" i="1"/>
  <c r="H8958" i="1"/>
  <c r="I8958" i="1"/>
  <c r="J8958" i="1"/>
  <c r="L8958" i="1"/>
  <c r="M8958" i="1"/>
  <c r="C8959" i="1"/>
  <c r="E8959" i="1"/>
  <c r="F8959" i="1"/>
  <c r="H8959" i="1"/>
  <c r="I8959" i="1"/>
  <c r="J8959" i="1"/>
  <c r="L8959" i="1"/>
  <c r="M8959" i="1"/>
  <c r="C8960" i="1"/>
  <c r="E8960" i="1"/>
  <c r="F8960" i="1"/>
  <c r="H8960" i="1"/>
  <c r="I8960" i="1"/>
  <c r="J8960" i="1"/>
  <c r="L8960" i="1"/>
  <c r="M8960" i="1"/>
  <c r="C8961" i="1"/>
  <c r="E8961" i="1"/>
  <c r="F8961" i="1"/>
  <c r="H8961" i="1"/>
  <c r="I8961" i="1"/>
  <c r="J8961" i="1"/>
  <c r="L8961" i="1"/>
  <c r="M8961" i="1"/>
  <c r="C8962" i="1"/>
  <c r="E8962" i="1"/>
  <c r="F8962" i="1"/>
  <c r="H8962" i="1"/>
  <c r="I8962" i="1"/>
  <c r="J8962" i="1"/>
  <c r="L8962" i="1"/>
  <c r="M8962" i="1"/>
  <c r="C8963" i="1"/>
  <c r="E8963" i="1"/>
  <c r="F8963" i="1"/>
  <c r="H8963" i="1"/>
  <c r="I8963" i="1"/>
  <c r="J8963" i="1"/>
  <c r="L8963" i="1"/>
  <c r="M8963" i="1"/>
  <c r="C8964" i="1"/>
  <c r="E8964" i="1"/>
  <c r="F8964" i="1"/>
  <c r="H8964" i="1"/>
  <c r="I8964" i="1"/>
  <c r="J8964" i="1"/>
  <c r="L8964" i="1"/>
  <c r="M8964" i="1"/>
  <c r="C8965" i="1"/>
  <c r="E8965" i="1"/>
  <c r="F8965" i="1"/>
  <c r="H8965" i="1"/>
  <c r="I8965" i="1"/>
  <c r="J8965" i="1"/>
  <c r="L8965" i="1"/>
  <c r="M8965" i="1"/>
  <c r="C8966" i="1"/>
  <c r="E8966" i="1"/>
  <c r="F8966" i="1"/>
  <c r="H8966" i="1"/>
  <c r="I8966" i="1"/>
  <c r="J8966" i="1"/>
  <c r="L8966" i="1"/>
  <c r="M8966" i="1"/>
  <c r="C8967" i="1"/>
  <c r="E8967" i="1"/>
  <c r="F8967" i="1"/>
  <c r="H8967" i="1"/>
  <c r="I8967" i="1"/>
  <c r="J8967" i="1"/>
  <c r="L8967" i="1"/>
  <c r="M8967" i="1"/>
  <c r="C8968" i="1"/>
  <c r="E8968" i="1"/>
  <c r="F8968" i="1"/>
  <c r="H8968" i="1"/>
  <c r="I8968" i="1"/>
  <c r="J8968" i="1"/>
  <c r="L8968" i="1"/>
  <c r="M8968" i="1"/>
  <c r="C8969" i="1"/>
  <c r="E8969" i="1"/>
  <c r="F8969" i="1"/>
  <c r="H8969" i="1"/>
  <c r="I8969" i="1"/>
  <c r="J8969" i="1"/>
  <c r="L8969" i="1"/>
  <c r="M8969" i="1"/>
  <c r="C8970" i="1"/>
  <c r="E8970" i="1"/>
  <c r="F8970" i="1"/>
  <c r="H8970" i="1"/>
  <c r="I8970" i="1"/>
  <c r="J8970" i="1"/>
  <c r="L8970" i="1"/>
  <c r="M8970" i="1"/>
  <c r="C8971" i="1"/>
  <c r="E8971" i="1"/>
  <c r="F8971" i="1"/>
  <c r="H8971" i="1"/>
  <c r="I8971" i="1"/>
  <c r="J8971" i="1"/>
  <c r="L8971" i="1"/>
  <c r="M8971" i="1"/>
  <c r="C8972" i="1"/>
  <c r="E8972" i="1"/>
  <c r="F8972" i="1"/>
  <c r="H8972" i="1"/>
  <c r="I8972" i="1"/>
  <c r="J8972" i="1"/>
  <c r="L8972" i="1"/>
  <c r="M8972" i="1"/>
  <c r="C8973" i="1"/>
  <c r="E8973" i="1"/>
  <c r="F8973" i="1"/>
  <c r="H8973" i="1"/>
  <c r="I8973" i="1"/>
  <c r="J8973" i="1"/>
  <c r="L8973" i="1"/>
  <c r="M8973" i="1"/>
  <c r="C8974" i="1"/>
  <c r="E8974" i="1"/>
  <c r="F8974" i="1"/>
  <c r="H8974" i="1"/>
  <c r="I8974" i="1"/>
  <c r="J8974" i="1"/>
  <c r="L8974" i="1"/>
  <c r="M8974" i="1"/>
  <c r="C8975" i="1"/>
  <c r="E8975" i="1"/>
  <c r="F8975" i="1"/>
  <c r="H8975" i="1"/>
  <c r="I8975" i="1"/>
  <c r="J8975" i="1"/>
  <c r="L8975" i="1"/>
  <c r="M8975" i="1"/>
  <c r="C8976" i="1"/>
  <c r="E8976" i="1"/>
  <c r="F8976" i="1"/>
  <c r="H8976" i="1"/>
  <c r="I8976" i="1"/>
  <c r="J8976" i="1"/>
  <c r="L8976" i="1"/>
  <c r="M8976" i="1"/>
  <c r="C8977" i="1"/>
  <c r="E8977" i="1"/>
  <c r="F8977" i="1"/>
  <c r="H8977" i="1"/>
  <c r="I8977" i="1"/>
  <c r="J8977" i="1"/>
  <c r="L8977" i="1"/>
  <c r="M8977" i="1"/>
  <c r="C8978" i="1"/>
  <c r="E8978" i="1"/>
  <c r="F8978" i="1"/>
  <c r="H8978" i="1"/>
  <c r="I8978" i="1"/>
  <c r="J8978" i="1"/>
  <c r="L8978" i="1"/>
  <c r="M8978" i="1"/>
  <c r="C8979" i="1"/>
  <c r="E8979" i="1"/>
  <c r="F8979" i="1"/>
  <c r="H8979" i="1"/>
  <c r="I8979" i="1"/>
  <c r="J8979" i="1"/>
  <c r="L8979" i="1"/>
  <c r="M8979" i="1"/>
  <c r="C8980" i="1"/>
  <c r="E8980" i="1"/>
  <c r="F8980" i="1"/>
  <c r="H8980" i="1"/>
  <c r="I8980" i="1"/>
  <c r="J8980" i="1"/>
  <c r="L8980" i="1"/>
  <c r="M8980" i="1"/>
  <c r="C8981" i="1"/>
  <c r="E8981" i="1"/>
  <c r="F8981" i="1"/>
  <c r="H8981" i="1"/>
  <c r="I8981" i="1"/>
  <c r="J8981" i="1"/>
  <c r="L8981" i="1"/>
  <c r="M8981" i="1"/>
  <c r="C8982" i="1"/>
  <c r="E8982" i="1"/>
  <c r="F8982" i="1"/>
  <c r="H8982" i="1"/>
  <c r="I8982" i="1"/>
  <c r="J8982" i="1"/>
  <c r="L8982" i="1"/>
  <c r="M8982" i="1"/>
  <c r="C8983" i="1"/>
  <c r="E8983" i="1"/>
  <c r="F8983" i="1"/>
  <c r="H8983" i="1"/>
  <c r="I8983" i="1"/>
  <c r="J8983" i="1"/>
  <c r="L8983" i="1"/>
  <c r="M8983" i="1"/>
  <c r="C8984" i="1"/>
  <c r="E8984" i="1"/>
  <c r="F8984" i="1"/>
  <c r="H8984" i="1"/>
  <c r="I8984" i="1"/>
  <c r="J8984" i="1"/>
  <c r="L8984" i="1"/>
  <c r="M8984" i="1"/>
  <c r="C8985" i="1"/>
  <c r="E8985" i="1"/>
  <c r="F8985" i="1"/>
  <c r="H8985" i="1"/>
  <c r="I8985" i="1"/>
  <c r="J8985" i="1"/>
  <c r="L8985" i="1"/>
  <c r="M8985" i="1"/>
  <c r="C8986" i="1"/>
  <c r="E8986" i="1"/>
  <c r="F8986" i="1"/>
  <c r="H8986" i="1"/>
  <c r="I8986" i="1"/>
  <c r="J8986" i="1"/>
  <c r="L8986" i="1"/>
  <c r="M8986" i="1"/>
  <c r="C8987" i="1"/>
  <c r="E8987" i="1"/>
  <c r="F8987" i="1"/>
  <c r="H8987" i="1"/>
  <c r="I8987" i="1"/>
  <c r="J8987" i="1"/>
  <c r="L8987" i="1"/>
  <c r="M8987" i="1"/>
  <c r="C8988" i="1"/>
  <c r="E8988" i="1"/>
  <c r="F8988" i="1"/>
  <c r="H8988" i="1"/>
  <c r="I8988" i="1"/>
  <c r="J8988" i="1"/>
  <c r="L8988" i="1"/>
  <c r="M8988" i="1"/>
  <c r="C8989" i="1"/>
  <c r="E8989" i="1"/>
  <c r="F8989" i="1"/>
  <c r="H8989" i="1"/>
  <c r="I8989" i="1"/>
  <c r="J8989" i="1"/>
  <c r="L8989" i="1"/>
  <c r="M8989" i="1"/>
  <c r="C8990" i="1"/>
  <c r="E8990" i="1"/>
  <c r="F8990" i="1"/>
  <c r="H8990" i="1"/>
  <c r="I8990" i="1"/>
  <c r="J8990" i="1"/>
  <c r="L8990" i="1"/>
  <c r="M8990" i="1"/>
  <c r="C8991" i="1"/>
  <c r="E8991" i="1"/>
  <c r="F8991" i="1"/>
  <c r="H8991" i="1"/>
  <c r="I8991" i="1"/>
  <c r="J8991" i="1"/>
  <c r="L8991" i="1"/>
  <c r="M8991" i="1"/>
  <c r="C8992" i="1"/>
  <c r="E8992" i="1"/>
  <c r="F8992" i="1"/>
  <c r="H8992" i="1"/>
  <c r="I8992" i="1"/>
  <c r="J8992" i="1"/>
  <c r="L8992" i="1"/>
  <c r="M8992" i="1"/>
  <c r="C8993" i="1"/>
  <c r="E8993" i="1"/>
  <c r="F8993" i="1"/>
  <c r="H8993" i="1"/>
  <c r="I8993" i="1"/>
  <c r="J8993" i="1"/>
  <c r="L8993" i="1"/>
  <c r="M8993" i="1"/>
  <c r="C8994" i="1"/>
  <c r="E8994" i="1"/>
  <c r="F8994" i="1"/>
  <c r="H8994" i="1"/>
  <c r="I8994" i="1"/>
  <c r="J8994" i="1"/>
  <c r="L8994" i="1"/>
  <c r="M8994" i="1"/>
  <c r="C8995" i="1"/>
  <c r="E8995" i="1"/>
  <c r="F8995" i="1"/>
  <c r="H8995" i="1"/>
  <c r="I8995" i="1"/>
  <c r="J8995" i="1"/>
  <c r="L8995" i="1"/>
  <c r="M8995" i="1"/>
  <c r="C8996" i="1"/>
  <c r="E8996" i="1"/>
  <c r="F8996" i="1"/>
  <c r="H8996" i="1"/>
  <c r="I8996" i="1"/>
  <c r="J8996" i="1"/>
  <c r="L8996" i="1"/>
  <c r="M8996" i="1"/>
  <c r="C8997" i="1"/>
  <c r="E8997" i="1"/>
  <c r="F8997" i="1"/>
  <c r="H8997" i="1"/>
  <c r="I8997" i="1"/>
  <c r="J8997" i="1"/>
  <c r="L8997" i="1"/>
  <c r="M8997" i="1"/>
  <c r="C8998" i="1"/>
  <c r="E8998" i="1"/>
  <c r="F8998" i="1"/>
  <c r="H8998" i="1"/>
  <c r="I8998" i="1"/>
  <c r="J8998" i="1"/>
  <c r="L8998" i="1"/>
  <c r="M8998" i="1"/>
  <c r="C8999" i="1"/>
  <c r="E8999" i="1"/>
  <c r="F8999" i="1"/>
  <c r="H8999" i="1"/>
  <c r="I8999" i="1"/>
  <c r="J8999" i="1"/>
  <c r="L8999" i="1"/>
  <c r="M8999" i="1"/>
  <c r="C9000" i="1"/>
  <c r="E9000" i="1"/>
  <c r="F9000" i="1"/>
  <c r="H9000" i="1"/>
  <c r="I9000" i="1"/>
  <c r="J9000" i="1"/>
  <c r="L9000" i="1"/>
  <c r="M9000" i="1"/>
  <c r="C9001" i="1"/>
  <c r="E9001" i="1"/>
  <c r="F9001" i="1"/>
  <c r="H9001" i="1"/>
  <c r="I9001" i="1"/>
  <c r="J9001" i="1"/>
  <c r="L9001" i="1"/>
  <c r="M9001" i="1"/>
  <c r="C9002" i="1"/>
  <c r="E9002" i="1"/>
  <c r="F9002" i="1"/>
  <c r="H9002" i="1"/>
  <c r="I9002" i="1"/>
  <c r="J9002" i="1"/>
  <c r="L9002" i="1"/>
  <c r="M9002" i="1"/>
  <c r="C9003" i="1"/>
  <c r="E9003" i="1"/>
  <c r="F9003" i="1"/>
  <c r="H9003" i="1"/>
  <c r="I9003" i="1"/>
  <c r="J9003" i="1"/>
  <c r="L9003" i="1"/>
  <c r="M9003" i="1"/>
  <c r="C9004" i="1"/>
  <c r="E9004" i="1"/>
  <c r="F9004" i="1"/>
  <c r="H9004" i="1"/>
  <c r="I9004" i="1"/>
  <c r="J9004" i="1"/>
  <c r="L9004" i="1"/>
  <c r="M9004" i="1"/>
  <c r="C9005" i="1"/>
  <c r="E9005" i="1"/>
  <c r="F9005" i="1"/>
  <c r="H9005" i="1"/>
  <c r="I9005" i="1"/>
  <c r="J9005" i="1"/>
  <c r="L9005" i="1"/>
  <c r="M9005" i="1"/>
  <c r="C9006" i="1"/>
  <c r="E9006" i="1"/>
  <c r="F9006" i="1"/>
  <c r="H9006" i="1"/>
  <c r="I9006" i="1"/>
  <c r="J9006" i="1"/>
  <c r="L9006" i="1"/>
  <c r="M9006" i="1"/>
  <c r="C9007" i="1"/>
  <c r="E9007" i="1"/>
  <c r="F9007" i="1"/>
  <c r="H9007" i="1"/>
  <c r="I9007" i="1"/>
  <c r="J9007" i="1"/>
  <c r="L9007" i="1"/>
  <c r="M9007" i="1"/>
  <c r="C9008" i="1"/>
  <c r="E9008" i="1"/>
  <c r="F9008" i="1"/>
  <c r="H9008" i="1"/>
  <c r="I9008" i="1"/>
  <c r="J9008" i="1"/>
  <c r="L9008" i="1"/>
  <c r="M9008" i="1"/>
  <c r="C9009" i="1"/>
  <c r="E9009" i="1"/>
  <c r="F9009" i="1"/>
  <c r="H9009" i="1"/>
  <c r="I9009" i="1"/>
  <c r="J9009" i="1"/>
  <c r="L9009" i="1"/>
  <c r="M9009" i="1"/>
  <c r="C9010" i="1"/>
  <c r="E9010" i="1"/>
  <c r="F9010" i="1"/>
  <c r="H9010" i="1"/>
  <c r="I9010" i="1"/>
  <c r="J9010" i="1"/>
  <c r="L9010" i="1"/>
  <c r="M9010" i="1"/>
  <c r="C9011" i="1"/>
  <c r="E9011" i="1"/>
  <c r="F9011" i="1"/>
  <c r="H9011" i="1"/>
  <c r="I9011" i="1"/>
  <c r="J9011" i="1"/>
  <c r="L9011" i="1"/>
  <c r="M9011" i="1"/>
  <c r="C9012" i="1"/>
  <c r="E9012" i="1"/>
  <c r="F9012" i="1"/>
  <c r="H9012" i="1"/>
  <c r="I9012" i="1"/>
  <c r="J9012" i="1"/>
  <c r="L9012" i="1"/>
  <c r="M9012" i="1"/>
  <c r="C9013" i="1"/>
  <c r="E9013" i="1"/>
  <c r="F9013" i="1"/>
  <c r="H9013" i="1"/>
  <c r="I9013" i="1"/>
  <c r="J9013" i="1"/>
  <c r="L9013" i="1"/>
  <c r="M9013" i="1"/>
  <c r="C9014" i="1"/>
  <c r="E9014" i="1"/>
  <c r="F9014" i="1"/>
  <c r="H9014" i="1"/>
  <c r="I9014" i="1"/>
  <c r="J9014" i="1"/>
  <c r="L9014" i="1"/>
  <c r="M9014" i="1"/>
  <c r="C9015" i="1"/>
  <c r="E9015" i="1"/>
  <c r="F9015" i="1"/>
  <c r="H9015" i="1"/>
  <c r="I9015" i="1"/>
  <c r="J9015" i="1"/>
  <c r="L9015" i="1"/>
  <c r="M9015" i="1"/>
  <c r="C9016" i="1"/>
  <c r="E9016" i="1"/>
  <c r="F9016" i="1"/>
  <c r="H9016" i="1"/>
  <c r="I9016" i="1"/>
  <c r="J9016" i="1"/>
  <c r="L9016" i="1"/>
  <c r="M9016" i="1"/>
  <c r="C9017" i="1"/>
  <c r="E9017" i="1"/>
  <c r="F9017" i="1"/>
  <c r="H9017" i="1"/>
  <c r="I9017" i="1"/>
  <c r="J9017" i="1"/>
  <c r="L9017" i="1"/>
  <c r="M9017" i="1"/>
  <c r="C9018" i="1"/>
  <c r="E9018" i="1"/>
  <c r="F9018" i="1"/>
  <c r="H9018" i="1"/>
  <c r="I9018" i="1"/>
  <c r="J9018" i="1"/>
  <c r="L9018" i="1"/>
  <c r="M9018" i="1"/>
  <c r="C9019" i="1"/>
  <c r="E9019" i="1"/>
  <c r="F9019" i="1"/>
  <c r="H9019" i="1"/>
  <c r="I9019" i="1"/>
  <c r="J9019" i="1"/>
  <c r="L9019" i="1"/>
  <c r="M9019" i="1"/>
  <c r="C9020" i="1"/>
  <c r="E9020" i="1"/>
  <c r="F9020" i="1"/>
  <c r="H9020" i="1"/>
  <c r="I9020" i="1"/>
  <c r="J9020" i="1"/>
  <c r="L9020" i="1"/>
  <c r="M9020" i="1"/>
  <c r="C9021" i="1"/>
  <c r="E9021" i="1"/>
  <c r="F9021" i="1"/>
  <c r="H9021" i="1"/>
  <c r="I9021" i="1"/>
  <c r="J9021" i="1"/>
  <c r="L9021" i="1"/>
  <c r="M9021" i="1"/>
  <c r="C9022" i="1"/>
  <c r="E9022" i="1"/>
  <c r="F9022" i="1"/>
  <c r="H9022" i="1"/>
  <c r="I9022" i="1"/>
  <c r="J9022" i="1"/>
  <c r="L9022" i="1"/>
  <c r="M9022" i="1"/>
  <c r="C9023" i="1"/>
  <c r="E9023" i="1"/>
  <c r="F9023" i="1"/>
  <c r="H9023" i="1"/>
  <c r="I9023" i="1"/>
  <c r="J9023" i="1"/>
  <c r="L9023" i="1"/>
  <c r="M9023" i="1"/>
  <c r="C9024" i="1"/>
  <c r="E9024" i="1"/>
  <c r="F9024" i="1"/>
  <c r="H9024" i="1"/>
  <c r="I9024" i="1"/>
  <c r="J9024" i="1"/>
  <c r="L9024" i="1"/>
  <c r="M9024" i="1"/>
  <c r="C9025" i="1"/>
  <c r="E9025" i="1"/>
  <c r="F9025" i="1"/>
  <c r="H9025" i="1"/>
  <c r="I9025" i="1"/>
  <c r="J9025" i="1"/>
  <c r="L9025" i="1"/>
  <c r="M9025" i="1"/>
  <c r="C9026" i="1"/>
  <c r="E9026" i="1"/>
  <c r="F9026" i="1"/>
  <c r="H9026" i="1"/>
  <c r="I9026" i="1"/>
  <c r="J9026" i="1"/>
  <c r="L9026" i="1"/>
  <c r="M9026" i="1"/>
  <c r="C9027" i="1"/>
  <c r="E9027" i="1"/>
  <c r="F9027" i="1"/>
  <c r="H9027" i="1"/>
  <c r="I9027" i="1"/>
  <c r="J9027" i="1"/>
  <c r="L9027" i="1"/>
  <c r="M9027" i="1"/>
  <c r="C9028" i="1"/>
  <c r="E9028" i="1"/>
  <c r="F9028" i="1"/>
  <c r="H9028" i="1"/>
  <c r="I9028" i="1"/>
  <c r="J9028" i="1"/>
  <c r="L9028" i="1"/>
  <c r="M9028" i="1"/>
  <c r="C9029" i="1"/>
  <c r="E9029" i="1"/>
  <c r="F9029" i="1"/>
  <c r="H9029" i="1"/>
  <c r="I9029" i="1"/>
  <c r="J9029" i="1"/>
  <c r="L9029" i="1"/>
  <c r="M9029" i="1"/>
  <c r="C9030" i="1"/>
  <c r="E9030" i="1"/>
  <c r="F9030" i="1"/>
  <c r="H9030" i="1"/>
  <c r="I9030" i="1"/>
  <c r="J9030" i="1"/>
  <c r="L9030" i="1"/>
  <c r="M9030" i="1"/>
  <c r="C9031" i="1"/>
  <c r="E9031" i="1"/>
  <c r="F9031" i="1"/>
  <c r="H9031" i="1"/>
  <c r="I9031" i="1"/>
  <c r="J9031" i="1"/>
  <c r="L9031" i="1"/>
  <c r="M9031" i="1"/>
  <c r="C9032" i="1"/>
  <c r="E9032" i="1"/>
  <c r="F9032" i="1"/>
  <c r="H9032" i="1"/>
  <c r="I9032" i="1"/>
  <c r="J9032" i="1"/>
  <c r="L9032" i="1"/>
  <c r="M9032" i="1"/>
  <c r="C9033" i="1"/>
  <c r="E9033" i="1"/>
  <c r="F9033" i="1"/>
  <c r="H9033" i="1"/>
  <c r="I9033" i="1"/>
  <c r="J9033" i="1"/>
  <c r="L9033" i="1"/>
  <c r="M9033" i="1"/>
  <c r="C9034" i="1"/>
  <c r="E9034" i="1"/>
  <c r="F9034" i="1"/>
  <c r="H9034" i="1"/>
  <c r="I9034" i="1"/>
  <c r="J9034" i="1"/>
  <c r="L9034" i="1"/>
  <c r="M9034" i="1"/>
  <c r="C9035" i="1"/>
  <c r="E9035" i="1"/>
  <c r="F9035" i="1"/>
  <c r="H9035" i="1"/>
  <c r="I9035" i="1"/>
  <c r="J9035" i="1"/>
  <c r="L9035" i="1"/>
  <c r="M9035" i="1"/>
  <c r="C9036" i="1"/>
  <c r="E9036" i="1"/>
  <c r="F9036" i="1"/>
  <c r="H9036" i="1"/>
  <c r="I9036" i="1"/>
  <c r="J9036" i="1"/>
  <c r="L9036" i="1"/>
  <c r="M9036" i="1"/>
  <c r="C9037" i="1"/>
  <c r="E9037" i="1"/>
  <c r="F9037" i="1"/>
  <c r="H9037" i="1"/>
  <c r="I9037" i="1"/>
  <c r="J9037" i="1"/>
  <c r="L9037" i="1"/>
  <c r="M9037" i="1"/>
  <c r="C9038" i="1"/>
  <c r="E9038" i="1"/>
  <c r="F9038" i="1"/>
  <c r="H9038" i="1"/>
  <c r="I9038" i="1"/>
  <c r="J9038" i="1"/>
  <c r="L9038" i="1"/>
  <c r="M9038" i="1"/>
  <c r="C9039" i="1"/>
  <c r="E9039" i="1"/>
  <c r="F9039" i="1"/>
  <c r="H9039" i="1"/>
  <c r="I9039" i="1"/>
  <c r="J9039" i="1"/>
  <c r="L9039" i="1"/>
  <c r="M9039" i="1"/>
  <c r="C9040" i="1"/>
  <c r="E9040" i="1"/>
  <c r="F9040" i="1"/>
  <c r="H9040" i="1"/>
  <c r="I9040" i="1"/>
  <c r="J9040" i="1"/>
  <c r="L9040" i="1"/>
  <c r="M9040" i="1"/>
  <c r="C9041" i="1"/>
  <c r="E9041" i="1"/>
  <c r="F9041" i="1"/>
  <c r="H9041" i="1"/>
  <c r="I9041" i="1"/>
  <c r="J9041" i="1"/>
  <c r="L9041" i="1"/>
  <c r="M9041" i="1"/>
  <c r="C9042" i="1"/>
  <c r="E9042" i="1"/>
  <c r="F9042" i="1"/>
  <c r="H9042" i="1"/>
  <c r="I9042" i="1"/>
  <c r="J9042" i="1"/>
  <c r="L9042" i="1"/>
  <c r="M9042" i="1"/>
  <c r="C9043" i="1"/>
  <c r="E9043" i="1"/>
  <c r="F9043" i="1"/>
  <c r="H9043" i="1"/>
  <c r="I9043" i="1"/>
  <c r="J9043" i="1"/>
  <c r="L9043" i="1"/>
  <c r="M9043" i="1"/>
  <c r="C9044" i="1"/>
  <c r="E9044" i="1"/>
  <c r="F9044" i="1"/>
  <c r="H9044" i="1"/>
  <c r="I9044" i="1"/>
  <c r="J9044" i="1"/>
  <c r="L9044" i="1"/>
  <c r="M9044" i="1"/>
  <c r="C9045" i="1"/>
  <c r="E9045" i="1"/>
  <c r="F9045" i="1"/>
  <c r="H9045" i="1"/>
  <c r="I9045" i="1"/>
  <c r="J9045" i="1"/>
  <c r="L9045" i="1"/>
  <c r="M9045" i="1"/>
  <c r="C9046" i="1"/>
  <c r="E9046" i="1"/>
  <c r="F9046" i="1"/>
  <c r="H9046" i="1"/>
  <c r="I9046" i="1"/>
  <c r="J9046" i="1"/>
  <c r="L9046" i="1"/>
  <c r="M9046" i="1"/>
  <c r="C9047" i="1"/>
  <c r="E9047" i="1"/>
  <c r="F9047" i="1"/>
  <c r="H9047" i="1"/>
  <c r="I9047" i="1"/>
  <c r="J9047" i="1"/>
  <c r="L9047" i="1"/>
  <c r="M9047" i="1"/>
  <c r="C9048" i="1"/>
  <c r="E9048" i="1"/>
  <c r="F9048" i="1"/>
  <c r="H9048" i="1"/>
  <c r="I9048" i="1"/>
  <c r="J9048" i="1"/>
  <c r="L9048" i="1"/>
  <c r="M9048" i="1"/>
  <c r="C9049" i="1"/>
  <c r="E9049" i="1"/>
  <c r="F9049" i="1"/>
  <c r="H9049" i="1"/>
  <c r="I9049" i="1"/>
  <c r="J9049" i="1"/>
  <c r="L9049" i="1"/>
  <c r="M9049" i="1"/>
  <c r="C9050" i="1"/>
  <c r="E9050" i="1"/>
  <c r="F9050" i="1"/>
  <c r="H9050" i="1"/>
  <c r="I9050" i="1"/>
  <c r="J9050" i="1"/>
  <c r="L9050" i="1"/>
  <c r="M9050" i="1"/>
  <c r="C9051" i="1"/>
  <c r="E9051" i="1"/>
  <c r="F9051" i="1"/>
  <c r="H9051" i="1"/>
  <c r="I9051" i="1"/>
  <c r="J9051" i="1"/>
  <c r="L9051" i="1"/>
  <c r="M9051" i="1"/>
  <c r="C9052" i="1"/>
  <c r="E9052" i="1"/>
  <c r="F9052" i="1"/>
  <c r="H9052" i="1"/>
  <c r="I9052" i="1"/>
  <c r="J9052" i="1"/>
  <c r="L9052" i="1"/>
  <c r="M9052" i="1"/>
  <c r="C9053" i="1"/>
  <c r="E9053" i="1"/>
  <c r="F9053" i="1"/>
  <c r="H9053" i="1"/>
  <c r="I9053" i="1"/>
  <c r="J9053" i="1"/>
  <c r="L9053" i="1"/>
  <c r="M9053" i="1"/>
  <c r="C9054" i="1"/>
  <c r="E9054" i="1"/>
  <c r="F9054" i="1"/>
  <c r="H9054" i="1"/>
  <c r="I9054" i="1"/>
  <c r="J9054" i="1"/>
  <c r="L9054" i="1"/>
  <c r="M9054" i="1"/>
  <c r="C9055" i="1"/>
  <c r="E9055" i="1"/>
  <c r="F9055" i="1"/>
  <c r="H9055" i="1"/>
  <c r="I9055" i="1"/>
  <c r="J9055" i="1"/>
  <c r="L9055" i="1"/>
  <c r="M9055" i="1"/>
  <c r="C9056" i="1"/>
  <c r="E9056" i="1"/>
  <c r="F9056" i="1"/>
  <c r="H9056" i="1"/>
  <c r="I9056" i="1"/>
  <c r="J9056" i="1"/>
  <c r="L9056" i="1"/>
  <c r="M9056" i="1"/>
  <c r="C9057" i="1"/>
  <c r="E9057" i="1"/>
  <c r="F9057" i="1"/>
  <c r="H9057" i="1"/>
  <c r="I9057" i="1"/>
  <c r="J9057" i="1"/>
  <c r="L9057" i="1"/>
  <c r="M9057" i="1"/>
  <c r="C9058" i="1"/>
  <c r="E9058" i="1"/>
  <c r="F9058" i="1"/>
  <c r="H9058" i="1"/>
  <c r="I9058" i="1"/>
  <c r="J9058" i="1"/>
  <c r="L9058" i="1"/>
  <c r="M9058" i="1"/>
  <c r="C9059" i="1"/>
  <c r="E9059" i="1"/>
  <c r="F9059" i="1"/>
  <c r="H9059" i="1"/>
  <c r="I9059" i="1"/>
  <c r="J9059" i="1"/>
  <c r="L9059" i="1"/>
  <c r="M9059" i="1"/>
  <c r="C9060" i="1"/>
  <c r="E9060" i="1"/>
  <c r="F9060" i="1"/>
  <c r="H9060" i="1"/>
  <c r="I9060" i="1"/>
  <c r="J9060" i="1"/>
  <c r="L9060" i="1"/>
  <c r="M9060" i="1"/>
  <c r="C9061" i="1"/>
  <c r="E9061" i="1"/>
  <c r="F9061" i="1"/>
  <c r="H9061" i="1"/>
  <c r="I9061" i="1"/>
  <c r="J9061" i="1"/>
  <c r="L9061" i="1"/>
  <c r="M9061" i="1"/>
  <c r="C9062" i="1"/>
  <c r="E9062" i="1"/>
  <c r="F9062" i="1"/>
  <c r="H9062" i="1"/>
  <c r="I9062" i="1"/>
  <c r="J9062" i="1"/>
  <c r="L9062" i="1"/>
  <c r="M9062" i="1"/>
  <c r="C9063" i="1"/>
  <c r="E9063" i="1"/>
  <c r="F9063" i="1"/>
  <c r="H9063" i="1"/>
  <c r="I9063" i="1"/>
  <c r="J9063" i="1"/>
  <c r="L9063" i="1"/>
  <c r="M9063" i="1"/>
  <c r="C9064" i="1"/>
  <c r="E9064" i="1"/>
  <c r="F9064" i="1"/>
  <c r="H9064" i="1"/>
  <c r="I9064" i="1"/>
  <c r="J9064" i="1"/>
  <c r="L9064" i="1"/>
  <c r="M9064" i="1"/>
  <c r="C9065" i="1"/>
  <c r="E9065" i="1"/>
  <c r="F9065" i="1"/>
  <c r="H9065" i="1"/>
  <c r="I9065" i="1"/>
  <c r="J9065" i="1"/>
  <c r="L9065" i="1"/>
  <c r="M9065" i="1"/>
  <c r="C9066" i="1"/>
  <c r="E9066" i="1"/>
  <c r="F9066" i="1"/>
  <c r="H9066" i="1"/>
  <c r="I9066" i="1"/>
  <c r="J9066" i="1"/>
  <c r="L9066" i="1"/>
  <c r="M9066" i="1"/>
  <c r="C9067" i="1"/>
  <c r="E9067" i="1"/>
  <c r="F9067" i="1"/>
  <c r="H9067" i="1"/>
  <c r="I9067" i="1"/>
  <c r="J9067" i="1"/>
  <c r="L9067" i="1"/>
  <c r="M9067" i="1"/>
  <c r="C9068" i="1"/>
  <c r="E9068" i="1"/>
  <c r="F9068" i="1"/>
  <c r="H9068" i="1"/>
  <c r="I9068" i="1"/>
  <c r="J9068" i="1"/>
  <c r="L9068" i="1"/>
  <c r="M9068" i="1"/>
  <c r="C9069" i="1"/>
  <c r="E9069" i="1"/>
  <c r="F9069" i="1"/>
  <c r="H9069" i="1"/>
  <c r="I9069" i="1"/>
  <c r="J9069" i="1"/>
  <c r="L9069" i="1"/>
  <c r="M9069" i="1"/>
  <c r="C9070" i="1"/>
  <c r="E9070" i="1"/>
  <c r="F9070" i="1"/>
  <c r="H9070" i="1"/>
  <c r="I9070" i="1"/>
  <c r="J9070" i="1"/>
  <c r="L9070" i="1"/>
  <c r="M9070" i="1"/>
  <c r="C9071" i="1"/>
  <c r="E9071" i="1"/>
  <c r="F9071" i="1"/>
  <c r="H9071" i="1"/>
  <c r="I9071" i="1"/>
  <c r="J9071" i="1"/>
  <c r="L9071" i="1"/>
  <c r="M9071" i="1"/>
  <c r="C9072" i="1"/>
  <c r="E9072" i="1"/>
  <c r="F9072" i="1"/>
  <c r="H9072" i="1"/>
  <c r="I9072" i="1"/>
  <c r="J9072" i="1"/>
  <c r="L9072" i="1"/>
  <c r="M9072" i="1"/>
  <c r="C9073" i="1"/>
  <c r="E9073" i="1"/>
  <c r="F9073" i="1"/>
  <c r="H9073" i="1"/>
  <c r="I9073" i="1"/>
  <c r="J9073" i="1"/>
  <c r="L9073" i="1"/>
  <c r="M9073" i="1"/>
  <c r="C9074" i="1"/>
  <c r="E9074" i="1"/>
  <c r="F9074" i="1"/>
  <c r="H9074" i="1"/>
  <c r="I9074" i="1"/>
  <c r="J9074" i="1"/>
  <c r="L9074" i="1"/>
  <c r="M9074" i="1"/>
  <c r="C9075" i="1"/>
  <c r="E9075" i="1"/>
  <c r="F9075" i="1"/>
  <c r="H9075" i="1"/>
  <c r="I9075" i="1"/>
  <c r="J9075" i="1"/>
  <c r="L9075" i="1"/>
  <c r="M9075" i="1"/>
  <c r="C9076" i="1"/>
  <c r="E9076" i="1"/>
  <c r="F9076" i="1"/>
  <c r="H9076" i="1"/>
  <c r="I9076" i="1"/>
  <c r="J9076" i="1"/>
  <c r="L9076" i="1"/>
  <c r="M9076" i="1"/>
  <c r="C9077" i="1"/>
  <c r="E9077" i="1"/>
  <c r="F9077" i="1"/>
  <c r="H9077" i="1"/>
  <c r="I9077" i="1"/>
  <c r="J9077" i="1"/>
  <c r="L9077" i="1"/>
  <c r="M9077" i="1"/>
  <c r="C9078" i="1"/>
  <c r="E9078" i="1"/>
  <c r="F9078" i="1"/>
  <c r="H9078" i="1"/>
  <c r="I9078" i="1"/>
  <c r="J9078" i="1"/>
  <c r="L9078" i="1"/>
  <c r="M9078" i="1"/>
  <c r="C9079" i="1"/>
  <c r="E9079" i="1"/>
  <c r="F9079" i="1"/>
  <c r="H9079" i="1"/>
  <c r="I9079" i="1"/>
  <c r="J9079" i="1"/>
  <c r="L9079" i="1"/>
  <c r="M9079" i="1"/>
  <c r="C9080" i="1"/>
  <c r="E9080" i="1"/>
  <c r="F9080" i="1"/>
  <c r="H9080" i="1"/>
  <c r="I9080" i="1"/>
  <c r="J9080" i="1"/>
  <c r="L9080" i="1"/>
  <c r="M9080" i="1"/>
  <c r="C9081" i="1"/>
  <c r="E9081" i="1"/>
  <c r="F9081" i="1"/>
  <c r="H9081" i="1"/>
  <c r="I9081" i="1"/>
  <c r="J9081" i="1"/>
  <c r="L9081" i="1"/>
  <c r="M9081" i="1"/>
  <c r="C9082" i="1"/>
  <c r="E9082" i="1"/>
  <c r="F9082" i="1"/>
  <c r="H9082" i="1"/>
  <c r="I9082" i="1"/>
  <c r="J9082" i="1"/>
  <c r="L9082" i="1"/>
  <c r="M9082" i="1"/>
  <c r="C9083" i="1"/>
  <c r="E9083" i="1"/>
  <c r="F9083" i="1"/>
  <c r="H9083" i="1"/>
  <c r="I9083" i="1"/>
  <c r="J9083" i="1"/>
  <c r="L9083" i="1"/>
  <c r="M9083" i="1"/>
  <c r="C9084" i="1"/>
  <c r="E9084" i="1"/>
  <c r="F9084" i="1"/>
  <c r="H9084" i="1"/>
  <c r="I9084" i="1"/>
  <c r="J9084" i="1"/>
  <c r="L9084" i="1"/>
  <c r="M9084" i="1"/>
  <c r="C9085" i="1"/>
  <c r="E9085" i="1"/>
  <c r="F9085" i="1"/>
  <c r="H9085" i="1"/>
  <c r="I9085" i="1"/>
  <c r="J9085" i="1"/>
  <c r="L9085" i="1"/>
  <c r="M9085" i="1"/>
  <c r="C9086" i="1"/>
  <c r="E9086" i="1"/>
  <c r="F9086" i="1"/>
  <c r="H9086" i="1"/>
  <c r="I9086" i="1"/>
  <c r="J9086" i="1"/>
  <c r="L9086" i="1"/>
  <c r="M9086" i="1"/>
  <c r="C9087" i="1"/>
  <c r="E9087" i="1"/>
  <c r="F9087" i="1"/>
  <c r="H9087" i="1"/>
  <c r="I9087" i="1"/>
  <c r="J9087" i="1"/>
  <c r="L9087" i="1"/>
  <c r="M9087" i="1"/>
  <c r="C9088" i="1"/>
  <c r="E9088" i="1"/>
  <c r="F9088" i="1"/>
  <c r="H9088" i="1"/>
  <c r="I9088" i="1"/>
  <c r="J9088" i="1"/>
  <c r="L9088" i="1"/>
  <c r="M9088" i="1"/>
  <c r="C9089" i="1"/>
  <c r="E9089" i="1"/>
  <c r="F9089" i="1"/>
  <c r="H9089" i="1"/>
  <c r="I9089" i="1"/>
  <c r="J9089" i="1"/>
  <c r="L9089" i="1"/>
  <c r="M9089" i="1"/>
  <c r="C9090" i="1"/>
  <c r="E9090" i="1"/>
  <c r="F9090" i="1"/>
  <c r="H9090" i="1"/>
  <c r="I9090" i="1"/>
  <c r="J9090" i="1"/>
  <c r="L9090" i="1"/>
  <c r="M9090" i="1"/>
  <c r="C9091" i="1"/>
  <c r="E9091" i="1"/>
  <c r="F9091" i="1"/>
  <c r="H9091" i="1"/>
  <c r="I9091" i="1"/>
  <c r="J9091" i="1"/>
  <c r="L9091" i="1"/>
  <c r="M9091" i="1"/>
  <c r="C9092" i="1"/>
  <c r="E9092" i="1"/>
  <c r="F9092" i="1"/>
  <c r="H9092" i="1"/>
  <c r="I9092" i="1"/>
  <c r="J9092" i="1"/>
  <c r="L9092" i="1"/>
  <c r="M9092" i="1"/>
  <c r="C9093" i="1"/>
  <c r="E9093" i="1"/>
  <c r="F9093" i="1"/>
  <c r="H9093" i="1"/>
  <c r="I9093" i="1"/>
  <c r="J9093" i="1"/>
  <c r="L9093" i="1"/>
  <c r="M9093" i="1"/>
  <c r="C9094" i="1"/>
  <c r="E9094" i="1"/>
  <c r="F9094" i="1"/>
  <c r="H9094" i="1"/>
  <c r="I9094" i="1"/>
  <c r="J9094" i="1"/>
  <c r="L9094" i="1"/>
  <c r="M9094" i="1"/>
  <c r="C9095" i="1"/>
  <c r="E9095" i="1"/>
  <c r="F9095" i="1"/>
  <c r="H9095" i="1"/>
  <c r="I9095" i="1"/>
  <c r="J9095" i="1"/>
  <c r="L9095" i="1"/>
  <c r="M9095" i="1"/>
  <c r="C9096" i="1"/>
  <c r="E9096" i="1"/>
  <c r="F9096" i="1"/>
  <c r="H9096" i="1"/>
  <c r="I9096" i="1"/>
  <c r="J9096" i="1"/>
  <c r="L9096" i="1"/>
  <c r="M9096" i="1"/>
  <c r="C9097" i="1"/>
  <c r="E9097" i="1"/>
  <c r="F9097" i="1"/>
  <c r="H9097" i="1"/>
  <c r="I9097" i="1"/>
  <c r="J9097" i="1"/>
  <c r="L9097" i="1"/>
  <c r="M9097" i="1"/>
  <c r="C9098" i="1"/>
  <c r="E9098" i="1"/>
  <c r="F9098" i="1"/>
  <c r="H9098" i="1"/>
  <c r="I9098" i="1"/>
  <c r="J9098" i="1"/>
  <c r="L9098" i="1"/>
  <c r="M9098" i="1"/>
  <c r="C9099" i="1"/>
  <c r="E9099" i="1"/>
  <c r="F9099" i="1"/>
  <c r="H9099" i="1"/>
  <c r="I9099" i="1"/>
  <c r="J9099" i="1"/>
  <c r="L9099" i="1"/>
  <c r="M9099" i="1"/>
  <c r="C9100" i="1"/>
  <c r="E9100" i="1"/>
  <c r="F9100" i="1"/>
  <c r="H9100" i="1"/>
  <c r="I9100" i="1"/>
  <c r="J9100" i="1"/>
  <c r="L9100" i="1"/>
  <c r="M9100" i="1"/>
  <c r="C9101" i="1"/>
  <c r="E9101" i="1"/>
  <c r="F9101" i="1"/>
  <c r="H9101" i="1"/>
  <c r="I9101" i="1"/>
  <c r="J9101" i="1"/>
  <c r="L9101" i="1"/>
  <c r="M9101" i="1"/>
  <c r="C9102" i="1"/>
  <c r="E9102" i="1"/>
  <c r="F9102" i="1"/>
  <c r="H9102" i="1"/>
  <c r="I9102" i="1"/>
  <c r="J9102" i="1"/>
  <c r="L9102" i="1"/>
  <c r="M9102" i="1"/>
  <c r="C9103" i="1"/>
  <c r="E9103" i="1"/>
  <c r="F9103" i="1"/>
  <c r="H9103" i="1"/>
  <c r="I9103" i="1"/>
  <c r="J9103" i="1"/>
  <c r="L9103" i="1"/>
  <c r="M9103" i="1"/>
  <c r="C9104" i="1"/>
  <c r="E9104" i="1"/>
  <c r="F9104" i="1"/>
  <c r="H9104" i="1"/>
  <c r="I9104" i="1"/>
  <c r="J9104" i="1"/>
  <c r="L9104" i="1"/>
  <c r="M9104" i="1"/>
  <c r="C9105" i="1"/>
  <c r="E9105" i="1"/>
  <c r="F9105" i="1"/>
  <c r="H9105" i="1"/>
  <c r="I9105" i="1"/>
  <c r="J9105" i="1"/>
  <c r="L9105" i="1"/>
  <c r="M9105" i="1"/>
  <c r="C9106" i="1"/>
  <c r="E9106" i="1"/>
  <c r="F9106" i="1"/>
  <c r="H9106" i="1"/>
  <c r="I9106" i="1"/>
  <c r="J9106" i="1"/>
  <c r="L9106" i="1"/>
  <c r="M9106" i="1"/>
  <c r="C9107" i="1"/>
  <c r="E9107" i="1"/>
  <c r="F9107" i="1"/>
  <c r="H9107" i="1"/>
  <c r="I9107" i="1"/>
  <c r="J9107" i="1"/>
  <c r="L9107" i="1"/>
  <c r="M9107" i="1"/>
  <c r="C9108" i="1"/>
  <c r="E9108" i="1"/>
  <c r="F9108" i="1"/>
  <c r="H9108" i="1"/>
  <c r="I9108" i="1"/>
  <c r="J9108" i="1"/>
  <c r="L9108" i="1"/>
  <c r="M9108" i="1"/>
  <c r="C9109" i="1"/>
  <c r="E9109" i="1"/>
  <c r="F9109" i="1"/>
  <c r="H9109" i="1"/>
  <c r="I9109" i="1"/>
  <c r="J9109" i="1"/>
  <c r="L9109" i="1"/>
  <c r="M9109" i="1"/>
  <c r="C9110" i="1"/>
  <c r="E9110" i="1"/>
  <c r="F9110" i="1"/>
  <c r="H9110" i="1"/>
  <c r="I9110" i="1"/>
  <c r="J9110" i="1"/>
  <c r="L9110" i="1"/>
  <c r="M9110" i="1"/>
  <c r="C9111" i="1"/>
  <c r="E9111" i="1"/>
  <c r="F9111" i="1"/>
  <c r="H9111" i="1"/>
  <c r="I9111" i="1"/>
  <c r="J9111" i="1"/>
  <c r="L9111" i="1"/>
  <c r="M9111" i="1"/>
  <c r="C9112" i="1"/>
  <c r="E9112" i="1"/>
  <c r="F9112" i="1"/>
  <c r="H9112" i="1"/>
  <c r="I9112" i="1"/>
  <c r="J9112" i="1"/>
  <c r="L9112" i="1"/>
  <c r="M9112" i="1"/>
  <c r="C9113" i="1"/>
  <c r="E9113" i="1"/>
  <c r="F9113" i="1"/>
  <c r="H9113" i="1"/>
  <c r="I9113" i="1"/>
  <c r="J9113" i="1"/>
  <c r="L9113" i="1"/>
  <c r="M9113" i="1"/>
  <c r="C9114" i="1"/>
  <c r="E9114" i="1"/>
  <c r="F9114" i="1"/>
  <c r="H9114" i="1"/>
  <c r="I9114" i="1"/>
  <c r="J9114" i="1"/>
  <c r="L9114" i="1"/>
  <c r="M9114" i="1"/>
  <c r="C9115" i="1"/>
  <c r="E9115" i="1"/>
  <c r="F9115" i="1"/>
  <c r="H9115" i="1"/>
  <c r="I9115" i="1"/>
  <c r="J9115" i="1"/>
  <c r="L9115" i="1"/>
  <c r="M9115" i="1"/>
  <c r="C9116" i="1"/>
  <c r="E9116" i="1"/>
  <c r="F9116" i="1"/>
  <c r="H9116" i="1"/>
  <c r="I9116" i="1"/>
  <c r="J9116" i="1"/>
  <c r="L9116" i="1"/>
  <c r="M9116" i="1"/>
  <c r="C9117" i="1"/>
  <c r="E9117" i="1"/>
  <c r="F9117" i="1"/>
  <c r="H9117" i="1"/>
  <c r="I9117" i="1"/>
  <c r="J9117" i="1"/>
  <c r="L9117" i="1"/>
  <c r="M9117" i="1"/>
  <c r="C9118" i="1"/>
  <c r="E9118" i="1"/>
  <c r="F9118" i="1"/>
  <c r="H9118" i="1"/>
  <c r="I9118" i="1"/>
  <c r="J9118" i="1"/>
  <c r="L9118" i="1"/>
  <c r="M9118" i="1"/>
  <c r="C9119" i="1"/>
  <c r="E9119" i="1"/>
  <c r="F9119" i="1"/>
  <c r="H9119" i="1"/>
  <c r="I9119" i="1"/>
  <c r="J9119" i="1"/>
  <c r="L9119" i="1"/>
  <c r="M9119" i="1"/>
  <c r="C9120" i="1"/>
  <c r="E9120" i="1"/>
  <c r="F9120" i="1"/>
  <c r="H9120" i="1"/>
  <c r="I9120" i="1"/>
  <c r="J9120" i="1"/>
  <c r="L9120" i="1"/>
  <c r="M9120" i="1"/>
  <c r="C9121" i="1"/>
  <c r="E9121" i="1"/>
  <c r="F9121" i="1"/>
  <c r="H9121" i="1"/>
  <c r="I9121" i="1"/>
  <c r="J9121" i="1"/>
  <c r="L9121" i="1"/>
  <c r="M9121" i="1"/>
  <c r="C9122" i="1"/>
  <c r="E9122" i="1"/>
  <c r="F9122" i="1"/>
  <c r="H9122" i="1"/>
  <c r="I9122" i="1"/>
  <c r="J9122" i="1"/>
  <c r="L9122" i="1"/>
  <c r="M9122" i="1"/>
  <c r="C9123" i="1"/>
  <c r="E9123" i="1"/>
  <c r="F9123" i="1"/>
  <c r="H9123" i="1"/>
  <c r="I9123" i="1"/>
  <c r="J9123" i="1"/>
  <c r="L9123" i="1"/>
  <c r="M9123" i="1"/>
  <c r="C9124" i="1"/>
  <c r="E9124" i="1"/>
  <c r="F9124" i="1"/>
  <c r="H9124" i="1"/>
  <c r="I9124" i="1"/>
  <c r="J9124" i="1"/>
  <c r="L9124" i="1"/>
  <c r="M9124" i="1"/>
  <c r="C9125" i="1"/>
  <c r="E9125" i="1"/>
  <c r="F9125" i="1"/>
  <c r="H9125" i="1"/>
  <c r="I9125" i="1"/>
  <c r="J9125" i="1"/>
  <c r="L9125" i="1"/>
  <c r="M9125" i="1"/>
  <c r="C9126" i="1"/>
  <c r="E9126" i="1"/>
  <c r="F9126" i="1"/>
  <c r="H9126" i="1"/>
  <c r="I9126" i="1"/>
  <c r="J9126" i="1"/>
  <c r="L9126" i="1"/>
  <c r="M9126" i="1"/>
  <c r="C9127" i="1"/>
  <c r="E9127" i="1"/>
  <c r="F9127" i="1"/>
  <c r="H9127" i="1"/>
  <c r="I9127" i="1"/>
  <c r="J9127" i="1"/>
  <c r="L9127" i="1"/>
  <c r="M9127" i="1"/>
  <c r="C9128" i="1"/>
  <c r="E9128" i="1"/>
  <c r="F9128" i="1"/>
  <c r="H9128" i="1"/>
  <c r="I9128" i="1"/>
  <c r="J9128" i="1"/>
  <c r="L9128" i="1"/>
  <c r="M9128" i="1"/>
  <c r="C9129" i="1"/>
  <c r="E9129" i="1"/>
  <c r="F9129" i="1"/>
  <c r="H9129" i="1"/>
  <c r="I9129" i="1"/>
  <c r="J9129" i="1"/>
  <c r="L9129" i="1"/>
  <c r="M9129" i="1"/>
  <c r="C9130" i="1"/>
  <c r="E9130" i="1"/>
  <c r="F9130" i="1"/>
  <c r="H9130" i="1"/>
  <c r="I9130" i="1"/>
  <c r="J9130" i="1"/>
  <c r="L9130" i="1"/>
  <c r="M9130" i="1"/>
  <c r="C9131" i="1"/>
  <c r="E9131" i="1"/>
  <c r="F9131" i="1"/>
  <c r="H9131" i="1"/>
  <c r="I9131" i="1"/>
  <c r="J9131" i="1"/>
  <c r="L9131" i="1"/>
  <c r="M9131" i="1"/>
  <c r="C9132" i="1"/>
  <c r="E9132" i="1"/>
  <c r="F9132" i="1"/>
  <c r="H9132" i="1"/>
  <c r="I9132" i="1"/>
  <c r="J9132" i="1"/>
  <c r="L9132" i="1"/>
  <c r="M9132" i="1"/>
  <c r="C9133" i="1"/>
  <c r="E9133" i="1"/>
  <c r="F9133" i="1"/>
  <c r="H9133" i="1"/>
  <c r="I9133" i="1"/>
  <c r="J9133" i="1"/>
  <c r="L9133" i="1"/>
  <c r="M9133" i="1"/>
  <c r="C9134" i="1"/>
  <c r="E9134" i="1"/>
  <c r="F9134" i="1"/>
  <c r="H9134" i="1"/>
  <c r="I9134" i="1"/>
  <c r="J9134" i="1"/>
  <c r="L9134" i="1"/>
  <c r="M9134" i="1"/>
  <c r="C9135" i="1"/>
  <c r="E9135" i="1"/>
  <c r="F9135" i="1"/>
  <c r="H9135" i="1"/>
  <c r="I9135" i="1"/>
  <c r="J9135" i="1"/>
  <c r="L9135" i="1"/>
  <c r="M9135" i="1"/>
  <c r="C9136" i="1"/>
  <c r="E9136" i="1"/>
  <c r="F9136" i="1"/>
  <c r="H9136" i="1"/>
  <c r="I9136" i="1"/>
  <c r="J9136" i="1"/>
  <c r="L9136" i="1"/>
  <c r="M9136" i="1"/>
  <c r="C9137" i="1"/>
  <c r="E9137" i="1"/>
  <c r="F9137" i="1"/>
  <c r="H9137" i="1"/>
  <c r="I9137" i="1"/>
  <c r="J9137" i="1"/>
  <c r="L9137" i="1"/>
  <c r="M9137" i="1"/>
  <c r="C9138" i="1"/>
  <c r="E9138" i="1"/>
  <c r="F9138" i="1"/>
  <c r="H9138" i="1"/>
  <c r="I9138" i="1"/>
  <c r="J9138" i="1"/>
  <c r="L9138" i="1"/>
  <c r="M9138" i="1"/>
  <c r="C9139" i="1"/>
  <c r="E9139" i="1"/>
  <c r="F9139" i="1"/>
  <c r="H9139" i="1"/>
  <c r="I9139" i="1"/>
  <c r="J9139" i="1"/>
  <c r="L9139" i="1"/>
  <c r="M9139" i="1"/>
  <c r="C9140" i="1"/>
  <c r="E9140" i="1"/>
  <c r="F9140" i="1"/>
  <c r="H9140" i="1"/>
  <c r="I9140" i="1"/>
  <c r="J9140" i="1"/>
  <c r="L9140" i="1"/>
  <c r="M9140" i="1"/>
  <c r="C9141" i="1"/>
  <c r="E9141" i="1"/>
  <c r="F9141" i="1"/>
  <c r="H9141" i="1"/>
  <c r="I9141" i="1"/>
  <c r="J9141" i="1"/>
  <c r="L9141" i="1"/>
  <c r="M9141" i="1"/>
  <c r="C9142" i="1"/>
  <c r="E9142" i="1"/>
  <c r="F9142" i="1"/>
  <c r="H9142" i="1"/>
  <c r="I9142" i="1"/>
  <c r="J9142" i="1"/>
  <c r="L9142" i="1"/>
  <c r="M9142" i="1"/>
  <c r="C9143" i="1"/>
  <c r="E9143" i="1"/>
  <c r="F9143" i="1"/>
  <c r="H9143" i="1"/>
  <c r="I9143" i="1"/>
  <c r="J9143" i="1"/>
  <c r="L9143" i="1"/>
  <c r="M9143" i="1"/>
  <c r="C9144" i="1"/>
  <c r="E9144" i="1"/>
  <c r="F9144" i="1"/>
  <c r="H9144" i="1"/>
  <c r="I9144" i="1"/>
  <c r="J9144" i="1"/>
  <c r="L9144" i="1"/>
  <c r="M9144" i="1"/>
  <c r="C9145" i="1"/>
  <c r="E9145" i="1"/>
  <c r="F9145" i="1"/>
  <c r="H9145" i="1"/>
  <c r="I9145" i="1"/>
  <c r="J9145" i="1"/>
  <c r="L9145" i="1"/>
  <c r="M9145" i="1"/>
  <c r="C9146" i="1"/>
  <c r="E9146" i="1"/>
  <c r="F9146" i="1"/>
  <c r="H9146" i="1"/>
  <c r="I9146" i="1"/>
  <c r="J9146" i="1"/>
  <c r="L9146" i="1"/>
  <c r="M9146" i="1"/>
  <c r="C9147" i="1"/>
  <c r="E9147" i="1"/>
  <c r="F9147" i="1"/>
  <c r="H9147" i="1"/>
  <c r="I9147" i="1"/>
  <c r="J9147" i="1"/>
  <c r="L9147" i="1"/>
  <c r="M9147" i="1"/>
  <c r="C9148" i="1"/>
  <c r="E9148" i="1"/>
  <c r="F9148" i="1"/>
  <c r="H9148" i="1"/>
  <c r="I9148" i="1"/>
  <c r="J9148" i="1"/>
  <c r="L9148" i="1"/>
  <c r="M9148" i="1"/>
  <c r="C9149" i="1"/>
  <c r="E9149" i="1"/>
  <c r="F9149" i="1"/>
  <c r="H9149" i="1"/>
  <c r="I9149" i="1"/>
  <c r="J9149" i="1"/>
  <c r="L9149" i="1"/>
  <c r="M9149" i="1"/>
  <c r="C9150" i="1"/>
  <c r="E9150" i="1"/>
  <c r="F9150" i="1"/>
  <c r="H9150" i="1"/>
  <c r="I9150" i="1"/>
  <c r="J9150" i="1"/>
  <c r="L9150" i="1"/>
  <c r="M9150" i="1"/>
  <c r="C9151" i="1"/>
  <c r="E9151" i="1"/>
  <c r="F9151" i="1"/>
  <c r="H9151" i="1"/>
  <c r="I9151" i="1"/>
  <c r="J9151" i="1"/>
  <c r="L9151" i="1"/>
  <c r="M9151" i="1"/>
  <c r="C9152" i="1"/>
  <c r="E9152" i="1"/>
  <c r="F9152" i="1"/>
  <c r="H9152" i="1"/>
  <c r="I9152" i="1"/>
  <c r="J9152" i="1"/>
  <c r="L9152" i="1"/>
  <c r="M9152" i="1"/>
  <c r="C9153" i="1"/>
  <c r="E9153" i="1"/>
  <c r="F9153" i="1"/>
  <c r="H9153" i="1"/>
  <c r="I9153" i="1"/>
  <c r="J9153" i="1"/>
  <c r="L9153" i="1"/>
  <c r="M9153" i="1"/>
  <c r="C9154" i="1"/>
  <c r="E9154" i="1"/>
  <c r="F9154" i="1"/>
  <c r="H9154" i="1"/>
  <c r="I9154" i="1"/>
  <c r="J9154" i="1"/>
  <c r="L9154" i="1"/>
  <c r="M9154" i="1"/>
  <c r="C9155" i="1"/>
  <c r="E9155" i="1"/>
  <c r="F9155" i="1"/>
  <c r="H9155" i="1"/>
  <c r="I9155" i="1"/>
  <c r="J9155" i="1"/>
  <c r="L9155" i="1"/>
  <c r="M9155" i="1"/>
  <c r="C9156" i="1"/>
  <c r="E9156" i="1"/>
  <c r="F9156" i="1"/>
  <c r="H9156" i="1"/>
  <c r="I9156" i="1"/>
  <c r="J9156" i="1"/>
  <c r="L9156" i="1"/>
  <c r="M9156" i="1"/>
  <c r="C9157" i="1"/>
  <c r="E9157" i="1"/>
  <c r="F9157" i="1"/>
  <c r="H9157" i="1"/>
  <c r="I9157" i="1"/>
  <c r="J9157" i="1"/>
  <c r="L9157" i="1"/>
  <c r="M9157" i="1"/>
  <c r="C9158" i="1"/>
  <c r="E9158" i="1"/>
  <c r="F9158" i="1"/>
  <c r="H9158" i="1"/>
  <c r="I9158" i="1"/>
  <c r="J9158" i="1"/>
  <c r="L9158" i="1"/>
  <c r="M9158" i="1"/>
  <c r="C9159" i="1"/>
  <c r="E9159" i="1"/>
  <c r="F9159" i="1"/>
  <c r="H9159" i="1"/>
  <c r="I9159" i="1"/>
  <c r="J9159" i="1"/>
  <c r="L9159" i="1"/>
  <c r="M9159" i="1"/>
  <c r="C9160" i="1"/>
  <c r="E9160" i="1"/>
  <c r="F9160" i="1"/>
  <c r="H9160" i="1"/>
  <c r="I9160" i="1"/>
  <c r="J9160" i="1"/>
  <c r="L9160" i="1"/>
  <c r="M9160" i="1"/>
  <c r="C9161" i="1"/>
  <c r="E9161" i="1"/>
  <c r="F9161" i="1"/>
  <c r="H9161" i="1"/>
  <c r="I9161" i="1"/>
  <c r="J9161" i="1"/>
  <c r="L9161" i="1"/>
  <c r="M9161" i="1"/>
  <c r="C9162" i="1"/>
  <c r="E9162" i="1"/>
  <c r="F9162" i="1"/>
  <c r="H9162" i="1"/>
  <c r="I9162" i="1"/>
  <c r="J9162" i="1"/>
  <c r="L9162" i="1"/>
  <c r="M9162" i="1"/>
  <c r="C9163" i="1"/>
  <c r="E9163" i="1"/>
  <c r="F9163" i="1"/>
  <c r="H9163" i="1"/>
  <c r="I9163" i="1"/>
  <c r="J9163" i="1"/>
  <c r="L9163" i="1"/>
  <c r="M9163" i="1"/>
  <c r="C9164" i="1"/>
  <c r="E9164" i="1"/>
  <c r="F9164" i="1"/>
  <c r="H9164" i="1"/>
  <c r="I9164" i="1"/>
  <c r="J9164" i="1"/>
  <c r="L9164" i="1"/>
  <c r="M9164" i="1"/>
  <c r="C9165" i="1"/>
  <c r="E9165" i="1"/>
  <c r="F9165" i="1"/>
  <c r="H9165" i="1"/>
  <c r="I9165" i="1"/>
  <c r="J9165" i="1"/>
  <c r="L9165" i="1"/>
  <c r="M9165" i="1"/>
  <c r="C9166" i="1"/>
  <c r="E9166" i="1"/>
  <c r="F9166" i="1"/>
  <c r="H9166" i="1"/>
  <c r="I9166" i="1"/>
  <c r="J9166" i="1"/>
  <c r="L9166" i="1"/>
  <c r="M9166" i="1"/>
  <c r="C9167" i="1"/>
  <c r="E9167" i="1"/>
  <c r="F9167" i="1"/>
  <c r="H9167" i="1"/>
  <c r="I9167" i="1"/>
  <c r="J9167" i="1"/>
  <c r="L9167" i="1"/>
  <c r="M9167" i="1"/>
  <c r="C9168" i="1"/>
  <c r="E9168" i="1"/>
  <c r="F9168" i="1"/>
  <c r="H9168" i="1"/>
  <c r="I9168" i="1"/>
  <c r="J9168" i="1"/>
  <c r="L9168" i="1"/>
  <c r="M9168" i="1"/>
  <c r="C9169" i="1"/>
  <c r="E9169" i="1"/>
  <c r="F9169" i="1"/>
  <c r="H9169" i="1"/>
  <c r="I9169" i="1"/>
  <c r="J9169" i="1"/>
  <c r="L9169" i="1"/>
  <c r="M9169" i="1"/>
  <c r="C9170" i="1"/>
  <c r="E9170" i="1"/>
  <c r="F9170" i="1"/>
  <c r="H9170" i="1"/>
  <c r="I9170" i="1"/>
  <c r="J9170" i="1"/>
  <c r="L9170" i="1"/>
  <c r="M9170" i="1"/>
  <c r="C9171" i="1"/>
  <c r="E9171" i="1"/>
  <c r="F9171" i="1"/>
  <c r="H9171" i="1"/>
  <c r="I9171" i="1"/>
  <c r="J9171" i="1"/>
  <c r="L9171" i="1"/>
  <c r="M9171" i="1"/>
  <c r="C9172" i="1"/>
  <c r="E9172" i="1"/>
  <c r="F9172" i="1"/>
  <c r="H9172" i="1"/>
  <c r="I9172" i="1"/>
  <c r="J9172" i="1"/>
  <c r="L9172" i="1"/>
  <c r="M9172" i="1"/>
  <c r="C9173" i="1"/>
  <c r="E9173" i="1"/>
  <c r="F9173" i="1"/>
  <c r="H9173" i="1"/>
  <c r="I9173" i="1"/>
  <c r="J9173" i="1"/>
  <c r="L9173" i="1"/>
  <c r="M9173" i="1"/>
  <c r="C9174" i="1"/>
  <c r="E9174" i="1"/>
  <c r="F9174" i="1"/>
  <c r="H9174" i="1"/>
  <c r="I9174" i="1"/>
  <c r="J9174" i="1"/>
  <c r="L9174" i="1"/>
  <c r="M9174" i="1"/>
  <c r="C9175" i="1"/>
  <c r="E9175" i="1"/>
  <c r="F9175" i="1"/>
  <c r="H9175" i="1"/>
  <c r="I9175" i="1"/>
  <c r="J9175" i="1"/>
  <c r="L9175" i="1"/>
  <c r="M9175" i="1"/>
  <c r="C9176" i="1"/>
  <c r="E9176" i="1"/>
  <c r="F9176" i="1"/>
  <c r="H9176" i="1"/>
  <c r="I9176" i="1"/>
  <c r="J9176" i="1"/>
  <c r="L9176" i="1"/>
  <c r="M9176" i="1"/>
  <c r="C9177" i="1"/>
  <c r="E9177" i="1"/>
  <c r="F9177" i="1"/>
  <c r="H9177" i="1"/>
  <c r="I9177" i="1"/>
  <c r="J9177" i="1"/>
  <c r="L9177" i="1"/>
  <c r="M9177" i="1"/>
  <c r="C9178" i="1"/>
  <c r="E9178" i="1"/>
  <c r="F9178" i="1"/>
  <c r="H9178" i="1"/>
  <c r="I9178" i="1"/>
  <c r="J9178" i="1"/>
  <c r="L9178" i="1"/>
  <c r="M9178" i="1"/>
  <c r="C9179" i="1"/>
  <c r="E9179" i="1"/>
  <c r="F9179" i="1"/>
  <c r="H9179" i="1"/>
  <c r="I9179" i="1"/>
  <c r="J9179" i="1"/>
  <c r="L9179" i="1"/>
  <c r="M9179" i="1"/>
  <c r="C9180" i="1"/>
  <c r="E9180" i="1"/>
  <c r="F9180" i="1"/>
  <c r="H9180" i="1"/>
  <c r="I9180" i="1"/>
  <c r="J9180" i="1"/>
  <c r="L9180" i="1"/>
  <c r="M9180" i="1"/>
  <c r="C9181" i="1"/>
  <c r="E9181" i="1"/>
  <c r="F9181" i="1"/>
  <c r="H9181" i="1"/>
  <c r="I9181" i="1"/>
  <c r="J9181" i="1"/>
  <c r="L9181" i="1"/>
  <c r="M9181" i="1"/>
  <c r="C9182" i="1"/>
  <c r="E9182" i="1"/>
  <c r="F9182" i="1"/>
  <c r="H9182" i="1"/>
  <c r="I9182" i="1"/>
  <c r="J9182" i="1"/>
  <c r="L9182" i="1"/>
  <c r="M9182" i="1"/>
  <c r="C9183" i="1"/>
  <c r="E9183" i="1"/>
  <c r="F9183" i="1"/>
  <c r="H9183" i="1"/>
  <c r="I9183" i="1"/>
  <c r="J9183" i="1"/>
  <c r="L9183" i="1"/>
  <c r="M9183" i="1"/>
  <c r="C9184" i="1"/>
  <c r="E9184" i="1"/>
  <c r="F9184" i="1"/>
  <c r="H9184" i="1"/>
  <c r="I9184" i="1"/>
  <c r="J9184" i="1"/>
  <c r="L9184" i="1"/>
  <c r="M9184" i="1"/>
  <c r="C9185" i="1"/>
  <c r="E9185" i="1"/>
  <c r="F9185" i="1"/>
  <c r="H9185" i="1"/>
  <c r="I9185" i="1"/>
  <c r="J9185" i="1"/>
  <c r="L9185" i="1"/>
  <c r="M9185" i="1"/>
  <c r="C9186" i="1"/>
  <c r="E9186" i="1"/>
  <c r="F9186" i="1"/>
  <c r="H9186" i="1"/>
  <c r="I9186" i="1"/>
  <c r="J9186" i="1"/>
  <c r="L9186" i="1"/>
  <c r="M9186" i="1"/>
  <c r="C9187" i="1"/>
  <c r="E9187" i="1"/>
  <c r="F9187" i="1"/>
  <c r="H9187" i="1"/>
  <c r="I9187" i="1"/>
  <c r="J9187" i="1"/>
  <c r="L9187" i="1"/>
  <c r="M9187" i="1"/>
  <c r="C9188" i="1"/>
  <c r="E9188" i="1"/>
  <c r="F9188" i="1"/>
  <c r="H9188" i="1"/>
  <c r="I9188" i="1"/>
  <c r="J9188" i="1"/>
  <c r="L9188" i="1"/>
  <c r="M9188" i="1"/>
  <c r="C9189" i="1"/>
  <c r="E9189" i="1"/>
  <c r="F9189" i="1"/>
  <c r="H9189" i="1"/>
  <c r="I9189" i="1"/>
  <c r="J9189" i="1"/>
  <c r="L9189" i="1"/>
  <c r="M9189" i="1"/>
  <c r="C9190" i="1"/>
  <c r="E9190" i="1"/>
  <c r="F9190" i="1"/>
  <c r="H9190" i="1"/>
  <c r="I9190" i="1"/>
  <c r="J9190" i="1"/>
  <c r="L9190" i="1"/>
  <c r="M9190" i="1"/>
  <c r="C9191" i="1"/>
  <c r="E9191" i="1"/>
  <c r="F9191" i="1"/>
  <c r="H9191" i="1"/>
  <c r="I9191" i="1"/>
  <c r="J9191" i="1"/>
  <c r="L9191" i="1"/>
  <c r="M9191" i="1"/>
  <c r="C9192" i="1"/>
  <c r="E9192" i="1"/>
  <c r="F9192" i="1"/>
  <c r="H9192" i="1"/>
  <c r="I9192" i="1"/>
  <c r="J9192" i="1"/>
  <c r="L9192" i="1"/>
  <c r="M9192" i="1"/>
  <c r="C9193" i="1"/>
  <c r="E9193" i="1"/>
  <c r="F9193" i="1"/>
  <c r="H9193" i="1"/>
  <c r="I9193" i="1"/>
  <c r="J9193" i="1"/>
  <c r="L9193" i="1"/>
  <c r="M9193" i="1"/>
  <c r="C9194" i="1"/>
  <c r="E9194" i="1"/>
  <c r="F9194" i="1"/>
  <c r="H9194" i="1"/>
  <c r="I9194" i="1"/>
  <c r="J9194" i="1"/>
  <c r="L9194" i="1"/>
  <c r="M9194" i="1"/>
  <c r="C9195" i="1"/>
  <c r="E9195" i="1"/>
  <c r="F9195" i="1"/>
  <c r="H9195" i="1"/>
  <c r="I9195" i="1"/>
  <c r="J9195" i="1"/>
  <c r="L9195" i="1"/>
  <c r="M9195" i="1"/>
  <c r="C9196" i="1"/>
  <c r="E9196" i="1"/>
  <c r="F9196" i="1"/>
  <c r="H9196" i="1"/>
  <c r="I9196" i="1"/>
  <c r="J9196" i="1"/>
  <c r="L9196" i="1"/>
  <c r="M9196" i="1"/>
  <c r="C9197" i="1"/>
  <c r="E9197" i="1"/>
  <c r="F9197" i="1"/>
  <c r="H9197" i="1"/>
  <c r="I9197" i="1"/>
  <c r="J9197" i="1"/>
  <c r="L9197" i="1"/>
  <c r="M9197" i="1"/>
  <c r="C9198" i="1"/>
  <c r="E9198" i="1"/>
  <c r="F9198" i="1"/>
  <c r="H9198" i="1"/>
  <c r="I9198" i="1"/>
  <c r="J9198" i="1"/>
  <c r="L9198" i="1"/>
  <c r="M9198" i="1"/>
  <c r="C9199" i="1"/>
  <c r="E9199" i="1"/>
  <c r="F9199" i="1"/>
  <c r="H9199" i="1"/>
  <c r="I9199" i="1"/>
  <c r="J9199" i="1"/>
  <c r="L9199" i="1"/>
  <c r="M9199" i="1"/>
  <c r="C9200" i="1"/>
  <c r="E9200" i="1"/>
  <c r="F9200" i="1"/>
  <c r="H9200" i="1"/>
  <c r="I9200" i="1"/>
  <c r="J9200" i="1"/>
  <c r="L9200" i="1"/>
  <c r="M9200" i="1"/>
  <c r="C9201" i="1"/>
  <c r="E9201" i="1"/>
  <c r="F9201" i="1"/>
  <c r="H9201" i="1"/>
  <c r="I9201" i="1"/>
  <c r="J9201" i="1"/>
  <c r="L9201" i="1"/>
  <c r="M9201" i="1"/>
  <c r="C9202" i="1"/>
  <c r="E9202" i="1"/>
  <c r="F9202" i="1"/>
  <c r="H9202" i="1"/>
  <c r="I9202" i="1"/>
  <c r="J9202" i="1"/>
  <c r="L9202" i="1"/>
  <c r="M9202" i="1"/>
  <c r="C9203" i="1"/>
  <c r="E9203" i="1"/>
  <c r="F9203" i="1"/>
  <c r="H9203" i="1"/>
  <c r="I9203" i="1"/>
  <c r="J9203" i="1"/>
  <c r="L9203" i="1"/>
  <c r="M9203" i="1"/>
  <c r="C9204" i="1"/>
  <c r="E9204" i="1"/>
  <c r="F9204" i="1"/>
  <c r="H9204" i="1"/>
  <c r="I9204" i="1"/>
  <c r="J9204" i="1"/>
  <c r="L9204" i="1"/>
  <c r="M9204" i="1"/>
  <c r="C9205" i="1"/>
  <c r="E9205" i="1"/>
  <c r="F9205" i="1"/>
  <c r="H9205" i="1"/>
  <c r="I9205" i="1"/>
  <c r="J9205" i="1"/>
  <c r="L9205" i="1"/>
  <c r="M9205" i="1"/>
  <c r="C9206" i="1"/>
  <c r="E9206" i="1"/>
  <c r="F9206" i="1"/>
  <c r="H9206" i="1"/>
  <c r="I9206" i="1"/>
  <c r="J9206" i="1"/>
  <c r="L9206" i="1"/>
  <c r="M9206" i="1"/>
  <c r="C9207" i="1"/>
  <c r="E9207" i="1"/>
  <c r="F9207" i="1"/>
  <c r="H9207" i="1"/>
  <c r="I9207" i="1"/>
  <c r="J9207" i="1"/>
  <c r="L9207" i="1"/>
  <c r="M9207" i="1"/>
  <c r="C9208" i="1"/>
  <c r="E9208" i="1"/>
  <c r="F9208" i="1"/>
  <c r="H9208" i="1"/>
  <c r="I9208" i="1"/>
  <c r="J9208" i="1"/>
  <c r="L9208" i="1"/>
  <c r="M9208" i="1"/>
  <c r="C9209" i="1"/>
  <c r="E9209" i="1"/>
  <c r="F9209" i="1"/>
  <c r="H9209" i="1"/>
  <c r="I9209" i="1"/>
  <c r="J9209" i="1"/>
  <c r="L9209" i="1"/>
  <c r="M9209" i="1"/>
  <c r="C9210" i="1"/>
  <c r="E9210" i="1"/>
  <c r="F9210" i="1"/>
  <c r="H9210" i="1"/>
  <c r="I9210" i="1"/>
  <c r="J9210" i="1"/>
  <c r="L9210" i="1"/>
  <c r="M9210" i="1"/>
  <c r="C9211" i="1"/>
  <c r="E9211" i="1"/>
  <c r="F9211" i="1"/>
  <c r="H9211" i="1"/>
  <c r="I9211" i="1"/>
  <c r="J9211" i="1"/>
  <c r="L9211" i="1"/>
  <c r="M9211" i="1"/>
  <c r="C9212" i="1"/>
  <c r="E9212" i="1"/>
  <c r="F9212" i="1"/>
  <c r="H9212" i="1"/>
  <c r="I9212" i="1"/>
  <c r="J9212" i="1"/>
  <c r="L9212" i="1"/>
  <c r="M9212" i="1"/>
  <c r="C9213" i="1"/>
  <c r="E9213" i="1"/>
  <c r="F9213" i="1"/>
  <c r="H9213" i="1"/>
  <c r="I9213" i="1"/>
  <c r="J9213" i="1"/>
  <c r="L9213" i="1"/>
  <c r="M9213" i="1"/>
  <c r="C9214" i="1"/>
  <c r="E9214" i="1"/>
  <c r="F9214" i="1"/>
  <c r="H9214" i="1"/>
  <c r="I9214" i="1"/>
  <c r="J9214" i="1"/>
  <c r="L9214" i="1"/>
  <c r="M9214" i="1"/>
  <c r="C9215" i="1"/>
  <c r="E9215" i="1"/>
  <c r="F9215" i="1"/>
  <c r="H9215" i="1"/>
  <c r="I9215" i="1"/>
  <c r="J9215" i="1"/>
  <c r="L9215" i="1"/>
  <c r="M9215" i="1"/>
  <c r="C9216" i="1"/>
  <c r="E9216" i="1"/>
  <c r="F9216" i="1"/>
  <c r="H9216" i="1"/>
  <c r="I9216" i="1"/>
  <c r="J9216" i="1"/>
  <c r="L9216" i="1"/>
  <c r="M9216" i="1"/>
  <c r="C9217" i="1"/>
  <c r="E9217" i="1"/>
  <c r="F9217" i="1"/>
  <c r="H9217" i="1"/>
  <c r="I9217" i="1"/>
  <c r="J9217" i="1"/>
  <c r="L9217" i="1"/>
  <c r="M9217" i="1"/>
  <c r="C9218" i="1"/>
  <c r="E9218" i="1"/>
  <c r="F9218" i="1"/>
  <c r="H9218" i="1"/>
  <c r="I9218" i="1"/>
  <c r="J9218" i="1"/>
  <c r="L9218" i="1"/>
  <c r="M9218" i="1"/>
  <c r="C9219" i="1"/>
  <c r="E9219" i="1"/>
  <c r="F9219" i="1"/>
  <c r="H9219" i="1"/>
  <c r="I9219" i="1"/>
  <c r="J9219" i="1"/>
  <c r="L9219" i="1"/>
  <c r="M9219" i="1"/>
  <c r="C9220" i="1"/>
  <c r="E9220" i="1"/>
  <c r="F9220" i="1"/>
  <c r="H9220" i="1"/>
  <c r="I9220" i="1"/>
  <c r="J9220" i="1"/>
  <c r="L9220" i="1"/>
  <c r="M9220" i="1"/>
  <c r="C9221" i="1"/>
  <c r="E9221" i="1"/>
  <c r="F9221" i="1"/>
  <c r="H9221" i="1"/>
  <c r="I9221" i="1"/>
  <c r="J9221" i="1"/>
  <c r="L9221" i="1"/>
  <c r="M9221" i="1"/>
  <c r="C9222" i="1"/>
  <c r="E9222" i="1"/>
  <c r="F9222" i="1"/>
  <c r="H9222" i="1"/>
  <c r="I9222" i="1"/>
  <c r="J9222" i="1"/>
  <c r="L9222" i="1"/>
  <c r="M9222" i="1"/>
  <c r="C9223" i="1"/>
  <c r="E9223" i="1"/>
  <c r="F9223" i="1"/>
  <c r="H9223" i="1"/>
  <c r="I9223" i="1"/>
  <c r="J9223" i="1"/>
  <c r="L9223" i="1"/>
  <c r="M9223" i="1"/>
  <c r="C9224" i="1"/>
  <c r="E9224" i="1"/>
  <c r="F9224" i="1"/>
  <c r="H9224" i="1"/>
  <c r="I9224" i="1"/>
  <c r="J9224" i="1"/>
  <c r="L9224" i="1"/>
  <c r="M9224" i="1"/>
  <c r="C9225" i="1"/>
  <c r="E9225" i="1"/>
  <c r="F9225" i="1"/>
  <c r="H9225" i="1"/>
  <c r="I9225" i="1"/>
  <c r="J9225" i="1"/>
  <c r="L9225" i="1"/>
  <c r="M9225" i="1"/>
  <c r="C9226" i="1"/>
  <c r="E9226" i="1"/>
  <c r="F9226" i="1"/>
  <c r="H9226" i="1"/>
  <c r="I9226" i="1"/>
  <c r="J9226" i="1"/>
  <c r="L9226" i="1"/>
  <c r="M9226" i="1"/>
  <c r="C9227" i="1"/>
  <c r="E9227" i="1"/>
  <c r="F9227" i="1"/>
  <c r="H9227" i="1"/>
  <c r="I9227" i="1"/>
  <c r="J9227" i="1"/>
  <c r="L9227" i="1"/>
  <c r="M9227" i="1"/>
  <c r="C9228" i="1"/>
  <c r="E9228" i="1"/>
  <c r="F9228" i="1"/>
  <c r="H9228" i="1"/>
  <c r="I9228" i="1"/>
  <c r="J9228" i="1"/>
  <c r="L9228" i="1"/>
  <c r="M9228" i="1"/>
  <c r="C9229" i="1"/>
  <c r="E9229" i="1"/>
  <c r="F9229" i="1"/>
  <c r="H9229" i="1"/>
  <c r="I9229" i="1"/>
  <c r="J9229" i="1"/>
  <c r="L9229" i="1"/>
  <c r="M9229" i="1"/>
  <c r="C9230" i="1"/>
  <c r="E9230" i="1"/>
  <c r="F9230" i="1"/>
  <c r="H9230" i="1"/>
  <c r="I9230" i="1"/>
  <c r="J9230" i="1"/>
  <c r="L9230" i="1"/>
  <c r="M9230" i="1"/>
  <c r="C9231" i="1"/>
  <c r="E9231" i="1"/>
  <c r="F9231" i="1"/>
  <c r="H9231" i="1"/>
  <c r="I9231" i="1"/>
  <c r="J9231" i="1"/>
  <c r="L9231" i="1"/>
  <c r="M9231" i="1"/>
  <c r="C9232" i="1"/>
  <c r="E9232" i="1"/>
  <c r="F9232" i="1"/>
  <c r="H9232" i="1"/>
  <c r="I9232" i="1"/>
  <c r="J9232" i="1"/>
  <c r="L9232" i="1"/>
  <c r="M9232" i="1"/>
  <c r="C9233" i="1"/>
  <c r="E9233" i="1"/>
  <c r="F9233" i="1"/>
  <c r="H9233" i="1"/>
  <c r="I9233" i="1"/>
  <c r="J9233" i="1"/>
  <c r="L9233" i="1"/>
  <c r="M9233" i="1"/>
  <c r="C9234" i="1"/>
  <c r="E9234" i="1"/>
  <c r="F9234" i="1"/>
  <c r="H9234" i="1"/>
  <c r="I9234" i="1"/>
  <c r="J9234" i="1"/>
  <c r="L9234" i="1"/>
  <c r="M9234" i="1"/>
  <c r="C9235" i="1"/>
  <c r="E9235" i="1"/>
  <c r="F9235" i="1"/>
  <c r="H9235" i="1"/>
  <c r="I9235" i="1"/>
  <c r="J9235" i="1"/>
  <c r="L9235" i="1"/>
  <c r="M9235" i="1"/>
  <c r="C9236" i="1"/>
  <c r="E9236" i="1"/>
  <c r="F9236" i="1"/>
  <c r="H9236" i="1"/>
  <c r="I9236" i="1"/>
  <c r="J9236" i="1"/>
  <c r="L9236" i="1"/>
  <c r="M9236" i="1"/>
  <c r="C9237" i="1"/>
  <c r="E9237" i="1"/>
  <c r="F9237" i="1"/>
  <c r="H9237" i="1"/>
  <c r="I9237" i="1"/>
  <c r="J9237" i="1"/>
  <c r="L9237" i="1"/>
  <c r="M9237" i="1"/>
  <c r="C9238" i="1"/>
  <c r="E9238" i="1"/>
  <c r="F9238" i="1"/>
  <c r="H9238" i="1"/>
  <c r="I9238" i="1"/>
  <c r="J9238" i="1"/>
  <c r="L9238" i="1"/>
  <c r="M9238" i="1"/>
  <c r="C9239" i="1"/>
  <c r="E9239" i="1"/>
  <c r="F9239" i="1"/>
  <c r="H9239" i="1"/>
  <c r="I9239" i="1"/>
  <c r="J9239" i="1"/>
  <c r="L9239" i="1"/>
  <c r="M9239" i="1"/>
  <c r="C9240" i="1"/>
  <c r="E9240" i="1"/>
  <c r="F9240" i="1"/>
  <c r="H9240" i="1"/>
  <c r="I9240" i="1"/>
  <c r="J9240" i="1"/>
  <c r="L9240" i="1"/>
  <c r="M9240" i="1"/>
  <c r="C9241" i="1"/>
  <c r="E9241" i="1"/>
  <c r="F9241" i="1"/>
  <c r="H9241" i="1"/>
  <c r="I9241" i="1"/>
  <c r="J9241" i="1"/>
  <c r="L9241" i="1"/>
  <c r="M9241" i="1"/>
  <c r="C9242" i="1"/>
  <c r="E9242" i="1"/>
  <c r="F9242" i="1"/>
  <c r="H9242" i="1"/>
  <c r="I9242" i="1"/>
  <c r="J9242" i="1"/>
  <c r="L9242" i="1"/>
  <c r="M9242" i="1"/>
  <c r="C9243" i="1"/>
  <c r="E9243" i="1"/>
  <c r="F9243" i="1"/>
  <c r="H9243" i="1"/>
  <c r="I9243" i="1"/>
  <c r="J9243" i="1"/>
  <c r="L9243" i="1"/>
  <c r="M9243" i="1"/>
  <c r="C9244" i="1"/>
  <c r="E9244" i="1"/>
  <c r="F9244" i="1"/>
  <c r="H9244" i="1"/>
  <c r="I9244" i="1"/>
  <c r="J9244" i="1"/>
  <c r="L9244" i="1"/>
  <c r="M9244" i="1"/>
  <c r="C9245" i="1"/>
  <c r="E9245" i="1"/>
  <c r="F9245" i="1"/>
  <c r="H9245" i="1"/>
  <c r="I9245" i="1"/>
  <c r="J9245" i="1"/>
  <c r="L9245" i="1"/>
  <c r="M9245" i="1"/>
  <c r="C9246" i="1"/>
  <c r="E9246" i="1"/>
  <c r="F9246" i="1"/>
  <c r="H9246" i="1"/>
  <c r="I9246" i="1"/>
  <c r="J9246" i="1"/>
  <c r="L9246" i="1"/>
  <c r="M9246" i="1"/>
  <c r="C9247" i="1"/>
  <c r="E9247" i="1"/>
  <c r="F9247" i="1"/>
  <c r="H9247" i="1"/>
  <c r="I9247" i="1"/>
  <c r="J9247" i="1"/>
  <c r="L9247" i="1"/>
  <c r="M9247" i="1"/>
  <c r="C9248" i="1"/>
  <c r="E9248" i="1"/>
  <c r="F9248" i="1"/>
  <c r="H9248" i="1"/>
  <c r="I9248" i="1"/>
  <c r="J9248" i="1"/>
  <c r="L9248" i="1"/>
  <c r="M9248" i="1"/>
  <c r="C9249" i="1"/>
  <c r="E9249" i="1"/>
  <c r="F9249" i="1"/>
  <c r="H9249" i="1"/>
  <c r="I9249" i="1"/>
  <c r="J9249" i="1"/>
  <c r="L9249" i="1"/>
  <c r="M9249" i="1"/>
  <c r="C9250" i="1"/>
  <c r="E9250" i="1"/>
  <c r="F9250" i="1"/>
  <c r="H9250" i="1"/>
  <c r="I9250" i="1"/>
  <c r="J9250" i="1"/>
  <c r="L9250" i="1"/>
  <c r="M9250" i="1"/>
  <c r="C9251" i="1"/>
  <c r="E9251" i="1"/>
  <c r="F9251" i="1"/>
  <c r="H9251" i="1"/>
  <c r="I9251" i="1"/>
  <c r="J9251" i="1"/>
  <c r="L9251" i="1"/>
  <c r="M9251" i="1"/>
  <c r="C9252" i="1"/>
  <c r="E9252" i="1"/>
  <c r="F9252" i="1"/>
  <c r="H9252" i="1"/>
  <c r="I9252" i="1"/>
  <c r="J9252" i="1"/>
  <c r="L9252" i="1"/>
  <c r="M9252" i="1"/>
  <c r="C9253" i="1"/>
  <c r="E9253" i="1"/>
  <c r="F9253" i="1"/>
  <c r="H9253" i="1"/>
  <c r="I9253" i="1"/>
  <c r="J9253" i="1"/>
  <c r="L9253" i="1"/>
  <c r="M9253" i="1"/>
  <c r="C9254" i="1"/>
  <c r="E9254" i="1"/>
  <c r="F9254" i="1"/>
  <c r="H9254" i="1"/>
  <c r="I9254" i="1"/>
  <c r="J9254" i="1"/>
  <c r="L9254" i="1"/>
  <c r="M9254" i="1"/>
  <c r="C9255" i="1"/>
  <c r="E9255" i="1"/>
  <c r="F9255" i="1"/>
  <c r="H9255" i="1"/>
  <c r="I9255" i="1"/>
  <c r="J9255" i="1"/>
  <c r="L9255" i="1"/>
  <c r="M9255" i="1"/>
  <c r="C9256" i="1"/>
  <c r="E9256" i="1"/>
  <c r="F9256" i="1"/>
  <c r="H9256" i="1"/>
  <c r="I9256" i="1"/>
  <c r="J9256" i="1"/>
  <c r="L9256" i="1"/>
  <c r="M9256" i="1"/>
  <c r="C9257" i="1"/>
  <c r="E9257" i="1"/>
  <c r="F9257" i="1"/>
  <c r="H9257" i="1"/>
  <c r="I9257" i="1"/>
  <c r="J9257" i="1"/>
  <c r="L9257" i="1"/>
  <c r="M9257" i="1"/>
  <c r="C9258" i="1"/>
  <c r="E9258" i="1"/>
  <c r="F9258" i="1"/>
  <c r="H9258" i="1"/>
  <c r="I9258" i="1"/>
  <c r="J9258" i="1"/>
  <c r="L9258" i="1"/>
  <c r="M9258" i="1"/>
  <c r="C9259" i="1"/>
  <c r="E9259" i="1"/>
  <c r="F9259" i="1"/>
  <c r="H9259" i="1"/>
  <c r="I9259" i="1"/>
  <c r="J9259" i="1"/>
  <c r="L9259" i="1"/>
  <c r="M9259" i="1"/>
  <c r="C9260" i="1"/>
  <c r="E9260" i="1"/>
  <c r="F9260" i="1"/>
  <c r="H9260" i="1"/>
  <c r="I9260" i="1"/>
  <c r="J9260" i="1"/>
  <c r="L9260" i="1"/>
  <c r="M9260" i="1"/>
  <c r="C9261" i="1"/>
  <c r="E9261" i="1"/>
  <c r="F9261" i="1"/>
  <c r="H9261" i="1"/>
  <c r="I9261" i="1"/>
  <c r="J9261" i="1"/>
  <c r="L9261" i="1"/>
  <c r="M9261" i="1"/>
  <c r="C9262" i="1"/>
  <c r="E9262" i="1"/>
  <c r="F9262" i="1"/>
  <c r="H9262" i="1"/>
  <c r="I9262" i="1"/>
  <c r="J9262" i="1"/>
  <c r="L9262" i="1"/>
  <c r="M9262" i="1"/>
  <c r="C9263" i="1"/>
  <c r="E9263" i="1"/>
  <c r="F9263" i="1"/>
  <c r="H9263" i="1"/>
  <c r="I9263" i="1"/>
  <c r="J9263" i="1"/>
  <c r="L9263" i="1"/>
  <c r="M9263" i="1"/>
  <c r="C9264" i="1"/>
  <c r="E9264" i="1"/>
  <c r="F9264" i="1"/>
  <c r="H9264" i="1"/>
  <c r="I9264" i="1"/>
  <c r="J9264" i="1"/>
  <c r="L9264" i="1"/>
  <c r="M9264" i="1"/>
  <c r="C9265" i="1"/>
  <c r="E9265" i="1"/>
  <c r="F9265" i="1"/>
  <c r="H9265" i="1"/>
  <c r="I9265" i="1"/>
  <c r="J9265" i="1"/>
  <c r="L9265" i="1"/>
  <c r="M9265" i="1"/>
  <c r="C9266" i="1"/>
  <c r="E9266" i="1"/>
  <c r="F9266" i="1"/>
  <c r="H9266" i="1"/>
  <c r="I9266" i="1"/>
  <c r="J9266" i="1"/>
  <c r="L9266" i="1"/>
  <c r="M9266" i="1"/>
  <c r="C9267" i="1"/>
  <c r="E9267" i="1"/>
  <c r="F9267" i="1"/>
  <c r="H9267" i="1"/>
  <c r="I9267" i="1"/>
  <c r="J9267" i="1"/>
  <c r="L9267" i="1"/>
  <c r="M9267" i="1"/>
  <c r="C9268" i="1"/>
  <c r="E9268" i="1"/>
  <c r="F9268" i="1"/>
  <c r="H9268" i="1"/>
  <c r="I9268" i="1"/>
  <c r="J9268" i="1"/>
  <c r="L9268" i="1"/>
  <c r="M9268" i="1"/>
  <c r="C9269" i="1"/>
  <c r="E9269" i="1"/>
  <c r="F9269" i="1"/>
  <c r="H9269" i="1"/>
  <c r="I9269" i="1"/>
  <c r="J9269" i="1"/>
  <c r="L9269" i="1"/>
  <c r="M9269" i="1"/>
  <c r="C9270" i="1"/>
  <c r="E9270" i="1"/>
  <c r="F9270" i="1"/>
  <c r="H9270" i="1"/>
  <c r="I9270" i="1"/>
  <c r="J9270" i="1"/>
  <c r="L9270" i="1"/>
  <c r="M9270" i="1"/>
  <c r="C9271" i="1"/>
  <c r="E9271" i="1"/>
  <c r="F9271" i="1"/>
  <c r="H9271" i="1"/>
  <c r="I9271" i="1"/>
  <c r="J9271" i="1"/>
  <c r="L9271" i="1"/>
  <c r="M9271" i="1"/>
  <c r="C9272" i="1"/>
  <c r="E9272" i="1"/>
  <c r="F9272" i="1"/>
  <c r="H9272" i="1"/>
  <c r="I9272" i="1"/>
  <c r="J9272" i="1"/>
  <c r="L9272" i="1"/>
  <c r="M9272" i="1"/>
  <c r="C9273" i="1"/>
  <c r="E9273" i="1"/>
  <c r="F9273" i="1"/>
  <c r="H9273" i="1"/>
  <c r="I9273" i="1"/>
  <c r="J9273" i="1"/>
  <c r="L9273" i="1"/>
  <c r="M9273" i="1"/>
  <c r="C9274" i="1"/>
  <c r="E9274" i="1"/>
  <c r="F9274" i="1"/>
  <c r="H9274" i="1"/>
  <c r="I9274" i="1"/>
  <c r="J9274" i="1"/>
  <c r="L9274" i="1"/>
  <c r="M9274" i="1"/>
  <c r="C9275" i="1"/>
  <c r="E9275" i="1"/>
  <c r="F9275" i="1"/>
  <c r="H9275" i="1"/>
  <c r="I9275" i="1"/>
  <c r="J9275" i="1"/>
  <c r="L9275" i="1"/>
  <c r="M9275" i="1"/>
  <c r="C9276" i="1"/>
  <c r="E9276" i="1"/>
  <c r="F9276" i="1"/>
  <c r="H9276" i="1"/>
  <c r="I9276" i="1"/>
  <c r="J9276" i="1"/>
  <c r="L9276" i="1"/>
  <c r="M9276" i="1"/>
  <c r="C9277" i="1"/>
  <c r="E9277" i="1"/>
  <c r="F9277" i="1"/>
  <c r="H9277" i="1"/>
  <c r="I9277" i="1"/>
  <c r="J9277" i="1"/>
  <c r="L9277" i="1"/>
  <c r="M9277" i="1"/>
  <c r="C9278" i="1"/>
  <c r="E9278" i="1"/>
  <c r="F9278" i="1"/>
  <c r="H9278" i="1"/>
  <c r="I9278" i="1"/>
  <c r="J9278" i="1"/>
  <c r="L9278" i="1"/>
  <c r="M9278" i="1"/>
  <c r="C9279" i="1"/>
  <c r="E9279" i="1"/>
  <c r="F9279" i="1"/>
  <c r="H9279" i="1"/>
  <c r="I9279" i="1"/>
  <c r="J9279" i="1"/>
  <c r="L9279" i="1"/>
  <c r="M9279" i="1"/>
  <c r="C9280" i="1"/>
  <c r="E9280" i="1"/>
  <c r="F9280" i="1"/>
  <c r="H9280" i="1"/>
  <c r="I9280" i="1"/>
  <c r="J9280" i="1"/>
  <c r="L9280" i="1"/>
  <c r="M9280" i="1"/>
  <c r="C9281" i="1"/>
  <c r="E9281" i="1"/>
  <c r="F9281" i="1"/>
  <c r="H9281" i="1"/>
  <c r="I9281" i="1"/>
  <c r="J9281" i="1"/>
  <c r="L9281" i="1"/>
  <c r="M9281" i="1"/>
  <c r="C9282" i="1"/>
  <c r="E9282" i="1"/>
  <c r="F9282" i="1"/>
  <c r="H9282" i="1"/>
  <c r="I9282" i="1"/>
  <c r="J9282" i="1"/>
  <c r="L9282" i="1"/>
  <c r="M9282" i="1"/>
  <c r="C9283" i="1"/>
  <c r="E9283" i="1"/>
  <c r="F9283" i="1"/>
  <c r="H9283" i="1"/>
  <c r="I9283" i="1"/>
  <c r="J9283" i="1"/>
  <c r="L9283" i="1"/>
  <c r="M9283" i="1"/>
  <c r="C9284" i="1"/>
  <c r="E9284" i="1"/>
  <c r="F9284" i="1"/>
  <c r="H9284" i="1"/>
  <c r="I9284" i="1"/>
  <c r="J9284" i="1"/>
  <c r="L9284" i="1"/>
  <c r="M9284" i="1"/>
  <c r="C9285" i="1"/>
  <c r="E9285" i="1"/>
  <c r="F9285" i="1"/>
  <c r="H9285" i="1"/>
  <c r="I9285" i="1"/>
  <c r="J9285" i="1"/>
  <c r="L9285" i="1"/>
  <c r="M9285" i="1"/>
  <c r="C9286" i="1"/>
  <c r="E9286" i="1"/>
  <c r="F9286" i="1"/>
  <c r="H9286" i="1"/>
  <c r="I9286" i="1"/>
  <c r="J9286" i="1"/>
  <c r="L9286" i="1"/>
  <c r="M9286" i="1"/>
  <c r="C9287" i="1"/>
  <c r="E9287" i="1"/>
  <c r="F9287" i="1"/>
  <c r="H9287" i="1"/>
  <c r="I9287" i="1"/>
  <c r="J9287" i="1"/>
  <c r="L9287" i="1"/>
  <c r="M9287" i="1"/>
  <c r="C9288" i="1"/>
  <c r="E9288" i="1"/>
  <c r="F9288" i="1"/>
  <c r="H9288" i="1"/>
  <c r="I9288" i="1"/>
  <c r="J9288" i="1"/>
  <c r="L9288" i="1"/>
  <c r="M9288" i="1"/>
  <c r="C9289" i="1"/>
  <c r="E9289" i="1"/>
  <c r="F9289" i="1"/>
  <c r="H9289" i="1"/>
  <c r="I9289" i="1"/>
  <c r="J9289" i="1"/>
  <c r="L9289" i="1"/>
  <c r="M9289" i="1"/>
  <c r="C9290" i="1"/>
  <c r="E9290" i="1"/>
  <c r="F9290" i="1"/>
  <c r="H9290" i="1"/>
  <c r="I9290" i="1"/>
  <c r="J9290" i="1"/>
  <c r="L9290" i="1"/>
  <c r="M9290" i="1"/>
  <c r="C9291" i="1"/>
  <c r="E9291" i="1"/>
  <c r="F9291" i="1"/>
  <c r="H9291" i="1"/>
  <c r="I9291" i="1"/>
  <c r="J9291" i="1"/>
  <c r="L9291" i="1"/>
  <c r="M9291" i="1"/>
  <c r="C9292" i="1"/>
  <c r="E9292" i="1"/>
  <c r="F9292" i="1"/>
  <c r="H9292" i="1"/>
  <c r="I9292" i="1"/>
  <c r="J9292" i="1"/>
  <c r="L9292" i="1"/>
  <c r="M9292" i="1"/>
  <c r="C9293" i="1"/>
  <c r="E9293" i="1"/>
  <c r="F9293" i="1"/>
  <c r="H9293" i="1"/>
  <c r="I9293" i="1"/>
  <c r="J9293" i="1"/>
  <c r="L9293" i="1"/>
  <c r="M9293" i="1"/>
  <c r="C9294" i="1"/>
  <c r="E9294" i="1"/>
  <c r="F9294" i="1"/>
  <c r="H9294" i="1"/>
  <c r="I9294" i="1"/>
  <c r="J9294" i="1"/>
  <c r="L9294" i="1"/>
  <c r="M9294" i="1"/>
  <c r="C9295" i="1"/>
  <c r="E9295" i="1"/>
  <c r="F9295" i="1"/>
  <c r="H9295" i="1"/>
  <c r="I9295" i="1"/>
  <c r="J9295" i="1"/>
  <c r="L9295" i="1"/>
  <c r="M9295" i="1"/>
  <c r="C9296" i="1"/>
  <c r="E9296" i="1"/>
  <c r="F9296" i="1"/>
  <c r="H9296" i="1"/>
  <c r="I9296" i="1"/>
  <c r="J9296" i="1"/>
  <c r="L9296" i="1"/>
  <c r="M9296" i="1"/>
  <c r="C9297" i="1"/>
  <c r="E9297" i="1"/>
  <c r="F9297" i="1"/>
  <c r="H9297" i="1"/>
  <c r="I9297" i="1"/>
  <c r="J9297" i="1"/>
  <c r="L9297" i="1"/>
  <c r="M9297" i="1"/>
  <c r="C9298" i="1"/>
  <c r="E9298" i="1"/>
  <c r="F9298" i="1"/>
  <c r="H9298" i="1"/>
  <c r="I9298" i="1"/>
  <c r="J9298" i="1"/>
  <c r="L9298" i="1"/>
  <c r="M9298" i="1"/>
  <c r="C9299" i="1"/>
  <c r="E9299" i="1"/>
  <c r="F9299" i="1"/>
  <c r="H9299" i="1"/>
  <c r="I9299" i="1"/>
  <c r="J9299" i="1"/>
  <c r="L9299" i="1"/>
  <c r="M9299" i="1"/>
  <c r="C9300" i="1"/>
  <c r="E9300" i="1"/>
  <c r="F9300" i="1"/>
  <c r="H9300" i="1"/>
  <c r="I9300" i="1"/>
  <c r="J9300" i="1"/>
  <c r="L9300" i="1"/>
  <c r="M9300" i="1"/>
  <c r="C9301" i="1"/>
  <c r="E9301" i="1"/>
  <c r="F9301" i="1"/>
  <c r="H9301" i="1"/>
  <c r="I9301" i="1"/>
  <c r="J9301" i="1"/>
  <c r="L9301" i="1"/>
  <c r="M9301" i="1"/>
  <c r="C9302" i="1"/>
  <c r="E9302" i="1"/>
  <c r="F9302" i="1"/>
  <c r="H9302" i="1"/>
  <c r="I9302" i="1"/>
  <c r="J9302" i="1"/>
  <c r="L9302" i="1"/>
  <c r="M9302" i="1"/>
  <c r="C9303" i="1"/>
  <c r="E9303" i="1"/>
  <c r="F9303" i="1"/>
  <c r="H9303" i="1"/>
  <c r="I9303" i="1"/>
  <c r="J9303" i="1"/>
  <c r="L9303" i="1"/>
  <c r="M9303" i="1"/>
  <c r="C9304" i="1"/>
  <c r="E9304" i="1"/>
  <c r="F9304" i="1"/>
  <c r="H9304" i="1"/>
  <c r="I9304" i="1"/>
  <c r="J9304" i="1"/>
  <c r="L9304" i="1"/>
  <c r="M9304" i="1"/>
  <c r="C9305" i="1"/>
  <c r="E9305" i="1"/>
  <c r="F9305" i="1"/>
  <c r="H9305" i="1"/>
  <c r="I9305" i="1"/>
  <c r="J9305" i="1"/>
  <c r="L9305" i="1"/>
  <c r="M9305" i="1"/>
  <c r="C9306" i="1"/>
  <c r="E9306" i="1"/>
  <c r="F9306" i="1"/>
  <c r="H9306" i="1"/>
  <c r="I9306" i="1"/>
  <c r="J9306" i="1"/>
  <c r="L9306" i="1"/>
  <c r="M9306" i="1"/>
  <c r="C9307" i="1"/>
  <c r="E9307" i="1"/>
  <c r="F9307" i="1"/>
  <c r="H9307" i="1"/>
  <c r="I9307" i="1"/>
  <c r="J9307" i="1"/>
  <c r="L9307" i="1"/>
  <c r="M9307" i="1"/>
  <c r="C9308" i="1"/>
  <c r="E9308" i="1"/>
  <c r="F9308" i="1"/>
  <c r="H9308" i="1"/>
  <c r="I9308" i="1"/>
  <c r="J9308" i="1"/>
  <c r="L9308" i="1"/>
  <c r="M9308" i="1"/>
  <c r="C9309" i="1"/>
  <c r="E9309" i="1"/>
  <c r="F9309" i="1"/>
  <c r="H9309" i="1"/>
  <c r="I9309" i="1"/>
  <c r="J9309" i="1"/>
  <c r="L9309" i="1"/>
  <c r="M9309" i="1"/>
  <c r="C9310" i="1"/>
  <c r="E9310" i="1"/>
  <c r="F9310" i="1"/>
  <c r="H9310" i="1"/>
  <c r="I9310" i="1"/>
  <c r="J9310" i="1"/>
  <c r="L9310" i="1"/>
  <c r="M9310" i="1"/>
  <c r="C9311" i="1"/>
  <c r="E9311" i="1"/>
  <c r="F9311" i="1"/>
  <c r="H9311" i="1"/>
  <c r="I9311" i="1"/>
  <c r="J9311" i="1"/>
  <c r="L9311" i="1"/>
  <c r="M9311" i="1"/>
  <c r="C9312" i="1"/>
  <c r="E9312" i="1"/>
  <c r="F9312" i="1"/>
  <c r="H9312" i="1"/>
  <c r="I9312" i="1"/>
  <c r="J9312" i="1"/>
  <c r="L9312" i="1"/>
  <c r="M9312" i="1"/>
  <c r="C9313" i="1"/>
  <c r="E9313" i="1"/>
  <c r="F9313" i="1"/>
  <c r="H9313" i="1"/>
  <c r="I9313" i="1"/>
  <c r="J9313" i="1"/>
  <c r="L9313" i="1"/>
  <c r="M9313" i="1"/>
  <c r="C9314" i="1"/>
  <c r="E9314" i="1"/>
  <c r="F9314" i="1"/>
  <c r="H9314" i="1"/>
  <c r="I9314" i="1"/>
  <c r="J9314" i="1"/>
  <c r="L9314" i="1"/>
  <c r="M9314" i="1"/>
  <c r="C9315" i="1"/>
  <c r="E9315" i="1"/>
  <c r="F9315" i="1"/>
  <c r="H9315" i="1"/>
  <c r="I9315" i="1"/>
  <c r="J9315" i="1"/>
  <c r="L9315" i="1"/>
  <c r="M9315" i="1"/>
  <c r="C9316" i="1"/>
  <c r="E9316" i="1"/>
  <c r="F9316" i="1"/>
  <c r="H9316" i="1"/>
  <c r="I9316" i="1"/>
  <c r="J9316" i="1"/>
  <c r="L9316" i="1"/>
  <c r="M9316" i="1"/>
  <c r="C9317" i="1"/>
  <c r="E9317" i="1"/>
  <c r="F9317" i="1"/>
  <c r="H9317" i="1"/>
  <c r="I9317" i="1"/>
  <c r="J9317" i="1"/>
  <c r="L9317" i="1"/>
  <c r="M9317" i="1"/>
  <c r="C9318" i="1"/>
  <c r="E9318" i="1"/>
  <c r="F9318" i="1"/>
  <c r="H9318" i="1"/>
  <c r="I9318" i="1"/>
  <c r="J9318" i="1"/>
  <c r="L9318" i="1"/>
  <c r="M9318" i="1"/>
  <c r="C9319" i="1"/>
  <c r="E9319" i="1"/>
  <c r="F9319" i="1"/>
  <c r="H9319" i="1"/>
  <c r="I9319" i="1"/>
  <c r="J9319" i="1"/>
  <c r="L9319" i="1"/>
  <c r="M9319" i="1"/>
  <c r="C9320" i="1"/>
  <c r="E9320" i="1"/>
  <c r="F9320" i="1"/>
  <c r="H9320" i="1"/>
  <c r="I9320" i="1"/>
  <c r="J9320" i="1"/>
  <c r="L9320" i="1"/>
  <c r="M9320" i="1"/>
  <c r="C9321" i="1"/>
  <c r="E9321" i="1"/>
  <c r="F9321" i="1"/>
  <c r="H9321" i="1"/>
  <c r="I9321" i="1"/>
  <c r="J9321" i="1"/>
  <c r="L9321" i="1"/>
  <c r="M9321" i="1"/>
  <c r="C9322" i="1"/>
  <c r="E9322" i="1"/>
  <c r="F9322" i="1"/>
  <c r="H9322" i="1"/>
  <c r="I9322" i="1"/>
  <c r="J9322" i="1"/>
  <c r="L9322" i="1"/>
  <c r="M9322" i="1"/>
  <c r="C9323" i="1"/>
  <c r="E9323" i="1"/>
  <c r="F9323" i="1"/>
  <c r="H9323" i="1"/>
  <c r="I9323" i="1"/>
  <c r="J9323" i="1"/>
  <c r="L9323" i="1"/>
  <c r="M9323" i="1"/>
  <c r="C9324" i="1"/>
  <c r="E9324" i="1"/>
  <c r="F9324" i="1"/>
  <c r="H9324" i="1"/>
  <c r="I9324" i="1"/>
  <c r="J9324" i="1"/>
  <c r="L9324" i="1"/>
  <c r="M9324" i="1"/>
  <c r="C9325" i="1"/>
  <c r="E9325" i="1"/>
  <c r="F9325" i="1"/>
  <c r="H9325" i="1"/>
  <c r="I9325" i="1"/>
  <c r="J9325" i="1"/>
  <c r="L9325" i="1"/>
  <c r="M9325" i="1"/>
  <c r="C9326" i="1"/>
  <c r="E9326" i="1"/>
  <c r="F9326" i="1"/>
  <c r="H9326" i="1"/>
  <c r="I9326" i="1"/>
  <c r="J9326" i="1"/>
  <c r="L9326" i="1"/>
  <c r="M9326" i="1"/>
  <c r="C9327" i="1"/>
  <c r="E9327" i="1"/>
  <c r="F9327" i="1"/>
  <c r="H9327" i="1"/>
  <c r="I9327" i="1"/>
  <c r="J9327" i="1"/>
  <c r="L9327" i="1"/>
  <c r="M9327" i="1"/>
  <c r="C9328" i="1"/>
  <c r="E9328" i="1"/>
  <c r="F9328" i="1"/>
  <c r="H9328" i="1"/>
  <c r="I9328" i="1"/>
  <c r="J9328" i="1"/>
  <c r="L9328" i="1"/>
  <c r="M9328" i="1"/>
  <c r="C9329" i="1"/>
  <c r="E9329" i="1"/>
  <c r="F9329" i="1"/>
  <c r="H9329" i="1"/>
  <c r="I9329" i="1"/>
  <c r="J9329" i="1"/>
  <c r="L9329" i="1"/>
  <c r="M9329" i="1"/>
  <c r="C9330" i="1"/>
  <c r="E9330" i="1"/>
  <c r="F9330" i="1"/>
  <c r="H9330" i="1"/>
  <c r="I9330" i="1"/>
  <c r="J9330" i="1"/>
  <c r="L9330" i="1"/>
  <c r="M9330" i="1"/>
  <c r="C9331" i="1"/>
  <c r="E9331" i="1"/>
  <c r="F9331" i="1"/>
  <c r="H9331" i="1"/>
  <c r="I9331" i="1"/>
  <c r="J9331" i="1"/>
  <c r="L9331" i="1"/>
  <c r="M9331" i="1"/>
  <c r="C9332" i="1"/>
  <c r="E9332" i="1"/>
  <c r="F9332" i="1"/>
  <c r="H9332" i="1"/>
  <c r="I9332" i="1"/>
  <c r="J9332" i="1"/>
  <c r="L9332" i="1"/>
  <c r="M9332" i="1"/>
  <c r="C9333" i="1"/>
  <c r="E9333" i="1"/>
  <c r="F9333" i="1"/>
  <c r="H9333" i="1"/>
  <c r="I9333" i="1"/>
  <c r="J9333" i="1"/>
  <c r="L9333" i="1"/>
  <c r="M9333" i="1"/>
  <c r="C9334" i="1"/>
  <c r="E9334" i="1"/>
  <c r="F9334" i="1"/>
  <c r="H9334" i="1"/>
  <c r="I9334" i="1"/>
  <c r="J9334" i="1"/>
  <c r="L9334" i="1"/>
  <c r="M9334" i="1"/>
  <c r="C9335" i="1"/>
  <c r="E9335" i="1"/>
  <c r="F9335" i="1"/>
  <c r="H9335" i="1"/>
  <c r="I9335" i="1"/>
  <c r="J9335" i="1"/>
  <c r="L9335" i="1"/>
  <c r="M9335" i="1"/>
  <c r="C9336" i="1"/>
  <c r="E9336" i="1"/>
  <c r="F9336" i="1"/>
  <c r="H9336" i="1"/>
  <c r="I9336" i="1"/>
  <c r="J9336" i="1"/>
  <c r="L9336" i="1"/>
  <c r="M9336" i="1"/>
  <c r="C9337" i="1"/>
  <c r="E9337" i="1"/>
  <c r="F9337" i="1"/>
  <c r="H9337" i="1"/>
  <c r="I9337" i="1"/>
  <c r="J9337" i="1"/>
  <c r="L9337" i="1"/>
  <c r="M9337" i="1"/>
  <c r="C9338" i="1"/>
  <c r="E9338" i="1"/>
  <c r="F9338" i="1"/>
  <c r="H9338" i="1"/>
  <c r="I9338" i="1"/>
  <c r="J9338" i="1"/>
  <c r="L9338" i="1"/>
  <c r="M9338" i="1"/>
  <c r="C9339" i="1"/>
  <c r="E9339" i="1"/>
  <c r="F9339" i="1"/>
  <c r="H9339" i="1"/>
  <c r="I9339" i="1"/>
  <c r="J9339" i="1"/>
  <c r="L9339" i="1"/>
  <c r="M9339" i="1"/>
  <c r="C9340" i="1"/>
  <c r="E9340" i="1"/>
  <c r="F9340" i="1"/>
  <c r="H9340" i="1"/>
  <c r="I9340" i="1"/>
  <c r="J9340" i="1"/>
  <c r="L9340" i="1"/>
  <c r="M9340" i="1"/>
  <c r="C9341" i="1"/>
  <c r="E9341" i="1"/>
  <c r="F9341" i="1"/>
  <c r="H9341" i="1"/>
  <c r="I9341" i="1"/>
  <c r="J9341" i="1"/>
  <c r="L9341" i="1"/>
  <c r="M9341" i="1"/>
  <c r="C9342" i="1"/>
  <c r="E9342" i="1"/>
  <c r="F9342" i="1"/>
  <c r="H9342" i="1"/>
  <c r="I9342" i="1"/>
  <c r="J9342" i="1"/>
  <c r="L9342" i="1"/>
  <c r="M9342" i="1"/>
  <c r="C9343" i="1"/>
  <c r="E9343" i="1"/>
  <c r="F9343" i="1"/>
  <c r="H9343" i="1"/>
  <c r="I9343" i="1"/>
  <c r="J9343" i="1"/>
  <c r="L9343" i="1"/>
  <c r="M9343" i="1"/>
  <c r="C9344" i="1"/>
  <c r="E9344" i="1"/>
  <c r="F9344" i="1"/>
  <c r="H9344" i="1"/>
  <c r="I9344" i="1"/>
  <c r="J9344" i="1"/>
  <c r="L9344" i="1"/>
  <c r="M9344" i="1"/>
  <c r="C9345" i="1"/>
  <c r="E9345" i="1"/>
  <c r="F9345" i="1"/>
  <c r="H9345" i="1"/>
  <c r="I9345" i="1"/>
  <c r="J9345" i="1"/>
  <c r="L9345" i="1"/>
  <c r="M9345" i="1"/>
  <c r="C9346" i="1"/>
  <c r="E9346" i="1"/>
  <c r="F9346" i="1"/>
  <c r="H9346" i="1"/>
  <c r="I9346" i="1"/>
  <c r="J9346" i="1"/>
  <c r="L9346" i="1"/>
  <c r="M9346" i="1"/>
  <c r="C9347" i="1"/>
  <c r="E9347" i="1"/>
  <c r="F9347" i="1"/>
  <c r="H9347" i="1"/>
  <c r="I9347" i="1"/>
  <c r="J9347" i="1"/>
  <c r="L9347" i="1"/>
  <c r="M9347" i="1"/>
  <c r="C9348" i="1"/>
  <c r="E9348" i="1"/>
  <c r="F9348" i="1"/>
  <c r="H9348" i="1"/>
  <c r="I9348" i="1"/>
  <c r="J9348" i="1"/>
  <c r="L9348" i="1"/>
  <c r="M9348" i="1"/>
  <c r="C9349" i="1"/>
  <c r="E9349" i="1"/>
  <c r="F9349" i="1"/>
  <c r="H9349" i="1"/>
  <c r="I9349" i="1"/>
  <c r="J9349" i="1"/>
  <c r="L9349" i="1"/>
  <c r="M9349" i="1"/>
  <c r="C9350" i="1"/>
  <c r="E9350" i="1"/>
  <c r="F9350" i="1"/>
  <c r="H9350" i="1"/>
  <c r="I9350" i="1"/>
  <c r="J9350" i="1"/>
  <c r="L9350" i="1"/>
  <c r="M9350" i="1"/>
  <c r="C9351" i="1"/>
  <c r="E9351" i="1"/>
  <c r="F9351" i="1"/>
  <c r="H9351" i="1"/>
  <c r="I9351" i="1"/>
  <c r="J9351" i="1"/>
  <c r="L9351" i="1"/>
  <c r="M9351" i="1"/>
  <c r="C9352" i="1"/>
  <c r="E9352" i="1"/>
  <c r="F9352" i="1"/>
  <c r="H9352" i="1"/>
  <c r="I9352" i="1"/>
  <c r="J9352" i="1"/>
  <c r="L9352" i="1"/>
  <c r="M9352" i="1"/>
  <c r="C9353" i="1"/>
  <c r="E9353" i="1"/>
  <c r="F9353" i="1"/>
  <c r="H9353" i="1"/>
  <c r="I9353" i="1"/>
  <c r="J9353" i="1"/>
  <c r="L9353" i="1"/>
  <c r="M9353" i="1"/>
  <c r="C9354" i="1"/>
  <c r="E9354" i="1"/>
  <c r="F9354" i="1"/>
  <c r="H9354" i="1"/>
  <c r="I9354" i="1"/>
  <c r="J9354" i="1"/>
  <c r="L9354" i="1"/>
  <c r="M9354" i="1"/>
  <c r="C9355" i="1"/>
  <c r="E9355" i="1"/>
  <c r="F9355" i="1"/>
  <c r="H9355" i="1"/>
  <c r="I9355" i="1"/>
  <c r="J9355" i="1"/>
  <c r="L9355" i="1"/>
  <c r="M9355" i="1"/>
  <c r="C9356" i="1"/>
  <c r="E9356" i="1"/>
  <c r="F9356" i="1"/>
  <c r="H9356" i="1"/>
  <c r="I9356" i="1"/>
  <c r="J9356" i="1"/>
  <c r="L9356" i="1"/>
  <c r="M9356" i="1"/>
  <c r="C9357" i="1"/>
  <c r="E9357" i="1"/>
  <c r="F9357" i="1"/>
  <c r="H9357" i="1"/>
  <c r="I9357" i="1"/>
  <c r="J9357" i="1"/>
  <c r="L9357" i="1"/>
  <c r="M9357" i="1"/>
  <c r="C9358" i="1"/>
  <c r="E9358" i="1"/>
  <c r="F9358" i="1"/>
  <c r="H9358" i="1"/>
  <c r="I9358" i="1"/>
  <c r="J9358" i="1"/>
  <c r="L9358" i="1"/>
  <c r="M9358" i="1"/>
  <c r="C9359" i="1"/>
  <c r="E9359" i="1"/>
  <c r="F9359" i="1"/>
  <c r="H9359" i="1"/>
  <c r="I9359" i="1"/>
  <c r="J9359" i="1"/>
  <c r="L9359" i="1"/>
  <c r="M9359" i="1"/>
  <c r="C9360" i="1"/>
  <c r="E9360" i="1"/>
  <c r="F9360" i="1"/>
  <c r="H9360" i="1"/>
  <c r="I9360" i="1"/>
  <c r="J9360" i="1"/>
  <c r="L9360" i="1"/>
  <c r="M9360" i="1"/>
  <c r="C9361" i="1"/>
  <c r="E9361" i="1"/>
  <c r="F9361" i="1"/>
  <c r="H9361" i="1"/>
  <c r="I9361" i="1"/>
  <c r="J9361" i="1"/>
  <c r="L9361" i="1"/>
  <c r="M9361" i="1"/>
  <c r="C9362" i="1"/>
  <c r="E9362" i="1"/>
  <c r="F9362" i="1"/>
  <c r="H9362" i="1"/>
  <c r="I9362" i="1"/>
  <c r="J9362" i="1"/>
  <c r="L9362" i="1"/>
  <c r="M9362" i="1"/>
  <c r="C9363" i="1"/>
  <c r="E9363" i="1"/>
  <c r="F9363" i="1"/>
  <c r="H9363" i="1"/>
  <c r="I9363" i="1"/>
  <c r="J9363" i="1"/>
  <c r="L9363" i="1"/>
  <c r="M9363" i="1"/>
  <c r="C9364" i="1"/>
  <c r="E9364" i="1"/>
  <c r="F9364" i="1"/>
  <c r="H9364" i="1"/>
  <c r="I9364" i="1"/>
  <c r="J9364" i="1"/>
  <c r="L9364" i="1"/>
  <c r="M9364" i="1"/>
  <c r="C9365" i="1"/>
  <c r="E9365" i="1"/>
  <c r="F9365" i="1"/>
  <c r="H9365" i="1"/>
  <c r="I9365" i="1"/>
  <c r="J9365" i="1"/>
  <c r="L9365" i="1"/>
  <c r="M9365" i="1"/>
  <c r="C9366" i="1"/>
  <c r="E9366" i="1"/>
  <c r="F9366" i="1"/>
  <c r="H9366" i="1"/>
  <c r="I9366" i="1"/>
  <c r="J9366" i="1"/>
  <c r="L9366" i="1"/>
  <c r="M9366" i="1"/>
  <c r="C9367" i="1"/>
  <c r="E9367" i="1"/>
  <c r="F9367" i="1"/>
  <c r="H9367" i="1"/>
  <c r="I9367" i="1"/>
  <c r="J9367" i="1"/>
  <c r="L9367" i="1"/>
  <c r="M9367" i="1"/>
  <c r="C9368" i="1"/>
  <c r="E9368" i="1"/>
  <c r="F9368" i="1"/>
  <c r="H9368" i="1"/>
  <c r="I9368" i="1"/>
  <c r="J9368" i="1"/>
  <c r="L9368" i="1"/>
  <c r="M9368" i="1"/>
  <c r="C9369" i="1"/>
  <c r="E9369" i="1"/>
  <c r="F9369" i="1"/>
  <c r="H9369" i="1"/>
  <c r="I9369" i="1"/>
  <c r="J9369" i="1"/>
  <c r="L9369" i="1"/>
  <c r="M9369" i="1"/>
  <c r="C9370" i="1"/>
  <c r="E9370" i="1"/>
  <c r="F9370" i="1"/>
  <c r="H9370" i="1"/>
  <c r="I9370" i="1"/>
  <c r="J9370" i="1"/>
  <c r="L9370" i="1"/>
  <c r="M9370" i="1"/>
  <c r="C9371" i="1"/>
  <c r="E9371" i="1"/>
  <c r="F9371" i="1"/>
  <c r="H9371" i="1"/>
  <c r="I9371" i="1"/>
  <c r="J9371" i="1"/>
  <c r="L9371" i="1"/>
  <c r="M9371" i="1"/>
  <c r="C9372" i="1"/>
  <c r="E9372" i="1"/>
  <c r="F9372" i="1"/>
  <c r="H9372" i="1"/>
  <c r="I9372" i="1"/>
  <c r="J9372" i="1"/>
  <c r="L9372" i="1"/>
  <c r="M9372" i="1"/>
  <c r="C9373" i="1"/>
  <c r="E9373" i="1"/>
  <c r="F9373" i="1"/>
  <c r="H9373" i="1"/>
  <c r="I9373" i="1"/>
  <c r="J9373" i="1"/>
  <c r="L9373" i="1"/>
  <c r="M9373" i="1"/>
  <c r="C9374" i="1"/>
  <c r="E9374" i="1"/>
  <c r="F9374" i="1"/>
  <c r="H9374" i="1"/>
  <c r="I9374" i="1"/>
  <c r="J9374" i="1"/>
  <c r="L9374" i="1"/>
  <c r="M9374" i="1"/>
  <c r="C9375" i="1"/>
  <c r="E9375" i="1"/>
  <c r="F9375" i="1"/>
  <c r="H9375" i="1"/>
  <c r="I9375" i="1"/>
  <c r="J9375" i="1"/>
  <c r="L9375" i="1"/>
  <c r="M9375" i="1"/>
  <c r="C9376" i="1"/>
  <c r="E9376" i="1"/>
  <c r="F9376" i="1"/>
  <c r="H9376" i="1"/>
  <c r="I9376" i="1"/>
  <c r="J9376" i="1"/>
  <c r="L9376" i="1"/>
  <c r="M9376" i="1"/>
  <c r="C9377" i="1"/>
  <c r="E9377" i="1"/>
  <c r="F9377" i="1"/>
  <c r="H9377" i="1"/>
  <c r="I9377" i="1"/>
  <c r="J9377" i="1"/>
  <c r="L9377" i="1"/>
  <c r="M9377" i="1"/>
  <c r="C9378" i="1"/>
  <c r="E9378" i="1"/>
  <c r="F9378" i="1"/>
  <c r="H9378" i="1"/>
  <c r="I9378" i="1"/>
  <c r="J9378" i="1"/>
  <c r="L9378" i="1"/>
  <c r="M9378" i="1"/>
  <c r="C9379" i="1"/>
  <c r="E9379" i="1"/>
  <c r="F9379" i="1"/>
  <c r="H9379" i="1"/>
  <c r="I9379" i="1"/>
  <c r="J9379" i="1"/>
  <c r="L9379" i="1"/>
  <c r="M9379" i="1"/>
  <c r="C9380" i="1"/>
  <c r="E9380" i="1"/>
  <c r="F9380" i="1"/>
  <c r="H9380" i="1"/>
  <c r="I9380" i="1"/>
  <c r="J9380" i="1"/>
  <c r="L9380" i="1"/>
  <c r="M9380" i="1"/>
  <c r="C9381" i="1"/>
  <c r="E9381" i="1"/>
  <c r="F9381" i="1"/>
  <c r="H9381" i="1"/>
  <c r="I9381" i="1"/>
  <c r="J9381" i="1"/>
  <c r="L9381" i="1"/>
  <c r="M9381" i="1"/>
  <c r="C9382" i="1"/>
  <c r="E9382" i="1"/>
  <c r="F9382" i="1"/>
  <c r="H9382" i="1"/>
  <c r="I9382" i="1"/>
  <c r="J9382" i="1"/>
  <c r="L9382" i="1"/>
  <c r="M9382" i="1"/>
  <c r="C9383" i="1"/>
  <c r="E9383" i="1"/>
  <c r="F9383" i="1"/>
  <c r="H9383" i="1"/>
  <c r="I9383" i="1"/>
  <c r="J9383" i="1"/>
  <c r="L9383" i="1"/>
  <c r="M9383" i="1"/>
  <c r="C9384" i="1"/>
  <c r="E9384" i="1"/>
  <c r="F9384" i="1"/>
  <c r="H9384" i="1"/>
  <c r="I9384" i="1"/>
  <c r="J9384" i="1"/>
  <c r="L9384" i="1"/>
  <c r="M9384" i="1"/>
  <c r="C9385" i="1"/>
  <c r="E9385" i="1"/>
  <c r="F9385" i="1"/>
  <c r="H9385" i="1"/>
  <c r="I9385" i="1"/>
  <c r="J9385" i="1"/>
  <c r="L9385" i="1"/>
  <c r="M9385" i="1"/>
  <c r="C9386" i="1"/>
  <c r="E9386" i="1"/>
  <c r="F9386" i="1"/>
  <c r="H9386" i="1"/>
  <c r="I9386" i="1"/>
  <c r="J9386" i="1"/>
  <c r="L9386" i="1"/>
  <c r="M9386" i="1"/>
  <c r="C9387" i="1"/>
  <c r="E9387" i="1"/>
  <c r="F9387" i="1"/>
  <c r="H9387" i="1"/>
  <c r="I9387" i="1"/>
  <c r="J9387" i="1"/>
  <c r="L9387" i="1"/>
  <c r="M9387" i="1"/>
  <c r="C9388" i="1"/>
  <c r="E9388" i="1"/>
  <c r="F9388" i="1"/>
  <c r="H9388" i="1"/>
  <c r="I9388" i="1"/>
  <c r="J9388" i="1"/>
  <c r="L9388" i="1"/>
  <c r="M9388" i="1"/>
  <c r="C9389" i="1"/>
  <c r="E9389" i="1"/>
  <c r="F9389" i="1"/>
  <c r="H9389" i="1"/>
  <c r="I9389" i="1"/>
  <c r="J9389" i="1"/>
  <c r="L9389" i="1"/>
  <c r="M9389" i="1"/>
  <c r="C9390" i="1"/>
  <c r="E9390" i="1"/>
  <c r="F9390" i="1"/>
  <c r="H9390" i="1"/>
  <c r="I9390" i="1"/>
  <c r="J9390" i="1"/>
  <c r="L9390" i="1"/>
  <c r="M9390" i="1"/>
  <c r="C9391" i="1"/>
  <c r="E9391" i="1"/>
  <c r="F9391" i="1"/>
  <c r="H9391" i="1"/>
  <c r="I9391" i="1"/>
  <c r="J9391" i="1"/>
  <c r="L9391" i="1"/>
  <c r="M9391" i="1"/>
  <c r="C9392" i="1"/>
  <c r="E9392" i="1"/>
  <c r="F9392" i="1"/>
  <c r="H9392" i="1"/>
  <c r="I9392" i="1"/>
  <c r="J9392" i="1"/>
  <c r="L9392" i="1"/>
  <c r="M9392" i="1"/>
  <c r="C9393" i="1"/>
  <c r="E9393" i="1"/>
  <c r="F9393" i="1"/>
  <c r="H9393" i="1"/>
  <c r="I9393" i="1"/>
  <c r="J9393" i="1"/>
  <c r="L9393" i="1"/>
  <c r="M9393" i="1"/>
  <c r="C9394" i="1"/>
  <c r="E9394" i="1"/>
  <c r="F9394" i="1"/>
  <c r="H9394" i="1"/>
  <c r="I9394" i="1"/>
  <c r="J9394" i="1"/>
  <c r="L9394" i="1"/>
  <c r="M9394" i="1"/>
  <c r="C9395" i="1"/>
  <c r="E9395" i="1"/>
  <c r="F9395" i="1"/>
  <c r="H9395" i="1"/>
  <c r="I9395" i="1"/>
  <c r="J9395" i="1"/>
  <c r="L9395" i="1"/>
  <c r="M9395" i="1"/>
  <c r="C9396" i="1"/>
  <c r="E9396" i="1"/>
  <c r="F9396" i="1"/>
  <c r="H9396" i="1"/>
  <c r="I9396" i="1"/>
  <c r="J9396" i="1"/>
  <c r="L9396" i="1"/>
  <c r="M9396" i="1"/>
  <c r="C9397" i="1"/>
  <c r="E9397" i="1"/>
  <c r="F9397" i="1"/>
  <c r="H9397" i="1"/>
  <c r="I9397" i="1"/>
  <c r="J9397" i="1"/>
  <c r="L9397" i="1"/>
  <c r="M9397" i="1"/>
  <c r="C9398" i="1"/>
  <c r="E9398" i="1"/>
  <c r="F9398" i="1"/>
  <c r="H9398" i="1"/>
  <c r="I9398" i="1"/>
  <c r="J9398" i="1"/>
  <c r="L9398" i="1"/>
  <c r="M9398" i="1"/>
  <c r="C9399" i="1"/>
  <c r="E9399" i="1"/>
  <c r="F9399" i="1"/>
  <c r="H9399" i="1"/>
  <c r="I9399" i="1"/>
  <c r="J9399" i="1"/>
  <c r="L9399" i="1"/>
  <c r="M9399" i="1"/>
  <c r="C9400" i="1"/>
  <c r="E9400" i="1"/>
  <c r="F9400" i="1"/>
  <c r="H9400" i="1"/>
  <c r="I9400" i="1"/>
  <c r="J9400" i="1"/>
  <c r="L9400" i="1"/>
  <c r="M9400" i="1"/>
  <c r="C9401" i="1"/>
  <c r="E9401" i="1"/>
  <c r="F9401" i="1"/>
  <c r="H9401" i="1"/>
  <c r="I9401" i="1"/>
  <c r="J9401" i="1"/>
  <c r="L9401" i="1"/>
  <c r="M9401" i="1"/>
  <c r="C9402" i="1"/>
  <c r="E9402" i="1"/>
  <c r="F9402" i="1"/>
  <c r="H9402" i="1"/>
  <c r="I9402" i="1"/>
  <c r="J9402" i="1"/>
  <c r="L9402" i="1"/>
  <c r="M9402" i="1"/>
  <c r="C9403" i="1"/>
  <c r="E9403" i="1"/>
  <c r="F9403" i="1"/>
  <c r="H9403" i="1"/>
  <c r="I9403" i="1"/>
  <c r="J9403" i="1"/>
  <c r="L9403" i="1"/>
  <c r="M9403" i="1"/>
  <c r="C9404" i="1"/>
  <c r="E9404" i="1"/>
  <c r="F9404" i="1"/>
  <c r="H9404" i="1"/>
  <c r="I9404" i="1"/>
  <c r="J9404" i="1"/>
  <c r="L9404" i="1"/>
  <c r="M9404" i="1"/>
  <c r="C9405" i="1"/>
  <c r="E9405" i="1"/>
  <c r="F9405" i="1"/>
  <c r="H9405" i="1"/>
  <c r="I9405" i="1"/>
  <c r="J9405" i="1"/>
  <c r="L9405" i="1"/>
  <c r="M9405" i="1"/>
  <c r="C9406" i="1"/>
  <c r="E9406" i="1"/>
  <c r="F9406" i="1"/>
  <c r="H9406" i="1"/>
  <c r="I9406" i="1"/>
  <c r="J9406" i="1"/>
  <c r="L9406" i="1"/>
  <c r="M9406" i="1"/>
  <c r="C9407" i="1"/>
  <c r="E9407" i="1"/>
  <c r="F9407" i="1"/>
  <c r="H9407" i="1"/>
  <c r="I9407" i="1"/>
  <c r="J9407" i="1"/>
  <c r="L9407" i="1"/>
  <c r="M9407" i="1"/>
  <c r="C9408" i="1"/>
  <c r="E9408" i="1"/>
  <c r="F9408" i="1"/>
  <c r="H9408" i="1"/>
  <c r="I9408" i="1"/>
  <c r="J9408" i="1"/>
  <c r="L9408" i="1"/>
  <c r="M9408" i="1"/>
  <c r="C9409" i="1"/>
  <c r="E9409" i="1"/>
  <c r="F9409" i="1"/>
  <c r="H9409" i="1"/>
  <c r="I9409" i="1"/>
  <c r="J9409" i="1"/>
  <c r="L9409" i="1"/>
  <c r="M9409" i="1"/>
  <c r="C9410" i="1"/>
  <c r="E9410" i="1"/>
  <c r="F9410" i="1"/>
  <c r="H9410" i="1"/>
  <c r="I9410" i="1"/>
  <c r="J9410" i="1"/>
  <c r="L9410" i="1"/>
  <c r="M9410" i="1"/>
  <c r="C9411" i="1"/>
  <c r="E9411" i="1"/>
  <c r="F9411" i="1"/>
  <c r="H9411" i="1"/>
  <c r="I9411" i="1"/>
  <c r="J9411" i="1"/>
  <c r="L9411" i="1"/>
  <c r="M9411" i="1"/>
  <c r="C9412" i="1"/>
  <c r="E9412" i="1"/>
  <c r="F9412" i="1"/>
  <c r="H9412" i="1"/>
  <c r="I9412" i="1"/>
  <c r="J9412" i="1"/>
  <c r="L9412" i="1"/>
  <c r="M9412" i="1"/>
  <c r="C9413" i="1"/>
  <c r="E9413" i="1"/>
  <c r="F9413" i="1"/>
  <c r="H9413" i="1"/>
  <c r="I9413" i="1"/>
  <c r="J9413" i="1"/>
  <c r="L9413" i="1"/>
  <c r="M9413" i="1"/>
  <c r="C9414" i="1"/>
  <c r="E9414" i="1"/>
  <c r="F9414" i="1"/>
  <c r="H9414" i="1"/>
  <c r="I9414" i="1"/>
  <c r="J9414" i="1"/>
  <c r="L9414" i="1"/>
  <c r="M9414" i="1"/>
  <c r="C9415" i="1"/>
  <c r="E9415" i="1"/>
  <c r="F9415" i="1"/>
  <c r="H9415" i="1"/>
  <c r="I9415" i="1"/>
  <c r="J9415" i="1"/>
  <c r="L9415" i="1"/>
  <c r="M9415" i="1"/>
  <c r="C9416" i="1"/>
  <c r="E9416" i="1"/>
  <c r="F9416" i="1"/>
  <c r="H9416" i="1"/>
  <c r="I9416" i="1"/>
  <c r="J9416" i="1"/>
  <c r="L9416" i="1"/>
  <c r="M9416" i="1"/>
  <c r="C9417" i="1"/>
  <c r="E9417" i="1"/>
  <c r="F9417" i="1"/>
  <c r="H9417" i="1"/>
  <c r="I9417" i="1"/>
  <c r="J9417" i="1"/>
  <c r="L9417" i="1"/>
  <c r="M9417" i="1"/>
  <c r="C9418" i="1"/>
  <c r="E9418" i="1"/>
  <c r="F9418" i="1"/>
  <c r="H9418" i="1"/>
  <c r="I9418" i="1"/>
  <c r="J9418" i="1"/>
  <c r="L9418" i="1"/>
  <c r="M9418" i="1"/>
  <c r="C9419" i="1"/>
  <c r="E9419" i="1"/>
  <c r="F9419" i="1"/>
  <c r="H9419" i="1"/>
  <c r="I9419" i="1"/>
  <c r="J9419" i="1"/>
  <c r="L9419" i="1"/>
  <c r="M9419" i="1"/>
  <c r="C9420" i="1"/>
  <c r="E9420" i="1"/>
  <c r="F9420" i="1"/>
  <c r="H9420" i="1"/>
  <c r="I9420" i="1"/>
  <c r="J9420" i="1"/>
  <c r="L9420" i="1"/>
  <c r="M9420" i="1"/>
  <c r="C9421" i="1"/>
  <c r="E9421" i="1"/>
  <c r="F9421" i="1"/>
  <c r="H9421" i="1"/>
  <c r="I9421" i="1"/>
  <c r="J9421" i="1"/>
  <c r="L9421" i="1"/>
  <c r="M9421" i="1"/>
  <c r="C9422" i="1"/>
  <c r="E9422" i="1"/>
  <c r="F9422" i="1"/>
  <c r="H9422" i="1"/>
  <c r="I9422" i="1"/>
  <c r="J9422" i="1"/>
  <c r="L9422" i="1"/>
  <c r="M9422" i="1"/>
  <c r="C9423" i="1"/>
  <c r="E9423" i="1"/>
  <c r="F9423" i="1"/>
  <c r="H9423" i="1"/>
  <c r="I9423" i="1"/>
  <c r="J9423" i="1"/>
  <c r="L9423" i="1"/>
  <c r="M9423" i="1"/>
  <c r="C9424" i="1"/>
  <c r="E9424" i="1"/>
  <c r="F9424" i="1"/>
  <c r="H9424" i="1"/>
  <c r="I9424" i="1"/>
  <c r="J9424" i="1"/>
  <c r="L9424" i="1"/>
  <c r="M9424" i="1"/>
  <c r="C9425" i="1"/>
  <c r="E9425" i="1"/>
  <c r="F9425" i="1"/>
  <c r="H9425" i="1"/>
  <c r="I9425" i="1"/>
  <c r="J9425" i="1"/>
  <c r="L9425" i="1"/>
  <c r="M9425" i="1"/>
  <c r="C9426" i="1"/>
  <c r="E9426" i="1"/>
  <c r="F9426" i="1"/>
  <c r="H9426" i="1"/>
  <c r="I9426" i="1"/>
  <c r="J9426" i="1"/>
  <c r="L9426" i="1"/>
  <c r="M9426" i="1"/>
  <c r="C9427" i="1"/>
  <c r="E9427" i="1"/>
  <c r="F9427" i="1"/>
  <c r="H9427" i="1"/>
  <c r="I9427" i="1"/>
  <c r="J9427" i="1"/>
  <c r="L9427" i="1"/>
  <c r="M9427" i="1"/>
  <c r="C9428" i="1"/>
  <c r="E9428" i="1"/>
  <c r="F9428" i="1"/>
  <c r="H9428" i="1"/>
  <c r="I9428" i="1"/>
  <c r="J9428" i="1"/>
  <c r="L9428" i="1"/>
  <c r="M9428" i="1"/>
  <c r="C9429" i="1"/>
  <c r="E9429" i="1"/>
  <c r="F9429" i="1"/>
  <c r="H9429" i="1"/>
  <c r="I9429" i="1"/>
  <c r="J9429" i="1"/>
  <c r="L9429" i="1"/>
  <c r="M9429" i="1"/>
  <c r="C9430" i="1"/>
  <c r="E9430" i="1"/>
  <c r="F9430" i="1"/>
  <c r="H9430" i="1"/>
  <c r="I9430" i="1"/>
  <c r="J9430" i="1"/>
  <c r="L9430" i="1"/>
  <c r="M9430" i="1"/>
  <c r="C9431" i="1"/>
  <c r="E9431" i="1"/>
  <c r="F9431" i="1"/>
  <c r="H9431" i="1"/>
  <c r="I9431" i="1"/>
  <c r="J9431" i="1"/>
  <c r="L9431" i="1"/>
  <c r="M9431" i="1"/>
  <c r="C9432" i="1"/>
  <c r="E9432" i="1"/>
  <c r="F9432" i="1"/>
  <c r="H9432" i="1"/>
  <c r="I9432" i="1"/>
  <c r="J9432" i="1"/>
  <c r="L9432" i="1"/>
  <c r="M9432" i="1"/>
  <c r="C9433" i="1"/>
  <c r="E9433" i="1"/>
  <c r="F9433" i="1"/>
  <c r="H9433" i="1"/>
  <c r="I9433" i="1"/>
  <c r="J9433" i="1"/>
  <c r="L9433" i="1"/>
  <c r="M9433" i="1"/>
  <c r="C9434" i="1"/>
  <c r="E9434" i="1"/>
  <c r="F9434" i="1"/>
  <c r="H9434" i="1"/>
  <c r="I9434" i="1"/>
  <c r="J9434" i="1"/>
  <c r="L9434" i="1"/>
  <c r="M9434" i="1"/>
  <c r="C9435" i="1"/>
  <c r="E9435" i="1"/>
  <c r="F9435" i="1"/>
  <c r="H9435" i="1"/>
  <c r="I9435" i="1"/>
  <c r="J9435" i="1"/>
  <c r="L9435" i="1"/>
  <c r="M9435" i="1"/>
  <c r="C9436" i="1"/>
  <c r="E9436" i="1"/>
  <c r="F9436" i="1"/>
  <c r="H9436" i="1"/>
  <c r="I9436" i="1"/>
  <c r="J9436" i="1"/>
  <c r="L9436" i="1"/>
  <c r="M9436" i="1"/>
  <c r="C9437" i="1"/>
  <c r="E9437" i="1"/>
  <c r="F9437" i="1"/>
  <c r="H9437" i="1"/>
  <c r="I9437" i="1"/>
  <c r="J9437" i="1"/>
  <c r="L9437" i="1"/>
  <c r="M9437" i="1"/>
  <c r="C9438" i="1"/>
  <c r="E9438" i="1"/>
  <c r="F9438" i="1"/>
  <c r="H9438" i="1"/>
  <c r="I9438" i="1"/>
  <c r="J9438" i="1"/>
  <c r="L9438" i="1"/>
  <c r="M9438" i="1"/>
  <c r="C9439" i="1"/>
  <c r="E9439" i="1"/>
  <c r="F9439" i="1"/>
  <c r="H9439" i="1"/>
  <c r="I9439" i="1"/>
  <c r="J9439" i="1"/>
  <c r="L9439" i="1"/>
  <c r="M9439" i="1"/>
  <c r="C9440" i="1"/>
  <c r="E9440" i="1"/>
  <c r="F9440" i="1"/>
  <c r="H9440" i="1"/>
  <c r="I9440" i="1"/>
  <c r="J9440" i="1"/>
  <c r="L9440" i="1"/>
  <c r="M9440" i="1"/>
  <c r="C9441" i="1"/>
  <c r="E9441" i="1"/>
  <c r="F9441" i="1"/>
  <c r="H9441" i="1"/>
  <c r="I9441" i="1"/>
  <c r="J9441" i="1"/>
  <c r="L9441" i="1"/>
  <c r="M9441" i="1"/>
  <c r="C9442" i="1"/>
  <c r="E9442" i="1"/>
  <c r="F9442" i="1"/>
  <c r="H9442" i="1"/>
  <c r="I9442" i="1"/>
  <c r="J9442" i="1"/>
  <c r="L9442" i="1"/>
  <c r="M9442" i="1"/>
  <c r="C9443" i="1"/>
  <c r="E9443" i="1"/>
  <c r="F9443" i="1"/>
  <c r="H9443" i="1"/>
  <c r="I9443" i="1"/>
  <c r="J9443" i="1"/>
  <c r="L9443" i="1"/>
  <c r="M9443" i="1"/>
  <c r="C9444" i="1"/>
  <c r="E9444" i="1"/>
  <c r="F9444" i="1"/>
  <c r="H9444" i="1"/>
  <c r="I9444" i="1"/>
  <c r="J9444" i="1"/>
  <c r="L9444" i="1"/>
  <c r="M9444" i="1"/>
  <c r="C9445" i="1"/>
  <c r="E9445" i="1"/>
  <c r="F9445" i="1"/>
  <c r="H9445" i="1"/>
  <c r="I9445" i="1"/>
  <c r="J9445" i="1"/>
  <c r="L9445" i="1"/>
  <c r="M9445" i="1"/>
  <c r="C9446" i="1"/>
  <c r="E9446" i="1"/>
  <c r="F9446" i="1"/>
  <c r="H9446" i="1"/>
  <c r="I9446" i="1"/>
  <c r="J9446" i="1"/>
  <c r="L9446" i="1"/>
  <c r="M9446" i="1"/>
  <c r="C9447" i="1"/>
  <c r="E9447" i="1"/>
  <c r="F9447" i="1"/>
  <c r="H9447" i="1"/>
  <c r="I9447" i="1"/>
  <c r="J9447" i="1"/>
  <c r="L9447" i="1"/>
  <c r="M9447" i="1"/>
  <c r="C9448" i="1"/>
  <c r="E9448" i="1"/>
  <c r="F9448" i="1"/>
  <c r="H9448" i="1"/>
  <c r="I9448" i="1"/>
  <c r="J9448" i="1"/>
  <c r="L9448" i="1"/>
  <c r="M9448" i="1"/>
  <c r="C9449" i="1"/>
  <c r="E9449" i="1"/>
  <c r="F9449" i="1"/>
  <c r="H9449" i="1"/>
  <c r="I9449" i="1"/>
  <c r="J9449" i="1"/>
  <c r="L9449" i="1"/>
  <c r="M9449" i="1"/>
  <c r="C9450" i="1"/>
  <c r="E9450" i="1"/>
  <c r="F9450" i="1"/>
  <c r="H9450" i="1"/>
  <c r="I9450" i="1"/>
  <c r="J9450" i="1"/>
  <c r="L9450" i="1"/>
  <c r="M9450" i="1"/>
  <c r="C9451" i="1"/>
  <c r="E9451" i="1"/>
  <c r="F9451" i="1"/>
  <c r="H9451" i="1"/>
  <c r="I9451" i="1"/>
  <c r="J9451" i="1"/>
  <c r="L9451" i="1"/>
  <c r="M9451" i="1"/>
  <c r="C9452" i="1"/>
  <c r="E9452" i="1"/>
  <c r="F9452" i="1"/>
  <c r="H9452" i="1"/>
  <c r="I9452" i="1"/>
  <c r="J9452" i="1"/>
  <c r="L9452" i="1"/>
  <c r="M9452" i="1"/>
  <c r="C9453" i="1"/>
  <c r="E9453" i="1"/>
  <c r="F9453" i="1"/>
  <c r="H9453" i="1"/>
  <c r="I9453" i="1"/>
  <c r="J9453" i="1"/>
  <c r="L9453" i="1"/>
  <c r="M9453" i="1"/>
  <c r="C9454" i="1"/>
  <c r="E9454" i="1"/>
  <c r="F9454" i="1"/>
  <c r="H9454" i="1"/>
  <c r="I9454" i="1"/>
  <c r="J9454" i="1"/>
  <c r="L9454" i="1"/>
  <c r="M9454" i="1"/>
  <c r="C9455" i="1"/>
  <c r="E9455" i="1"/>
  <c r="F9455" i="1"/>
  <c r="H9455" i="1"/>
  <c r="I9455" i="1"/>
  <c r="J9455" i="1"/>
  <c r="L9455" i="1"/>
  <c r="M9455" i="1"/>
  <c r="C9456" i="1"/>
  <c r="E9456" i="1"/>
  <c r="F9456" i="1"/>
  <c r="H9456" i="1"/>
  <c r="I9456" i="1"/>
  <c r="J9456" i="1"/>
  <c r="L9456" i="1"/>
  <c r="M9456" i="1"/>
  <c r="C9457" i="1"/>
  <c r="E9457" i="1"/>
  <c r="F9457" i="1"/>
  <c r="H9457" i="1"/>
  <c r="I9457" i="1"/>
  <c r="J9457" i="1"/>
  <c r="L9457" i="1"/>
  <c r="M9457" i="1"/>
  <c r="C9458" i="1"/>
  <c r="E9458" i="1"/>
  <c r="F9458" i="1"/>
  <c r="H9458" i="1"/>
  <c r="I9458" i="1"/>
  <c r="J9458" i="1"/>
  <c r="L9458" i="1"/>
  <c r="M9458" i="1"/>
  <c r="C9459" i="1"/>
  <c r="E9459" i="1"/>
  <c r="F9459" i="1"/>
  <c r="H9459" i="1"/>
  <c r="I9459" i="1"/>
  <c r="J9459" i="1"/>
  <c r="L9459" i="1"/>
  <c r="M9459" i="1"/>
  <c r="C9460" i="1"/>
  <c r="E9460" i="1"/>
  <c r="F9460" i="1"/>
  <c r="H9460" i="1"/>
  <c r="I9460" i="1"/>
  <c r="J9460" i="1"/>
  <c r="L9460" i="1"/>
  <c r="M9460" i="1"/>
  <c r="C9461" i="1"/>
  <c r="E9461" i="1"/>
  <c r="F9461" i="1"/>
  <c r="H9461" i="1"/>
  <c r="I9461" i="1"/>
  <c r="J9461" i="1"/>
  <c r="L9461" i="1"/>
  <c r="M9461" i="1"/>
  <c r="C9462" i="1"/>
  <c r="E9462" i="1"/>
  <c r="F9462" i="1"/>
  <c r="H9462" i="1"/>
  <c r="I9462" i="1"/>
  <c r="J9462" i="1"/>
  <c r="L9462" i="1"/>
  <c r="M9462" i="1"/>
  <c r="C9463" i="1"/>
  <c r="E9463" i="1"/>
  <c r="F9463" i="1"/>
  <c r="H9463" i="1"/>
  <c r="I9463" i="1"/>
  <c r="J9463" i="1"/>
  <c r="L9463" i="1"/>
  <c r="M9463" i="1"/>
  <c r="C9464" i="1"/>
  <c r="E9464" i="1"/>
  <c r="F9464" i="1"/>
  <c r="H9464" i="1"/>
  <c r="I9464" i="1"/>
  <c r="J9464" i="1"/>
  <c r="L9464" i="1"/>
  <c r="M9464" i="1"/>
  <c r="C9465" i="1"/>
  <c r="E9465" i="1"/>
  <c r="F9465" i="1"/>
  <c r="H9465" i="1"/>
  <c r="I9465" i="1"/>
  <c r="J9465" i="1"/>
  <c r="L9465" i="1"/>
  <c r="M9465" i="1"/>
  <c r="C9466" i="1"/>
  <c r="E9466" i="1"/>
  <c r="F9466" i="1"/>
  <c r="H9466" i="1"/>
  <c r="I9466" i="1"/>
  <c r="J9466" i="1"/>
  <c r="L9466" i="1"/>
  <c r="M9466" i="1"/>
  <c r="C9467" i="1"/>
  <c r="E9467" i="1"/>
  <c r="F9467" i="1"/>
  <c r="H9467" i="1"/>
  <c r="I9467" i="1"/>
  <c r="J9467" i="1"/>
  <c r="L9467" i="1"/>
  <c r="M9467" i="1"/>
  <c r="C9468" i="1"/>
  <c r="E9468" i="1"/>
  <c r="F9468" i="1"/>
  <c r="H9468" i="1"/>
  <c r="I9468" i="1"/>
  <c r="J9468" i="1"/>
  <c r="L9468" i="1"/>
  <c r="M9468" i="1"/>
  <c r="C9469" i="1"/>
  <c r="E9469" i="1"/>
  <c r="F9469" i="1"/>
  <c r="H9469" i="1"/>
  <c r="I9469" i="1"/>
  <c r="J9469" i="1"/>
  <c r="L9469" i="1"/>
  <c r="M9469" i="1"/>
  <c r="C9470" i="1"/>
  <c r="E9470" i="1"/>
  <c r="F9470" i="1"/>
  <c r="H9470" i="1"/>
  <c r="I9470" i="1"/>
  <c r="J9470" i="1"/>
  <c r="L9470" i="1"/>
  <c r="M9470" i="1"/>
  <c r="C9471" i="1"/>
  <c r="E9471" i="1"/>
  <c r="F9471" i="1"/>
  <c r="H9471" i="1"/>
  <c r="I9471" i="1"/>
  <c r="J9471" i="1"/>
  <c r="L9471" i="1"/>
  <c r="M9471" i="1"/>
  <c r="C9472" i="1"/>
  <c r="E9472" i="1"/>
  <c r="F9472" i="1"/>
  <c r="H9472" i="1"/>
  <c r="I9472" i="1"/>
  <c r="J9472" i="1"/>
  <c r="L9472" i="1"/>
  <c r="M9472" i="1"/>
  <c r="C9473" i="1"/>
  <c r="E9473" i="1"/>
  <c r="F9473" i="1"/>
  <c r="H9473" i="1"/>
  <c r="I9473" i="1"/>
  <c r="J9473" i="1"/>
  <c r="L9473" i="1"/>
  <c r="M9473" i="1"/>
  <c r="C9474" i="1"/>
  <c r="E9474" i="1"/>
  <c r="F9474" i="1"/>
  <c r="H9474" i="1"/>
  <c r="I9474" i="1"/>
  <c r="J9474" i="1"/>
  <c r="L9474" i="1"/>
  <c r="M9474" i="1"/>
  <c r="C9475" i="1"/>
  <c r="E9475" i="1"/>
  <c r="F9475" i="1"/>
  <c r="H9475" i="1"/>
  <c r="I9475" i="1"/>
  <c r="J9475" i="1"/>
  <c r="L9475" i="1"/>
  <c r="M9475" i="1"/>
  <c r="C9476" i="1"/>
  <c r="E9476" i="1"/>
  <c r="F9476" i="1"/>
  <c r="H9476" i="1"/>
  <c r="I9476" i="1"/>
  <c r="J9476" i="1"/>
  <c r="L9476" i="1"/>
  <c r="M9476" i="1"/>
  <c r="C9477" i="1"/>
  <c r="E9477" i="1"/>
  <c r="F9477" i="1"/>
  <c r="H9477" i="1"/>
  <c r="I9477" i="1"/>
  <c r="J9477" i="1"/>
  <c r="L9477" i="1"/>
  <c r="M9477" i="1"/>
  <c r="C9478" i="1"/>
  <c r="E9478" i="1"/>
  <c r="F9478" i="1"/>
  <c r="H9478" i="1"/>
  <c r="I9478" i="1"/>
  <c r="J9478" i="1"/>
  <c r="L9478" i="1"/>
  <c r="M9478" i="1"/>
  <c r="C9479" i="1"/>
  <c r="E9479" i="1"/>
  <c r="F9479" i="1"/>
  <c r="H9479" i="1"/>
  <c r="I9479" i="1"/>
  <c r="J9479" i="1"/>
  <c r="L9479" i="1"/>
  <c r="M9479" i="1"/>
  <c r="C9480" i="1"/>
  <c r="E9480" i="1"/>
  <c r="F9480" i="1"/>
  <c r="H9480" i="1"/>
  <c r="I9480" i="1"/>
  <c r="J9480" i="1"/>
  <c r="L9480" i="1"/>
  <c r="M9480" i="1"/>
  <c r="C9481" i="1"/>
  <c r="E9481" i="1"/>
  <c r="F9481" i="1"/>
  <c r="H9481" i="1"/>
  <c r="I9481" i="1"/>
  <c r="J9481" i="1"/>
  <c r="L9481" i="1"/>
  <c r="M9481" i="1"/>
  <c r="C9482" i="1"/>
  <c r="E9482" i="1"/>
  <c r="F9482" i="1"/>
  <c r="H9482" i="1"/>
  <c r="I9482" i="1"/>
  <c r="J9482" i="1"/>
  <c r="L9482" i="1"/>
  <c r="M9482" i="1"/>
  <c r="C9483" i="1"/>
  <c r="E9483" i="1"/>
  <c r="F9483" i="1"/>
  <c r="H9483" i="1"/>
  <c r="I9483" i="1"/>
  <c r="J9483" i="1"/>
  <c r="L9483" i="1"/>
  <c r="M9483" i="1"/>
  <c r="C9484" i="1"/>
  <c r="E9484" i="1"/>
  <c r="F9484" i="1"/>
  <c r="H9484" i="1"/>
  <c r="I9484" i="1"/>
  <c r="J9484" i="1"/>
  <c r="L9484" i="1"/>
  <c r="M9484" i="1"/>
  <c r="C9485" i="1"/>
  <c r="E9485" i="1"/>
  <c r="F9485" i="1"/>
  <c r="H9485" i="1"/>
  <c r="I9485" i="1"/>
  <c r="J9485" i="1"/>
  <c r="L9485" i="1"/>
  <c r="M9485" i="1"/>
  <c r="C9486" i="1"/>
  <c r="E9486" i="1"/>
  <c r="F9486" i="1"/>
  <c r="H9486" i="1"/>
  <c r="I9486" i="1"/>
  <c r="J9486" i="1"/>
  <c r="L9486" i="1"/>
  <c r="M9486" i="1"/>
  <c r="C9487" i="1"/>
  <c r="E9487" i="1"/>
  <c r="F9487" i="1"/>
  <c r="H9487" i="1"/>
  <c r="I9487" i="1"/>
  <c r="J9487" i="1"/>
  <c r="L9487" i="1"/>
  <c r="M9487" i="1"/>
  <c r="C9488" i="1"/>
  <c r="E9488" i="1"/>
  <c r="F9488" i="1"/>
  <c r="H9488" i="1"/>
  <c r="I9488" i="1"/>
  <c r="J9488" i="1"/>
  <c r="L9488" i="1"/>
  <c r="M9488" i="1"/>
  <c r="C9489" i="1"/>
  <c r="E9489" i="1"/>
  <c r="F9489" i="1"/>
  <c r="H9489" i="1"/>
  <c r="I9489" i="1"/>
  <c r="J9489" i="1"/>
  <c r="L9489" i="1"/>
  <c r="M9489" i="1"/>
  <c r="C9490" i="1"/>
  <c r="E9490" i="1"/>
  <c r="F9490" i="1"/>
  <c r="H9490" i="1"/>
  <c r="I9490" i="1"/>
  <c r="J9490" i="1"/>
  <c r="L9490" i="1"/>
  <c r="M9490" i="1"/>
  <c r="C9491" i="1"/>
  <c r="E9491" i="1"/>
  <c r="F9491" i="1"/>
  <c r="H9491" i="1"/>
  <c r="I9491" i="1"/>
  <c r="J9491" i="1"/>
  <c r="L9491" i="1"/>
  <c r="M9491" i="1"/>
  <c r="C9492" i="1"/>
  <c r="E9492" i="1"/>
  <c r="F9492" i="1"/>
  <c r="H9492" i="1"/>
  <c r="I9492" i="1"/>
  <c r="J9492" i="1"/>
  <c r="L9492" i="1"/>
  <c r="M9492" i="1"/>
  <c r="C9493" i="1"/>
  <c r="E9493" i="1"/>
  <c r="F9493" i="1"/>
  <c r="H9493" i="1"/>
  <c r="I9493" i="1"/>
  <c r="J9493" i="1"/>
  <c r="L9493" i="1"/>
  <c r="M9493" i="1"/>
  <c r="C9494" i="1"/>
  <c r="E9494" i="1"/>
  <c r="F9494" i="1"/>
  <c r="H9494" i="1"/>
  <c r="I9494" i="1"/>
  <c r="J9494" i="1"/>
  <c r="L9494" i="1"/>
  <c r="M9494" i="1"/>
  <c r="C9495" i="1"/>
  <c r="E9495" i="1"/>
  <c r="F9495" i="1"/>
  <c r="H9495" i="1"/>
  <c r="I9495" i="1"/>
  <c r="J9495" i="1"/>
  <c r="L9495" i="1"/>
  <c r="M9495" i="1"/>
  <c r="C9496" i="1"/>
  <c r="E9496" i="1"/>
  <c r="F9496" i="1"/>
  <c r="H9496" i="1"/>
  <c r="I9496" i="1"/>
  <c r="J9496" i="1"/>
  <c r="L9496" i="1"/>
  <c r="M9496" i="1"/>
  <c r="C9497" i="1"/>
  <c r="E9497" i="1"/>
  <c r="F9497" i="1"/>
  <c r="H9497" i="1"/>
  <c r="I9497" i="1"/>
  <c r="J9497" i="1"/>
  <c r="L9497" i="1"/>
  <c r="M9497" i="1"/>
  <c r="C9498" i="1"/>
  <c r="E9498" i="1"/>
  <c r="F9498" i="1"/>
  <c r="H9498" i="1"/>
  <c r="I9498" i="1"/>
  <c r="J9498" i="1"/>
  <c r="L9498" i="1"/>
  <c r="M9498" i="1"/>
  <c r="C9499" i="1"/>
  <c r="E9499" i="1"/>
  <c r="F9499" i="1"/>
  <c r="H9499" i="1"/>
  <c r="I9499" i="1"/>
  <c r="J9499" i="1"/>
  <c r="L9499" i="1"/>
  <c r="M9499" i="1"/>
  <c r="C9500" i="1"/>
  <c r="E9500" i="1"/>
  <c r="F9500" i="1"/>
  <c r="H9500" i="1"/>
  <c r="I9500" i="1"/>
  <c r="J9500" i="1"/>
  <c r="L9500" i="1"/>
  <c r="M9500" i="1"/>
  <c r="C9501" i="1"/>
  <c r="E9501" i="1"/>
  <c r="F9501" i="1"/>
  <c r="H9501" i="1"/>
  <c r="I9501" i="1"/>
  <c r="J9501" i="1"/>
  <c r="L9501" i="1"/>
  <c r="M9501" i="1"/>
  <c r="C9502" i="1"/>
  <c r="E9502" i="1"/>
  <c r="F9502" i="1"/>
  <c r="H9502" i="1"/>
  <c r="I9502" i="1"/>
  <c r="J9502" i="1"/>
  <c r="L9502" i="1"/>
  <c r="M9502" i="1"/>
  <c r="C9503" i="1"/>
  <c r="E9503" i="1"/>
  <c r="F9503" i="1"/>
  <c r="H9503" i="1"/>
  <c r="I9503" i="1"/>
  <c r="J9503" i="1"/>
  <c r="L9503" i="1"/>
  <c r="M9503" i="1"/>
  <c r="C9504" i="1"/>
  <c r="E9504" i="1"/>
  <c r="F9504" i="1"/>
  <c r="H9504" i="1"/>
  <c r="I9504" i="1"/>
  <c r="J9504" i="1"/>
  <c r="L9504" i="1"/>
  <c r="M9504" i="1"/>
  <c r="C9505" i="1"/>
  <c r="E9505" i="1"/>
  <c r="F9505" i="1"/>
  <c r="H9505" i="1"/>
  <c r="I9505" i="1"/>
  <c r="J9505" i="1"/>
  <c r="L9505" i="1"/>
  <c r="M9505" i="1"/>
  <c r="C9506" i="1"/>
  <c r="E9506" i="1"/>
  <c r="F9506" i="1"/>
  <c r="H9506" i="1"/>
  <c r="I9506" i="1"/>
  <c r="J9506" i="1"/>
  <c r="L9506" i="1"/>
  <c r="M9506" i="1"/>
  <c r="C9507" i="1"/>
  <c r="E9507" i="1"/>
  <c r="F9507" i="1"/>
  <c r="H9507" i="1"/>
  <c r="I9507" i="1"/>
  <c r="J9507" i="1"/>
  <c r="L9507" i="1"/>
  <c r="M9507" i="1"/>
  <c r="C9508" i="1"/>
  <c r="E9508" i="1"/>
  <c r="F9508" i="1"/>
  <c r="H9508" i="1"/>
  <c r="I9508" i="1"/>
  <c r="J9508" i="1"/>
  <c r="L9508" i="1"/>
  <c r="M9508" i="1"/>
  <c r="C9509" i="1"/>
  <c r="E9509" i="1"/>
  <c r="F9509" i="1"/>
  <c r="H9509" i="1"/>
  <c r="I9509" i="1"/>
  <c r="J9509" i="1"/>
  <c r="L9509" i="1"/>
  <c r="M9509" i="1"/>
  <c r="C9510" i="1"/>
  <c r="E9510" i="1"/>
  <c r="F9510" i="1"/>
  <c r="H9510" i="1"/>
  <c r="I9510" i="1"/>
  <c r="J9510" i="1"/>
  <c r="L9510" i="1"/>
  <c r="M9510" i="1"/>
  <c r="C9511" i="1"/>
  <c r="E9511" i="1"/>
  <c r="F9511" i="1"/>
  <c r="H9511" i="1"/>
  <c r="I9511" i="1"/>
  <c r="J9511" i="1"/>
  <c r="L9511" i="1"/>
  <c r="M9511" i="1"/>
  <c r="C9512" i="1"/>
  <c r="E9512" i="1"/>
  <c r="F9512" i="1"/>
  <c r="H9512" i="1"/>
  <c r="I9512" i="1"/>
  <c r="J9512" i="1"/>
  <c r="L9512" i="1"/>
  <c r="M9512" i="1"/>
  <c r="C9513" i="1"/>
  <c r="E9513" i="1"/>
  <c r="F9513" i="1"/>
  <c r="H9513" i="1"/>
  <c r="I9513" i="1"/>
  <c r="J9513" i="1"/>
  <c r="L9513" i="1"/>
  <c r="M9513" i="1"/>
  <c r="C9514" i="1"/>
  <c r="E9514" i="1"/>
  <c r="F9514" i="1"/>
  <c r="H9514" i="1"/>
  <c r="I9514" i="1"/>
  <c r="J9514" i="1"/>
  <c r="L9514" i="1"/>
  <c r="M9514" i="1"/>
  <c r="C9515" i="1"/>
  <c r="E9515" i="1"/>
  <c r="F9515" i="1"/>
  <c r="H9515" i="1"/>
  <c r="I9515" i="1"/>
  <c r="J9515" i="1"/>
  <c r="L9515" i="1"/>
  <c r="M9515" i="1"/>
  <c r="C9516" i="1"/>
  <c r="E9516" i="1"/>
  <c r="F9516" i="1"/>
  <c r="H9516" i="1"/>
  <c r="I9516" i="1"/>
  <c r="J9516" i="1"/>
  <c r="L9516" i="1"/>
  <c r="M9516" i="1"/>
  <c r="C9517" i="1"/>
  <c r="E9517" i="1"/>
  <c r="F9517" i="1"/>
  <c r="H9517" i="1"/>
  <c r="I9517" i="1"/>
  <c r="J9517" i="1"/>
  <c r="L9517" i="1"/>
  <c r="M9517" i="1"/>
  <c r="C9518" i="1"/>
  <c r="E9518" i="1"/>
  <c r="F9518" i="1"/>
  <c r="H9518" i="1"/>
  <c r="I9518" i="1"/>
  <c r="J9518" i="1"/>
  <c r="L9518" i="1"/>
  <c r="M9518" i="1"/>
  <c r="C9519" i="1"/>
  <c r="E9519" i="1"/>
  <c r="F9519" i="1"/>
  <c r="H9519" i="1"/>
  <c r="I9519" i="1"/>
  <c r="J9519" i="1"/>
  <c r="L9519" i="1"/>
  <c r="M9519" i="1"/>
  <c r="C9520" i="1"/>
  <c r="E9520" i="1"/>
  <c r="F9520" i="1"/>
  <c r="H9520" i="1"/>
  <c r="I9520" i="1"/>
  <c r="J9520" i="1"/>
  <c r="L9520" i="1"/>
  <c r="M9520" i="1"/>
  <c r="C9521" i="1"/>
  <c r="E9521" i="1"/>
  <c r="F9521" i="1"/>
  <c r="H9521" i="1"/>
  <c r="I9521" i="1"/>
  <c r="J9521" i="1"/>
  <c r="L9521" i="1"/>
  <c r="M9521" i="1"/>
  <c r="C9522" i="1"/>
  <c r="E9522" i="1"/>
  <c r="F9522" i="1"/>
  <c r="H9522" i="1"/>
  <c r="I9522" i="1"/>
  <c r="J9522" i="1"/>
  <c r="L9522" i="1"/>
  <c r="M9522" i="1"/>
  <c r="C9523" i="1"/>
  <c r="E9523" i="1"/>
  <c r="F9523" i="1"/>
  <c r="H9523" i="1"/>
  <c r="I9523" i="1"/>
  <c r="J9523" i="1"/>
  <c r="L9523" i="1"/>
  <c r="M9523" i="1"/>
  <c r="C9524" i="1"/>
  <c r="E9524" i="1"/>
  <c r="F9524" i="1"/>
  <c r="H9524" i="1"/>
  <c r="I9524" i="1"/>
  <c r="J9524" i="1"/>
  <c r="L9524" i="1"/>
  <c r="M9524" i="1"/>
  <c r="C9525" i="1"/>
  <c r="E9525" i="1"/>
  <c r="F9525" i="1"/>
  <c r="H9525" i="1"/>
  <c r="I9525" i="1"/>
  <c r="J9525" i="1"/>
  <c r="L9525" i="1"/>
  <c r="M9525" i="1"/>
  <c r="C9526" i="1"/>
  <c r="E9526" i="1"/>
  <c r="F9526" i="1"/>
  <c r="H9526" i="1"/>
  <c r="I9526" i="1"/>
  <c r="J9526" i="1"/>
  <c r="L9526" i="1"/>
  <c r="M9526" i="1"/>
  <c r="C9527" i="1"/>
  <c r="E9527" i="1"/>
  <c r="F9527" i="1"/>
  <c r="H9527" i="1"/>
  <c r="I9527" i="1"/>
  <c r="J9527" i="1"/>
  <c r="L9527" i="1"/>
  <c r="M9527" i="1"/>
  <c r="C9528" i="1"/>
  <c r="E9528" i="1"/>
  <c r="F9528" i="1"/>
  <c r="H9528" i="1"/>
  <c r="I9528" i="1"/>
  <c r="J9528" i="1"/>
  <c r="L9528" i="1"/>
  <c r="M9528" i="1"/>
  <c r="C9529" i="1"/>
  <c r="E9529" i="1"/>
  <c r="F9529" i="1"/>
  <c r="H9529" i="1"/>
  <c r="I9529" i="1"/>
  <c r="J9529" i="1"/>
  <c r="L9529" i="1"/>
  <c r="M9529" i="1"/>
  <c r="C9530" i="1"/>
  <c r="E9530" i="1"/>
  <c r="F9530" i="1"/>
  <c r="H9530" i="1"/>
  <c r="I9530" i="1"/>
  <c r="J9530" i="1"/>
  <c r="L9530" i="1"/>
  <c r="M9530" i="1"/>
  <c r="C9531" i="1"/>
  <c r="E9531" i="1"/>
  <c r="F9531" i="1"/>
  <c r="H9531" i="1"/>
  <c r="I9531" i="1"/>
  <c r="J9531" i="1"/>
  <c r="L9531" i="1"/>
  <c r="M9531" i="1"/>
  <c r="C9532" i="1"/>
  <c r="E9532" i="1"/>
  <c r="F9532" i="1"/>
  <c r="H9532" i="1"/>
  <c r="I9532" i="1"/>
  <c r="J9532" i="1"/>
  <c r="L9532" i="1"/>
  <c r="M9532" i="1"/>
  <c r="C9533" i="1"/>
  <c r="E9533" i="1"/>
  <c r="F9533" i="1"/>
  <c r="H9533" i="1"/>
  <c r="I9533" i="1"/>
  <c r="J9533" i="1"/>
  <c r="L9533" i="1"/>
  <c r="M9533" i="1"/>
  <c r="C9534" i="1"/>
  <c r="E9534" i="1"/>
  <c r="F9534" i="1"/>
  <c r="H9534" i="1"/>
  <c r="I9534" i="1"/>
  <c r="J9534" i="1"/>
  <c r="L9534" i="1"/>
  <c r="M9534" i="1"/>
  <c r="C9535" i="1"/>
  <c r="E9535" i="1"/>
  <c r="F9535" i="1"/>
  <c r="H9535" i="1"/>
  <c r="I9535" i="1"/>
  <c r="J9535" i="1"/>
  <c r="L9535" i="1"/>
  <c r="M9535" i="1"/>
  <c r="C9536" i="1"/>
  <c r="E9536" i="1"/>
  <c r="F9536" i="1"/>
  <c r="H9536" i="1"/>
  <c r="I9536" i="1"/>
  <c r="J9536" i="1"/>
  <c r="L9536" i="1"/>
  <c r="M9536" i="1"/>
  <c r="C9537" i="1"/>
  <c r="E9537" i="1"/>
  <c r="F9537" i="1"/>
  <c r="H9537" i="1"/>
  <c r="I9537" i="1"/>
  <c r="J9537" i="1"/>
  <c r="L9537" i="1"/>
  <c r="M9537" i="1"/>
  <c r="C9538" i="1"/>
  <c r="E9538" i="1"/>
  <c r="F9538" i="1"/>
  <c r="H9538" i="1"/>
  <c r="I9538" i="1"/>
  <c r="J9538" i="1"/>
  <c r="L9538" i="1"/>
  <c r="M9538" i="1"/>
  <c r="C9539" i="1"/>
  <c r="E9539" i="1"/>
  <c r="F9539" i="1"/>
  <c r="H9539" i="1"/>
  <c r="I9539" i="1"/>
  <c r="J9539" i="1"/>
  <c r="L9539" i="1"/>
  <c r="M9539" i="1"/>
  <c r="C9540" i="1"/>
  <c r="E9540" i="1"/>
  <c r="F9540" i="1"/>
  <c r="H9540" i="1"/>
  <c r="I9540" i="1"/>
  <c r="J9540" i="1"/>
  <c r="L9540" i="1"/>
  <c r="M9540" i="1"/>
  <c r="C9541" i="1"/>
  <c r="E9541" i="1"/>
  <c r="F9541" i="1"/>
  <c r="H9541" i="1"/>
  <c r="I9541" i="1"/>
  <c r="J9541" i="1"/>
  <c r="L9541" i="1"/>
  <c r="M9541" i="1"/>
  <c r="C9542" i="1"/>
  <c r="E9542" i="1"/>
  <c r="F9542" i="1"/>
  <c r="H9542" i="1"/>
  <c r="I9542" i="1"/>
  <c r="J9542" i="1"/>
  <c r="L9542" i="1"/>
  <c r="M9542" i="1"/>
  <c r="C9543" i="1"/>
  <c r="E9543" i="1"/>
  <c r="F9543" i="1"/>
  <c r="H9543" i="1"/>
  <c r="I9543" i="1"/>
  <c r="J9543" i="1"/>
  <c r="L9543" i="1"/>
  <c r="M9543" i="1"/>
  <c r="C9544" i="1"/>
  <c r="E9544" i="1"/>
  <c r="F9544" i="1"/>
  <c r="H9544" i="1"/>
  <c r="I9544" i="1"/>
  <c r="J9544" i="1"/>
  <c r="L9544" i="1"/>
  <c r="M9544" i="1"/>
  <c r="C9545" i="1"/>
  <c r="E9545" i="1"/>
  <c r="F9545" i="1"/>
  <c r="H9545" i="1"/>
  <c r="I9545" i="1"/>
  <c r="J9545" i="1"/>
  <c r="L9545" i="1"/>
  <c r="M9545" i="1"/>
  <c r="C9546" i="1"/>
  <c r="E9546" i="1"/>
  <c r="F9546" i="1"/>
  <c r="H9546" i="1"/>
  <c r="I9546" i="1"/>
  <c r="J9546" i="1"/>
  <c r="L9546" i="1"/>
  <c r="M9546" i="1"/>
  <c r="C9547" i="1"/>
  <c r="E9547" i="1"/>
  <c r="F9547" i="1"/>
  <c r="H9547" i="1"/>
  <c r="I9547" i="1"/>
  <c r="J9547" i="1"/>
  <c r="L9547" i="1"/>
  <c r="M9547" i="1"/>
  <c r="C9548" i="1"/>
  <c r="E9548" i="1"/>
  <c r="F9548" i="1"/>
  <c r="H9548" i="1"/>
  <c r="I9548" i="1"/>
  <c r="J9548" i="1"/>
  <c r="L9548" i="1"/>
  <c r="M9548" i="1"/>
  <c r="C9549" i="1"/>
  <c r="E9549" i="1"/>
  <c r="F9549" i="1"/>
  <c r="H9549" i="1"/>
  <c r="I9549" i="1"/>
  <c r="J9549" i="1"/>
  <c r="L9549" i="1"/>
  <c r="M9549" i="1"/>
  <c r="C9550" i="1"/>
  <c r="E9550" i="1"/>
  <c r="F9550" i="1"/>
  <c r="H9550" i="1"/>
  <c r="I9550" i="1"/>
  <c r="J9550" i="1"/>
  <c r="L9550" i="1"/>
  <c r="M9550" i="1"/>
  <c r="C9551" i="1"/>
  <c r="E9551" i="1"/>
  <c r="F9551" i="1"/>
  <c r="H9551" i="1"/>
  <c r="I9551" i="1"/>
  <c r="J9551" i="1"/>
  <c r="L9551" i="1"/>
  <c r="M9551" i="1"/>
  <c r="C9552" i="1"/>
  <c r="E9552" i="1"/>
  <c r="F9552" i="1"/>
  <c r="H9552" i="1"/>
  <c r="I9552" i="1"/>
  <c r="J9552" i="1"/>
  <c r="L9552" i="1"/>
  <c r="M9552" i="1"/>
  <c r="C9553" i="1"/>
  <c r="E9553" i="1"/>
  <c r="F9553" i="1"/>
  <c r="H9553" i="1"/>
  <c r="I9553" i="1"/>
  <c r="J9553" i="1"/>
  <c r="L9553" i="1"/>
  <c r="M9553" i="1"/>
  <c r="C9554" i="1"/>
  <c r="E9554" i="1"/>
  <c r="F9554" i="1"/>
  <c r="H9554" i="1"/>
  <c r="I9554" i="1"/>
  <c r="J9554" i="1"/>
  <c r="L9554" i="1"/>
  <c r="M9554" i="1"/>
  <c r="C9555" i="1"/>
  <c r="E9555" i="1"/>
  <c r="F9555" i="1"/>
  <c r="H9555" i="1"/>
  <c r="I9555" i="1"/>
  <c r="J9555" i="1"/>
  <c r="L9555" i="1"/>
  <c r="M9555" i="1"/>
  <c r="C9556" i="1"/>
  <c r="E9556" i="1"/>
  <c r="F9556" i="1"/>
  <c r="H9556" i="1"/>
  <c r="I9556" i="1"/>
  <c r="J9556" i="1"/>
  <c r="L9556" i="1"/>
  <c r="M9556" i="1"/>
  <c r="C9557" i="1"/>
  <c r="E9557" i="1"/>
  <c r="F9557" i="1"/>
  <c r="H9557" i="1"/>
  <c r="I9557" i="1"/>
  <c r="J9557" i="1"/>
  <c r="L9557" i="1"/>
  <c r="M9557" i="1"/>
  <c r="C9558" i="1"/>
  <c r="E9558" i="1"/>
  <c r="F9558" i="1"/>
  <c r="H9558" i="1"/>
  <c r="I9558" i="1"/>
  <c r="J9558" i="1"/>
  <c r="L9558" i="1"/>
  <c r="M9558" i="1"/>
  <c r="C9559" i="1"/>
  <c r="E9559" i="1"/>
  <c r="F9559" i="1"/>
  <c r="H9559" i="1"/>
  <c r="I9559" i="1"/>
  <c r="J9559" i="1"/>
  <c r="L9559" i="1"/>
  <c r="M9559" i="1"/>
  <c r="C9560" i="1"/>
  <c r="E9560" i="1"/>
  <c r="F9560" i="1"/>
  <c r="H9560" i="1"/>
  <c r="I9560" i="1"/>
  <c r="J9560" i="1"/>
  <c r="L9560" i="1"/>
  <c r="M9560" i="1"/>
  <c r="C9561" i="1"/>
  <c r="E9561" i="1"/>
  <c r="F9561" i="1"/>
  <c r="H9561" i="1"/>
  <c r="I9561" i="1"/>
  <c r="J9561" i="1"/>
  <c r="L9561" i="1"/>
  <c r="M9561" i="1"/>
  <c r="C9562" i="1"/>
  <c r="E9562" i="1"/>
  <c r="F9562" i="1"/>
  <c r="H9562" i="1"/>
  <c r="I9562" i="1"/>
  <c r="J9562" i="1"/>
  <c r="L9562" i="1"/>
  <c r="M9562" i="1"/>
  <c r="C9563" i="1"/>
  <c r="E9563" i="1"/>
  <c r="F9563" i="1"/>
  <c r="H9563" i="1"/>
  <c r="I9563" i="1"/>
  <c r="J9563" i="1"/>
  <c r="L9563" i="1"/>
  <c r="M9563" i="1"/>
  <c r="C9564" i="1"/>
  <c r="E9564" i="1"/>
  <c r="F9564" i="1"/>
  <c r="H9564" i="1"/>
  <c r="I9564" i="1"/>
  <c r="J9564" i="1"/>
  <c r="L9564" i="1"/>
  <c r="M9564" i="1"/>
  <c r="C9565" i="1"/>
  <c r="E9565" i="1"/>
  <c r="F9565" i="1"/>
  <c r="H9565" i="1"/>
  <c r="I9565" i="1"/>
  <c r="J9565" i="1"/>
  <c r="L9565" i="1"/>
  <c r="M9565" i="1"/>
  <c r="C9566" i="1"/>
  <c r="E9566" i="1"/>
  <c r="F9566" i="1"/>
  <c r="H9566" i="1"/>
  <c r="I9566" i="1"/>
  <c r="J9566" i="1"/>
  <c r="L9566" i="1"/>
  <c r="M9566" i="1"/>
  <c r="C9567" i="1"/>
  <c r="E9567" i="1"/>
  <c r="F9567" i="1"/>
  <c r="H9567" i="1"/>
  <c r="I9567" i="1"/>
  <c r="J9567" i="1"/>
  <c r="L9567" i="1"/>
  <c r="M9567" i="1"/>
  <c r="C9568" i="1"/>
  <c r="E9568" i="1"/>
  <c r="F9568" i="1"/>
  <c r="H9568" i="1"/>
  <c r="I9568" i="1"/>
  <c r="J9568" i="1"/>
  <c r="L9568" i="1"/>
  <c r="M9568" i="1"/>
  <c r="C9569" i="1"/>
  <c r="E9569" i="1"/>
  <c r="F9569" i="1"/>
  <c r="H9569" i="1"/>
  <c r="I9569" i="1"/>
  <c r="J9569" i="1"/>
  <c r="L9569" i="1"/>
  <c r="M9569" i="1"/>
  <c r="C9570" i="1"/>
  <c r="E9570" i="1"/>
  <c r="F9570" i="1"/>
  <c r="H9570" i="1"/>
  <c r="I9570" i="1"/>
  <c r="J9570" i="1"/>
  <c r="L9570" i="1"/>
  <c r="M9570" i="1"/>
  <c r="C9571" i="1"/>
  <c r="E9571" i="1"/>
  <c r="F9571" i="1"/>
  <c r="H9571" i="1"/>
  <c r="I9571" i="1"/>
  <c r="J9571" i="1"/>
  <c r="L9571" i="1"/>
  <c r="M9571" i="1"/>
  <c r="C9572" i="1"/>
  <c r="E9572" i="1"/>
  <c r="F9572" i="1"/>
  <c r="H9572" i="1"/>
  <c r="I9572" i="1"/>
  <c r="J9572" i="1"/>
  <c r="L9572" i="1"/>
  <c r="M9572" i="1"/>
  <c r="C9573" i="1"/>
  <c r="E9573" i="1"/>
  <c r="F9573" i="1"/>
  <c r="H9573" i="1"/>
  <c r="I9573" i="1"/>
  <c r="J9573" i="1"/>
  <c r="L9573" i="1"/>
  <c r="M9573" i="1"/>
  <c r="C9574" i="1"/>
  <c r="E9574" i="1"/>
  <c r="F9574" i="1"/>
  <c r="H9574" i="1"/>
  <c r="I9574" i="1"/>
  <c r="J9574" i="1"/>
  <c r="L9574" i="1"/>
  <c r="M9574" i="1"/>
  <c r="C9575" i="1"/>
  <c r="E9575" i="1"/>
  <c r="F9575" i="1"/>
  <c r="H9575" i="1"/>
  <c r="I9575" i="1"/>
  <c r="J9575" i="1"/>
  <c r="L9575" i="1"/>
  <c r="M9575" i="1"/>
  <c r="C9576" i="1"/>
  <c r="E9576" i="1"/>
  <c r="F9576" i="1"/>
  <c r="H9576" i="1"/>
  <c r="I9576" i="1"/>
  <c r="J9576" i="1"/>
  <c r="L9576" i="1"/>
  <c r="M9576" i="1"/>
  <c r="C9577" i="1"/>
  <c r="E9577" i="1"/>
  <c r="F9577" i="1"/>
  <c r="H9577" i="1"/>
  <c r="I9577" i="1"/>
  <c r="J9577" i="1"/>
  <c r="L9577" i="1"/>
  <c r="M9577" i="1"/>
  <c r="C9578" i="1"/>
  <c r="E9578" i="1"/>
  <c r="F9578" i="1"/>
  <c r="H9578" i="1"/>
  <c r="I9578" i="1"/>
  <c r="J9578" i="1"/>
  <c r="L9578" i="1"/>
  <c r="M9578" i="1"/>
  <c r="C9579" i="1"/>
  <c r="E9579" i="1"/>
  <c r="F9579" i="1"/>
  <c r="H9579" i="1"/>
  <c r="I9579" i="1"/>
  <c r="J9579" i="1"/>
  <c r="L9579" i="1"/>
  <c r="M9579" i="1"/>
  <c r="C9580" i="1"/>
  <c r="E9580" i="1"/>
  <c r="F9580" i="1"/>
  <c r="H9580" i="1"/>
  <c r="I9580" i="1"/>
  <c r="J9580" i="1"/>
  <c r="L9580" i="1"/>
  <c r="M9580" i="1"/>
  <c r="C9581" i="1"/>
  <c r="E9581" i="1"/>
  <c r="F9581" i="1"/>
  <c r="H9581" i="1"/>
  <c r="I9581" i="1"/>
  <c r="J9581" i="1"/>
  <c r="L9581" i="1"/>
  <c r="M9581" i="1"/>
  <c r="C9582" i="1"/>
  <c r="E9582" i="1"/>
  <c r="F9582" i="1"/>
  <c r="H9582" i="1"/>
  <c r="I9582" i="1"/>
  <c r="J9582" i="1"/>
  <c r="L9582" i="1"/>
  <c r="M9582" i="1"/>
  <c r="C9583" i="1"/>
  <c r="E9583" i="1"/>
  <c r="F9583" i="1"/>
  <c r="H9583" i="1"/>
  <c r="I9583" i="1"/>
  <c r="J9583" i="1"/>
  <c r="L9583" i="1"/>
  <c r="M9583" i="1"/>
  <c r="C9584" i="1"/>
  <c r="E9584" i="1"/>
  <c r="F9584" i="1"/>
  <c r="H9584" i="1"/>
  <c r="I9584" i="1"/>
  <c r="J9584" i="1"/>
  <c r="L9584" i="1"/>
  <c r="M9584" i="1"/>
  <c r="C9585" i="1"/>
  <c r="E9585" i="1"/>
  <c r="F9585" i="1"/>
  <c r="H9585" i="1"/>
  <c r="I9585" i="1"/>
  <c r="J9585" i="1"/>
  <c r="L9585" i="1"/>
  <c r="M9585" i="1"/>
  <c r="C9586" i="1"/>
  <c r="E9586" i="1"/>
  <c r="F9586" i="1"/>
  <c r="H9586" i="1"/>
  <c r="I9586" i="1"/>
  <c r="J9586" i="1"/>
  <c r="L9586" i="1"/>
  <c r="M9586" i="1"/>
  <c r="C9587" i="1"/>
  <c r="E9587" i="1"/>
  <c r="F9587" i="1"/>
  <c r="H9587" i="1"/>
  <c r="I9587" i="1"/>
  <c r="J9587" i="1"/>
  <c r="L9587" i="1"/>
  <c r="M9587" i="1"/>
  <c r="C9588" i="1"/>
  <c r="E9588" i="1"/>
  <c r="F9588" i="1"/>
  <c r="H9588" i="1"/>
  <c r="I9588" i="1"/>
  <c r="J9588" i="1"/>
  <c r="L9588" i="1"/>
  <c r="M9588" i="1"/>
  <c r="C9589" i="1"/>
  <c r="E9589" i="1"/>
  <c r="F9589" i="1"/>
  <c r="H9589" i="1"/>
  <c r="I9589" i="1"/>
  <c r="J9589" i="1"/>
  <c r="L9589" i="1"/>
  <c r="M9589" i="1"/>
  <c r="C9590" i="1"/>
  <c r="E9590" i="1"/>
  <c r="F9590" i="1"/>
  <c r="H9590" i="1"/>
  <c r="I9590" i="1"/>
  <c r="J9590" i="1"/>
  <c r="L9590" i="1"/>
  <c r="M9590" i="1"/>
  <c r="C9591" i="1"/>
  <c r="E9591" i="1"/>
  <c r="F9591" i="1"/>
  <c r="H9591" i="1"/>
  <c r="I9591" i="1"/>
  <c r="J9591" i="1"/>
  <c r="L9591" i="1"/>
  <c r="M9591" i="1"/>
  <c r="C9592" i="1"/>
  <c r="E9592" i="1"/>
  <c r="F9592" i="1"/>
  <c r="H9592" i="1"/>
  <c r="I9592" i="1"/>
  <c r="J9592" i="1"/>
  <c r="L9592" i="1"/>
  <c r="M9592" i="1"/>
  <c r="C9593" i="1"/>
  <c r="E9593" i="1"/>
  <c r="F9593" i="1"/>
  <c r="H9593" i="1"/>
  <c r="I9593" i="1"/>
  <c r="J9593" i="1"/>
  <c r="L9593" i="1"/>
  <c r="M9593" i="1"/>
  <c r="C9594" i="1"/>
  <c r="E9594" i="1"/>
  <c r="F9594" i="1"/>
  <c r="H9594" i="1"/>
  <c r="I9594" i="1"/>
  <c r="J9594" i="1"/>
  <c r="L9594" i="1"/>
  <c r="M9594" i="1"/>
  <c r="C9595" i="1"/>
  <c r="E9595" i="1"/>
  <c r="F9595" i="1"/>
  <c r="H9595" i="1"/>
  <c r="I9595" i="1"/>
  <c r="J9595" i="1"/>
  <c r="L9595" i="1"/>
  <c r="M9595" i="1"/>
  <c r="C9596" i="1"/>
  <c r="E9596" i="1"/>
  <c r="F9596" i="1"/>
  <c r="H9596" i="1"/>
  <c r="I9596" i="1"/>
  <c r="J9596" i="1"/>
  <c r="L9596" i="1"/>
  <c r="M9596" i="1"/>
  <c r="C9597" i="1"/>
  <c r="E9597" i="1"/>
  <c r="F9597" i="1"/>
  <c r="H9597" i="1"/>
  <c r="I9597" i="1"/>
  <c r="J9597" i="1"/>
  <c r="L9597" i="1"/>
  <c r="M9597" i="1"/>
  <c r="C9598" i="1"/>
  <c r="E9598" i="1"/>
  <c r="F9598" i="1"/>
  <c r="H9598" i="1"/>
  <c r="I9598" i="1"/>
  <c r="J9598" i="1"/>
  <c r="L9598" i="1"/>
  <c r="M9598" i="1"/>
  <c r="C9599" i="1"/>
  <c r="E9599" i="1"/>
  <c r="F9599" i="1"/>
  <c r="H9599" i="1"/>
  <c r="I9599" i="1"/>
  <c r="J9599" i="1"/>
  <c r="L9599" i="1"/>
  <c r="M9599" i="1"/>
  <c r="C9600" i="1"/>
  <c r="E9600" i="1"/>
  <c r="F9600" i="1"/>
  <c r="H9600" i="1"/>
  <c r="I9600" i="1"/>
  <c r="J9600" i="1"/>
  <c r="L9600" i="1"/>
  <c r="M9600" i="1"/>
  <c r="C9601" i="1"/>
  <c r="E9601" i="1"/>
  <c r="F9601" i="1"/>
  <c r="H9601" i="1"/>
  <c r="I9601" i="1"/>
  <c r="J9601" i="1"/>
  <c r="L9601" i="1"/>
  <c r="M9601" i="1"/>
  <c r="C9602" i="1"/>
  <c r="E9602" i="1"/>
  <c r="F9602" i="1"/>
  <c r="H9602" i="1"/>
  <c r="I9602" i="1"/>
  <c r="J9602" i="1"/>
  <c r="L9602" i="1"/>
  <c r="M9602" i="1"/>
  <c r="C9603" i="1"/>
  <c r="E9603" i="1"/>
  <c r="F9603" i="1"/>
  <c r="H9603" i="1"/>
  <c r="I9603" i="1"/>
  <c r="J9603" i="1"/>
  <c r="L9603" i="1"/>
  <c r="M9603" i="1"/>
  <c r="C9604" i="1"/>
  <c r="E9604" i="1"/>
  <c r="F9604" i="1"/>
  <c r="H9604" i="1"/>
  <c r="I9604" i="1"/>
  <c r="J9604" i="1"/>
  <c r="L9604" i="1"/>
  <c r="M9604" i="1"/>
  <c r="C9605" i="1"/>
  <c r="E9605" i="1"/>
  <c r="F9605" i="1"/>
  <c r="H9605" i="1"/>
  <c r="I9605" i="1"/>
  <c r="J9605" i="1"/>
  <c r="L9605" i="1"/>
  <c r="M9605" i="1"/>
  <c r="C9606" i="1"/>
  <c r="E9606" i="1"/>
  <c r="F9606" i="1"/>
  <c r="H9606" i="1"/>
  <c r="I9606" i="1"/>
  <c r="J9606" i="1"/>
  <c r="L9606" i="1"/>
  <c r="M9606" i="1"/>
  <c r="C9607" i="1"/>
  <c r="E9607" i="1"/>
  <c r="F9607" i="1"/>
  <c r="H9607" i="1"/>
  <c r="I9607" i="1"/>
  <c r="J9607" i="1"/>
  <c r="L9607" i="1"/>
  <c r="M9607" i="1"/>
  <c r="C9608" i="1"/>
  <c r="E9608" i="1"/>
  <c r="F9608" i="1"/>
  <c r="H9608" i="1"/>
  <c r="I9608" i="1"/>
  <c r="J9608" i="1"/>
  <c r="L9608" i="1"/>
  <c r="M9608" i="1"/>
  <c r="C9609" i="1"/>
  <c r="E9609" i="1"/>
  <c r="F9609" i="1"/>
  <c r="H9609" i="1"/>
  <c r="I9609" i="1"/>
  <c r="J9609" i="1"/>
  <c r="L9609" i="1"/>
  <c r="M9609" i="1"/>
  <c r="C9610" i="1"/>
  <c r="E9610" i="1"/>
  <c r="F9610" i="1"/>
  <c r="H9610" i="1"/>
  <c r="I9610" i="1"/>
  <c r="J9610" i="1"/>
  <c r="L9610" i="1"/>
  <c r="M9610" i="1"/>
  <c r="C9611" i="1"/>
  <c r="E9611" i="1"/>
  <c r="F9611" i="1"/>
  <c r="H9611" i="1"/>
  <c r="I9611" i="1"/>
  <c r="J9611" i="1"/>
  <c r="L9611" i="1"/>
  <c r="M9611" i="1"/>
  <c r="C9612" i="1"/>
  <c r="E9612" i="1"/>
  <c r="F9612" i="1"/>
  <c r="H9612" i="1"/>
  <c r="I9612" i="1"/>
  <c r="J9612" i="1"/>
  <c r="L9612" i="1"/>
  <c r="M9612" i="1"/>
  <c r="C9613" i="1"/>
  <c r="E9613" i="1"/>
  <c r="F9613" i="1"/>
  <c r="H9613" i="1"/>
  <c r="I9613" i="1"/>
  <c r="J9613" i="1"/>
  <c r="L9613" i="1"/>
  <c r="M9613" i="1"/>
  <c r="C9614" i="1"/>
  <c r="E9614" i="1"/>
  <c r="F9614" i="1"/>
  <c r="H9614" i="1"/>
  <c r="I9614" i="1"/>
  <c r="J9614" i="1"/>
  <c r="L9614" i="1"/>
  <c r="M9614" i="1"/>
  <c r="C9615" i="1"/>
  <c r="E9615" i="1"/>
  <c r="F9615" i="1"/>
  <c r="H9615" i="1"/>
  <c r="I9615" i="1"/>
  <c r="J9615" i="1"/>
  <c r="L9615" i="1"/>
  <c r="M9615" i="1"/>
  <c r="C9616" i="1"/>
  <c r="E9616" i="1"/>
  <c r="F9616" i="1"/>
  <c r="H9616" i="1"/>
  <c r="I9616" i="1"/>
  <c r="J9616" i="1"/>
  <c r="L9616" i="1"/>
  <c r="M9616" i="1"/>
  <c r="C9617" i="1"/>
  <c r="E9617" i="1"/>
  <c r="F9617" i="1"/>
  <c r="H9617" i="1"/>
  <c r="I9617" i="1"/>
  <c r="J9617" i="1"/>
  <c r="L9617" i="1"/>
  <c r="M9617" i="1"/>
  <c r="C9618" i="1"/>
  <c r="E9618" i="1"/>
  <c r="F9618" i="1"/>
  <c r="H9618" i="1"/>
  <c r="I9618" i="1"/>
  <c r="J9618" i="1"/>
  <c r="L9618" i="1"/>
  <c r="M9618" i="1"/>
  <c r="C9619" i="1"/>
  <c r="E9619" i="1"/>
  <c r="F9619" i="1"/>
  <c r="H9619" i="1"/>
  <c r="I9619" i="1"/>
  <c r="J9619" i="1"/>
  <c r="L9619" i="1"/>
  <c r="M9619" i="1"/>
  <c r="C9620" i="1"/>
  <c r="E9620" i="1"/>
  <c r="F9620" i="1"/>
  <c r="H9620" i="1"/>
  <c r="I9620" i="1"/>
  <c r="J9620" i="1"/>
  <c r="L9620" i="1"/>
  <c r="M9620" i="1"/>
  <c r="C9621" i="1"/>
  <c r="E9621" i="1"/>
  <c r="F9621" i="1"/>
  <c r="H9621" i="1"/>
  <c r="I9621" i="1"/>
  <c r="J9621" i="1"/>
  <c r="L9621" i="1"/>
  <c r="M9621" i="1"/>
  <c r="C9622" i="1"/>
  <c r="E9622" i="1"/>
  <c r="F9622" i="1"/>
  <c r="H9622" i="1"/>
  <c r="I9622" i="1"/>
  <c r="J9622" i="1"/>
  <c r="L9622" i="1"/>
  <c r="M9622" i="1"/>
  <c r="C9623" i="1"/>
  <c r="E9623" i="1"/>
  <c r="F9623" i="1"/>
  <c r="H9623" i="1"/>
  <c r="I9623" i="1"/>
  <c r="J9623" i="1"/>
  <c r="L9623" i="1"/>
  <c r="M9623" i="1"/>
  <c r="C9624" i="1"/>
  <c r="E9624" i="1"/>
  <c r="F9624" i="1"/>
  <c r="H9624" i="1"/>
  <c r="I9624" i="1"/>
  <c r="J9624" i="1"/>
  <c r="L9624" i="1"/>
  <c r="M9624" i="1"/>
  <c r="C9625" i="1"/>
  <c r="E9625" i="1"/>
  <c r="F9625" i="1"/>
  <c r="H9625" i="1"/>
  <c r="I9625" i="1"/>
  <c r="J9625" i="1"/>
  <c r="L9625" i="1"/>
  <c r="M9625" i="1"/>
  <c r="C9626" i="1"/>
  <c r="E9626" i="1"/>
  <c r="F9626" i="1"/>
  <c r="H9626" i="1"/>
  <c r="I9626" i="1"/>
  <c r="J9626" i="1"/>
  <c r="L9626" i="1"/>
  <c r="M9626" i="1"/>
  <c r="C9627" i="1"/>
  <c r="E9627" i="1"/>
  <c r="F9627" i="1"/>
  <c r="H9627" i="1"/>
  <c r="I9627" i="1"/>
  <c r="J9627" i="1"/>
  <c r="L9627" i="1"/>
  <c r="M9627" i="1"/>
  <c r="C9628" i="1"/>
  <c r="E9628" i="1"/>
  <c r="F9628" i="1"/>
  <c r="H9628" i="1"/>
  <c r="I9628" i="1"/>
  <c r="J9628" i="1"/>
  <c r="L9628" i="1"/>
  <c r="M9628" i="1"/>
  <c r="C9629" i="1"/>
  <c r="E9629" i="1"/>
  <c r="F9629" i="1"/>
  <c r="H9629" i="1"/>
  <c r="I9629" i="1"/>
  <c r="J9629" i="1"/>
  <c r="L9629" i="1"/>
  <c r="M9629" i="1"/>
  <c r="C9630" i="1"/>
  <c r="E9630" i="1"/>
  <c r="F9630" i="1"/>
  <c r="H9630" i="1"/>
  <c r="I9630" i="1"/>
  <c r="J9630" i="1"/>
  <c r="L9630" i="1"/>
  <c r="M9630" i="1"/>
  <c r="C9631" i="1"/>
  <c r="E9631" i="1"/>
  <c r="F9631" i="1"/>
  <c r="H9631" i="1"/>
  <c r="I9631" i="1"/>
  <c r="J9631" i="1"/>
  <c r="L9631" i="1"/>
  <c r="M9631" i="1"/>
  <c r="C9632" i="1"/>
  <c r="E9632" i="1"/>
  <c r="F9632" i="1"/>
  <c r="H9632" i="1"/>
  <c r="I9632" i="1"/>
  <c r="J9632" i="1"/>
  <c r="L9632" i="1"/>
  <c r="M9632" i="1"/>
  <c r="C9633" i="1"/>
  <c r="E9633" i="1"/>
  <c r="F9633" i="1"/>
  <c r="H9633" i="1"/>
  <c r="I9633" i="1"/>
  <c r="J9633" i="1"/>
  <c r="L9633" i="1"/>
  <c r="M9633" i="1"/>
  <c r="C9634" i="1"/>
  <c r="E9634" i="1"/>
  <c r="F9634" i="1"/>
  <c r="H9634" i="1"/>
  <c r="I9634" i="1"/>
  <c r="J9634" i="1"/>
  <c r="L9634" i="1"/>
  <c r="M9634" i="1"/>
  <c r="C9635" i="1"/>
  <c r="E9635" i="1"/>
  <c r="F9635" i="1"/>
  <c r="H9635" i="1"/>
  <c r="I9635" i="1"/>
  <c r="J9635" i="1"/>
  <c r="L9635" i="1"/>
  <c r="M9635" i="1"/>
  <c r="C9636" i="1"/>
  <c r="E9636" i="1"/>
  <c r="F9636" i="1"/>
  <c r="H9636" i="1"/>
  <c r="I9636" i="1"/>
  <c r="J9636" i="1"/>
  <c r="L9636" i="1"/>
  <c r="M9636" i="1"/>
  <c r="C9637" i="1"/>
  <c r="E9637" i="1"/>
  <c r="F9637" i="1"/>
  <c r="H9637" i="1"/>
  <c r="I9637" i="1"/>
  <c r="J9637" i="1"/>
  <c r="L9637" i="1"/>
  <c r="M9637" i="1"/>
  <c r="C9638" i="1"/>
  <c r="E9638" i="1"/>
  <c r="F9638" i="1"/>
  <c r="H9638" i="1"/>
  <c r="I9638" i="1"/>
  <c r="J9638" i="1"/>
  <c r="L9638" i="1"/>
  <c r="M9638" i="1"/>
  <c r="C9639" i="1"/>
  <c r="E9639" i="1"/>
  <c r="F9639" i="1"/>
  <c r="H9639" i="1"/>
  <c r="I9639" i="1"/>
  <c r="J9639" i="1"/>
  <c r="L9639" i="1"/>
  <c r="M9639" i="1"/>
  <c r="C9640" i="1"/>
  <c r="E9640" i="1"/>
  <c r="F9640" i="1"/>
  <c r="H9640" i="1"/>
  <c r="I9640" i="1"/>
  <c r="J9640" i="1"/>
  <c r="L9640" i="1"/>
  <c r="M9640" i="1"/>
  <c r="C9641" i="1"/>
  <c r="E9641" i="1"/>
  <c r="F9641" i="1"/>
  <c r="H9641" i="1"/>
  <c r="I9641" i="1"/>
  <c r="J9641" i="1"/>
  <c r="L9641" i="1"/>
  <c r="M9641" i="1"/>
  <c r="C9642" i="1"/>
  <c r="E9642" i="1"/>
  <c r="F9642" i="1"/>
  <c r="H9642" i="1"/>
  <c r="I9642" i="1"/>
  <c r="J9642" i="1"/>
  <c r="L9642" i="1"/>
  <c r="M9642" i="1"/>
  <c r="C9643" i="1"/>
  <c r="E9643" i="1"/>
  <c r="F9643" i="1"/>
  <c r="H9643" i="1"/>
  <c r="I9643" i="1"/>
  <c r="J9643" i="1"/>
  <c r="L9643" i="1"/>
  <c r="M9643" i="1"/>
  <c r="C9644" i="1"/>
  <c r="E9644" i="1"/>
  <c r="F9644" i="1"/>
  <c r="H9644" i="1"/>
  <c r="I9644" i="1"/>
  <c r="J9644" i="1"/>
  <c r="L9644" i="1"/>
  <c r="M9644" i="1"/>
  <c r="C9645" i="1"/>
  <c r="E9645" i="1"/>
  <c r="F9645" i="1"/>
  <c r="H9645" i="1"/>
  <c r="I9645" i="1"/>
  <c r="J9645" i="1"/>
  <c r="L9645" i="1"/>
  <c r="M9645" i="1"/>
  <c r="C9646" i="1"/>
  <c r="E9646" i="1"/>
  <c r="F9646" i="1"/>
  <c r="H9646" i="1"/>
  <c r="I9646" i="1"/>
  <c r="J9646" i="1"/>
  <c r="L9646" i="1"/>
  <c r="M9646" i="1"/>
  <c r="C9647" i="1"/>
  <c r="E9647" i="1"/>
  <c r="F9647" i="1"/>
  <c r="H9647" i="1"/>
  <c r="I9647" i="1"/>
  <c r="J9647" i="1"/>
  <c r="L9647" i="1"/>
  <c r="M9647" i="1"/>
  <c r="C9648" i="1"/>
  <c r="E9648" i="1"/>
  <c r="F9648" i="1"/>
  <c r="H9648" i="1"/>
  <c r="I9648" i="1"/>
  <c r="J9648" i="1"/>
  <c r="L9648" i="1"/>
  <c r="M9648" i="1"/>
  <c r="C9649" i="1"/>
  <c r="E9649" i="1"/>
  <c r="F9649" i="1"/>
  <c r="H9649" i="1"/>
  <c r="I9649" i="1"/>
  <c r="J9649" i="1"/>
  <c r="L9649" i="1"/>
  <c r="M9649" i="1"/>
  <c r="C9650" i="1"/>
  <c r="E9650" i="1"/>
  <c r="F9650" i="1"/>
  <c r="H9650" i="1"/>
  <c r="I9650" i="1"/>
  <c r="J9650" i="1"/>
  <c r="L9650" i="1"/>
  <c r="M9650" i="1"/>
  <c r="C9651" i="1"/>
  <c r="E9651" i="1"/>
  <c r="F9651" i="1"/>
  <c r="H9651" i="1"/>
  <c r="I9651" i="1"/>
  <c r="J9651" i="1"/>
  <c r="L9651" i="1"/>
  <c r="M9651" i="1"/>
  <c r="C9652" i="1"/>
  <c r="E9652" i="1"/>
  <c r="F9652" i="1"/>
  <c r="H9652" i="1"/>
  <c r="I9652" i="1"/>
  <c r="J9652" i="1"/>
  <c r="L9652" i="1"/>
  <c r="M9652" i="1"/>
  <c r="C9653" i="1"/>
  <c r="E9653" i="1"/>
  <c r="F9653" i="1"/>
  <c r="H9653" i="1"/>
  <c r="I9653" i="1"/>
  <c r="J9653" i="1"/>
  <c r="L9653" i="1"/>
  <c r="M9653" i="1"/>
  <c r="C9654" i="1"/>
  <c r="E9654" i="1"/>
  <c r="F9654" i="1"/>
  <c r="H9654" i="1"/>
  <c r="I9654" i="1"/>
  <c r="J9654" i="1"/>
  <c r="L9654" i="1"/>
  <c r="M9654" i="1"/>
  <c r="C9655" i="1"/>
  <c r="E9655" i="1"/>
  <c r="F9655" i="1"/>
  <c r="H9655" i="1"/>
  <c r="I9655" i="1"/>
  <c r="J9655" i="1"/>
  <c r="L9655" i="1"/>
  <c r="M9655" i="1"/>
  <c r="C9656" i="1"/>
  <c r="E9656" i="1"/>
  <c r="F9656" i="1"/>
  <c r="H9656" i="1"/>
  <c r="I9656" i="1"/>
  <c r="J9656" i="1"/>
  <c r="L9656" i="1"/>
  <c r="M9656" i="1"/>
  <c r="C9657" i="1"/>
  <c r="E9657" i="1"/>
  <c r="F9657" i="1"/>
  <c r="H9657" i="1"/>
  <c r="I9657" i="1"/>
  <c r="J9657" i="1"/>
  <c r="L9657" i="1"/>
  <c r="M9657" i="1"/>
  <c r="C9658" i="1"/>
  <c r="E9658" i="1"/>
  <c r="F9658" i="1"/>
  <c r="H9658" i="1"/>
  <c r="I9658" i="1"/>
  <c r="J9658" i="1"/>
  <c r="L9658" i="1"/>
  <c r="M9658" i="1"/>
  <c r="C9659" i="1"/>
  <c r="E9659" i="1"/>
  <c r="F9659" i="1"/>
  <c r="H9659" i="1"/>
  <c r="I9659" i="1"/>
  <c r="J9659" i="1"/>
  <c r="L9659" i="1"/>
  <c r="M9659" i="1"/>
  <c r="C9660" i="1"/>
  <c r="E9660" i="1"/>
  <c r="F9660" i="1"/>
  <c r="H9660" i="1"/>
  <c r="I9660" i="1"/>
  <c r="J9660" i="1"/>
  <c r="L9660" i="1"/>
  <c r="M9660" i="1"/>
  <c r="C9661" i="1"/>
  <c r="E9661" i="1"/>
  <c r="F9661" i="1"/>
  <c r="H9661" i="1"/>
  <c r="I9661" i="1"/>
  <c r="J9661" i="1"/>
  <c r="L9661" i="1"/>
  <c r="M9661" i="1"/>
  <c r="C9662" i="1"/>
  <c r="E9662" i="1"/>
  <c r="F9662" i="1"/>
  <c r="H9662" i="1"/>
  <c r="I9662" i="1"/>
  <c r="J9662" i="1"/>
  <c r="L9662" i="1"/>
  <c r="M9662" i="1"/>
  <c r="C9663" i="1"/>
  <c r="E9663" i="1"/>
  <c r="F9663" i="1"/>
  <c r="H9663" i="1"/>
  <c r="I9663" i="1"/>
  <c r="J9663" i="1"/>
  <c r="L9663" i="1"/>
  <c r="M9663" i="1"/>
  <c r="C9664" i="1"/>
  <c r="E9664" i="1"/>
  <c r="F9664" i="1"/>
  <c r="H9664" i="1"/>
  <c r="I9664" i="1"/>
  <c r="J9664" i="1"/>
  <c r="L9664" i="1"/>
  <c r="M9664" i="1"/>
  <c r="C9665" i="1"/>
  <c r="E9665" i="1"/>
  <c r="F9665" i="1"/>
  <c r="H9665" i="1"/>
  <c r="I9665" i="1"/>
  <c r="J9665" i="1"/>
  <c r="L9665" i="1"/>
  <c r="M9665" i="1"/>
  <c r="C9666" i="1"/>
  <c r="E9666" i="1"/>
  <c r="F9666" i="1"/>
  <c r="H9666" i="1"/>
  <c r="I9666" i="1"/>
  <c r="J9666" i="1"/>
  <c r="L9666" i="1"/>
  <c r="M9666" i="1"/>
  <c r="C9667" i="1"/>
  <c r="E9667" i="1"/>
  <c r="F9667" i="1"/>
  <c r="H9667" i="1"/>
  <c r="I9667" i="1"/>
  <c r="J9667" i="1"/>
  <c r="L9667" i="1"/>
  <c r="M9667" i="1"/>
  <c r="C9668" i="1"/>
  <c r="E9668" i="1"/>
  <c r="F9668" i="1"/>
  <c r="H9668" i="1"/>
  <c r="I9668" i="1"/>
  <c r="J9668" i="1"/>
  <c r="L9668" i="1"/>
  <c r="M9668" i="1"/>
  <c r="C9669" i="1"/>
  <c r="E9669" i="1"/>
  <c r="F9669" i="1"/>
  <c r="H9669" i="1"/>
  <c r="I9669" i="1"/>
  <c r="J9669" i="1"/>
  <c r="L9669" i="1"/>
  <c r="M9669" i="1"/>
  <c r="C9670" i="1"/>
  <c r="E9670" i="1"/>
  <c r="F9670" i="1"/>
  <c r="H9670" i="1"/>
  <c r="I9670" i="1"/>
  <c r="J9670" i="1"/>
  <c r="L9670" i="1"/>
  <c r="M9670" i="1"/>
  <c r="C9671" i="1"/>
  <c r="E9671" i="1"/>
  <c r="F9671" i="1"/>
  <c r="H9671" i="1"/>
  <c r="I9671" i="1"/>
  <c r="J9671" i="1"/>
  <c r="L9671" i="1"/>
  <c r="M9671" i="1"/>
  <c r="C9672" i="1"/>
  <c r="E9672" i="1"/>
  <c r="F9672" i="1"/>
  <c r="H9672" i="1"/>
  <c r="I9672" i="1"/>
  <c r="J9672" i="1"/>
  <c r="L9672" i="1"/>
  <c r="M9672" i="1"/>
  <c r="C9673" i="1"/>
  <c r="E9673" i="1"/>
  <c r="F9673" i="1"/>
  <c r="H9673" i="1"/>
  <c r="I9673" i="1"/>
  <c r="J9673" i="1"/>
  <c r="L9673" i="1"/>
  <c r="M9673" i="1"/>
  <c r="C9674" i="1"/>
  <c r="E9674" i="1"/>
  <c r="F9674" i="1"/>
  <c r="H9674" i="1"/>
  <c r="I9674" i="1"/>
  <c r="J9674" i="1"/>
  <c r="L9674" i="1"/>
  <c r="M9674" i="1"/>
  <c r="C9675" i="1"/>
  <c r="E9675" i="1"/>
  <c r="F9675" i="1"/>
  <c r="H9675" i="1"/>
  <c r="I9675" i="1"/>
  <c r="J9675" i="1"/>
  <c r="L9675" i="1"/>
  <c r="M9675" i="1"/>
  <c r="C9676" i="1"/>
  <c r="E9676" i="1"/>
  <c r="F9676" i="1"/>
  <c r="H9676" i="1"/>
  <c r="I9676" i="1"/>
  <c r="J9676" i="1"/>
  <c r="L9676" i="1"/>
  <c r="M9676" i="1"/>
  <c r="C9677" i="1"/>
  <c r="E9677" i="1"/>
  <c r="F9677" i="1"/>
  <c r="H9677" i="1"/>
  <c r="I9677" i="1"/>
  <c r="J9677" i="1"/>
  <c r="L9677" i="1"/>
  <c r="M9677" i="1"/>
  <c r="C9678" i="1"/>
  <c r="E9678" i="1"/>
  <c r="F9678" i="1"/>
  <c r="H9678" i="1"/>
  <c r="I9678" i="1"/>
  <c r="J9678" i="1"/>
  <c r="L9678" i="1"/>
  <c r="M9678" i="1"/>
  <c r="C9679" i="1"/>
  <c r="E9679" i="1"/>
  <c r="F9679" i="1"/>
  <c r="H9679" i="1"/>
  <c r="I9679" i="1"/>
  <c r="J9679" i="1"/>
  <c r="L9679" i="1"/>
  <c r="M9679" i="1"/>
  <c r="C9680" i="1"/>
  <c r="E9680" i="1"/>
  <c r="F9680" i="1"/>
  <c r="H9680" i="1"/>
  <c r="I9680" i="1"/>
  <c r="J9680" i="1"/>
  <c r="L9680" i="1"/>
  <c r="M9680" i="1"/>
  <c r="C9681" i="1"/>
  <c r="E9681" i="1"/>
  <c r="F9681" i="1"/>
  <c r="H9681" i="1"/>
  <c r="I9681" i="1"/>
  <c r="J9681" i="1"/>
  <c r="L9681" i="1"/>
  <c r="M9681" i="1"/>
  <c r="C9682" i="1"/>
  <c r="E9682" i="1"/>
  <c r="F9682" i="1"/>
  <c r="H9682" i="1"/>
  <c r="I9682" i="1"/>
  <c r="J9682" i="1"/>
  <c r="L9682" i="1"/>
  <c r="M9682" i="1"/>
  <c r="C9683" i="1"/>
  <c r="E9683" i="1"/>
  <c r="F9683" i="1"/>
  <c r="H9683" i="1"/>
  <c r="I9683" i="1"/>
  <c r="J9683" i="1"/>
  <c r="L9683" i="1"/>
  <c r="M9683" i="1"/>
  <c r="C9684" i="1"/>
  <c r="E9684" i="1"/>
  <c r="F9684" i="1"/>
  <c r="H9684" i="1"/>
  <c r="I9684" i="1"/>
  <c r="J9684" i="1"/>
  <c r="L9684" i="1"/>
  <c r="M9684" i="1"/>
  <c r="C9685" i="1"/>
  <c r="E9685" i="1"/>
  <c r="F9685" i="1"/>
  <c r="H9685" i="1"/>
  <c r="I9685" i="1"/>
  <c r="J9685" i="1"/>
  <c r="L9685" i="1"/>
  <c r="M9685" i="1"/>
  <c r="C9686" i="1"/>
  <c r="E9686" i="1"/>
  <c r="F9686" i="1"/>
  <c r="H9686" i="1"/>
  <c r="I9686" i="1"/>
  <c r="J9686" i="1"/>
  <c r="L9686" i="1"/>
  <c r="M9686" i="1"/>
  <c r="C9687" i="1"/>
  <c r="E9687" i="1"/>
  <c r="F9687" i="1"/>
  <c r="H9687" i="1"/>
  <c r="I9687" i="1"/>
  <c r="J9687" i="1"/>
  <c r="L9687" i="1"/>
  <c r="M9687" i="1"/>
  <c r="C9688" i="1"/>
  <c r="E9688" i="1"/>
  <c r="F9688" i="1"/>
  <c r="H9688" i="1"/>
  <c r="I9688" i="1"/>
  <c r="J9688" i="1"/>
  <c r="L9688" i="1"/>
  <c r="M9688" i="1"/>
  <c r="C9689" i="1"/>
  <c r="E9689" i="1"/>
  <c r="F9689" i="1"/>
  <c r="H9689" i="1"/>
  <c r="I9689" i="1"/>
  <c r="J9689" i="1"/>
  <c r="L9689" i="1"/>
  <c r="M9689" i="1"/>
  <c r="C9690" i="1"/>
  <c r="E9690" i="1"/>
  <c r="F9690" i="1"/>
  <c r="H9690" i="1"/>
  <c r="I9690" i="1"/>
  <c r="J9690" i="1"/>
  <c r="L9690" i="1"/>
  <c r="M9690" i="1"/>
  <c r="C9691" i="1"/>
  <c r="E9691" i="1"/>
  <c r="F9691" i="1"/>
  <c r="H9691" i="1"/>
  <c r="I9691" i="1"/>
  <c r="J9691" i="1"/>
  <c r="L9691" i="1"/>
  <c r="M9691" i="1"/>
  <c r="C9692" i="1"/>
  <c r="E9692" i="1"/>
  <c r="F9692" i="1"/>
  <c r="H9692" i="1"/>
  <c r="I9692" i="1"/>
  <c r="J9692" i="1"/>
  <c r="L9692" i="1"/>
  <c r="M9692" i="1"/>
  <c r="C9693" i="1"/>
  <c r="E9693" i="1"/>
  <c r="F9693" i="1"/>
  <c r="H9693" i="1"/>
  <c r="I9693" i="1"/>
  <c r="J9693" i="1"/>
  <c r="L9693" i="1"/>
  <c r="M9693" i="1"/>
  <c r="C9694" i="1"/>
  <c r="E9694" i="1"/>
  <c r="F9694" i="1"/>
  <c r="H9694" i="1"/>
  <c r="I9694" i="1"/>
  <c r="J9694" i="1"/>
  <c r="L9694" i="1"/>
  <c r="M9694" i="1"/>
  <c r="C9695" i="1"/>
  <c r="E9695" i="1"/>
  <c r="F9695" i="1"/>
  <c r="H9695" i="1"/>
  <c r="I9695" i="1"/>
  <c r="J9695" i="1"/>
  <c r="L9695" i="1"/>
  <c r="M9695" i="1"/>
  <c r="C9696" i="1"/>
  <c r="E9696" i="1"/>
  <c r="F9696" i="1"/>
  <c r="H9696" i="1"/>
  <c r="I9696" i="1"/>
  <c r="J9696" i="1"/>
  <c r="L9696" i="1"/>
  <c r="M9696" i="1"/>
  <c r="C9697" i="1"/>
  <c r="E9697" i="1"/>
  <c r="F9697" i="1"/>
  <c r="H9697" i="1"/>
  <c r="I9697" i="1"/>
  <c r="J9697" i="1"/>
  <c r="L9697" i="1"/>
  <c r="M9697" i="1"/>
  <c r="C9698" i="1"/>
  <c r="E9698" i="1"/>
  <c r="F9698" i="1"/>
  <c r="H9698" i="1"/>
  <c r="I9698" i="1"/>
  <c r="J9698" i="1"/>
  <c r="L9698" i="1"/>
  <c r="M9698" i="1"/>
  <c r="C9699" i="1"/>
  <c r="E9699" i="1"/>
  <c r="F9699" i="1"/>
  <c r="H9699" i="1"/>
  <c r="I9699" i="1"/>
  <c r="J9699" i="1"/>
  <c r="L9699" i="1"/>
  <c r="M9699" i="1"/>
  <c r="C9700" i="1"/>
  <c r="E9700" i="1"/>
  <c r="F9700" i="1"/>
  <c r="H9700" i="1"/>
  <c r="I9700" i="1"/>
  <c r="J9700" i="1"/>
  <c r="L9700" i="1"/>
  <c r="M9700" i="1"/>
  <c r="C9701" i="1"/>
  <c r="E9701" i="1"/>
  <c r="F9701" i="1"/>
  <c r="H9701" i="1"/>
  <c r="I9701" i="1"/>
  <c r="J9701" i="1"/>
  <c r="L9701" i="1"/>
  <c r="M9701" i="1"/>
  <c r="C9702" i="1"/>
  <c r="E9702" i="1"/>
  <c r="F9702" i="1"/>
  <c r="H9702" i="1"/>
  <c r="I9702" i="1"/>
  <c r="J9702" i="1"/>
  <c r="L9702" i="1"/>
  <c r="M9702" i="1"/>
  <c r="C9703" i="1"/>
  <c r="E9703" i="1"/>
  <c r="F9703" i="1"/>
  <c r="H9703" i="1"/>
  <c r="I9703" i="1"/>
  <c r="J9703" i="1"/>
  <c r="L9703" i="1"/>
  <c r="M9703" i="1"/>
  <c r="C9704" i="1"/>
  <c r="E9704" i="1"/>
  <c r="F9704" i="1"/>
  <c r="H9704" i="1"/>
  <c r="I9704" i="1"/>
  <c r="J9704" i="1"/>
  <c r="L9704" i="1"/>
  <c r="M9704" i="1"/>
  <c r="C9705" i="1"/>
  <c r="E9705" i="1"/>
  <c r="F9705" i="1"/>
  <c r="H9705" i="1"/>
  <c r="I9705" i="1"/>
  <c r="J9705" i="1"/>
  <c r="L9705" i="1"/>
  <c r="M9705" i="1"/>
  <c r="C9706" i="1"/>
  <c r="E9706" i="1"/>
  <c r="F9706" i="1"/>
  <c r="H9706" i="1"/>
  <c r="I9706" i="1"/>
  <c r="J9706" i="1"/>
  <c r="L9706" i="1"/>
  <c r="M9706" i="1"/>
  <c r="C9707" i="1"/>
  <c r="E9707" i="1"/>
  <c r="F9707" i="1"/>
  <c r="H9707" i="1"/>
  <c r="I9707" i="1"/>
  <c r="J9707" i="1"/>
  <c r="L9707" i="1"/>
  <c r="M9707" i="1"/>
  <c r="C9708" i="1"/>
  <c r="E9708" i="1"/>
  <c r="F9708" i="1"/>
  <c r="H9708" i="1"/>
  <c r="I9708" i="1"/>
  <c r="J9708" i="1"/>
  <c r="L9708" i="1"/>
  <c r="M9708" i="1"/>
  <c r="C9709" i="1"/>
  <c r="E9709" i="1"/>
  <c r="F9709" i="1"/>
  <c r="H9709" i="1"/>
  <c r="I9709" i="1"/>
  <c r="J9709" i="1"/>
  <c r="L9709" i="1"/>
  <c r="M9709" i="1"/>
  <c r="C9710" i="1"/>
  <c r="E9710" i="1"/>
  <c r="F9710" i="1"/>
  <c r="H9710" i="1"/>
  <c r="I9710" i="1"/>
  <c r="J9710" i="1"/>
  <c r="L9710" i="1"/>
  <c r="M9710" i="1"/>
  <c r="C9711" i="1"/>
  <c r="E9711" i="1"/>
  <c r="F9711" i="1"/>
  <c r="H9711" i="1"/>
  <c r="I9711" i="1"/>
  <c r="J9711" i="1"/>
  <c r="L9711" i="1"/>
  <c r="M9711" i="1"/>
  <c r="C9712" i="1"/>
  <c r="E9712" i="1"/>
  <c r="F9712" i="1"/>
  <c r="H9712" i="1"/>
  <c r="I9712" i="1"/>
  <c r="J9712" i="1"/>
  <c r="L9712" i="1"/>
  <c r="M9712" i="1"/>
  <c r="C9713" i="1"/>
  <c r="E9713" i="1"/>
  <c r="F9713" i="1"/>
  <c r="H9713" i="1"/>
  <c r="I9713" i="1"/>
  <c r="J9713" i="1"/>
  <c r="L9713" i="1"/>
  <c r="M9713" i="1"/>
  <c r="C9714" i="1"/>
  <c r="E9714" i="1"/>
  <c r="F9714" i="1"/>
  <c r="H9714" i="1"/>
  <c r="I9714" i="1"/>
  <c r="J9714" i="1"/>
  <c r="L9714" i="1"/>
  <c r="M9714" i="1"/>
  <c r="C9715" i="1"/>
  <c r="E9715" i="1"/>
  <c r="F9715" i="1"/>
  <c r="H9715" i="1"/>
  <c r="I9715" i="1"/>
  <c r="J9715" i="1"/>
  <c r="L9715" i="1"/>
  <c r="M9715" i="1"/>
  <c r="C9716" i="1"/>
  <c r="E9716" i="1"/>
  <c r="F9716" i="1"/>
  <c r="H9716" i="1"/>
  <c r="I9716" i="1"/>
  <c r="J9716" i="1"/>
  <c r="L9716" i="1"/>
  <c r="M9716" i="1"/>
  <c r="C9717" i="1"/>
  <c r="E9717" i="1"/>
  <c r="F9717" i="1"/>
  <c r="H9717" i="1"/>
  <c r="I9717" i="1"/>
  <c r="J9717" i="1"/>
  <c r="L9717" i="1"/>
  <c r="M9717" i="1"/>
  <c r="C9718" i="1"/>
  <c r="E9718" i="1"/>
  <c r="F9718" i="1"/>
  <c r="H9718" i="1"/>
  <c r="I9718" i="1"/>
  <c r="J9718" i="1"/>
  <c r="L9718" i="1"/>
  <c r="M9718" i="1"/>
  <c r="C9719" i="1"/>
  <c r="E9719" i="1"/>
  <c r="F9719" i="1"/>
  <c r="H9719" i="1"/>
  <c r="I9719" i="1"/>
  <c r="J9719" i="1"/>
  <c r="L9719" i="1"/>
  <c r="M9719" i="1"/>
  <c r="C9720" i="1"/>
  <c r="E9720" i="1"/>
  <c r="F9720" i="1"/>
  <c r="H9720" i="1"/>
  <c r="I9720" i="1"/>
  <c r="J9720" i="1"/>
  <c r="L9720" i="1"/>
  <c r="M9720" i="1"/>
  <c r="C9721" i="1"/>
  <c r="E9721" i="1"/>
  <c r="F9721" i="1"/>
  <c r="H9721" i="1"/>
  <c r="I9721" i="1"/>
  <c r="J9721" i="1"/>
  <c r="L9721" i="1"/>
  <c r="M9721" i="1"/>
  <c r="C9722" i="1"/>
  <c r="E9722" i="1"/>
  <c r="F9722" i="1"/>
  <c r="H9722" i="1"/>
  <c r="I9722" i="1"/>
  <c r="J9722" i="1"/>
  <c r="L9722" i="1"/>
  <c r="M9722" i="1"/>
  <c r="C9723" i="1"/>
  <c r="E9723" i="1"/>
  <c r="F9723" i="1"/>
  <c r="H9723" i="1"/>
  <c r="I9723" i="1"/>
  <c r="J9723" i="1"/>
  <c r="L9723" i="1"/>
  <c r="M9723" i="1"/>
  <c r="C9724" i="1"/>
  <c r="E9724" i="1"/>
  <c r="F9724" i="1"/>
  <c r="H9724" i="1"/>
  <c r="I9724" i="1"/>
  <c r="J9724" i="1"/>
  <c r="L9724" i="1"/>
  <c r="M9724" i="1"/>
  <c r="C9725" i="1"/>
  <c r="E9725" i="1"/>
  <c r="F9725" i="1"/>
  <c r="H9725" i="1"/>
  <c r="I9725" i="1"/>
  <c r="J9725" i="1"/>
  <c r="L9725" i="1"/>
  <c r="M9725" i="1"/>
  <c r="C9726" i="1"/>
  <c r="E9726" i="1"/>
  <c r="F9726" i="1"/>
  <c r="H9726" i="1"/>
  <c r="I9726" i="1"/>
  <c r="J9726" i="1"/>
  <c r="L9726" i="1"/>
  <c r="M9726" i="1"/>
  <c r="C9727" i="1"/>
  <c r="E9727" i="1"/>
  <c r="F9727" i="1"/>
  <c r="H9727" i="1"/>
  <c r="I9727" i="1"/>
  <c r="J9727" i="1"/>
  <c r="L9727" i="1"/>
  <c r="M9727" i="1"/>
  <c r="C9728" i="1"/>
  <c r="E9728" i="1"/>
  <c r="F9728" i="1"/>
  <c r="H9728" i="1"/>
  <c r="I9728" i="1"/>
  <c r="J9728" i="1"/>
  <c r="L9728" i="1"/>
  <c r="M9728" i="1"/>
  <c r="C9729" i="1"/>
  <c r="E9729" i="1"/>
  <c r="F9729" i="1"/>
  <c r="H9729" i="1"/>
  <c r="I9729" i="1"/>
  <c r="J9729" i="1"/>
  <c r="L9729" i="1"/>
  <c r="M9729" i="1"/>
  <c r="C9730" i="1"/>
  <c r="E9730" i="1"/>
  <c r="F9730" i="1"/>
  <c r="H9730" i="1"/>
  <c r="I9730" i="1"/>
  <c r="J9730" i="1"/>
  <c r="L9730" i="1"/>
  <c r="M9730" i="1"/>
  <c r="C9731" i="1"/>
  <c r="E9731" i="1"/>
  <c r="F9731" i="1"/>
  <c r="H9731" i="1"/>
  <c r="I9731" i="1"/>
  <c r="J9731" i="1"/>
  <c r="L9731" i="1"/>
  <c r="M9731" i="1"/>
  <c r="C9732" i="1"/>
  <c r="E9732" i="1"/>
  <c r="F9732" i="1"/>
  <c r="H9732" i="1"/>
  <c r="I9732" i="1"/>
  <c r="J9732" i="1"/>
  <c r="L9732" i="1"/>
  <c r="M9732" i="1"/>
  <c r="C9733" i="1"/>
  <c r="E9733" i="1"/>
  <c r="F9733" i="1"/>
  <c r="H9733" i="1"/>
  <c r="I9733" i="1"/>
  <c r="J9733" i="1"/>
  <c r="L9733" i="1"/>
  <c r="M9733" i="1"/>
  <c r="C9734" i="1"/>
  <c r="E9734" i="1"/>
  <c r="F9734" i="1"/>
  <c r="H9734" i="1"/>
  <c r="I9734" i="1"/>
  <c r="J9734" i="1"/>
  <c r="L9734" i="1"/>
  <c r="M9734" i="1"/>
  <c r="C9735" i="1"/>
  <c r="E9735" i="1"/>
  <c r="F9735" i="1"/>
  <c r="H9735" i="1"/>
  <c r="I9735" i="1"/>
  <c r="J9735" i="1"/>
  <c r="L9735" i="1"/>
  <c r="M9735" i="1"/>
  <c r="C9736" i="1"/>
  <c r="E9736" i="1"/>
  <c r="F9736" i="1"/>
  <c r="H9736" i="1"/>
  <c r="I9736" i="1"/>
  <c r="J9736" i="1"/>
  <c r="L9736" i="1"/>
  <c r="M9736" i="1"/>
  <c r="C9737" i="1"/>
  <c r="E9737" i="1"/>
  <c r="F9737" i="1"/>
  <c r="H9737" i="1"/>
  <c r="I9737" i="1"/>
  <c r="J9737" i="1"/>
  <c r="L9737" i="1"/>
  <c r="M9737" i="1"/>
  <c r="C9738" i="1"/>
  <c r="E9738" i="1"/>
  <c r="F9738" i="1"/>
  <c r="H9738" i="1"/>
  <c r="I9738" i="1"/>
  <c r="J9738" i="1"/>
  <c r="L9738" i="1"/>
  <c r="M9738" i="1"/>
  <c r="C9739" i="1"/>
  <c r="E9739" i="1"/>
  <c r="F9739" i="1"/>
  <c r="H9739" i="1"/>
  <c r="I9739" i="1"/>
  <c r="J9739" i="1"/>
  <c r="L9739" i="1"/>
  <c r="M9739" i="1"/>
  <c r="C9740" i="1"/>
  <c r="E9740" i="1"/>
  <c r="F9740" i="1"/>
  <c r="H9740" i="1"/>
  <c r="I9740" i="1"/>
  <c r="J9740" i="1"/>
  <c r="L9740" i="1"/>
  <c r="M9740" i="1"/>
  <c r="C9741" i="1"/>
  <c r="E9741" i="1"/>
  <c r="F9741" i="1"/>
  <c r="H9741" i="1"/>
  <c r="I9741" i="1"/>
  <c r="J9741" i="1"/>
  <c r="L9741" i="1"/>
  <c r="M9741" i="1"/>
  <c r="C9742" i="1"/>
  <c r="E9742" i="1"/>
  <c r="F9742" i="1"/>
  <c r="H9742" i="1"/>
  <c r="I9742" i="1"/>
  <c r="J9742" i="1"/>
  <c r="L9742" i="1"/>
  <c r="M9742" i="1"/>
  <c r="C9743" i="1"/>
  <c r="E9743" i="1"/>
  <c r="F9743" i="1"/>
  <c r="H9743" i="1"/>
  <c r="I9743" i="1"/>
  <c r="J9743" i="1"/>
  <c r="L9743" i="1"/>
  <c r="M9743" i="1"/>
  <c r="C9744" i="1"/>
  <c r="E9744" i="1"/>
  <c r="F9744" i="1"/>
  <c r="H9744" i="1"/>
  <c r="I9744" i="1"/>
  <c r="J9744" i="1"/>
  <c r="L9744" i="1"/>
  <c r="M9744" i="1"/>
  <c r="C9745" i="1"/>
  <c r="E9745" i="1"/>
  <c r="F9745" i="1"/>
  <c r="H9745" i="1"/>
  <c r="I9745" i="1"/>
  <c r="J9745" i="1"/>
  <c r="L9745" i="1"/>
  <c r="M9745" i="1"/>
  <c r="C9746" i="1"/>
  <c r="E9746" i="1"/>
  <c r="F9746" i="1"/>
  <c r="H9746" i="1"/>
  <c r="I9746" i="1"/>
  <c r="J9746" i="1"/>
  <c r="L9746" i="1"/>
  <c r="M9746" i="1"/>
  <c r="C9747" i="1"/>
  <c r="E9747" i="1"/>
  <c r="F9747" i="1"/>
  <c r="H9747" i="1"/>
  <c r="I9747" i="1"/>
  <c r="J9747" i="1"/>
  <c r="L9747" i="1"/>
  <c r="M9747" i="1"/>
  <c r="C9748" i="1"/>
  <c r="E9748" i="1"/>
  <c r="F9748" i="1"/>
  <c r="H9748" i="1"/>
  <c r="I9748" i="1"/>
  <c r="J9748" i="1"/>
  <c r="L9748" i="1"/>
  <c r="M9748" i="1"/>
  <c r="C9749" i="1"/>
  <c r="E9749" i="1"/>
  <c r="F9749" i="1"/>
  <c r="H9749" i="1"/>
  <c r="I9749" i="1"/>
  <c r="J9749" i="1"/>
  <c r="L9749" i="1"/>
  <c r="M9749" i="1"/>
  <c r="C9750" i="1"/>
  <c r="E9750" i="1"/>
  <c r="F9750" i="1"/>
  <c r="H9750" i="1"/>
  <c r="I9750" i="1"/>
  <c r="J9750" i="1"/>
  <c r="L9750" i="1"/>
  <c r="M9750" i="1"/>
  <c r="C9751" i="1"/>
  <c r="E9751" i="1"/>
  <c r="F9751" i="1"/>
  <c r="H9751" i="1"/>
  <c r="I9751" i="1"/>
  <c r="J9751" i="1"/>
  <c r="L9751" i="1"/>
  <c r="M9751" i="1"/>
  <c r="C9752" i="1"/>
  <c r="E9752" i="1"/>
  <c r="F9752" i="1"/>
  <c r="H9752" i="1"/>
  <c r="I9752" i="1"/>
  <c r="J9752" i="1"/>
  <c r="L9752" i="1"/>
  <c r="M9752" i="1"/>
  <c r="C9753" i="1"/>
  <c r="E9753" i="1"/>
  <c r="F9753" i="1"/>
  <c r="H9753" i="1"/>
  <c r="I9753" i="1"/>
  <c r="J9753" i="1"/>
  <c r="L9753" i="1"/>
  <c r="M9753" i="1"/>
  <c r="C9754" i="1"/>
  <c r="E9754" i="1"/>
  <c r="F9754" i="1"/>
  <c r="H9754" i="1"/>
  <c r="I9754" i="1"/>
  <c r="J9754" i="1"/>
  <c r="L9754" i="1"/>
  <c r="M9754" i="1"/>
  <c r="C9755" i="1"/>
  <c r="E9755" i="1"/>
  <c r="F9755" i="1"/>
  <c r="H9755" i="1"/>
  <c r="I9755" i="1"/>
  <c r="J9755" i="1"/>
  <c r="L9755" i="1"/>
  <c r="M9755" i="1"/>
  <c r="C9756" i="1"/>
  <c r="E9756" i="1"/>
  <c r="F9756" i="1"/>
  <c r="H9756" i="1"/>
  <c r="I9756" i="1"/>
  <c r="J9756" i="1"/>
  <c r="L9756" i="1"/>
  <c r="M9756" i="1"/>
  <c r="C9757" i="1"/>
  <c r="E9757" i="1"/>
  <c r="F9757" i="1"/>
  <c r="H9757" i="1"/>
  <c r="I9757" i="1"/>
  <c r="J9757" i="1"/>
  <c r="L9757" i="1"/>
  <c r="M9757" i="1"/>
  <c r="C9758" i="1"/>
  <c r="E9758" i="1"/>
  <c r="F9758" i="1"/>
  <c r="H9758" i="1"/>
  <c r="I9758" i="1"/>
  <c r="J9758" i="1"/>
  <c r="L9758" i="1"/>
  <c r="M9758" i="1"/>
  <c r="C9759" i="1"/>
  <c r="E9759" i="1"/>
  <c r="F9759" i="1"/>
  <c r="H9759" i="1"/>
  <c r="I9759" i="1"/>
  <c r="J9759" i="1"/>
  <c r="L9759" i="1"/>
  <c r="M9759" i="1"/>
  <c r="C9760" i="1"/>
  <c r="E9760" i="1"/>
  <c r="F9760" i="1"/>
  <c r="H9760" i="1"/>
  <c r="I9760" i="1"/>
  <c r="J9760" i="1"/>
  <c r="L9760" i="1"/>
  <c r="M9760" i="1"/>
  <c r="C9761" i="1"/>
  <c r="E9761" i="1"/>
  <c r="F9761" i="1"/>
  <c r="H9761" i="1"/>
  <c r="I9761" i="1"/>
  <c r="J9761" i="1"/>
  <c r="L9761" i="1"/>
  <c r="M9761" i="1"/>
  <c r="C9762" i="1"/>
  <c r="E9762" i="1"/>
  <c r="F9762" i="1"/>
  <c r="H9762" i="1"/>
  <c r="I9762" i="1"/>
  <c r="J9762" i="1"/>
  <c r="L9762" i="1"/>
  <c r="M9762" i="1"/>
  <c r="C9763" i="1"/>
  <c r="E9763" i="1"/>
  <c r="F9763" i="1"/>
  <c r="H9763" i="1"/>
  <c r="I9763" i="1"/>
  <c r="J9763" i="1"/>
  <c r="L9763" i="1"/>
  <c r="M9763" i="1"/>
  <c r="C9764" i="1"/>
  <c r="E9764" i="1"/>
  <c r="F9764" i="1"/>
  <c r="H9764" i="1"/>
  <c r="I9764" i="1"/>
  <c r="J9764" i="1"/>
  <c r="L9764" i="1"/>
  <c r="M9764" i="1"/>
  <c r="C9765" i="1"/>
  <c r="E9765" i="1"/>
  <c r="F9765" i="1"/>
  <c r="H9765" i="1"/>
  <c r="I9765" i="1"/>
  <c r="J9765" i="1"/>
  <c r="L9765" i="1"/>
  <c r="M9765" i="1"/>
  <c r="C9766" i="1"/>
  <c r="E9766" i="1"/>
  <c r="F9766" i="1"/>
  <c r="H9766" i="1"/>
  <c r="I9766" i="1"/>
  <c r="J9766" i="1"/>
  <c r="L9766" i="1"/>
  <c r="M9766" i="1"/>
  <c r="C9767" i="1"/>
  <c r="E9767" i="1"/>
  <c r="F9767" i="1"/>
  <c r="H9767" i="1"/>
  <c r="I9767" i="1"/>
  <c r="J9767" i="1"/>
  <c r="L9767" i="1"/>
  <c r="M9767" i="1"/>
  <c r="C9768" i="1"/>
  <c r="E9768" i="1"/>
  <c r="F9768" i="1"/>
  <c r="H9768" i="1"/>
  <c r="I9768" i="1"/>
  <c r="J9768" i="1"/>
  <c r="L9768" i="1"/>
  <c r="M9768" i="1"/>
  <c r="C9769" i="1"/>
  <c r="E9769" i="1"/>
  <c r="F9769" i="1"/>
  <c r="H9769" i="1"/>
  <c r="I9769" i="1"/>
  <c r="J9769" i="1"/>
  <c r="L9769" i="1"/>
  <c r="M9769" i="1"/>
  <c r="C9770" i="1"/>
  <c r="E9770" i="1"/>
  <c r="F9770" i="1"/>
  <c r="H9770" i="1"/>
  <c r="I9770" i="1"/>
  <c r="J9770" i="1"/>
  <c r="L9770" i="1"/>
  <c r="M9770" i="1"/>
  <c r="C9771" i="1"/>
  <c r="E9771" i="1"/>
  <c r="F9771" i="1"/>
  <c r="H9771" i="1"/>
  <c r="I9771" i="1"/>
  <c r="J9771" i="1"/>
  <c r="L9771" i="1"/>
  <c r="M9771" i="1"/>
  <c r="C9772" i="1"/>
  <c r="E9772" i="1"/>
  <c r="F9772" i="1"/>
  <c r="H9772" i="1"/>
  <c r="I9772" i="1"/>
  <c r="J9772" i="1"/>
  <c r="L9772" i="1"/>
  <c r="M9772" i="1"/>
  <c r="C9773" i="1"/>
  <c r="E9773" i="1"/>
  <c r="F9773" i="1"/>
  <c r="H9773" i="1"/>
  <c r="I9773" i="1"/>
  <c r="J9773" i="1"/>
  <c r="L9773" i="1"/>
  <c r="M9773" i="1"/>
  <c r="C9774" i="1"/>
  <c r="E9774" i="1"/>
  <c r="F9774" i="1"/>
  <c r="H9774" i="1"/>
  <c r="I9774" i="1"/>
  <c r="J9774" i="1"/>
  <c r="L9774" i="1"/>
  <c r="M9774" i="1"/>
  <c r="C9775" i="1"/>
  <c r="E9775" i="1"/>
  <c r="F9775" i="1"/>
  <c r="H9775" i="1"/>
  <c r="I9775" i="1"/>
  <c r="J9775" i="1"/>
  <c r="L9775" i="1"/>
  <c r="M9775" i="1"/>
  <c r="C9776" i="1"/>
  <c r="E9776" i="1"/>
  <c r="F9776" i="1"/>
  <c r="H9776" i="1"/>
  <c r="I9776" i="1"/>
  <c r="J9776" i="1"/>
  <c r="L9776" i="1"/>
  <c r="M9776" i="1"/>
  <c r="C9777" i="1"/>
  <c r="E9777" i="1"/>
  <c r="F9777" i="1"/>
  <c r="H9777" i="1"/>
  <c r="I9777" i="1"/>
  <c r="J9777" i="1"/>
  <c r="L9777" i="1"/>
  <c r="M9777" i="1"/>
  <c r="C9778" i="1"/>
  <c r="E9778" i="1"/>
  <c r="F9778" i="1"/>
  <c r="H9778" i="1"/>
  <c r="I9778" i="1"/>
  <c r="J9778" i="1"/>
  <c r="L9778" i="1"/>
  <c r="M9778" i="1"/>
  <c r="C9779" i="1"/>
  <c r="E9779" i="1"/>
  <c r="F9779" i="1"/>
  <c r="H9779" i="1"/>
  <c r="I9779" i="1"/>
  <c r="J9779" i="1"/>
  <c r="L9779" i="1"/>
  <c r="M9779" i="1"/>
  <c r="C9780" i="1"/>
  <c r="E9780" i="1"/>
  <c r="F9780" i="1"/>
  <c r="H9780" i="1"/>
  <c r="I9780" i="1"/>
  <c r="J9780" i="1"/>
  <c r="L9780" i="1"/>
  <c r="M9780" i="1"/>
  <c r="C9781" i="1"/>
  <c r="E9781" i="1"/>
  <c r="F9781" i="1"/>
  <c r="H9781" i="1"/>
  <c r="I9781" i="1"/>
  <c r="J9781" i="1"/>
  <c r="L9781" i="1"/>
  <c r="M9781" i="1"/>
  <c r="C9782" i="1"/>
  <c r="E9782" i="1"/>
  <c r="F9782" i="1"/>
  <c r="H9782" i="1"/>
  <c r="I9782" i="1"/>
  <c r="J9782" i="1"/>
  <c r="L9782" i="1"/>
  <c r="M9782" i="1"/>
  <c r="C9783" i="1"/>
  <c r="E9783" i="1"/>
  <c r="F9783" i="1"/>
  <c r="H9783" i="1"/>
  <c r="I9783" i="1"/>
  <c r="J9783" i="1"/>
  <c r="L9783" i="1"/>
  <c r="M9783" i="1"/>
  <c r="C9784" i="1"/>
  <c r="E9784" i="1"/>
  <c r="F9784" i="1"/>
  <c r="H9784" i="1"/>
  <c r="I9784" i="1"/>
  <c r="J9784" i="1"/>
  <c r="L9784" i="1"/>
  <c r="M9784" i="1"/>
  <c r="C9785" i="1"/>
  <c r="E9785" i="1"/>
  <c r="F9785" i="1"/>
  <c r="H9785" i="1"/>
  <c r="I9785" i="1"/>
  <c r="J9785" i="1"/>
  <c r="L9785" i="1"/>
  <c r="M9785" i="1"/>
  <c r="C9786" i="1"/>
  <c r="E9786" i="1"/>
  <c r="F9786" i="1"/>
  <c r="H9786" i="1"/>
  <c r="I9786" i="1"/>
  <c r="J9786" i="1"/>
  <c r="L9786" i="1"/>
  <c r="M9786" i="1"/>
  <c r="C9787" i="1"/>
  <c r="E9787" i="1"/>
  <c r="F9787" i="1"/>
  <c r="H9787" i="1"/>
  <c r="I9787" i="1"/>
  <c r="J9787" i="1"/>
  <c r="L9787" i="1"/>
  <c r="M9787" i="1"/>
  <c r="C9788" i="1"/>
  <c r="E9788" i="1"/>
  <c r="F9788" i="1"/>
  <c r="H9788" i="1"/>
  <c r="I9788" i="1"/>
  <c r="J9788" i="1"/>
  <c r="L9788" i="1"/>
  <c r="M9788" i="1"/>
  <c r="C9789" i="1"/>
  <c r="E9789" i="1"/>
  <c r="F9789" i="1"/>
  <c r="H9789" i="1"/>
  <c r="I9789" i="1"/>
  <c r="J9789" i="1"/>
  <c r="L9789" i="1"/>
  <c r="M9789" i="1"/>
  <c r="C9790" i="1"/>
  <c r="E9790" i="1"/>
  <c r="F9790" i="1"/>
  <c r="H9790" i="1"/>
  <c r="I9790" i="1"/>
  <c r="J9790" i="1"/>
  <c r="L9790" i="1"/>
  <c r="M9790" i="1"/>
  <c r="C9791" i="1"/>
  <c r="E9791" i="1"/>
  <c r="F9791" i="1"/>
  <c r="H9791" i="1"/>
  <c r="I9791" i="1"/>
  <c r="J9791" i="1"/>
  <c r="L9791" i="1"/>
  <c r="M9791" i="1"/>
  <c r="C9792" i="1"/>
  <c r="E9792" i="1"/>
  <c r="F9792" i="1"/>
  <c r="H9792" i="1"/>
  <c r="I9792" i="1"/>
  <c r="J9792" i="1"/>
  <c r="L9792" i="1"/>
  <c r="M9792" i="1"/>
  <c r="C9793" i="1"/>
  <c r="E9793" i="1"/>
  <c r="F9793" i="1"/>
  <c r="H9793" i="1"/>
  <c r="I9793" i="1"/>
  <c r="J9793" i="1"/>
  <c r="L9793" i="1"/>
  <c r="M9793" i="1"/>
  <c r="C9794" i="1"/>
  <c r="E9794" i="1"/>
  <c r="F9794" i="1"/>
  <c r="H9794" i="1"/>
  <c r="I9794" i="1"/>
  <c r="J9794" i="1"/>
  <c r="L9794" i="1"/>
  <c r="M9794" i="1"/>
  <c r="C9795" i="1"/>
  <c r="E9795" i="1"/>
  <c r="F9795" i="1"/>
  <c r="H9795" i="1"/>
  <c r="I9795" i="1"/>
  <c r="J9795" i="1"/>
  <c r="L9795" i="1"/>
  <c r="M9795" i="1"/>
  <c r="C9796" i="1"/>
  <c r="E9796" i="1"/>
  <c r="F9796" i="1"/>
  <c r="H9796" i="1"/>
  <c r="I9796" i="1"/>
  <c r="J9796" i="1"/>
  <c r="L9796" i="1"/>
  <c r="M9796" i="1"/>
  <c r="C9797" i="1"/>
  <c r="E9797" i="1"/>
  <c r="F9797" i="1"/>
  <c r="H9797" i="1"/>
  <c r="I9797" i="1"/>
  <c r="J9797" i="1"/>
  <c r="L9797" i="1"/>
  <c r="M9797" i="1"/>
  <c r="C9798" i="1"/>
  <c r="E9798" i="1"/>
  <c r="F9798" i="1"/>
  <c r="H9798" i="1"/>
  <c r="I9798" i="1"/>
  <c r="J9798" i="1"/>
  <c r="L9798" i="1"/>
  <c r="M9798" i="1"/>
  <c r="C9799" i="1"/>
  <c r="E9799" i="1"/>
  <c r="F9799" i="1"/>
  <c r="H9799" i="1"/>
  <c r="I9799" i="1"/>
  <c r="J9799" i="1"/>
  <c r="L9799" i="1"/>
  <c r="M9799" i="1"/>
  <c r="C9800" i="1"/>
  <c r="E9800" i="1"/>
  <c r="F9800" i="1"/>
  <c r="H9800" i="1"/>
  <c r="I9800" i="1"/>
  <c r="J9800" i="1"/>
  <c r="L9800" i="1"/>
  <c r="M9800" i="1"/>
  <c r="C9801" i="1"/>
  <c r="E9801" i="1"/>
  <c r="F9801" i="1"/>
  <c r="H9801" i="1"/>
  <c r="I9801" i="1"/>
  <c r="J9801" i="1"/>
  <c r="L9801" i="1"/>
  <c r="M9801" i="1"/>
  <c r="C9802" i="1"/>
  <c r="E9802" i="1"/>
  <c r="F9802" i="1"/>
  <c r="H9802" i="1"/>
  <c r="I9802" i="1"/>
  <c r="J9802" i="1"/>
  <c r="L9802" i="1"/>
  <c r="M9802" i="1"/>
  <c r="C9803" i="1"/>
  <c r="E9803" i="1"/>
  <c r="F9803" i="1"/>
  <c r="H9803" i="1"/>
  <c r="I9803" i="1"/>
  <c r="J9803" i="1"/>
  <c r="L9803" i="1"/>
  <c r="M9803" i="1"/>
  <c r="C9804" i="1"/>
  <c r="E9804" i="1"/>
  <c r="F9804" i="1"/>
  <c r="H9804" i="1"/>
  <c r="I9804" i="1"/>
  <c r="J9804" i="1"/>
  <c r="L9804" i="1"/>
  <c r="M9804" i="1"/>
  <c r="C9805" i="1"/>
  <c r="E9805" i="1"/>
  <c r="F9805" i="1"/>
  <c r="H9805" i="1"/>
  <c r="I9805" i="1"/>
  <c r="J9805" i="1"/>
  <c r="L9805" i="1"/>
  <c r="M9805" i="1"/>
  <c r="C9806" i="1"/>
  <c r="E9806" i="1"/>
  <c r="F9806" i="1"/>
  <c r="H9806" i="1"/>
  <c r="I9806" i="1"/>
  <c r="J9806" i="1"/>
  <c r="L9806" i="1"/>
  <c r="M9806" i="1"/>
  <c r="C9807" i="1"/>
  <c r="E9807" i="1"/>
  <c r="F9807" i="1"/>
  <c r="H9807" i="1"/>
  <c r="I9807" i="1"/>
  <c r="J9807" i="1"/>
  <c r="L9807" i="1"/>
  <c r="M9807" i="1"/>
  <c r="C9808" i="1"/>
  <c r="E9808" i="1"/>
  <c r="F9808" i="1"/>
  <c r="H9808" i="1"/>
  <c r="I9808" i="1"/>
  <c r="J9808" i="1"/>
  <c r="L9808" i="1"/>
  <c r="M9808" i="1"/>
  <c r="C9809" i="1"/>
  <c r="E9809" i="1"/>
  <c r="F9809" i="1"/>
  <c r="H9809" i="1"/>
  <c r="I9809" i="1"/>
  <c r="J9809" i="1"/>
  <c r="L9809" i="1"/>
  <c r="M9809" i="1"/>
  <c r="C9810" i="1"/>
  <c r="E9810" i="1"/>
  <c r="F9810" i="1"/>
  <c r="H9810" i="1"/>
  <c r="I9810" i="1"/>
  <c r="J9810" i="1"/>
  <c r="L9810" i="1"/>
  <c r="M9810" i="1"/>
  <c r="C9811" i="1"/>
  <c r="E9811" i="1"/>
  <c r="F9811" i="1"/>
  <c r="H9811" i="1"/>
  <c r="I9811" i="1"/>
  <c r="J9811" i="1"/>
  <c r="L9811" i="1"/>
  <c r="M9811" i="1"/>
  <c r="C9812" i="1"/>
  <c r="E9812" i="1"/>
  <c r="F9812" i="1"/>
  <c r="H9812" i="1"/>
  <c r="I9812" i="1"/>
  <c r="J9812" i="1"/>
  <c r="L9812" i="1"/>
  <c r="M9812" i="1"/>
  <c r="C9813" i="1"/>
  <c r="E9813" i="1"/>
  <c r="F9813" i="1"/>
  <c r="H9813" i="1"/>
  <c r="I9813" i="1"/>
  <c r="J9813" i="1"/>
  <c r="L9813" i="1"/>
  <c r="M9813" i="1"/>
  <c r="C9814" i="1"/>
  <c r="E9814" i="1"/>
  <c r="F9814" i="1"/>
  <c r="H9814" i="1"/>
  <c r="I9814" i="1"/>
  <c r="J9814" i="1"/>
  <c r="L9814" i="1"/>
  <c r="M9814" i="1"/>
  <c r="C9815" i="1"/>
  <c r="E9815" i="1"/>
  <c r="F9815" i="1"/>
  <c r="H9815" i="1"/>
  <c r="I9815" i="1"/>
  <c r="J9815" i="1"/>
  <c r="L9815" i="1"/>
  <c r="M9815" i="1"/>
  <c r="C9816" i="1"/>
  <c r="E9816" i="1"/>
  <c r="F9816" i="1"/>
  <c r="H9816" i="1"/>
  <c r="I9816" i="1"/>
  <c r="J9816" i="1"/>
  <c r="L9816" i="1"/>
  <c r="M9816" i="1"/>
  <c r="C9817" i="1"/>
  <c r="E9817" i="1"/>
  <c r="F9817" i="1"/>
  <c r="H9817" i="1"/>
  <c r="I9817" i="1"/>
  <c r="J9817" i="1"/>
  <c r="L9817" i="1"/>
  <c r="M9817" i="1"/>
  <c r="C9818" i="1"/>
  <c r="E9818" i="1"/>
  <c r="F9818" i="1"/>
  <c r="H9818" i="1"/>
  <c r="I9818" i="1"/>
  <c r="J9818" i="1"/>
  <c r="L9818" i="1"/>
  <c r="M9818" i="1"/>
  <c r="C9819" i="1"/>
  <c r="E9819" i="1"/>
  <c r="F9819" i="1"/>
  <c r="H9819" i="1"/>
  <c r="I9819" i="1"/>
  <c r="J9819" i="1"/>
  <c r="L9819" i="1"/>
  <c r="M9819" i="1"/>
  <c r="C9820" i="1"/>
  <c r="E9820" i="1"/>
  <c r="F9820" i="1"/>
  <c r="H9820" i="1"/>
  <c r="I9820" i="1"/>
  <c r="J9820" i="1"/>
  <c r="L9820" i="1"/>
  <c r="M9820" i="1"/>
  <c r="C9821" i="1"/>
  <c r="E9821" i="1"/>
  <c r="F9821" i="1"/>
  <c r="H9821" i="1"/>
  <c r="I9821" i="1"/>
  <c r="J9821" i="1"/>
  <c r="L9821" i="1"/>
  <c r="M9821" i="1"/>
  <c r="C9822" i="1"/>
  <c r="E9822" i="1"/>
  <c r="F9822" i="1"/>
  <c r="H9822" i="1"/>
  <c r="I9822" i="1"/>
  <c r="J9822" i="1"/>
  <c r="L9822" i="1"/>
  <c r="M9822" i="1"/>
  <c r="C9823" i="1"/>
  <c r="E9823" i="1"/>
  <c r="F9823" i="1"/>
  <c r="H9823" i="1"/>
  <c r="I9823" i="1"/>
  <c r="J9823" i="1"/>
  <c r="L9823" i="1"/>
  <c r="M9823" i="1"/>
  <c r="C9824" i="1"/>
  <c r="E9824" i="1"/>
  <c r="F9824" i="1"/>
  <c r="H9824" i="1"/>
  <c r="I9824" i="1"/>
  <c r="J9824" i="1"/>
  <c r="L9824" i="1"/>
  <c r="M9824" i="1"/>
  <c r="C9825" i="1"/>
  <c r="E9825" i="1"/>
  <c r="F9825" i="1"/>
  <c r="H9825" i="1"/>
  <c r="I9825" i="1"/>
  <c r="J9825" i="1"/>
  <c r="L9825" i="1"/>
  <c r="M9825" i="1"/>
  <c r="C9826" i="1"/>
  <c r="E9826" i="1"/>
  <c r="F9826" i="1"/>
  <c r="H9826" i="1"/>
  <c r="I9826" i="1"/>
  <c r="J9826" i="1"/>
  <c r="L9826" i="1"/>
  <c r="M9826" i="1"/>
  <c r="C9827" i="1"/>
  <c r="E9827" i="1"/>
  <c r="F9827" i="1"/>
  <c r="H9827" i="1"/>
  <c r="I9827" i="1"/>
  <c r="J9827" i="1"/>
  <c r="L9827" i="1"/>
  <c r="M9827" i="1"/>
  <c r="C9828" i="1"/>
  <c r="E9828" i="1"/>
  <c r="F9828" i="1"/>
  <c r="H9828" i="1"/>
  <c r="I9828" i="1"/>
  <c r="J9828" i="1"/>
  <c r="L9828" i="1"/>
  <c r="M9828" i="1"/>
  <c r="C9829" i="1"/>
  <c r="E9829" i="1"/>
  <c r="F9829" i="1"/>
  <c r="H9829" i="1"/>
  <c r="I9829" i="1"/>
  <c r="J9829" i="1"/>
  <c r="L9829" i="1"/>
  <c r="M9829" i="1"/>
  <c r="C9830" i="1"/>
  <c r="E9830" i="1"/>
  <c r="F9830" i="1"/>
  <c r="H9830" i="1"/>
  <c r="I9830" i="1"/>
  <c r="J9830" i="1"/>
  <c r="L9830" i="1"/>
  <c r="M9830" i="1"/>
  <c r="C9831" i="1"/>
  <c r="E9831" i="1"/>
  <c r="F9831" i="1"/>
  <c r="H9831" i="1"/>
  <c r="I9831" i="1"/>
  <c r="J9831" i="1"/>
  <c r="L9831" i="1"/>
  <c r="M9831" i="1"/>
  <c r="C9832" i="1"/>
  <c r="E9832" i="1"/>
  <c r="F9832" i="1"/>
  <c r="H9832" i="1"/>
  <c r="I9832" i="1"/>
  <c r="J9832" i="1"/>
  <c r="L9832" i="1"/>
  <c r="M9832" i="1"/>
  <c r="C9833" i="1"/>
  <c r="E9833" i="1"/>
  <c r="F9833" i="1"/>
  <c r="H9833" i="1"/>
  <c r="I9833" i="1"/>
  <c r="J9833" i="1"/>
  <c r="L9833" i="1"/>
  <c r="M9833" i="1"/>
  <c r="C9834" i="1"/>
  <c r="E9834" i="1"/>
  <c r="F9834" i="1"/>
  <c r="H9834" i="1"/>
  <c r="I9834" i="1"/>
  <c r="J9834" i="1"/>
  <c r="L9834" i="1"/>
  <c r="M9834" i="1"/>
  <c r="C9835" i="1"/>
  <c r="E9835" i="1"/>
  <c r="F9835" i="1"/>
  <c r="H9835" i="1"/>
  <c r="I9835" i="1"/>
  <c r="J9835" i="1"/>
  <c r="L9835" i="1"/>
  <c r="M9835" i="1"/>
  <c r="C9836" i="1"/>
  <c r="E9836" i="1"/>
  <c r="F9836" i="1"/>
  <c r="H9836" i="1"/>
  <c r="I9836" i="1"/>
  <c r="J9836" i="1"/>
  <c r="L9836" i="1"/>
  <c r="M9836" i="1"/>
  <c r="C9837" i="1"/>
  <c r="E9837" i="1"/>
  <c r="F9837" i="1"/>
  <c r="H9837" i="1"/>
  <c r="I9837" i="1"/>
  <c r="J9837" i="1"/>
  <c r="L9837" i="1"/>
  <c r="M9837" i="1"/>
  <c r="C9838" i="1"/>
  <c r="E9838" i="1"/>
  <c r="F9838" i="1"/>
  <c r="H9838" i="1"/>
  <c r="I9838" i="1"/>
  <c r="J9838" i="1"/>
  <c r="L9838" i="1"/>
  <c r="M9838" i="1"/>
  <c r="C9839" i="1"/>
  <c r="E9839" i="1"/>
  <c r="F9839" i="1"/>
  <c r="H9839" i="1"/>
  <c r="I9839" i="1"/>
  <c r="J9839" i="1"/>
  <c r="L9839" i="1"/>
  <c r="M9839" i="1"/>
  <c r="C9840" i="1"/>
  <c r="E9840" i="1"/>
  <c r="F9840" i="1"/>
  <c r="H9840" i="1"/>
  <c r="I9840" i="1"/>
  <c r="J9840" i="1"/>
  <c r="L9840" i="1"/>
  <c r="M9840" i="1"/>
  <c r="C9841" i="1"/>
  <c r="E9841" i="1"/>
  <c r="F9841" i="1"/>
  <c r="H9841" i="1"/>
  <c r="I9841" i="1"/>
  <c r="J9841" i="1"/>
  <c r="L9841" i="1"/>
  <c r="M9841" i="1"/>
  <c r="C9842" i="1"/>
  <c r="E9842" i="1"/>
  <c r="F9842" i="1"/>
  <c r="H9842" i="1"/>
  <c r="I9842" i="1"/>
  <c r="J9842" i="1"/>
  <c r="L9842" i="1"/>
  <c r="M9842" i="1"/>
  <c r="C9843" i="1"/>
  <c r="E9843" i="1"/>
  <c r="F9843" i="1"/>
  <c r="H9843" i="1"/>
  <c r="I9843" i="1"/>
  <c r="J9843" i="1"/>
  <c r="L9843" i="1"/>
  <c r="M9843" i="1"/>
  <c r="C9844" i="1"/>
  <c r="E9844" i="1"/>
  <c r="F9844" i="1"/>
  <c r="H9844" i="1"/>
  <c r="I9844" i="1"/>
  <c r="J9844" i="1"/>
  <c r="L9844" i="1"/>
  <c r="M9844" i="1"/>
  <c r="C9845" i="1"/>
  <c r="E9845" i="1"/>
  <c r="F9845" i="1"/>
  <c r="H9845" i="1"/>
  <c r="I9845" i="1"/>
  <c r="J9845" i="1"/>
  <c r="L9845" i="1"/>
  <c r="M9845" i="1"/>
  <c r="C9846" i="1"/>
  <c r="E9846" i="1"/>
  <c r="F9846" i="1"/>
  <c r="H9846" i="1"/>
  <c r="I9846" i="1"/>
  <c r="J9846" i="1"/>
  <c r="L9846" i="1"/>
  <c r="M9846" i="1"/>
  <c r="C9847" i="1"/>
  <c r="E9847" i="1"/>
  <c r="F9847" i="1"/>
  <c r="H9847" i="1"/>
  <c r="I9847" i="1"/>
  <c r="J9847" i="1"/>
  <c r="L9847" i="1"/>
  <c r="M9847" i="1"/>
  <c r="C9848" i="1"/>
  <c r="E9848" i="1"/>
  <c r="F9848" i="1"/>
  <c r="H9848" i="1"/>
  <c r="I9848" i="1"/>
  <c r="J9848" i="1"/>
  <c r="L9848" i="1"/>
  <c r="M9848" i="1"/>
  <c r="C9849" i="1"/>
  <c r="E9849" i="1"/>
  <c r="F9849" i="1"/>
  <c r="H9849" i="1"/>
  <c r="I9849" i="1"/>
  <c r="J9849" i="1"/>
  <c r="L9849" i="1"/>
  <c r="M9849" i="1"/>
  <c r="C9850" i="1"/>
  <c r="E9850" i="1"/>
  <c r="F9850" i="1"/>
  <c r="H9850" i="1"/>
  <c r="I9850" i="1"/>
  <c r="J9850" i="1"/>
  <c r="L9850" i="1"/>
  <c r="M9850" i="1"/>
  <c r="C9851" i="1"/>
  <c r="E9851" i="1"/>
  <c r="F9851" i="1"/>
  <c r="H9851" i="1"/>
  <c r="I9851" i="1"/>
  <c r="J9851" i="1"/>
  <c r="L9851" i="1"/>
  <c r="M9851" i="1"/>
  <c r="C9852" i="1"/>
  <c r="E9852" i="1"/>
  <c r="F9852" i="1"/>
  <c r="H9852" i="1"/>
  <c r="I9852" i="1"/>
  <c r="J9852" i="1"/>
  <c r="L9852" i="1"/>
  <c r="M9852" i="1"/>
  <c r="C9853" i="1"/>
  <c r="E9853" i="1"/>
  <c r="F9853" i="1"/>
  <c r="H9853" i="1"/>
  <c r="I9853" i="1"/>
  <c r="J9853" i="1"/>
  <c r="L9853" i="1"/>
  <c r="M9853" i="1"/>
  <c r="C9854" i="1"/>
  <c r="E9854" i="1"/>
  <c r="F9854" i="1"/>
  <c r="H9854" i="1"/>
  <c r="I9854" i="1"/>
  <c r="J9854" i="1"/>
  <c r="L9854" i="1"/>
  <c r="M9854" i="1"/>
  <c r="C9855" i="1"/>
  <c r="E9855" i="1"/>
  <c r="F9855" i="1"/>
  <c r="H9855" i="1"/>
  <c r="I9855" i="1"/>
  <c r="J9855" i="1"/>
  <c r="L9855" i="1"/>
  <c r="M9855" i="1"/>
  <c r="C9856" i="1"/>
  <c r="E9856" i="1"/>
  <c r="F9856" i="1"/>
  <c r="H9856" i="1"/>
  <c r="I9856" i="1"/>
  <c r="J9856" i="1"/>
  <c r="L9856" i="1"/>
  <c r="M9856" i="1"/>
  <c r="C9857" i="1"/>
  <c r="E9857" i="1"/>
  <c r="F9857" i="1"/>
  <c r="H9857" i="1"/>
  <c r="I9857" i="1"/>
  <c r="J9857" i="1"/>
  <c r="L9857" i="1"/>
  <c r="M9857" i="1"/>
  <c r="C9858" i="1"/>
  <c r="E9858" i="1"/>
  <c r="F9858" i="1"/>
  <c r="H9858" i="1"/>
  <c r="I9858" i="1"/>
  <c r="J9858" i="1"/>
  <c r="L9858" i="1"/>
  <c r="M9858" i="1"/>
  <c r="C9859" i="1"/>
  <c r="E9859" i="1"/>
  <c r="F9859" i="1"/>
  <c r="H9859" i="1"/>
  <c r="I9859" i="1"/>
  <c r="J9859" i="1"/>
  <c r="L9859" i="1"/>
  <c r="M9859" i="1"/>
  <c r="C9860" i="1"/>
  <c r="E9860" i="1"/>
  <c r="F9860" i="1"/>
  <c r="H9860" i="1"/>
  <c r="I9860" i="1"/>
  <c r="J9860" i="1"/>
  <c r="L9860" i="1"/>
  <c r="M9860" i="1"/>
  <c r="C9861" i="1"/>
  <c r="E9861" i="1"/>
  <c r="F9861" i="1"/>
  <c r="H9861" i="1"/>
  <c r="I9861" i="1"/>
  <c r="J9861" i="1"/>
  <c r="L9861" i="1"/>
  <c r="M9861" i="1"/>
  <c r="C9862" i="1"/>
  <c r="E9862" i="1"/>
  <c r="F9862" i="1"/>
  <c r="H9862" i="1"/>
  <c r="I9862" i="1"/>
  <c r="J9862" i="1"/>
  <c r="L9862" i="1"/>
  <c r="M9862" i="1"/>
  <c r="C9863" i="1"/>
  <c r="E9863" i="1"/>
  <c r="F9863" i="1"/>
  <c r="H9863" i="1"/>
  <c r="I9863" i="1"/>
  <c r="J9863" i="1"/>
  <c r="L9863" i="1"/>
  <c r="M9863" i="1"/>
  <c r="C9864" i="1"/>
  <c r="E9864" i="1"/>
  <c r="F9864" i="1"/>
  <c r="H9864" i="1"/>
  <c r="I9864" i="1"/>
  <c r="J9864" i="1"/>
  <c r="L9864" i="1"/>
  <c r="M9864" i="1"/>
  <c r="C9865" i="1"/>
  <c r="E9865" i="1"/>
  <c r="F9865" i="1"/>
  <c r="H9865" i="1"/>
  <c r="I9865" i="1"/>
  <c r="J9865" i="1"/>
  <c r="L9865" i="1"/>
  <c r="M9865" i="1"/>
  <c r="C9866" i="1"/>
  <c r="E9866" i="1"/>
  <c r="F9866" i="1"/>
  <c r="H9866" i="1"/>
  <c r="I9866" i="1"/>
  <c r="J9866" i="1"/>
  <c r="L9866" i="1"/>
  <c r="M9866" i="1"/>
  <c r="C9867" i="1"/>
  <c r="E9867" i="1"/>
  <c r="F9867" i="1"/>
  <c r="H9867" i="1"/>
  <c r="I9867" i="1"/>
  <c r="J9867" i="1"/>
  <c r="L9867" i="1"/>
  <c r="M9867" i="1"/>
  <c r="C9868" i="1"/>
  <c r="E9868" i="1"/>
  <c r="F9868" i="1"/>
  <c r="H9868" i="1"/>
  <c r="I9868" i="1"/>
  <c r="J9868" i="1"/>
  <c r="L9868" i="1"/>
  <c r="M9868" i="1"/>
  <c r="C9869" i="1"/>
  <c r="E9869" i="1"/>
  <c r="F9869" i="1"/>
  <c r="H9869" i="1"/>
  <c r="I9869" i="1"/>
  <c r="J9869" i="1"/>
  <c r="L9869" i="1"/>
  <c r="M9869" i="1"/>
  <c r="C9870" i="1"/>
  <c r="E9870" i="1"/>
  <c r="F9870" i="1"/>
  <c r="H9870" i="1"/>
  <c r="I9870" i="1"/>
  <c r="J9870" i="1"/>
  <c r="L9870" i="1"/>
  <c r="M9870" i="1"/>
  <c r="C9871" i="1"/>
  <c r="E9871" i="1"/>
  <c r="F9871" i="1"/>
  <c r="H9871" i="1"/>
  <c r="I9871" i="1"/>
  <c r="J9871" i="1"/>
  <c r="L9871" i="1"/>
  <c r="M9871" i="1"/>
  <c r="C9872" i="1"/>
  <c r="E9872" i="1"/>
  <c r="F9872" i="1"/>
  <c r="H9872" i="1"/>
  <c r="I9872" i="1"/>
  <c r="J9872" i="1"/>
  <c r="L9872" i="1"/>
  <c r="M9872" i="1"/>
  <c r="C9873" i="1"/>
  <c r="E9873" i="1"/>
  <c r="F9873" i="1"/>
  <c r="H9873" i="1"/>
  <c r="I9873" i="1"/>
  <c r="J9873" i="1"/>
  <c r="L9873" i="1"/>
  <c r="M9873" i="1"/>
  <c r="C9874" i="1"/>
  <c r="E9874" i="1"/>
  <c r="F9874" i="1"/>
  <c r="H9874" i="1"/>
  <c r="I9874" i="1"/>
  <c r="J9874" i="1"/>
  <c r="L9874" i="1"/>
  <c r="M9874" i="1"/>
  <c r="C9875" i="1"/>
  <c r="E9875" i="1"/>
  <c r="F9875" i="1"/>
  <c r="H9875" i="1"/>
  <c r="I9875" i="1"/>
  <c r="J9875" i="1"/>
  <c r="L9875" i="1"/>
  <c r="M9875" i="1"/>
  <c r="C9876" i="1"/>
  <c r="E9876" i="1"/>
  <c r="F9876" i="1"/>
  <c r="H9876" i="1"/>
  <c r="I9876" i="1"/>
  <c r="J9876" i="1"/>
  <c r="L9876" i="1"/>
  <c r="M9876" i="1"/>
  <c r="C9877" i="1"/>
  <c r="E9877" i="1"/>
  <c r="F9877" i="1"/>
  <c r="H9877" i="1"/>
  <c r="I9877" i="1"/>
  <c r="J9877" i="1"/>
  <c r="L9877" i="1"/>
  <c r="M9877" i="1"/>
  <c r="C9878" i="1"/>
  <c r="E9878" i="1"/>
  <c r="F9878" i="1"/>
  <c r="H9878" i="1"/>
  <c r="I9878" i="1"/>
  <c r="J9878" i="1"/>
  <c r="L9878" i="1"/>
  <c r="M9878" i="1"/>
  <c r="C9879" i="1"/>
  <c r="E9879" i="1"/>
  <c r="F9879" i="1"/>
  <c r="H9879" i="1"/>
  <c r="I9879" i="1"/>
  <c r="J9879" i="1"/>
  <c r="L9879" i="1"/>
  <c r="M9879" i="1"/>
  <c r="C9880" i="1"/>
  <c r="E9880" i="1"/>
  <c r="F9880" i="1"/>
  <c r="H9880" i="1"/>
  <c r="I9880" i="1"/>
  <c r="J9880" i="1"/>
  <c r="L9880" i="1"/>
  <c r="M9880" i="1"/>
  <c r="C9881" i="1"/>
  <c r="E9881" i="1"/>
  <c r="F9881" i="1"/>
  <c r="H9881" i="1"/>
  <c r="I9881" i="1"/>
  <c r="J9881" i="1"/>
  <c r="L9881" i="1"/>
  <c r="M9881" i="1"/>
  <c r="C9882" i="1"/>
  <c r="E9882" i="1"/>
  <c r="F9882" i="1"/>
  <c r="H9882" i="1"/>
  <c r="I9882" i="1"/>
  <c r="J9882" i="1"/>
  <c r="L9882" i="1"/>
  <c r="M9882" i="1"/>
  <c r="C9883" i="1"/>
  <c r="E9883" i="1"/>
  <c r="F9883" i="1"/>
  <c r="H9883" i="1"/>
  <c r="I9883" i="1"/>
  <c r="J9883" i="1"/>
  <c r="L9883" i="1"/>
  <c r="M9883" i="1"/>
  <c r="C9884" i="1"/>
  <c r="E9884" i="1"/>
  <c r="F9884" i="1"/>
  <c r="H9884" i="1"/>
  <c r="I9884" i="1"/>
  <c r="J9884" i="1"/>
  <c r="L9884" i="1"/>
  <c r="M9884" i="1"/>
  <c r="C9885" i="1"/>
  <c r="E9885" i="1"/>
  <c r="F9885" i="1"/>
  <c r="H9885" i="1"/>
  <c r="I9885" i="1"/>
  <c r="J9885" i="1"/>
  <c r="L9885" i="1"/>
  <c r="M9885" i="1"/>
  <c r="C9886" i="1"/>
  <c r="E9886" i="1"/>
  <c r="F9886" i="1"/>
  <c r="H9886" i="1"/>
  <c r="I9886" i="1"/>
  <c r="J9886" i="1"/>
  <c r="L9886" i="1"/>
  <c r="M9886" i="1"/>
  <c r="C9887" i="1"/>
  <c r="E9887" i="1"/>
  <c r="F9887" i="1"/>
  <c r="H9887" i="1"/>
  <c r="I9887" i="1"/>
  <c r="J9887" i="1"/>
  <c r="L9887" i="1"/>
  <c r="M9887" i="1"/>
  <c r="C9888" i="1"/>
  <c r="E9888" i="1"/>
  <c r="F9888" i="1"/>
  <c r="H9888" i="1"/>
  <c r="I9888" i="1"/>
  <c r="J9888" i="1"/>
  <c r="L9888" i="1"/>
  <c r="M9888" i="1"/>
  <c r="C9889" i="1"/>
  <c r="E9889" i="1"/>
  <c r="F9889" i="1"/>
  <c r="H9889" i="1"/>
  <c r="I9889" i="1"/>
  <c r="J9889" i="1"/>
  <c r="L9889" i="1"/>
  <c r="M9889" i="1"/>
  <c r="C9890" i="1"/>
  <c r="E9890" i="1"/>
  <c r="F9890" i="1"/>
  <c r="H9890" i="1"/>
  <c r="I9890" i="1"/>
  <c r="J9890" i="1"/>
  <c r="L9890" i="1"/>
  <c r="M9890" i="1"/>
  <c r="C9891" i="1"/>
  <c r="E9891" i="1"/>
  <c r="F9891" i="1"/>
  <c r="H9891" i="1"/>
  <c r="I9891" i="1"/>
  <c r="J9891" i="1"/>
  <c r="L9891" i="1"/>
  <c r="M9891" i="1"/>
  <c r="C9892" i="1"/>
  <c r="E9892" i="1"/>
  <c r="F9892" i="1"/>
  <c r="H9892" i="1"/>
  <c r="I9892" i="1"/>
  <c r="J9892" i="1"/>
  <c r="L9892" i="1"/>
  <c r="M9892" i="1"/>
  <c r="C9893" i="1"/>
  <c r="E9893" i="1"/>
  <c r="F9893" i="1"/>
  <c r="H9893" i="1"/>
  <c r="I9893" i="1"/>
  <c r="J9893" i="1"/>
  <c r="L9893" i="1"/>
  <c r="M9893" i="1"/>
  <c r="C9894" i="1"/>
  <c r="E9894" i="1"/>
  <c r="F9894" i="1"/>
  <c r="H9894" i="1"/>
  <c r="I9894" i="1"/>
  <c r="J9894" i="1"/>
  <c r="L9894" i="1"/>
  <c r="M9894" i="1"/>
  <c r="C9895" i="1"/>
  <c r="E9895" i="1"/>
  <c r="F9895" i="1"/>
  <c r="H9895" i="1"/>
  <c r="I9895" i="1"/>
  <c r="J9895" i="1"/>
  <c r="L9895" i="1"/>
  <c r="M9895" i="1"/>
  <c r="C9896" i="1"/>
  <c r="E9896" i="1"/>
  <c r="F9896" i="1"/>
  <c r="H9896" i="1"/>
  <c r="I9896" i="1"/>
  <c r="J9896" i="1"/>
  <c r="L9896" i="1"/>
  <c r="M9896" i="1"/>
  <c r="C9897" i="1"/>
  <c r="E9897" i="1"/>
  <c r="F9897" i="1"/>
  <c r="H9897" i="1"/>
  <c r="I9897" i="1"/>
  <c r="J9897" i="1"/>
  <c r="L9897" i="1"/>
  <c r="M9897" i="1"/>
  <c r="C9898" i="1"/>
  <c r="E9898" i="1"/>
  <c r="F9898" i="1"/>
  <c r="H9898" i="1"/>
  <c r="I9898" i="1"/>
  <c r="J9898" i="1"/>
  <c r="L9898" i="1"/>
  <c r="M9898" i="1"/>
  <c r="C9899" i="1"/>
  <c r="E9899" i="1"/>
  <c r="F9899" i="1"/>
  <c r="H9899" i="1"/>
  <c r="I9899" i="1"/>
  <c r="J9899" i="1"/>
  <c r="L9899" i="1"/>
  <c r="M9899" i="1"/>
  <c r="C9900" i="1"/>
  <c r="E9900" i="1"/>
  <c r="F9900" i="1"/>
  <c r="H9900" i="1"/>
  <c r="I9900" i="1"/>
  <c r="J9900" i="1"/>
  <c r="L9900" i="1"/>
  <c r="M9900" i="1"/>
  <c r="C9901" i="1"/>
  <c r="E9901" i="1"/>
  <c r="F9901" i="1"/>
  <c r="H9901" i="1"/>
  <c r="I9901" i="1"/>
  <c r="J9901" i="1"/>
  <c r="L9901" i="1"/>
  <c r="M9901" i="1"/>
  <c r="C9902" i="1"/>
  <c r="E9902" i="1"/>
  <c r="F9902" i="1"/>
  <c r="H9902" i="1"/>
  <c r="I9902" i="1"/>
  <c r="J9902" i="1"/>
  <c r="L9902" i="1"/>
  <c r="M9902" i="1"/>
  <c r="C9903" i="1"/>
  <c r="E9903" i="1"/>
  <c r="F9903" i="1"/>
  <c r="H9903" i="1"/>
  <c r="I9903" i="1"/>
  <c r="J9903" i="1"/>
  <c r="L9903" i="1"/>
  <c r="M9903" i="1"/>
  <c r="C9904" i="1"/>
  <c r="E9904" i="1"/>
  <c r="F9904" i="1"/>
  <c r="H9904" i="1"/>
  <c r="I9904" i="1"/>
  <c r="J9904" i="1"/>
  <c r="L9904" i="1"/>
  <c r="M9904" i="1"/>
  <c r="C9905" i="1"/>
  <c r="E9905" i="1"/>
  <c r="F9905" i="1"/>
  <c r="H9905" i="1"/>
  <c r="I9905" i="1"/>
  <c r="J9905" i="1"/>
  <c r="L9905" i="1"/>
  <c r="M9905" i="1"/>
  <c r="C9906" i="1"/>
  <c r="E9906" i="1"/>
  <c r="F9906" i="1"/>
  <c r="H9906" i="1"/>
  <c r="I9906" i="1"/>
  <c r="J9906" i="1"/>
  <c r="L9906" i="1"/>
  <c r="M9906" i="1"/>
  <c r="C9907" i="1"/>
  <c r="E9907" i="1"/>
  <c r="F9907" i="1"/>
  <c r="H9907" i="1"/>
  <c r="I9907" i="1"/>
  <c r="J9907" i="1"/>
  <c r="L9907" i="1"/>
  <c r="M9907" i="1"/>
  <c r="C9908" i="1"/>
  <c r="E9908" i="1"/>
  <c r="F9908" i="1"/>
  <c r="H9908" i="1"/>
  <c r="I9908" i="1"/>
  <c r="J9908" i="1"/>
  <c r="L9908" i="1"/>
  <c r="M9908" i="1"/>
  <c r="C9909" i="1"/>
  <c r="E9909" i="1"/>
  <c r="F9909" i="1"/>
  <c r="H9909" i="1"/>
  <c r="I9909" i="1"/>
  <c r="J9909" i="1"/>
  <c r="L9909" i="1"/>
  <c r="M9909" i="1"/>
  <c r="C9910" i="1"/>
  <c r="E9910" i="1"/>
  <c r="F9910" i="1"/>
  <c r="H9910" i="1"/>
  <c r="I9910" i="1"/>
  <c r="J9910" i="1"/>
  <c r="L9910" i="1"/>
  <c r="M9910" i="1"/>
  <c r="C9911" i="1"/>
  <c r="E9911" i="1"/>
  <c r="F9911" i="1"/>
  <c r="H9911" i="1"/>
  <c r="I9911" i="1"/>
  <c r="J9911" i="1"/>
  <c r="L9911" i="1"/>
  <c r="M9911" i="1"/>
  <c r="C9912" i="1"/>
  <c r="E9912" i="1"/>
  <c r="F9912" i="1"/>
  <c r="H9912" i="1"/>
  <c r="I9912" i="1"/>
  <c r="J9912" i="1"/>
  <c r="L9912" i="1"/>
  <c r="M9912" i="1"/>
  <c r="C9913" i="1"/>
  <c r="E9913" i="1"/>
  <c r="F9913" i="1"/>
  <c r="H9913" i="1"/>
  <c r="I9913" i="1"/>
  <c r="J9913" i="1"/>
  <c r="L9913" i="1"/>
  <c r="M9913" i="1"/>
  <c r="C9914" i="1"/>
  <c r="E9914" i="1"/>
  <c r="F9914" i="1"/>
  <c r="H9914" i="1"/>
  <c r="I9914" i="1"/>
  <c r="J9914" i="1"/>
  <c r="L9914" i="1"/>
  <c r="M9914" i="1"/>
  <c r="C9915" i="1"/>
  <c r="E9915" i="1"/>
  <c r="F9915" i="1"/>
  <c r="H9915" i="1"/>
  <c r="I9915" i="1"/>
  <c r="J9915" i="1"/>
  <c r="L9915" i="1"/>
  <c r="M9915" i="1"/>
  <c r="C9916" i="1"/>
  <c r="E9916" i="1"/>
  <c r="F9916" i="1"/>
  <c r="H9916" i="1"/>
  <c r="I9916" i="1"/>
  <c r="J9916" i="1"/>
  <c r="L9916" i="1"/>
  <c r="M9916" i="1"/>
  <c r="C9917" i="1"/>
  <c r="E9917" i="1"/>
  <c r="F9917" i="1"/>
  <c r="H9917" i="1"/>
  <c r="I9917" i="1"/>
  <c r="J9917" i="1"/>
  <c r="L9917" i="1"/>
  <c r="M9917" i="1"/>
  <c r="C9918" i="1"/>
  <c r="E9918" i="1"/>
  <c r="F9918" i="1"/>
  <c r="H9918" i="1"/>
  <c r="I9918" i="1"/>
  <c r="J9918" i="1"/>
  <c r="L9918" i="1"/>
  <c r="M9918" i="1"/>
  <c r="C9919" i="1"/>
  <c r="E9919" i="1"/>
  <c r="F9919" i="1"/>
  <c r="H9919" i="1"/>
  <c r="I9919" i="1"/>
  <c r="J9919" i="1"/>
  <c r="L9919" i="1"/>
  <c r="M9919" i="1"/>
  <c r="C9920" i="1"/>
  <c r="E9920" i="1"/>
  <c r="F9920" i="1"/>
  <c r="H9920" i="1"/>
  <c r="I9920" i="1"/>
  <c r="J9920" i="1"/>
  <c r="L9920" i="1"/>
  <c r="M9920" i="1"/>
  <c r="C9921" i="1"/>
  <c r="E9921" i="1"/>
  <c r="F9921" i="1"/>
  <c r="H9921" i="1"/>
  <c r="I9921" i="1"/>
  <c r="J9921" i="1"/>
  <c r="L9921" i="1"/>
  <c r="M9921" i="1"/>
  <c r="C9922" i="1"/>
  <c r="E9922" i="1"/>
  <c r="F9922" i="1"/>
  <c r="H9922" i="1"/>
  <c r="I9922" i="1"/>
  <c r="J9922" i="1"/>
  <c r="L9922" i="1"/>
  <c r="M9922" i="1"/>
  <c r="C9923" i="1"/>
  <c r="E9923" i="1"/>
  <c r="F9923" i="1"/>
  <c r="H9923" i="1"/>
  <c r="I9923" i="1"/>
  <c r="J9923" i="1"/>
  <c r="L9923" i="1"/>
  <c r="M9923" i="1"/>
  <c r="C9924" i="1"/>
  <c r="E9924" i="1"/>
  <c r="F9924" i="1"/>
  <c r="H9924" i="1"/>
  <c r="I9924" i="1"/>
  <c r="J9924" i="1"/>
  <c r="L9924" i="1"/>
  <c r="M9924" i="1"/>
  <c r="C9925" i="1"/>
  <c r="E9925" i="1"/>
  <c r="F9925" i="1"/>
  <c r="H9925" i="1"/>
  <c r="I9925" i="1"/>
  <c r="J9925" i="1"/>
  <c r="L9925" i="1"/>
  <c r="M9925" i="1"/>
  <c r="C9926" i="1"/>
  <c r="E9926" i="1"/>
  <c r="F9926" i="1"/>
  <c r="H9926" i="1"/>
  <c r="I9926" i="1"/>
  <c r="J9926" i="1"/>
  <c r="L9926" i="1"/>
  <c r="M9926" i="1"/>
  <c r="C9927" i="1"/>
  <c r="E9927" i="1"/>
  <c r="F9927" i="1"/>
  <c r="H9927" i="1"/>
  <c r="I9927" i="1"/>
  <c r="J9927" i="1"/>
  <c r="L9927" i="1"/>
  <c r="M9927" i="1"/>
  <c r="C9928" i="1"/>
  <c r="E9928" i="1"/>
  <c r="F9928" i="1"/>
  <c r="H9928" i="1"/>
  <c r="I9928" i="1"/>
  <c r="J9928" i="1"/>
  <c r="L9928" i="1"/>
  <c r="M9928" i="1"/>
  <c r="C9929" i="1"/>
  <c r="E9929" i="1"/>
  <c r="F9929" i="1"/>
  <c r="H9929" i="1"/>
  <c r="I9929" i="1"/>
  <c r="J9929" i="1"/>
  <c r="L9929" i="1"/>
  <c r="M9929" i="1"/>
  <c r="C9930" i="1"/>
  <c r="E9930" i="1"/>
  <c r="F9930" i="1"/>
  <c r="H9930" i="1"/>
  <c r="I9930" i="1"/>
  <c r="J9930" i="1"/>
  <c r="L9930" i="1"/>
  <c r="M9930" i="1"/>
  <c r="C9931" i="1"/>
  <c r="E9931" i="1"/>
  <c r="F9931" i="1"/>
  <c r="H9931" i="1"/>
  <c r="I9931" i="1"/>
  <c r="J9931" i="1"/>
  <c r="L9931" i="1"/>
  <c r="M9931" i="1"/>
  <c r="C9932" i="1"/>
  <c r="E9932" i="1"/>
  <c r="F9932" i="1"/>
  <c r="H9932" i="1"/>
  <c r="I9932" i="1"/>
  <c r="J9932" i="1"/>
  <c r="L9932" i="1"/>
  <c r="M9932" i="1"/>
  <c r="C9933" i="1"/>
  <c r="E9933" i="1"/>
  <c r="F9933" i="1"/>
  <c r="H9933" i="1"/>
  <c r="I9933" i="1"/>
  <c r="J9933" i="1"/>
  <c r="L9933" i="1"/>
  <c r="M9933" i="1"/>
  <c r="C9934" i="1"/>
  <c r="E9934" i="1"/>
  <c r="F9934" i="1"/>
  <c r="H9934" i="1"/>
  <c r="I9934" i="1"/>
  <c r="J9934" i="1"/>
  <c r="L9934" i="1"/>
  <c r="M9934" i="1"/>
  <c r="C9935" i="1"/>
  <c r="E9935" i="1"/>
  <c r="F9935" i="1"/>
  <c r="H9935" i="1"/>
  <c r="I9935" i="1"/>
  <c r="J9935" i="1"/>
  <c r="L9935" i="1"/>
  <c r="M9935" i="1"/>
  <c r="C9936" i="1"/>
  <c r="E9936" i="1"/>
  <c r="F9936" i="1"/>
  <c r="H9936" i="1"/>
  <c r="I9936" i="1"/>
  <c r="J9936" i="1"/>
  <c r="L9936" i="1"/>
  <c r="M9936" i="1"/>
  <c r="C9937" i="1"/>
  <c r="E9937" i="1"/>
  <c r="F9937" i="1"/>
  <c r="H9937" i="1"/>
  <c r="I9937" i="1"/>
  <c r="J9937" i="1"/>
  <c r="L9937" i="1"/>
  <c r="M9937" i="1"/>
  <c r="C9938" i="1"/>
  <c r="E9938" i="1"/>
  <c r="F9938" i="1"/>
  <c r="H9938" i="1"/>
  <c r="I9938" i="1"/>
  <c r="J9938" i="1"/>
  <c r="L9938" i="1"/>
  <c r="M9938" i="1"/>
  <c r="C9939" i="1"/>
  <c r="E9939" i="1"/>
  <c r="F9939" i="1"/>
  <c r="H9939" i="1"/>
  <c r="I9939" i="1"/>
  <c r="J9939" i="1"/>
  <c r="L9939" i="1"/>
  <c r="M9939" i="1"/>
  <c r="C9940" i="1"/>
  <c r="E9940" i="1"/>
  <c r="F9940" i="1"/>
  <c r="H9940" i="1"/>
  <c r="I9940" i="1"/>
  <c r="J9940" i="1"/>
  <c r="L9940" i="1"/>
  <c r="M9940" i="1"/>
  <c r="C9941" i="1"/>
  <c r="E9941" i="1"/>
  <c r="F9941" i="1"/>
  <c r="H9941" i="1"/>
  <c r="I9941" i="1"/>
  <c r="J9941" i="1"/>
  <c r="L9941" i="1"/>
  <c r="M9941" i="1"/>
  <c r="C9942" i="1"/>
  <c r="E9942" i="1"/>
  <c r="F9942" i="1"/>
  <c r="H9942" i="1"/>
  <c r="I9942" i="1"/>
  <c r="J9942" i="1"/>
  <c r="L9942" i="1"/>
  <c r="M9942" i="1"/>
  <c r="C9943" i="1"/>
  <c r="E9943" i="1"/>
  <c r="F9943" i="1"/>
  <c r="H9943" i="1"/>
  <c r="I9943" i="1"/>
  <c r="J9943" i="1"/>
  <c r="L9943" i="1"/>
  <c r="M9943" i="1"/>
  <c r="C9944" i="1"/>
  <c r="E9944" i="1"/>
  <c r="F9944" i="1"/>
  <c r="H9944" i="1"/>
  <c r="I9944" i="1"/>
  <c r="J9944" i="1"/>
  <c r="L9944" i="1"/>
  <c r="M9944" i="1"/>
  <c r="C9945" i="1"/>
  <c r="E9945" i="1"/>
  <c r="F9945" i="1"/>
  <c r="H9945" i="1"/>
  <c r="I9945" i="1"/>
  <c r="J9945" i="1"/>
  <c r="L9945" i="1"/>
  <c r="M9945" i="1"/>
  <c r="C9946" i="1"/>
  <c r="E9946" i="1"/>
  <c r="F9946" i="1"/>
  <c r="H9946" i="1"/>
  <c r="I9946" i="1"/>
  <c r="J9946" i="1"/>
  <c r="L9946" i="1"/>
  <c r="M9946" i="1"/>
  <c r="C9947" i="1"/>
  <c r="E9947" i="1"/>
  <c r="F9947" i="1"/>
  <c r="H9947" i="1"/>
  <c r="I9947" i="1"/>
  <c r="J9947" i="1"/>
  <c r="L9947" i="1"/>
  <c r="M9947" i="1"/>
  <c r="C9948" i="1"/>
  <c r="E9948" i="1"/>
  <c r="F9948" i="1"/>
  <c r="H9948" i="1"/>
  <c r="I9948" i="1"/>
  <c r="J9948" i="1"/>
  <c r="L9948" i="1"/>
  <c r="M9948" i="1"/>
  <c r="C9949" i="1"/>
  <c r="E9949" i="1"/>
  <c r="F9949" i="1"/>
  <c r="H9949" i="1"/>
  <c r="I9949" i="1"/>
  <c r="J9949" i="1"/>
  <c r="L9949" i="1"/>
  <c r="M9949" i="1"/>
  <c r="C9950" i="1"/>
  <c r="E9950" i="1"/>
  <c r="F9950" i="1"/>
  <c r="H9950" i="1"/>
  <c r="I9950" i="1"/>
  <c r="J9950" i="1"/>
  <c r="L9950" i="1"/>
  <c r="M9950" i="1"/>
  <c r="C9951" i="1"/>
  <c r="E9951" i="1"/>
  <c r="F9951" i="1"/>
  <c r="H9951" i="1"/>
  <c r="I9951" i="1"/>
  <c r="J9951" i="1"/>
  <c r="L9951" i="1"/>
  <c r="M9951" i="1"/>
  <c r="C9952" i="1"/>
  <c r="E9952" i="1"/>
  <c r="F9952" i="1"/>
  <c r="H9952" i="1"/>
  <c r="I9952" i="1"/>
  <c r="J9952" i="1"/>
  <c r="L9952" i="1"/>
  <c r="M9952" i="1"/>
  <c r="C9953" i="1"/>
  <c r="E9953" i="1"/>
  <c r="F9953" i="1"/>
  <c r="H9953" i="1"/>
  <c r="I9953" i="1"/>
  <c r="J9953" i="1"/>
  <c r="L9953" i="1"/>
  <c r="M9953" i="1"/>
  <c r="C9954" i="1"/>
  <c r="E9954" i="1"/>
  <c r="F9954" i="1"/>
  <c r="H9954" i="1"/>
  <c r="I9954" i="1"/>
  <c r="J9954" i="1"/>
  <c r="L9954" i="1"/>
  <c r="M9954" i="1"/>
  <c r="C9955" i="1"/>
  <c r="E9955" i="1"/>
  <c r="F9955" i="1"/>
  <c r="H9955" i="1"/>
  <c r="I9955" i="1"/>
  <c r="J9955" i="1"/>
  <c r="L9955" i="1"/>
  <c r="M9955" i="1"/>
  <c r="C9956" i="1"/>
  <c r="E9956" i="1"/>
  <c r="F9956" i="1"/>
  <c r="H9956" i="1"/>
  <c r="I9956" i="1"/>
  <c r="J9956" i="1"/>
  <c r="L9956" i="1"/>
  <c r="M9956" i="1"/>
  <c r="C9957" i="1"/>
  <c r="E9957" i="1"/>
  <c r="F9957" i="1"/>
  <c r="H9957" i="1"/>
  <c r="I9957" i="1"/>
  <c r="J9957" i="1"/>
  <c r="L9957" i="1"/>
  <c r="M9957" i="1"/>
  <c r="C9958" i="1"/>
  <c r="E9958" i="1"/>
  <c r="F9958" i="1"/>
  <c r="H9958" i="1"/>
  <c r="I9958" i="1"/>
  <c r="J9958" i="1"/>
  <c r="L9958" i="1"/>
  <c r="M9958" i="1"/>
  <c r="C9959" i="1"/>
  <c r="E9959" i="1"/>
  <c r="F9959" i="1"/>
  <c r="H9959" i="1"/>
  <c r="I9959" i="1"/>
  <c r="J9959" i="1"/>
  <c r="L9959" i="1"/>
  <c r="M9959" i="1"/>
  <c r="C9960" i="1"/>
  <c r="E9960" i="1"/>
  <c r="F9960" i="1"/>
  <c r="H9960" i="1"/>
  <c r="I9960" i="1"/>
  <c r="J9960" i="1"/>
  <c r="L9960" i="1"/>
  <c r="M9960" i="1"/>
  <c r="C9961" i="1"/>
  <c r="E9961" i="1"/>
  <c r="F9961" i="1"/>
  <c r="H9961" i="1"/>
  <c r="I9961" i="1"/>
  <c r="J9961" i="1"/>
  <c r="L9961" i="1"/>
  <c r="M9961" i="1"/>
  <c r="C9962" i="1"/>
  <c r="E9962" i="1"/>
  <c r="F9962" i="1"/>
  <c r="H9962" i="1"/>
  <c r="I9962" i="1"/>
  <c r="J9962" i="1"/>
  <c r="L9962" i="1"/>
  <c r="M9962" i="1"/>
  <c r="C9963" i="1"/>
  <c r="E9963" i="1"/>
  <c r="F9963" i="1"/>
  <c r="H9963" i="1"/>
  <c r="I9963" i="1"/>
  <c r="J9963" i="1"/>
  <c r="L9963" i="1"/>
  <c r="M9963" i="1"/>
  <c r="C9964" i="1"/>
  <c r="E9964" i="1"/>
  <c r="F9964" i="1"/>
  <c r="H9964" i="1"/>
  <c r="I9964" i="1"/>
  <c r="J9964" i="1"/>
  <c r="L9964" i="1"/>
  <c r="M9964" i="1"/>
  <c r="C9965" i="1"/>
  <c r="E9965" i="1"/>
  <c r="F9965" i="1"/>
  <c r="H9965" i="1"/>
  <c r="I9965" i="1"/>
  <c r="J9965" i="1"/>
  <c r="L9965" i="1"/>
  <c r="M9965" i="1"/>
  <c r="C9966" i="1"/>
  <c r="E9966" i="1"/>
  <c r="F9966" i="1"/>
  <c r="H9966" i="1"/>
  <c r="I9966" i="1"/>
  <c r="J9966" i="1"/>
  <c r="L9966" i="1"/>
  <c r="M9966" i="1"/>
  <c r="C9967" i="1"/>
  <c r="E9967" i="1"/>
  <c r="F9967" i="1"/>
  <c r="H9967" i="1"/>
  <c r="I9967" i="1"/>
  <c r="J9967" i="1"/>
  <c r="L9967" i="1"/>
  <c r="M9967" i="1"/>
  <c r="C9968" i="1"/>
  <c r="E9968" i="1"/>
  <c r="F9968" i="1"/>
  <c r="H9968" i="1"/>
  <c r="I9968" i="1"/>
  <c r="J9968" i="1"/>
  <c r="L9968" i="1"/>
  <c r="M9968" i="1"/>
  <c r="C9969" i="1"/>
  <c r="E9969" i="1"/>
  <c r="F9969" i="1"/>
  <c r="H9969" i="1"/>
  <c r="I9969" i="1"/>
  <c r="J9969" i="1"/>
  <c r="L9969" i="1"/>
  <c r="M9969" i="1"/>
  <c r="C9970" i="1"/>
  <c r="E9970" i="1"/>
  <c r="F9970" i="1"/>
  <c r="H9970" i="1"/>
  <c r="I9970" i="1"/>
  <c r="J9970" i="1"/>
  <c r="L9970" i="1"/>
  <c r="M9970" i="1"/>
  <c r="C9971" i="1"/>
  <c r="E9971" i="1"/>
  <c r="F9971" i="1"/>
  <c r="H9971" i="1"/>
  <c r="I9971" i="1"/>
  <c r="J9971" i="1"/>
  <c r="L9971" i="1"/>
  <c r="M9971" i="1"/>
  <c r="C9972" i="1"/>
  <c r="E9972" i="1"/>
  <c r="F9972" i="1"/>
  <c r="H9972" i="1"/>
  <c r="I9972" i="1"/>
  <c r="J9972" i="1"/>
  <c r="L9972" i="1"/>
  <c r="M9972" i="1"/>
  <c r="C9973" i="1"/>
  <c r="E9973" i="1"/>
  <c r="F9973" i="1"/>
  <c r="H9973" i="1"/>
  <c r="I9973" i="1"/>
  <c r="J9973" i="1"/>
  <c r="L9973" i="1"/>
  <c r="M9973" i="1"/>
  <c r="C9974" i="1"/>
  <c r="E9974" i="1"/>
  <c r="F9974" i="1"/>
  <c r="H9974" i="1"/>
  <c r="I9974" i="1"/>
  <c r="J9974" i="1"/>
  <c r="L9974" i="1"/>
  <c r="M9974" i="1"/>
  <c r="C9975" i="1"/>
  <c r="E9975" i="1"/>
  <c r="F9975" i="1"/>
  <c r="H9975" i="1"/>
  <c r="I9975" i="1"/>
  <c r="J9975" i="1"/>
  <c r="L9975" i="1"/>
  <c r="M9975" i="1"/>
  <c r="C9976" i="1"/>
  <c r="E9976" i="1"/>
  <c r="F9976" i="1"/>
  <c r="H9976" i="1"/>
  <c r="I9976" i="1"/>
  <c r="J9976" i="1"/>
  <c r="L9976" i="1"/>
  <c r="M9976" i="1"/>
  <c r="C9977" i="1"/>
  <c r="E9977" i="1"/>
  <c r="F9977" i="1"/>
  <c r="H9977" i="1"/>
  <c r="I9977" i="1"/>
  <c r="J9977" i="1"/>
  <c r="L9977" i="1"/>
  <c r="M9977" i="1"/>
  <c r="C9978" i="1"/>
  <c r="E9978" i="1"/>
  <c r="F9978" i="1"/>
  <c r="H9978" i="1"/>
  <c r="I9978" i="1"/>
  <c r="J9978" i="1"/>
  <c r="L9978" i="1"/>
  <c r="M9978" i="1"/>
  <c r="C9979" i="1"/>
  <c r="E9979" i="1"/>
  <c r="F9979" i="1"/>
  <c r="H9979" i="1"/>
  <c r="I9979" i="1"/>
  <c r="J9979" i="1"/>
  <c r="L9979" i="1"/>
  <c r="M9979" i="1"/>
  <c r="C9980" i="1"/>
  <c r="E9980" i="1"/>
  <c r="F9980" i="1"/>
  <c r="H9980" i="1"/>
  <c r="I9980" i="1"/>
  <c r="J9980" i="1"/>
  <c r="L9980" i="1"/>
  <c r="M9980" i="1"/>
  <c r="C9981" i="1"/>
  <c r="E9981" i="1"/>
  <c r="F9981" i="1"/>
  <c r="H9981" i="1"/>
  <c r="I9981" i="1"/>
  <c r="J9981" i="1"/>
  <c r="L9981" i="1"/>
  <c r="M9981" i="1"/>
  <c r="C9982" i="1"/>
  <c r="E9982" i="1"/>
  <c r="F9982" i="1"/>
  <c r="H9982" i="1"/>
  <c r="I9982" i="1"/>
  <c r="J9982" i="1"/>
  <c r="L9982" i="1"/>
  <c r="M9982" i="1"/>
  <c r="C9983" i="1"/>
  <c r="E9983" i="1"/>
  <c r="F9983" i="1"/>
  <c r="H9983" i="1"/>
  <c r="I9983" i="1"/>
  <c r="J9983" i="1"/>
  <c r="L9983" i="1"/>
  <c r="M9983" i="1"/>
  <c r="C9984" i="1"/>
  <c r="E9984" i="1"/>
  <c r="F9984" i="1"/>
  <c r="H9984" i="1"/>
  <c r="I9984" i="1"/>
  <c r="J9984" i="1"/>
  <c r="L9984" i="1"/>
  <c r="M9984" i="1"/>
  <c r="C9985" i="1"/>
  <c r="E9985" i="1"/>
  <c r="F9985" i="1"/>
  <c r="H9985" i="1"/>
  <c r="I9985" i="1"/>
  <c r="J9985" i="1"/>
  <c r="L9985" i="1"/>
  <c r="M9985" i="1"/>
  <c r="C9986" i="1"/>
  <c r="E9986" i="1"/>
  <c r="F9986" i="1"/>
  <c r="H9986" i="1"/>
  <c r="I9986" i="1"/>
  <c r="J9986" i="1"/>
  <c r="L9986" i="1"/>
  <c r="M9986" i="1"/>
  <c r="C9987" i="1"/>
  <c r="E9987" i="1"/>
  <c r="F9987" i="1"/>
  <c r="H9987" i="1"/>
  <c r="I9987" i="1"/>
  <c r="J9987" i="1"/>
  <c r="L9987" i="1"/>
  <c r="M9987" i="1"/>
  <c r="C9988" i="1"/>
  <c r="E9988" i="1"/>
  <c r="F9988" i="1"/>
  <c r="H9988" i="1"/>
  <c r="I9988" i="1"/>
  <c r="J9988" i="1"/>
  <c r="L9988" i="1"/>
  <c r="M9988" i="1"/>
  <c r="C9989" i="1"/>
  <c r="E9989" i="1"/>
  <c r="F9989" i="1"/>
  <c r="H9989" i="1"/>
  <c r="I9989" i="1"/>
  <c r="J9989" i="1"/>
  <c r="L9989" i="1"/>
  <c r="M9989" i="1"/>
  <c r="C9990" i="1"/>
  <c r="E9990" i="1"/>
  <c r="F9990" i="1"/>
  <c r="H9990" i="1"/>
  <c r="I9990" i="1"/>
  <c r="J9990" i="1"/>
  <c r="L9990" i="1"/>
  <c r="M9990" i="1"/>
  <c r="C9991" i="1"/>
  <c r="E9991" i="1"/>
  <c r="F9991" i="1"/>
  <c r="H9991" i="1"/>
  <c r="I9991" i="1"/>
  <c r="J9991" i="1"/>
  <c r="L9991" i="1"/>
  <c r="M9991" i="1"/>
  <c r="C9992" i="1"/>
  <c r="E9992" i="1"/>
  <c r="F9992" i="1"/>
  <c r="H9992" i="1"/>
  <c r="I9992" i="1"/>
  <c r="J9992" i="1"/>
  <c r="L9992" i="1"/>
  <c r="M9992" i="1"/>
  <c r="C9993" i="1"/>
  <c r="E9993" i="1"/>
  <c r="F9993" i="1"/>
  <c r="H9993" i="1"/>
  <c r="I9993" i="1"/>
  <c r="J9993" i="1"/>
  <c r="L9993" i="1"/>
  <c r="M9993" i="1"/>
  <c r="C9994" i="1"/>
  <c r="E9994" i="1"/>
  <c r="F9994" i="1"/>
  <c r="H9994" i="1"/>
  <c r="I9994" i="1"/>
  <c r="J9994" i="1"/>
  <c r="L9994" i="1"/>
  <c r="M9994" i="1"/>
  <c r="C9995" i="1"/>
  <c r="E9995" i="1"/>
  <c r="F9995" i="1"/>
  <c r="H9995" i="1"/>
  <c r="I9995" i="1"/>
  <c r="J9995" i="1"/>
  <c r="L9995" i="1"/>
  <c r="M9995" i="1"/>
  <c r="C9996" i="1"/>
  <c r="E9996" i="1"/>
  <c r="F9996" i="1"/>
  <c r="H9996" i="1"/>
  <c r="I9996" i="1"/>
  <c r="J9996" i="1"/>
  <c r="L9996" i="1"/>
  <c r="M9996" i="1"/>
  <c r="C9997" i="1"/>
  <c r="E9997" i="1"/>
  <c r="F9997" i="1"/>
  <c r="H9997" i="1"/>
  <c r="I9997" i="1"/>
  <c r="J9997" i="1"/>
  <c r="L9997" i="1"/>
  <c r="M9997" i="1"/>
  <c r="C9998" i="1"/>
  <c r="E9998" i="1"/>
  <c r="F9998" i="1"/>
  <c r="H9998" i="1"/>
  <c r="I9998" i="1"/>
  <c r="J9998" i="1"/>
  <c r="L9998" i="1"/>
  <c r="M9998" i="1"/>
  <c r="C9999" i="1"/>
  <c r="E9999" i="1"/>
  <c r="F9999" i="1"/>
  <c r="H9999" i="1"/>
  <c r="I9999" i="1"/>
  <c r="J9999" i="1"/>
  <c r="L9999" i="1"/>
  <c r="M9999" i="1"/>
  <c r="C10000" i="1"/>
  <c r="E10000" i="1"/>
  <c r="F10000" i="1"/>
  <c r="H10000" i="1"/>
  <c r="I10000" i="1"/>
  <c r="J10000" i="1"/>
  <c r="L10000" i="1"/>
  <c r="M10000" i="1"/>
  <c r="C10001" i="1"/>
  <c r="E10001" i="1"/>
  <c r="F10001" i="1"/>
  <c r="H10001" i="1"/>
  <c r="I10001" i="1"/>
  <c r="J10001" i="1"/>
  <c r="L10001" i="1"/>
  <c r="M10001" i="1"/>
  <c r="C10002" i="1"/>
  <c r="E10002" i="1"/>
  <c r="F10002" i="1"/>
  <c r="H10002" i="1"/>
  <c r="I10002" i="1"/>
  <c r="J10002" i="1"/>
  <c r="L10002" i="1"/>
  <c r="M10002" i="1"/>
  <c r="C10003" i="1"/>
  <c r="E10003" i="1"/>
  <c r="F10003" i="1"/>
  <c r="H10003" i="1"/>
  <c r="I10003" i="1"/>
  <c r="J10003" i="1"/>
  <c r="L10003" i="1"/>
  <c r="M10003" i="1"/>
  <c r="C10004" i="1"/>
  <c r="E10004" i="1"/>
  <c r="F10004" i="1"/>
  <c r="H10004" i="1"/>
  <c r="I10004" i="1"/>
  <c r="J10004" i="1"/>
  <c r="L10004" i="1"/>
  <c r="M10004" i="1"/>
  <c r="C10005" i="1"/>
  <c r="E10005" i="1"/>
  <c r="F10005" i="1"/>
  <c r="H10005" i="1"/>
  <c r="I10005" i="1"/>
  <c r="J10005" i="1"/>
  <c r="L10005" i="1"/>
  <c r="M10005" i="1"/>
  <c r="C10006" i="1"/>
  <c r="E10006" i="1"/>
  <c r="F10006" i="1"/>
  <c r="H10006" i="1"/>
  <c r="I10006" i="1"/>
  <c r="J10006" i="1"/>
  <c r="L10006" i="1"/>
  <c r="M10006" i="1"/>
  <c r="C10007" i="1"/>
  <c r="E10007" i="1"/>
  <c r="F10007" i="1"/>
  <c r="H10007" i="1"/>
  <c r="I10007" i="1"/>
  <c r="J10007" i="1"/>
  <c r="L10007" i="1"/>
  <c r="M10007" i="1"/>
  <c r="C10008" i="1"/>
  <c r="E10008" i="1"/>
  <c r="F10008" i="1"/>
  <c r="H10008" i="1"/>
  <c r="I10008" i="1"/>
  <c r="J10008" i="1"/>
  <c r="L10008" i="1"/>
  <c r="M10008" i="1"/>
  <c r="C10009" i="1"/>
  <c r="E10009" i="1"/>
  <c r="F10009" i="1"/>
  <c r="H10009" i="1"/>
  <c r="I10009" i="1"/>
  <c r="J10009" i="1"/>
  <c r="L10009" i="1"/>
  <c r="M10009" i="1"/>
  <c r="C10010" i="1"/>
  <c r="E10010" i="1"/>
  <c r="F10010" i="1"/>
  <c r="H10010" i="1"/>
  <c r="I10010" i="1"/>
  <c r="J10010" i="1"/>
  <c r="L10010" i="1"/>
  <c r="M10010" i="1"/>
  <c r="C10011" i="1"/>
  <c r="E10011" i="1"/>
  <c r="F10011" i="1"/>
  <c r="H10011" i="1"/>
  <c r="I10011" i="1"/>
  <c r="J10011" i="1"/>
  <c r="L10011" i="1"/>
  <c r="M10011" i="1"/>
  <c r="C10012" i="1"/>
  <c r="E10012" i="1"/>
  <c r="F10012" i="1"/>
  <c r="H10012" i="1"/>
  <c r="I10012" i="1"/>
  <c r="J10012" i="1"/>
  <c r="L10012" i="1"/>
  <c r="M10012" i="1"/>
  <c r="C10013" i="1"/>
  <c r="E10013" i="1"/>
  <c r="F10013" i="1"/>
  <c r="H10013" i="1"/>
  <c r="I10013" i="1"/>
  <c r="J10013" i="1"/>
  <c r="L10013" i="1"/>
  <c r="M10013" i="1"/>
  <c r="C10014" i="1"/>
  <c r="E10014" i="1"/>
  <c r="F10014" i="1"/>
  <c r="H10014" i="1"/>
  <c r="I10014" i="1"/>
  <c r="J10014" i="1"/>
  <c r="L10014" i="1"/>
  <c r="M10014" i="1"/>
  <c r="C10015" i="1"/>
  <c r="E10015" i="1"/>
  <c r="F10015" i="1"/>
  <c r="H10015" i="1"/>
  <c r="I10015" i="1"/>
  <c r="J10015" i="1"/>
  <c r="L10015" i="1"/>
  <c r="M10015" i="1"/>
  <c r="C10016" i="1"/>
  <c r="E10016" i="1"/>
  <c r="F10016" i="1"/>
  <c r="H10016" i="1"/>
  <c r="I10016" i="1"/>
  <c r="J10016" i="1"/>
  <c r="L10016" i="1"/>
  <c r="M10016" i="1"/>
  <c r="C10017" i="1"/>
  <c r="E10017" i="1"/>
  <c r="F10017" i="1"/>
  <c r="H10017" i="1"/>
  <c r="I10017" i="1"/>
  <c r="J10017" i="1"/>
  <c r="L10017" i="1"/>
  <c r="M10017" i="1"/>
  <c r="C10018" i="1"/>
  <c r="E10018" i="1"/>
  <c r="F10018" i="1"/>
  <c r="H10018" i="1"/>
  <c r="I10018" i="1"/>
  <c r="J10018" i="1"/>
  <c r="L10018" i="1"/>
  <c r="M10018" i="1"/>
  <c r="C10019" i="1"/>
  <c r="E10019" i="1"/>
  <c r="F10019" i="1"/>
  <c r="H10019" i="1"/>
  <c r="I10019" i="1"/>
  <c r="J10019" i="1"/>
  <c r="L10019" i="1"/>
  <c r="M10019" i="1"/>
  <c r="C10020" i="1"/>
  <c r="E10020" i="1"/>
  <c r="F10020" i="1"/>
  <c r="H10020" i="1"/>
  <c r="I10020" i="1"/>
  <c r="J10020" i="1"/>
  <c r="L10020" i="1"/>
  <c r="M10020" i="1"/>
  <c r="C10021" i="1"/>
  <c r="E10021" i="1"/>
  <c r="F10021" i="1"/>
  <c r="H10021" i="1"/>
  <c r="I10021" i="1"/>
  <c r="J10021" i="1"/>
  <c r="L10021" i="1"/>
  <c r="M10021" i="1"/>
  <c r="C10022" i="1"/>
  <c r="E10022" i="1"/>
  <c r="F10022" i="1"/>
  <c r="H10022" i="1"/>
  <c r="I10022" i="1"/>
  <c r="J10022" i="1"/>
  <c r="L10022" i="1"/>
  <c r="M10022" i="1"/>
  <c r="C10023" i="1"/>
  <c r="E10023" i="1"/>
  <c r="F10023" i="1"/>
  <c r="H10023" i="1"/>
  <c r="I10023" i="1"/>
  <c r="J10023" i="1"/>
  <c r="L10023" i="1"/>
  <c r="M10023" i="1"/>
  <c r="C10024" i="1"/>
  <c r="E10024" i="1"/>
  <c r="F10024" i="1"/>
  <c r="H10024" i="1"/>
  <c r="I10024" i="1"/>
  <c r="J10024" i="1"/>
  <c r="L10024" i="1"/>
  <c r="M10024" i="1"/>
  <c r="C10025" i="1"/>
  <c r="E10025" i="1"/>
  <c r="F10025" i="1"/>
  <c r="H10025" i="1"/>
  <c r="I10025" i="1"/>
  <c r="J10025" i="1"/>
  <c r="L10025" i="1"/>
  <c r="M10025" i="1"/>
  <c r="C10026" i="1"/>
  <c r="E10026" i="1"/>
  <c r="F10026" i="1"/>
  <c r="H10026" i="1"/>
  <c r="I10026" i="1"/>
  <c r="J10026" i="1"/>
  <c r="L10026" i="1"/>
  <c r="M10026" i="1"/>
  <c r="C10027" i="1"/>
  <c r="E10027" i="1"/>
  <c r="F10027" i="1"/>
  <c r="H10027" i="1"/>
  <c r="I10027" i="1"/>
  <c r="J10027" i="1"/>
  <c r="L10027" i="1"/>
  <c r="M10027" i="1"/>
  <c r="C10028" i="1"/>
  <c r="E10028" i="1"/>
  <c r="F10028" i="1"/>
  <c r="H10028" i="1"/>
  <c r="I10028" i="1"/>
  <c r="J10028" i="1"/>
  <c r="L10028" i="1"/>
  <c r="M10028" i="1"/>
  <c r="C10029" i="1"/>
  <c r="E10029" i="1"/>
  <c r="F10029" i="1"/>
  <c r="H10029" i="1"/>
  <c r="I10029" i="1"/>
  <c r="J10029" i="1"/>
  <c r="L10029" i="1"/>
  <c r="M10029" i="1"/>
  <c r="C10030" i="1"/>
  <c r="E10030" i="1"/>
  <c r="F10030" i="1"/>
  <c r="H10030" i="1"/>
  <c r="I10030" i="1"/>
  <c r="J10030" i="1"/>
  <c r="L10030" i="1"/>
  <c r="M10030" i="1"/>
  <c r="C10031" i="1"/>
  <c r="E10031" i="1"/>
  <c r="F10031" i="1"/>
  <c r="H10031" i="1"/>
  <c r="I10031" i="1"/>
  <c r="J10031" i="1"/>
  <c r="L10031" i="1"/>
  <c r="M10031" i="1"/>
  <c r="C10032" i="1"/>
  <c r="E10032" i="1"/>
  <c r="F10032" i="1"/>
  <c r="H10032" i="1"/>
  <c r="I10032" i="1"/>
  <c r="J10032" i="1"/>
  <c r="L10032" i="1"/>
  <c r="M10032" i="1"/>
  <c r="C10033" i="1"/>
  <c r="E10033" i="1"/>
  <c r="F10033" i="1"/>
  <c r="H10033" i="1"/>
  <c r="I10033" i="1"/>
  <c r="J10033" i="1"/>
  <c r="L10033" i="1"/>
  <c r="M10033" i="1"/>
  <c r="C10034" i="1"/>
  <c r="E10034" i="1"/>
  <c r="F10034" i="1"/>
  <c r="H10034" i="1"/>
  <c r="I10034" i="1"/>
  <c r="J10034" i="1"/>
  <c r="L10034" i="1"/>
  <c r="M10034" i="1"/>
  <c r="C10035" i="1"/>
  <c r="E10035" i="1"/>
  <c r="F10035" i="1"/>
  <c r="H10035" i="1"/>
  <c r="I10035" i="1"/>
  <c r="J10035" i="1"/>
  <c r="L10035" i="1"/>
  <c r="M10035" i="1"/>
  <c r="C10036" i="1"/>
  <c r="E10036" i="1"/>
  <c r="F10036" i="1"/>
  <c r="H10036" i="1"/>
  <c r="I10036" i="1"/>
  <c r="J10036" i="1"/>
  <c r="L10036" i="1"/>
  <c r="M10036" i="1"/>
  <c r="C10037" i="1"/>
  <c r="E10037" i="1"/>
  <c r="F10037" i="1"/>
  <c r="H10037" i="1"/>
  <c r="I10037" i="1"/>
  <c r="J10037" i="1"/>
  <c r="L10037" i="1"/>
  <c r="M10037" i="1"/>
  <c r="C10038" i="1"/>
  <c r="E10038" i="1"/>
  <c r="F10038" i="1"/>
  <c r="H10038" i="1"/>
  <c r="I10038" i="1"/>
  <c r="J10038" i="1"/>
  <c r="L10038" i="1"/>
  <c r="M10038" i="1"/>
  <c r="C10039" i="1"/>
  <c r="E10039" i="1"/>
  <c r="F10039" i="1"/>
  <c r="H10039" i="1"/>
  <c r="I10039" i="1"/>
  <c r="J10039" i="1"/>
  <c r="L10039" i="1"/>
  <c r="M10039" i="1"/>
  <c r="C10040" i="1"/>
  <c r="E10040" i="1"/>
  <c r="F10040" i="1"/>
  <c r="H10040" i="1"/>
  <c r="I10040" i="1"/>
  <c r="J10040" i="1"/>
  <c r="L10040" i="1"/>
  <c r="M10040" i="1"/>
  <c r="C10041" i="1"/>
  <c r="E10041" i="1"/>
  <c r="F10041" i="1"/>
  <c r="H10041" i="1"/>
  <c r="I10041" i="1"/>
  <c r="J10041" i="1"/>
  <c r="L10041" i="1"/>
  <c r="M10041" i="1"/>
  <c r="C10042" i="1"/>
  <c r="E10042" i="1"/>
  <c r="F10042" i="1"/>
  <c r="H10042" i="1"/>
  <c r="I10042" i="1"/>
  <c r="J10042" i="1"/>
  <c r="L10042" i="1"/>
  <c r="M10042" i="1"/>
  <c r="C10043" i="1"/>
  <c r="E10043" i="1"/>
  <c r="F10043" i="1"/>
  <c r="H10043" i="1"/>
  <c r="I10043" i="1"/>
  <c r="J10043" i="1"/>
  <c r="L10043" i="1"/>
  <c r="M10043" i="1"/>
  <c r="C10044" i="1"/>
  <c r="E10044" i="1"/>
  <c r="F10044" i="1"/>
  <c r="H10044" i="1"/>
  <c r="I10044" i="1"/>
  <c r="J10044" i="1"/>
  <c r="L10044" i="1"/>
  <c r="M10044" i="1"/>
  <c r="C10045" i="1"/>
  <c r="E10045" i="1"/>
  <c r="F10045" i="1"/>
  <c r="H10045" i="1"/>
  <c r="I10045" i="1"/>
  <c r="J10045" i="1"/>
  <c r="L10045" i="1"/>
  <c r="M10045" i="1"/>
  <c r="C10046" i="1"/>
  <c r="E10046" i="1"/>
  <c r="F10046" i="1"/>
  <c r="H10046" i="1"/>
  <c r="I10046" i="1"/>
  <c r="J10046" i="1"/>
  <c r="L10046" i="1"/>
  <c r="M10046" i="1"/>
  <c r="C10047" i="1"/>
  <c r="E10047" i="1"/>
  <c r="F10047" i="1"/>
  <c r="H10047" i="1"/>
  <c r="I10047" i="1"/>
  <c r="J10047" i="1"/>
  <c r="L10047" i="1"/>
  <c r="M10047" i="1"/>
  <c r="C10048" i="1"/>
  <c r="E10048" i="1"/>
  <c r="F10048" i="1"/>
  <c r="H10048" i="1"/>
  <c r="I10048" i="1"/>
  <c r="J10048" i="1"/>
  <c r="L10048" i="1"/>
  <c r="M10048" i="1"/>
  <c r="C10049" i="1"/>
  <c r="E10049" i="1"/>
  <c r="F10049" i="1"/>
  <c r="H10049" i="1"/>
  <c r="I10049" i="1"/>
  <c r="J10049" i="1"/>
  <c r="L10049" i="1"/>
  <c r="M10049" i="1"/>
  <c r="C10050" i="1"/>
  <c r="E10050" i="1"/>
  <c r="F10050" i="1"/>
  <c r="H10050" i="1"/>
  <c r="I10050" i="1"/>
  <c r="J10050" i="1"/>
  <c r="L10050" i="1"/>
  <c r="M10050" i="1"/>
  <c r="C10051" i="1"/>
  <c r="E10051" i="1"/>
  <c r="F10051" i="1"/>
  <c r="H10051" i="1"/>
  <c r="I10051" i="1"/>
  <c r="J10051" i="1"/>
  <c r="L10051" i="1"/>
  <c r="M10051" i="1"/>
  <c r="C10052" i="1"/>
  <c r="E10052" i="1"/>
  <c r="F10052" i="1"/>
  <c r="H10052" i="1"/>
  <c r="I10052" i="1"/>
  <c r="J10052" i="1"/>
  <c r="L10052" i="1"/>
  <c r="M10052" i="1"/>
  <c r="C10053" i="1"/>
  <c r="E10053" i="1"/>
  <c r="F10053" i="1"/>
  <c r="H10053" i="1"/>
  <c r="I10053" i="1"/>
  <c r="J10053" i="1"/>
  <c r="L10053" i="1"/>
  <c r="M10053" i="1"/>
  <c r="C10054" i="1"/>
  <c r="E10054" i="1"/>
  <c r="F10054" i="1"/>
  <c r="H10054" i="1"/>
  <c r="I10054" i="1"/>
  <c r="J10054" i="1"/>
  <c r="L10054" i="1"/>
  <c r="M10054" i="1"/>
  <c r="C10055" i="1"/>
  <c r="E10055" i="1"/>
  <c r="F10055" i="1"/>
  <c r="H10055" i="1"/>
  <c r="I10055" i="1"/>
  <c r="J10055" i="1"/>
  <c r="L10055" i="1"/>
  <c r="M10055" i="1"/>
  <c r="C10056" i="1"/>
  <c r="E10056" i="1"/>
  <c r="F10056" i="1"/>
  <c r="H10056" i="1"/>
  <c r="I10056" i="1"/>
  <c r="J10056" i="1"/>
  <c r="L10056" i="1"/>
  <c r="M10056" i="1"/>
  <c r="C10057" i="1"/>
  <c r="E10057" i="1"/>
  <c r="F10057" i="1"/>
  <c r="H10057" i="1"/>
  <c r="I10057" i="1"/>
  <c r="J10057" i="1"/>
  <c r="L10057" i="1"/>
  <c r="M10057" i="1"/>
  <c r="C10058" i="1"/>
  <c r="E10058" i="1"/>
  <c r="F10058" i="1"/>
  <c r="H10058" i="1"/>
  <c r="I10058" i="1"/>
  <c r="J10058" i="1"/>
  <c r="L10058" i="1"/>
  <c r="M10058" i="1"/>
  <c r="C10059" i="1"/>
  <c r="E10059" i="1"/>
  <c r="F10059" i="1"/>
  <c r="H10059" i="1"/>
  <c r="I10059" i="1"/>
  <c r="J10059" i="1"/>
  <c r="L10059" i="1"/>
  <c r="M10059" i="1"/>
  <c r="C10060" i="1"/>
  <c r="E10060" i="1"/>
  <c r="F10060" i="1"/>
  <c r="H10060" i="1"/>
  <c r="I10060" i="1"/>
  <c r="J10060" i="1"/>
  <c r="L10060" i="1"/>
  <c r="M10060" i="1"/>
  <c r="C10061" i="1"/>
  <c r="E10061" i="1"/>
  <c r="F10061" i="1"/>
  <c r="H10061" i="1"/>
  <c r="I10061" i="1"/>
  <c r="J10061" i="1"/>
  <c r="L10061" i="1"/>
  <c r="M10061" i="1"/>
  <c r="C10062" i="1"/>
  <c r="E10062" i="1"/>
  <c r="F10062" i="1"/>
  <c r="H10062" i="1"/>
  <c r="I10062" i="1"/>
  <c r="J10062" i="1"/>
  <c r="L10062" i="1"/>
  <c r="M10062" i="1"/>
  <c r="C10063" i="1"/>
  <c r="E10063" i="1"/>
  <c r="F10063" i="1"/>
  <c r="H10063" i="1"/>
  <c r="I10063" i="1"/>
  <c r="J10063" i="1"/>
  <c r="L10063" i="1"/>
  <c r="M10063" i="1"/>
  <c r="C10064" i="1"/>
  <c r="E10064" i="1"/>
  <c r="F10064" i="1"/>
  <c r="H10064" i="1"/>
  <c r="I10064" i="1"/>
  <c r="J10064" i="1"/>
  <c r="L10064" i="1"/>
  <c r="M10064" i="1"/>
  <c r="C10065" i="1"/>
  <c r="E10065" i="1"/>
  <c r="F10065" i="1"/>
  <c r="H10065" i="1"/>
  <c r="I10065" i="1"/>
  <c r="J10065" i="1"/>
  <c r="L10065" i="1"/>
  <c r="M10065" i="1"/>
  <c r="C10066" i="1"/>
  <c r="E10066" i="1"/>
  <c r="F10066" i="1"/>
  <c r="H10066" i="1"/>
  <c r="I10066" i="1"/>
  <c r="J10066" i="1"/>
  <c r="L10066" i="1"/>
  <c r="M10066" i="1"/>
  <c r="C10067" i="1"/>
  <c r="E10067" i="1"/>
  <c r="F10067" i="1"/>
  <c r="H10067" i="1"/>
  <c r="I10067" i="1"/>
  <c r="J10067" i="1"/>
  <c r="L10067" i="1"/>
  <c r="M10067" i="1"/>
  <c r="C10068" i="1"/>
  <c r="E10068" i="1"/>
  <c r="F10068" i="1"/>
  <c r="H10068" i="1"/>
  <c r="I10068" i="1"/>
  <c r="J10068" i="1"/>
  <c r="L10068" i="1"/>
  <c r="M10068" i="1"/>
  <c r="C10069" i="1"/>
  <c r="E10069" i="1"/>
  <c r="F10069" i="1"/>
  <c r="H10069" i="1"/>
  <c r="I10069" i="1"/>
  <c r="J10069" i="1"/>
  <c r="L10069" i="1"/>
  <c r="M10069" i="1"/>
  <c r="C10070" i="1"/>
  <c r="E10070" i="1"/>
  <c r="F10070" i="1"/>
  <c r="H10070" i="1"/>
  <c r="I10070" i="1"/>
  <c r="J10070" i="1"/>
  <c r="L10070" i="1"/>
  <c r="M10070" i="1"/>
  <c r="C10071" i="1"/>
  <c r="E10071" i="1"/>
  <c r="F10071" i="1"/>
  <c r="H10071" i="1"/>
  <c r="I10071" i="1"/>
  <c r="J10071" i="1"/>
  <c r="L10071" i="1"/>
  <c r="M10071" i="1"/>
  <c r="C10072" i="1"/>
  <c r="E10072" i="1"/>
  <c r="F10072" i="1"/>
  <c r="H10072" i="1"/>
  <c r="I10072" i="1"/>
  <c r="J10072" i="1"/>
  <c r="L10072" i="1"/>
  <c r="M10072" i="1"/>
  <c r="C10073" i="1"/>
  <c r="E10073" i="1"/>
  <c r="F10073" i="1"/>
  <c r="H10073" i="1"/>
  <c r="I10073" i="1"/>
  <c r="J10073" i="1"/>
  <c r="L10073" i="1"/>
  <c r="M10073" i="1"/>
  <c r="C10074" i="1"/>
  <c r="E10074" i="1"/>
  <c r="F10074" i="1"/>
  <c r="H10074" i="1"/>
  <c r="I10074" i="1"/>
  <c r="J10074" i="1"/>
  <c r="L10074" i="1"/>
  <c r="M10074" i="1"/>
  <c r="C10075" i="1"/>
  <c r="E10075" i="1"/>
  <c r="F10075" i="1"/>
  <c r="H10075" i="1"/>
  <c r="I10075" i="1"/>
  <c r="J10075" i="1"/>
  <c r="L10075" i="1"/>
  <c r="M10075" i="1"/>
  <c r="C10076" i="1"/>
  <c r="E10076" i="1"/>
  <c r="F10076" i="1"/>
  <c r="H10076" i="1"/>
  <c r="I10076" i="1"/>
  <c r="J10076" i="1"/>
  <c r="L10076" i="1"/>
  <c r="M10076" i="1"/>
  <c r="C10077" i="1"/>
  <c r="E10077" i="1"/>
  <c r="F10077" i="1"/>
  <c r="H10077" i="1"/>
  <c r="I10077" i="1"/>
  <c r="J10077" i="1"/>
  <c r="L10077" i="1"/>
  <c r="M10077" i="1"/>
  <c r="C10078" i="1"/>
  <c r="E10078" i="1"/>
  <c r="F10078" i="1"/>
  <c r="H10078" i="1"/>
  <c r="I10078" i="1"/>
  <c r="J10078" i="1"/>
  <c r="L10078" i="1"/>
  <c r="M10078" i="1"/>
  <c r="C10079" i="1"/>
  <c r="E10079" i="1"/>
  <c r="F10079" i="1"/>
  <c r="H10079" i="1"/>
  <c r="I10079" i="1"/>
  <c r="J10079" i="1"/>
  <c r="L10079" i="1"/>
  <c r="M10079" i="1"/>
  <c r="C10080" i="1"/>
  <c r="E10080" i="1"/>
  <c r="F10080" i="1"/>
  <c r="H10080" i="1"/>
  <c r="I10080" i="1"/>
  <c r="J10080" i="1"/>
  <c r="L10080" i="1"/>
  <c r="M10080" i="1"/>
  <c r="C10081" i="1"/>
  <c r="E10081" i="1"/>
  <c r="F10081" i="1"/>
  <c r="H10081" i="1"/>
  <c r="I10081" i="1"/>
  <c r="J10081" i="1"/>
  <c r="L10081" i="1"/>
  <c r="M10081" i="1"/>
  <c r="C10082" i="1"/>
  <c r="E10082" i="1"/>
  <c r="F10082" i="1"/>
  <c r="H10082" i="1"/>
  <c r="I10082" i="1"/>
  <c r="J10082" i="1"/>
  <c r="L10082" i="1"/>
  <c r="M10082" i="1"/>
  <c r="C10083" i="1"/>
  <c r="E10083" i="1"/>
  <c r="F10083" i="1"/>
  <c r="H10083" i="1"/>
  <c r="I10083" i="1"/>
  <c r="J10083" i="1"/>
  <c r="L10083" i="1"/>
  <c r="M10083" i="1"/>
  <c r="C10084" i="1"/>
  <c r="E10084" i="1"/>
  <c r="F10084" i="1"/>
  <c r="H10084" i="1"/>
  <c r="I10084" i="1"/>
  <c r="J10084" i="1"/>
  <c r="L10084" i="1"/>
  <c r="M10084" i="1"/>
  <c r="C10085" i="1"/>
  <c r="E10085" i="1"/>
  <c r="F10085" i="1"/>
  <c r="H10085" i="1"/>
  <c r="I10085" i="1"/>
  <c r="J10085" i="1"/>
  <c r="L10085" i="1"/>
  <c r="M10085" i="1"/>
  <c r="C10086" i="1"/>
  <c r="E10086" i="1"/>
  <c r="F10086" i="1"/>
  <c r="H10086" i="1"/>
  <c r="I10086" i="1"/>
  <c r="J10086" i="1"/>
  <c r="L10086" i="1"/>
  <c r="M10086" i="1"/>
  <c r="C10087" i="1"/>
  <c r="E10087" i="1"/>
  <c r="F10087" i="1"/>
  <c r="H10087" i="1"/>
  <c r="I10087" i="1"/>
  <c r="J10087" i="1"/>
  <c r="L10087" i="1"/>
  <c r="M10087" i="1"/>
  <c r="C10088" i="1"/>
  <c r="E10088" i="1"/>
  <c r="F10088" i="1"/>
  <c r="H10088" i="1"/>
  <c r="I10088" i="1"/>
  <c r="J10088" i="1"/>
  <c r="L10088" i="1"/>
  <c r="M10088" i="1"/>
  <c r="C10089" i="1"/>
  <c r="E10089" i="1"/>
  <c r="F10089" i="1"/>
  <c r="H10089" i="1"/>
  <c r="I10089" i="1"/>
  <c r="J10089" i="1"/>
  <c r="L10089" i="1"/>
  <c r="M10089" i="1"/>
  <c r="C10090" i="1"/>
  <c r="E10090" i="1"/>
  <c r="F10090" i="1"/>
  <c r="H10090" i="1"/>
  <c r="I10090" i="1"/>
  <c r="J10090" i="1"/>
  <c r="L10090" i="1"/>
  <c r="M10090" i="1"/>
  <c r="C10091" i="1"/>
  <c r="E10091" i="1"/>
  <c r="F10091" i="1"/>
  <c r="H10091" i="1"/>
  <c r="I10091" i="1"/>
  <c r="J10091" i="1"/>
  <c r="L10091" i="1"/>
  <c r="M10091" i="1"/>
  <c r="C10092" i="1"/>
  <c r="E10092" i="1"/>
  <c r="F10092" i="1"/>
  <c r="H10092" i="1"/>
  <c r="I10092" i="1"/>
  <c r="J10092" i="1"/>
  <c r="L10092" i="1"/>
  <c r="M10092" i="1"/>
  <c r="C10093" i="1"/>
  <c r="E10093" i="1"/>
  <c r="F10093" i="1"/>
  <c r="H10093" i="1"/>
  <c r="I10093" i="1"/>
  <c r="J10093" i="1"/>
  <c r="L10093" i="1"/>
  <c r="M10093" i="1"/>
  <c r="C10094" i="1"/>
  <c r="E10094" i="1"/>
  <c r="F10094" i="1"/>
  <c r="H10094" i="1"/>
  <c r="I10094" i="1"/>
  <c r="J10094" i="1"/>
  <c r="L10094" i="1"/>
  <c r="M10094" i="1"/>
  <c r="C10095" i="1"/>
  <c r="E10095" i="1"/>
  <c r="F10095" i="1"/>
  <c r="H10095" i="1"/>
  <c r="I10095" i="1"/>
  <c r="J10095" i="1"/>
  <c r="L10095" i="1"/>
  <c r="M10095" i="1"/>
  <c r="C10096" i="1"/>
  <c r="E10096" i="1"/>
  <c r="F10096" i="1"/>
  <c r="H10096" i="1"/>
  <c r="I10096" i="1"/>
  <c r="J10096" i="1"/>
  <c r="L10096" i="1"/>
  <c r="M10096" i="1"/>
  <c r="C10097" i="1"/>
  <c r="E10097" i="1"/>
  <c r="F10097" i="1"/>
  <c r="H10097" i="1"/>
  <c r="I10097" i="1"/>
  <c r="J10097" i="1"/>
  <c r="L10097" i="1"/>
  <c r="M10097" i="1"/>
  <c r="C10098" i="1"/>
  <c r="E10098" i="1"/>
  <c r="F10098" i="1"/>
  <c r="H10098" i="1"/>
  <c r="I10098" i="1"/>
  <c r="J10098" i="1"/>
  <c r="L10098" i="1"/>
  <c r="M10098" i="1"/>
  <c r="C10099" i="1"/>
  <c r="E10099" i="1"/>
  <c r="F10099" i="1"/>
  <c r="H10099" i="1"/>
  <c r="I10099" i="1"/>
  <c r="J10099" i="1"/>
  <c r="L10099" i="1"/>
  <c r="M10099" i="1"/>
  <c r="C10100" i="1"/>
  <c r="E10100" i="1"/>
  <c r="F10100" i="1"/>
  <c r="H10100" i="1"/>
  <c r="I10100" i="1"/>
  <c r="J10100" i="1"/>
  <c r="L10100" i="1"/>
  <c r="M10100" i="1"/>
  <c r="C10101" i="1"/>
  <c r="E10101" i="1"/>
  <c r="F10101" i="1"/>
  <c r="H10101" i="1"/>
  <c r="I10101" i="1"/>
  <c r="J10101" i="1"/>
  <c r="L10101" i="1"/>
  <c r="M10101" i="1"/>
  <c r="C10102" i="1"/>
  <c r="E10102" i="1"/>
  <c r="F10102" i="1"/>
  <c r="H10102" i="1"/>
  <c r="I10102" i="1"/>
  <c r="J10102" i="1"/>
  <c r="L10102" i="1"/>
  <c r="M10102" i="1"/>
  <c r="C10103" i="1"/>
  <c r="E10103" i="1"/>
  <c r="F10103" i="1"/>
  <c r="H10103" i="1"/>
  <c r="I10103" i="1"/>
  <c r="J10103" i="1"/>
  <c r="L10103" i="1"/>
  <c r="M10103" i="1"/>
  <c r="C10104" i="1"/>
  <c r="E10104" i="1"/>
  <c r="F10104" i="1"/>
  <c r="H10104" i="1"/>
  <c r="I10104" i="1"/>
  <c r="J10104" i="1"/>
  <c r="L10104" i="1"/>
  <c r="M10104" i="1"/>
  <c r="C10105" i="1"/>
  <c r="E10105" i="1"/>
  <c r="F10105" i="1"/>
  <c r="H10105" i="1"/>
  <c r="I10105" i="1"/>
  <c r="J10105" i="1"/>
  <c r="L10105" i="1"/>
  <c r="M10105" i="1"/>
  <c r="C10106" i="1"/>
  <c r="E10106" i="1"/>
  <c r="F10106" i="1"/>
  <c r="H10106" i="1"/>
  <c r="I10106" i="1"/>
  <c r="J10106" i="1"/>
  <c r="L10106" i="1"/>
  <c r="M10106" i="1"/>
  <c r="C10107" i="1"/>
  <c r="E10107" i="1"/>
  <c r="F10107" i="1"/>
  <c r="H10107" i="1"/>
  <c r="I10107" i="1"/>
  <c r="J10107" i="1"/>
  <c r="L10107" i="1"/>
  <c r="M10107" i="1"/>
  <c r="C10108" i="1"/>
  <c r="E10108" i="1"/>
  <c r="F10108" i="1"/>
  <c r="H10108" i="1"/>
  <c r="I10108" i="1"/>
  <c r="J10108" i="1"/>
  <c r="L10108" i="1"/>
  <c r="M10108" i="1"/>
  <c r="C10109" i="1"/>
  <c r="E10109" i="1"/>
  <c r="F10109" i="1"/>
  <c r="H10109" i="1"/>
  <c r="I10109" i="1"/>
  <c r="J10109" i="1"/>
  <c r="L10109" i="1"/>
  <c r="M10109" i="1"/>
  <c r="C10110" i="1"/>
  <c r="E10110" i="1"/>
  <c r="F10110" i="1"/>
  <c r="H10110" i="1"/>
  <c r="I10110" i="1"/>
  <c r="J10110" i="1"/>
  <c r="L10110" i="1"/>
  <c r="M10110" i="1"/>
  <c r="C10111" i="1"/>
  <c r="E10111" i="1"/>
  <c r="F10111" i="1"/>
  <c r="H10111" i="1"/>
  <c r="I10111" i="1"/>
  <c r="J10111" i="1"/>
  <c r="L10111" i="1"/>
  <c r="M10111" i="1"/>
  <c r="C10112" i="1"/>
  <c r="E10112" i="1"/>
  <c r="F10112" i="1"/>
  <c r="H10112" i="1"/>
  <c r="I10112" i="1"/>
  <c r="J10112" i="1"/>
  <c r="L10112" i="1"/>
  <c r="M10112" i="1"/>
  <c r="C10113" i="1"/>
  <c r="E10113" i="1"/>
  <c r="F10113" i="1"/>
  <c r="H10113" i="1"/>
  <c r="I10113" i="1"/>
  <c r="J10113" i="1"/>
  <c r="L10113" i="1"/>
  <c r="M10113" i="1"/>
  <c r="C10114" i="1"/>
  <c r="E10114" i="1"/>
  <c r="F10114" i="1"/>
  <c r="H10114" i="1"/>
  <c r="I10114" i="1"/>
  <c r="J10114" i="1"/>
  <c r="L10114" i="1"/>
  <c r="M10114" i="1"/>
  <c r="C10115" i="1"/>
  <c r="E10115" i="1"/>
  <c r="F10115" i="1"/>
  <c r="H10115" i="1"/>
  <c r="I10115" i="1"/>
  <c r="J10115" i="1"/>
  <c r="L10115" i="1"/>
  <c r="M10115" i="1"/>
  <c r="C10116" i="1"/>
  <c r="E10116" i="1"/>
  <c r="F10116" i="1"/>
  <c r="H10116" i="1"/>
  <c r="I10116" i="1"/>
  <c r="J10116" i="1"/>
  <c r="L10116" i="1"/>
  <c r="M10116" i="1"/>
  <c r="C10117" i="1"/>
  <c r="E10117" i="1"/>
  <c r="F10117" i="1"/>
  <c r="H10117" i="1"/>
  <c r="I10117" i="1"/>
  <c r="J10117" i="1"/>
  <c r="L10117" i="1"/>
  <c r="M10117" i="1"/>
  <c r="C10118" i="1"/>
  <c r="E10118" i="1"/>
  <c r="F10118" i="1"/>
  <c r="H10118" i="1"/>
  <c r="I10118" i="1"/>
  <c r="J10118" i="1"/>
  <c r="L10118" i="1"/>
  <c r="M10118" i="1"/>
  <c r="C10119" i="1"/>
  <c r="E10119" i="1"/>
  <c r="F10119" i="1"/>
  <c r="H10119" i="1"/>
  <c r="I10119" i="1"/>
  <c r="J10119" i="1"/>
  <c r="L10119" i="1"/>
  <c r="M10119" i="1"/>
  <c r="C10120" i="1"/>
  <c r="E10120" i="1"/>
  <c r="F10120" i="1"/>
  <c r="H10120" i="1"/>
  <c r="I10120" i="1"/>
  <c r="J10120" i="1"/>
  <c r="L10120" i="1"/>
  <c r="M10120" i="1"/>
  <c r="C10121" i="1"/>
  <c r="E10121" i="1"/>
  <c r="F10121" i="1"/>
  <c r="H10121" i="1"/>
  <c r="I10121" i="1"/>
  <c r="J10121" i="1"/>
  <c r="L10121" i="1"/>
  <c r="M10121" i="1"/>
  <c r="C10122" i="1"/>
  <c r="E10122" i="1"/>
  <c r="F10122" i="1"/>
  <c r="H10122" i="1"/>
  <c r="I10122" i="1"/>
  <c r="J10122" i="1"/>
  <c r="L10122" i="1"/>
  <c r="M10122" i="1"/>
  <c r="C10123" i="1"/>
  <c r="E10123" i="1"/>
  <c r="F10123" i="1"/>
  <c r="H10123" i="1"/>
  <c r="I10123" i="1"/>
  <c r="J10123" i="1"/>
  <c r="L10123" i="1"/>
  <c r="M10123" i="1"/>
  <c r="C10124" i="1"/>
  <c r="E10124" i="1"/>
  <c r="F10124" i="1"/>
  <c r="H10124" i="1"/>
  <c r="I10124" i="1"/>
  <c r="J10124" i="1"/>
  <c r="L10124" i="1"/>
  <c r="M10124" i="1"/>
  <c r="C10125" i="1"/>
  <c r="E10125" i="1"/>
  <c r="F10125" i="1"/>
  <c r="H10125" i="1"/>
  <c r="I10125" i="1"/>
  <c r="J10125" i="1"/>
  <c r="L10125" i="1"/>
  <c r="M10125" i="1"/>
  <c r="C10126" i="1"/>
  <c r="E10126" i="1"/>
  <c r="F10126" i="1"/>
  <c r="H10126" i="1"/>
  <c r="I10126" i="1"/>
  <c r="J10126" i="1"/>
  <c r="L10126" i="1"/>
  <c r="M10126" i="1"/>
  <c r="C10127" i="1"/>
  <c r="E10127" i="1"/>
  <c r="F10127" i="1"/>
  <c r="H10127" i="1"/>
  <c r="I10127" i="1"/>
  <c r="J10127" i="1"/>
  <c r="L10127" i="1"/>
  <c r="M10127" i="1"/>
  <c r="C10128" i="1"/>
  <c r="E10128" i="1"/>
  <c r="F10128" i="1"/>
  <c r="H10128" i="1"/>
  <c r="I10128" i="1"/>
  <c r="J10128" i="1"/>
  <c r="L10128" i="1"/>
  <c r="M10128" i="1"/>
  <c r="C10129" i="1"/>
  <c r="E10129" i="1"/>
  <c r="F10129" i="1"/>
  <c r="H10129" i="1"/>
  <c r="I10129" i="1"/>
  <c r="J10129" i="1"/>
  <c r="L10129" i="1"/>
  <c r="M10129" i="1"/>
  <c r="C10130" i="1"/>
  <c r="E10130" i="1"/>
  <c r="F10130" i="1"/>
  <c r="H10130" i="1"/>
  <c r="I10130" i="1"/>
  <c r="J10130" i="1"/>
  <c r="L10130" i="1"/>
  <c r="M10130" i="1"/>
  <c r="C10131" i="1"/>
  <c r="E10131" i="1"/>
  <c r="F10131" i="1"/>
  <c r="H10131" i="1"/>
  <c r="I10131" i="1"/>
  <c r="J10131" i="1"/>
  <c r="L10131" i="1"/>
  <c r="M10131" i="1"/>
  <c r="C10132" i="1"/>
  <c r="E10132" i="1"/>
  <c r="F10132" i="1"/>
  <c r="H10132" i="1"/>
  <c r="I10132" i="1"/>
  <c r="J10132" i="1"/>
  <c r="L10132" i="1"/>
  <c r="M10132" i="1"/>
  <c r="C10133" i="1"/>
  <c r="E10133" i="1"/>
  <c r="F10133" i="1"/>
  <c r="H10133" i="1"/>
  <c r="I10133" i="1"/>
  <c r="J10133" i="1"/>
  <c r="L10133" i="1"/>
  <c r="M10133" i="1"/>
  <c r="C10134" i="1"/>
  <c r="E10134" i="1"/>
  <c r="F10134" i="1"/>
  <c r="H10134" i="1"/>
  <c r="I10134" i="1"/>
  <c r="J10134" i="1"/>
  <c r="L10134" i="1"/>
  <c r="M10134" i="1"/>
  <c r="C10135" i="1"/>
  <c r="E10135" i="1"/>
  <c r="F10135" i="1"/>
  <c r="H10135" i="1"/>
  <c r="I10135" i="1"/>
  <c r="J10135" i="1"/>
  <c r="L10135" i="1"/>
  <c r="M10135" i="1"/>
  <c r="C10136" i="1"/>
  <c r="E10136" i="1"/>
  <c r="F10136" i="1"/>
  <c r="H10136" i="1"/>
  <c r="I10136" i="1"/>
  <c r="J10136" i="1"/>
  <c r="L10136" i="1"/>
  <c r="M10136" i="1"/>
  <c r="C10137" i="1"/>
  <c r="E10137" i="1"/>
  <c r="F10137" i="1"/>
  <c r="H10137" i="1"/>
  <c r="I10137" i="1"/>
  <c r="J10137" i="1"/>
  <c r="L10137" i="1"/>
  <c r="M10137" i="1"/>
  <c r="C10138" i="1"/>
  <c r="E10138" i="1"/>
  <c r="F10138" i="1"/>
  <c r="H10138" i="1"/>
  <c r="I10138" i="1"/>
  <c r="J10138" i="1"/>
  <c r="L10138" i="1"/>
  <c r="M10138" i="1"/>
  <c r="C10139" i="1"/>
  <c r="E10139" i="1"/>
  <c r="F10139" i="1"/>
  <c r="H10139" i="1"/>
  <c r="I10139" i="1"/>
  <c r="J10139" i="1"/>
  <c r="L10139" i="1"/>
  <c r="M10139" i="1"/>
  <c r="C10140" i="1"/>
  <c r="E10140" i="1"/>
  <c r="F10140" i="1"/>
  <c r="H10140" i="1"/>
  <c r="I10140" i="1"/>
  <c r="J10140" i="1"/>
  <c r="L10140" i="1"/>
  <c r="M10140" i="1"/>
  <c r="C10141" i="1"/>
  <c r="E10141" i="1"/>
  <c r="F10141" i="1"/>
  <c r="H10141" i="1"/>
  <c r="I10141" i="1"/>
  <c r="J10141" i="1"/>
  <c r="L10141" i="1"/>
  <c r="M10141" i="1"/>
  <c r="C10142" i="1"/>
  <c r="E10142" i="1"/>
  <c r="F10142" i="1"/>
  <c r="H10142" i="1"/>
  <c r="I10142" i="1"/>
  <c r="J10142" i="1"/>
  <c r="L10142" i="1"/>
  <c r="M10142" i="1"/>
  <c r="C10143" i="1"/>
  <c r="E10143" i="1"/>
  <c r="F10143" i="1"/>
  <c r="H10143" i="1"/>
  <c r="I10143" i="1"/>
  <c r="J10143" i="1"/>
  <c r="L10143" i="1"/>
  <c r="M10143" i="1"/>
  <c r="C10144" i="1"/>
  <c r="E10144" i="1"/>
  <c r="F10144" i="1"/>
  <c r="H10144" i="1"/>
  <c r="I10144" i="1"/>
  <c r="J10144" i="1"/>
  <c r="L10144" i="1"/>
  <c r="M10144" i="1"/>
  <c r="C10145" i="1"/>
  <c r="E10145" i="1"/>
  <c r="F10145" i="1"/>
  <c r="H10145" i="1"/>
  <c r="I10145" i="1"/>
  <c r="J10145" i="1"/>
  <c r="L10145" i="1"/>
  <c r="M10145" i="1"/>
  <c r="C10146" i="1"/>
  <c r="E10146" i="1"/>
  <c r="F10146" i="1"/>
  <c r="H10146" i="1"/>
  <c r="I10146" i="1"/>
  <c r="J10146" i="1"/>
  <c r="L10146" i="1"/>
  <c r="M10146" i="1"/>
  <c r="C10147" i="1"/>
  <c r="E10147" i="1"/>
  <c r="F10147" i="1"/>
  <c r="H10147" i="1"/>
  <c r="I10147" i="1"/>
  <c r="J10147" i="1"/>
  <c r="L10147" i="1"/>
  <c r="M10147" i="1"/>
  <c r="C10148" i="1"/>
  <c r="E10148" i="1"/>
  <c r="F10148" i="1"/>
  <c r="H10148" i="1"/>
  <c r="I10148" i="1"/>
  <c r="J10148" i="1"/>
  <c r="L10148" i="1"/>
  <c r="M10148" i="1"/>
  <c r="C10149" i="1"/>
  <c r="E10149" i="1"/>
  <c r="F10149" i="1"/>
  <c r="H10149" i="1"/>
  <c r="I10149" i="1"/>
  <c r="J10149" i="1"/>
  <c r="L10149" i="1"/>
  <c r="M10149" i="1"/>
  <c r="C10150" i="1"/>
  <c r="E10150" i="1"/>
  <c r="F10150" i="1"/>
  <c r="H10150" i="1"/>
  <c r="I10150" i="1"/>
  <c r="J10150" i="1"/>
  <c r="L10150" i="1"/>
  <c r="M10150" i="1"/>
  <c r="C10151" i="1"/>
  <c r="E10151" i="1"/>
  <c r="F10151" i="1"/>
  <c r="H10151" i="1"/>
  <c r="I10151" i="1"/>
  <c r="J10151" i="1"/>
  <c r="L10151" i="1"/>
  <c r="M10151" i="1"/>
  <c r="C10152" i="1"/>
  <c r="E10152" i="1"/>
  <c r="F10152" i="1"/>
  <c r="H10152" i="1"/>
  <c r="I10152" i="1"/>
  <c r="J10152" i="1"/>
  <c r="L10152" i="1"/>
  <c r="M10152" i="1"/>
  <c r="C10153" i="1"/>
  <c r="E10153" i="1"/>
  <c r="F10153" i="1"/>
  <c r="H10153" i="1"/>
  <c r="I10153" i="1"/>
  <c r="J10153" i="1"/>
  <c r="L10153" i="1"/>
  <c r="M10153" i="1"/>
  <c r="C10154" i="1"/>
  <c r="E10154" i="1"/>
  <c r="F10154" i="1"/>
  <c r="H10154" i="1"/>
  <c r="I10154" i="1"/>
  <c r="J10154" i="1"/>
  <c r="L10154" i="1"/>
  <c r="M10154" i="1"/>
  <c r="C10155" i="1"/>
  <c r="E10155" i="1"/>
  <c r="F10155" i="1"/>
  <c r="H10155" i="1"/>
  <c r="I10155" i="1"/>
  <c r="J10155" i="1"/>
  <c r="L10155" i="1"/>
  <c r="M10155" i="1"/>
  <c r="C10156" i="1"/>
  <c r="E10156" i="1"/>
  <c r="F10156" i="1"/>
  <c r="H10156" i="1"/>
  <c r="I10156" i="1"/>
  <c r="J10156" i="1"/>
  <c r="L10156" i="1"/>
  <c r="M10156" i="1"/>
  <c r="C10157" i="1"/>
  <c r="E10157" i="1"/>
  <c r="F10157" i="1"/>
  <c r="H10157" i="1"/>
  <c r="I10157" i="1"/>
  <c r="J10157" i="1"/>
  <c r="L10157" i="1"/>
  <c r="M10157" i="1"/>
  <c r="C10158" i="1"/>
  <c r="E10158" i="1"/>
  <c r="F10158" i="1"/>
  <c r="H10158" i="1"/>
  <c r="I10158" i="1"/>
  <c r="J10158" i="1"/>
  <c r="L10158" i="1"/>
  <c r="M10158" i="1"/>
  <c r="C10159" i="1"/>
  <c r="E10159" i="1"/>
  <c r="F10159" i="1"/>
  <c r="H10159" i="1"/>
  <c r="I10159" i="1"/>
  <c r="J10159" i="1"/>
  <c r="L10159" i="1"/>
  <c r="M10159" i="1"/>
  <c r="C10160" i="1"/>
  <c r="E10160" i="1"/>
  <c r="F10160" i="1"/>
  <c r="H10160" i="1"/>
  <c r="I10160" i="1"/>
  <c r="J10160" i="1"/>
  <c r="L10160" i="1"/>
  <c r="M10160" i="1"/>
  <c r="C10161" i="1"/>
  <c r="E10161" i="1"/>
  <c r="F10161" i="1"/>
  <c r="H10161" i="1"/>
  <c r="I10161" i="1"/>
  <c r="J10161" i="1"/>
  <c r="L10161" i="1"/>
  <c r="M10161" i="1"/>
  <c r="C10162" i="1"/>
  <c r="E10162" i="1"/>
  <c r="F10162" i="1"/>
  <c r="H10162" i="1"/>
  <c r="I10162" i="1"/>
  <c r="J10162" i="1"/>
  <c r="L10162" i="1"/>
  <c r="M10162" i="1"/>
  <c r="C10163" i="1"/>
  <c r="E10163" i="1"/>
  <c r="F10163" i="1"/>
  <c r="H10163" i="1"/>
  <c r="I10163" i="1"/>
  <c r="J10163" i="1"/>
  <c r="L10163" i="1"/>
  <c r="M10163" i="1"/>
  <c r="C10164" i="1"/>
  <c r="E10164" i="1"/>
  <c r="F10164" i="1"/>
  <c r="H10164" i="1"/>
  <c r="I10164" i="1"/>
  <c r="J10164" i="1"/>
  <c r="L10164" i="1"/>
  <c r="M10164" i="1"/>
  <c r="C10165" i="1"/>
  <c r="E10165" i="1"/>
  <c r="F10165" i="1"/>
  <c r="H10165" i="1"/>
  <c r="I10165" i="1"/>
  <c r="J10165" i="1"/>
  <c r="L10165" i="1"/>
  <c r="M10165" i="1"/>
  <c r="C10166" i="1"/>
  <c r="E10166" i="1"/>
  <c r="F10166" i="1"/>
  <c r="H10166" i="1"/>
  <c r="I10166" i="1"/>
  <c r="J10166" i="1"/>
  <c r="L10166" i="1"/>
  <c r="M10166" i="1"/>
  <c r="C10167" i="1"/>
  <c r="E10167" i="1"/>
  <c r="F10167" i="1"/>
  <c r="H10167" i="1"/>
  <c r="I10167" i="1"/>
  <c r="J10167" i="1"/>
  <c r="L10167" i="1"/>
  <c r="M10167" i="1"/>
  <c r="C10168" i="1"/>
  <c r="E10168" i="1"/>
  <c r="F10168" i="1"/>
  <c r="H10168" i="1"/>
  <c r="I10168" i="1"/>
  <c r="J10168" i="1"/>
  <c r="L10168" i="1"/>
  <c r="M10168" i="1"/>
  <c r="C10169" i="1"/>
  <c r="E10169" i="1"/>
  <c r="F10169" i="1"/>
  <c r="H10169" i="1"/>
  <c r="I10169" i="1"/>
  <c r="J10169" i="1"/>
  <c r="L10169" i="1"/>
  <c r="M10169" i="1"/>
  <c r="C10170" i="1"/>
  <c r="E10170" i="1"/>
  <c r="F10170" i="1"/>
  <c r="H10170" i="1"/>
  <c r="I10170" i="1"/>
  <c r="J10170" i="1"/>
  <c r="L10170" i="1"/>
  <c r="M10170" i="1"/>
  <c r="C10171" i="1"/>
  <c r="E10171" i="1"/>
  <c r="F10171" i="1"/>
  <c r="H10171" i="1"/>
  <c r="I10171" i="1"/>
  <c r="J10171" i="1"/>
  <c r="L10171" i="1"/>
  <c r="M10171" i="1"/>
  <c r="C10172" i="1"/>
  <c r="E10172" i="1"/>
  <c r="F10172" i="1"/>
  <c r="H10172" i="1"/>
  <c r="I10172" i="1"/>
  <c r="J10172" i="1"/>
  <c r="L10172" i="1"/>
  <c r="M10172" i="1"/>
  <c r="C10173" i="1"/>
  <c r="E10173" i="1"/>
  <c r="F10173" i="1"/>
  <c r="H10173" i="1"/>
  <c r="I10173" i="1"/>
  <c r="J10173" i="1"/>
  <c r="L10173" i="1"/>
  <c r="M10173" i="1"/>
  <c r="C10174" i="1"/>
  <c r="E10174" i="1"/>
  <c r="F10174" i="1"/>
  <c r="H10174" i="1"/>
  <c r="I10174" i="1"/>
  <c r="J10174" i="1"/>
  <c r="L10174" i="1"/>
  <c r="M10174" i="1"/>
  <c r="C10175" i="1"/>
  <c r="E10175" i="1"/>
  <c r="F10175" i="1"/>
  <c r="H10175" i="1"/>
  <c r="I10175" i="1"/>
  <c r="J10175" i="1"/>
  <c r="L10175" i="1"/>
  <c r="M10175" i="1"/>
  <c r="C10176" i="1"/>
  <c r="E10176" i="1"/>
  <c r="F10176" i="1"/>
  <c r="H10176" i="1"/>
  <c r="I10176" i="1"/>
  <c r="J10176" i="1"/>
  <c r="L10176" i="1"/>
  <c r="M10176" i="1"/>
  <c r="C10177" i="1"/>
  <c r="E10177" i="1"/>
  <c r="F10177" i="1"/>
  <c r="H10177" i="1"/>
  <c r="I10177" i="1"/>
  <c r="J10177" i="1"/>
  <c r="L10177" i="1"/>
  <c r="M10177" i="1"/>
  <c r="C10178" i="1"/>
  <c r="E10178" i="1"/>
  <c r="F10178" i="1"/>
  <c r="H10178" i="1"/>
  <c r="I10178" i="1"/>
  <c r="J10178" i="1"/>
  <c r="L10178" i="1"/>
  <c r="M10178" i="1"/>
  <c r="C10179" i="1"/>
  <c r="E10179" i="1"/>
  <c r="F10179" i="1"/>
  <c r="H10179" i="1"/>
  <c r="I10179" i="1"/>
  <c r="J10179" i="1"/>
  <c r="L10179" i="1"/>
  <c r="M10179" i="1"/>
  <c r="C10180" i="1"/>
  <c r="E10180" i="1"/>
  <c r="F10180" i="1"/>
  <c r="H10180" i="1"/>
  <c r="I10180" i="1"/>
  <c r="J10180" i="1"/>
  <c r="L10180" i="1"/>
  <c r="M10180" i="1"/>
  <c r="C10181" i="1"/>
  <c r="E10181" i="1"/>
  <c r="F10181" i="1"/>
  <c r="H10181" i="1"/>
  <c r="I10181" i="1"/>
  <c r="J10181" i="1"/>
  <c r="L10181" i="1"/>
  <c r="M10181" i="1"/>
  <c r="C10182" i="1"/>
  <c r="E10182" i="1"/>
  <c r="F10182" i="1"/>
  <c r="H10182" i="1"/>
  <c r="I10182" i="1"/>
  <c r="J10182" i="1"/>
  <c r="L10182" i="1"/>
  <c r="M10182" i="1"/>
  <c r="C10183" i="1"/>
  <c r="E10183" i="1"/>
  <c r="F10183" i="1"/>
  <c r="H10183" i="1"/>
  <c r="I10183" i="1"/>
  <c r="J10183" i="1"/>
  <c r="L10183" i="1"/>
  <c r="M10183" i="1"/>
  <c r="C10184" i="1"/>
  <c r="E10184" i="1"/>
  <c r="F10184" i="1"/>
  <c r="H10184" i="1"/>
  <c r="I10184" i="1"/>
  <c r="J10184" i="1"/>
  <c r="L10184" i="1"/>
  <c r="M10184" i="1"/>
  <c r="C10185" i="1"/>
  <c r="E10185" i="1"/>
  <c r="F10185" i="1"/>
  <c r="H10185" i="1"/>
  <c r="I10185" i="1"/>
  <c r="J10185" i="1"/>
  <c r="L10185" i="1"/>
  <c r="M10185" i="1"/>
  <c r="C10186" i="1"/>
  <c r="E10186" i="1"/>
  <c r="F10186" i="1"/>
  <c r="H10186" i="1"/>
  <c r="I10186" i="1"/>
  <c r="J10186" i="1"/>
  <c r="L10186" i="1"/>
  <c r="M10186" i="1"/>
  <c r="C10187" i="1"/>
  <c r="E10187" i="1"/>
  <c r="F10187" i="1"/>
  <c r="H10187" i="1"/>
  <c r="I10187" i="1"/>
  <c r="J10187" i="1"/>
  <c r="L10187" i="1"/>
  <c r="M10187" i="1"/>
  <c r="C10188" i="1"/>
  <c r="E10188" i="1"/>
  <c r="F10188" i="1"/>
  <c r="H10188" i="1"/>
  <c r="I10188" i="1"/>
  <c r="J10188" i="1"/>
  <c r="L10188" i="1"/>
  <c r="M10188" i="1"/>
  <c r="C10189" i="1"/>
  <c r="E10189" i="1"/>
  <c r="F10189" i="1"/>
  <c r="H10189" i="1"/>
  <c r="I10189" i="1"/>
  <c r="J10189" i="1"/>
  <c r="L10189" i="1"/>
  <c r="M10189" i="1"/>
  <c r="C10190" i="1"/>
  <c r="E10190" i="1"/>
  <c r="F10190" i="1"/>
  <c r="H10190" i="1"/>
  <c r="I10190" i="1"/>
  <c r="J10190" i="1"/>
  <c r="L10190" i="1"/>
  <c r="M10190" i="1"/>
  <c r="C10191" i="1"/>
  <c r="E10191" i="1"/>
  <c r="F10191" i="1"/>
  <c r="H10191" i="1"/>
  <c r="I10191" i="1"/>
  <c r="J10191" i="1"/>
  <c r="L10191" i="1"/>
  <c r="M10191" i="1"/>
  <c r="C10192" i="1"/>
  <c r="E10192" i="1"/>
  <c r="F10192" i="1"/>
  <c r="H10192" i="1"/>
  <c r="I10192" i="1"/>
  <c r="J10192" i="1"/>
  <c r="L10192" i="1"/>
  <c r="M10192" i="1"/>
  <c r="C10193" i="1"/>
  <c r="E10193" i="1"/>
  <c r="F10193" i="1"/>
  <c r="H10193" i="1"/>
  <c r="I10193" i="1"/>
  <c r="J10193" i="1"/>
  <c r="L10193" i="1"/>
  <c r="M10193" i="1"/>
  <c r="C10194" i="1"/>
  <c r="E10194" i="1"/>
  <c r="F10194" i="1"/>
  <c r="H10194" i="1"/>
  <c r="I10194" i="1"/>
  <c r="J10194" i="1"/>
  <c r="L10194" i="1"/>
  <c r="M10194" i="1"/>
  <c r="C10195" i="1"/>
  <c r="E10195" i="1"/>
  <c r="F10195" i="1"/>
  <c r="H10195" i="1"/>
  <c r="I10195" i="1"/>
  <c r="J10195" i="1"/>
  <c r="L10195" i="1"/>
  <c r="M10195" i="1"/>
  <c r="C10196" i="1"/>
  <c r="E10196" i="1"/>
  <c r="F10196" i="1"/>
  <c r="H10196" i="1"/>
  <c r="I10196" i="1"/>
  <c r="J10196" i="1"/>
  <c r="L10196" i="1"/>
  <c r="M10196" i="1"/>
  <c r="C10197" i="1"/>
  <c r="E10197" i="1"/>
  <c r="F10197" i="1"/>
  <c r="H10197" i="1"/>
  <c r="I10197" i="1"/>
  <c r="J10197" i="1"/>
  <c r="L10197" i="1"/>
  <c r="M10197" i="1"/>
  <c r="C10198" i="1"/>
  <c r="E10198" i="1"/>
  <c r="F10198" i="1"/>
  <c r="H10198" i="1"/>
  <c r="I10198" i="1"/>
  <c r="J10198" i="1"/>
  <c r="L10198" i="1"/>
  <c r="M10198" i="1"/>
  <c r="C10199" i="1"/>
  <c r="E10199" i="1"/>
  <c r="F10199" i="1"/>
  <c r="H10199" i="1"/>
  <c r="I10199" i="1"/>
  <c r="J10199" i="1"/>
  <c r="L10199" i="1"/>
  <c r="M10199" i="1"/>
  <c r="C10200" i="1"/>
  <c r="E10200" i="1"/>
  <c r="F10200" i="1"/>
  <c r="H10200" i="1"/>
  <c r="I10200" i="1"/>
  <c r="J10200" i="1"/>
  <c r="L10200" i="1"/>
  <c r="M10200" i="1"/>
  <c r="C10201" i="1"/>
  <c r="E10201" i="1"/>
  <c r="F10201" i="1"/>
  <c r="H10201" i="1"/>
  <c r="I10201" i="1"/>
  <c r="J10201" i="1"/>
  <c r="L10201" i="1"/>
  <c r="M10201" i="1"/>
  <c r="C10202" i="1"/>
  <c r="E10202" i="1"/>
  <c r="F10202" i="1"/>
  <c r="H10202" i="1"/>
  <c r="I10202" i="1"/>
  <c r="J10202" i="1"/>
  <c r="L10202" i="1"/>
  <c r="M10202" i="1"/>
  <c r="C10203" i="1"/>
  <c r="E10203" i="1"/>
  <c r="F10203" i="1"/>
  <c r="H10203" i="1"/>
  <c r="I10203" i="1"/>
  <c r="J10203" i="1"/>
  <c r="L10203" i="1"/>
  <c r="M10203" i="1"/>
  <c r="C10204" i="1"/>
  <c r="E10204" i="1"/>
  <c r="F10204" i="1"/>
  <c r="H10204" i="1"/>
  <c r="I10204" i="1"/>
  <c r="J10204" i="1"/>
  <c r="L10204" i="1"/>
  <c r="M10204" i="1"/>
  <c r="C10205" i="1"/>
  <c r="E10205" i="1"/>
  <c r="F10205" i="1"/>
  <c r="H10205" i="1"/>
  <c r="I10205" i="1"/>
  <c r="J10205" i="1"/>
  <c r="L10205" i="1"/>
  <c r="M10205" i="1"/>
  <c r="C10206" i="1"/>
  <c r="E10206" i="1"/>
  <c r="F10206" i="1"/>
  <c r="H10206" i="1"/>
  <c r="I10206" i="1"/>
  <c r="J10206" i="1"/>
  <c r="L10206" i="1"/>
  <c r="M10206" i="1"/>
  <c r="C10207" i="1"/>
  <c r="E10207" i="1"/>
  <c r="F10207" i="1"/>
  <c r="H10207" i="1"/>
  <c r="I10207" i="1"/>
  <c r="J10207" i="1"/>
  <c r="L10207" i="1"/>
  <c r="M10207" i="1"/>
  <c r="C10208" i="1"/>
  <c r="E10208" i="1"/>
  <c r="F10208" i="1"/>
  <c r="H10208" i="1"/>
  <c r="I10208" i="1"/>
  <c r="J10208" i="1"/>
  <c r="L10208" i="1"/>
  <c r="M10208" i="1"/>
  <c r="C10209" i="1"/>
  <c r="E10209" i="1"/>
  <c r="F10209" i="1"/>
  <c r="H10209" i="1"/>
  <c r="I10209" i="1"/>
  <c r="J10209" i="1"/>
  <c r="L10209" i="1"/>
  <c r="M10209" i="1"/>
  <c r="C10210" i="1"/>
  <c r="E10210" i="1"/>
  <c r="F10210" i="1"/>
  <c r="H10210" i="1"/>
  <c r="I10210" i="1"/>
  <c r="J10210" i="1"/>
  <c r="L10210" i="1"/>
  <c r="M10210" i="1"/>
  <c r="C10211" i="1"/>
  <c r="E10211" i="1"/>
  <c r="F10211" i="1"/>
  <c r="H10211" i="1"/>
  <c r="I10211" i="1"/>
  <c r="J10211" i="1"/>
  <c r="L10211" i="1"/>
  <c r="M10211" i="1"/>
  <c r="C10212" i="1"/>
  <c r="E10212" i="1"/>
  <c r="F10212" i="1"/>
  <c r="H10212" i="1"/>
  <c r="I10212" i="1"/>
  <c r="J10212" i="1"/>
  <c r="L10212" i="1"/>
  <c r="M10212" i="1"/>
  <c r="C10213" i="1"/>
  <c r="E10213" i="1"/>
  <c r="F10213" i="1"/>
  <c r="H10213" i="1"/>
  <c r="I10213" i="1"/>
  <c r="J10213" i="1"/>
  <c r="L10213" i="1"/>
  <c r="M10213" i="1"/>
  <c r="C10214" i="1"/>
  <c r="E10214" i="1"/>
  <c r="F10214" i="1"/>
  <c r="H10214" i="1"/>
  <c r="I10214" i="1"/>
  <c r="J10214" i="1"/>
  <c r="L10214" i="1"/>
  <c r="M10214" i="1"/>
  <c r="C10215" i="1"/>
  <c r="E10215" i="1"/>
  <c r="F10215" i="1"/>
  <c r="H10215" i="1"/>
  <c r="I10215" i="1"/>
  <c r="J10215" i="1"/>
  <c r="L10215" i="1"/>
  <c r="M10215" i="1"/>
  <c r="C10216" i="1"/>
  <c r="E10216" i="1"/>
  <c r="F10216" i="1"/>
  <c r="H10216" i="1"/>
  <c r="I10216" i="1"/>
  <c r="J10216" i="1"/>
  <c r="L10216" i="1"/>
  <c r="M10216" i="1"/>
  <c r="C10217" i="1"/>
  <c r="E10217" i="1"/>
  <c r="F10217" i="1"/>
  <c r="H10217" i="1"/>
  <c r="I10217" i="1"/>
  <c r="J10217" i="1"/>
  <c r="L10217" i="1"/>
  <c r="M10217" i="1"/>
  <c r="C10218" i="1"/>
  <c r="E10218" i="1"/>
  <c r="F10218" i="1"/>
  <c r="H10218" i="1"/>
  <c r="I10218" i="1"/>
  <c r="J10218" i="1"/>
  <c r="L10218" i="1"/>
  <c r="M10218" i="1"/>
  <c r="C10219" i="1"/>
  <c r="E10219" i="1"/>
  <c r="F10219" i="1"/>
  <c r="H10219" i="1"/>
  <c r="I10219" i="1"/>
  <c r="J10219" i="1"/>
  <c r="L10219" i="1"/>
  <c r="M10219" i="1"/>
  <c r="C10220" i="1"/>
  <c r="E10220" i="1"/>
  <c r="F10220" i="1"/>
  <c r="H10220" i="1"/>
  <c r="I10220" i="1"/>
  <c r="J10220" i="1"/>
  <c r="L10220" i="1"/>
  <c r="M10220" i="1"/>
  <c r="C10221" i="1"/>
  <c r="E10221" i="1"/>
  <c r="F10221" i="1"/>
  <c r="H10221" i="1"/>
  <c r="I10221" i="1"/>
  <c r="J10221" i="1"/>
  <c r="L10221" i="1"/>
  <c r="M10221" i="1"/>
  <c r="C10222" i="1"/>
  <c r="E10222" i="1"/>
  <c r="F10222" i="1"/>
  <c r="H10222" i="1"/>
  <c r="I10222" i="1"/>
  <c r="J10222" i="1"/>
  <c r="L10222" i="1"/>
  <c r="M10222" i="1"/>
  <c r="C10223" i="1"/>
  <c r="E10223" i="1"/>
  <c r="F10223" i="1"/>
  <c r="H10223" i="1"/>
  <c r="I10223" i="1"/>
  <c r="J10223" i="1"/>
  <c r="L10223" i="1"/>
  <c r="M10223" i="1"/>
  <c r="C10224" i="1"/>
  <c r="E10224" i="1"/>
  <c r="F10224" i="1"/>
  <c r="H10224" i="1"/>
  <c r="I10224" i="1"/>
  <c r="J10224" i="1"/>
  <c r="L10224" i="1"/>
  <c r="M10224" i="1"/>
  <c r="C10225" i="1"/>
  <c r="E10225" i="1"/>
  <c r="F10225" i="1"/>
  <c r="H10225" i="1"/>
  <c r="I10225" i="1"/>
  <c r="J10225" i="1"/>
  <c r="L10225" i="1"/>
  <c r="M10225" i="1"/>
  <c r="C10226" i="1"/>
  <c r="E10226" i="1"/>
  <c r="F10226" i="1"/>
  <c r="H10226" i="1"/>
  <c r="I10226" i="1"/>
  <c r="J10226" i="1"/>
  <c r="L10226" i="1"/>
  <c r="M10226" i="1"/>
  <c r="C10227" i="1"/>
  <c r="E10227" i="1"/>
  <c r="F10227" i="1"/>
  <c r="H10227" i="1"/>
  <c r="I10227" i="1"/>
  <c r="J10227" i="1"/>
  <c r="L10227" i="1"/>
  <c r="M10227" i="1"/>
  <c r="C10228" i="1"/>
  <c r="E10228" i="1"/>
  <c r="F10228" i="1"/>
  <c r="H10228" i="1"/>
  <c r="I10228" i="1"/>
  <c r="J10228" i="1"/>
  <c r="L10228" i="1"/>
  <c r="M10228" i="1"/>
  <c r="C10229" i="1"/>
  <c r="E10229" i="1"/>
  <c r="F10229" i="1"/>
  <c r="H10229" i="1"/>
  <c r="I10229" i="1"/>
  <c r="J10229" i="1"/>
  <c r="L10229" i="1"/>
  <c r="M10229" i="1"/>
  <c r="C10230" i="1"/>
  <c r="E10230" i="1"/>
  <c r="F10230" i="1"/>
  <c r="H10230" i="1"/>
  <c r="I10230" i="1"/>
  <c r="J10230" i="1"/>
  <c r="L10230" i="1"/>
  <c r="M10230" i="1"/>
  <c r="C10231" i="1"/>
  <c r="E10231" i="1"/>
  <c r="F10231" i="1"/>
  <c r="H10231" i="1"/>
  <c r="I10231" i="1"/>
  <c r="J10231" i="1"/>
  <c r="L10231" i="1"/>
  <c r="M10231" i="1"/>
  <c r="C10232" i="1"/>
  <c r="E10232" i="1"/>
  <c r="F10232" i="1"/>
  <c r="H10232" i="1"/>
  <c r="I10232" i="1"/>
  <c r="J10232" i="1"/>
  <c r="L10232" i="1"/>
  <c r="M10232" i="1"/>
  <c r="C10233" i="1"/>
  <c r="E10233" i="1"/>
  <c r="F10233" i="1"/>
  <c r="H10233" i="1"/>
  <c r="I10233" i="1"/>
  <c r="J10233" i="1"/>
  <c r="L10233" i="1"/>
  <c r="M10233" i="1"/>
  <c r="C10234" i="1"/>
  <c r="E10234" i="1"/>
  <c r="F10234" i="1"/>
  <c r="H10234" i="1"/>
  <c r="I10234" i="1"/>
  <c r="J10234" i="1"/>
  <c r="L10234" i="1"/>
  <c r="M10234" i="1"/>
  <c r="C10235" i="1"/>
  <c r="E10235" i="1"/>
  <c r="F10235" i="1"/>
  <c r="H10235" i="1"/>
  <c r="I10235" i="1"/>
  <c r="J10235" i="1"/>
  <c r="L10235" i="1"/>
  <c r="M10235" i="1"/>
  <c r="C10236" i="1"/>
  <c r="E10236" i="1"/>
  <c r="F10236" i="1"/>
  <c r="H10236" i="1"/>
  <c r="I10236" i="1"/>
  <c r="J10236" i="1"/>
  <c r="L10236" i="1"/>
  <c r="M10236" i="1"/>
  <c r="C10237" i="1"/>
  <c r="E10237" i="1"/>
  <c r="F10237" i="1"/>
  <c r="H10237" i="1"/>
  <c r="I10237" i="1"/>
  <c r="J10237" i="1"/>
  <c r="L10237" i="1"/>
  <c r="M10237" i="1"/>
  <c r="C10238" i="1"/>
  <c r="E10238" i="1"/>
  <c r="F10238" i="1"/>
  <c r="H10238" i="1"/>
  <c r="I10238" i="1"/>
  <c r="J10238" i="1"/>
  <c r="L10238" i="1"/>
  <c r="M10238" i="1"/>
  <c r="C10239" i="1"/>
  <c r="E10239" i="1"/>
  <c r="F10239" i="1"/>
  <c r="H10239" i="1"/>
  <c r="I10239" i="1"/>
  <c r="J10239" i="1"/>
  <c r="L10239" i="1"/>
  <c r="M10239" i="1"/>
  <c r="C10240" i="1"/>
  <c r="E10240" i="1"/>
  <c r="F10240" i="1"/>
  <c r="H10240" i="1"/>
  <c r="I10240" i="1"/>
  <c r="J10240" i="1"/>
  <c r="L10240" i="1"/>
  <c r="M10240" i="1"/>
  <c r="C10241" i="1"/>
  <c r="E10241" i="1"/>
  <c r="F10241" i="1"/>
  <c r="H10241" i="1"/>
  <c r="I10241" i="1"/>
  <c r="J10241" i="1"/>
  <c r="L10241" i="1"/>
  <c r="M10241" i="1"/>
  <c r="C10242" i="1"/>
  <c r="E10242" i="1"/>
  <c r="F10242" i="1"/>
  <c r="H10242" i="1"/>
  <c r="I10242" i="1"/>
  <c r="J10242" i="1"/>
  <c r="L10242" i="1"/>
  <c r="M10242" i="1"/>
  <c r="C10243" i="1"/>
  <c r="E10243" i="1"/>
  <c r="F10243" i="1"/>
  <c r="H10243" i="1"/>
  <c r="I10243" i="1"/>
  <c r="J10243" i="1"/>
  <c r="L10243" i="1"/>
  <c r="M10243" i="1"/>
  <c r="C10244" i="1"/>
  <c r="E10244" i="1"/>
  <c r="F10244" i="1"/>
  <c r="H10244" i="1"/>
  <c r="I10244" i="1"/>
  <c r="J10244" i="1"/>
  <c r="L10244" i="1"/>
  <c r="M10244" i="1"/>
  <c r="C10245" i="1"/>
  <c r="E10245" i="1"/>
  <c r="F10245" i="1"/>
  <c r="H10245" i="1"/>
  <c r="I10245" i="1"/>
  <c r="J10245" i="1"/>
  <c r="L10245" i="1"/>
  <c r="M10245" i="1"/>
  <c r="C10246" i="1"/>
  <c r="E10246" i="1"/>
  <c r="F10246" i="1"/>
  <c r="H10246" i="1"/>
  <c r="I10246" i="1"/>
  <c r="J10246" i="1"/>
  <c r="L10246" i="1"/>
  <c r="M10246" i="1"/>
  <c r="C10247" i="1"/>
  <c r="E10247" i="1"/>
  <c r="F10247" i="1"/>
  <c r="H10247" i="1"/>
  <c r="I10247" i="1"/>
  <c r="J10247" i="1"/>
  <c r="L10247" i="1"/>
  <c r="M10247" i="1"/>
  <c r="C10248" i="1"/>
  <c r="E10248" i="1"/>
  <c r="F10248" i="1"/>
  <c r="H10248" i="1"/>
  <c r="I10248" i="1"/>
  <c r="J10248" i="1"/>
  <c r="L10248" i="1"/>
  <c r="M10248" i="1"/>
  <c r="C10249" i="1"/>
  <c r="E10249" i="1"/>
  <c r="F10249" i="1"/>
  <c r="H10249" i="1"/>
  <c r="I10249" i="1"/>
  <c r="J10249" i="1"/>
  <c r="L10249" i="1"/>
  <c r="M10249" i="1"/>
  <c r="C10250" i="1"/>
  <c r="E10250" i="1"/>
  <c r="F10250" i="1"/>
  <c r="H10250" i="1"/>
  <c r="I10250" i="1"/>
  <c r="J10250" i="1"/>
  <c r="L10250" i="1"/>
  <c r="M10250" i="1"/>
  <c r="C10251" i="1"/>
  <c r="E10251" i="1"/>
  <c r="F10251" i="1"/>
  <c r="H10251" i="1"/>
  <c r="I10251" i="1"/>
  <c r="J10251" i="1"/>
  <c r="L10251" i="1"/>
  <c r="M10251" i="1"/>
  <c r="C10252" i="1"/>
  <c r="E10252" i="1"/>
  <c r="F10252" i="1"/>
  <c r="H10252" i="1"/>
  <c r="I10252" i="1"/>
  <c r="J10252" i="1"/>
  <c r="L10252" i="1"/>
  <c r="M10252" i="1"/>
  <c r="C10253" i="1"/>
  <c r="E10253" i="1"/>
  <c r="F10253" i="1"/>
  <c r="H10253" i="1"/>
  <c r="I10253" i="1"/>
  <c r="J10253" i="1"/>
  <c r="L10253" i="1"/>
  <c r="M10253" i="1"/>
  <c r="C10254" i="1"/>
  <c r="E10254" i="1"/>
  <c r="F10254" i="1"/>
  <c r="H10254" i="1"/>
  <c r="I10254" i="1"/>
  <c r="J10254" i="1"/>
  <c r="L10254" i="1"/>
  <c r="M10254" i="1"/>
  <c r="C10255" i="1"/>
  <c r="E10255" i="1"/>
  <c r="F10255" i="1"/>
  <c r="H10255" i="1"/>
  <c r="I10255" i="1"/>
  <c r="J10255" i="1"/>
  <c r="L10255" i="1"/>
  <c r="M10255" i="1"/>
  <c r="C10256" i="1"/>
  <c r="E10256" i="1"/>
  <c r="F10256" i="1"/>
  <c r="H10256" i="1"/>
  <c r="I10256" i="1"/>
  <c r="J10256" i="1"/>
  <c r="L10256" i="1"/>
  <c r="M10256" i="1"/>
  <c r="C10257" i="1"/>
  <c r="E10257" i="1"/>
  <c r="F10257" i="1"/>
  <c r="H10257" i="1"/>
  <c r="I10257" i="1"/>
  <c r="J10257" i="1"/>
  <c r="L10257" i="1"/>
  <c r="M10257" i="1"/>
  <c r="C10258" i="1"/>
  <c r="E10258" i="1"/>
  <c r="F10258" i="1"/>
  <c r="H10258" i="1"/>
  <c r="I10258" i="1"/>
  <c r="J10258" i="1"/>
  <c r="L10258" i="1"/>
  <c r="M10258" i="1"/>
  <c r="C10259" i="1"/>
  <c r="E10259" i="1"/>
  <c r="F10259" i="1"/>
  <c r="H10259" i="1"/>
  <c r="I10259" i="1"/>
  <c r="J10259" i="1"/>
  <c r="L10259" i="1"/>
  <c r="M10259" i="1"/>
  <c r="C10260" i="1"/>
  <c r="E10260" i="1"/>
  <c r="F10260" i="1"/>
  <c r="H10260" i="1"/>
  <c r="I10260" i="1"/>
  <c r="J10260" i="1"/>
  <c r="L10260" i="1"/>
  <c r="M10260" i="1"/>
  <c r="C10261" i="1"/>
  <c r="E10261" i="1"/>
  <c r="F10261" i="1"/>
  <c r="H10261" i="1"/>
  <c r="I10261" i="1"/>
  <c r="J10261" i="1"/>
  <c r="L10261" i="1"/>
  <c r="M10261" i="1"/>
  <c r="C10262" i="1"/>
  <c r="E10262" i="1"/>
  <c r="F10262" i="1"/>
  <c r="H10262" i="1"/>
  <c r="I10262" i="1"/>
  <c r="J10262" i="1"/>
  <c r="L10262" i="1"/>
  <c r="M10262" i="1"/>
  <c r="C10263" i="1"/>
  <c r="E10263" i="1"/>
  <c r="F10263" i="1"/>
  <c r="H10263" i="1"/>
  <c r="I10263" i="1"/>
  <c r="J10263" i="1"/>
  <c r="L10263" i="1"/>
  <c r="M10263" i="1"/>
  <c r="C10264" i="1"/>
  <c r="E10264" i="1"/>
  <c r="F10264" i="1"/>
  <c r="H10264" i="1"/>
  <c r="I10264" i="1"/>
  <c r="J10264" i="1"/>
  <c r="L10264" i="1"/>
  <c r="M10264" i="1"/>
  <c r="C10265" i="1"/>
  <c r="E10265" i="1"/>
  <c r="F10265" i="1"/>
  <c r="H10265" i="1"/>
  <c r="I10265" i="1"/>
  <c r="J10265" i="1"/>
  <c r="L10265" i="1"/>
  <c r="M10265" i="1"/>
  <c r="C10266" i="1"/>
  <c r="E10266" i="1"/>
  <c r="F10266" i="1"/>
  <c r="H10266" i="1"/>
  <c r="I10266" i="1"/>
  <c r="J10266" i="1"/>
  <c r="L10266" i="1"/>
  <c r="M10266" i="1"/>
  <c r="C10267" i="1"/>
  <c r="E10267" i="1"/>
  <c r="F10267" i="1"/>
  <c r="H10267" i="1"/>
  <c r="I10267" i="1"/>
  <c r="J10267" i="1"/>
  <c r="L10267" i="1"/>
  <c r="M10267" i="1"/>
  <c r="C10268" i="1"/>
  <c r="E10268" i="1"/>
  <c r="F10268" i="1"/>
  <c r="H10268" i="1"/>
  <c r="I10268" i="1"/>
  <c r="J10268" i="1"/>
  <c r="L10268" i="1"/>
  <c r="M10268" i="1"/>
  <c r="C10269" i="1"/>
  <c r="E10269" i="1"/>
  <c r="F10269" i="1"/>
  <c r="H10269" i="1"/>
  <c r="I10269" i="1"/>
  <c r="J10269" i="1"/>
  <c r="L10269" i="1"/>
  <c r="M10269" i="1"/>
  <c r="C10270" i="1"/>
  <c r="E10270" i="1"/>
  <c r="F10270" i="1"/>
  <c r="H10270" i="1"/>
  <c r="I10270" i="1"/>
  <c r="J10270" i="1"/>
  <c r="L10270" i="1"/>
  <c r="M10270" i="1"/>
  <c r="C10271" i="1"/>
  <c r="E10271" i="1"/>
  <c r="F10271" i="1"/>
  <c r="H10271" i="1"/>
  <c r="I10271" i="1"/>
  <c r="J10271" i="1"/>
  <c r="L10271" i="1"/>
  <c r="M10271" i="1"/>
  <c r="C10272" i="1"/>
  <c r="E10272" i="1"/>
  <c r="F10272" i="1"/>
  <c r="H10272" i="1"/>
  <c r="I10272" i="1"/>
  <c r="J10272" i="1"/>
  <c r="L10272" i="1"/>
  <c r="M10272" i="1"/>
  <c r="C10273" i="1"/>
  <c r="E10273" i="1"/>
  <c r="F10273" i="1"/>
  <c r="H10273" i="1"/>
  <c r="I10273" i="1"/>
  <c r="J10273" i="1"/>
  <c r="L10273" i="1"/>
  <c r="M10273" i="1"/>
  <c r="C10274" i="1"/>
  <c r="E10274" i="1"/>
  <c r="F10274" i="1"/>
  <c r="H10274" i="1"/>
  <c r="I10274" i="1"/>
  <c r="J10274" i="1"/>
  <c r="L10274" i="1"/>
  <c r="M10274" i="1"/>
  <c r="C10275" i="1"/>
  <c r="E10275" i="1"/>
  <c r="F10275" i="1"/>
  <c r="H10275" i="1"/>
  <c r="I10275" i="1"/>
  <c r="J10275" i="1"/>
  <c r="L10275" i="1"/>
  <c r="M10275" i="1"/>
  <c r="C10276" i="1"/>
  <c r="E10276" i="1"/>
  <c r="F10276" i="1"/>
  <c r="H10276" i="1"/>
  <c r="I10276" i="1"/>
  <c r="J10276" i="1"/>
  <c r="L10276" i="1"/>
  <c r="M10276" i="1"/>
  <c r="C10277" i="1"/>
  <c r="E10277" i="1"/>
  <c r="F10277" i="1"/>
  <c r="H10277" i="1"/>
  <c r="I10277" i="1"/>
  <c r="J10277" i="1"/>
  <c r="L10277" i="1"/>
  <c r="M10277" i="1"/>
  <c r="C10278" i="1"/>
  <c r="E10278" i="1"/>
  <c r="F10278" i="1"/>
  <c r="H10278" i="1"/>
  <c r="I10278" i="1"/>
  <c r="J10278" i="1"/>
  <c r="L10278" i="1"/>
  <c r="M10278" i="1"/>
  <c r="C10279" i="1"/>
  <c r="E10279" i="1"/>
  <c r="F10279" i="1"/>
  <c r="H10279" i="1"/>
  <c r="I10279" i="1"/>
  <c r="J10279" i="1"/>
  <c r="L10279" i="1"/>
  <c r="M10279" i="1"/>
  <c r="C10280" i="1"/>
  <c r="E10280" i="1"/>
  <c r="F10280" i="1"/>
  <c r="H10280" i="1"/>
  <c r="I10280" i="1"/>
  <c r="J10280" i="1"/>
  <c r="L10280" i="1"/>
  <c r="M10280" i="1"/>
  <c r="C10281" i="1"/>
  <c r="E10281" i="1"/>
  <c r="F10281" i="1"/>
  <c r="H10281" i="1"/>
  <c r="I10281" i="1"/>
  <c r="J10281" i="1"/>
  <c r="L10281" i="1"/>
  <c r="M10281" i="1"/>
  <c r="C10282" i="1"/>
  <c r="E10282" i="1"/>
  <c r="F10282" i="1"/>
  <c r="H10282" i="1"/>
  <c r="I10282" i="1"/>
  <c r="J10282" i="1"/>
  <c r="L10282" i="1"/>
  <c r="M10282" i="1"/>
  <c r="C10283" i="1"/>
  <c r="E10283" i="1"/>
  <c r="F10283" i="1"/>
  <c r="H10283" i="1"/>
  <c r="I10283" i="1"/>
  <c r="J10283" i="1"/>
  <c r="L10283" i="1"/>
  <c r="M10283" i="1"/>
  <c r="C10284" i="1"/>
  <c r="E10284" i="1"/>
  <c r="F10284" i="1"/>
  <c r="H10284" i="1"/>
  <c r="I10284" i="1"/>
  <c r="J10284" i="1"/>
  <c r="L10284" i="1"/>
  <c r="M10284" i="1"/>
  <c r="C10285" i="1"/>
  <c r="E10285" i="1"/>
  <c r="F10285" i="1"/>
  <c r="H10285" i="1"/>
  <c r="I10285" i="1"/>
  <c r="J10285" i="1"/>
  <c r="L10285" i="1"/>
  <c r="M10285" i="1"/>
  <c r="C10286" i="1"/>
  <c r="E10286" i="1"/>
  <c r="F10286" i="1"/>
  <c r="H10286" i="1"/>
  <c r="I10286" i="1"/>
  <c r="J10286" i="1"/>
  <c r="L10286" i="1"/>
  <c r="M10286" i="1"/>
  <c r="C10287" i="1"/>
  <c r="E10287" i="1"/>
  <c r="F10287" i="1"/>
  <c r="H10287" i="1"/>
  <c r="I10287" i="1"/>
  <c r="J10287" i="1"/>
  <c r="L10287" i="1"/>
  <c r="M10287" i="1"/>
  <c r="C10288" i="1"/>
  <c r="E10288" i="1"/>
  <c r="F10288" i="1"/>
  <c r="H10288" i="1"/>
  <c r="I10288" i="1"/>
  <c r="J10288" i="1"/>
  <c r="L10288" i="1"/>
  <c r="M10288" i="1"/>
  <c r="C10289" i="1"/>
  <c r="E10289" i="1"/>
  <c r="F10289" i="1"/>
  <c r="H10289" i="1"/>
  <c r="I10289" i="1"/>
  <c r="J10289" i="1"/>
  <c r="L10289" i="1"/>
  <c r="M10289" i="1"/>
  <c r="C10290" i="1"/>
  <c r="E10290" i="1"/>
  <c r="F10290" i="1"/>
  <c r="H10290" i="1"/>
  <c r="I10290" i="1"/>
  <c r="J10290" i="1"/>
  <c r="L10290" i="1"/>
  <c r="M10290" i="1"/>
  <c r="C10291" i="1"/>
  <c r="E10291" i="1"/>
  <c r="F10291" i="1"/>
  <c r="H10291" i="1"/>
  <c r="I10291" i="1"/>
  <c r="J10291" i="1"/>
  <c r="L10291" i="1"/>
  <c r="M10291" i="1"/>
  <c r="C10292" i="1"/>
  <c r="E10292" i="1"/>
  <c r="F10292" i="1"/>
  <c r="H10292" i="1"/>
  <c r="I10292" i="1"/>
  <c r="J10292" i="1"/>
  <c r="L10292" i="1"/>
  <c r="M10292" i="1"/>
  <c r="C10293" i="1"/>
  <c r="E10293" i="1"/>
  <c r="F10293" i="1"/>
  <c r="H10293" i="1"/>
  <c r="I10293" i="1"/>
  <c r="J10293" i="1"/>
  <c r="L10293" i="1"/>
  <c r="M10293" i="1"/>
  <c r="C10294" i="1"/>
  <c r="E10294" i="1"/>
  <c r="F10294" i="1"/>
  <c r="H10294" i="1"/>
  <c r="I10294" i="1"/>
  <c r="J10294" i="1"/>
  <c r="L10294" i="1"/>
  <c r="M10294" i="1"/>
  <c r="C10295" i="1"/>
  <c r="E10295" i="1"/>
  <c r="F10295" i="1"/>
  <c r="H10295" i="1"/>
  <c r="I10295" i="1"/>
  <c r="J10295" i="1"/>
  <c r="L10295" i="1"/>
  <c r="M10295" i="1"/>
  <c r="C10296" i="1"/>
  <c r="E10296" i="1"/>
  <c r="F10296" i="1"/>
  <c r="H10296" i="1"/>
  <c r="I10296" i="1"/>
  <c r="J10296" i="1"/>
  <c r="L10296" i="1"/>
  <c r="M10296" i="1"/>
  <c r="C10297" i="1"/>
  <c r="E10297" i="1"/>
  <c r="F10297" i="1"/>
  <c r="H10297" i="1"/>
  <c r="I10297" i="1"/>
  <c r="J10297" i="1"/>
  <c r="L10297" i="1"/>
  <c r="M10297" i="1"/>
  <c r="C10298" i="1"/>
  <c r="E10298" i="1"/>
  <c r="F10298" i="1"/>
  <c r="H10298" i="1"/>
  <c r="I10298" i="1"/>
  <c r="J10298" i="1"/>
  <c r="L10298" i="1"/>
  <c r="M10298" i="1"/>
  <c r="C10299" i="1"/>
  <c r="E10299" i="1"/>
  <c r="F10299" i="1"/>
  <c r="H10299" i="1"/>
  <c r="I10299" i="1"/>
  <c r="J10299" i="1"/>
  <c r="L10299" i="1"/>
  <c r="M10299" i="1"/>
  <c r="C10300" i="1"/>
  <c r="E10300" i="1"/>
  <c r="F10300" i="1"/>
  <c r="H10300" i="1"/>
  <c r="I10300" i="1"/>
  <c r="J10300" i="1"/>
  <c r="L10300" i="1"/>
  <c r="M10300" i="1"/>
  <c r="C10301" i="1"/>
  <c r="E10301" i="1"/>
  <c r="F10301" i="1"/>
  <c r="H10301" i="1"/>
  <c r="I10301" i="1"/>
  <c r="J10301" i="1"/>
  <c r="L10301" i="1"/>
  <c r="M10301" i="1"/>
  <c r="C10302" i="1"/>
  <c r="E10302" i="1"/>
  <c r="F10302" i="1"/>
  <c r="H10302" i="1"/>
  <c r="I10302" i="1"/>
  <c r="J10302" i="1"/>
  <c r="L10302" i="1"/>
  <c r="M10302" i="1"/>
  <c r="C10303" i="1"/>
  <c r="E10303" i="1"/>
  <c r="F10303" i="1"/>
  <c r="H10303" i="1"/>
  <c r="I10303" i="1"/>
  <c r="J10303" i="1"/>
  <c r="L10303" i="1"/>
  <c r="M10303" i="1"/>
  <c r="C10304" i="1"/>
  <c r="E10304" i="1"/>
  <c r="F10304" i="1"/>
  <c r="H10304" i="1"/>
  <c r="I10304" i="1"/>
  <c r="J10304" i="1"/>
  <c r="L10304" i="1"/>
  <c r="M10304" i="1"/>
  <c r="C10305" i="1"/>
  <c r="E10305" i="1"/>
  <c r="F10305" i="1"/>
  <c r="H10305" i="1"/>
  <c r="I10305" i="1"/>
  <c r="J10305" i="1"/>
  <c r="L10305" i="1"/>
  <c r="M10305" i="1"/>
  <c r="C10306" i="1"/>
  <c r="E10306" i="1"/>
  <c r="F10306" i="1"/>
  <c r="H10306" i="1"/>
  <c r="I10306" i="1"/>
  <c r="J10306" i="1"/>
  <c r="L10306" i="1"/>
  <c r="M10306" i="1"/>
  <c r="C10307" i="1"/>
  <c r="E10307" i="1"/>
  <c r="F10307" i="1"/>
  <c r="H10307" i="1"/>
  <c r="I10307" i="1"/>
  <c r="J10307" i="1"/>
  <c r="L10307" i="1"/>
  <c r="M10307" i="1"/>
  <c r="C10308" i="1"/>
  <c r="E10308" i="1"/>
  <c r="F10308" i="1"/>
  <c r="H10308" i="1"/>
  <c r="I10308" i="1"/>
  <c r="J10308" i="1"/>
  <c r="L10308" i="1"/>
  <c r="M10308" i="1"/>
  <c r="C10309" i="1"/>
  <c r="E10309" i="1"/>
  <c r="F10309" i="1"/>
  <c r="H10309" i="1"/>
  <c r="I10309" i="1"/>
  <c r="J10309" i="1"/>
  <c r="L10309" i="1"/>
  <c r="M10309" i="1"/>
  <c r="C10310" i="1"/>
  <c r="E10310" i="1"/>
  <c r="F10310" i="1"/>
  <c r="H10310" i="1"/>
  <c r="I10310" i="1"/>
  <c r="J10310" i="1"/>
  <c r="L10310" i="1"/>
  <c r="M10310" i="1"/>
  <c r="C10311" i="1"/>
  <c r="E10311" i="1"/>
  <c r="F10311" i="1"/>
  <c r="H10311" i="1"/>
  <c r="I10311" i="1"/>
  <c r="J10311" i="1"/>
  <c r="L10311" i="1"/>
  <c r="M10311" i="1"/>
  <c r="C10312" i="1"/>
  <c r="E10312" i="1"/>
  <c r="F10312" i="1"/>
  <c r="H10312" i="1"/>
  <c r="I10312" i="1"/>
  <c r="J10312" i="1"/>
  <c r="L10312" i="1"/>
  <c r="M10312" i="1"/>
  <c r="C10313" i="1"/>
  <c r="E10313" i="1"/>
  <c r="F10313" i="1"/>
  <c r="H10313" i="1"/>
  <c r="I10313" i="1"/>
  <c r="J10313" i="1"/>
  <c r="L10313" i="1"/>
  <c r="M10313" i="1"/>
  <c r="C10314" i="1"/>
  <c r="E10314" i="1"/>
  <c r="F10314" i="1"/>
  <c r="H10314" i="1"/>
  <c r="I10314" i="1"/>
  <c r="J10314" i="1"/>
  <c r="L10314" i="1"/>
  <c r="M10314" i="1"/>
  <c r="C10315" i="1"/>
  <c r="E10315" i="1"/>
  <c r="F10315" i="1"/>
  <c r="H10315" i="1"/>
  <c r="I10315" i="1"/>
  <c r="J10315" i="1"/>
  <c r="L10315" i="1"/>
  <c r="M10315" i="1"/>
  <c r="C10316" i="1"/>
  <c r="E10316" i="1"/>
  <c r="F10316" i="1"/>
  <c r="H10316" i="1"/>
  <c r="I10316" i="1"/>
  <c r="J10316" i="1"/>
  <c r="L10316" i="1"/>
  <c r="M10316" i="1"/>
  <c r="C10317" i="1"/>
  <c r="E10317" i="1"/>
  <c r="F10317" i="1"/>
  <c r="H10317" i="1"/>
  <c r="I10317" i="1"/>
  <c r="J10317" i="1"/>
  <c r="L10317" i="1"/>
  <c r="M10317" i="1"/>
  <c r="C10318" i="1"/>
  <c r="E10318" i="1"/>
  <c r="F10318" i="1"/>
  <c r="H10318" i="1"/>
  <c r="I10318" i="1"/>
  <c r="J10318" i="1"/>
  <c r="L10318" i="1"/>
  <c r="M10318" i="1"/>
  <c r="C10319" i="1"/>
  <c r="E10319" i="1"/>
  <c r="F10319" i="1"/>
  <c r="H10319" i="1"/>
  <c r="I10319" i="1"/>
  <c r="J10319" i="1"/>
  <c r="L10319" i="1"/>
  <c r="M10319" i="1"/>
  <c r="C10320" i="1"/>
  <c r="E10320" i="1"/>
  <c r="F10320" i="1"/>
  <c r="H10320" i="1"/>
  <c r="I10320" i="1"/>
  <c r="J10320" i="1"/>
  <c r="L10320" i="1"/>
  <c r="M10320" i="1"/>
  <c r="C10321" i="1"/>
  <c r="E10321" i="1"/>
  <c r="F10321" i="1"/>
  <c r="H10321" i="1"/>
  <c r="I10321" i="1"/>
  <c r="J10321" i="1"/>
  <c r="L10321" i="1"/>
  <c r="M10321" i="1"/>
  <c r="C10322" i="1"/>
  <c r="E10322" i="1"/>
  <c r="F10322" i="1"/>
  <c r="H10322" i="1"/>
  <c r="I10322" i="1"/>
  <c r="J10322" i="1"/>
  <c r="L10322" i="1"/>
  <c r="M10322" i="1"/>
  <c r="C10323" i="1"/>
  <c r="E10323" i="1"/>
  <c r="F10323" i="1"/>
  <c r="H10323" i="1"/>
  <c r="I10323" i="1"/>
  <c r="J10323" i="1"/>
  <c r="L10323" i="1"/>
  <c r="M10323" i="1"/>
  <c r="C10324" i="1"/>
  <c r="E10324" i="1"/>
  <c r="F10324" i="1"/>
  <c r="H10324" i="1"/>
  <c r="I10324" i="1"/>
  <c r="J10324" i="1"/>
  <c r="L10324" i="1"/>
  <c r="M10324" i="1"/>
  <c r="C10325" i="1"/>
  <c r="E10325" i="1"/>
  <c r="F10325" i="1"/>
  <c r="H10325" i="1"/>
  <c r="I10325" i="1"/>
  <c r="J10325" i="1"/>
  <c r="L10325" i="1"/>
  <c r="M10325" i="1"/>
  <c r="C10326" i="1"/>
  <c r="E10326" i="1"/>
  <c r="F10326" i="1"/>
  <c r="H10326" i="1"/>
  <c r="I10326" i="1"/>
  <c r="J10326" i="1"/>
  <c r="L10326" i="1"/>
  <c r="M10326" i="1"/>
  <c r="C10327" i="1"/>
  <c r="E10327" i="1"/>
  <c r="F10327" i="1"/>
  <c r="H10327" i="1"/>
  <c r="I10327" i="1"/>
  <c r="J10327" i="1"/>
  <c r="L10327" i="1"/>
  <c r="M10327" i="1"/>
  <c r="C10328" i="1"/>
  <c r="E10328" i="1"/>
  <c r="F10328" i="1"/>
  <c r="H10328" i="1"/>
  <c r="I10328" i="1"/>
  <c r="J10328" i="1"/>
  <c r="L10328" i="1"/>
  <c r="M10328" i="1"/>
  <c r="C10329" i="1"/>
  <c r="E10329" i="1"/>
  <c r="F10329" i="1"/>
  <c r="H10329" i="1"/>
  <c r="I10329" i="1"/>
  <c r="J10329" i="1"/>
  <c r="L10329" i="1"/>
  <c r="M10329" i="1"/>
  <c r="C10330" i="1"/>
  <c r="E10330" i="1"/>
  <c r="F10330" i="1"/>
  <c r="H10330" i="1"/>
  <c r="I10330" i="1"/>
  <c r="J10330" i="1"/>
  <c r="L10330" i="1"/>
  <c r="M10330" i="1"/>
  <c r="C10331" i="1"/>
  <c r="E10331" i="1"/>
  <c r="F10331" i="1"/>
  <c r="H10331" i="1"/>
  <c r="I10331" i="1"/>
  <c r="J10331" i="1"/>
  <c r="L10331" i="1"/>
  <c r="M10331" i="1"/>
  <c r="C10332" i="1"/>
  <c r="E10332" i="1"/>
  <c r="F10332" i="1"/>
  <c r="H10332" i="1"/>
  <c r="I10332" i="1"/>
  <c r="J10332" i="1"/>
  <c r="L10332" i="1"/>
  <c r="M10332" i="1"/>
  <c r="C10333" i="1"/>
  <c r="E10333" i="1"/>
  <c r="F10333" i="1"/>
  <c r="H10333" i="1"/>
  <c r="I10333" i="1"/>
  <c r="J10333" i="1"/>
  <c r="L10333" i="1"/>
  <c r="M10333" i="1"/>
  <c r="C10334" i="1"/>
  <c r="E10334" i="1"/>
  <c r="F10334" i="1"/>
  <c r="H10334" i="1"/>
  <c r="I10334" i="1"/>
  <c r="J10334" i="1"/>
  <c r="L10334" i="1"/>
  <c r="M10334" i="1"/>
  <c r="C10335" i="1"/>
  <c r="E10335" i="1"/>
  <c r="F10335" i="1"/>
  <c r="H10335" i="1"/>
  <c r="I10335" i="1"/>
  <c r="J10335" i="1"/>
  <c r="L10335" i="1"/>
  <c r="M10335" i="1"/>
  <c r="C10336" i="1"/>
  <c r="E10336" i="1"/>
  <c r="F10336" i="1"/>
  <c r="H10336" i="1"/>
  <c r="I10336" i="1"/>
  <c r="J10336" i="1"/>
  <c r="L10336" i="1"/>
  <c r="M10336" i="1"/>
  <c r="C10337" i="1"/>
  <c r="E10337" i="1"/>
  <c r="F10337" i="1"/>
  <c r="H10337" i="1"/>
  <c r="I10337" i="1"/>
  <c r="J10337" i="1"/>
  <c r="L10337" i="1"/>
  <c r="M10337" i="1"/>
  <c r="C10338" i="1"/>
  <c r="E10338" i="1"/>
  <c r="F10338" i="1"/>
  <c r="H10338" i="1"/>
  <c r="I10338" i="1"/>
  <c r="J10338" i="1"/>
  <c r="L10338" i="1"/>
  <c r="M10338" i="1"/>
  <c r="C10339" i="1"/>
  <c r="E10339" i="1"/>
  <c r="F10339" i="1"/>
  <c r="H10339" i="1"/>
  <c r="I10339" i="1"/>
  <c r="J10339" i="1"/>
  <c r="L10339" i="1"/>
  <c r="M10339" i="1"/>
  <c r="C10340" i="1"/>
  <c r="E10340" i="1"/>
  <c r="F10340" i="1"/>
  <c r="H10340" i="1"/>
  <c r="I10340" i="1"/>
  <c r="J10340" i="1"/>
  <c r="L10340" i="1"/>
  <c r="M10340" i="1"/>
  <c r="C10341" i="1"/>
  <c r="E10341" i="1"/>
  <c r="F10341" i="1"/>
  <c r="H10341" i="1"/>
  <c r="I10341" i="1"/>
  <c r="J10341" i="1"/>
  <c r="L10341" i="1"/>
  <c r="M10341" i="1"/>
  <c r="C10342" i="1"/>
  <c r="E10342" i="1"/>
  <c r="F10342" i="1"/>
  <c r="H10342" i="1"/>
  <c r="I10342" i="1"/>
  <c r="J10342" i="1"/>
  <c r="L10342" i="1"/>
  <c r="M10342" i="1"/>
  <c r="C10343" i="1"/>
  <c r="E10343" i="1"/>
  <c r="F10343" i="1"/>
  <c r="H10343" i="1"/>
  <c r="I10343" i="1"/>
  <c r="J10343" i="1"/>
  <c r="L10343" i="1"/>
  <c r="M10343" i="1"/>
  <c r="C10344" i="1"/>
  <c r="E10344" i="1"/>
  <c r="F10344" i="1"/>
  <c r="H10344" i="1"/>
  <c r="I10344" i="1"/>
  <c r="J10344" i="1"/>
  <c r="L10344" i="1"/>
  <c r="M10344" i="1"/>
  <c r="C10345" i="1"/>
  <c r="E10345" i="1"/>
  <c r="F10345" i="1"/>
  <c r="H10345" i="1"/>
  <c r="I10345" i="1"/>
  <c r="J10345" i="1"/>
  <c r="L10345" i="1"/>
  <c r="M10345" i="1"/>
  <c r="C10346" i="1"/>
  <c r="E10346" i="1"/>
  <c r="F10346" i="1"/>
  <c r="H10346" i="1"/>
  <c r="I10346" i="1"/>
  <c r="J10346" i="1"/>
  <c r="L10346" i="1"/>
  <c r="M10346" i="1"/>
  <c r="C10347" i="1"/>
  <c r="E10347" i="1"/>
  <c r="F10347" i="1"/>
  <c r="H10347" i="1"/>
  <c r="I10347" i="1"/>
  <c r="J10347" i="1"/>
  <c r="L10347" i="1"/>
  <c r="M10347" i="1"/>
  <c r="C10348" i="1"/>
  <c r="E10348" i="1"/>
  <c r="F10348" i="1"/>
  <c r="H10348" i="1"/>
  <c r="I10348" i="1"/>
  <c r="J10348" i="1"/>
  <c r="L10348" i="1"/>
  <c r="M10348" i="1"/>
  <c r="C10349" i="1"/>
  <c r="E10349" i="1"/>
  <c r="F10349" i="1"/>
  <c r="H10349" i="1"/>
  <c r="I10349" i="1"/>
  <c r="J10349" i="1"/>
  <c r="L10349" i="1"/>
  <c r="M10349" i="1"/>
  <c r="C10350" i="1"/>
  <c r="E10350" i="1"/>
  <c r="F10350" i="1"/>
  <c r="H10350" i="1"/>
  <c r="I10350" i="1"/>
  <c r="J10350" i="1"/>
  <c r="L10350" i="1"/>
  <c r="M10350" i="1"/>
  <c r="C10351" i="1"/>
  <c r="E10351" i="1"/>
  <c r="F10351" i="1"/>
  <c r="H10351" i="1"/>
  <c r="I10351" i="1"/>
  <c r="J10351" i="1"/>
  <c r="L10351" i="1"/>
  <c r="M10351" i="1"/>
  <c r="C10352" i="1"/>
  <c r="E10352" i="1"/>
  <c r="F10352" i="1"/>
  <c r="H10352" i="1"/>
  <c r="I10352" i="1"/>
  <c r="J10352" i="1"/>
  <c r="L10352" i="1"/>
  <c r="M10352" i="1"/>
  <c r="C10353" i="1"/>
  <c r="E10353" i="1"/>
  <c r="F10353" i="1"/>
  <c r="H10353" i="1"/>
  <c r="I10353" i="1"/>
  <c r="J10353" i="1"/>
  <c r="L10353" i="1"/>
  <c r="M10353" i="1"/>
  <c r="C10354" i="1"/>
  <c r="E10354" i="1"/>
  <c r="F10354" i="1"/>
  <c r="H10354" i="1"/>
  <c r="I10354" i="1"/>
  <c r="J10354" i="1"/>
  <c r="L10354" i="1"/>
  <c r="M10354" i="1"/>
  <c r="C10355" i="1"/>
  <c r="E10355" i="1"/>
  <c r="F10355" i="1"/>
  <c r="H10355" i="1"/>
  <c r="I10355" i="1"/>
  <c r="J10355" i="1"/>
  <c r="L10355" i="1"/>
  <c r="M10355" i="1"/>
  <c r="C10356" i="1"/>
  <c r="E10356" i="1"/>
  <c r="F10356" i="1"/>
  <c r="H10356" i="1"/>
  <c r="I10356" i="1"/>
  <c r="J10356" i="1"/>
  <c r="L10356" i="1"/>
  <c r="M10356" i="1"/>
  <c r="C10357" i="1"/>
  <c r="E10357" i="1"/>
  <c r="F10357" i="1"/>
  <c r="H10357" i="1"/>
  <c r="I10357" i="1"/>
  <c r="J10357" i="1"/>
  <c r="L10357" i="1"/>
  <c r="M10357" i="1"/>
  <c r="C10358" i="1"/>
  <c r="E10358" i="1"/>
  <c r="F10358" i="1"/>
  <c r="H10358" i="1"/>
  <c r="I10358" i="1"/>
  <c r="J10358" i="1"/>
  <c r="L10358" i="1"/>
  <c r="M10358" i="1"/>
  <c r="C10359" i="1"/>
  <c r="E10359" i="1"/>
  <c r="F10359" i="1"/>
  <c r="H10359" i="1"/>
  <c r="I10359" i="1"/>
  <c r="J10359" i="1"/>
  <c r="L10359" i="1"/>
  <c r="M10359" i="1"/>
  <c r="C10360" i="1"/>
  <c r="E10360" i="1"/>
  <c r="F10360" i="1"/>
  <c r="H10360" i="1"/>
  <c r="I10360" i="1"/>
  <c r="J10360" i="1"/>
  <c r="L10360" i="1"/>
  <c r="M10360" i="1"/>
  <c r="C10361" i="1"/>
  <c r="E10361" i="1"/>
  <c r="F10361" i="1"/>
  <c r="H10361" i="1"/>
  <c r="I10361" i="1"/>
  <c r="J10361" i="1"/>
  <c r="L10361" i="1"/>
  <c r="M10361" i="1"/>
  <c r="C10362" i="1"/>
  <c r="E10362" i="1"/>
  <c r="F10362" i="1"/>
  <c r="H10362" i="1"/>
  <c r="I10362" i="1"/>
  <c r="J10362" i="1"/>
  <c r="L10362" i="1"/>
  <c r="M10362" i="1"/>
  <c r="C10363" i="1"/>
  <c r="E10363" i="1"/>
  <c r="F10363" i="1"/>
  <c r="H10363" i="1"/>
  <c r="I10363" i="1"/>
  <c r="J10363" i="1"/>
  <c r="L10363" i="1"/>
  <c r="M10363" i="1"/>
  <c r="C10364" i="1"/>
  <c r="E10364" i="1"/>
  <c r="F10364" i="1"/>
  <c r="H10364" i="1"/>
  <c r="I10364" i="1"/>
  <c r="J10364" i="1"/>
  <c r="L10364" i="1"/>
  <c r="M10364" i="1"/>
  <c r="C10365" i="1"/>
  <c r="E10365" i="1"/>
  <c r="F10365" i="1"/>
  <c r="H10365" i="1"/>
  <c r="I10365" i="1"/>
  <c r="J10365" i="1"/>
  <c r="L10365" i="1"/>
  <c r="M10365" i="1"/>
  <c r="C10366" i="1"/>
  <c r="E10366" i="1"/>
  <c r="F10366" i="1"/>
  <c r="H10366" i="1"/>
  <c r="I10366" i="1"/>
  <c r="J10366" i="1"/>
  <c r="L10366" i="1"/>
  <c r="M10366" i="1"/>
  <c r="C10367" i="1"/>
  <c r="E10367" i="1"/>
  <c r="F10367" i="1"/>
  <c r="H10367" i="1"/>
  <c r="I10367" i="1"/>
  <c r="J10367" i="1"/>
  <c r="L10367" i="1"/>
  <c r="M10367" i="1"/>
  <c r="C10368" i="1"/>
  <c r="E10368" i="1"/>
  <c r="F10368" i="1"/>
  <c r="H10368" i="1"/>
  <c r="I10368" i="1"/>
  <c r="J10368" i="1"/>
  <c r="L10368" i="1"/>
  <c r="M10368" i="1"/>
  <c r="C10369" i="1"/>
  <c r="E10369" i="1"/>
  <c r="F10369" i="1"/>
  <c r="H10369" i="1"/>
  <c r="I10369" i="1"/>
  <c r="J10369" i="1"/>
  <c r="L10369" i="1"/>
  <c r="M10369" i="1"/>
  <c r="C10370" i="1"/>
  <c r="E10370" i="1"/>
  <c r="F10370" i="1"/>
  <c r="H10370" i="1"/>
  <c r="I10370" i="1"/>
  <c r="J10370" i="1"/>
  <c r="L10370" i="1"/>
  <c r="M10370" i="1"/>
  <c r="C10371" i="1"/>
  <c r="E10371" i="1"/>
  <c r="F10371" i="1"/>
  <c r="H10371" i="1"/>
  <c r="I10371" i="1"/>
  <c r="J10371" i="1"/>
  <c r="L10371" i="1"/>
  <c r="M10371" i="1"/>
  <c r="C10372" i="1"/>
  <c r="E10372" i="1"/>
  <c r="F10372" i="1"/>
  <c r="H10372" i="1"/>
  <c r="I10372" i="1"/>
  <c r="J10372" i="1"/>
  <c r="L10372" i="1"/>
  <c r="M10372" i="1"/>
  <c r="C10373" i="1"/>
  <c r="E10373" i="1"/>
  <c r="F10373" i="1"/>
  <c r="H10373" i="1"/>
  <c r="I10373" i="1"/>
  <c r="J10373" i="1"/>
  <c r="L10373" i="1"/>
  <c r="M10373" i="1"/>
  <c r="C10374" i="1"/>
  <c r="E10374" i="1"/>
  <c r="F10374" i="1"/>
  <c r="H10374" i="1"/>
  <c r="I10374" i="1"/>
  <c r="J10374" i="1"/>
  <c r="L10374" i="1"/>
  <c r="M10374" i="1"/>
  <c r="C10375" i="1"/>
  <c r="E10375" i="1"/>
  <c r="F10375" i="1"/>
  <c r="H10375" i="1"/>
  <c r="I10375" i="1"/>
  <c r="J10375" i="1"/>
  <c r="L10375" i="1"/>
  <c r="M10375" i="1"/>
  <c r="C10376" i="1"/>
  <c r="E10376" i="1"/>
  <c r="F10376" i="1"/>
  <c r="H10376" i="1"/>
  <c r="I10376" i="1"/>
  <c r="J10376" i="1"/>
  <c r="L10376" i="1"/>
  <c r="M10376" i="1"/>
  <c r="C10377" i="1"/>
  <c r="E10377" i="1"/>
  <c r="F10377" i="1"/>
  <c r="H10377" i="1"/>
  <c r="I10377" i="1"/>
  <c r="J10377" i="1"/>
  <c r="L10377" i="1"/>
  <c r="M10377" i="1"/>
  <c r="C10378" i="1"/>
  <c r="E10378" i="1"/>
  <c r="F10378" i="1"/>
  <c r="H10378" i="1"/>
  <c r="I10378" i="1"/>
  <c r="J10378" i="1"/>
  <c r="L10378" i="1"/>
  <c r="M10378" i="1"/>
  <c r="C10379" i="1"/>
  <c r="E10379" i="1"/>
  <c r="F10379" i="1"/>
  <c r="H10379" i="1"/>
  <c r="I10379" i="1"/>
  <c r="J10379" i="1"/>
  <c r="L10379" i="1"/>
  <c r="M10379" i="1"/>
  <c r="C10380" i="1"/>
  <c r="E10380" i="1"/>
  <c r="F10380" i="1"/>
  <c r="H10380" i="1"/>
  <c r="I10380" i="1"/>
  <c r="J10380" i="1"/>
  <c r="L10380" i="1"/>
  <c r="M10380" i="1"/>
  <c r="C10381" i="1"/>
  <c r="E10381" i="1"/>
  <c r="F10381" i="1"/>
  <c r="H10381" i="1"/>
  <c r="I10381" i="1"/>
  <c r="J10381" i="1"/>
  <c r="L10381" i="1"/>
  <c r="M10381" i="1"/>
  <c r="C10382" i="1"/>
  <c r="E10382" i="1"/>
  <c r="F10382" i="1"/>
  <c r="H10382" i="1"/>
  <c r="I10382" i="1"/>
  <c r="J10382" i="1"/>
  <c r="L10382" i="1"/>
  <c r="M10382" i="1"/>
  <c r="C10383" i="1"/>
  <c r="E10383" i="1"/>
  <c r="F10383" i="1"/>
  <c r="H10383" i="1"/>
  <c r="I10383" i="1"/>
  <c r="J10383" i="1"/>
  <c r="L10383" i="1"/>
  <c r="M10383" i="1"/>
  <c r="C10384" i="1"/>
  <c r="E10384" i="1"/>
  <c r="F10384" i="1"/>
  <c r="H10384" i="1"/>
  <c r="I10384" i="1"/>
  <c r="J10384" i="1"/>
  <c r="L10384" i="1"/>
  <c r="M10384" i="1"/>
  <c r="C10385" i="1"/>
  <c r="E10385" i="1"/>
  <c r="F10385" i="1"/>
  <c r="H10385" i="1"/>
  <c r="I10385" i="1"/>
  <c r="J10385" i="1"/>
  <c r="L10385" i="1"/>
  <c r="M10385" i="1"/>
  <c r="C10386" i="1"/>
  <c r="E10386" i="1"/>
  <c r="F10386" i="1"/>
  <c r="H10386" i="1"/>
  <c r="I10386" i="1"/>
  <c r="J10386" i="1"/>
  <c r="L10386" i="1"/>
  <c r="M10386" i="1"/>
  <c r="C10387" i="1"/>
  <c r="E10387" i="1"/>
  <c r="F10387" i="1"/>
  <c r="H10387" i="1"/>
  <c r="I10387" i="1"/>
  <c r="J10387" i="1"/>
  <c r="L10387" i="1"/>
  <c r="M10387" i="1"/>
  <c r="C10388" i="1"/>
  <c r="E10388" i="1"/>
  <c r="F10388" i="1"/>
  <c r="H10388" i="1"/>
  <c r="I10388" i="1"/>
  <c r="J10388" i="1"/>
  <c r="L10388" i="1"/>
  <c r="M10388" i="1"/>
  <c r="C10389" i="1"/>
  <c r="E10389" i="1"/>
  <c r="F10389" i="1"/>
  <c r="H10389" i="1"/>
  <c r="I10389" i="1"/>
  <c r="J10389" i="1"/>
  <c r="L10389" i="1"/>
  <c r="M10389" i="1"/>
  <c r="C10390" i="1"/>
  <c r="E10390" i="1"/>
  <c r="F10390" i="1"/>
  <c r="H10390" i="1"/>
  <c r="I10390" i="1"/>
  <c r="J10390" i="1"/>
  <c r="L10390" i="1"/>
  <c r="M10390" i="1"/>
  <c r="C10391" i="1"/>
  <c r="E10391" i="1"/>
  <c r="F10391" i="1"/>
  <c r="H10391" i="1"/>
  <c r="I10391" i="1"/>
  <c r="J10391" i="1"/>
  <c r="L10391" i="1"/>
  <c r="M10391" i="1"/>
  <c r="C10392" i="1"/>
  <c r="E10392" i="1"/>
  <c r="F10392" i="1"/>
  <c r="H10392" i="1"/>
  <c r="I10392" i="1"/>
  <c r="J10392" i="1"/>
  <c r="L10392" i="1"/>
  <c r="M10392" i="1"/>
  <c r="C10393" i="1"/>
  <c r="E10393" i="1"/>
  <c r="F10393" i="1"/>
  <c r="H10393" i="1"/>
  <c r="I10393" i="1"/>
  <c r="J10393" i="1"/>
  <c r="L10393" i="1"/>
  <c r="M10393" i="1"/>
  <c r="C10394" i="1"/>
  <c r="E10394" i="1"/>
  <c r="F10394" i="1"/>
  <c r="H10394" i="1"/>
  <c r="I10394" i="1"/>
  <c r="J10394" i="1"/>
  <c r="L10394" i="1"/>
  <c r="M10394" i="1"/>
  <c r="C10395" i="1"/>
  <c r="E10395" i="1"/>
  <c r="F10395" i="1"/>
  <c r="H10395" i="1"/>
  <c r="I10395" i="1"/>
  <c r="J10395" i="1"/>
  <c r="L10395" i="1"/>
  <c r="M10395" i="1"/>
  <c r="C10396" i="1"/>
  <c r="E10396" i="1"/>
  <c r="F10396" i="1"/>
  <c r="H10396" i="1"/>
  <c r="I10396" i="1"/>
  <c r="J10396" i="1"/>
  <c r="L10396" i="1"/>
  <c r="M10396" i="1"/>
  <c r="C10397" i="1"/>
  <c r="E10397" i="1"/>
  <c r="F10397" i="1"/>
  <c r="H10397" i="1"/>
  <c r="I10397" i="1"/>
  <c r="J10397" i="1"/>
  <c r="L10397" i="1"/>
  <c r="M10397" i="1"/>
  <c r="C10398" i="1"/>
  <c r="E10398" i="1"/>
  <c r="F10398" i="1"/>
  <c r="H10398" i="1"/>
  <c r="I10398" i="1"/>
  <c r="J10398" i="1"/>
  <c r="L10398" i="1"/>
  <c r="M10398" i="1"/>
  <c r="C10399" i="1"/>
  <c r="E10399" i="1"/>
  <c r="F10399" i="1"/>
  <c r="H10399" i="1"/>
  <c r="I10399" i="1"/>
  <c r="J10399" i="1"/>
  <c r="L10399" i="1"/>
  <c r="M10399" i="1"/>
  <c r="C10400" i="1"/>
  <c r="E10400" i="1"/>
  <c r="F10400" i="1"/>
  <c r="H10400" i="1"/>
  <c r="I10400" i="1"/>
  <c r="J10400" i="1"/>
  <c r="L10400" i="1"/>
  <c r="M10400" i="1"/>
  <c r="C10401" i="1"/>
  <c r="E10401" i="1"/>
  <c r="F10401" i="1"/>
  <c r="H10401" i="1"/>
  <c r="I10401" i="1"/>
  <c r="J10401" i="1"/>
  <c r="L10401" i="1"/>
  <c r="M10401" i="1"/>
  <c r="C10402" i="1"/>
  <c r="E10402" i="1"/>
  <c r="F10402" i="1"/>
  <c r="H10402" i="1"/>
  <c r="I10402" i="1"/>
  <c r="J10402" i="1"/>
  <c r="L10402" i="1"/>
  <c r="M10402" i="1"/>
  <c r="C10403" i="1"/>
  <c r="E10403" i="1"/>
  <c r="F10403" i="1"/>
  <c r="H10403" i="1"/>
  <c r="I10403" i="1"/>
  <c r="J10403" i="1"/>
  <c r="L10403" i="1"/>
  <c r="M10403" i="1"/>
  <c r="C10404" i="1"/>
  <c r="E10404" i="1"/>
  <c r="F10404" i="1"/>
  <c r="H10404" i="1"/>
  <c r="I10404" i="1"/>
  <c r="J10404" i="1"/>
  <c r="L10404" i="1"/>
  <c r="M10404" i="1"/>
  <c r="C10405" i="1"/>
  <c r="E10405" i="1"/>
  <c r="F10405" i="1"/>
  <c r="H10405" i="1"/>
  <c r="I10405" i="1"/>
  <c r="J10405" i="1"/>
  <c r="L10405" i="1"/>
  <c r="M10405" i="1"/>
  <c r="C10406" i="1"/>
  <c r="E10406" i="1"/>
  <c r="F10406" i="1"/>
  <c r="H10406" i="1"/>
  <c r="I10406" i="1"/>
  <c r="J10406" i="1"/>
  <c r="L10406" i="1"/>
  <c r="M10406" i="1"/>
  <c r="C10407" i="1"/>
  <c r="E10407" i="1"/>
  <c r="F10407" i="1"/>
  <c r="H10407" i="1"/>
  <c r="I10407" i="1"/>
  <c r="J10407" i="1"/>
  <c r="L10407" i="1"/>
  <c r="M10407" i="1"/>
  <c r="C10408" i="1"/>
  <c r="E10408" i="1"/>
  <c r="F10408" i="1"/>
  <c r="H10408" i="1"/>
  <c r="I10408" i="1"/>
  <c r="J10408" i="1"/>
  <c r="L10408" i="1"/>
  <c r="M10408" i="1"/>
  <c r="C10409" i="1"/>
  <c r="E10409" i="1"/>
  <c r="F10409" i="1"/>
  <c r="H10409" i="1"/>
  <c r="I10409" i="1"/>
  <c r="J10409" i="1"/>
  <c r="L10409" i="1"/>
  <c r="M10409" i="1"/>
  <c r="C10410" i="1"/>
  <c r="E10410" i="1"/>
  <c r="F10410" i="1"/>
  <c r="H10410" i="1"/>
  <c r="I10410" i="1"/>
  <c r="J10410" i="1"/>
  <c r="L10410" i="1"/>
  <c r="M10410" i="1"/>
  <c r="C10411" i="1"/>
  <c r="E10411" i="1"/>
  <c r="F10411" i="1"/>
  <c r="H10411" i="1"/>
  <c r="I10411" i="1"/>
  <c r="J10411" i="1"/>
  <c r="L10411" i="1"/>
  <c r="M10411" i="1"/>
  <c r="C10412" i="1"/>
  <c r="E10412" i="1"/>
  <c r="F10412" i="1"/>
  <c r="H10412" i="1"/>
  <c r="I10412" i="1"/>
  <c r="J10412" i="1"/>
  <c r="L10412" i="1"/>
  <c r="M10412" i="1"/>
  <c r="C10413" i="1"/>
  <c r="E10413" i="1"/>
  <c r="F10413" i="1"/>
  <c r="H10413" i="1"/>
  <c r="I10413" i="1"/>
  <c r="J10413" i="1"/>
  <c r="L10413" i="1"/>
  <c r="M10413" i="1"/>
  <c r="C10414" i="1"/>
  <c r="E10414" i="1"/>
  <c r="F10414" i="1"/>
  <c r="H10414" i="1"/>
  <c r="I10414" i="1"/>
  <c r="J10414" i="1"/>
  <c r="L10414" i="1"/>
  <c r="M10414" i="1"/>
  <c r="C10415" i="1"/>
  <c r="E10415" i="1"/>
  <c r="F10415" i="1"/>
  <c r="H10415" i="1"/>
  <c r="I10415" i="1"/>
  <c r="J10415" i="1"/>
  <c r="L10415" i="1"/>
  <c r="M10415" i="1"/>
  <c r="C10416" i="1"/>
  <c r="E10416" i="1"/>
  <c r="F10416" i="1"/>
  <c r="H10416" i="1"/>
  <c r="I10416" i="1"/>
  <c r="J10416" i="1"/>
  <c r="L10416" i="1"/>
  <c r="M10416" i="1"/>
  <c r="C10417" i="1"/>
  <c r="E10417" i="1"/>
  <c r="F10417" i="1"/>
  <c r="H10417" i="1"/>
  <c r="I10417" i="1"/>
  <c r="J10417" i="1"/>
  <c r="L10417" i="1"/>
  <c r="M10417" i="1"/>
  <c r="C10418" i="1"/>
  <c r="E10418" i="1"/>
  <c r="F10418" i="1"/>
  <c r="H10418" i="1"/>
  <c r="I10418" i="1"/>
  <c r="J10418" i="1"/>
  <c r="L10418" i="1"/>
  <c r="M10418" i="1"/>
  <c r="C10419" i="1"/>
  <c r="E10419" i="1"/>
  <c r="F10419" i="1"/>
  <c r="H10419" i="1"/>
  <c r="I10419" i="1"/>
  <c r="J10419" i="1"/>
  <c r="L10419" i="1"/>
  <c r="M10419" i="1"/>
  <c r="C10420" i="1"/>
  <c r="E10420" i="1"/>
  <c r="F10420" i="1"/>
  <c r="H10420" i="1"/>
  <c r="I10420" i="1"/>
  <c r="J10420" i="1"/>
  <c r="L10420" i="1"/>
  <c r="M10420" i="1"/>
  <c r="C10421" i="1"/>
  <c r="E10421" i="1"/>
  <c r="F10421" i="1"/>
  <c r="H10421" i="1"/>
  <c r="I10421" i="1"/>
  <c r="J10421" i="1"/>
  <c r="L10421" i="1"/>
  <c r="M10421" i="1"/>
  <c r="C10422" i="1"/>
  <c r="E10422" i="1"/>
  <c r="F10422" i="1"/>
  <c r="H10422" i="1"/>
  <c r="I10422" i="1"/>
  <c r="J10422" i="1"/>
  <c r="L10422" i="1"/>
  <c r="M10422" i="1"/>
  <c r="C10423" i="1"/>
  <c r="E10423" i="1"/>
  <c r="F10423" i="1"/>
  <c r="H10423" i="1"/>
  <c r="I10423" i="1"/>
  <c r="J10423" i="1"/>
  <c r="L10423" i="1"/>
  <c r="M10423" i="1"/>
  <c r="C10424" i="1"/>
  <c r="E10424" i="1"/>
  <c r="F10424" i="1"/>
  <c r="H10424" i="1"/>
  <c r="I10424" i="1"/>
  <c r="J10424" i="1"/>
  <c r="L10424" i="1"/>
  <c r="M10424" i="1"/>
  <c r="C10425" i="1"/>
  <c r="E10425" i="1"/>
  <c r="F10425" i="1"/>
  <c r="H10425" i="1"/>
  <c r="I10425" i="1"/>
  <c r="J10425" i="1"/>
  <c r="L10425" i="1"/>
  <c r="M10425" i="1"/>
  <c r="C10426" i="1"/>
  <c r="E10426" i="1"/>
  <c r="F10426" i="1"/>
  <c r="H10426" i="1"/>
  <c r="I10426" i="1"/>
  <c r="J10426" i="1"/>
  <c r="L10426" i="1"/>
  <c r="M10426" i="1"/>
  <c r="C10427" i="1"/>
  <c r="E10427" i="1"/>
  <c r="F10427" i="1"/>
  <c r="H10427" i="1"/>
  <c r="I10427" i="1"/>
  <c r="J10427" i="1"/>
  <c r="L10427" i="1"/>
  <c r="M10427" i="1"/>
  <c r="C10428" i="1"/>
  <c r="E10428" i="1"/>
  <c r="F10428" i="1"/>
  <c r="H10428" i="1"/>
  <c r="I10428" i="1"/>
  <c r="J10428" i="1"/>
  <c r="L10428" i="1"/>
  <c r="M10428" i="1"/>
  <c r="C10429" i="1"/>
  <c r="E10429" i="1"/>
  <c r="F10429" i="1"/>
  <c r="H10429" i="1"/>
  <c r="I10429" i="1"/>
  <c r="J10429" i="1"/>
  <c r="L10429" i="1"/>
  <c r="M10429" i="1"/>
  <c r="C10430" i="1"/>
  <c r="E10430" i="1"/>
  <c r="F10430" i="1"/>
  <c r="H10430" i="1"/>
  <c r="I10430" i="1"/>
  <c r="J10430" i="1"/>
  <c r="L10430" i="1"/>
  <c r="M10430" i="1"/>
  <c r="C10431" i="1"/>
  <c r="E10431" i="1"/>
  <c r="F10431" i="1"/>
  <c r="H10431" i="1"/>
  <c r="I10431" i="1"/>
  <c r="J10431" i="1"/>
  <c r="L10431" i="1"/>
  <c r="M10431" i="1"/>
  <c r="C10432" i="1"/>
  <c r="E10432" i="1"/>
  <c r="F10432" i="1"/>
  <c r="H10432" i="1"/>
  <c r="I10432" i="1"/>
  <c r="J10432" i="1"/>
  <c r="L10432" i="1"/>
  <c r="M10432" i="1"/>
  <c r="C10433" i="1"/>
  <c r="E10433" i="1"/>
  <c r="F10433" i="1"/>
  <c r="H10433" i="1"/>
  <c r="I10433" i="1"/>
  <c r="J10433" i="1"/>
  <c r="L10433" i="1"/>
  <c r="M10433" i="1"/>
  <c r="C10434" i="1"/>
  <c r="E10434" i="1"/>
  <c r="F10434" i="1"/>
  <c r="H10434" i="1"/>
  <c r="I10434" i="1"/>
  <c r="J10434" i="1"/>
  <c r="L10434" i="1"/>
  <c r="M10434" i="1"/>
  <c r="C10435" i="1"/>
  <c r="E10435" i="1"/>
  <c r="F10435" i="1"/>
  <c r="H10435" i="1"/>
  <c r="I10435" i="1"/>
  <c r="J10435" i="1"/>
  <c r="L10435" i="1"/>
  <c r="M10435" i="1"/>
  <c r="C10436" i="1"/>
  <c r="E10436" i="1"/>
  <c r="F10436" i="1"/>
  <c r="H10436" i="1"/>
  <c r="I10436" i="1"/>
  <c r="J10436" i="1"/>
  <c r="L10436" i="1"/>
  <c r="M10436" i="1"/>
  <c r="C10437" i="1"/>
  <c r="E10437" i="1"/>
  <c r="F10437" i="1"/>
  <c r="H10437" i="1"/>
  <c r="I10437" i="1"/>
  <c r="J10437" i="1"/>
  <c r="L10437" i="1"/>
  <c r="M10437" i="1"/>
  <c r="C10438" i="1"/>
  <c r="E10438" i="1"/>
  <c r="F10438" i="1"/>
  <c r="H10438" i="1"/>
  <c r="I10438" i="1"/>
  <c r="J10438" i="1"/>
  <c r="L10438" i="1"/>
  <c r="M10438" i="1"/>
  <c r="C10439" i="1"/>
  <c r="E10439" i="1"/>
  <c r="F10439" i="1"/>
  <c r="H10439" i="1"/>
  <c r="I10439" i="1"/>
  <c r="J10439" i="1"/>
  <c r="L10439" i="1"/>
  <c r="M10439" i="1"/>
  <c r="C10440" i="1"/>
  <c r="E10440" i="1"/>
  <c r="F10440" i="1"/>
  <c r="H10440" i="1"/>
  <c r="I10440" i="1"/>
  <c r="J10440" i="1"/>
  <c r="L10440" i="1"/>
  <c r="M10440" i="1"/>
  <c r="C10441" i="1"/>
  <c r="E10441" i="1"/>
  <c r="F10441" i="1"/>
  <c r="H10441" i="1"/>
  <c r="I10441" i="1"/>
  <c r="J10441" i="1"/>
  <c r="L10441" i="1"/>
  <c r="M10441" i="1"/>
  <c r="C10442" i="1"/>
  <c r="E10442" i="1"/>
  <c r="F10442" i="1"/>
  <c r="H10442" i="1"/>
  <c r="I10442" i="1"/>
  <c r="J10442" i="1"/>
  <c r="L10442" i="1"/>
  <c r="M10442" i="1"/>
  <c r="C10443" i="1"/>
  <c r="E10443" i="1"/>
  <c r="F10443" i="1"/>
  <c r="H10443" i="1"/>
  <c r="I10443" i="1"/>
  <c r="J10443" i="1"/>
  <c r="L10443" i="1"/>
  <c r="M10443" i="1"/>
  <c r="C10444" i="1"/>
  <c r="E10444" i="1"/>
  <c r="F10444" i="1"/>
  <c r="H10444" i="1"/>
  <c r="I10444" i="1"/>
  <c r="J10444" i="1"/>
  <c r="L10444" i="1"/>
  <c r="M10444" i="1"/>
  <c r="C10445" i="1"/>
  <c r="E10445" i="1"/>
  <c r="F10445" i="1"/>
  <c r="H10445" i="1"/>
  <c r="I10445" i="1"/>
  <c r="J10445" i="1"/>
  <c r="L10445" i="1"/>
  <c r="M10445" i="1"/>
  <c r="C10446" i="1"/>
  <c r="E10446" i="1"/>
  <c r="F10446" i="1"/>
  <c r="H10446" i="1"/>
  <c r="I10446" i="1"/>
  <c r="J10446" i="1"/>
  <c r="L10446" i="1"/>
  <c r="M10446" i="1"/>
  <c r="C10447" i="1"/>
  <c r="E10447" i="1"/>
  <c r="F10447" i="1"/>
  <c r="H10447" i="1"/>
  <c r="I10447" i="1"/>
  <c r="J10447" i="1"/>
  <c r="L10447" i="1"/>
  <c r="M10447" i="1"/>
  <c r="C10448" i="1"/>
  <c r="E10448" i="1"/>
  <c r="F10448" i="1"/>
  <c r="H10448" i="1"/>
  <c r="I10448" i="1"/>
  <c r="J10448" i="1"/>
  <c r="L10448" i="1"/>
  <c r="M10448" i="1"/>
  <c r="C10449" i="1"/>
  <c r="E10449" i="1"/>
  <c r="F10449" i="1"/>
  <c r="H10449" i="1"/>
  <c r="I10449" i="1"/>
  <c r="J10449" i="1"/>
  <c r="L10449" i="1"/>
  <c r="M10449" i="1"/>
  <c r="C10450" i="1"/>
  <c r="E10450" i="1"/>
  <c r="F10450" i="1"/>
  <c r="H10450" i="1"/>
  <c r="I10450" i="1"/>
  <c r="J10450" i="1"/>
  <c r="L10450" i="1"/>
  <c r="M10450" i="1"/>
  <c r="C10451" i="1"/>
  <c r="E10451" i="1"/>
  <c r="F10451" i="1"/>
  <c r="H10451" i="1"/>
  <c r="I10451" i="1"/>
  <c r="J10451" i="1"/>
  <c r="L10451" i="1"/>
  <c r="M10451" i="1"/>
  <c r="C10452" i="1"/>
  <c r="E10452" i="1"/>
  <c r="F10452" i="1"/>
  <c r="H10452" i="1"/>
  <c r="I10452" i="1"/>
  <c r="J10452" i="1"/>
  <c r="L10452" i="1"/>
  <c r="M10452" i="1"/>
  <c r="C10453" i="1"/>
  <c r="E10453" i="1"/>
  <c r="F10453" i="1"/>
  <c r="H10453" i="1"/>
  <c r="I10453" i="1"/>
  <c r="J10453" i="1"/>
  <c r="L10453" i="1"/>
  <c r="M10453" i="1"/>
  <c r="C10454" i="1"/>
  <c r="E10454" i="1"/>
  <c r="F10454" i="1"/>
  <c r="H10454" i="1"/>
  <c r="I10454" i="1"/>
  <c r="J10454" i="1"/>
  <c r="L10454" i="1"/>
  <c r="M10454" i="1"/>
  <c r="C10455" i="1"/>
  <c r="E10455" i="1"/>
  <c r="F10455" i="1"/>
  <c r="H10455" i="1"/>
  <c r="I10455" i="1"/>
  <c r="J10455" i="1"/>
  <c r="L10455" i="1"/>
  <c r="M10455" i="1"/>
  <c r="C10456" i="1"/>
  <c r="E10456" i="1"/>
  <c r="F10456" i="1"/>
  <c r="H10456" i="1"/>
  <c r="I10456" i="1"/>
  <c r="J10456" i="1"/>
  <c r="L10456" i="1"/>
  <c r="M10456" i="1"/>
  <c r="C10457" i="1"/>
  <c r="E10457" i="1"/>
  <c r="F10457" i="1"/>
  <c r="H10457" i="1"/>
  <c r="I10457" i="1"/>
  <c r="J10457" i="1"/>
  <c r="L10457" i="1"/>
  <c r="M10457" i="1"/>
  <c r="C10458" i="1"/>
  <c r="E10458" i="1"/>
  <c r="F10458" i="1"/>
  <c r="H10458" i="1"/>
  <c r="I10458" i="1"/>
  <c r="J10458" i="1"/>
  <c r="L10458" i="1"/>
  <c r="M10458" i="1"/>
  <c r="C10459" i="1"/>
  <c r="E10459" i="1"/>
  <c r="F10459" i="1"/>
  <c r="H10459" i="1"/>
  <c r="I10459" i="1"/>
  <c r="J10459" i="1"/>
  <c r="L10459" i="1"/>
  <c r="M10459" i="1"/>
  <c r="C10460" i="1"/>
  <c r="E10460" i="1"/>
  <c r="F10460" i="1"/>
  <c r="H10460" i="1"/>
  <c r="I10460" i="1"/>
  <c r="J10460" i="1"/>
  <c r="L10460" i="1"/>
  <c r="M10460" i="1"/>
  <c r="C10461" i="1"/>
  <c r="E10461" i="1"/>
  <c r="F10461" i="1"/>
  <c r="H10461" i="1"/>
  <c r="I10461" i="1"/>
  <c r="J10461" i="1"/>
  <c r="L10461" i="1"/>
  <c r="M10461" i="1"/>
  <c r="C10462" i="1"/>
  <c r="E10462" i="1"/>
  <c r="F10462" i="1"/>
  <c r="H10462" i="1"/>
  <c r="I10462" i="1"/>
  <c r="J10462" i="1"/>
  <c r="L10462" i="1"/>
  <c r="M10462" i="1"/>
  <c r="C10463" i="1"/>
  <c r="E10463" i="1"/>
  <c r="F10463" i="1"/>
  <c r="H10463" i="1"/>
  <c r="I10463" i="1"/>
  <c r="J10463" i="1"/>
  <c r="L10463" i="1"/>
  <c r="M10463" i="1"/>
  <c r="C10464" i="1"/>
  <c r="E10464" i="1"/>
  <c r="F10464" i="1"/>
  <c r="H10464" i="1"/>
  <c r="I10464" i="1"/>
  <c r="J10464" i="1"/>
  <c r="L10464" i="1"/>
  <c r="M10464" i="1"/>
  <c r="C10465" i="1"/>
  <c r="E10465" i="1"/>
  <c r="F10465" i="1"/>
  <c r="H10465" i="1"/>
  <c r="I10465" i="1"/>
  <c r="J10465" i="1"/>
  <c r="L10465" i="1"/>
  <c r="M10465" i="1"/>
  <c r="C10466" i="1"/>
  <c r="E10466" i="1"/>
  <c r="F10466" i="1"/>
  <c r="H10466" i="1"/>
  <c r="I10466" i="1"/>
  <c r="J10466" i="1"/>
  <c r="L10466" i="1"/>
  <c r="M10466" i="1"/>
  <c r="C10467" i="1"/>
  <c r="E10467" i="1"/>
  <c r="F10467" i="1"/>
  <c r="H10467" i="1"/>
  <c r="I10467" i="1"/>
  <c r="J10467" i="1"/>
  <c r="L10467" i="1"/>
  <c r="M10467" i="1"/>
  <c r="C10468" i="1"/>
  <c r="E10468" i="1"/>
  <c r="F10468" i="1"/>
  <c r="H10468" i="1"/>
  <c r="I10468" i="1"/>
  <c r="J10468" i="1"/>
  <c r="L10468" i="1"/>
  <c r="M10468" i="1"/>
  <c r="C10469" i="1"/>
  <c r="E10469" i="1"/>
  <c r="F10469" i="1"/>
  <c r="H10469" i="1"/>
  <c r="I10469" i="1"/>
  <c r="J10469" i="1"/>
  <c r="L10469" i="1"/>
  <c r="M10469" i="1"/>
  <c r="C10470" i="1"/>
  <c r="E10470" i="1"/>
  <c r="F10470" i="1"/>
  <c r="H10470" i="1"/>
  <c r="I10470" i="1"/>
  <c r="J10470" i="1"/>
  <c r="L10470" i="1"/>
  <c r="M10470" i="1"/>
  <c r="C10471" i="1"/>
  <c r="E10471" i="1"/>
  <c r="F10471" i="1"/>
  <c r="H10471" i="1"/>
  <c r="I10471" i="1"/>
  <c r="J10471" i="1"/>
  <c r="L10471" i="1"/>
  <c r="M10471" i="1"/>
  <c r="C10472" i="1"/>
  <c r="E10472" i="1"/>
  <c r="F10472" i="1"/>
  <c r="H10472" i="1"/>
  <c r="I10472" i="1"/>
  <c r="J10472" i="1"/>
  <c r="L10472" i="1"/>
  <c r="M10472" i="1"/>
  <c r="C10473" i="1"/>
  <c r="E10473" i="1"/>
  <c r="F10473" i="1"/>
  <c r="H10473" i="1"/>
  <c r="I10473" i="1"/>
  <c r="J10473" i="1"/>
  <c r="L10473" i="1"/>
  <c r="M10473" i="1"/>
  <c r="C10474" i="1"/>
  <c r="E10474" i="1"/>
  <c r="F10474" i="1"/>
  <c r="H10474" i="1"/>
  <c r="I10474" i="1"/>
  <c r="J10474" i="1"/>
  <c r="L10474" i="1"/>
  <c r="M10474" i="1"/>
  <c r="C10475" i="1"/>
  <c r="E10475" i="1"/>
  <c r="F10475" i="1"/>
  <c r="H10475" i="1"/>
  <c r="I10475" i="1"/>
  <c r="J10475" i="1"/>
  <c r="L10475" i="1"/>
  <c r="M10475" i="1"/>
  <c r="C10476" i="1"/>
  <c r="E10476" i="1"/>
  <c r="F10476" i="1"/>
  <c r="H10476" i="1"/>
  <c r="I10476" i="1"/>
  <c r="J10476" i="1"/>
  <c r="L10476" i="1"/>
  <c r="M10476" i="1"/>
  <c r="C10477" i="1"/>
  <c r="E10477" i="1"/>
  <c r="F10477" i="1"/>
  <c r="H10477" i="1"/>
  <c r="I10477" i="1"/>
  <c r="J10477" i="1"/>
  <c r="L10477" i="1"/>
  <c r="M10477" i="1"/>
  <c r="C10478" i="1"/>
  <c r="E10478" i="1"/>
  <c r="F10478" i="1"/>
  <c r="H10478" i="1"/>
  <c r="I10478" i="1"/>
  <c r="J10478" i="1"/>
  <c r="L10478" i="1"/>
  <c r="M10478" i="1"/>
  <c r="C10479" i="1"/>
  <c r="E10479" i="1"/>
  <c r="F10479" i="1"/>
  <c r="H10479" i="1"/>
  <c r="I10479" i="1"/>
  <c r="J10479" i="1"/>
  <c r="L10479" i="1"/>
  <c r="M10479" i="1"/>
  <c r="C10480" i="1"/>
  <c r="E10480" i="1"/>
  <c r="F10480" i="1"/>
  <c r="H10480" i="1"/>
  <c r="I10480" i="1"/>
  <c r="J10480" i="1"/>
  <c r="L10480" i="1"/>
  <c r="M10480" i="1"/>
  <c r="C10481" i="1"/>
  <c r="E10481" i="1"/>
  <c r="F10481" i="1"/>
  <c r="H10481" i="1"/>
  <c r="I10481" i="1"/>
  <c r="J10481" i="1"/>
  <c r="L10481" i="1"/>
  <c r="M10481" i="1"/>
  <c r="C10482" i="1"/>
  <c r="E10482" i="1"/>
  <c r="F10482" i="1"/>
  <c r="H10482" i="1"/>
  <c r="I10482" i="1"/>
  <c r="J10482" i="1"/>
  <c r="L10482" i="1"/>
  <c r="M10482" i="1"/>
  <c r="C10483" i="1"/>
  <c r="E10483" i="1"/>
  <c r="F10483" i="1"/>
  <c r="H10483" i="1"/>
  <c r="I10483" i="1"/>
  <c r="J10483" i="1"/>
  <c r="L10483" i="1"/>
  <c r="M10483" i="1"/>
  <c r="C10484" i="1"/>
  <c r="E10484" i="1"/>
  <c r="F10484" i="1"/>
  <c r="H10484" i="1"/>
  <c r="I10484" i="1"/>
  <c r="J10484" i="1"/>
  <c r="L10484" i="1"/>
  <c r="M10484" i="1"/>
  <c r="C10485" i="1"/>
  <c r="E10485" i="1"/>
  <c r="F10485" i="1"/>
  <c r="H10485" i="1"/>
  <c r="I10485" i="1"/>
  <c r="J10485" i="1"/>
  <c r="L10485" i="1"/>
  <c r="M10485" i="1"/>
  <c r="C10486" i="1"/>
  <c r="E10486" i="1"/>
  <c r="F10486" i="1"/>
  <c r="H10486" i="1"/>
  <c r="I10486" i="1"/>
  <c r="J10486" i="1"/>
  <c r="L10486" i="1"/>
  <c r="M10486" i="1"/>
  <c r="C10487" i="1"/>
  <c r="E10487" i="1"/>
  <c r="F10487" i="1"/>
  <c r="H10487" i="1"/>
  <c r="I10487" i="1"/>
  <c r="J10487" i="1"/>
  <c r="L10487" i="1"/>
  <c r="M10487" i="1"/>
  <c r="C10488" i="1"/>
  <c r="E10488" i="1"/>
  <c r="F10488" i="1"/>
  <c r="H10488" i="1"/>
  <c r="I10488" i="1"/>
  <c r="J10488" i="1"/>
  <c r="L10488" i="1"/>
  <c r="M10488" i="1"/>
  <c r="C10489" i="1"/>
  <c r="E10489" i="1"/>
  <c r="F10489" i="1"/>
  <c r="H10489" i="1"/>
  <c r="I10489" i="1"/>
  <c r="J10489" i="1"/>
  <c r="L10489" i="1"/>
  <c r="M10489" i="1"/>
  <c r="C10490" i="1"/>
  <c r="E10490" i="1"/>
  <c r="F10490" i="1"/>
  <c r="H10490" i="1"/>
  <c r="I10490" i="1"/>
  <c r="J10490" i="1"/>
  <c r="L10490" i="1"/>
  <c r="M10490" i="1"/>
  <c r="C10491" i="1"/>
  <c r="E10491" i="1"/>
  <c r="F10491" i="1"/>
  <c r="H10491" i="1"/>
  <c r="I10491" i="1"/>
  <c r="J10491" i="1"/>
  <c r="L10491" i="1"/>
  <c r="M10491" i="1"/>
  <c r="C10492" i="1"/>
  <c r="E10492" i="1"/>
  <c r="F10492" i="1"/>
  <c r="H10492" i="1"/>
  <c r="I10492" i="1"/>
  <c r="J10492" i="1"/>
  <c r="L10492" i="1"/>
  <c r="M10492" i="1"/>
  <c r="C10493" i="1"/>
  <c r="E10493" i="1"/>
  <c r="F10493" i="1"/>
  <c r="H10493" i="1"/>
  <c r="I10493" i="1"/>
  <c r="J10493" i="1"/>
  <c r="L10493" i="1"/>
  <c r="M10493" i="1"/>
  <c r="C10494" i="1"/>
  <c r="E10494" i="1"/>
  <c r="F10494" i="1"/>
  <c r="H10494" i="1"/>
  <c r="I10494" i="1"/>
  <c r="J10494" i="1"/>
  <c r="L10494" i="1"/>
  <c r="M10494" i="1"/>
  <c r="C10495" i="1"/>
  <c r="E10495" i="1"/>
  <c r="F10495" i="1"/>
  <c r="H10495" i="1"/>
  <c r="I10495" i="1"/>
  <c r="J10495" i="1"/>
  <c r="L10495" i="1"/>
  <c r="M10495" i="1"/>
  <c r="C10496" i="1"/>
  <c r="E10496" i="1"/>
  <c r="F10496" i="1"/>
  <c r="H10496" i="1"/>
  <c r="I10496" i="1"/>
  <c r="J10496" i="1"/>
  <c r="L10496" i="1"/>
  <c r="M10496" i="1"/>
  <c r="C10497" i="1"/>
  <c r="E10497" i="1"/>
  <c r="F10497" i="1"/>
  <c r="H10497" i="1"/>
  <c r="I10497" i="1"/>
  <c r="J10497" i="1"/>
  <c r="L10497" i="1"/>
  <c r="M10497" i="1"/>
  <c r="C10498" i="1"/>
  <c r="E10498" i="1"/>
  <c r="F10498" i="1"/>
  <c r="H10498" i="1"/>
  <c r="I10498" i="1"/>
  <c r="J10498" i="1"/>
  <c r="L10498" i="1"/>
  <c r="M10498" i="1"/>
  <c r="C10499" i="1"/>
  <c r="E10499" i="1"/>
  <c r="F10499" i="1"/>
  <c r="H10499" i="1"/>
  <c r="I10499" i="1"/>
  <c r="J10499" i="1"/>
  <c r="L10499" i="1"/>
  <c r="M10499" i="1"/>
  <c r="C10500" i="1"/>
  <c r="E10500" i="1"/>
  <c r="F10500" i="1"/>
  <c r="H10500" i="1"/>
  <c r="I10500" i="1"/>
  <c r="J10500" i="1"/>
  <c r="L10500" i="1"/>
  <c r="M10500" i="1"/>
  <c r="C10501" i="1"/>
  <c r="E10501" i="1"/>
  <c r="F10501" i="1"/>
  <c r="H10501" i="1"/>
  <c r="I10501" i="1"/>
  <c r="J10501" i="1"/>
  <c r="L10501" i="1"/>
  <c r="M10501" i="1"/>
  <c r="C10502" i="1"/>
  <c r="E10502" i="1"/>
  <c r="F10502" i="1"/>
  <c r="H10502" i="1"/>
  <c r="I10502" i="1"/>
  <c r="J10502" i="1"/>
  <c r="L10502" i="1"/>
  <c r="M10502" i="1"/>
  <c r="C10503" i="1"/>
  <c r="E10503" i="1"/>
  <c r="F10503" i="1"/>
  <c r="H10503" i="1"/>
  <c r="I10503" i="1"/>
  <c r="J10503" i="1"/>
  <c r="L10503" i="1"/>
  <c r="M10503" i="1"/>
  <c r="C10504" i="1"/>
  <c r="E10504" i="1"/>
  <c r="F10504" i="1"/>
  <c r="H10504" i="1"/>
  <c r="I10504" i="1"/>
  <c r="J10504" i="1"/>
  <c r="L10504" i="1"/>
  <c r="M10504" i="1"/>
  <c r="C10505" i="1"/>
  <c r="E10505" i="1"/>
  <c r="F10505" i="1"/>
  <c r="H10505" i="1"/>
  <c r="I10505" i="1"/>
  <c r="J10505" i="1"/>
  <c r="L10505" i="1"/>
  <c r="M10505" i="1"/>
  <c r="C10506" i="1"/>
  <c r="E10506" i="1"/>
  <c r="F10506" i="1"/>
  <c r="H10506" i="1"/>
  <c r="I10506" i="1"/>
  <c r="J10506" i="1"/>
  <c r="L10506" i="1"/>
  <c r="M10506" i="1"/>
  <c r="C10507" i="1"/>
  <c r="E10507" i="1"/>
  <c r="F10507" i="1"/>
  <c r="H10507" i="1"/>
  <c r="I10507" i="1"/>
  <c r="J10507" i="1"/>
  <c r="L10507" i="1"/>
  <c r="M10507" i="1"/>
  <c r="C10508" i="1"/>
  <c r="E10508" i="1"/>
  <c r="F10508" i="1"/>
  <c r="H10508" i="1"/>
  <c r="I10508" i="1"/>
  <c r="J10508" i="1"/>
  <c r="L10508" i="1"/>
  <c r="M10508" i="1"/>
  <c r="C10509" i="1"/>
  <c r="E10509" i="1"/>
  <c r="F10509" i="1"/>
  <c r="H10509" i="1"/>
  <c r="I10509" i="1"/>
  <c r="J10509" i="1"/>
  <c r="L10509" i="1"/>
  <c r="M10509" i="1"/>
  <c r="C10510" i="1"/>
  <c r="E10510" i="1"/>
  <c r="F10510" i="1"/>
  <c r="H10510" i="1"/>
  <c r="I10510" i="1"/>
  <c r="J10510" i="1"/>
  <c r="L10510" i="1"/>
  <c r="M10510" i="1"/>
  <c r="C10511" i="1"/>
  <c r="E10511" i="1"/>
  <c r="F10511" i="1"/>
  <c r="H10511" i="1"/>
  <c r="I10511" i="1"/>
  <c r="J10511" i="1"/>
  <c r="L10511" i="1"/>
  <c r="M10511" i="1"/>
  <c r="C10512" i="1"/>
  <c r="E10512" i="1"/>
  <c r="F10512" i="1"/>
  <c r="H10512" i="1"/>
  <c r="I10512" i="1"/>
  <c r="J10512" i="1"/>
  <c r="L10512" i="1"/>
  <c r="M10512" i="1"/>
  <c r="C10513" i="1"/>
  <c r="E10513" i="1"/>
  <c r="F10513" i="1"/>
  <c r="H10513" i="1"/>
  <c r="I10513" i="1"/>
  <c r="J10513" i="1"/>
  <c r="L10513" i="1"/>
  <c r="M10513" i="1"/>
  <c r="C10514" i="1"/>
  <c r="E10514" i="1"/>
  <c r="F10514" i="1"/>
  <c r="H10514" i="1"/>
  <c r="I10514" i="1"/>
  <c r="J10514" i="1"/>
  <c r="L10514" i="1"/>
  <c r="M10514" i="1"/>
  <c r="C10515" i="1"/>
  <c r="E10515" i="1"/>
  <c r="F10515" i="1"/>
  <c r="H10515" i="1"/>
  <c r="I10515" i="1"/>
  <c r="J10515" i="1"/>
  <c r="L10515" i="1"/>
  <c r="M10515" i="1"/>
  <c r="C10516" i="1"/>
  <c r="E10516" i="1"/>
  <c r="F10516" i="1"/>
  <c r="H10516" i="1"/>
  <c r="I10516" i="1"/>
  <c r="J10516" i="1"/>
  <c r="L10516" i="1"/>
  <c r="M10516" i="1"/>
  <c r="C10517" i="1"/>
  <c r="E10517" i="1"/>
  <c r="F10517" i="1"/>
  <c r="H10517" i="1"/>
  <c r="I10517" i="1"/>
  <c r="J10517" i="1"/>
  <c r="L10517" i="1"/>
  <c r="M10517" i="1"/>
  <c r="C10518" i="1"/>
  <c r="E10518" i="1"/>
  <c r="F10518" i="1"/>
  <c r="H10518" i="1"/>
  <c r="I10518" i="1"/>
  <c r="J10518" i="1"/>
  <c r="L10518" i="1"/>
  <c r="M10518" i="1"/>
  <c r="C10519" i="1"/>
  <c r="E10519" i="1"/>
  <c r="F10519" i="1"/>
  <c r="H10519" i="1"/>
  <c r="I10519" i="1"/>
  <c r="J10519" i="1"/>
  <c r="L10519" i="1"/>
  <c r="M10519" i="1"/>
  <c r="C10520" i="1"/>
  <c r="E10520" i="1"/>
  <c r="F10520" i="1"/>
  <c r="H10520" i="1"/>
  <c r="I10520" i="1"/>
  <c r="J10520" i="1"/>
  <c r="L10520" i="1"/>
  <c r="M10520" i="1"/>
  <c r="C10521" i="1"/>
  <c r="E10521" i="1"/>
  <c r="F10521" i="1"/>
  <c r="H10521" i="1"/>
  <c r="I10521" i="1"/>
  <c r="J10521" i="1"/>
  <c r="L10521" i="1"/>
  <c r="M10521" i="1"/>
  <c r="C10522" i="1"/>
  <c r="E10522" i="1"/>
  <c r="F10522" i="1"/>
  <c r="H10522" i="1"/>
  <c r="I10522" i="1"/>
  <c r="J10522" i="1"/>
  <c r="L10522" i="1"/>
  <c r="M10522" i="1"/>
  <c r="C10523" i="1"/>
  <c r="E10523" i="1"/>
  <c r="F10523" i="1"/>
  <c r="H10523" i="1"/>
  <c r="I10523" i="1"/>
  <c r="J10523" i="1"/>
  <c r="L10523" i="1"/>
  <c r="M10523" i="1"/>
  <c r="C10524" i="1"/>
  <c r="E10524" i="1"/>
  <c r="F10524" i="1"/>
  <c r="H10524" i="1"/>
  <c r="I10524" i="1"/>
  <c r="J10524" i="1"/>
  <c r="L10524" i="1"/>
  <c r="M10524" i="1"/>
  <c r="C10525" i="1"/>
  <c r="E10525" i="1"/>
  <c r="F10525" i="1"/>
  <c r="H10525" i="1"/>
  <c r="I10525" i="1"/>
  <c r="J10525" i="1"/>
  <c r="L10525" i="1"/>
  <c r="M10525" i="1"/>
  <c r="C10526" i="1"/>
  <c r="E10526" i="1"/>
  <c r="F10526" i="1"/>
  <c r="H10526" i="1"/>
  <c r="I10526" i="1"/>
  <c r="J10526" i="1"/>
  <c r="L10526" i="1"/>
  <c r="M10526" i="1"/>
  <c r="C10527" i="1"/>
  <c r="E10527" i="1"/>
  <c r="F10527" i="1"/>
  <c r="H10527" i="1"/>
  <c r="I10527" i="1"/>
  <c r="J10527" i="1"/>
  <c r="L10527" i="1"/>
  <c r="M10527" i="1"/>
  <c r="C10528" i="1"/>
  <c r="E10528" i="1"/>
  <c r="F10528" i="1"/>
  <c r="H10528" i="1"/>
  <c r="I10528" i="1"/>
  <c r="J10528" i="1"/>
  <c r="L10528" i="1"/>
  <c r="M10528" i="1"/>
  <c r="C10529" i="1"/>
  <c r="E10529" i="1"/>
  <c r="F10529" i="1"/>
  <c r="H10529" i="1"/>
  <c r="I10529" i="1"/>
  <c r="J10529" i="1"/>
  <c r="L10529" i="1"/>
  <c r="M10529" i="1"/>
  <c r="C10530" i="1"/>
  <c r="E10530" i="1"/>
  <c r="F10530" i="1"/>
  <c r="H10530" i="1"/>
  <c r="I10530" i="1"/>
  <c r="J10530" i="1"/>
  <c r="L10530" i="1"/>
  <c r="M10530" i="1"/>
  <c r="C10531" i="1"/>
  <c r="E10531" i="1"/>
  <c r="F10531" i="1"/>
  <c r="H10531" i="1"/>
  <c r="I10531" i="1"/>
  <c r="J10531" i="1"/>
  <c r="L10531" i="1"/>
  <c r="M10531" i="1"/>
  <c r="C10532" i="1"/>
  <c r="E10532" i="1"/>
  <c r="F10532" i="1"/>
  <c r="H10532" i="1"/>
  <c r="I10532" i="1"/>
  <c r="J10532" i="1"/>
  <c r="L10532" i="1"/>
  <c r="M10532" i="1"/>
  <c r="C10533" i="1"/>
  <c r="E10533" i="1"/>
  <c r="F10533" i="1"/>
  <c r="H10533" i="1"/>
  <c r="I10533" i="1"/>
  <c r="J10533" i="1"/>
  <c r="L10533" i="1"/>
  <c r="M10533" i="1"/>
  <c r="C10534" i="1"/>
  <c r="E10534" i="1"/>
  <c r="F10534" i="1"/>
  <c r="H10534" i="1"/>
  <c r="I10534" i="1"/>
  <c r="J10534" i="1"/>
  <c r="L10534" i="1"/>
  <c r="M10534" i="1"/>
  <c r="C10535" i="1"/>
  <c r="E10535" i="1"/>
  <c r="F10535" i="1"/>
  <c r="H10535" i="1"/>
  <c r="I10535" i="1"/>
  <c r="J10535" i="1"/>
  <c r="L10535" i="1"/>
  <c r="M10535" i="1"/>
  <c r="C10536" i="1"/>
  <c r="E10536" i="1"/>
  <c r="F10536" i="1"/>
  <c r="H10536" i="1"/>
  <c r="I10536" i="1"/>
  <c r="J10536" i="1"/>
  <c r="L10536" i="1"/>
  <c r="M10536" i="1"/>
  <c r="C10537" i="1"/>
  <c r="E10537" i="1"/>
  <c r="F10537" i="1"/>
  <c r="H10537" i="1"/>
  <c r="I10537" i="1"/>
  <c r="J10537" i="1"/>
  <c r="L10537" i="1"/>
  <c r="M10537" i="1"/>
  <c r="C10538" i="1"/>
  <c r="E10538" i="1"/>
  <c r="F10538" i="1"/>
  <c r="H10538" i="1"/>
  <c r="I10538" i="1"/>
  <c r="J10538" i="1"/>
  <c r="L10538" i="1"/>
  <c r="M10538" i="1"/>
  <c r="C10539" i="1"/>
  <c r="E10539" i="1"/>
  <c r="F10539" i="1"/>
  <c r="H10539" i="1"/>
  <c r="I10539" i="1"/>
  <c r="J10539" i="1"/>
  <c r="L10539" i="1"/>
  <c r="M10539" i="1"/>
  <c r="C10540" i="1"/>
  <c r="E10540" i="1"/>
  <c r="F10540" i="1"/>
  <c r="H10540" i="1"/>
  <c r="I10540" i="1"/>
  <c r="J10540" i="1"/>
  <c r="L10540" i="1"/>
  <c r="M10540" i="1"/>
  <c r="C10541" i="1"/>
  <c r="E10541" i="1"/>
  <c r="F10541" i="1"/>
  <c r="H10541" i="1"/>
  <c r="I10541" i="1"/>
  <c r="J10541" i="1"/>
  <c r="L10541" i="1"/>
  <c r="M10541" i="1"/>
  <c r="C10542" i="1"/>
  <c r="E10542" i="1"/>
  <c r="F10542" i="1"/>
  <c r="H10542" i="1"/>
  <c r="I10542" i="1"/>
  <c r="J10542" i="1"/>
  <c r="L10542" i="1"/>
  <c r="M10542" i="1"/>
  <c r="C10543" i="1"/>
  <c r="E10543" i="1"/>
  <c r="F10543" i="1"/>
  <c r="H10543" i="1"/>
  <c r="I10543" i="1"/>
  <c r="J10543" i="1"/>
  <c r="L10543" i="1"/>
  <c r="M10543" i="1"/>
  <c r="C10544" i="1"/>
  <c r="E10544" i="1"/>
  <c r="F10544" i="1"/>
  <c r="H10544" i="1"/>
  <c r="I10544" i="1"/>
  <c r="J10544" i="1"/>
  <c r="L10544" i="1"/>
  <c r="M10544" i="1"/>
  <c r="C10545" i="1"/>
  <c r="E10545" i="1"/>
  <c r="F10545" i="1"/>
  <c r="H10545" i="1"/>
  <c r="I10545" i="1"/>
  <c r="J10545" i="1"/>
  <c r="L10545" i="1"/>
  <c r="M10545" i="1"/>
  <c r="C10546" i="1"/>
  <c r="E10546" i="1"/>
  <c r="F10546" i="1"/>
  <c r="H10546" i="1"/>
  <c r="I10546" i="1"/>
  <c r="J10546" i="1"/>
  <c r="L10546" i="1"/>
  <c r="M10546" i="1"/>
  <c r="C10547" i="1"/>
  <c r="E10547" i="1"/>
  <c r="F10547" i="1"/>
  <c r="H10547" i="1"/>
  <c r="I10547" i="1"/>
  <c r="J10547" i="1"/>
  <c r="L10547" i="1"/>
  <c r="M10547" i="1"/>
  <c r="C10548" i="1"/>
  <c r="E10548" i="1"/>
  <c r="F10548" i="1"/>
  <c r="H10548" i="1"/>
  <c r="I10548" i="1"/>
  <c r="J10548" i="1"/>
  <c r="L10548" i="1"/>
  <c r="M10548" i="1"/>
  <c r="C10549" i="1"/>
  <c r="E10549" i="1"/>
  <c r="F10549" i="1"/>
  <c r="H10549" i="1"/>
  <c r="I10549" i="1"/>
  <c r="J10549" i="1"/>
  <c r="L10549" i="1"/>
  <c r="M10549" i="1"/>
  <c r="C10550" i="1"/>
  <c r="E10550" i="1"/>
  <c r="F10550" i="1"/>
  <c r="H10550" i="1"/>
  <c r="I10550" i="1"/>
  <c r="J10550" i="1"/>
  <c r="L10550" i="1"/>
  <c r="M10550" i="1"/>
  <c r="C10551" i="1"/>
  <c r="E10551" i="1"/>
  <c r="F10551" i="1"/>
  <c r="H10551" i="1"/>
  <c r="I10551" i="1"/>
  <c r="J10551" i="1"/>
  <c r="L10551" i="1"/>
  <c r="M10551" i="1"/>
  <c r="C10552" i="1"/>
  <c r="E10552" i="1"/>
  <c r="F10552" i="1"/>
  <c r="H10552" i="1"/>
  <c r="I10552" i="1"/>
  <c r="J10552" i="1"/>
  <c r="L10552" i="1"/>
  <c r="M10552" i="1"/>
  <c r="C10553" i="1"/>
  <c r="E10553" i="1"/>
  <c r="F10553" i="1"/>
  <c r="H10553" i="1"/>
  <c r="I10553" i="1"/>
  <c r="J10553" i="1"/>
  <c r="L10553" i="1"/>
  <c r="M10553" i="1"/>
  <c r="C10554" i="1"/>
  <c r="E10554" i="1"/>
  <c r="F10554" i="1"/>
  <c r="H10554" i="1"/>
  <c r="I10554" i="1"/>
  <c r="J10554" i="1"/>
  <c r="L10554" i="1"/>
  <c r="M10554" i="1"/>
  <c r="C10555" i="1"/>
  <c r="E10555" i="1"/>
  <c r="F10555" i="1"/>
  <c r="H10555" i="1"/>
  <c r="I10555" i="1"/>
  <c r="J10555" i="1"/>
  <c r="L10555" i="1"/>
  <c r="M10555" i="1"/>
  <c r="C10556" i="1"/>
  <c r="E10556" i="1"/>
  <c r="F10556" i="1"/>
  <c r="H10556" i="1"/>
  <c r="I10556" i="1"/>
  <c r="J10556" i="1"/>
  <c r="L10556" i="1"/>
  <c r="M10556" i="1"/>
  <c r="C10557" i="1"/>
  <c r="E10557" i="1"/>
  <c r="F10557" i="1"/>
  <c r="H10557" i="1"/>
  <c r="I10557" i="1"/>
  <c r="J10557" i="1"/>
  <c r="L10557" i="1"/>
  <c r="M10557" i="1"/>
  <c r="C10558" i="1"/>
  <c r="E10558" i="1"/>
  <c r="F10558" i="1"/>
  <c r="H10558" i="1"/>
  <c r="I10558" i="1"/>
  <c r="J10558" i="1"/>
  <c r="L10558" i="1"/>
  <c r="M10558" i="1"/>
  <c r="C10559" i="1"/>
  <c r="E10559" i="1"/>
  <c r="F10559" i="1"/>
  <c r="H10559" i="1"/>
  <c r="I10559" i="1"/>
  <c r="J10559" i="1"/>
  <c r="L10559" i="1"/>
  <c r="M10559" i="1"/>
  <c r="C10560" i="1"/>
  <c r="E10560" i="1"/>
  <c r="F10560" i="1"/>
  <c r="H10560" i="1"/>
  <c r="I10560" i="1"/>
  <c r="J10560" i="1"/>
  <c r="L10560" i="1"/>
  <c r="M10560" i="1"/>
  <c r="C10561" i="1"/>
  <c r="E10561" i="1"/>
  <c r="F10561" i="1"/>
  <c r="H10561" i="1"/>
  <c r="I10561" i="1"/>
  <c r="J10561" i="1"/>
  <c r="L10561" i="1"/>
  <c r="M10561" i="1"/>
  <c r="C10562" i="1"/>
  <c r="E10562" i="1"/>
  <c r="F10562" i="1"/>
  <c r="H10562" i="1"/>
  <c r="I10562" i="1"/>
  <c r="J10562" i="1"/>
  <c r="L10562" i="1"/>
  <c r="M10562" i="1"/>
  <c r="C10563" i="1"/>
  <c r="E10563" i="1"/>
  <c r="F10563" i="1"/>
  <c r="H10563" i="1"/>
  <c r="I10563" i="1"/>
  <c r="J10563" i="1"/>
  <c r="L10563" i="1"/>
  <c r="M10563" i="1"/>
  <c r="C10564" i="1"/>
  <c r="E10564" i="1"/>
  <c r="F10564" i="1"/>
  <c r="H10564" i="1"/>
  <c r="I10564" i="1"/>
  <c r="J10564" i="1"/>
  <c r="L10564" i="1"/>
  <c r="M10564" i="1"/>
  <c r="C10565" i="1"/>
  <c r="E10565" i="1"/>
  <c r="F10565" i="1"/>
  <c r="H10565" i="1"/>
  <c r="I10565" i="1"/>
  <c r="J10565" i="1"/>
  <c r="L10565" i="1"/>
  <c r="M10565" i="1"/>
  <c r="C10566" i="1"/>
  <c r="E10566" i="1"/>
  <c r="F10566" i="1"/>
  <c r="H10566" i="1"/>
  <c r="I10566" i="1"/>
  <c r="J10566" i="1"/>
  <c r="L10566" i="1"/>
  <c r="M10566" i="1"/>
  <c r="C10567" i="1"/>
  <c r="E10567" i="1"/>
  <c r="F10567" i="1"/>
  <c r="H10567" i="1"/>
  <c r="I10567" i="1"/>
  <c r="J10567" i="1"/>
  <c r="L10567" i="1"/>
  <c r="M10567" i="1"/>
  <c r="C10568" i="1"/>
  <c r="E10568" i="1"/>
  <c r="F10568" i="1"/>
  <c r="H10568" i="1"/>
  <c r="I10568" i="1"/>
  <c r="J10568" i="1"/>
  <c r="L10568" i="1"/>
  <c r="M10568" i="1"/>
  <c r="C10569" i="1"/>
  <c r="E10569" i="1"/>
  <c r="F10569" i="1"/>
  <c r="H10569" i="1"/>
  <c r="I10569" i="1"/>
  <c r="J10569" i="1"/>
  <c r="L10569" i="1"/>
  <c r="M10569" i="1"/>
  <c r="C10570" i="1"/>
  <c r="E10570" i="1"/>
  <c r="F10570" i="1"/>
  <c r="H10570" i="1"/>
  <c r="I10570" i="1"/>
  <c r="J10570" i="1"/>
  <c r="L10570" i="1"/>
  <c r="M10570" i="1"/>
  <c r="C10571" i="1"/>
  <c r="E10571" i="1"/>
  <c r="F10571" i="1"/>
  <c r="H10571" i="1"/>
  <c r="I10571" i="1"/>
  <c r="J10571" i="1"/>
  <c r="L10571" i="1"/>
  <c r="M10571" i="1"/>
  <c r="C10572" i="1"/>
  <c r="E10572" i="1"/>
  <c r="F10572" i="1"/>
  <c r="H10572" i="1"/>
  <c r="I10572" i="1"/>
  <c r="J10572" i="1"/>
  <c r="L10572" i="1"/>
  <c r="M10572" i="1"/>
  <c r="C10573" i="1"/>
  <c r="E10573" i="1"/>
  <c r="F10573" i="1"/>
  <c r="H10573" i="1"/>
  <c r="I10573" i="1"/>
  <c r="J10573" i="1"/>
  <c r="L10573" i="1"/>
  <c r="M10573" i="1"/>
  <c r="C10574" i="1"/>
  <c r="E10574" i="1"/>
  <c r="F10574" i="1"/>
  <c r="H10574" i="1"/>
  <c r="I10574" i="1"/>
  <c r="J10574" i="1"/>
  <c r="L10574" i="1"/>
  <c r="M10574" i="1"/>
  <c r="C10575" i="1"/>
  <c r="E10575" i="1"/>
  <c r="F10575" i="1"/>
  <c r="H10575" i="1"/>
  <c r="I10575" i="1"/>
  <c r="J10575" i="1"/>
  <c r="L10575" i="1"/>
  <c r="M10575" i="1"/>
  <c r="C10576" i="1"/>
  <c r="E10576" i="1"/>
  <c r="F10576" i="1"/>
  <c r="H10576" i="1"/>
  <c r="I10576" i="1"/>
  <c r="J10576" i="1"/>
  <c r="L10576" i="1"/>
  <c r="M10576" i="1"/>
  <c r="C10577" i="1"/>
  <c r="E10577" i="1"/>
  <c r="F10577" i="1"/>
  <c r="H10577" i="1"/>
  <c r="I10577" i="1"/>
  <c r="J10577" i="1"/>
  <c r="L10577" i="1"/>
  <c r="M10577" i="1"/>
  <c r="C10578" i="1"/>
  <c r="E10578" i="1"/>
  <c r="F10578" i="1"/>
  <c r="H10578" i="1"/>
  <c r="I10578" i="1"/>
  <c r="J10578" i="1"/>
  <c r="L10578" i="1"/>
  <c r="M10578" i="1"/>
  <c r="C10579" i="1"/>
  <c r="E10579" i="1"/>
  <c r="F10579" i="1"/>
  <c r="H10579" i="1"/>
  <c r="I10579" i="1"/>
  <c r="J10579" i="1"/>
  <c r="L10579" i="1"/>
  <c r="M10579" i="1"/>
  <c r="C10580" i="1"/>
  <c r="E10580" i="1"/>
  <c r="F10580" i="1"/>
  <c r="H10580" i="1"/>
  <c r="I10580" i="1"/>
  <c r="J10580" i="1"/>
  <c r="L10580" i="1"/>
  <c r="M10580" i="1"/>
  <c r="C10581" i="1"/>
  <c r="E10581" i="1"/>
  <c r="F10581" i="1"/>
  <c r="H10581" i="1"/>
  <c r="I10581" i="1"/>
  <c r="J10581" i="1"/>
  <c r="L10581" i="1"/>
  <c r="M10581" i="1"/>
  <c r="C10582" i="1"/>
  <c r="E10582" i="1"/>
  <c r="F10582" i="1"/>
  <c r="H10582" i="1"/>
  <c r="I10582" i="1"/>
  <c r="J10582" i="1"/>
  <c r="L10582" i="1"/>
  <c r="M10582" i="1"/>
  <c r="C10583" i="1"/>
  <c r="E10583" i="1"/>
  <c r="F10583" i="1"/>
  <c r="H10583" i="1"/>
  <c r="I10583" i="1"/>
  <c r="J10583" i="1"/>
  <c r="L10583" i="1"/>
  <c r="M10583" i="1"/>
  <c r="C10584" i="1"/>
  <c r="E10584" i="1"/>
  <c r="F10584" i="1"/>
  <c r="H10584" i="1"/>
  <c r="I10584" i="1"/>
  <c r="J10584" i="1"/>
  <c r="L10584" i="1"/>
  <c r="M10584" i="1"/>
  <c r="C10585" i="1"/>
  <c r="E10585" i="1"/>
  <c r="F10585" i="1"/>
  <c r="H10585" i="1"/>
  <c r="I10585" i="1"/>
  <c r="J10585" i="1"/>
  <c r="L10585" i="1"/>
  <c r="M10585" i="1"/>
  <c r="C10586" i="1"/>
  <c r="E10586" i="1"/>
  <c r="F10586" i="1"/>
  <c r="H10586" i="1"/>
  <c r="I10586" i="1"/>
  <c r="J10586" i="1"/>
  <c r="L10586" i="1"/>
  <c r="M10586" i="1"/>
  <c r="C10587" i="1"/>
  <c r="E10587" i="1"/>
  <c r="F10587" i="1"/>
  <c r="H10587" i="1"/>
  <c r="I10587" i="1"/>
  <c r="J10587" i="1"/>
  <c r="L10587" i="1"/>
  <c r="M10587" i="1"/>
  <c r="C10588" i="1"/>
  <c r="E10588" i="1"/>
  <c r="F10588" i="1"/>
  <c r="H10588" i="1"/>
  <c r="I10588" i="1"/>
  <c r="J10588" i="1"/>
  <c r="L10588" i="1"/>
  <c r="M10588" i="1"/>
  <c r="C10589" i="1"/>
  <c r="E10589" i="1"/>
  <c r="F10589" i="1"/>
  <c r="H10589" i="1"/>
  <c r="I10589" i="1"/>
  <c r="J10589" i="1"/>
  <c r="L10589" i="1"/>
  <c r="M10589" i="1"/>
  <c r="C10590" i="1"/>
  <c r="E10590" i="1"/>
  <c r="F10590" i="1"/>
  <c r="H10590" i="1"/>
  <c r="I10590" i="1"/>
  <c r="J10590" i="1"/>
  <c r="L10590" i="1"/>
  <c r="M10590" i="1"/>
  <c r="C10591" i="1"/>
  <c r="E10591" i="1"/>
  <c r="F10591" i="1"/>
  <c r="H10591" i="1"/>
  <c r="I10591" i="1"/>
  <c r="J10591" i="1"/>
  <c r="L10591" i="1"/>
  <c r="M10591" i="1"/>
</calcChain>
</file>

<file path=xl/sharedStrings.xml><?xml version="1.0" encoding="utf-8"?>
<sst xmlns="http://schemas.openxmlformats.org/spreadsheetml/2006/main" count="52930" uniqueCount="8403">
  <si>
    <t>gl file id</t>
  </si>
  <si>
    <t>fund</t>
  </si>
  <si>
    <t>func</t>
  </si>
  <si>
    <t>obj</t>
  </si>
  <si>
    <t>sobj</t>
  </si>
  <si>
    <t>org</t>
  </si>
  <si>
    <t>fscl_yr</t>
  </si>
  <si>
    <t>pgm</t>
  </si>
  <si>
    <t>ed span</t>
  </si>
  <si>
    <t>proj dtl</t>
  </si>
  <si>
    <t>check dt</t>
  </si>
  <si>
    <t>check nbr</t>
  </si>
  <si>
    <t>vendor nbr</t>
  </si>
  <si>
    <t>vendor name</t>
  </si>
  <si>
    <t>net expend amt</t>
  </si>
  <si>
    <t>trans dt</t>
  </si>
  <si>
    <t>account nbr</t>
  </si>
  <si>
    <t>cf_rsn</t>
  </si>
  <si>
    <t>fund descr</t>
  </si>
  <si>
    <t>org descr</t>
  </si>
  <si>
    <t xml:space="preserve">LINCOLN NATIONAL LIFE </t>
  </si>
  <si>
    <t>163-00-2153.00-141-900000</t>
  </si>
  <si>
    <t>SEP DED LIFE INSURANCE</t>
  </si>
  <si>
    <t>PAYROLL</t>
  </si>
  <si>
    <t xml:space="preserve">LINCOLN LIFE AD&amp;D </t>
  </si>
  <si>
    <t>163-00-2153.00-142-900000</t>
  </si>
  <si>
    <t xml:space="preserve">SEP DED HEALTH </t>
  </si>
  <si>
    <t>LINCOLN DENTAL INS</t>
  </si>
  <si>
    <t xml:space="preserve">AMERICAN FAMILY LIFE </t>
  </si>
  <si>
    <t>163-00-2153.00-022-900000</t>
  </si>
  <si>
    <t>AMER FAMILY LIFE ASR-</t>
  </si>
  <si>
    <t>A.F.T. #04905</t>
  </si>
  <si>
    <t>163-00-2159.00-018-900000</t>
  </si>
  <si>
    <t xml:space="preserve">SEP DED MISCELLANEOUS </t>
  </si>
  <si>
    <t>AFT DUES</t>
  </si>
  <si>
    <t xml:space="preserve">AMERICAN HERITAGE LIFE </t>
  </si>
  <si>
    <t>163-00-2153.00-053-900000</t>
  </si>
  <si>
    <t>CONSECO ACCIDENT</t>
  </si>
  <si>
    <t>ATPE 07710</t>
  </si>
  <si>
    <t>163-00-2159.00-009-900000</t>
  </si>
  <si>
    <t>ATPE DUES</t>
  </si>
  <si>
    <t>SUPERIOR VISION</t>
  </si>
  <si>
    <t>163-00-2153.00-011-900000</t>
  </si>
  <si>
    <t>Conversion Added</t>
  </si>
  <si>
    <t>C-CAUSE</t>
  </si>
  <si>
    <t>163-00-2159.00-104-900000</t>
  </si>
  <si>
    <t>INTERMEDIATE</t>
  </si>
  <si>
    <t xml:space="preserve">LOYAL AMERICAN LIFE </t>
  </si>
  <si>
    <t>163-00-2153.00-110-900000</t>
  </si>
  <si>
    <t>LOYAL AMERICAN LIFE</t>
  </si>
  <si>
    <t xml:space="preserve">NATIONAL BENEFIT </t>
  </si>
  <si>
    <t>163-00-2159.00-131-900000</t>
  </si>
  <si>
    <t>SEP DED TAX SHEL. ANNUITY</t>
  </si>
  <si>
    <t>PLAN MEMBER SERVICES</t>
  </si>
  <si>
    <t xml:space="preserve">STANDARD INSURANCE </t>
  </si>
  <si>
    <t>163-00-2159.00-111-900000</t>
  </si>
  <si>
    <t>STANDARD INSURANCE</t>
  </si>
  <si>
    <t>TASC</t>
  </si>
  <si>
    <t>163-00-2153.00-006-900000</t>
  </si>
  <si>
    <t>TASC UNREIMB MED</t>
  </si>
  <si>
    <t xml:space="preserve">TULOSO MIDWAY </t>
  </si>
  <si>
    <t>163-00-2159.00-106-900000</t>
  </si>
  <si>
    <t xml:space="preserve">TMPM INTERMEDIATE </t>
  </si>
  <si>
    <t>TULOSO MIDWAY PRIMARY</t>
  </si>
  <si>
    <t>163-00-2159.00-007-900000</t>
  </si>
  <si>
    <t>TMPM</t>
  </si>
  <si>
    <t>TULOSO MIDWAY ISD</t>
  </si>
  <si>
    <t>163-00-2159.00-100-900000</t>
  </si>
  <si>
    <t>FINGERPRINTING</t>
  </si>
  <si>
    <t>USB HEALTH LLC</t>
  </si>
  <si>
    <t>163-00-2159.00-129-900000</t>
  </si>
  <si>
    <t>TELADOC</t>
  </si>
  <si>
    <t xml:space="preserve">COMPANION LIFE </t>
  </si>
  <si>
    <t>163-00-2159.00-143-900000</t>
  </si>
  <si>
    <t>COMPANION LIFE</t>
  </si>
  <si>
    <t>LIFELOCK</t>
  </si>
  <si>
    <t>163-00-2159.00-146-900000</t>
  </si>
  <si>
    <t>TRELLIS COMPANY</t>
  </si>
  <si>
    <t>163-00-2159.00-147-900000</t>
  </si>
  <si>
    <t>TRELLIS</t>
  </si>
  <si>
    <t xml:space="preserve">PERFORMANT RECOVERY </t>
  </si>
  <si>
    <t>163-00-2159.00-149-900000</t>
  </si>
  <si>
    <t>GREAT LAKES</t>
  </si>
  <si>
    <t>LANDSHARK</t>
  </si>
  <si>
    <t>163-00-2159.00-068-900000</t>
  </si>
  <si>
    <t xml:space="preserve">BAY AREA MEMBERSHIP </t>
  </si>
  <si>
    <t>CINDY BOUDLOCHE, 20682</t>
  </si>
  <si>
    <t>163-00-2159.00-014-900000</t>
  </si>
  <si>
    <t>BOUDLOCHE, TRUSTEE</t>
  </si>
  <si>
    <t xml:space="preserve">JEFFERSON NATIONAL LIFE </t>
  </si>
  <si>
    <t>163-00-2153.00-024-900000</t>
  </si>
  <si>
    <t xml:space="preserve">JEFFERSON NATIONAL </t>
  </si>
  <si>
    <t xml:space="preserve">WASHINGTON NATIONAL INS </t>
  </si>
  <si>
    <t>163-00-2153.00-026-900000</t>
  </si>
  <si>
    <t>CONSECO VARIABLE-CAN</t>
  </si>
  <si>
    <t xml:space="preserve">CORPUS CHRISTI ATHLETIC </t>
  </si>
  <si>
    <t>163-00-2159.00-117-900000</t>
  </si>
  <si>
    <t>H/S BAND</t>
  </si>
  <si>
    <t xml:space="preserve">PRE-PAID LEGAL SERVICES, </t>
  </si>
  <si>
    <t>163-00-2159.00-140-900000</t>
  </si>
  <si>
    <t>LEGALSHIELD</t>
  </si>
  <si>
    <t>163-00-2159.00-032-900000</t>
  </si>
  <si>
    <t>WADDELL &amp; REED ANNUITY</t>
  </si>
  <si>
    <t>163-00-2159.00-033-900000</t>
  </si>
  <si>
    <t>JEFFERSON NATIONAL LIFE</t>
  </si>
  <si>
    <t>163-00-2159.00-041-900000</t>
  </si>
  <si>
    <t>MIDDLE SCHOOL</t>
  </si>
  <si>
    <t>163-00-2159.00-042-900000</t>
  </si>
  <si>
    <t>GREAT AMERICAN LIFE</t>
  </si>
  <si>
    <t>163-00-2159.00-046-900000</t>
  </si>
  <si>
    <t>NORTHERN/RELIASTAR</t>
  </si>
  <si>
    <t>163-00-2159.00-058-900000</t>
  </si>
  <si>
    <t>LIFE INS CO OF THE SW</t>
  </si>
  <si>
    <t>163-00-2159.00-059-900000</t>
  </si>
  <si>
    <t>AVIVA</t>
  </si>
  <si>
    <t>163-00-2159.00-072-900000</t>
  </si>
  <si>
    <t>TRANSAMERICA LIFE</t>
  </si>
  <si>
    <t>163-00-2159.00-075-900000</t>
  </si>
  <si>
    <t xml:space="preserve">AMERICAN FUNDS SERVICE </t>
  </si>
  <si>
    <t>163-00-2159.00-078-900000</t>
  </si>
  <si>
    <t>PRIMERICA</t>
  </si>
  <si>
    <t>163-00-2159.00-082-900000</t>
  </si>
  <si>
    <t>OPPENHEIMER FUNDS</t>
  </si>
  <si>
    <t>163-00-2159.00-091-900000</t>
  </si>
  <si>
    <t xml:space="preserve">GREAT AMERICAN </t>
  </si>
  <si>
    <t>163-00-2159.00-122-900000</t>
  </si>
  <si>
    <t>SEP DED ROTH ANNUITY</t>
  </si>
  <si>
    <t>LIFE INS COMPANY OF SW</t>
  </si>
  <si>
    <t>163-00-2159.00-130-900000</t>
  </si>
  <si>
    <t xml:space="preserve">SEP DED 457 DEFERRED </t>
  </si>
  <si>
    <t>163-00-2159.00-136-900000</t>
  </si>
  <si>
    <t xml:space="preserve">SEP DED PAYROLL </t>
  </si>
  <si>
    <t xml:space="preserve">NATIONAL LIFE GROUP 457b </t>
  </si>
  <si>
    <t>163-00-2159.00-137-900000</t>
  </si>
  <si>
    <t xml:space="preserve">PLAN MEMBER SERVICES </t>
  </si>
  <si>
    <t>163-00-2159.00-138-900000</t>
  </si>
  <si>
    <t>163-00-2159.00-150-900000</t>
  </si>
  <si>
    <t>VALIC</t>
  </si>
  <si>
    <t>INCORRECT AMOUNT</t>
  </si>
  <si>
    <t>TCTA 77030</t>
  </si>
  <si>
    <t>163-00-2159.00-048-900000</t>
  </si>
  <si>
    <t xml:space="preserve">TEX CLASSROOM TCH </t>
  </si>
  <si>
    <t>TSTA 79562</t>
  </si>
  <si>
    <t>163-00-2159.00-005-900000</t>
  </si>
  <si>
    <t>SEP DED TSTA DUES</t>
  </si>
  <si>
    <t>TSTA</t>
  </si>
  <si>
    <t>TEXAS TEACHERS</t>
  </si>
  <si>
    <t>163-00-2159.00-034-900000</t>
  </si>
  <si>
    <t xml:space="preserve">TX TEACHERS OF </t>
  </si>
  <si>
    <t xml:space="preserve">TMISD EDUCATION </t>
  </si>
  <si>
    <t>163-00-2159.00-086-900000</t>
  </si>
  <si>
    <t>EDUCATION FOUNDATION</t>
  </si>
  <si>
    <t>163-00-2159.00-103-900000</t>
  </si>
  <si>
    <t>MISC REIMBURSEMENT</t>
  </si>
  <si>
    <t xml:space="preserve">US DEPARTMENT OF </t>
  </si>
  <si>
    <t>163-00-2159.00-123-900000</t>
  </si>
  <si>
    <t>MONTHLY DEDS</t>
  </si>
  <si>
    <t>OCT DED LIFE INSURANCE</t>
  </si>
  <si>
    <t xml:space="preserve">OCT DED HEALTH </t>
  </si>
  <si>
    <t>1-800MD, LLC</t>
  </si>
  <si>
    <t>163-00-2159.00-148-900000</t>
  </si>
  <si>
    <t xml:space="preserve">OCT DED MISCELLANEOUS </t>
  </si>
  <si>
    <t>1-800MD</t>
  </si>
  <si>
    <t xml:space="preserve">CORPUS CHRISTI CCAUSE </t>
  </si>
  <si>
    <t>OCT DED TAX SHEL. ANNUITY</t>
  </si>
  <si>
    <t>FCSTAT</t>
  </si>
  <si>
    <t>163-00-2159.00-108-900000</t>
  </si>
  <si>
    <t xml:space="preserve">FAMILY AND CONSUMER </t>
  </si>
  <si>
    <t>OCT DED ROTH ANNUITY</t>
  </si>
  <si>
    <t xml:space="preserve">OCT DED 457 DEFERRED </t>
  </si>
  <si>
    <t xml:space="preserve">OCT DED PAYROLL </t>
  </si>
  <si>
    <t>163-00-2159.00-099-900000</t>
  </si>
  <si>
    <t xml:space="preserve">OCT DED DEPENDENT CHILD </t>
  </si>
  <si>
    <t>TASC CHILD CARE</t>
  </si>
  <si>
    <t>OCT DED TSTA DUES</t>
  </si>
  <si>
    <t>ONE TIME VENDOR</t>
  </si>
  <si>
    <t>REFUND-LAURA E. GARCIA</t>
  </si>
  <si>
    <t>163-00-2153.00-111-900000</t>
  </si>
  <si>
    <t>NOV DED LIFE INSURANCE</t>
  </si>
  <si>
    <t xml:space="preserve">NOV DED HEALTH </t>
  </si>
  <si>
    <t xml:space="preserve">NOV DED MISCELLANEOUS </t>
  </si>
  <si>
    <t>NOV DED TAX SHEL. ANNUITY</t>
  </si>
  <si>
    <t>NOV DED ROTH ANNUITY</t>
  </si>
  <si>
    <t xml:space="preserve">NOV DED 457 DEFERRED </t>
  </si>
  <si>
    <t xml:space="preserve">NOV DED PAYROLL </t>
  </si>
  <si>
    <t xml:space="preserve">NOV DED DEPENDENT CHILD </t>
  </si>
  <si>
    <t>NOV DED TSTA DUES</t>
  </si>
  <si>
    <t>DEC DED LIFE INSURANCE</t>
  </si>
  <si>
    <t xml:space="preserve">DEC DED HEALTH </t>
  </si>
  <si>
    <t xml:space="preserve">DEC DED MISCELLANEOUS </t>
  </si>
  <si>
    <t>DEC DED TAX SHEL. ANNUITY</t>
  </si>
  <si>
    <t>DEC DED ROTH ANNUITY</t>
  </si>
  <si>
    <t xml:space="preserve">DEC DED 457 DEFERRED </t>
  </si>
  <si>
    <t xml:space="preserve">DEC DED PAYROLL </t>
  </si>
  <si>
    <t xml:space="preserve">DEC DED DEPENDENT CHILD </t>
  </si>
  <si>
    <t>DEC DED TSTA DUES</t>
  </si>
  <si>
    <t>LIAB ACCT CODE</t>
  </si>
  <si>
    <t>163-00-2153.00-112-900000</t>
  </si>
  <si>
    <t xml:space="preserve">SUMMER DED - BLOCK </t>
  </si>
  <si>
    <t>JAN DED LIFE INSURANCE</t>
  </si>
  <si>
    <t xml:space="preserve">JAN DED HEALTH </t>
  </si>
  <si>
    <t xml:space="preserve">JAN DED MISCELLANEOUS </t>
  </si>
  <si>
    <t>JAN DED TAX SHEL. ANNUITY</t>
  </si>
  <si>
    <t>JAN DED ROTH ANNUITY</t>
  </si>
  <si>
    <t xml:space="preserve">JAN DED 457 DEFERRED </t>
  </si>
  <si>
    <t xml:space="preserve">JAN DED PAYROLL </t>
  </si>
  <si>
    <t xml:space="preserve">JAN DED DEPENDENT CHILD </t>
  </si>
  <si>
    <t>JAN DED TSTA DUES</t>
  </si>
  <si>
    <t>FEB DED LIFE INSURANCE</t>
  </si>
  <si>
    <t xml:space="preserve">FEB DED HEALTH </t>
  </si>
  <si>
    <t xml:space="preserve">FEB DED MISCELLANEOUS </t>
  </si>
  <si>
    <t>FEB DED TAX SHEL. ANNUITY</t>
  </si>
  <si>
    <t>FEB DED ROTH ANNUITY</t>
  </si>
  <si>
    <t xml:space="preserve">FEB DED 457 DEFERRED </t>
  </si>
  <si>
    <t xml:space="preserve">FEB DED PAYROLL </t>
  </si>
  <si>
    <t xml:space="preserve">FEB DED DEPENDENT CHILD </t>
  </si>
  <si>
    <t>FEB DED TSTA DUES</t>
  </si>
  <si>
    <t xml:space="preserve">U. S. DEPARTMENT OF </t>
  </si>
  <si>
    <t>MAR DED LIFE INSURANCE</t>
  </si>
  <si>
    <t xml:space="preserve">MAR DED HEALTH </t>
  </si>
  <si>
    <t xml:space="preserve">MAR DED MISCELLANEOUS </t>
  </si>
  <si>
    <t>MAR DED TAX SHEL. ANNUITY</t>
  </si>
  <si>
    <t>MAR DED ROTH ANNUITY</t>
  </si>
  <si>
    <t xml:space="preserve">MAR DED 457 DEFERRED </t>
  </si>
  <si>
    <t xml:space="preserve">MAR DED PAYROLL </t>
  </si>
  <si>
    <t xml:space="preserve">MAR DED DEPENDENT CHILD </t>
  </si>
  <si>
    <t>MAR DED TSTA DUES</t>
  </si>
  <si>
    <t>HAD TWO REFUNDS</t>
  </si>
  <si>
    <t>APR DED LIFE INSURANCE</t>
  </si>
  <si>
    <t xml:space="preserve">APR DED HEALTH </t>
  </si>
  <si>
    <t xml:space="preserve">APR DED MISCELLANEOUS </t>
  </si>
  <si>
    <t>APR DED TAX SHEL. ANNUITY</t>
  </si>
  <si>
    <t>APR DED ROTH ANNUITY</t>
  </si>
  <si>
    <t xml:space="preserve">APR DED 457 DEFERRED </t>
  </si>
  <si>
    <t xml:space="preserve">APR DED PAYROLL </t>
  </si>
  <si>
    <t xml:space="preserve">APR DED DEPENDENT CHILD </t>
  </si>
  <si>
    <t>APR DED TSTA DUES</t>
  </si>
  <si>
    <t>HELEN J. SMITH-REFUND</t>
  </si>
  <si>
    <t>163-00-2153.00-144-900000</t>
  </si>
  <si>
    <t>SUMMER - LINCOLN AD&amp;D</t>
  </si>
  <si>
    <t>163-00-2153.00-145-900000</t>
  </si>
  <si>
    <t>SUMMER - LINCOLN DENTAL</t>
  </si>
  <si>
    <t>163-00-2159.00-151-900000</t>
  </si>
  <si>
    <t>SUMMER DED 1-800 MD</t>
  </si>
  <si>
    <t>MAY DED LIFE INSURANCE</t>
  </si>
  <si>
    <t xml:space="preserve">MAY DED HEALTH </t>
  </si>
  <si>
    <t xml:space="preserve">MAY DED MISCELLANEOUS </t>
  </si>
  <si>
    <t>MAY DED TAX SHEL. ANNUITY</t>
  </si>
  <si>
    <t>MAY DED ROTH ANNUITY</t>
  </si>
  <si>
    <t xml:space="preserve">MAY DED 457 DEFERRED </t>
  </si>
  <si>
    <t xml:space="preserve">MAY DED PAYROLL </t>
  </si>
  <si>
    <t xml:space="preserve">MAY DED DEPENDENT CHILD </t>
  </si>
  <si>
    <t>MAY DED TSTA DUES</t>
  </si>
  <si>
    <t>JUN DED LIFE INSURANCE</t>
  </si>
  <si>
    <t xml:space="preserve">JUN DED HEALTH </t>
  </si>
  <si>
    <t xml:space="preserve">JUN DED MISCELLANEOUS </t>
  </si>
  <si>
    <t>JUN DED TAX SHEL. ANNUITY</t>
  </si>
  <si>
    <t>JUN DED ROTH ANNUITY</t>
  </si>
  <si>
    <t xml:space="preserve">JUN DED 457 DEFERRED </t>
  </si>
  <si>
    <t xml:space="preserve">JUN DED PAYROLL </t>
  </si>
  <si>
    <t xml:space="preserve">JUN DED DEPENDENT CHILD </t>
  </si>
  <si>
    <t>JUN DED TSTA DUES</t>
  </si>
  <si>
    <t>163-00-2159.00-113-900000</t>
  </si>
  <si>
    <t xml:space="preserve">SUMMER DED - STANDARD </t>
  </si>
  <si>
    <t>163-00-2153.00-128-900000</t>
  </si>
  <si>
    <t xml:space="preserve">SUMMER - DED TASC </t>
  </si>
  <si>
    <t>JUL DED LIFE INSURANCE</t>
  </si>
  <si>
    <t>JUL DED HEALTH INSURANCE</t>
  </si>
  <si>
    <t xml:space="preserve">JUL DED MISCELLANEOUS </t>
  </si>
  <si>
    <t>JUL DED TAX SHEL. ANNUITY</t>
  </si>
  <si>
    <t>JUL DED ROTH ANNUITY</t>
  </si>
  <si>
    <t xml:space="preserve">JUL DED 457 DEFERRED </t>
  </si>
  <si>
    <t xml:space="preserve">JUL DED PAYROLL </t>
  </si>
  <si>
    <t xml:space="preserve">JUL DED DEPENDENT CHILD </t>
  </si>
  <si>
    <t>JUL DED TSTA DUES</t>
  </si>
  <si>
    <t>SILVAS, MICHAEL A</t>
  </si>
  <si>
    <t>REFUND</t>
  </si>
  <si>
    <t xml:space="preserve">REFUND-TRAVIS LEE </t>
  </si>
  <si>
    <t>CERVANTES, JUAN</t>
  </si>
  <si>
    <t>163-00-2153.00-020-900000</t>
  </si>
  <si>
    <t>TRS ACTIVE CARE</t>
  </si>
  <si>
    <t xml:space="preserve">REFUND-TAYLOR </t>
  </si>
  <si>
    <t>MARSELLO, DAVID</t>
  </si>
  <si>
    <t>AUG DED LIFE INSURANCE</t>
  </si>
  <si>
    <t xml:space="preserve">AUG DED HEALTH </t>
  </si>
  <si>
    <t xml:space="preserve">AUG DED MISCELLANEOUS </t>
  </si>
  <si>
    <t>AUG DED TAX SHEL. ANNUITY</t>
  </si>
  <si>
    <t>AUG DED ROTH ANNUITY</t>
  </si>
  <si>
    <t xml:space="preserve">AUG DED 457 DEFERRED </t>
  </si>
  <si>
    <t xml:space="preserve">AUG DED PAYROLL </t>
  </si>
  <si>
    <t xml:space="preserve">AUG DED DEPENDENT CHILD </t>
  </si>
  <si>
    <t>AUG DED TSTA DUES</t>
  </si>
  <si>
    <t>MILLER, WADE</t>
  </si>
  <si>
    <t>181-00-1109.01-000-900000</t>
  </si>
  <si>
    <t>V/FB CARROLL 9/7/18</t>
  </si>
  <si>
    <t>ATHLETICS</t>
  </si>
  <si>
    <t>DISTRICT</t>
  </si>
  <si>
    <t>BEEVILLE ISD</t>
  </si>
  <si>
    <t>181-36-6412.3C-041-991241</t>
  </si>
  <si>
    <t>XC @ BEEVILLE 9/8/18</t>
  </si>
  <si>
    <t>181-36-6412.3C-001-991239</t>
  </si>
  <si>
    <t>HIGH SCHOOL</t>
  </si>
  <si>
    <t>CALALLEN ISD</t>
  </si>
  <si>
    <t>XC @ CALALLEN 9/29/18</t>
  </si>
  <si>
    <t>tournament cancelled</t>
  </si>
  <si>
    <t xml:space="preserve">DOUBLETREE BY HILTON </t>
  </si>
  <si>
    <t>181-36-6411.33-001-991039</t>
  </si>
  <si>
    <t>TISCA @ AUSTIN SEPT 14-16</t>
  </si>
  <si>
    <t xml:space="preserve">FLOUR BLUFF ATHLETIC </t>
  </si>
  <si>
    <t>181-36-6412.3G-001-991239</t>
  </si>
  <si>
    <t xml:space="preserve">GOLF @ FLOUR BLUFF SEPT </t>
  </si>
  <si>
    <t>V/FB ALICE 9/27/18</t>
  </si>
  <si>
    <t xml:space="preserve">TEXAS A&amp;M UNIVERSITY </t>
  </si>
  <si>
    <t>XC @ KINGSVILLE 9/15/18</t>
  </si>
  <si>
    <t>CANCELLED-WEATHER</t>
  </si>
  <si>
    <t>TISCA CLINIC</t>
  </si>
  <si>
    <t>TISCA, INC</t>
  </si>
  <si>
    <t>8/1/18-12/31/18 MEMBERSHIP</t>
  </si>
  <si>
    <t xml:space="preserve">AGILE SPORTS </t>
  </si>
  <si>
    <t>181-36-6396.30-001-991039</t>
  </si>
  <si>
    <t>7/22/18-7/21/19</t>
  </si>
  <si>
    <t>BENAVIDES, MARC</t>
  </si>
  <si>
    <t>181-00-2110.18-000-900000</t>
  </si>
  <si>
    <t>V/FB KING 8/31/18</t>
  </si>
  <si>
    <t>CAMARILLO, JORGE A.</t>
  </si>
  <si>
    <t>JV/FB VETERANS 8/29/18</t>
  </si>
  <si>
    <t>CANTU, JAVIER</t>
  </si>
  <si>
    <t>181-36-6219.3F-001-991139</t>
  </si>
  <si>
    <t>CASAREZ, MICHAEL</t>
  </si>
  <si>
    <t>CEBALLOS, JOSE</t>
  </si>
  <si>
    <t>181-36-6219.3Y-001-991039</t>
  </si>
  <si>
    <t>F/JV/V VB ALICE 9/7/18</t>
  </si>
  <si>
    <t>CHAVERA, THOMAS M</t>
  </si>
  <si>
    <t>181-36-6219.3F-001-991039</t>
  </si>
  <si>
    <t>CUSACK, JOSEPH L.</t>
  </si>
  <si>
    <t>F/JV/V VB LAREDO 9/4/18</t>
  </si>
  <si>
    <t>DAIRY QUEEN SKIDMORE</t>
  </si>
  <si>
    <t>181-36-6412.3C-041-991141</t>
  </si>
  <si>
    <t>DAWSON, CLAYTON</t>
  </si>
  <si>
    <t>181-36-6219.3F-041-991041</t>
  </si>
  <si>
    <t>FB GP 9/4/18</t>
  </si>
  <si>
    <t>DOMINO'S PIZZA # 6724</t>
  </si>
  <si>
    <t>181-36-6412.3F-001-991139</t>
  </si>
  <si>
    <t>V/FB @ BEEVILLE 9/13/18</t>
  </si>
  <si>
    <t>ECA MEDICAL SERVICES, LLC</t>
  </si>
  <si>
    <t>V/FB KINGSVILLE 8/31/18</t>
  </si>
  <si>
    <t>FERDIN, ROY C</t>
  </si>
  <si>
    <t>FLORES, JOSE H.</t>
  </si>
  <si>
    <t>GIDDENS, TRACY N</t>
  </si>
  <si>
    <t>GOOD-N-CRISP CHICKEN</t>
  </si>
  <si>
    <t>181-36-6412.3Y-001-991139</t>
  </si>
  <si>
    <t xml:space="preserve">F/JV/V VB @ ORNGE GRVE </t>
  </si>
  <si>
    <t>GRAJEDA, ROBERT III</t>
  </si>
  <si>
    <t>GREEN, ART</t>
  </si>
  <si>
    <t>HERNANDEZ, CARLA</t>
  </si>
  <si>
    <t>181-36-6219.3Y-041-991041</t>
  </si>
  <si>
    <t>VB GP 9/6/18</t>
  </si>
  <si>
    <t>HERNANDEZ, RUBEN JR</t>
  </si>
  <si>
    <t>HIPP, JONNY F</t>
  </si>
  <si>
    <t>IBARRA, DANIEL IV</t>
  </si>
  <si>
    <t>KERBY, JAMES RUSSELL</t>
  </si>
  <si>
    <t>LOPEZ, JULIAN</t>
  </si>
  <si>
    <t>LOPEZ, SAMUEL</t>
  </si>
  <si>
    <t>F/FB AGUA DULCE 9/6/18</t>
  </si>
  <si>
    <t>LUGO, JUAN L</t>
  </si>
  <si>
    <t>MARTINEZ, NORMA LEE</t>
  </si>
  <si>
    <t>NEWTON, ROBERT</t>
  </si>
  <si>
    <t>ORTIZ, RAUL</t>
  </si>
  <si>
    <t>PADILLA POLL</t>
  </si>
  <si>
    <t>POLL SUBSCRIPTIONS</t>
  </si>
  <si>
    <t xml:space="preserve">PEREZ, ANGELICA MARIA </t>
  </si>
  <si>
    <t>PEREZ, EMILY</t>
  </si>
  <si>
    <t>PEREZ, JESSE JR</t>
  </si>
  <si>
    <t>PUEBLA, PATRICK J</t>
  </si>
  <si>
    <t>REES, DANIELLE CORLISS</t>
  </si>
  <si>
    <t>181-36-6299.3F-041-991041</t>
  </si>
  <si>
    <t>FB FLOUR BLUFF 9/18/18</t>
  </si>
  <si>
    <t>REILING, MIKE</t>
  </si>
  <si>
    <t>RICHARD KING HIGH SCHOOL</t>
  </si>
  <si>
    <t>XC @ KING 9/20/18</t>
  </si>
  <si>
    <t>RIVER HILLS COUNTRY CLUB</t>
  </si>
  <si>
    <t>181-36-6269.3G-001-991039</t>
  </si>
  <si>
    <t>GOLF COURSE USAGE</t>
  </si>
  <si>
    <t>RODRIGUEZ, ISAAC</t>
  </si>
  <si>
    <t>RODRIGUEZ, WILLIAM L. JR</t>
  </si>
  <si>
    <t>ROSSER, JEFFERY ALAN</t>
  </si>
  <si>
    <t>SALINAS, RUBEN</t>
  </si>
  <si>
    <t>SANCHEZ,  MATTHEW A</t>
  </si>
  <si>
    <t xml:space="preserve">TEXAS TENNIS COACHES </t>
  </si>
  <si>
    <t xml:space="preserve">TTCA @ HORESHOE BAY DEC </t>
  </si>
  <si>
    <t>THOMSON, DENEISE</t>
  </si>
  <si>
    <t>TORRES, MARIA ISABEL</t>
  </si>
  <si>
    <t>TRAMMELL, MARK</t>
  </si>
  <si>
    <t>UNDERBRINK, CRAIG</t>
  </si>
  <si>
    <t>VANNATTER, KEVIN G</t>
  </si>
  <si>
    <t>WHATABURGER, INC</t>
  </si>
  <si>
    <t xml:space="preserve">V/TENNIS @ KINGSVILLE </t>
  </si>
  <si>
    <t>VB CALALLEN 8/30/18</t>
  </si>
  <si>
    <t xml:space="preserve">F/JV FB @ VARIOUS LCTN </t>
  </si>
  <si>
    <t xml:space="preserve">JV/FB @ CARROLL/FBLUFF </t>
  </si>
  <si>
    <t>181-36-6412.3F-041-991141</t>
  </si>
  <si>
    <t>FB @ GP 9/4/18</t>
  </si>
  <si>
    <t>F/JV VB @ SINTON 9/6/18</t>
  </si>
  <si>
    <t>181-36-6412.3Y-041-991141</t>
  </si>
  <si>
    <t>VB @ FLOUR BLUFF 9/10/18</t>
  </si>
  <si>
    <t>WHITE, ROBERT</t>
  </si>
  <si>
    <t>WHITEHEAD, BILLY</t>
  </si>
  <si>
    <t>ZAMORA, ANTHONY</t>
  </si>
  <si>
    <t>181-36-6219.3Y-001-991139</t>
  </si>
  <si>
    <t>INCORRECT VENDOR</t>
  </si>
  <si>
    <t xml:space="preserve">AMAZON CAPITAL SERVICES, </t>
  </si>
  <si>
    <t>181-36-6649.38-001-991039</t>
  </si>
  <si>
    <t>wrong date</t>
  </si>
  <si>
    <t>BLOCKLINGER, PHILLIP</t>
  </si>
  <si>
    <t xml:space="preserve">BUTTER CHURN </t>
  </si>
  <si>
    <t>CACERES, ARTURO G</t>
  </si>
  <si>
    <t>181-36-6412.3Y-041-991241</t>
  </si>
  <si>
    <t>CHICK-FIL-A</t>
  </si>
  <si>
    <t>CICI'S PIZZA #336</t>
  </si>
  <si>
    <t>181-36-6412.3T-001-991139</t>
  </si>
  <si>
    <t>COLUNGA, VALERIE</t>
  </si>
  <si>
    <t>181-36-6412.3C-001-991139</t>
  </si>
  <si>
    <t>FUELMAN</t>
  </si>
  <si>
    <t>GREGORY PORTLAND ISD</t>
  </si>
  <si>
    <t>GUERRA, JOHNNY L</t>
  </si>
  <si>
    <t>MESSIG, STEVEN M</t>
  </si>
  <si>
    <t>PEREZ, GRACE RAQUENEZ</t>
  </si>
  <si>
    <t>TEXAS HIGH SCHOOL</t>
  </si>
  <si>
    <t>181-36-6495.30-001-991039</t>
  </si>
  <si>
    <t>UNDERBRINK, GARY</t>
  </si>
  <si>
    <t>VALDEZ, JOHN JAY</t>
  </si>
  <si>
    <t>VB @ CALALLEN 9/29/18</t>
  </si>
  <si>
    <t xml:space="preserve">COACHES @ BEVILLE V/FB </t>
  </si>
  <si>
    <t>VB @ GP 10/6/18</t>
  </si>
  <si>
    <t>UTILITY TIRE WHEELS</t>
  </si>
  <si>
    <t>VB ALICE 9/17/18</t>
  </si>
  <si>
    <t>F/JV/V VB @ SINTON 9/8/18</t>
  </si>
  <si>
    <t>F/JV/V VB @ LAREDO 9/11/18</t>
  </si>
  <si>
    <t>F/JV/V VB @ LAREDO 9/21/18</t>
  </si>
  <si>
    <t xml:space="preserve">V/TENNIS @ CALALLEN </t>
  </si>
  <si>
    <t>COLUNGA, VALERIE J</t>
  </si>
  <si>
    <t xml:space="preserve">F/JV/V VB FLOUR BLUFF </t>
  </si>
  <si>
    <t>F/JV/V VB CALALLEN 9/25/18</t>
  </si>
  <si>
    <t>GOLF @ GP 10/8/18</t>
  </si>
  <si>
    <t>181-00-1109.01-001-900000</t>
  </si>
  <si>
    <t>V/FB CALALLEN 10/19/18</t>
  </si>
  <si>
    <t>FB ALICE 9/25/18</t>
  </si>
  <si>
    <t>F/FB ALICE 9/20/18</t>
  </si>
  <si>
    <t>PEREZ, JUAN</t>
  </si>
  <si>
    <t>SINARD, WADE</t>
  </si>
  <si>
    <t>V/TENNIS @ GP 9/22/18</t>
  </si>
  <si>
    <t>9/1/18-8/31/19 MEMBERSHIP</t>
  </si>
  <si>
    <t>VELAZQUEZ, RENE</t>
  </si>
  <si>
    <t>VIERA, ASHLEY R</t>
  </si>
  <si>
    <t>VILLANUEVA, MODESTO JR</t>
  </si>
  <si>
    <t>VILLAREAL, JESUS LINO JR</t>
  </si>
  <si>
    <t>F/JV FB GP 9/20/18</t>
  </si>
  <si>
    <t>FB @ FLOUR BLUFF 9/18/18</t>
  </si>
  <si>
    <t>ALANIZ, ANNA</t>
  </si>
  <si>
    <t>ALICE ISD</t>
  </si>
  <si>
    <t>181-36-6412.3D-041-991241</t>
  </si>
  <si>
    <t>GBK @ ALICE NOV 9-10</t>
  </si>
  <si>
    <t>181-36-6399.38-001-991039</t>
  </si>
  <si>
    <t>RECHARGEABLE BETTERIES</t>
  </si>
  <si>
    <t>181-36-6399.38-001-991139</t>
  </si>
  <si>
    <t>POWERHEART BATTERIES</t>
  </si>
  <si>
    <t>181-36-6399.3F-001-991039</t>
  </si>
  <si>
    <t>REPLACEMENT FILTER SETS</t>
  </si>
  <si>
    <t xml:space="preserve">BOTTLELESS WATER </t>
  </si>
  <si>
    <t>BELLFIELD, MARCELL JR</t>
  </si>
  <si>
    <t>F/JV/V VB LAREDO 10/5/18</t>
  </si>
  <si>
    <t xml:space="preserve">BENAVIDES INDEPENDENT </t>
  </si>
  <si>
    <t>XC @ BENAVIDES 9/29/18</t>
  </si>
  <si>
    <t>BSN SPORTS</t>
  </si>
  <si>
    <t>NIKE SHOES, POLOS, TEES</t>
  </si>
  <si>
    <t>181-36-6399.3B-001-991039</t>
  </si>
  <si>
    <t>CUSTOM SOCKS</t>
  </si>
  <si>
    <t xml:space="preserve">KNEE PADS, GIRDLES, </t>
  </si>
  <si>
    <t>CARROLL HIGH SCHOOL</t>
  </si>
  <si>
    <t>XC @ CARROLL 9/29/18</t>
  </si>
  <si>
    <t>FB CALALLEN 10/2/18</t>
  </si>
  <si>
    <t>DORSCH, ROBERT THOMAS</t>
  </si>
  <si>
    <t>ENTERPRISE RENT A CAR</t>
  </si>
  <si>
    <t>181-36-6412.3G-001-991339</t>
  </si>
  <si>
    <t>GOLF @ LAREDO SEPT 20-22</t>
  </si>
  <si>
    <t>GUNTER, ARTHUR</t>
  </si>
  <si>
    <t>VB FLOUR BLUFF 10/1/18</t>
  </si>
  <si>
    <t>8/11/18-9/28/18 MILEAGE</t>
  </si>
  <si>
    <t>ROY MILLER HIGH SCHOOL</t>
  </si>
  <si>
    <t>XC @ MILLER 10/6/18</t>
  </si>
  <si>
    <t>SAENZ, CRISELDA</t>
  </si>
  <si>
    <t>SMILEY, CODY</t>
  </si>
  <si>
    <t>9/13/18 MILEAGE</t>
  </si>
  <si>
    <t>10/5/18 MILEAGE</t>
  </si>
  <si>
    <t>SOREL, DAVID</t>
  </si>
  <si>
    <t>SWIMMIN STUFF</t>
  </si>
  <si>
    <t>181-36-6399.3S-001-991039</t>
  </si>
  <si>
    <t>TYR TEAM ALLIANCE</t>
  </si>
  <si>
    <t>181-36-6399.3S-041-991041</t>
  </si>
  <si>
    <t>PHOENIX RACERS</t>
  </si>
  <si>
    <t>TEXAS THRONE LLC</t>
  </si>
  <si>
    <t>181-36-6319.30-001-991039</t>
  </si>
  <si>
    <t xml:space="preserve">9/19/18-9/30/18 RESTROOM </t>
  </si>
  <si>
    <t>181-36-6319.30-041-991041</t>
  </si>
  <si>
    <t>ARMSTRONG, STEPHEN G</t>
  </si>
  <si>
    <t>JV/FB SA &amp; FREER 10/4/18</t>
  </si>
  <si>
    <t>CHAVERA, PEDRO</t>
  </si>
  <si>
    <t>VB CALALLEN 10/15/18</t>
  </si>
  <si>
    <t>FB GP 10/9/18</t>
  </si>
  <si>
    <t xml:space="preserve">CHICK-FIL-A STAPLES &amp; </t>
  </si>
  <si>
    <t>JV/TENNIS @ FBLUFF 9/27/18</t>
  </si>
  <si>
    <t>CHICKEN EXPRESS</t>
  </si>
  <si>
    <t>F/JV/V VB @ GP 9/28/18</t>
  </si>
  <si>
    <t>CICI'S PIZZA #120</t>
  </si>
  <si>
    <t>181-36-6412.3S-001-991139</t>
  </si>
  <si>
    <t>SWIM/DIVE @ FBLUFF 10/5/18</t>
  </si>
  <si>
    <t>DAIRY BURGER #2</t>
  </si>
  <si>
    <t>F/JV/V VB @ ALICE 10/2/18</t>
  </si>
  <si>
    <t>DAIRY QUEEN OF PORTLAND</t>
  </si>
  <si>
    <t>VB @ GP 10/8/18</t>
  </si>
  <si>
    <t>DE LOS SANTOS, LYDIA R</t>
  </si>
  <si>
    <t>EASTBAY - DEPT 978835</t>
  </si>
  <si>
    <t xml:space="preserve">NIKE SHOES, SANDALS, BALL </t>
  </si>
  <si>
    <t>FIGUEROA, ANTONIO JR</t>
  </si>
  <si>
    <t>JV/FB PORT LAVACA 10/11/18</t>
  </si>
  <si>
    <t>HERNANDEZ, ESEQUIEL</t>
  </si>
  <si>
    <t xml:space="preserve">XC DISTRICT @ GUTH </t>
  </si>
  <si>
    <t>181-36-6412.09-001-991C39</t>
  </si>
  <si>
    <t xml:space="preserve">XC REGION @ TAMUCC </t>
  </si>
  <si>
    <t>FB GP 10/10/18</t>
  </si>
  <si>
    <t>MALDONADO, TONY</t>
  </si>
  <si>
    <t>V/FB GP 11/2/18</t>
  </si>
  <si>
    <t>ORTIZ, OSCAR</t>
  </si>
  <si>
    <t>REDDING, CASSIE</t>
  </si>
  <si>
    <t>RIVAS, ELOY</t>
  </si>
  <si>
    <t>ROLDAN, EMILY</t>
  </si>
  <si>
    <t>RUIZ, MARTIN</t>
  </si>
  <si>
    <t>TORRES, ADELAIDA</t>
  </si>
  <si>
    <t>VB @ ALICE 10/22/18</t>
  </si>
  <si>
    <t>JV/FB @ SKIDMORE 9/26/18</t>
  </si>
  <si>
    <t>F/FB @ SA 10/4/18</t>
  </si>
  <si>
    <t>FB @ ALICE 9/25/18</t>
  </si>
  <si>
    <t xml:space="preserve">SWIM/DIVE @ VICTORIA </t>
  </si>
  <si>
    <t>DRURY INN &amp; SUITES</t>
  </si>
  <si>
    <t>181-36-6412.09-001-991T39</t>
  </si>
  <si>
    <t>V/TENNIS RGNL @ SA OCT 24-</t>
  </si>
  <si>
    <t>LCISD ATHLETICS</t>
  </si>
  <si>
    <t>181-36-6412.3S-001-991239</t>
  </si>
  <si>
    <t xml:space="preserve">SWIM/DIVE @ ROSENBERG </t>
  </si>
  <si>
    <t>ALERT SERVICES INC</t>
  </si>
  <si>
    <t>FIRST AID SUPPLIES</t>
  </si>
  <si>
    <t xml:space="preserve">FIELD TARPS, BASES, </t>
  </si>
  <si>
    <t xml:space="preserve">BASKETBALL UNIFORMS &amp; </t>
  </si>
  <si>
    <t xml:space="preserve">FLAG &amp; RIBBON AWARD </t>
  </si>
  <si>
    <t xml:space="preserve">CARROLL GOLF BOOSTER </t>
  </si>
  <si>
    <t>GOLF @ CARROLL NOV 9-10</t>
  </si>
  <si>
    <t>CCISD AQUATICS</t>
  </si>
  <si>
    <t>SWIM/DIVE @ CCISD OCT 19-</t>
  </si>
  <si>
    <t>CICI'S PIZZA #88</t>
  </si>
  <si>
    <t>SWIM/DIVE @ CCISD 10/19/18</t>
  </si>
  <si>
    <t>SWIM/DIVE @ CCISD 10/20/18</t>
  </si>
  <si>
    <t>CITY OF ALICE</t>
  </si>
  <si>
    <t>SWIM/DIVE @ ALICE OCT 26-</t>
  </si>
  <si>
    <t xml:space="preserve">CLARKE DISTRIBUTING </t>
  </si>
  <si>
    <t>181-36-6399.3T-001-991039</t>
  </si>
  <si>
    <t>TENNIS EQUIPMENT</t>
  </si>
  <si>
    <t>181-36-6399.3V-041-991041</t>
  </si>
  <si>
    <t xml:space="preserve">CUSTOM FILTRATION &amp; </t>
  </si>
  <si>
    <t xml:space="preserve">RO SYSTEMS &amp; WATER </t>
  </si>
  <si>
    <t>EDWIN WATTS GOLF, LLC</t>
  </si>
  <si>
    <t>181-36-6399.3G-001-991039</t>
  </si>
  <si>
    <t>GOLF EQUIPMENT</t>
  </si>
  <si>
    <t>COACHES @ SA V/FB 10/5/18</t>
  </si>
  <si>
    <t xml:space="preserve">COACHES @ LAVACA V/FB </t>
  </si>
  <si>
    <t>181-36-6412.3V-041-991241</t>
  </si>
  <si>
    <t>TENNIS @ GP 11/10/18</t>
  </si>
  <si>
    <t>MORIN, JOSEPH A.</t>
  </si>
  <si>
    <t>F/JV/V VB LAREDO 10/16/18</t>
  </si>
  <si>
    <t>PEREZ, NATHANIEL S.</t>
  </si>
  <si>
    <t>RAY GOLF ACTIVITY FUND</t>
  </si>
  <si>
    <t>GOLF @ RAY 11/12/18</t>
  </si>
  <si>
    <t>10/21/18 MILEAGE</t>
  </si>
  <si>
    <t>VICTORIA ISD</t>
  </si>
  <si>
    <t xml:space="preserve">SWIM/DIVE @ VICTORIA NOV </t>
  </si>
  <si>
    <t xml:space="preserve">F/FB @ PORT LAVACA </t>
  </si>
  <si>
    <t xml:space="preserve">V/FB @ PORT LAVACA </t>
  </si>
  <si>
    <t>V/FB @ SA 10/5/18</t>
  </si>
  <si>
    <t>FB @ GP 10/9/18</t>
  </si>
  <si>
    <t>181-36-6412.3G-001-991139</t>
  </si>
  <si>
    <t>JV/TENNIS @ GP 10/11/18</t>
  </si>
  <si>
    <t>WILLIAMS, MARCUS</t>
  </si>
  <si>
    <t>WRIGHT, CHERYL</t>
  </si>
  <si>
    <t xml:space="preserve">HOLIDAY INN EXPRESS &amp; </t>
  </si>
  <si>
    <t>REGIONAL VB @ SA NOV 9-10</t>
  </si>
  <si>
    <t xml:space="preserve">BARCELONA SPORTING </t>
  </si>
  <si>
    <t>181-36-6399.3A-001-991039</t>
  </si>
  <si>
    <t xml:space="preserve">BADGER DRIFIT TOPS &amp; </t>
  </si>
  <si>
    <t>181-36-6399.3C-041-991041</t>
  </si>
  <si>
    <t>NIKE SHORTS</t>
  </si>
  <si>
    <t>181-36-6399.3D-041-991041</t>
  </si>
  <si>
    <t>BADGER TEES</t>
  </si>
  <si>
    <t>181-36-6399.3J-041-991041</t>
  </si>
  <si>
    <t xml:space="preserve">HEAVY ROPES &amp; </t>
  </si>
  <si>
    <t>181-36-6399.3Y-041-991041</t>
  </si>
  <si>
    <t>BEAUFORD, MARK</t>
  </si>
  <si>
    <t>JV/FB FLORESVILLE 10/25/18</t>
  </si>
  <si>
    <t>CANTU, ROBERT G.</t>
  </si>
  <si>
    <t>F/JV/V VB GP 10/23/18</t>
  </si>
  <si>
    <t>CAYCE, CHRISTINA ONNISA</t>
  </si>
  <si>
    <t>181-36-6219.3S-001-991039</t>
  </si>
  <si>
    <t xml:space="preserve">SWIM/DIVE TRIMEET @ TM </t>
  </si>
  <si>
    <t>FB ALCIE 10/23/18</t>
  </si>
  <si>
    <t xml:space="preserve">V/TENNIS ROMA @ CC </t>
  </si>
  <si>
    <t xml:space="preserve">CORNISH MEDICAL </t>
  </si>
  <si>
    <t xml:space="preserve">TESTING CHECKS OF </t>
  </si>
  <si>
    <t>CRUZ, DAVID</t>
  </si>
  <si>
    <t xml:space="preserve">COACHES @ FLORESVILLE </t>
  </si>
  <si>
    <t>ESCARENO, EDWARD R</t>
  </si>
  <si>
    <t>ESPARZA, DAVID</t>
  </si>
  <si>
    <t>EVANS, CHASE</t>
  </si>
  <si>
    <t>FELAN, JOSEPH E.</t>
  </si>
  <si>
    <t>FUDDRUCKERS</t>
  </si>
  <si>
    <t xml:space="preserve">V/TENNIS @ VETERANS </t>
  </si>
  <si>
    <t xml:space="preserve">COACH@ FLRSVILLE V/FB </t>
  </si>
  <si>
    <t>GALVAN, GILBERT</t>
  </si>
  <si>
    <t>GIBBENS, ELIZABETH</t>
  </si>
  <si>
    <t>F/JV/V VB CALALLEN 10/19/18</t>
  </si>
  <si>
    <t>FB ALICE 10/23/18</t>
  </si>
  <si>
    <t>GUERRERO, TONY</t>
  </si>
  <si>
    <t>JIMENEZ, MARIA PATRICIA</t>
  </si>
  <si>
    <t>MIRA'S SPORTS &amp; MORE</t>
  </si>
  <si>
    <t>MARCH ONE HELMETS</t>
  </si>
  <si>
    <t>NELSON, PATRICK</t>
  </si>
  <si>
    <t>RINCON, RANDY</t>
  </si>
  <si>
    <t>RIOS, JACOB LEE</t>
  </si>
  <si>
    <t>RJASKO, IMELDA</t>
  </si>
  <si>
    <t>GOLF @ MILLER 11/26/18</t>
  </si>
  <si>
    <t>10/26/18 MILEAGE</t>
  </si>
  <si>
    <t>SOTO, MARIO A</t>
  </si>
  <si>
    <t xml:space="preserve">STAPLES BUSINESS </t>
  </si>
  <si>
    <t>181-36-6399.30-001-991039</t>
  </si>
  <si>
    <t>OFFICE SUPPLIES</t>
  </si>
  <si>
    <t>LETTER SIZE RACK</t>
  </si>
  <si>
    <t>FILE FOLDERS</t>
  </si>
  <si>
    <t xml:space="preserve">TEXAS HIGH SCHOOL </t>
  </si>
  <si>
    <t xml:space="preserve">CLINIC &amp; MEMBER </t>
  </si>
  <si>
    <t>GOLF @ CARROLL 11/10/18</t>
  </si>
  <si>
    <t>SWIM/DIVE @ ALICE 10/27/18</t>
  </si>
  <si>
    <t>FLOUR BLUFF ISD</t>
  </si>
  <si>
    <t xml:space="preserve">SWIM/DIVE @ FBLUFF </t>
  </si>
  <si>
    <t xml:space="preserve">SWIM/DIVE @ FBLUFF NOV </t>
  </si>
  <si>
    <t>GBK @ FLOUR BLUFF DEC 7-8</t>
  </si>
  <si>
    <t>GOLF @ CARROLL 11/9/18</t>
  </si>
  <si>
    <t>GONZALES, RICHARD</t>
  </si>
  <si>
    <t>MANZANO, EDWARD</t>
  </si>
  <si>
    <t>181-00-1109.02-000-900000</t>
  </si>
  <si>
    <t xml:space="preserve">V/FB LA VILLA &amp; RUNGE </t>
  </si>
  <si>
    <t>MULHERON, ANTHONY JOHN</t>
  </si>
  <si>
    <t>SALINAS, DAVID JR</t>
  </si>
  <si>
    <t>SALINAS, LUDY</t>
  </si>
  <si>
    <t>TAMEZ, EUGENE</t>
  </si>
  <si>
    <t>TASCO</t>
  </si>
  <si>
    <t>181-36-6495.33-001-991039</t>
  </si>
  <si>
    <t>8/1/18-12/31/18</t>
  </si>
  <si>
    <t>181-36-6499.33-001-991039</t>
  </si>
  <si>
    <t xml:space="preserve">10/1/18-10/31/18 RESTROOM </t>
  </si>
  <si>
    <t xml:space="preserve">VETERANS MEMORIAL HIGH </t>
  </si>
  <si>
    <t>GOLF @ VETERANS DEC 7-8</t>
  </si>
  <si>
    <t>181-36-6412.3B-001-991139</t>
  </si>
  <si>
    <t>V/BBK @ SA 11/3/18</t>
  </si>
  <si>
    <t xml:space="preserve">V/FB @ FLORESVILLE </t>
  </si>
  <si>
    <t xml:space="preserve">JV/FB @ FLORESVILLE </t>
  </si>
  <si>
    <t>JV/FB @ RAY 10/17/18</t>
  </si>
  <si>
    <t xml:space="preserve">F/JV/ FB @ CALALEN/GP </t>
  </si>
  <si>
    <t>F/JV FB @ GP 11/1/18</t>
  </si>
  <si>
    <t>FB @ FLOUR BLUFF 10/16/18</t>
  </si>
  <si>
    <t>FB @ FLOUR BLUFF 10/17/18</t>
  </si>
  <si>
    <t>FB @ ALICE 10/23/18</t>
  </si>
  <si>
    <t xml:space="preserve">SWIM/DIVE @ BWNSVILLE </t>
  </si>
  <si>
    <t>BANK OF AMERICA</t>
  </si>
  <si>
    <t>V/FB @ SOMERSET 11/9/18</t>
  </si>
  <si>
    <t xml:space="preserve">V/VB VICTORIA@ </t>
  </si>
  <si>
    <t>BROWNSVILLE ISD</t>
  </si>
  <si>
    <t xml:space="preserve">COACHES @ SOMERSET </t>
  </si>
  <si>
    <t>181-36-6412.3D-001-991139</t>
  </si>
  <si>
    <t>V/GBK @ WESLACO NOV 8-10</t>
  </si>
  <si>
    <t>181-36-6412.3D-001-991239</t>
  </si>
  <si>
    <t>F/GBK @ GP NOV 15 &amp; 17</t>
  </si>
  <si>
    <t xml:space="preserve">TITAN SUPPORT SYSTEMS </t>
  </si>
  <si>
    <t>181-36-6399.3M-001-991039</t>
  </si>
  <si>
    <t>SHIRTS, WRAPS, BELTS,</t>
  </si>
  <si>
    <t xml:space="preserve">WALMART </t>
  </si>
  <si>
    <t>181-36-6649.33-001-991039</t>
  </si>
  <si>
    <t>CAMCORDERS</t>
  </si>
  <si>
    <t>ADAMS, ROBERT</t>
  </si>
  <si>
    <t>181-36-6219.3B-001-991039</t>
  </si>
  <si>
    <t xml:space="preserve">F/JV BBK TOURNEY @ TM </t>
  </si>
  <si>
    <t>AGUILAR-LANDIN, NORMA</t>
  </si>
  <si>
    <t>F/V BBK CC WINGS 11/12/18</t>
  </si>
  <si>
    <t>ALLEN, DAVON</t>
  </si>
  <si>
    <t>181-36-6219.3D-001-991039</t>
  </si>
  <si>
    <t xml:space="preserve">JV/V GBK ARANSAS PASS </t>
  </si>
  <si>
    <t>AVERETTE, ALEXZANDRIA</t>
  </si>
  <si>
    <t>BAUER, CECELIA P.</t>
  </si>
  <si>
    <t>181-36-6219.3D-041-991041</t>
  </si>
  <si>
    <t>GBK GP 11/29/18</t>
  </si>
  <si>
    <t>JV/FB SOMERSET 11/8/18</t>
  </si>
  <si>
    <t>BELLFIELD, MARCELL  III</t>
  </si>
  <si>
    <t>BURNETT, TRAVIS</t>
  </si>
  <si>
    <t>V/BBK @ KINGSVILLE DEC 28-</t>
  </si>
  <si>
    <t>CANTU, FRANK</t>
  </si>
  <si>
    <t>181-36-6219.3B-041-991041</t>
  </si>
  <si>
    <t>BBK FLOUR BLUFF 11/15/18</t>
  </si>
  <si>
    <t>181-36-6219.3B-001-991139</t>
  </si>
  <si>
    <t>CCBOA</t>
  </si>
  <si>
    <t>F/JV/V GBK 10/27/18 &amp; 11/3/18</t>
  </si>
  <si>
    <t>CORONA, JOHN DAVID</t>
  </si>
  <si>
    <t>CRUZ, JESSE</t>
  </si>
  <si>
    <t>181-36-6219.02-001-991142</t>
  </si>
  <si>
    <t xml:space="preserve">DREAM MAKER </t>
  </si>
  <si>
    <t>SCOREBOOKS</t>
  </si>
  <si>
    <t>V/FB 9/7, 9/27, 10/19, 11/2</t>
  </si>
  <si>
    <t>INCORRECT ADDRESS</t>
  </si>
  <si>
    <t>EVANS, TERRANCE</t>
  </si>
  <si>
    <t>181-36-6412.3B-041-991241</t>
  </si>
  <si>
    <t>BBK @ FLOUR BLUFF DEC 14-</t>
  </si>
  <si>
    <t>GARCIA, KEVIN</t>
  </si>
  <si>
    <t xml:space="preserve">F/JV/V GBK ROCKPORT </t>
  </si>
  <si>
    <t>HEATLEY, LAWRENCE</t>
  </si>
  <si>
    <t>JV/V BBK ANNAPOLIS 11/19/18</t>
  </si>
  <si>
    <t xml:space="preserve">HERNANDEZ, SANTIAGO </t>
  </si>
  <si>
    <t>KING, COREY</t>
  </si>
  <si>
    <t>KING, ROREY</t>
  </si>
  <si>
    <t>KINNEY, STEPHAN TODD</t>
  </si>
  <si>
    <t>KURIO, BRENDON</t>
  </si>
  <si>
    <t>LINDSEY, LUTHER</t>
  </si>
  <si>
    <t>LOPEZ, JOSEPH C</t>
  </si>
  <si>
    <t>MARKS, JARED</t>
  </si>
  <si>
    <t>181-36-6219.02-001-991042</t>
  </si>
  <si>
    <t>MARSHALL, LADANIEL</t>
  </si>
  <si>
    <t>MOLINA, JOSHUA</t>
  </si>
  <si>
    <t xml:space="preserve">F/JV/V BBK ROBSTOWN </t>
  </si>
  <si>
    <t>MORALES, RAUL</t>
  </si>
  <si>
    <t>PEREZ, ALEXANDER JR</t>
  </si>
  <si>
    <t>PEREZ, JOHN A.</t>
  </si>
  <si>
    <t>REAVES, DANIEL C</t>
  </si>
  <si>
    <t>REVILLA JR., ROGER</t>
  </si>
  <si>
    <t>RODELA, ANDY</t>
  </si>
  <si>
    <t>RODRIGUEZ, RAMON ELOY</t>
  </si>
  <si>
    <t>SALINAS, JOSE</t>
  </si>
  <si>
    <t xml:space="preserve">SANDOVAL, RICARDO </t>
  </si>
  <si>
    <t>F/JV/V BBK BEEVLLE 11/20/18</t>
  </si>
  <si>
    <t>SATTERWHITE, JACOLBY</t>
  </si>
  <si>
    <t>SHOUDEL, CARL</t>
  </si>
  <si>
    <t>SOSA, JOSEPH A</t>
  </si>
  <si>
    <t>STEWART, HAILE</t>
  </si>
  <si>
    <t>181-36-6412.3M-001-991239</t>
  </si>
  <si>
    <t>ANNUAL MEMBERSHIP DUES</t>
  </si>
  <si>
    <t>TREVINO, DENNIS</t>
  </si>
  <si>
    <t>TREVINO, RAMON</t>
  </si>
  <si>
    <t>TREVINO, ROBERT</t>
  </si>
  <si>
    <t>WATSON, KEIARA YVETTE</t>
  </si>
  <si>
    <t>WILLIAMS, FARRIN</t>
  </si>
  <si>
    <t>WILLIAMS, FLOYD D</t>
  </si>
  <si>
    <t>WINKLE, JACQUE</t>
  </si>
  <si>
    <t>WOODSBORO ISD</t>
  </si>
  <si>
    <t>181-36-6412.09-001-991V39</t>
  </si>
  <si>
    <t>ALICE HIGH SCHOOL</t>
  </si>
  <si>
    <t>181-36-6412.3N-001-991239</t>
  </si>
  <si>
    <t>V/BSC @ ALICE JAN 3-5</t>
  </si>
  <si>
    <t>AREVALO, ADELAIDA</t>
  </si>
  <si>
    <t>COACH COMM, LLC</t>
  </si>
  <si>
    <t xml:space="preserve">HEADSETS W/PROTECTION </t>
  </si>
  <si>
    <t>COASTAL BEND COACHES</t>
  </si>
  <si>
    <t xml:space="preserve">4A-6A 2018-2019 </t>
  </si>
  <si>
    <t>CORPUS CHRISTI ISD</t>
  </si>
  <si>
    <t>181-36-6412.3K-001-991239</t>
  </si>
  <si>
    <t>JV/GSC @ CCISD JAN 18-19</t>
  </si>
  <si>
    <t>DAIRY QUEEN OF ROCKPORT</t>
  </si>
  <si>
    <t>V/GBK @ ROCKPORT 12/1/18</t>
  </si>
  <si>
    <t xml:space="preserve">COACHES@ SOMERSET V/FB </t>
  </si>
  <si>
    <t>GOLF @ RAY 11/13/18</t>
  </si>
  <si>
    <t>FUEHRER, KYLE A</t>
  </si>
  <si>
    <t>BBK ALICE 12/10/18</t>
  </si>
  <si>
    <t xml:space="preserve">F/JV/V GBK VETERANS </t>
  </si>
  <si>
    <t>GILL, JAMIE</t>
  </si>
  <si>
    <t>HARPER, WILLIE III</t>
  </si>
  <si>
    <t>HOFFMAN, CHRIS</t>
  </si>
  <si>
    <t>HUFF, BENJAMIN</t>
  </si>
  <si>
    <t>JIMENEZ, CYNTHIA ESTRADA</t>
  </si>
  <si>
    <t>181-36-6411.30-001-991039</t>
  </si>
  <si>
    <t>10/5/18-11/9/18 MILEAGE</t>
  </si>
  <si>
    <t>MORIN JR., VINCENT</t>
  </si>
  <si>
    <t>PABON, KARLOS A.</t>
  </si>
  <si>
    <t>181-36-6219.3D-001-991139</t>
  </si>
  <si>
    <t>PEREZ, JOHN</t>
  </si>
  <si>
    <t>SCOON, KEITH STEPHEN</t>
  </si>
  <si>
    <t>11/9/18 MILEAGE</t>
  </si>
  <si>
    <t>JV/TENNIS @ TM 11/16/18</t>
  </si>
  <si>
    <t>TENNIS @ TM 11/3/18</t>
  </si>
  <si>
    <t>V/BBK @ INGLESIDE 11/10/18</t>
  </si>
  <si>
    <t>181-36-6412.3B-041-991141</t>
  </si>
  <si>
    <t>BBK @ GP 11/28/18</t>
  </si>
  <si>
    <t>F/JV/V GBK @ IWA 11/13/18</t>
  </si>
  <si>
    <t>F/GBK @ GP 11/15/18</t>
  </si>
  <si>
    <t>F/GBK @ GP 11/17/18</t>
  </si>
  <si>
    <t xml:space="preserve">JV/V GBK @ ORNG GROVE </t>
  </si>
  <si>
    <t>V/GBK @ ROCKPORT 11/29/18</t>
  </si>
  <si>
    <t>181-36-6412.3D-041-991141</t>
  </si>
  <si>
    <t xml:space="preserve">GBK @ FLOUR BLUFF </t>
  </si>
  <si>
    <t>F/FB @ SOMERSET 11/8/18</t>
  </si>
  <si>
    <t>181-36-6412.3V-041-991141</t>
  </si>
  <si>
    <t>misprint check</t>
  </si>
  <si>
    <t>KINGSVILLE ISD</t>
  </si>
  <si>
    <t>V/GSC @ KINGSVILLE JAN 4-5</t>
  </si>
  <si>
    <t>CASH BOX &amp; TSHIRT BAG</t>
  </si>
  <si>
    <t>TRAINERS COW BATTERIES</t>
  </si>
  <si>
    <t>GBK LAUNDRY SOAP</t>
  </si>
  <si>
    <t>181-36-6399.3D-001-991039</t>
  </si>
  <si>
    <t>BBK LAUNDRY SOAP</t>
  </si>
  <si>
    <t>FB LAUNDRY SOAP</t>
  </si>
  <si>
    <t>181-36-6399.3Y-001-991039</t>
  </si>
  <si>
    <t>DIG PINK CARNATIONS</t>
  </si>
  <si>
    <t>SKIDMORE-TYNAN ISD</t>
  </si>
  <si>
    <t xml:space="preserve">BPL &amp; GPL @ SKIDMORE </t>
  </si>
  <si>
    <t>WIRELESS KEYBOARD</t>
  </si>
  <si>
    <t>NIKE CUSTOM CAPS</t>
  </si>
  <si>
    <t>181-36-6399.3J-001-991039</t>
  </si>
  <si>
    <t xml:space="preserve">NIKE SHORTS &amp; VICTORY </t>
  </si>
  <si>
    <t>181-36-6399.3B-041-991041</t>
  </si>
  <si>
    <t>BBK EQUIPMENT</t>
  </si>
  <si>
    <t>181-36-6399.3C-001-991039</t>
  </si>
  <si>
    <t>ELITE SINGLETS &amp; SHORTS</t>
  </si>
  <si>
    <t>BADGER DRIFIT TOPS</t>
  </si>
  <si>
    <t>NIKE AIR SHOES</t>
  </si>
  <si>
    <t>TANKS, SHORTS, JACKETS</t>
  </si>
  <si>
    <t>SNAPBACK CAPS</t>
  </si>
  <si>
    <t xml:space="preserve">JACKETS, SHOES, DUFFEL </t>
  </si>
  <si>
    <t>AVENGER POLOS</t>
  </si>
  <si>
    <t>181-36-6399.3P-001-991039</t>
  </si>
  <si>
    <t xml:space="preserve">JENNIE FINCH PITCHERS </t>
  </si>
  <si>
    <t>181-36-6399.3W-001-991039</t>
  </si>
  <si>
    <t>AIR PEGASUS SHOES</t>
  </si>
  <si>
    <t>LEGEND TEES</t>
  </si>
  <si>
    <t>BBK @ FLOUR BLUFF JAN 25-</t>
  </si>
  <si>
    <t>did not attend</t>
  </si>
  <si>
    <t>GODOY, RICHARD</t>
  </si>
  <si>
    <t>GBK ALICE 12/13/18</t>
  </si>
  <si>
    <t>BPL &amp; GPL @ GP 1/19/19</t>
  </si>
  <si>
    <t>MEET CANCELLED</t>
  </si>
  <si>
    <t>GAME CHANGER CAPS</t>
  </si>
  <si>
    <t>CAPS &amp; VISORS</t>
  </si>
  <si>
    <t>NIKE CAPS</t>
  </si>
  <si>
    <t>ODOMS, RICKY</t>
  </si>
  <si>
    <t>181-36-6395.30-001-991039</t>
  </si>
  <si>
    <t>DEPOSIT SLIPS</t>
  </si>
  <si>
    <t>181-36-6395.30-041-991041</t>
  </si>
  <si>
    <t>BBK @ CALALLEN 12/3/18</t>
  </si>
  <si>
    <t>BBK @ FLOUR BLUFF 12/15/18</t>
  </si>
  <si>
    <t>BBK @ FLOUR BLUFF 12/14/18</t>
  </si>
  <si>
    <t>GBK @ CALALLEN 12/6/18</t>
  </si>
  <si>
    <t>WHITE, D'NEACIA B</t>
  </si>
  <si>
    <t>ZAMORA, ALBERT</t>
  </si>
  <si>
    <t>BISHOP ISD</t>
  </si>
  <si>
    <t>BPL @ BISHOP 1/18/19</t>
  </si>
  <si>
    <t>HARRIS RATING WEEKLY</t>
  </si>
  <si>
    <t>181-36-6329.30-001-991039</t>
  </si>
  <si>
    <t xml:space="preserve">2018-2019 WEEKLY </t>
  </si>
  <si>
    <t>8/17/18-12/24/18 MILEAGE</t>
  </si>
  <si>
    <t>HM KING HIGH SCHOOL</t>
  </si>
  <si>
    <t>TENNIS @ KINGSVILLE 2/9/19</t>
  </si>
  <si>
    <t>GPL @ KINGSVILLE 1/17/19</t>
  </si>
  <si>
    <t>GOLF @ VICTORIA 1/22/19</t>
  </si>
  <si>
    <t>2/14/19-2/13/20</t>
  </si>
  <si>
    <t>181-36-6412.09-001-991S39</t>
  </si>
  <si>
    <t>SWIM/DIVE @ CCISD FEB 1-2</t>
  </si>
  <si>
    <t>TRAINING SUPPLIES</t>
  </si>
  <si>
    <t xml:space="preserve">ABCA NTL @ GRAPEVINE JAN </t>
  </si>
  <si>
    <t>BIG GAME SPORTS, INC.</t>
  </si>
  <si>
    <t>LEATHER FOOTBALLS</t>
  </si>
  <si>
    <t>181-36-6399.3N-001-991039</t>
  </si>
  <si>
    <t>BURGANDY &amp; WHITE SOCKS</t>
  </si>
  <si>
    <t>BUTTER CHURN</t>
  </si>
  <si>
    <t>V/GBK @ ROCKPORT 11/30/18</t>
  </si>
  <si>
    <t>CBCA CLINIC @ CC JAN 11-12</t>
  </si>
  <si>
    <t>JASON'S DELI</t>
  </si>
  <si>
    <t xml:space="preserve">TENNIS TOURNEY @ TM </t>
  </si>
  <si>
    <t>PEREZ, JASON</t>
  </si>
  <si>
    <t>GBK FLOUR BLUFF 1/10/19</t>
  </si>
  <si>
    <t>SALINAS, CHRIS R</t>
  </si>
  <si>
    <t>VICTORIA EAST GIRLS GOLF</t>
  </si>
  <si>
    <t>GOLF @ VICTORIA FEB 1-2</t>
  </si>
  <si>
    <t>GBK CALALLEN 1/24/19</t>
  </si>
  <si>
    <t>AKERS, TODD CHARLES</t>
  </si>
  <si>
    <t>GOLF @ ALICE 2/4/19</t>
  </si>
  <si>
    <t>AYARZAGOTIA, JOSE</t>
  </si>
  <si>
    <t>BEAN, ALAN JAMES</t>
  </si>
  <si>
    <t xml:space="preserve">BPL &amp; GPL @ CALALLEN </t>
  </si>
  <si>
    <t>181-36-6412.3K-001-991139</t>
  </si>
  <si>
    <t>JV/GSC @ KING 1/14/19</t>
  </si>
  <si>
    <t>JV/GSC @ CCISD 1/18/19</t>
  </si>
  <si>
    <t>V/GSC @ KING 1/15/19</t>
  </si>
  <si>
    <t>CURTIS, GARY</t>
  </si>
  <si>
    <t>F/JV/V BBK @ LAREDO 1/4/19</t>
  </si>
  <si>
    <t>DAIRY QUEEN</t>
  </si>
  <si>
    <t>V/GSC @ KINGSVILLE 1/4/19</t>
  </si>
  <si>
    <t>DAIRY QUEEN OF BISHOP</t>
  </si>
  <si>
    <t>181-36-6412.3M-001-991139</t>
  </si>
  <si>
    <t>GBK @ GP 1/14/19</t>
  </si>
  <si>
    <t>FILLMORE, STEPHEN</t>
  </si>
  <si>
    <t>BBK GP 1/14/19</t>
  </si>
  <si>
    <t>MATA, JOHNNY</t>
  </si>
  <si>
    <t xml:space="preserve">MATHIS ATHLETIC </t>
  </si>
  <si>
    <t>BPL &amp; GPL @ MATHIS 2/2/19</t>
  </si>
  <si>
    <t>BBK CALALLEN 1/21/19</t>
  </si>
  <si>
    <t>MORA, ADA LAURA</t>
  </si>
  <si>
    <t>PEREZ, CHRISTIAN REY</t>
  </si>
  <si>
    <t>TEXAS MULTI-CHEM LTD</t>
  </si>
  <si>
    <t xml:space="preserve">AMERI STRIPE XTREME </t>
  </si>
  <si>
    <t>WHATABURGER OF ALICE</t>
  </si>
  <si>
    <t>181-36-6412.3N-001-991139</t>
  </si>
  <si>
    <t>V/BSC @ ALICE 1/3/19</t>
  </si>
  <si>
    <t>V/BSC @ ALICE 1/4/19</t>
  </si>
  <si>
    <t xml:space="preserve">F/JV/V BBK @ ROCKPORT </t>
  </si>
  <si>
    <t>F/JV/V BBK @ ALICE 1/15/19</t>
  </si>
  <si>
    <t>V/BBK @ FBLUFF 12/21/18</t>
  </si>
  <si>
    <t>F/JV BBK @ FBLUFF 12/21/18</t>
  </si>
  <si>
    <t>BBK @ ST JAMES 1/19/19</t>
  </si>
  <si>
    <t>BBK @ FLOUR BLUFF 1/10/19</t>
  </si>
  <si>
    <t>BBK @ ST JAMES 1/18/19</t>
  </si>
  <si>
    <t>JV/V GSC @ BEEVILLE 1/2/19</t>
  </si>
  <si>
    <t>V/GSC @ KINGSVILLE 1/5/19</t>
  </si>
  <si>
    <t>JV/GSC @ CCISD 1/19/19</t>
  </si>
  <si>
    <t>V/BSC @ BEEVILLE 1/19/19</t>
  </si>
  <si>
    <t xml:space="preserve">JV/V BSC @ ROCKPORT </t>
  </si>
  <si>
    <t>V/BSC @ BEEVILLE 1/18/19</t>
  </si>
  <si>
    <t>TENNIS @ CALALLEN 1/17/19</t>
  </si>
  <si>
    <t>ADAMS, JAMES L</t>
  </si>
  <si>
    <t xml:space="preserve">SWIM/DIVE COASTAL BEND </t>
  </si>
  <si>
    <t>F/JV/V BBK LAREDO 1/29/19</t>
  </si>
  <si>
    <t>F/JV/V GBK LAREDO 1/4/19</t>
  </si>
  <si>
    <t>ALAMILLO, CONSUELO</t>
  </si>
  <si>
    <t>181-36-6219.3N-001-991039</t>
  </si>
  <si>
    <t>V/BSC LONDON 1/15/19</t>
  </si>
  <si>
    <t>SWIM/DIVE @ AUSTIN FEB 14-</t>
  </si>
  <si>
    <t>181-36-6649.3F-001-991039</t>
  </si>
  <si>
    <t xml:space="preserve">OUTDOOR PROJECTOR </t>
  </si>
  <si>
    <t>AMERICA TEAM SPORTS</t>
  </si>
  <si>
    <t>181-36-6399.3K-001-991039</t>
  </si>
  <si>
    <t>SOCCER BALLS</t>
  </si>
  <si>
    <t>BAUMAN, JOHN</t>
  </si>
  <si>
    <t>181-36-6219.3K-001-991039</t>
  </si>
  <si>
    <t>JV/V GSC ROCKPORT 1/11/19</t>
  </si>
  <si>
    <t>JV/V GSC KINGSVILLE 1/22/19</t>
  </si>
  <si>
    <t>JV/V BSC ALICE 1/29/19</t>
  </si>
  <si>
    <t xml:space="preserve">F/JV/V BBK FLOUR BLUFF </t>
  </si>
  <si>
    <t xml:space="preserve">F/JV/V GBK FLOUR BLUFF </t>
  </si>
  <si>
    <t>CELAN, SEZGHEI</t>
  </si>
  <si>
    <t>181-36-6412.3U-001-991239</t>
  </si>
  <si>
    <t>V/TENNIS @ CCISD FEB 15-16</t>
  </si>
  <si>
    <t xml:space="preserve">CORPUS CHRISTI SOFTBALL </t>
  </si>
  <si>
    <t>181-36-6219.3P-001-991039</t>
  </si>
  <si>
    <t xml:space="preserve">V/SB VERERANS/ARANPASS </t>
  </si>
  <si>
    <t>DAVILA, JOHN</t>
  </si>
  <si>
    <t>JV/V GSC MOODY 1/8/19</t>
  </si>
  <si>
    <t>DENNIS, RONALD</t>
  </si>
  <si>
    <t>F/JV/V BBK GP 1/11/19</t>
  </si>
  <si>
    <t>F/JV/V GBK GP 1/11/19</t>
  </si>
  <si>
    <t>ESQUIVEL, LISA ANN</t>
  </si>
  <si>
    <t>FLORES, JASON</t>
  </si>
  <si>
    <t>F/JV/V BBK CALALLEN 1/8/19</t>
  </si>
  <si>
    <t>F/JV/V GBK CALALLEN 1/8/19</t>
  </si>
  <si>
    <t xml:space="preserve">JV/V BBK KINGSVILLE </t>
  </si>
  <si>
    <t>F/JV/V GBK ALICE 12/11/18</t>
  </si>
  <si>
    <t>181-36-6412.3A-001-991239</t>
  </si>
  <si>
    <t xml:space="preserve">JV/BSB @ FBLUFF FEB 28 &amp; </t>
  </si>
  <si>
    <t xml:space="preserve">F/TENNIS @ FLOUR BLUFF </t>
  </si>
  <si>
    <t xml:space="preserve">F/JV TENNIS @ FBLUFF </t>
  </si>
  <si>
    <t xml:space="preserve">GEORGETOWN </t>
  </si>
  <si>
    <t xml:space="preserve">V/BSB @ GEORGETOWN FEB </t>
  </si>
  <si>
    <t>GONZALEZ, JOHN M</t>
  </si>
  <si>
    <t>V/GSC BEEVILLE 1/18/19</t>
  </si>
  <si>
    <t>F/JV TENNIS @ GP 1/29/19</t>
  </si>
  <si>
    <t>HOLIDAY, JAMES E III</t>
  </si>
  <si>
    <t>KUNKEL, ROBERT W</t>
  </si>
  <si>
    <t>LA QUINTA INN &amp; SUITES</t>
  </si>
  <si>
    <t>M-F ATHLETIC COMPANY INC</t>
  </si>
  <si>
    <t>HURDLE W/ALUMINUM TUBES</t>
  </si>
  <si>
    <t>MCNEILL, CHRISTOPHER</t>
  </si>
  <si>
    <t>F/JV/V GBK LAREDO 1/18/19</t>
  </si>
  <si>
    <t>MENDOZA, KEVIN</t>
  </si>
  <si>
    <t>MOODY HIGH SCHOOL</t>
  </si>
  <si>
    <t>F/BSB @ MOODY FEB 22-23</t>
  </si>
  <si>
    <t>NWOKOCHA, JOHN</t>
  </si>
  <si>
    <t>ORTIZ, RICARDO</t>
  </si>
  <si>
    <t>OZKAN, MEHMET FATIH</t>
  </si>
  <si>
    <t>F/JV/V BBK LAREDO 1/18/19</t>
  </si>
  <si>
    <t>POTTER, REBECCA</t>
  </si>
  <si>
    <t>GOLF @ MILLER 2/18/19</t>
  </si>
  <si>
    <t>SALERNO, MANUEL G</t>
  </si>
  <si>
    <t>8/15/18-10/19/18 MILEAGE</t>
  </si>
  <si>
    <t>SOSA, JOEY</t>
  </si>
  <si>
    <t>TENNISON, JERRY</t>
  </si>
  <si>
    <t xml:space="preserve">TEXAS DEPARTMENT OF </t>
  </si>
  <si>
    <t xml:space="preserve">ATHLETIC TRAINER </t>
  </si>
  <si>
    <t>VARGAS, ADRIAN</t>
  </si>
  <si>
    <t>VAUGHNS, PHILLIP</t>
  </si>
  <si>
    <t>VAZQUEZ, RICARDO</t>
  </si>
  <si>
    <t>VERA, PAUL S</t>
  </si>
  <si>
    <t>VERDUZCO, MICHAEL</t>
  </si>
  <si>
    <t>BANQUETE HIGH SCHOOL</t>
  </si>
  <si>
    <t>181-36-6412.3J-001-991239</t>
  </si>
  <si>
    <t>GTRK @ BANQUETE 3/7/19</t>
  </si>
  <si>
    <t>181-36-6412.3W-001-991239</t>
  </si>
  <si>
    <t>BTRK @ BANQUETE 3/7/19</t>
  </si>
  <si>
    <t xml:space="preserve">GPL QUALIFIER @ BVILLE </t>
  </si>
  <si>
    <t>GTRK @ CALALLEN 2/28/19</t>
  </si>
  <si>
    <t>BTRK @ CALALLEN 2/28/19</t>
  </si>
  <si>
    <t>181-36-6412.3P-001-991239</t>
  </si>
  <si>
    <t>JV/SB @ CCISD FEB 21 &amp; 23</t>
  </si>
  <si>
    <t>V/SB @ CCISD 2/28/19-3/2/19</t>
  </si>
  <si>
    <t>F/JV/V BBK @ LAREDO 1/18/19</t>
  </si>
  <si>
    <t>GBK @ ALICE 1/31/19</t>
  </si>
  <si>
    <t>GTRK @ GP 2/16/19</t>
  </si>
  <si>
    <t>BTRK @ GP 2/16/19</t>
  </si>
  <si>
    <t>INGLESIDE HIGH SCHOOL</t>
  </si>
  <si>
    <t>GTRK @ INGLESIDE 2/23/19</t>
  </si>
  <si>
    <t>BTRK @ INGLESIDE 2/23/19</t>
  </si>
  <si>
    <t>181-36-6412.09-001-991P39</t>
  </si>
  <si>
    <t xml:space="preserve">GPL REGIONAL @ ALAMO </t>
  </si>
  <si>
    <t xml:space="preserve">LADY EAGLES FASTPITCH </t>
  </si>
  <si>
    <t>V/SB @ MISSION FEB 14-16</t>
  </si>
  <si>
    <t>GOLF @ MOODY 3/4/19</t>
  </si>
  <si>
    <t>LAUNDRY SOAP</t>
  </si>
  <si>
    <t xml:space="preserve">RIDDELL/ALL AMERICAN </t>
  </si>
  <si>
    <t>181-36-6249.30-001-991039</t>
  </si>
  <si>
    <t xml:space="preserve">RECERTIFICATION OF </t>
  </si>
  <si>
    <t>V/TENNIS @ TM JAN 25-26</t>
  </si>
  <si>
    <t>JV/SB @ VETERANS FEB 15-</t>
  </si>
  <si>
    <t>F/BSB @ VICTORIA FEB 28-</t>
  </si>
  <si>
    <t>RAINED OUT</t>
  </si>
  <si>
    <t>WB RAY HIGH SCHOOL</t>
  </si>
  <si>
    <t>JV/BSB @ RAY MARCH 7-9</t>
  </si>
  <si>
    <t>GTRK @ ALICE 3/14/19</t>
  </si>
  <si>
    <t>BTRK @ ALICE 3/14/19</t>
  </si>
  <si>
    <t>BEEFY BURGER</t>
  </si>
  <si>
    <t>181-36-6412.3P-001-991139</t>
  </si>
  <si>
    <t xml:space="preserve">JV/V SB @ ROBSTOWN </t>
  </si>
  <si>
    <t>JV/V GSC @ LAREDO 2/1/19</t>
  </si>
  <si>
    <t>JV/V BSC @ LAREDO 2/12/19</t>
  </si>
  <si>
    <t>JV/V SB PORT LAVACA 1/29/19</t>
  </si>
  <si>
    <t>JV/SB SINTON 2/5/19</t>
  </si>
  <si>
    <t xml:space="preserve">V/SB KING/CAROLL/MATHIS </t>
  </si>
  <si>
    <t>JV/V GSC @ ALICE 1/29/19</t>
  </si>
  <si>
    <t>V/GSC @ ROCKPORT 2/4/19</t>
  </si>
  <si>
    <t>WILSON MNS EVOLUTION BB</t>
  </si>
  <si>
    <t>EDCOUCH ELSA ISD</t>
  </si>
  <si>
    <t xml:space="preserve">BPL REGIONAL @ WESLACO </t>
  </si>
  <si>
    <t>INCARNATE WORD ACADEMY</t>
  </si>
  <si>
    <t>181-36-6412.3S-041-991241</t>
  </si>
  <si>
    <t>SWIM/DIVE @ IWA 3/2/19</t>
  </si>
  <si>
    <t>PINKUS, PILAR ROXANA</t>
  </si>
  <si>
    <t>S &amp; J BAKERY &amp; CATERING</t>
  </si>
  <si>
    <t xml:space="preserve">POWERLIFTING MEET @ TM </t>
  </si>
  <si>
    <t>V/BSB @ VICTORIA MARCH 7-</t>
  </si>
  <si>
    <t>V/BBK @ GP 2/5/19</t>
  </si>
  <si>
    <t>F/JV BBK @ GP 2/5/19</t>
  </si>
  <si>
    <t xml:space="preserve">F/JV/V BBK @ CALALLEN </t>
  </si>
  <si>
    <t>BBK @ ALICE 1/28/19</t>
  </si>
  <si>
    <t xml:space="preserve">JV/V BSC @ KINGSVILLE </t>
  </si>
  <si>
    <t xml:space="preserve">V/SB @ SINTON/GERTRUDIS </t>
  </si>
  <si>
    <t xml:space="preserve">TENNIS @ FLOUR BLUFF </t>
  </si>
  <si>
    <t>EL TROPICANO RIVERWALK</t>
  </si>
  <si>
    <t xml:space="preserve">STATE BBK TOURNY @ SA </t>
  </si>
  <si>
    <t>F/JV/V BBK ALICE 2/8/19</t>
  </si>
  <si>
    <t>F/JV/V BBK LAREDO 2/12/19</t>
  </si>
  <si>
    <t xml:space="preserve">G SERIES PERFORMANCE </t>
  </si>
  <si>
    <t xml:space="preserve">CARDIAC POWERHEART </t>
  </si>
  <si>
    <t>BENITEZ, JOSHUA</t>
  </si>
  <si>
    <t>JV/V GSC CALALLEN 2/15/19</t>
  </si>
  <si>
    <t>BERNAL, IAN</t>
  </si>
  <si>
    <t>181-36-6219.09-001-991D39</t>
  </si>
  <si>
    <t>V/GBK CARROLL 2/11/19</t>
  </si>
  <si>
    <t>WATER WAND ASSEMBLY</t>
  </si>
  <si>
    <t>JERSEYS, SHORTS, SOCKS</t>
  </si>
  <si>
    <t>UNIFORMS</t>
  </si>
  <si>
    <t>JV/V SB BISHOP 2/19/19</t>
  </si>
  <si>
    <t xml:space="preserve">JV/V BSC LAREDO MARTIN </t>
  </si>
  <si>
    <t>181-36-6219.3A-001-991039</t>
  </si>
  <si>
    <t>V/BSB KINGSVILLE 2/18/19</t>
  </si>
  <si>
    <t>JV/SB @ VETERANS 2/15/19</t>
  </si>
  <si>
    <t>181-36-6412.3U-001-991139</t>
  </si>
  <si>
    <t>V/TENNIS @ CCISD 2/16/19</t>
  </si>
  <si>
    <t>JV/SB @ VETERANS 2/16/19</t>
  </si>
  <si>
    <t xml:space="preserve">JV/V BSC @ CALALLEN </t>
  </si>
  <si>
    <t xml:space="preserve">COASTAL BEND SOCCER </t>
  </si>
  <si>
    <t>BSC SCRIMMAGE 12/28/18</t>
  </si>
  <si>
    <t>CORNEJO, JEREMY</t>
  </si>
  <si>
    <t>DELGADO, JOHN</t>
  </si>
  <si>
    <t>GARCIA, JOSE R. JR.</t>
  </si>
  <si>
    <t xml:space="preserve">JV/V GSC FLOUR BLUFF </t>
  </si>
  <si>
    <t>JV/V GSC GP 2/19/19</t>
  </si>
  <si>
    <t>GONZALES, CHRISTOPHER A</t>
  </si>
  <si>
    <t>GUAJARDO, RODRIGO</t>
  </si>
  <si>
    <t>JV/V GSC CALLALLEN 2/15/19</t>
  </si>
  <si>
    <t>HERNANDEZ, MICHAEL</t>
  </si>
  <si>
    <t xml:space="preserve">F/JV TENNIS @ KNGSVILE </t>
  </si>
  <si>
    <t xml:space="preserve">V/TENNIS TOURNEY @ TM </t>
  </si>
  <si>
    <t xml:space="preserve">F/JV TENNIS @ CALALLEN </t>
  </si>
  <si>
    <t>JOHNSON, LEWIS L.</t>
  </si>
  <si>
    <t>MARTINEZ, DIONICIO III</t>
  </si>
  <si>
    <t>181-36-6399.3U-001-991039</t>
  </si>
  <si>
    <t>CHAMPRO HEAVY DUT TEES</t>
  </si>
  <si>
    <t>MORENO, ESEQUIEL</t>
  </si>
  <si>
    <t>JV/V GSC LAREDO 2/12/19</t>
  </si>
  <si>
    <t>OLALDE, JORGE</t>
  </si>
  <si>
    <t>181-36-6219.03-001-991042</t>
  </si>
  <si>
    <t xml:space="preserve">GBK ODEM VS GERTRUDIS </t>
  </si>
  <si>
    <t>181-36-6249.3F-041-991041</t>
  </si>
  <si>
    <t>HELMET DECALS</t>
  </si>
  <si>
    <t>FOUNDATION HELMETS</t>
  </si>
  <si>
    <t>181-36-6399.3F-041-991041</t>
  </si>
  <si>
    <t>VICTORY HELMETS</t>
  </si>
  <si>
    <t>RODRIGUEZ, GUSTAVO JR.</t>
  </si>
  <si>
    <t>JV/V GSC ALICE 2/22/19</t>
  </si>
  <si>
    <t>SANTOS, RODOLFO III</t>
  </si>
  <si>
    <t>SENER, MUCAHID</t>
  </si>
  <si>
    <t>SMITH, JACOBY</t>
  </si>
  <si>
    <t>SOTO, JULIO CESAR</t>
  </si>
  <si>
    <t>SUAREZ JR, JESUS R</t>
  </si>
  <si>
    <t>TAPIA, PETER</t>
  </si>
  <si>
    <t>TREVINO, RICHARD R.</t>
  </si>
  <si>
    <t>VARGAS, MARCO</t>
  </si>
  <si>
    <t xml:space="preserve">VILLARREAL, JONATHAN </t>
  </si>
  <si>
    <t>WESLACO EAST ATHLETICS</t>
  </si>
  <si>
    <t xml:space="preserve">HAMPTON INN &amp; SUITES - </t>
  </si>
  <si>
    <t xml:space="preserve">GPL STATE @ WACO MARCH </t>
  </si>
  <si>
    <t>GTRK @ BANQUETE 3/28/19</t>
  </si>
  <si>
    <t>BTRK @ BANQUETE 3/28/19</t>
  </si>
  <si>
    <t>JV/V GSC LAREDO 2/26/19</t>
  </si>
  <si>
    <t>JV/V BSC FLOUR BLUFF 3/5/19</t>
  </si>
  <si>
    <t>JV/V SB ALICE 3/5/19</t>
  </si>
  <si>
    <t>JV/SB @ CCISD 2/21/19</t>
  </si>
  <si>
    <t>181-36-6412.3A-001-991139</t>
  </si>
  <si>
    <t>F/BSB @ MOODY 2/22/19</t>
  </si>
  <si>
    <t>V/SB @ CCISD 3/1/19</t>
  </si>
  <si>
    <t>F/BSB @ MOODY 2/23/19</t>
  </si>
  <si>
    <t>181-36-6412.3S-041-991141</t>
  </si>
  <si>
    <t>CRUZ, JEANETTE</t>
  </si>
  <si>
    <t>8/2/18-2/26/19 MILEAGE</t>
  </si>
  <si>
    <t>DOMINO'S PIZZA</t>
  </si>
  <si>
    <t xml:space="preserve">F/JV TENNIS @ LAREDO </t>
  </si>
  <si>
    <t>181-36-6219.3P-001-991139</t>
  </si>
  <si>
    <t>V/SB @ CCISD 3/2/19</t>
  </si>
  <si>
    <t>F/BSB VETERANS 2/25/19</t>
  </si>
  <si>
    <t xml:space="preserve">V/TENNIS @ BATTLE BAY </t>
  </si>
  <si>
    <t>V/TENNIS @ CCISD 2/15/19</t>
  </si>
  <si>
    <t>181-36-6412.3B-001-991239</t>
  </si>
  <si>
    <t>MECA SPORTSWEAR</t>
  </si>
  <si>
    <t>181-36-6499.99-001-991039</t>
  </si>
  <si>
    <t>LETTERMAN JACKETS</t>
  </si>
  <si>
    <t>ROCKPORT FULTON ISD</t>
  </si>
  <si>
    <t xml:space="preserve">V/TENNIS @ ROCKPORT MAR </t>
  </si>
  <si>
    <t>PLAY BALL CONDITIONER</t>
  </si>
  <si>
    <t>V/TENNIS @ TM FEB 1-11</t>
  </si>
  <si>
    <t>TREVINO, JAMES R.</t>
  </si>
  <si>
    <t>WEBB, RICHARD L.</t>
  </si>
  <si>
    <t>NIKE &amp; SYNCHRO SHOES</t>
  </si>
  <si>
    <t>NIKE CUSTOM UNIFORMS</t>
  </si>
  <si>
    <t>SOFTBALL EQUIPMENT</t>
  </si>
  <si>
    <t>BALL BUCKETS</t>
  </si>
  <si>
    <t>181-36-6399.3W-041-991041</t>
  </si>
  <si>
    <t xml:space="preserve">IRON SHOT &amp; RELAY BATON </t>
  </si>
  <si>
    <t xml:space="preserve">COURTYARD BY MARRIOTT </t>
  </si>
  <si>
    <t xml:space="preserve">BPL STATE @ ABILENE MAR </t>
  </si>
  <si>
    <t>SAM'S CLUB/GEMB</t>
  </si>
  <si>
    <t>3/13/19-3/13/20 MEMBERSHIP</t>
  </si>
  <si>
    <t>TENNIS SUCCESS, INC.</t>
  </si>
  <si>
    <t xml:space="preserve">V/TENNIS @ WBURGER MAR </t>
  </si>
  <si>
    <t xml:space="preserve">V/BSB @ GEORGETOWN </t>
  </si>
  <si>
    <t xml:space="preserve">F/JV BSB @ KINGSVILLE </t>
  </si>
  <si>
    <t xml:space="preserve">JV/BSB @ FLOUR BLUFF </t>
  </si>
  <si>
    <t>181-36-6412.3J-001-991139</t>
  </si>
  <si>
    <t>JV/V BSC @ GP 2/19/19</t>
  </si>
  <si>
    <t>JV/V BSC @ ALICE 2/22/19</t>
  </si>
  <si>
    <t xml:space="preserve">JV/V BSC @ FLOUR BLUFF </t>
  </si>
  <si>
    <t>JV/SB @ CCISD 2/23/19</t>
  </si>
  <si>
    <t xml:space="preserve">F/JV TENNIS @KNGSVILLE </t>
  </si>
  <si>
    <t>TENNIS @ ALICE 2/14/19</t>
  </si>
  <si>
    <t>181-36-6412.3W-001-991139</t>
  </si>
  <si>
    <t>181-36-6412.3W-041-991141</t>
  </si>
  <si>
    <t>BTRK @ ALICE 2/28/19</t>
  </si>
  <si>
    <t>F/JV BSB ROBSTOWN 3/16/19</t>
  </si>
  <si>
    <t>BRYNESTAD, STEPHEN</t>
  </si>
  <si>
    <t>JV/V BSC LAREDO 3/18/19</t>
  </si>
  <si>
    <t>JV/V BSC GP 3/22/19</t>
  </si>
  <si>
    <t>JV/V SB CALALLEN 3/22/19</t>
  </si>
  <si>
    <t>F/JV BSB INGLESIDE 3/23/19</t>
  </si>
  <si>
    <t>JV/V SB FLOUR BLUFF 3/15/19</t>
  </si>
  <si>
    <t>SWIM/DIVE @ FBLUFF 3/23/19</t>
  </si>
  <si>
    <t>JV/V BSC CALALLEN 3/19/19</t>
  </si>
  <si>
    <t>181-36-6219.3A-001-991139</t>
  </si>
  <si>
    <t xml:space="preserve">V/BSB LAREDO UNITED </t>
  </si>
  <si>
    <t>GALLEGOS, ANGEL JR</t>
  </si>
  <si>
    <t>GARCIA, AUGUSTINE</t>
  </si>
  <si>
    <t>JV/V BSC LAREDO 3/8/19</t>
  </si>
  <si>
    <t>GONZALEZ, DANNY</t>
  </si>
  <si>
    <t>F/BSB FLOUR BLUFF 3/12/19</t>
  </si>
  <si>
    <t>GONZALEZ, ISRAEL R</t>
  </si>
  <si>
    <t>JOHNSTON, REBECCA</t>
  </si>
  <si>
    <t xml:space="preserve">LAREDO INDEPENDENT </t>
  </si>
  <si>
    <t>GOLF @ LAREDO MAR 31-</t>
  </si>
  <si>
    <t xml:space="preserve">INCORRECT AMOUNT &amp; </t>
  </si>
  <si>
    <t>LIRA, MICHAEL</t>
  </si>
  <si>
    <t xml:space="preserve">LOVE TENNIS &amp; EDUCATION </t>
  </si>
  <si>
    <t>V/TENNIS @ CC MARCH 29-30</t>
  </si>
  <si>
    <t>181-00-1109.02-001-900000</t>
  </si>
  <si>
    <t xml:space="preserve">ATHLETIC GAMES </t>
  </si>
  <si>
    <t>SOLIS, JUAN</t>
  </si>
  <si>
    <t xml:space="preserve">V/BSB CALALLEN @ WB </t>
  </si>
  <si>
    <t>VILLARREAL, ANDY</t>
  </si>
  <si>
    <t>WEST, JEFFREY R</t>
  </si>
  <si>
    <t>YBARRA, DAVID</t>
  </si>
  <si>
    <t>AED PADS &amp; CARD SCI PADS</t>
  </si>
  <si>
    <t>CC DISTRIBUTORS, INC</t>
  </si>
  <si>
    <t>WHITE COPY PAPER</t>
  </si>
  <si>
    <t>SWIM/DIVE @ CCISD 3/30/19</t>
  </si>
  <si>
    <t>V/SB @ SAN BENITO 3/12/19</t>
  </si>
  <si>
    <t>V/BSB @ LAREDO 3/19/19</t>
  </si>
  <si>
    <t>JV/V SB @ LAREDO 3/18/19</t>
  </si>
  <si>
    <t xml:space="preserve">V/TENNIS @ WHATABURGER </t>
  </si>
  <si>
    <t>DAIRY QUEEN OF INGLESIDE</t>
  </si>
  <si>
    <t>V/BSB @ INGLESIDE 3/23/19</t>
  </si>
  <si>
    <t>DAIRY QUEEN OF VICTORIA</t>
  </si>
  <si>
    <t>V/BSB @ VICTORIA 3/7/19</t>
  </si>
  <si>
    <t>V/BSB @ VICTORIA 3/9/19</t>
  </si>
  <si>
    <t>2/16/19-3/28/19 MILEAGE</t>
  </si>
  <si>
    <t xml:space="preserve">CABLE TIES, BELTS, WEED </t>
  </si>
  <si>
    <t>CHAIN DECOR</t>
  </si>
  <si>
    <t>SUN LIQUID DETERGENT</t>
  </si>
  <si>
    <t xml:space="preserve">FOOTBALL JERSEYS </t>
  </si>
  <si>
    <t>CASH BOX</t>
  </si>
  <si>
    <t>BSC PARENTS NIGHT</t>
  </si>
  <si>
    <t>V/BSB @ VICTORIA 3/8/19</t>
  </si>
  <si>
    <t xml:space="preserve">JF/BSB @ FLOUR BLUFF </t>
  </si>
  <si>
    <t>JV/BSB @ RAY 3/7/19</t>
  </si>
  <si>
    <t>JV/BSB @ RAY 3/8/19</t>
  </si>
  <si>
    <t>181-36-6412.3J-041-991141</t>
  </si>
  <si>
    <t xml:space="preserve">GTRK @ FLOUR BLUFF </t>
  </si>
  <si>
    <t xml:space="preserve">JV/V GSC @ FLOUR BLUFF </t>
  </si>
  <si>
    <t>BTRK @ CALALLEN 3/28/19</t>
  </si>
  <si>
    <t>BROOKS, GREG</t>
  </si>
  <si>
    <t>JV/V SB GP 3/26/19</t>
  </si>
  <si>
    <t xml:space="preserve">JV/V SB LAREDO MARTIN </t>
  </si>
  <si>
    <t>181-00-5752.09-001-900D39</t>
  </si>
  <si>
    <t>V/GBK VS CARROLL 2/11/19</t>
  </si>
  <si>
    <t>V/BSB @ ALICE 3/29/19</t>
  </si>
  <si>
    <t>DAIRY QUEEN OF FREER</t>
  </si>
  <si>
    <t>BTRK @ LAREDO 4/3/19</t>
  </si>
  <si>
    <t>GTRK DISTRICT @ GP 4/4/19</t>
  </si>
  <si>
    <t xml:space="preserve">DAYS INN SAN ANTONIO </t>
  </si>
  <si>
    <t>181-36-6412.09-001-991J39</t>
  </si>
  <si>
    <t xml:space="preserve">GTRK REGIONAL @ SA APR </t>
  </si>
  <si>
    <t>JV/V GSC @ LAREDO 3/8/19</t>
  </si>
  <si>
    <t xml:space="preserve">V/TENNIS RGNLS @ SA APR </t>
  </si>
  <si>
    <t>GOLF @ MOODY 3/18/19</t>
  </si>
  <si>
    <t>GARCIA, JOE</t>
  </si>
  <si>
    <t>F/JV BSB ALICE 3/30/19</t>
  </si>
  <si>
    <t>GREER, KENNETH EDWARD</t>
  </si>
  <si>
    <t>V/BSB GP 3/26/19</t>
  </si>
  <si>
    <t>HERRERA, DAVID</t>
  </si>
  <si>
    <t>HOUSTON, PAUL J</t>
  </si>
  <si>
    <t>F/BSB GP 3/25/19</t>
  </si>
  <si>
    <t>V/SB @ CCISD 2/28/19</t>
  </si>
  <si>
    <t>F/JV TENNIS @ TM 3/19/19</t>
  </si>
  <si>
    <t>LEYVA, RICHARD GABRIEL</t>
  </si>
  <si>
    <t>MARROQUIN, AURELIO III</t>
  </si>
  <si>
    <t>LETTERMAN JACKET</t>
  </si>
  <si>
    <t>PACHECO, MATIAS</t>
  </si>
  <si>
    <t>181-36-6412.09-001-991G39</t>
  </si>
  <si>
    <t xml:space="preserve">GOLF RGNL @ MCALLEN APR </t>
  </si>
  <si>
    <t>SOUTH PADRE ISLAND</t>
  </si>
  <si>
    <t xml:space="preserve">BSKTBALL CLINIC @ SPI MAY </t>
  </si>
  <si>
    <t xml:space="preserve">SPRING HILL SUITES </t>
  </si>
  <si>
    <t>SUBWAY</t>
  </si>
  <si>
    <t>GTRK DISTRICT @ GP 4/5/19</t>
  </si>
  <si>
    <t xml:space="preserve">UNIVERSITY OF TEXAS AT </t>
  </si>
  <si>
    <t>VATA</t>
  </si>
  <si>
    <t>ATH TRAINING @ SPI JUN 13-</t>
  </si>
  <si>
    <t>JV/V SB @ ALICE 3/29/19</t>
  </si>
  <si>
    <t xml:space="preserve">JV/V SB @ LAREDO MARTIN </t>
  </si>
  <si>
    <t xml:space="preserve">BTRK DISTRICT @ LAREDO </t>
  </si>
  <si>
    <t>181-36-6412.09-001-991W39</t>
  </si>
  <si>
    <t xml:space="preserve">BTRK REGIONAL @ SA APR </t>
  </si>
  <si>
    <t xml:space="preserve">TEXAS GIRLS COACHES </t>
  </si>
  <si>
    <t>6/1/19-5/31/20</t>
  </si>
  <si>
    <t>DELEON, SALLY</t>
  </si>
  <si>
    <t>181-36-6412.09-001-991139</t>
  </si>
  <si>
    <t>V/SB @ FLORESVILLE APR 25-</t>
  </si>
  <si>
    <t>F/JV BSB CALALLEN 4/6/19</t>
  </si>
  <si>
    <t>SOCCER FIELD SET</t>
  </si>
  <si>
    <t>FOOTBALL EQUIPMENT</t>
  </si>
  <si>
    <t xml:space="preserve">BOWNET BASEBALL </t>
  </si>
  <si>
    <t>PHENOM TEES</t>
  </si>
  <si>
    <t>SWIM/DIVE @ ALICE 4/13/19</t>
  </si>
  <si>
    <t xml:space="preserve">GTRK DISTRICT @ LAREDO </t>
  </si>
  <si>
    <t>V/BSB LAREDO MARTIN 4/2/19</t>
  </si>
  <si>
    <t>TREVINO, FRED ALEXANDER</t>
  </si>
  <si>
    <t>JV/BSB @ GP 3/25/19</t>
  </si>
  <si>
    <t>GTRK @ CALALLEN 3/28/19</t>
  </si>
  <si>
    <t xml:space="preserve">V/TENNIS @ ROCKPORT </t>
  </si>
  <si>
    <t>AMAYA, LARRY</t>
  </si>
  <si>
    <t>V/BSB FLOUR BLUFF 4/12/19</t>
  </si>
  <si>
    <t>BUENO, JAMES</t>
  </si>
  <si>
    <t>CCBUA</t>
  </si>
  <si>
    <t>BASEBALL FEB SCRIMMAGES</t>
  </si>
  <si>
    <t xml:space="preserve">JV/V SB LAREDO CIGAROA </t>
  </si>
  <si>
    <t>ESCARENO, SAMUEL</t>
  </si>
  <si>
    <t xml:space="preserve">V/BSB LAREDO CIGARROA </t>
  </si>
  <si>
    <t>V/BSB ALICE 4/23/19</t>
  </si>
  <si>
    <t>181-36-6219.04-001-991142</t>
  </si>
  <si>
    <t xml:space="preserve">GBK GEORGEWEST VS ODEM </t>
  </si>
  <si>
    <t>181-36-6219.05-001-991142</t>
  </si>
  <si>
    <t xml:space="preserve">GBK ARANSAS VS SKIDMRE </t>
  </si>
  <si>
    <t>HERNANDEZ, DAVID N</t>
  </si>
  <si>
    <t>F/JV BSB GP 4/18/19</t>
  </si>
  <si>
    <t xml:space="preserve">GTRK STATE @ SNMARCOS </t>
  </si>
  <si>
    <t>GTRK AREA @ ALICE 4/17/19</t>
  </si>
  <si>
    <t>HILTON GARDEN INN</t>
  </si>
  <si>
    <t xml:space="preserve">GOLF STATE @ GRGTOWN </t>
  </si>
  <si>
    <t xml:space="preserve">HYATT REGENCY SAN </t>
  </si>
  <si>
    <t>TABC CLINIC @ SA MAY 16-18</t>
  </si>
  <si>
    <t>JOHNSON, DON</t>
  </si>
  <si>
    <t>181-36-6219.05-001-991042</t>
  </si>
  <si>
    <t>JOHNSON, REGINALD</t>
  </si>
  <si>
    <t>181-36-6219.04-001-991042</t>
  </si>
  <si>
    <t>MENDIETTA, SEFERINO</t>
  </si>
  <si>
    <t>ROCCO, ROBERT W.</t>
  </si>
  <si>
    <t>181-00-5752.03-001-900042</t>
  </si>
  <si>
    <t>181-00-5752.04-001-900042</t>
  </si>
  <si>
    <t>181-00-5752.05-001-900042</t>
  </si>
  <si>
    <t>WILLIAMS, PATRICK</t>
  </si>
  <si>
    <t>ALAMO HEIGHTS ISD</t>
  </si>
  <si>
    <t xml:space="preserve">TENNIS REGION @ SA OCT </t>
  </si>
  <si>
    <t xml:space="preserve">V/TENNIS DISTRICT @ TM </t>
  </si>
  <si>
    <t>V/TENNIS @ CC 3/29/19</t>
  </si>
  <si>
    <t>CICI'S PIZZA STORE #219</t>
  </si>
  <si>
    <t xml:space="preserve">TRACK MEETING @ LAREDO </t>
  </si>
  <si>
    <t>GOLF @ RAY 3/25/19</t>
  </si>
  <si>
    <t>JV/V SB CALALLEN 4/16/19</t>
  </si>
  <si>
    <t xml:space="preserve">HOME DEPOT CREDIT </t>
  </si>
  <si>
    <t>WATER HOSES</t>
  </si>
  <si>
    <t>181-36-6411.09-001-991W39</t>
  </si>
  <si>
    <t xml:space="preserve">V/BSB @ LAREDO MARTIN </t>
  </si>
  <si>
    <t>SULLIVAN, SEAN</t>
  </si>
  <si>
    <t>F/JV TENNIS @ TM 4/12/19</t>
  </si>
  <si>
    <t>RECEIPT BOOKS</t>
  </si>
  <si>
    <t>SB BIDISTRICT PROGRAMS</t>
  </si>
  <si>
    <t>181-00-5752.02-001-900042</t>
  </si>
  <si>
    <t>181-36-6219.06-001-991042</t>
  </si>
  <si>
    <t xml:space="preserve">V/SB BANQUETE VS GOLIAD </t>
  </si>
  <si>
    <t>181-36-6412.09-001-991A39</t>
  </si>
  <si>
    <t>V/BSB KING 5/2/19</t>
  </si>
  <si>
    <t>LEMON, SHAUN</t>
  </si>
  <si>
    <t>181-36-6412.09-001-991Z39</t>
  </si>
  <si>
    <t>4/16/19-5/10/19 MILEAGE</t>
  </si>
  <si>
    <t>RIOS, JOHNNY</t>
  </si>
  <si>
    <t>RODRIGUEZ, DICKY</t>
  </si>
  <si>
    <t>STEVENS, EDDIE</t>
  </si>
  <si>
    <t>TORRES, PRIMO</t>
  </si>
  <si>
    <t>V/SB @ FLORESVILLE 4/25/19</t>
  </si>
  <si>
    <t xml:space="preserve">V/BSB BIDISTRICT @ KING </t>
  </si>
  <si>
    <t>V/BSB @ GP 4/18/19</t>
  </si>
  <si>
    <t>F/JV BSB @ ALICE 4/24/19</t>
  </si>
  <si>
    <t>JV/V SB @ GP 4/18/19</t>
  </si>
  <si>
    <t xml:space="preserve">JV/V SB @ FLOUR BLUFF </t>
  </si>
  <si>
    <t xml:space="preserve">BTRK DISTRICT MEET @ GP </t>
  </si>
  <si>
    <t>AED SUPERSTORE</t>
  </si>
  <si>
    <t>PEDIATRIC ELECTRODES</t>
  </si>
  <si>
    <t>181-36-6219.10-001-991042</t>
  </si>
  <si>
    <t xml:space="preserve">V/SB HARLINGN/BRAUNFLS </t>
  </si>
  <si>
    <t>HERNANDEZ, MELISSA ANN</t>
  </si>
  <si>
    <t xml:space="preserve">INN AT SOUTH PADRE HOTEL, </t>
  </si>
  <si>
    <t>MARTIN, DOUGLAS DUANE</t>
  </si>
  <si>
    <t>YEATER, BRAD</t>
  </si>
  <si>
    <t>A &amp; W OFFICE SUPPLY INC</t>
  </si>
  <si>
    <t>MONITOR STAND</t>
  </si>
  <si>
    <t xml:space="preserve">PERFORMANCE SHORTS, </t>
  </si>
  <si>
    <t>VB CARTE &amp; MEDICINE BALL</t>
  </si>
  <si>
    <t>SOUTHERN FLORAL</t>
  </si>
  <si>
    <t>ATHLETIC BANQUET 5/13/19</t>
  </si>
  <si>
    <t>SUBWAY #12696</t>
  </si>
  <si>
    <t>JV/V SB @ CALHOUN 4/25/19</t>
  </si>
  <si>
    <t>TENNIS SUPPLIES</t>
  </si>
  <si>
    <t>GANDY INK</t>
  </si>
  <si>
    <t xml:space="preserve">ELECTRIFY &amp; MICROPIQUE </t>
  </si>
  <si>
    <t>SERNA, HECTOR</t>
  </si>
  <si>
    <t>181-36-6219.09-001-991042</t>
  </si>
  <si>
    <t xml:space="preserve">BSB VERNIA VS HIDALGO </t>
  </si>
  <si>
    <t xml:space="preserve">RAKE, EDGER, INFIELD </t>
  </si>
  <si>
    <t>GBK EQUIPMENT</t>
  </si>
  <si>
    <t>DIGITAL JERSEYS &amp; SHORTS</t>
  </si>
  <si>
    <t xml:space="preserve">ZOOM RIVAL SHOES &amp; SPIKE </t>
  </si>
  <si>
    <t>PHYSICAL DAY SUPPLIES</t>
  </si>
  <si>
    <t>HALL OF FAME FRAMES</t>
  </si>
  <si>
    <t>STOP PAYMENT PLACED</t>
  </si>
  <si>
    <t>XC BANNER</t>
  </si>
  <si>
    <t>VOLLEYBALLS BANNERS</t>
  </si>
  <si>
    <t>BROKERAGE STORE, INC THE</t>
  </si>
  <si>
    <t>181-00-1411.05-000-900000</t>
  </si>
  <si>
    <t xml:space="preserve">2019-2020 </t>
  </si>
  <si>
    <t xml:space="preserve">INTERNATIONAL SPORTS </t>
  </si>
  <si>
    <t>181-36-6319.3S-001-991039</t>
  </si>
  <si>
    <t>LED PANEL REPAIR</t>
  </si>
  <si>
    <t>181-36-6498.30-001-991039</t>
  </si>
  <si>
    <t>6/1/19-5/31/20 TGCA</t>
  </si>
  <si>
    <t>6/1/19-5/31/20 CCA</t>
  </si>
  <si>
    <t>HUDL</t>
  </si>
  <si>
    <t>7/22/19-7/21/20 V/BBK &amp; GBK</t>
  </si>
  <si>
    <t>7/22/19-7/21/20 JV/FB</t>
  </si>
  <si>
    <t>PRICE, MADELINE</t>
  </si>
  <si>
    <t>RANK ONE SPORT</t>
  </si>
  <si>
    <t xml:space="preserve">LOGISTICS MANAGEMENT </t>
  </si>
  <si>
    <t xml:space="preserve">ALL STAR SB @ DALLAS JUN </t>
  </si>
  <si>
    <t>BROWN, ARTHER L. JR.</t>
  </si>
  <si>
    <t>FB EQUIPMENT</t>
  </si>
  <si>
    <t>MASTER LOCK</t>
  </si>
  <si>
    <t>SB EQUIPMENT</t>
  </si>
  <si>
    <t>VEGA JR, LOUIS</t>
  </si>
  <si>
    <t>GONZALES INDEPENDENT</t>
  </si>
  <si>
    <t>XC @ GONZALES 8/17/19</t>
  </si>
  <si>
    <t>REPLACE CHECK 077262</t>
  </si>
  <si>
    <t xml:space="preserve">V/TENNIS @ MCALLEN AUG </t>
  </si>
  <si>
    <t>FALL &amp; SPRING SPORTS</t>
  </si>
  <si>
    <t>LAUNDRY DETERGENT</t>
  </si>
  <si>
    <t xml:space="preserve">POLO SHIRTS &amp; FLEX </t>
  </si>
  <si>
    <t xml:space="preserve">F/JV TENNIS DIST @ TM </t>
  </si>
  <si>
    <t>F/JV/V VB @ LAREDO AUG 22-</t>
  </si>
  <si>
    <t>XC @ MOODY 8/31/19</t>
  </si>
  <si>
    <t>XC @ MOODY 8/24/19</t>
  </si>
  <si>
    <t>RUSSELL, TERESA</t>
  </si>
  <si>
    <t>181-00-1109.01-041-900000</t>
  </si>
  <si>
    <t>F/JV/V ROCKPORT 8/6/19</t>
  </si>
  <si>
    <t>CHROBOCINSKI, THOMAS E</t>
  </si>
  <si>
    <t>V/VB @ CCISD 8/10/19</t>
  </si>
  <si>
    <t xml:space="preserve">F/JV VB @ FLOUR BLUFF </t>
  </si>
  <si>
    <t>V/VB @ CCISD 8/9/19</t>
  </si>
  <si>
    <t>PEREZ,  EDNA AZUCENA</t>
  </si>
  <si>
    <t>VB SPORTSWEAR</t>
  </si>
  <si>
    <t>V/VB @ SINTON 8/15/19</t>
  </si>
  <si>
    <t>F/JV/V VB @ KING 8/12/19</t>
  </si>
  <si>
    <t>DAIRY QUEEN CUERO</t>
  </si>
  <si>
    <t xml:space="preserve">FIRST ASSISTANCE SPORTS </t>
  </si>
  <si>
    <t>DRIFIT TSHIRTS</t>
  </si>
  <si>
    <t>OXI CLEAN DETERGENT</t>
  </si>
  <si>
    <t>F/JV VB @ SKIDMORE 8/16/19</t>
  </si>
  <si>
    <t>V/VB @ SINTON 8/17/19</t>
  </si>
  <si>
    <t>CANTU, AUDREY</t>
  </si>
  <si>
    <t>F/JV/V VB VETERANS 8/20/19</t>
  </si>
  <si>
    <t>F/JV FB KINGSVILLE 8/29/19</t>
  </si>
  <si>
    <t>FB CALALLEN 8/27/19</t>
  </si>
  <si>
    <t>VB @ GP 8/29/19</t>
  </si>
  <si>
    <t>ESPINOZA, KAYLA SAIGE</t>
  </si>
  <si>
    <t xml:space="preserve">F/JV/V VB LAREDO SOUTH </t>
  </si>
  <si>
    <t>MURRAY, LEVY</t>
  </si>
  <si>
    <t>OLMOS, RUDY</t>
  </si>
  <si>
    <t>OLMOS, RUDY  JOEL II</t>
  </si>
  <si>
    <t>RATLIFF, KIM</t>
  </si>
  <si>
    <t>VELASQUEZ, DAVID</t>
  </si>
  <si>
    <t>JV/FB @ PORTLAND 8/29/19</t>
  </si>
  <si>
    <t>F/FB @ VETERANS 8/29/19</t>
  </si>
  <si>
    <t>FB @ CALALLEN 8/27/19</t>
  </si>
  <si>
    <t>MCCLARREN, MELODIE</t>
  </si>
  <si>
    <t>192-00-2110.18-000-900000</t>
  </si>
  <si>
    <t>8/16/17-8/14/18 MILEAGE</t>
  </si>
  <si>
    <t>COMP ED</t>
  </si>
  <si>
    <t>HAMPTON INN AUSTIN</t>
  </si>
  <si>
    <t>192-13-6411.00-101-930038</t>
  </si>
  <si>
    <t xml:space="preserve">FUNDATIONS @ AUSTIN SEPT </t>
  </si>
  <si>
    <t>PRIMARY</t>
  </si>
  <si>
    <t>SHIRLEY, VALERIE</t>
  </si>
  <si>
    <t xml:space="preserve">WILSON RDNG @ AUSTIN </t>
  </si>
  <si>
    <t>STAT</t>
  </si>
  <si>
    <t>192-13-6411.10-002-926026</t>
  </si>
  <si>
    <t xml:space="preserve">CAST @ FORTH WORTH NOV </t>
  </si>
  <si>
    <t xml:space="preserve">ACADEMIC CAREER </t>
  </si>
  <si>
    <t xml:space="preserve">NUECES COUNTY JUVENILE </t>
  </si>
  <si>
    <t>192-95-6223.10-003-928029</t>
  </si>
  <si>
    <t>2 CHAIRS 19 DAYS SEPT 2018</t>
  </si>
  <si>
    <t>JJAEP</t>
  </si>
  <si>
    <t xml:space="preserve">EDUCATION SERVICE </t>
  </si>
  <si>
    <t xml:space="preserve">ESSENTIAL 55, CARD </t>
  </si>
  <si>
    <t>TCEA</t>
  </si>
  <si>
    <t xml:space="preserve">TCEA CONVENTION @ SA </t>
  </si>
  <si>
    <t>192-11-6399.10-002-926026</t>
  </si>
  <si>
    <t>THE ALCHEMIST</t>
  </si>
  <si>
    <t>GRADE BOOK 9/2/18-10/1/18</t>
  </si>
  <si>
    <t>PARAGRAPH WRITING</t>
  </si>
  <si>
    <t xml:space="preserve">CALCULUS A SINGLE </t>
  </si>
  <si>
    <t>CALCULUS BOOKS</t>
  </si>
  <si>
    <t>HDMI ADAPTER CABLE</t>
  </si>
  <si>
    <t>GRADE BOOK 10/2/18-11/1/18</t>
  </si>
  <si>
    <t>2 CHAIRS 23 DAYS OCT 2018</t>
  </si>
  <si>
    <t>2 CHAIRS 19 DAYS NOV 2018</t>
  </si>
  <si>
    <t>COLLINS, LAURA</t>
  </si>
  <si>
    <t>CAST @ FORT WORTH NOV 1-</t>
  </si>
  <si>
    <t>CURRICULUM ASSOCIATES</t>
  </si>
  <si>
    <t>192-11-6396.00-041-924024</t>
  </si>
  <si>
    <t xml:space="preserve">IREADY READING/MATH </t>
  </si>
  <si>
    <t>192-11-6396.00-104-930024</t>
  </si>
  <si>
    <t>IREADY READING LICENSE</t>
  </si>
  <si>
    <t>192-11-6399.24-001-924024</t>
  </si>
  <si>
    <t>MOUSE PADS</t>
  </si>
  <si>
    <t>GRADE BOOK 11/2/18-12/1/18</t>
  </si>
  <si>
    <t>192-11-6395.10-002-926026</t>
  </si>
  <si>
    <t xml:space="preserve">COURSE COMPLETION </t>
  </si>
  <si>
    <t>192-11-6399.24-001-928028</t>
  </si>
  <si>
    <t>ADC SUPPLIES</t>
  </si>
  <si>
    <t>GLYNLYON INC</t>
  </si>
  <si>
    <t>192-11-6399.11-001-924024</t>
  </si>
  <si>
    <t>11/1/18-10/31/19 SITE LICENSE</t>
  </si>
  <si>
    <t>192-11-6399.11-002-926026</t>
  </si>
  <si>
    <t>192-11-6399.11-041-924024</t>
  </si>
  <si>
    <t>192-11-6239.10-002-926026</t>
  </si>
  <si>
    <t xml:space="preserve">2018-2019 TCMPC ONLINE &amp; </t>
  </si>
  <si>
    <t>2 CHAIRS 15 DAYS DEC 2018</t>
  </si>
  <si>
    <t xml:space="preserve">SEXUAL ABUSE AWARENESS </t>
  </si>
  <si>
    <t>192-11-6412.10-002-926026</t>
  </si>
  <si>
    <t>CHILD ABUSE @ CC 12/13/18</t>
  </si>
  <si>
    <t>192-23-6411.10-002-926026</t>
  </si>
  <si>
    <t>GRADE BOOK 12/2/18-1/1/19</t>
  </si>
  <si>
    <t>2 CHAIRS 18 DAYS JAN 2019</t>
  </si>
  <si>
    <t>GRADE BOOK 1/2/19-2/1/19</t>
  </si>
  <si>
    <t>1/9/19-1/8/20</t>
  </si>
  <si>
    <t>192-13-6239.10-002-926026</t>
  </si>
  <si>
    <t xml:space="preserve">2018-2019 EDUCATIONAL </t>
  </si>
  <si>
    <t xml:space="preserve">TAAE CONFERENCE @ SA </t>
  </si>
  <si>
    <t>HISTORIC MENGER HOTEL</t>
  </si>
  <si>
    <t>2 CHAIRS 20 DAYS FEB 2019</t>
  </si>
  <si>
    <t xml:space="preserve">SIRIUS EDUCATION </t>
  </si>
  <si>
    <t>192-11-6399.10-001-924024</t>
  </si>
  <si>
    <t>EOC MATERIALS</t>
  </si>
  <si>
    <t>BILOGY COMBO &amp; EDITIONS</t>
  </si>
  <si>
    <t>SMITH HEADPHONES</t>
  </si>
  <si>
    <t>FINTIE IPAD CASES</t>
  </si>
  <si>
    <t>APPLE, INC</t>
  </si>
  <si>
    <t>192-11-6649.10-002-926026</t>
  </si>
  <si>
    <t>IPAD WIFI 32GB</t>
  </si>
  <si>
    <t>GRADE BOOK 2/2/19-3/1/19</t>
  </si>
  <si>
    <t>CALK, DAVID ALEXANDER</t>
  </si>
  <si>
    <t>CHAPA, IRIS</t>
  </si>
  <si>
    <t>CRAIN, HELEN JAN</t>
  </si>
  <si>
    <t>LUNA, SAMUEL R</t>
  </si>
  <si>
    <t>MOORE, SHARON</t>
  </si>
  <si>
    <t>SALINAS, RACHEL N</t>
  </si>
  <si>
    <t>WORKSHOP 1501964 2/11/19</t>
  </si>
  <si>
    <t>2 CHAIRS 16 DAYS MAR 2019</t>
  </si>
  <si>
    <t xml:space="preserve">MASTERPIECES PUZZLE &amp; </t>
  </si>
  <si>
    <t>192-11-6396.10-002-926026</t>
  </si>
  <si>
    <t>EXTERNAL CD DRIVE</t>
  </si>
  <si>
    <t>GRADE BOOK 3/2/19-4/2/19</t>
  </si>
  <si>
    <t>2 CHAIRS 20 DAYS APR 2019</t>
  </si>
  <si>
    <t>CREDIT CHECK SHEETS</t>
  </si>
  <si>
    <t>STUDENT AGR CARDS</t>
  </si>
  <si>
    <t>GRADE BOOK 4/2/19-5/1/19</t>
  </si>
  <si>
    <t>TAAE</t>
  </si>
  <si>
    <t>MERGE CUBES APPS</t>
  </si>
  <si>
    <t>MERGE LABS, INC.</t>
  </si>
  <si>
    <t>MERGE CUBES</t>
  </si>
  <si>
    <t>AISYS CONSULTING LLC</t>
  </si>
  <si>
    <t xml:space="preserve">3YR SOFTWARE </t>
  </si>
  <si>
    <t>IXL LEARNING</t>
  </si>
  <si>
    <t>1YR MEMBERSHIP</t>
  </si>
  <si>
    <t>2 CHAIRS 20 DAYS MAY 2019</t>
  </si>
  <si>
    <t>ADC UNIT SUPPLIES</t>
  </si>
  <si>
    <t>PRESTWICK HOUSE INC</t>
  </si>
  <si>
    <t xml:space="preserve">VOCABULARY LATIN &amp; </t>
  </si>
  <si>
    <t>READ NATURALLY</t>
  </si>
  <si>
    <t>192-11-6396.00-101-930038</t>
  </si>
  <si>
    <t>7/1/19-7/1/20 LIVE LICENSES</t>
  </si>
  <si>
    <t>GRADE BOOK 5/2/19-6/1/19</t>
  </si>
  <si>
    <t>CDW GOVERNMENT, INC</t>
  </si>
  <si>
    <t>GOGGLE CHROME LICENSE</t>
  </si>
  <si>
    <t>CHROMEBOOKS</t>
  </si>
  <si>
    <t>LOWMAN CONSULTING LLC</t>
  </si>
  <si>
    <t xml:space="preserve">EOC FOCUS/BLITZ </t>
  </si>
  <si>
    <t>EDPUZZLE, INC.</t>
  </si>
  <si>
    <t>1YR UNLIMITED ACCESS</t>
  </si>
  <si>
    <t>IPAD AIR CASES</t>
  </si>
  <si>
    <t>HEADPHONES W/EARPADS</t>
  </si>
  <si>
    <t>6/2/19-7/1/19</t>
  </si>
  <si>
    <t>CHROMEBOOK CARTS</t>
  </si>
  <si>
    <t>WORKSHOP 1522858 6/18/19</t>
  </si>
  <si>
    <t>7/2/19-8/1/19</t>
  </si>
  <si>
    <t>APPLE MINI ADAPTER</t>
  </si>
  <si>
    <t>EXPLORE LEARNING</t>
  </si>
  <si>
    <t>1YR GIZMO LICENSE</t>
  </si>
  <si>
    <t xml:space="preserve">ENVIRONMENTAL </t>
  </si>
  <si>
    <t>8/2/19-9/1/19</t>
  </si>
  <si>
    <t>192-11-6649.10-001-924024</t>
  </si>
  <si>
    <t>192-13-6411.00-001-930038</t>
  </si>
  <si>
    <t>WORKSHOP 1531753 8/16/19</t>
  </si>
  <si>
    <t>192-13-6411.00-104-930038</t>
  </si>
  <si>
    <t>WORKSHOP 1522587 7/25/19</t>
  </si>
  <si>
    <t>WORKSHOP 1522860 8/5/19</t>
  </si>
  <si>
    <t>192-13-6411.24-101-930024</t>
  </si>
  <si>
    <t>8/21/18-8/14/19 MILEAGE</t>
  </si>
  <si>
    <t>2 CHAIRS 5 DAYS AUG 2019</t>
  </si>
  <si>
    <t>198-41-6649.00-702-999000</t>
  </si>
  <si>
    <t>RECORDING SYSTEM</t>
  </si>
  <si>
    <t xml:space="preserve">M&amp;G CHAPTER 313 </t>
  </si>
  <si>
    <t>BOARD OF TRUSTEES</t>
  </si>
  <si>
    <t>WENDLAND, JENNIFER</t>
  </si>
  <si>
    <t>199-00-2110.18-000-900000</t>
  </si>
  <si>
    <t>8/7/17-7/27/18 MILEAGE</t>
  </si>
  <si>
    <t>GENERAL FUND</t>
  </si>
  <si>
    <t xml:space="preserve">ASSOCIATION OF AVIATION </t>
  </si>
  <si>
    <t>199-36-6412.8M-001-999033</t>
  </si>
  <si>
    <t>AIR RIFLE POSTAL 11/30/18</t>
  </si>
  <si>
    <t xml:space="preserve">DRILL MEET @ CARROLL </t>
  </si>
  <si>
    <t>DEL MAR COLLEGE</t>
  </si>
  <si>
    <t xml:space="preserve">WELDING &amp; HEAVY </t>
  </si>
  <si>
    <t xml:space="preserve">EASTSIDE HIGH SCHOOL </t>
  </si>
  <si>
    <t>AIR RIFLE POSTAL</t>
  </si>
  <si>
    <t xml:space="preserve">HARLINGEN HIGH SCHOOL </t>
  </si>
  <si>
    <t>199-36-6412.8S-001-999001</t>
  </si>
  <si>
    <t>TFA @ HARLINGEN 9/22/18</t>
  </si>
  <si>
    <t>HARMON, JOSEPH WALTER</t>
  </si>
  <si>
    <t>199-36-6411.8M-001-999133</t>
  </si>
  <si>
    <t>199-36-6412.8M-001-999133</t>
  </si>
  <si>
    <t xml:space="preserve">ROTC BEACH CLEAN UP </t>
  </si>
  <si>
    <t>KNEIS, TASHA</t>
  </si>
  <si>
    <t>199-36-6411.8S-001-999101</t>
  </si>
  <si>
    <t xml:space="preserve">UIL CONFERENCE @ UTRGV </t>
  </si>
  <si>
    <t>199-36-6412.8S-001-999101</t>
  </si>
  <si>
    <t>CONFERENCE CANCELLED</t>
  </si>
  <si>
    <t xml:space="preserve">KONICA MINOLTA BUSINESS </t>
  </si>
  <si>
    <t>199-00-1291.05-000-900000</t>
  </si>
  <si>
    <t>9/1/18-9/30/18 DCA RECORD</t>
  </si>
  <si>
    <t xml:space="preserve">KONICA MINOLTA PREMIER </t>
  </si>
  <si>
    <t>8/15/18-9/14/18 LESSEE</t>
  </si>
  <si>
    <t>9/1/18-9/30/18 LESSEE</t>
  </si>
  <si>
    <t>199-41-6269.10-933-999085</t>
  </si>
  <si>
    <t>PRINT SHOP</t>
  </si>
  <si>
    <t>LINE AUSTIN, THE</t>
  </si>
  <si>
    <t>199-41-6419.10-702-999093</t>
  </si>
  <si>
    <t xml:space="preserve">TASA/TASB @ AUSTIN SEPT </t>
  </si>
  <si>
    <t>MURRAY,  ROBIN S</t>
  </si>
  <si>
    <t>8/1/18-8/31/18</t>
  </si>
  <si>
    <t xml:space="preserve">MUSIC THEATRE </t>
  </si>
  <si>
    <t>199-36-6495.7K-001-999001</t>
  </si>
  <si>
    <t>SHOP OF HORRORS OCT 4-14</t>
  </si>
  <si>
    <t>SPRINT</t>
  </si>
  <si>
    <t>7/27/18-8/26/18</t>
  </si>
  <si>
    <t>TMEA REGION 14</t>
  </si>
  <si>
    <t>199-36-6412.7E-001-999031</t>
  </si>
  <si>
    <t xml:space="preserve">RGN CLINIC @ VICTORIA </t>
  </si>
  <si>
    <t xml:space="preserve">TMEA REGION XIV BAND </t>
  </si>
  <si>
    <t>199-36-6412.7B-001-999032</t>
  </si>
  <si>
    <t>JAZZ @ VETERANS JAN 25-26</t>
  </si>
  <si>
    <t>TROTT, SHARON L</t>
  </si>
  <si>
    <t>199-36-6495.09-001-991091</t>
  </si>
  <si>
    <t>2018-2019 MEMBERSHIP</t>
  </si>
  <si>
    <t>WEBPRO PRODUCTIONS, LLC</t>
  </si>
  <si>
    <t>199-11-6396.10-001-911080</t>
  </si>
  <si>
    <t>9/15/18-9/15/19 DISTRICT WEB</t>
  </si>
  <si>
    <t>199-11-6396.10-041-911080</t>
  </si>
  <si>
    <t>199-11-6396.10-101-911080</t>
  </si>
  <si>
    <t>199-11-6396.10-104-911080</t>
  </si>
  <si>
    <t>YZAGUIRRE, FRANK</t>
  </si>
  <si>
    <t>8/27/18-8/31/18 TRAFFIC CTRL</t>
  </si>
  <si>
    <t>199-11-6399.7K-001-911001</t>
  </si>
  <si>
    <t>AGENCY 405</t>
  </si>
  <si>
    <t>AIRGAS SOUTHWEST</t>
  </si>
  <si>
    <t>APPERSON</t>
  </si>
  <si>
    <t>199-11-6399.10-001-911001</t>
  </si>
  <si>
    <t xml:space="preserve">DATALINK 600 BUNDLE </t>
  </si>
  <si>
    <t>199-11-6399.AP-001-931034</t>
  </si>
  <si>
    <t xml:space="preserve">AQUATIC RENOVATIONS &amp; </t>
  </si>
  <si>
    <t xml:space="preserve">ALGAE TEC WATER </t>
  </si>
  <si>
    <t>ARANSAS PASS H.S. NJROTC</t>
  </si>
  <si>
    <t xml:space="preserve">DRILL MEET @ ARANSAS </t>
  </si>
  <si>
    <t>BRUMLEY, LILAH</t>
  </si>
  <si>
    <t>GRADUATION INTERPRETING</t>
  </si>
  <si>
    <t>BUECHLER &amp; ASSOCIATES P.</t>
  </si>
  <si>
    <t>199-41-6211.01-702-999093</t>
  </si>
  <si>
    <t xml:space="preserve">SEPT 2018 RETAINER </t>
  </si>
  <si>
    <t>CANTU, HERMELINDA</t>
  </si>
  <si>
    <t>7/17/18-8/15/18 MILEAGE</t>
  </si>
  <si>
    <t xml:space="preserve">CAVALLO ENERGY TEXAS </t>
  </si>
  <si>
    <t>7/25/18-8/23/18 TENNIS</t>
  </si>
  <si>
    <t xml:space="preserve">CHAD SWEIGART </t>
  </si>
  <si>
    <t>AUG 2018 PT SERVICES</t>
  </si>
  <si>
    <t>CHAPA, RAYMOND</t>
  </si>
  <si>
    <t>199-36-6411.7B-001-999032</t>
  </si>
  <si>
    <t xml:space="preserve">TOURNAMENT BANDS @ GP </t>
  </si>
  <si>
    <t>199-36-6412.7B-001-999132</t>
  </si>
  <si>
    <t>CINTAS CORPORATION # 539</t>
  </si>
  <si>
    <t>8/30/18 SERVICE</t>
  </si>
  <si>
    <t xml:space="preserve">CIRCLE T VETERINARY </t>
  </si>
  <si>
    <t>VET SERVICES &amp; MEDS</t>
  </si>
  <si>
    <t>CORNELIUS, CAREN</t>
  </si>
  <si>
    <t>AUG 2018 OT SERVICES</t>
  </si>
  <si>
    <t>CORPUS CHRISTI BALLET</t>
  </si>
  <si>
    <t>199-36-6412.H2-001-999037</t>
  </si>
  <si>
    <t xml:space="preserve">DRILL TEAM @ CC BALLET </t>
  </si>
  <si>
    <t>incorrect check #-misprint</t>
  </si>
  <si>
    <t>199-51-6249.MC-041-999081</t>
  </si>
  <si>
    <t xml:space="preserve">CLEARED AC LINE </t>
  </si>
  <si>
    <t>BAND @ V/FB CARROLL 9/7/18</t>
  </si>
  <si>
    <t>DUDE SOLUTIONS INC</t>
  </si>
  <si>
    <t>199-51-6396.10-936-999081</t>
  </si>
  <si>
    <t>9/1/18-8/31/19 MAINT PRO</t>
  </si>
  <si>
    <t>MAINTENANCE</t>
  </si>
  <si>
    <t xml:space="preserve">EANES INDEPENDENT </t>
  </si>
  <si>
    <t>TFA @ AUSTIN SEPT 28-29</t>
  </si>
  <si>
    <t xml:space="preserve">EMBASSY SUITES DALLAS </t>
  </si>
  <si>
    <t>199-13-6411.00-101-925025</t>
  </si>
  <si>
    <t>TABE @ DALLAS OCT 10-13</t>
  </si>
  <si>
    <t xml:space="preserve">EMBASSY SUITES SAN </t>
  </si>
  <si>
    <t>199-13-6411.8T-001-911001</t>
  </si>
  <si>
    <t xml:space="preserve">TASC @ SAN MARCOS SEPT </t>
  </si>
  <si>
    <t>EVINS GLASS SERVICE</t>
  </si>
  <si>
    <t>WINDOW REPAIR DOOR 10</t>
  </si>
  <si>
    <t>FEDERAL EXPRESS</t>
  </si>
  <si>
    <t xml:space="preserve">WALMART COMMUNITY </t>
  </si>
  <si>
    <t>BUECHLER &amp; ASSOCIATES</t>
  </si>
  <si>
    <t>FLOUR BLUFF NJROTC</t>
  </si>
  <si>
    <t xml:space="preserve">FIELD MEET @ FBLUFF NOV </t>
  </si>
  <si>
    <t>PICK UP BUS 53 @ HOUSTON</t>
  </si>
  <si>
    <t xml:space="preserve">GREGORY PORTLAND BAND </t>
  </si>
  <si>
    <t>GREY, LAURA</t>
  </si>
  <si>
    <t>199-36-6411.7C-001-999101</t>
  </si>
  <si>
    <t>CHEER @ V/FB SA 10/5/18</t>
  </si>
  <si>
    <t>199-36-6412.7C-001-999001</t>
  </si>
  <si>
    <t xml:space="preserve">HOME 2 SUITES </t>
  </si>
  <si>
    <t xml:space="preserve">HUDSON ENERGY SERVICES </t>
  </si>
  <si>
    <t>7/13/18-8/27/18</t>
  </si>
  <si>
    <t xml:space="preserve">JONES SCHOOL SUPPLY CO., </t>
  </si>
  <si>
    <t>199-11-6499.13-041-911003</t>
  </si>
  <si>
    <t>RIBBONS</t>
  </si>
  <si>
    <t>KELLY SERVICES INC</t>
  </si>
  <si>
    <t>LOFTIN EQUIPMENT CO</t>
  </si>
  <si>
    <t xml:space="preserve">KOHLER SGM32D8XK PM </t>
  </si>
  <si>
    <t>199-51-6249.MC-104-999081</t>
  </si>
  <si>
    <t xml:space="preserve">KOHLER SGM32GHJH PM </t>
  </si>
  <si>
    <t>LOWE, ALLEN</t>
  </si>
  <si>
    <t>7/17/18-8/14/18 MILEAGE</t>
  </si>
  <si>
    <t xml:space="preserve">MILLER &amp; MILLER </t>
  </si>
  <si>
    <t xml:space="preserve">HS DOME CONDENSER </t>
  </si>
  <si>
    <t>POOL NEW ACTUATOR</t>
  </si>
  <si>
    <t>MOVIE LICENSING USA</t>
  </si>
  <si>
    <t>199-12-6249.7U-001-911001</t>
  </si>
  <si>
    <t>9/10/18-9/9/19</t>
  </si>
  <si>
    <t>199-12-6398.7U-041-911003</t>
  </si>
  <si>
    <t>10/1/18-9/30/19</t>
  </si>
  <si>
    <t xml:space="preserve">NATIONAL SCOREBOARD &amp; </t>
  </si>
  <si>
    <t>FB SCOREBOARD REPAIR</t>
  </si>
  <si>
    <t xml:space="preserve">NUECES COUNTY APPRAISAL </t>
  </si>
  <si>
    <t>199-99-6213.10-703-999091</t>
  </si>
  <si>
    <t xml:space="preserve">2018 4TH QTR BUGET </t>
  </si>
  <si>
    <t>TAX COLLECTION</t>
  </si>
  <si>
    <t>NUECES ELEVATOR</t>
  </si>
  <si>
    <t>199-51-6249.M1-936-999081</t>
  </si>
  <si>
    <t>PEST PATROL, INC.</t>
  </si>
  <si>
    <t>CARROLL, PHILIP</t>
  </si>
  <si>
    <t xml:space="preserve">ROUNDTABLE MEETING </t>
  </si>
  <si>
    <t>BARTOSH, ANN</t>
  </si>
  <si>
    <t>199-23-6397.10-001-999001</t>
  </si>
  <si>
    <t>MUSIC THEATRE ROYALTIES</t>
  </si>
  <si>
    <t>199-36-6399.HC-001-999001</t>
  </si>
  <si>
    <t xml:space="preserve">HOMECOMING PARADE </t>
  </si>
  <si>
    <t xml:space="preserve">PINNACLE MEDICAL MGMT </t>
  </si>
  <si>
    <t>PRE EMPLOYMENT TEST</t>
  </si>
  <si>
    <t>PHYSICAL</t>
  </si>
  <si>
    <t>PITNEY BOWES</t>
  </si>
  <si>
    <t>199-41-6264.10-934-999091</t>
  </si>
  <si>
    <t>10/1/18-12/31/18</t>
  </si>
  <si>
    <t>CENT REC/WAREHOUSE</t>
  </si>
  <si>
    <t>PREPD LLC</t>
  </si>
  <si>
    <t>199-36-6399.8S-001-999001</t>
  </si>
  <si>
    <t>ANNUAL MEMBERSHIP</t>
  </si>
  <si>
    <t xml:space="preserve">RAPTOR TECHNOLOGIES, </t>
  </si>
  <si>
    <t>199-23-6299.10-101-999004</t>
  </si>
  <si>
    <t>9/1/18-9/1/19</t>
  </si>
  <si>
    <t>199-23-6399.10-001-999001</t>
  </si>
  <si>
    <t>VISITOR BADGES</t>
  </si>
  <si>
    <t>REPUBLIC SERVICES INC.</t>
  </si>
  <si>
    <t>BULK P/U 8/23/18</t>
  </si>
  <si>
    <t>199-51-6259.10-936-999073</t>
  </si>
  <si>
    <t>9/1/18-9/30/18</t>
  </si>
  <si>
    <t>RIGATONI'S</t>
  </si>
  <si>
    <t>199-41-6499.10-730-999095</t>
  </si>
  <si>
    <t>PRINCIPALS MEETING 9/18/18</t>
  </si>
  <si>
    <t>PERSONNEL</t>
  </si>
  <si>
    <t>SOLID BORDER, INC</t>
  </si>
  <si>
    <t>199-11-6249.57-001-911080</t>
  </si>
  <si>
    <t xml:space="preserve">9/24/18-9/23/19 BACKUP </t>
  </si>
  <si>
    <t>199-11-6249.57-041-911080</t>
  </si>
  <si>
    <t>199-11-6249.57-101-911080</t>
  </si>
  <si>
    <t>199-11-6249.57-104-911080</t>
  </si>
  <si>
    <t>SOUTH TEXAS RESTAURANT</t>
  </si>
  <si>
    <t>WASHER 0503980423</t>
  </si>
  <si>
    <t>SOUTHERN TIRE MART, LLC</t>
  </si>
  <si>
    <t>BUS 19 DOT INSPECTION</t>
  </si>
  <si>
    <t>SOUTHWASTE DISPOSAL LLC</t>
  </si>
  <si>
    <t>SEPTIC TANK 8/8/18</t>
  </si>
  <si>
    <t>SYN-TECH SYSTEMS, INC.</t>
  </si>
  <si>
    <t>199-34-6219.10-937-999082</t>
  </si>
  <si>
    <t>9/26/18-9/25/19</t>
  </si>
  <si>
    <t>TRANSPORTATION</t>
  </si>
  <si>
    <t>TABE</t>
  </si>
  <si>
    <t>TASB INC</t>
  </si>
  <si>
    <t>199-41-6495.10-702-999093</t>
  </si>
  <si>
    <t>BOARDBOOK SUBSCRIPTION</t>
  </si>
  <si>
    <t>199-51-6219.11-936-999081</t>
  </si>
  <si>
    <t>9/1/18-8/31/19</t>
  </si>
  <si>
    <t>TASBO</t>
  </si>
  <si>
    <t>199-41-6411.00-709-999083</t>
  </si>
  <si>
    <t xml:space="preserve">PEIMS ACAD @ ALLEN SEPT </t>
  </si>
  <si>
    <t>PEIMS COORDINATOR</t>
  </si>
  <si>
    <t>199-36-6495.8T-001-999001</t>
  </si>
  <si>
    <t>8/31/18-8/31/19</t>
  </si>
  <si>
    <t>TASSP</t>
  </si>
  <si>
    <t>199-23-6495.10-001-999001</t>
  </si>
  <si>
    <t>8/31/18-8/31/19 BARTOSH</t>
  </si>
  <si>
    <t>8/31/18-8/31/19 BIRDWELL</t>
  </si>
  <si>
    <t>8/31/18-8/31/19 PORTILLO</t>
  </si>
  <si>
    <t>8/31/18-8/31/19 LUCAS</t>
  </si>
  <si>
    <t>TETA INC</t>
  </si>
  <si>
    <t>199-51-6411.00-942-999088</t>
  </si>
  <si>
    <t xml:space="preserve">PERFORMANCE FACILITY </t>
  </si>
  <si>
    <t>199-13-6411.7K-041-911003</t>
  </si>
  <si>
    <t>199-13-6411.7K-001-911001</t>
  </si>
  <si>
    <t xml:space="preserve">THEATREFEST @DALLAS </t>
  </si>
  <si>
    <t xml:space="preserve">TEXAS ACADEMIC </t>
  </si>
  <si>
    <t>199-36-6495.H1-001-931034</t>
  </si>
  <si>
    <t>ANNUAL RENEWAL</t>
  </si>
  <si>
    <t>TEXAS ASSOCIATION OF</t>
  </si>
  <si>
    <t>199-41-6495.11-701-999092</t>
  </si>
  <si>
    <t xml:space="preserve">2018-2019 INSTITU </t>
  </si>
  <si>
    <t>SUPERINTENDENT</t>
  </si>
  <si>
    <t xml:space="preserve">TEXAS MUSIC EDUCATORS </t>
  </si>
  <si>
    <t>199-36-6411.7E-001-999031</t>
  </si>
  <si>
    <t>7/1/18-7/30/19 RIVERA</t>
  </si>
  <si>
    <t xml:space="preserve">TEXAS SPEECH </t>
  </si>
  <si>
    <t>199-13-6411.8S-001-911001</t>
  </si>
  <si>
    <t>TSCA @ CC OCT 4-6</t>
  </si>
  <si>
    <t>IGNITING LUNCHEON 9/27/18</t>
  </si>
  <si>
    <t xml:space="preserve">TOSHIBA BUSINESS </t>
  </si>
  <si>
    <t>UIL MUSIC REGION 14</t>
  </si>
  <si>
    <t xml:space="preserve">MARCHING @ CALALLEN </t>
  </si>
  <si>
    <t xml:space="preserve">WALSH GALLEGOS TREVINO </t>
  </si>
  <si>
    <t>7/16/18-8/15/18</t>
  </si>
  <si>
    <t>199-52-6219.00-101-999000</t>
  </si>
  <si>
    <t>9/10/18-9/14/18</t>
  </si>
  <si>
    <t xml:space="preserve">DRILL TEAM @CC BALLET </t>
  </si>
  <si>
    <t>AB COMMUNICATIONS</t>
  </si>
  <si>
    <t>ACP DIRECT</t>
  </si>
  <si>
    <t>199-11-6399.45-101-911004</t>
  </si>
  <si>
    <t>199-00-1312.00-000-900000</t>
  </si>
  <si>
    <t>199-11-6321.10-001-911001</t>
  </si>
  <si>
    <t>199-11-6399.VD-001-922022</t>
  </si>
  <si>
    <t>199-11-6399.VR-001-922022</t>
  </si>
  <si>
    <t>199-31-6399.7F-001-931034</t>
  </si>
  <si>
    <t>199-53-6399.10-880-999080</t>
  </si>
  <si>
    <t>TECHNOLOGY</t>
  </si>
  <si>
    <t>ANDY'S AUTO &amp; BUS AIR INC</t>
  </si>
  <si>
    <t>APOGEE COMPONENTS, INC.</t>
  </si>
  <si>
    <t>AT&amp;T</t>
  </si>
  <si>
    <t>199-51-6256.10-880-999080</t>
  </si>
  <si>
    <t>199-51-6256.11-880-999080</t>
  </si>
  <si>
    <t>BOWMAN, PAUL E</t>
  </si>
  <si>
    <t>199-11-6299.7E-001-911031</t>
  </si>
  <si>
    <t xml:space="preserve">CORPUS CHRISTI STAMP </t>
  </si>
  <si>
    <t>199-51-6249.MC-935-999081</t>
  </si>
  <si>
    <t>ADMINISTRATION BUILDING</t>
  </si>
  <si>
    <t>DECA DISTRICT 1</t>
  </si>
  <si>
    <t>199-11-6412.VL-001-922022</t>
  </si>
  <si>
    <t>199-36-6411.VL-001-922022</t>
  </si>
  <si>
    <t xml:space="preserve">DEPARTMENT OF </t>
  </si>
  <si>
    <t>DODIER, OSCAR E</t>
  </si>
  <si>
    <t>EDUPHORIA INC</t>
  </si>
  <si>
    <t xml:space="preserve">EWELL EDUCATIONAL </t>
  </si>
  <si>
    <t>199-11-6412.V8-001-922022</t>
  </si>
  <si>
    <t>GARCIA, DEBRA J.</t>
  </si>
  <si>
    <t>199-11-6412.S6-001-923123</t>
  </si>
  <si>
    <t>199-11-6412.S6-041-923123</t>
  </si>
  <si>
    <t>199-11-6412.S6-101-923123</t>
  </si>
  <si>
    <t>199-11-6412.S6-104-923023</t>
  </si>
  <si>
    <t>GWOZDZ, FELIX LEE</t>
  </si>
  <si>
    <t>199-51-6254.ME-936-999173</t>
  </si>
  <si>
    <t>HUGHES, DEBBY</t>
  </si>
  <si>
    <t>JUNIOR LIBRARY GUILD</t>
  </si>
  <si>
    <t>199-12-6328.7U-001-911001</t>
  </si>
  <si>
    <t>LAERDAL MEDICAL CORP</t>
  </si>
  <si>
    <t>199-11-6399.NL-001-922022</t>
  </si>
  <si>
    <t>MARIACHI CONNECTION, THE</t>
  </si>
  <si>
    <t>199-11-6399.7M-041-911036</t>
  </si>
  <si>
    <t>199-11-6649.7M-041-911036</t>
  </si>
  <si>
    <t>MONTANTEZ, MICHAEL</t>
  </si>
  <si>
    <t>199-53-6411.10-880-999080</t>
  </si>
  <si>
    <t xml:space="preserve">PENSKE TRUCK LEASING CO </t>
  </si>
  <si>
    <t>199-36-6269.7B-001-999032</t>
  </si>
  <si>
    <t>PEREZ, MICHAEL</t>
  </si>
  <si>
    <t>JACKSON, AMY</t>
  </si>
  <si>
    <t>199-11-6411.S6-001-923123</t>
  </si>
  <si>
    <t>PHARR SAN JUAN ALAMO ISD</t>
  </si>
  <si>
    <t>PIERCE, CARRIE</t>
  </si>
  <si>
    <t>QUILL CORPORATION</t>
  </si>
  <si>
    <t>199-31-6399.7F-104-999005</t>
  </si>
  <si>
    <t>REALITYWORKS</t>
  </si>
  <si>
    <t>199-11-6399.VH-002-922022</t>
  </si>
  <si>
    <t xml:space="preserve">SANDFORD OIL SOUTH </t>
  </si>
  <si>
    <t>199-34-6311.10-937-999082</t>
  </si>
  <si>
    <t xml:space="preserve">SHI GOVERNMENT </t>
  </si>
  <si>
    <t>199-11-6396.11-001-911080</t>
  </si>
  <si>
    <t>199-11-6396.11-041-911080</t>
  </si>
  <si>
    <t>199-11-6396.11-101-911080</t>
  </si>
  <si>
    <t>199-11-6396.11-104-911080</t>
  </si>
  <si>
    <t xml:space="preserve">SOUTH TEXAS MUSIC MART </t>
  </si>
  <si>
    <t>199-11-6399.7B-041-911036</t>
  </si>
  <si>
    <t>SOUTHWEST ISD</t>
  </si>
  <si>
    <t>199-00-2183.00-000-900000</t>
  </si>
  <si>
    <t>STUMPS</t>
  </si>
  <si>
    <t xml:space="preserve">TECHNOLOGY STUDENT </t>
  </si>
  <si>
    <t>199-11-6495.VD-001-922022</t>
  </si>
  <si>
    <t>TROPHYLAND, INC</t>
  </si>
  <si>
    <t>199-11-6399.8M-001-911033</t>
  </si>
  <si>
    <t>199-11-6395.10-001-911001</t>
  </si>
  <si>
    <t>199-11-6399.00-041-925025</t>
  </si>
  <si>
    <t>199-21-6395.10-871-999094</t>
  </si>
  <si>
    <t>INSTRUCTIONAL SERVICES</t>
  </si>
  <si>
    <t>199-23-6395.10-104-999005</t>
  </si>
  <si>
    <t>199-31-6395.7F-001-999001</t>
  </si>
  <si>
    <t>199-31-6395.7F-104-999005</t>
  </si>
  <si>
    <t>VASQUEZ, DANIEL</t>
  </si>
  <si>
    <t>WARTH, JAMES R</t>
  </si>
  <si>
    <t>9/15/18-10/14/18</t>
  </si>
  <si>
    <t xml:space="preserve">DECA LDRSHP @ MCALLEN </t>
  </si>
  <si>
    <t>ARE X FALL @ SINTON 10/3/18</t>
  </si>
  <si>
    <t>ANIMAL BUYING @ SA 9/8/18</t>
  </si>
  <si>
    <t xml:space="preserve">BAND @ BEEVILLE V/FB </t>
  </si>
  <si>
    <t xml:space="preserve">SP OLYMPICS @ NAS OCT 9 &amp; </t>
  </si>
  <si>
    <t xml:space="preserve">CHEER @ LAVACA V/FB </t>
  </si>
  <si>
    <t>LIBRARY BOOKS</t>
  </si>
  <si>
    <t>TFA @ PSJA 10/13/18</t>
  </si>
  <si>
    <t>VIHUELA &amp; GUITARRON SET</t>
  </si>
  <si>
    <t>VIHUELA &amp; HARDSHELL CASE</t>
  </si>
  <si>
    <t>8/16/18-/23/18 MILEAGE</t>
  </si>
  <si>
    <t>PHARR-SAN JUAN-ALAMO ISD</t>
  </si>
  <si>
    <t>MUSICAL DRAMA PROPS</t>
  </si>
  <si>
    <t xml:space="preserve">9/1/18-8/31/19 POLICY </t>
  </si>
  <si>
    <t>9/1/18-8/31/19 POLICY ONLINE</t>
  </si>
  <si>
    <t>9/17/18-9/21/18</t>
  </si>
  <si>
    <t>199-23-6399.11-041-999003</t>
  </si>
  <si>
    <t>DIVIDERS, TABLETOP</t>
  </si>
  <si>
    <t>LAPTOP STAND</t>
  </si>
  <si>
    <t>RADIO REPAIRS</t>
  </si>
  <si>
    <t>LAMINATING ROLL FILM</t>
  </si>
  <si>
    <t>RED INK</t>
  </si>
  <si>
    <t>BLACK INK</t>
  </si>
  <si>
    <t>MAGENTA INK</t>
  </si>
  <si>
    <t xml:space="preserve">ANIMATE CLASSROOM IN A </t>
  </si>
  <si>
    <t xml:space="preserve">DMX CABLE &amp; PAPER </t>
  </si>
  <si>
    <t>CORAL PAPER LANTERNS</t>
  </si>
  <si>
    <t>ARTIFICIAL ROSE PETALS</t>
  </si>
  <si>
    <t>ROBOTICS SUPPLIES</t>
  </si>
  <si>
    <t>CUTTING MATS</t>
  </si>
  <si>
    <t>REFLECTIVE MYLAR ROLL</t>
  </si>
  <si>
    <t>STEM SUPPLIES</t>
  </si>
  <si>
    <t>BALSA WOOD SHEETS</t>
  </si>
  <si>
    <t>LARGE RUBBER BANDS</t>
  </si>
  <si>
    <t>DISPOSABLE GLOVES</t>
  </si>
  <si>
    <t>WATERPROOF GLUE</t>
  </si>
  <si>
    <t>DESKTOP COLOR BORDERS</t>
  </si>
  <si>
    <t>PROJECTION SCREEN</t>
  </si>
  <si>
    <t>ION BATTERIES</t>
  </si>
  <si>
    <t>SCREEN PROTECTOR</t>
  </si>
  <si>
    <t>BUS 21 HARNESS REPLAY</t>
  </si>
  <si>
    <t>BUS 32 NEW COMPRESSOR</t>
  </si>
  <si>
    <t>199-11-6399.10-101-911080</t>
  </si>
  <si>
    <t>DIGITAL AV ADAPTER</t>
  </si>
  <si>
    <t>MAGIC MOUSE</t>
  </si>
  <si>
    <t>MAGIC KEYBOARD</t>
  </si>
  <si>
    <t xml:space="preserve">AMERICA SINGING @ PAC </t>
  </si>
  <si>
    <t>CALALLEN DME INC</t>
  </si>
  <si>
    <t>199-41-6399.10-730-999095</t>
  </si>
  <si>
    <t>BASIC WHEELCHAIR</t>
  </si>
  <si>
    <t>8/14/18-9/13/18 DOME</t>
  </si>
  <si>
    <t>8/23/18-9/24/18 TENNIS</t>
  </si>
  <si>
    <t>199-11-6399.01-041-925025</t>
  </si>
  <si>
    <t xml:space="preserve">KENSINGTON HIFI </t>
  </si>
  <si>
    <t>TECH SUPPLIES</t>
  </si>
  <si>
    <t>CABLE SCISSORS</t>
  </si>
  <si>
    <t>VGA LOW PROFILE CABLE</t>
  </si>
  <si>
    <t>199-11-6399.11-001-911001</t>
  </si>
  <si>
    <t>EPSON REPLACEMENT LAMP</t>
  </si>
  <si>
    <t>199-23-6399.8K-101-999004</t>
  </si>
  <si>
    <t xml:space="preserve">MICROSOFT SURFACE &amp; </t>
  </si>
  <si>
    <t>CEV MULTIMEDIA, LTD</t>
  </si>
  <si>
    <t>199-11-6399.V8-001-922022</t>
  </si>
  <si>
    <t>CEV AG 1YR LICENSE</t>
  </si>
  <si>
    <t>CITY OF CORPUS CHRISTI</t>
  </si>
  <si>
    <t>199-51-6255.10-001-999073</t>
  </si>
  <si>
    <t>HS WATER 8/17/18-9/18/18</t>
  </si>
  <si>
    <t>199-51-6255.10-002-999073</t>
  </si>
  <si>
    <t>ACC WATER 8/16/18-9/17/18</t>
  </si>
  <si>
    <t>199-51-6255.10-041-999073</t>
  </si>
  <si>
    <t>MS WATER 8/16/18-9/17/18</t>
  </si>
  <si>
    <t>199-51-6255.10-101-999073</t>
  </si>
  <si>
    <t>PRIMRY WATER 8/16/18-</t>
  </si>
  <si>
    <t>199-51-6255.10-104-999073</t>
  </si>
  <si>
    <t>INTER WATER 8/16/18-9/17/18</t>
  </si>
  <si>
    <t>199-51-6255.10-935-999073</t>
  </si>
  <si>
    <t>ADMIN WATER 8/16/18-9/17/18</t>
  </si>
  <si>
    <t>199-51-6255.10-936-999073</t>
  </si>
  <si>
    <t>MAINT WATER 8/16/18-9/17/18</t>
  </si>
  <si>
    <t>199-51-6255.11-001-999073</t>
  </si>
  <si>
    <t>AG WATER 8/17/18-9/18/18</t>
  </si>
  <si>
    <t>199-51-6255.11-104-999073</t>
  </si>
  <si>
    <t>INTER IRR 8/16/18-9/17/18</t>
  </si>
  <si>
    <t>199-51-6255.3F-877-999073</t>
  </si>
  <si>
    <t>FB FLD WATER 8/17/18-9/18/18</t>
  </si>
  <si>
    <t>ATHLETIC FIELDS</t>
  </si>
  <si>
    <t>199-51-6258.10-001-999073</t>
  </si>
  <si>
    <t>HS GAS 8/17/18-9/18/18</t>
  </si>
  <si>
    <t>199-51-6258.10-041-999073</t>
  </si>
  <si>
    <t>MS GAS 8/16/18-9/17/18</t>
  </si>
  <si>
    <t>199-51-6258.10-101-999073</t>
  </si>
  <si>
    <t>PRIMRY GAS 8/16/18-9/17/18</t>
  </si>
  <si>
    <t>199-51-6258.10-104-999073</t>
  </si>
  <si>
    <t>INTER GAS 8/16/18-9/17/18</t>
  </si>
  <si>
    <t>199-51-6258.11-001-999073</t>
  </si>
  <si>
    <t>DOME WATER 8/17/18-9/18/18</t>
  </si>
  <si>
    <t>COASTAL DIESEL INJECTION</t>
  </si>
  <si>
    <t>199-34-6249.10-937-999082</t>
  </si>
  <si>
    <t xml:space="preserve">BUS 11 AIR LEAK, BELT &amp; </t>
  </si>
  <si>
    <t xml:space="preserve">COASTAL OFFICE </t>
  </si>
  <si>
    <t>199-21-6399.00-875-923023</t>
  </si>
  <si>
    <t>PRIVACY MONITOR</t>
  </si>
  <si>
    <t>SPECIAL EDUCATION</t>
  </si>
  <si>
    <t xml:space="preserve">CORPUS CHRISTI CALLER </t>
  </si>
  <si>
    <t>199-41-6329.10-720-999091</t>
  </si>
  <si>
    <t>8/16/18-8/31/19</t>
  </si>
  <si>
    <t>CENTRAL ADMINISTRATION</t>
  </si>
  <si>
    <t xml:space="preserve">CORPUS CHRISTI </t>
  </si>
  <si>
    <t>BUS 49 QR VALVE</t>
  </si>
  <si>
    <t>BUS 42 BELT &amp; WATER PUMP</t>
  </si>
  <si>
    <t>NAME PLATE</t>
  </si>
  <si>
    <t>CRAFT TRAINING CENTER</t>
  </si>
  <si>
    <t>199-11-6223.VT-001-922022</t>
  </si>
  <si>
    <t>9/1/18-12/31/18 WELDING I</t>
  </si>
  <si>
    <t>EDUCURVE LEARNING LLC</t>
  </si>
  <si>
    <t>199-11-6399.72-041-911003</t>
  </si>
  <si>
    <t>SINGLE BUILDING LICENSE</t>
  </si>
  <si>
    <t>ESTES INDUSTRIES</t>
  </si>
  <si>
    <t xml:space="preserve">BULK ENGINES &amp; </t>
  </si>
  <si>
    <t>199-11-6495.V8-041-911003</t>
  </si>
  <si>
    <t>FACILITY SOLUTIONS GROUP</t>
  </si>
  <si>
    <t>199-51-6319.MC-936-999081</t>
  </si>
  <si>
    <t>VAPOR PROFF FIXTURE</t>
  </si>
  <si>
    <t>DECORA COMBO</t>
  </si>
  <si>
    <t>IS UV</t>
  </si>
  <si>
    <t>FAIRWAY SUPPLY, INC.</t>
  </si>
  <si>
    <t>DEADBOLT &amp; IC CORE</t>
  </si>
  <si>
    <t>REVERSIBLE 36" PANIC BAR</t>
  </si>
  <si>
    <t>FASCLAMPITT</t>
  </si>
  <si>
    <t>EXCEL ONE CARBONLESS</t>
  </si>
  <si>
    <t>199-11-6399.45-104-911005</t>
  </si>
  <si>
    <t xml:space="preserve">OPAQUE SMOOTH COLOR </t>
  </si>
  <si>
    <t>FELLERS, INC</t>
  </si>
  <si>
    <t>54X75 SONNET MESH</t>
  </si>
  <si>
    <t xml:space="preserve">GARDEN EQUIPMENT SALES </t>
  </si>
  <si>
    <t>199-51-6319.M2-936-999081</t>
  </si>
  <si>
    <t>PULLEY IDLER, BELT</t>
  </si>
  <si>
    <t xml:space="preserve">CHEER @ BEEVILLE V/FB </t>
  </si>
  <si>
    <t>HEB CREDIT RECEIVABLES</t>
  </si>
  <si>
    <t>199-11-6399.00-101-923023</t>
  </si>
  <si>
    <t>CBI @ HEB SEP 24-28</t>
  </si>
  <si>
    <t>199-11-6498.10-001-922022</t>
  </si>
  <si>
    <t>MEETING SUPPLIES</t>
  </si>
  <si>
    <t>199-53-6498.10-880-999080</t>
  </si>
  <si>
    <t>8/14/18-9/13/18 AG BARN</t>
  </si>
  <si>
    <t>TFA @ RAY 10/20/18</t>
  </si>
  <si>
    <t>event cancelled</t>
  </si>
  <si>
    <t xml:space="preserve">KOETTER FIRE PROTECTION </t>
  </si>
  <si>
    <t>HS ALARM SERVICE 7/10/18</t>
  </si>
  <si>
    <t>MS ALARM SERVICE 7/22/18</t>
  </si>
  <si>
    <t>199-51-6249.M6-936-999081</t>
  </si>
  <si>
    <t>HS ALARM SERVICE 8/24/18</t>
  </si>
  <si>
    <t>HS FIRE SPRINKLER 8/31/18</t>
  </si>
  <si>
    <t>HS ALARM SERVICE 9/10/18</t>
  </si>
  <si>
    <t>9/15/18-10/14/18 LESSEE</t>
  </si>
  <si>
    <t>LJ QCPR UPGRADE KIT</t>
  </si>
  <si>
    <t>LENNOX INDUSTRIES, INC.</t>
  </si>
  <si>
    <t>199-51-6249.M8-936-999081</t>
  </si>
  <si>
    <t>VALVE EXP</t>
  </si>
  <si>
    <t>UNIT CONTROLLER KIT</t>
  </si>
  <si>
    <t>DISPLAY KIT</t>
  </si>
  <si>
    <t>MASBA</t>
  </si>
  <si>
    <t>199-41-6299.10-735-999096</t>
  </si>
  <si>
    <t>NCS PEARSON, INC.</t>
  </si>
  <si>
    <t>199-11-6339.10-104-911005</t>
  </si>
  <si>
    <t>NNAT2 BK MS LEVEL D PKG</t>
  </si>
  <si>
    <t xml:space="preserve">BEE PROJECT &amp; ANIMAL </t>
  </si>
  <si>
    <t xml:space="preserve">STAFF MEETING &amp; BLOOD </t>
  </si>
  <si>
    <t>SCHOOL PLAQUE</t>
  </si>
  <si>
    <t>199-23-6498.10-001-999001</t>
  </si>
  <si>
    <t>STAFF MEETING 9/24/18</t>
  </si>
  <si>
    <t>PRINCIPALS MEETING 9/25/18</t>
  </si>
  <si>
    <t>SPEECH GEEK DOWLOADS</t>
  </si>
  <si>
    <t xml:space="preserve">AUSTISM @ SAN MARCOS </t>
  </si>
  <si>
    <t>SP OLYMPICS @ NAS 9/18/18</t>
  </si>
  <si>
    <t>SP OLYMPICS @ NAS 9/11/18</t>
  </si>
  <si>
    <t>INDEZ A-Z</t>
  </si>
  <si>
    <t>SMILEY SQUEEZE BALLS</t>
  </si>
  <si>
    <t>HANGING FILES</t>
  </si>
  <si>
    <t xml:space="preserve">ADAPTER &amp; TAMPER </t>
  </si>
  <si>
    <t xml:space="preserve">ROBOTICS EDUCATION &amp; </t>
  </si>
  <si>
    <t>199-11-6412.VD-001-922022</t>
  </si>
  <si>
    <t xml:space="preserve">2018-2019 TEAM </t>
  </si>
  <si>
    <t>ROBSTOWN HARDWARE CO</t>
  </si>
  <si>
    <t>CLUTCH &amp; OIL LINE</t>
  </si>
  <si>
    <t xml:space="preserve">2999 GAL UNL 4498 GAL </t>
  </si>
  <si>
    <t>9/10/18-8/31/19</t>
  </si>
  <si>
    <t xml:space="preserve">REEDS &amp; GUITAR FOOT </t>
  </si>
  <si>
    <t>199-51-6249.WF-936-999082</t>
  </si>
  <si>
    <t>TM113 FLAT REPAIR</t>
  </si>
  <si>
    <t>LIC 1327359 FLAT REPAIR</t>
  </si>
  <si>
    <t>LIC 1252370 FLAT REPAIR</t>
  </si>
  <si>
    <t>EPSON INK CARTRIDGE</t>
  </si>
  <si>
    <t>199-41-6399.10-720-999091</t>
  </si>
  <si>
    <t>BANKER BOXES</t>
  </si>
  <si>
    <t>FLAME RET GOSSAMER</t>
  </si>
  <si>
    <t xml:space="preserve">TEXAS RURAL EDUCATION </t>
  </si>
  <si>
    <t>8/1/18-7/31/19 MEMBERSHIP</t>
  </si>
  <si>
    <t>TMEA REGION 14 VOCAL</t>
  </si>
  <si>
    <t>199-36-6495.7E-041-999035</t>
  </si>
  <si>
    <t>199-23-6498.10-101-999004</t>
  </si>
  <si>
    <t>199-23-6498.99-041-999003</t>
  </si>
  <si>
    <t>NAME TAGS</t>
  </si>
  <si>
    <t>ATTENDANCE PLANS</t>
  </si>
  <si>
    <t xml:space="preserve">PROFILE OF LANG, DOME, </t>
  </si>
  <si>
    <t>MUSICAL PROPS</t>
  </si>
  <si>
    <t>BUSINESS CARDS</t>
  </si>
  <si>
    <t xml:space="preserve">POSTER CALANDERS &amp; P/UP </t>
  </si>
  <si>
    <t>COUNSELOR CALL SLIPS</t>
  </si>
  <si>
    <t xml:space="preserve">VOLVO TRUCKS OF TEXAS </t>
  </si>
  <si>
    <t>BUS 30 AIR COMPRESSOR</t>
  </si>
  <si>
    <t xml:space="preserve">BUS 11 ADJUSTED/GREASED </t>
  </si>
  <si>
    <t xml:space="preserve">WAR CATS TAEKWON-DO, </t>
  </si>
  <si>
    <t>199-11-6299.00-104-911005</t>
  </si>
  <si>
    <t>9/10/18-9/21/18</t>
  </si>
  <si>
    <t>199-11-6269.V8-001-922022</t>
  </si>
  <si>
    <t>BULK BLADE KNIVES</t>
  </si>
  <si>
    <t>COVER CARDSTOCK</t>
  </si>
  <si>
    <t>199-11-6399.7A-001-911001</t>
  </si>
  <si>
    <t>ART CLASS SUPPLIES</t>
  </si>
  <si>
    <t>SILK ROSE PETALS</t>
  </si>
  <si>
    <t>199-11-6399.N9-001-911001</t>
  </si>
  <si>
    <t>GLUE STICKS</t>
  </si>
  <si>
    <t>199-11-6399.SR-001-911001</t>
  </si>
  <si>
    <t>GIFT CARD</t>
  </si>
  <si>
    <t>GAUZE BANDAGE ROLLS</t>
  </si>
  <si>
    <t>LUER LOCK SYRINGES</t>
  </si>
  <si>
    <t>SYRINGE TIP</t>
  </si>
  <si>
    <t>MICROPORE TAPE</t>
  </si>
  <si>
    <t xml:space="preserve">GENERAL PURPOSE </t>
  </si>
  <si>
    <t>GLUE STICKS &amp; GUN</t>
  </si>
  <si>
    <t>HEX TOP T HANDLE</t>
  </si>
  <si>
    <t>CARDSTOCK PAPER</t>
  </si>
  <si>
    <t>199-12-6399.7U-001-911001</t>
  </si>
  <si>
    <t>GOLD FINISH PAPER</t>
  </si>
  <si>
    <t>SCARLET FINISH PAPER</t>
  </si>
  <si>
    <t>WHITE FINISH PAPER</t>
  </si>
  <si>
    <t>COLORED FINISH PAPER</t>
  </si>
  <si>
    <t>199-36-6399.09-001-999001</t>
  </si>
  <si>
    <t>THE RACE BEAT THE PRESS</t>
  </si>
  <si>
    <t>199-41-6399.10-933-999085</t>
  </si>
  <si>
    <t>WIRE GAUGE</t>
  </si>
  <si>
    <t xml:space="preserve">PACKING TAPE &amp; STAPLE </t>
  </si>
  <si>
    <t>POLE RULER</t>
  </si>
  <si>
    <t>ANTONIO STAD VIOLIN</t>
  </si>
  <si>
    <t>HELICORE VIOLIN STRINGS</t>
  </si>
  <si>
    <t>AUTOZONE INC</t>
  </si>
  <si>
    <t>199-11-6399.VA-001-922022</t>
  </si>
  <si>
    <t>FUEL STRAINER &amp; PUMP</t>
  </si>
  <si>
    <t>BUILDING MAINT SUPPLIES</t>
  </si>
  <si>
    <t>DRY WHITE, TWIST NYLON</t>
  </si>
  <si>
    <t>BETTERY</t>
  </si>
  <si>
    <t>WINDOW AC WIFI</t>
  </si>
  <si>
    <t>TENSIONER ASSY</t>
  </si>
  <si>
    <t>MOTOR 1/2HP</t>
  </si>
  <si>
    <t xml:space="preserve">FFA STATE @ FT WORTH JUL </t>
  </si>
  <si>
    <t>199-41-6399.10-702-999093</t>
  </si>
  <si>
    <t xml:space="preserve">RECORDING SYSTEM </t>
  </si>
  <si>
    <t xml:space="preserve">OCT 2018 RETAINER </t>
  </si>
  <si>
    <t>ELEVATED LEG REST</t>
  </si>
  <si>
    <t>CARDENAS, LAMAR GARCIA</t>
  </si>
  <si>
    <t>199-13-6411.8T-001-911101</t>
  </si>
  <si>
    <t>STORAGE TOTES, BOXES</t>
  </si>
  <si>
    <t>199-41-6498.10-701-999092</t>
  </si>
  <si>
    <t>PRINCIPALS MEETING 10/2/18</t>
  </si>
  <si>
    <t>199-11-6399.45-041-911003</t>
  </si>
  <si>
    <t>199-11-6399.8U-001-911001</t>
  </si>
  <si>
    <t>199-11-6399.VH-001-922022</t>
  </si>
  <si>
    <t>199-31-6219.00-875-923023</t>
  </si>
  <si>
    <t>SEPT 2018 PT SERVICES</t>
  </si>
  <si>
    <t>CHALK'S TRUCK PARTS, INC.</t>
  </si>
  <si>
    <t>199-34-6399.11-937-999082</t>
  </si>
  <si>
    <t>BUS SUPPLIES</t>
  </si>
  <si>
    <t>MASTER FLASHER</t>
  </si>
  <si>
    <t>199-11-6269.VA-001-922022</t>
  </si>
  <si>
    <t>9/6/18 SERVICE</t>
  </si>
  <si>
    <t>9/13/18 SERVICE</t>
  </si>
  <si>
    <t>9/20/18 SERVICE</t>
  </si>
  <si>
    <t>9/27/18 SERVICE</t>
  </si>
  <si>
    <t>SEPT 2018 OT SERVICES</t>
  </si>
  <si>
    <t>DOUBLETREE CLUB AUSTIN-</t>
  </si>
  <si>
    <t>199-13-6411.PD-001-931034</t>
  </si>
  <si>
    <t xml:space="preserve">UT ONRAMPS @ AUSTIN OCT </t>
  </si>
  <si>
    <t>199-36-6412.7C-001-999101</t>
  </si>
  <si>
    <t>ESQUIVEL, LINDA</t>
  </si>
  <si>
    <t xml:space="preserve">EVEREST COFFEE CORPUS </t>
  </si>
  <si>
    <t>199-41-6499.12-720-999091</t>
  </si>
  <si>
    <t>COFFEE, CREAMERS, KCUPS</t>
  </si>
  <si>
    <t>CREAMERS</t>
  </si>
  <si>
    <t>GRAYBAR ELECTRIC CO INC</t>
  </si>
  <si>
    <t>199-11-6399.8U-041-911003</t>
  </si>
  <si>
    <t>FIXED PIPE</t>
  </si>
  <si>
    <t>TFA @ GP 10/27/18</t>
  </si>
  <si>
    <t xml:space="preserve">CHEER @ FLORESVILLE </t>
  </si>
  <si>
    <t>HILLJE MUSIC CENTERS LLC</t>
  </si>
  <si>
    <t>199-11-6249.7B-001-911032</t>
  </si>
  <si>
    <t>CONN SOUSAPHONE 270893</t>
  </si>
  <si>
    <t>OLDS TROMBONE A12374</t>
  </si>
  <si>
    <t>CONN SOUSAPHONE 207897</t>
  </si>
  <si>
    <t xml:space="preserve">REYNOLDS TROMBONE </t>
  </si>
  <si>
    <t>199-11-6399.7B-001-911032</t>
  </si>
  <si>
    <t>LANYARD W/BAND PRINT</t>
  </si>
  <si>
    <t>70 STUDIES FOR TUBA VOL 1</t>
  </si>
  <si>
    <t>NEOTECH SOFT HARNESS</t>
  </si>
  <si>
    <t>199-11-6649.7B-041-911036</t>
  </si>
  <si>
    <t>YAMAHA YBB TUBA</t>
  </si>
  <si>
    <t>HILLYARD INC</t>
  </si>
  <si>
    <t>199-51-6319.M3-936-999081</t>
  </si>
  <si>
    <t>TISSUE OPTICORE</t>
  </si>
  <si>
    <t xml:space="preserve">TISSUE OPTICORE &amp; HAND </t>
  </si>
  <si>
    <t>JANITORIAL SUPPLIES</t>
  </si>
  <si>
    <t xml:space="preserve">CSP CLEANER &amp; URINAL </t>
  </si>
  <si>
    <t>SHOP OF HORRORS OCT 4-13</t>
  </si>
  <si>
    <t>RETURNED ITEM</t>
  </si>
  <si>
    <t xml:space="preserve">BELT SANDER, DISPOSABLE </t>
  </si>
  <si>
    <t>CORDED SCROLL SAW</t>
  </si>
  <si>
    <t>DRIVEWAY RED MARKER</t>
  </si>
  <si>
    <t>MOSQUITO REPELLENT</t>
  </si>
  <si>
    <t>8/13/18-9/26/18</t>
  </si>
  <si>
    <t xml:space="preserve">INDUSTRIAL FIRE &amp; SAFETY </t>
  </si>
  <si>
    <t>199-51-6219.M7-936-999081</t>
  </si>
  <si>
    <t xml:space="preserve">FIRE EXINGUISHER </t>
  </si>
  <si>
    <t xml:space="preserve">INSIGHT PUBLIC SECTOR, </t>
  </si>
  <si>
    <t>4HRS SUPPORT 8/16/18-</t>
  </si>
  <si>
    <t xml:space="preserve">8/27/18-8/27/19 SOFTWARE </t>
  </si>
  <si>
    <t>10/25/18-10/25/19 SITE MAINT</t>
  </si>
  <si>
    <t>199-81-6629.00-101-999080</t>
  </si>
  <si>
    <t>WIRELESS ACCESS POINT</t>
  </si>
  <si>
    <t xml:space="preserve">WIRELESS CONTROLER &amp; </t>
  </si>
  <si>
    <t>WIRELESS ERATE PROJECT</t>
  </si>
  <si>
    <t>ACC ALARM 9/1/18-8/31/19</t>
  </si>
  <si>
    <t>8/1/18-8/31/18 MAINT CLICKS</t>
  </si>
  <si>
    <t>10/1/18-10/31/18 DCA RECORD</t>
  </si>
  <si>
    <t>10/1/18-10/31/18 LESSEE</t>
  </si>
  <si>
    <t>MATERA PAPER COMPANY</t>
  </si>
  <si>
    <t>FOAMING CLEANSER</t>
  </si>
  <si>
    <t>199-11-6399.12-002-911002</t>
  </si>
  <si>
    <t>PE YOGA SUBSCRIPTION</t>
  </si>
  <si>
    <t>199-33-6399.8F-002-999002</t>
  </si>
  <si>
    <t>FIRST AID KIT</t>
  </si>
  <si>
    <t xml:space="preserve">2 TON SYSTEM </t>
  </si>
  <si>
    <t>PDQ CORPORATION</t>
  </si>
  <si>
    <t>199-11-6396.50-001-911080</t>
  </si>
  <si>
    <t xml:space="preserve">INVENTORY &amp; DEPLOYMENT </t>
  </si>
  <si>
    <t>199-11-6396.50-041-911080</t>
  </si>
  <si>
    <t>199-11-6396.50-101-911080</t>
  </si>
  <si>
    <t>199-11-6396.50-104-911080</t>
  </si>
  <si>
    <t>PEARSON EDUCATION INC</t>
  </si>
  <si>
    <t>199-11-6329.VB-001-922022</t>
  </si>
  <si>
    <t>LEARNING MS OFFICE</t>
  </si>
  <si>
    <t>199-51-6249.M9-936-999081</t>
  </si>
  <si>
    <t>199-11-6299.NL-001-922022</t>
  </si>
  <si>
    <t>OTHER TEST</t>
  </si>
  <si>
    <t>199-34-6299.10-937-999082</t>
  </si>
  <si>
    <t>POST ACCIDENT TEST</t>
  </si>
  <si>
    <t>PRATT, WENDY</t>
  </si>
  <si>
    <t>199-13-6411.7K-001-911101</t>
  </si>
  <si>
    <t>PURCHASE POWER</t>
  </si>
  <si>
    <t>199-00-1415.01-000-900000</t>
  </si>
  <si>
    <t>9/18/18 POSTAGE REFILL</t>
  </si>
  <si>
    <t>RAY &amp; WOOD</t>
  </si>
  <si>
    <t>2015 LOCAL TAX ROLL AUDIT</t>
  </si>
  <si>
    <t>REALLY GOOD STUFF</t>
  </si>
  <si>
    <t>199-11-6399.74-041-911003</t>
  </si>
  <si>
    <t>8TH CLASSROOM SUPPLIES</t>
  </si>
  <si>
    <t>RECORD STAR</t>
  </si>
  <si>
    <t>199-41-6329.10-701-999092</t>
  </si>
  <si>
    <t>1YR SUBSCRIPTION</t>
  </si>
  <si>
    <t>PROPOSED TAX 8/16/18</t>
  </si>
  <si>
    <t>10/1/18-10/31/18</t>
  </si>
  <si>
    <t>RIVERA, GUADALUPE JR.</t>
  </si>
  <si>
    <t>199-36-6411.7E-001-999131</t>
  </si>
  <si>
    <t xml:space="preserve">RGN AUDITION @VETERANS </t>
  </si>
  <si>
    <t>199-36-6412.7E-001-999131</t>
  </si>
  <si>
    <t>STAFF MEETING 9/25/18</t>
  </si>
  <si>
    <t>199-41-6498.00-709-999083</t>
  </si>
  <si>
    <t>PEIMS UPDATE 9/13/2018</t>
  </si>
  <si>
    <t>SCHLOTZSKY'S DELI</t>
  </si>
  <si>
    <t xml:space="preserve">DRILL @ BEEVILLE V/FB </t>
  </si>
  <si>
    <t>SCHOLASTIC INC</t>
  </si>
  <si>
    <t>199-11-6399.8P-001-911001</t>
  </si>
  <si>
    <t>QUE TAL</t>
  </si>
  <si>
    <t>SCHOOL NURSE SUPPLY</t>
  </si>
  <si>
    <t>199-33-6399.8F-101-999004</t>
  </si>
  <si>
    <t>NURSE SUPPLIES</t>
  </si>
  <si>
    <t xml:space="preserve">SOUTH TEXAS ASSOCIATION </t>
  </si>
  <si>
    <t>CONSTRUCTION PAPER</t>
  </si>
  <si>
    <t>199-23-6399.8K-104-999005</t>
  </si>
  <si>
    <t>CHART TABLETS</t>
  </si>
  <si>
    <t>NEON LABELS</t>
  </si>
  <si>
    <t>DOUBLE SIDED TAPE</t>
  </si>
  <si>
    <t>LANYARD &amp; CLIPBOARDS</t>
  </si>
  <si>
    <t>WHITE CARD STOCK</t>
  </si>
  <si>
    <t>TAQUERIA LA CABANA</t>
  </si>
  <si>
    <t>199-41-6498.10-735-999096</t>
  </si>
  <si>
    <t xml:space="preserve">FOUNDATION MEETING </t>
  </si>
  <si>
    <t>TEACHER SYNERGY</t>
  </si>
  <si>
    <t>TASK CARDS</t>
  </si>
  <si>
    <t>TEXAS FFA ASSOCIATION</t>
  </si>
  <si>
    <t>199-11-6495.V8-001-922022</t>
  </si>
  <si>
    <t>2018-2019 FALL MEMBERSHIP</t>
  </si>
  <si>
    <t xml:space="preserve">TRACTOR SUPPLY CREDIT </t>
  </si>
  <si>
    <t>CNL GATE &amp; PANEL</t>
  </si>
  <si>
    <t>PINTLE ZINC</t>
  </si>
  <si>
    <t>ANIMAL MEDS</t>
  </si>
  <si>
    <t>READY TO USE SEVIN</t>
  </si>
  <si>
    <t>199-36-6412.7E-041-999135</t>
  </si>
  <si>
    <t xml:space="preserve">REGION AUDITIONS @ TM </t>
  </si>
  <si>
    <t>US POSTAL SERVICE</t>
  </si>
  <si>
    <t>199-41-6269.10-720-999091</t>
  </si>
  <si>
    <t>BOX 10900 RENTAL</t>
  </si>
  <si>
    <t>199-41-6211.10-730-999095</t>
  </si>
  <si>
    <t>8/27/18-9/15/18</t>
  </si>
  <si>
    <t>9/24/18-10/5/18</t>
  </si>
  <si>
    <t>WENGER CORPORATION</t>
  </si>
  <si>
    <t>CHAIR &amp; STORAGE TRUCK</t>
  </si>
  <si>
    <t>10/1/18-10/5/18</t>
  </si>
  <si>
    <t>APOLLO TOWING SERVICE</t>
  </si>
  <si>
    <t>BUS 42 @ CC FREIGHLINERS</t>
  </si>
  <si>
    <t>AREA X ASSOCIATION</t>
  </si>
  <si>
    <t>ASHBY, CURTIS</t>
  </si>
  <si>
    <t>BEN E. KEITH CO.</t>
  </si>
  <si>
    <t xml:space="preserve">TEACHER 6WKS MEETING </t>
  </si>
  <si>
    <t>TFA @ CARROLL 11/3/18</t>
  </si>
  <si>
    <t xml:space="preserve">CHICK-FIL-A LA PALMERA </t>
  </si>
  <si>
    <t xml:space="preserve">TSA RGNL @ WEST OSO </t>
  </si>
  <si>
    <t>199-36-6411.VD-001-922022</t>
  </si>
  <si>
    <t xml:space="preserve">COASTAL BEND DISTRICT </t>
  </si>
  <si>
    <t xml:space="preserve">COGENT COMMUNICATIONS, </t>
  </si>
  <si>
    <t>199-51-6256.13-880-999080</t>
  </si>
  <si>
    <t>COMPUTER SOLUTIONS</t>
  </si>
  <si>
    <t>PREPAID BLOCK HOURS</t>
  </si>
  <si>
    <t>199-53-6639.11-880-999C80</t>
  </si>
  <si>
    <t xml:space="preserve">ISM VM SOLUTIONS </t>
  </si>
  <si>
    <t xml:space="preserve">10/15/18-10/15/19 </t>
  </si>
  <si>
    <t>FCCLA</t>
  </si>
  <si>
    <t>199-11-6412.VH-001-922022</t>
  </si>
  <si>
    <t xml:space="preserve">NATIONAL CHAPTER &amp; STATE </t>
  </si>
  <si>
    <t>199-36-6411.VH-001-922022</t>
  </si>
  <si>
    <t>CHEER @ SOMERSET 11/9/18</t>
  </si>
  <si>
    <t>CHEER @ SA V/FB 10/5/18</t>
  </si>
  <si>
    <t xml:space="preserve">DRILL MEET @ FBLUFF </t>
  </si>
  <si>
    <t>JW PEPPER &amp; SON INC</t>
  </si>
  <si>
    <t>199-11-6399.7E-001-911031</t>
  </si>
  <si>
    <t>CHOIR SUPPLIES</t>
  </si>
  <si>
    <t>SHIPPING FEES</t>
  </si>
  <si>
    <t>199-41-6219.11-730-999095</t>
  </si>
  <si>
    <t>199-51-6249.MC-001-999081</t>
  </si>
  <si>
    <t>NEW BATTERY GENERATOR</t>
  </si>
  <si>
    <t>LUCAS, STACY</t>
  </si>
  <si>
    <t>199-23-6411.10-001-999001</t>
  </si>
  <si>
    <t>MARK'S PLUMBING PARTS</t>
  </si>
  <si>
    <t>LEONARD COVER GASKET</t>
  </si>
  <si>
    <t xml:space="preserve">BRASS HOSE BIBB VACUUM </t>
  </si>
  <si>
    <t xml:space="preserve">HAND HOT SLEEVE, MOUNT </t>
  </si>
  <si>
    <t xml:space="preserve">HOLE MOUNT METERING </t>
  </si>
  <si>
    <t xml:space="preserve">DELUXE CHROME TANK </t>
  </si>
  <si>
    <t xml:space="preserve">MOLLIE GREGORY TOWER </t>
  </si>
  <si>
    <t>199-36-6399.09-101-999004</t>
  </si>
  <si>
    <t>MUSIC MEMORY PACKAGE</t>
  </si>
  <si>
    <t>OIL PATCH PETROLEUM INC</t>
  </si>
  <si>
    <t xml:space="preserve">TERRACAIR, ROTELLA, DEF </t>
  </si>
  <si>
    <t xml:space="preserve">DISTRICT AUDITIONS @TM </t>
  </si>
  <si>
    <t>199-23-6498.10-104-999005</t>
  </si>
  <si>
    <t xml:space="preserve">LEAD TEACHER MEETING </t>
  </si>
  <si>
    <t>FILE LETTER CART</t>
  </si>
  <si>
    <t>199-33-6399.8F-001-999001</t>
  </si>
  <si>
    <t>NURSE SUPPLEIS</t>
  </si>
  <si>
    <t>SINTON HIGH SCHOOL</t>
  </si>
  <si>
    <t>199-36-6411.H1-001-931134</t>
  </si>
  <si>
    <t xml:space="preserve">PRACTICE MEET @ SINTON </t>
  </si>
  <si>
    <t>199-36-6412.H1-001-931034</t>
  </si>
  <si>
    <t>199-36-6412.H1-001-931134</t>
  </si>
  <si>
    <t>TEACHER'S DISCOVERY</t>
  </si>
  <si>
    <t xml:space="preserve">EL ESCAPE SPANISH </t>
  </si>
  <si>
    <t xml:space="preserve">ENGINRNG TOUR @ TAMUCC </t>
  </si>
  <si>
    <t>TRIP CANCELLED</t>
  </si>
  <si>
    <t>TEXAS EDUCATION NEWS</t>
  </si>
  <si>
    <t>199-23-6329.10-002-999002</t>
  </si>
  <si>
    <t xml:space="preserve">40 ISSUES 1YR </t>
  </si>
  <si>
    <t>199-53-6329.50-880-911080</t>
  </si>
  <si>
    <t>199-36-6411.7B-041-999036</t>
  </si>
  <si>
    <t>7/1/18-6/30/19 E CONSTANTE</t>
  </si>
  <si>
    <t>UNIFORMALWEARHOUSE LLC</t>
  </si>
  <si>
    <t>199-11-6398.7E-001-911031</t>
  </si>
  <si>
    <t xml:space="preserve">TUXEDO JACKETS &amp; DRESS </t>
  </si>
  <si>
    <t>VISTA HIGHER LEARNING INC</t>
  </si>
  <si>
    <t xml:space="preserve">TEMAS SE &amp; AP SPANISH </t>
  </si>
  <si>
    <t>199-36-6412.09-001-999001</t>
  </si>
  <si>
    <t xml:space="preserve">UIL CONGRESS RGN @ ESC </t>
  </si>
  <si>
    <t>BAND @ TM V/FB 9/27/18</t>
  </si>
  <si>
    <t>WILLIAM V. MACGILL &amp; CO.</t>
  </si>
  <si>
    <t>199-33-6399.8F-041-999003</t>
  </si>
  <si>
    <t>9/24/18-9/28/18</t>
  </si>
  <si>
    <t>10/8/18-10/12/18</t>
  </si>
  <si>
    <t>199-41-6299.10-730-999095</t>
  </si>
  <si>
    <t>199-11-6396.05-001-911023</t>
  </si>
  <si>
    <t xml:space="preserve">COLORED OVERLAYS &amp; </t>
  </si>
  <si>
    <t>199-11-6396.05-101-911023</t>
  </si>
  <si>
    <t>199-11-6396.05-104-911023</t>
  </si>
  <si>
    <t xml:space="preserve">CHEERPHONE &amp; </t>
  </si>
  <si>
    <t xml:space="preserve">STEEL SHEARS &amp; RAZOR </t>
  </si>
  <si>
    <t>199-11-6399.R1-001-911001</t>
  </si>
  <si>
    <t>OF MICE &amp; MEN</t>
  </si>
  <si>
    <t>AG SUPPLIES</t>
  </si>
  <si>
    <t>DRAWER STORAGE CART</t>
  </si>
  <si>
    <t>HOUSE PLAN TEMPLATE</t>
  </si>
  <si>
    <t xml:space="preserve">EPOXY &amp; BALSA WOOD </t>
  </si>
  <si>
    <t>10/15/18-11/14/18</t>
  </si>
  <si>
    <t>10/15/18-11/15/18</t>
  </si>
  <si>
    <t xml:space="preserve">AUSTIN PUMP &amp; SUPPLY CO. </t>
  </si>
  <si>
    <t>ROTOR &amp; PLAS RISERS</t>
  </si>
  <si>
    <t xml:space="preserve">BANC OF AMERICA PUBLIC </t>
  </si>
  <si>
    <t>199-71-6513.10-936-999075</t>
  </si>
  <si>
    <t>2008 ENERGY MANAGEMENT</t>
  </si>
  <si>
    <t>199-71-6523.10-936-999075</t>
  </si>
  <si>
    <t>HS PLEATED FILTERS</t>
  </si>
  <si>
    <t xml:space="preserve">SSL CERTIFICATE ISE </t>
  </si>
  <si>
    <t>10/3/18 &amp; 10/12/18</t>
  </si>
  <si>
    <t>199-41-6498.10-702-999093</t>
  </si>
  <si>
    <t>GOAL WORKSHOP 9/21/18</t>
  </si>
  <si>
    <t>199-41-6649.10-933-999085</t>
  </si>
  <si>
    <t xml:space="preserve">14 TOOTH PEFORATING </t>
  </si>
  <si>
    <t>BECERRIL, MARIBEL</t>
  </si>
  <si>
    <t>BIRDWELL, GAIL</t>
  </si>
  <si>
    <t>199-23-6411.10-001-999101</t>
  </si>
  <si>
    <t>BLICK ART MATERIALS</t>
  </si>
  <si>
    <t>ART SUPPLIES</t>
  </si>
  <si>
    <t xml:space="preserve">CREPE PAPER &amp; ELMERS </t>
  </si>
  <si>
    <t>WIRE FORM</t>
  </si>
  <si>
    <t>199-11-6399.7A-041-911003</t>
  </si>
  <si>
    <t>199-11-6299.7K-001-911001</t>
  </si>
  <si>
    <t>BUCKEYE CLEANING CENTER</t>
  </si>
  <si>
    <t>DISINFECTANT CLEANERS</t>
  </si>
  <si>
    <t>199-41-6211.02-702-999093</t>
  </si>
  <si>
    <t>GENERAL CHARGES 9/17/18</t>
  </si>
  <si>
    <t>9/13/18-10/12/18 DOME</t>
  </si>
  <si>
    <t>9/24/18-10/23/18 TENNIS</t>
  </si>
  <si>
    <t>199-11-6649.DC-001-931034</t>
  </si>
  <si>
    <t>CFS PRODUCTS</t>
  </si>
  <si>
    <t>GROMMET SELF PIERCING</t>
  </si>
  <si>
    <t>199-53-6396.00-880-999C80</t>
  </si>
  <si>
    <t>OFFICE 365 MIGRATION</t>
  </si>
  <si>
    <t xml:space="preserve">WATER FOUNTAINS </t>
  </si>
  <si>
    <t>DE LA CERDA, NIDIA</t>
  </si>
  <si>
    <t>DEMCO, INC.</t>
  </si>
  <si>
    <t>199-12-6399.7U-104-911005</t>
  </si>
  <si>
    <t>LIBRARY SUPPLIES</t>
  </si>
  <si>
    <t>199-51-6256.15-880-999080</t>
  </si>
  <si>
    <t>199-11-6223.VC-001-922022</t>
  </si>
  <si>
    <t xml:space="preserve">9/1/18-8/31/19 CISCO </t>
  </si>
  <si>
    <t>LAMINATED DOOR GLASS</t>
  </si>
  <si>
    <t>FASTENAL COMPANY</t>
  </si>
  <si>
    <t>DRILL SET</t>
  </si>
  <si>
    <t>BAND @ SA V/FB 10/5/18</t>
  </si>
  <si>
    <t>HERNANDEZ, DUSTIN RUBEN</t>
  </si>
  <si>
    <t>HERNANDEZ, PATRICK</t>
  </si>
  <si>
    <t>199-34-6495.10-937-999082</t>
  </si>
  <si>
    <t>COSTAL BEND TAPT DUES</t>
  </si>
  <si>
    <t xml:space="preserve">HIGHWAY BARRICADES &amp; </t>
  </si>
  <si>
    <t>9/13/18-10/12/18 AG BARN</t>
  </si>
  <si>
    <t xml:space="preserve">INTERQUEST DETECTION </t>
  </si>
  <si>
    <t>199-52-6299.10-001-999087</t>
  </si>
  <si>
    <t>9/13/18 DETECTION SERVICE</t>
  </si>
  <si>
    <t>199-52-6299.10-002-999087</t>
  </si>
  <si>
    <t>8/16/18 DETECTION SERVICE</t>
  </si>
  <si>
    <t>199-52-6299.10-041-999087</t>
  </si>
  <si>
    <t>8/1, 8/16 DETECTION SERVICE</t>
  </si>
  <si>
    <t>OFFICE MEETING 9/27/18</t>
  </si>
  <si>
    <t xml:space="preserve">HONOR ROLL, ATTENDANCE </t>
  </si>
  <si>
    <t>KADUCEUS HOLDINGS INC</t>
  </si>
  <si>
    <t>199-11-6329.V8-001-922022</t>
  </si>
  <si>
    <t>ASSISTANT STUDENT GUIDE</t>
  </si>
  <si>
    <t>8/1/18-7/31/19 SITE LICENSE</t>
  </si>
  <si>
    <t>199-36-6411.09-001-999001</t>
  </si>
  <si>
    <t>199-36-6412.09-001-999101</t>
  </si>
  <si>
    <t>9/1/18-9/30/18 MAINT CLICKS</t>
  </si>
  <si>
    <t>199-41-6245.10-933-999085</t>
  </si>
  <si>
    <t>10/15/18-11/14/18 LESSEE</t>
  </si>
  <si>
    <t>HP MOTOR</t>
  </si>
  <si>
    <t>PEERLESS CLEANERS</t>
  </si>
  <si>
    <t>199-11-6249.10-041-911035</t>
  </si>
  <si>
    <t>CHOIR UNIFORMS</t>
  </si>
  <si>
    <t>PERALES, TLALOC TLALOC</t>
  </si>
  <si>
    <t>PEREZ, SABRINA</t>
  </si>
  <si>
    <t>PHYSIC LAB SUPPLIES</t>
  </si>
  <si>
    <t>DESKTOP CALCULATOR</t>
  </si>
  <si>
    <t>PORTILLO, BENITO</t>
  </si>
  <si>
    <t>DUPLEX SCANNER</t>
  </si>
  <si>
    <t>12/1/18-12/1/19</t>
  </si>
  <si>
    <t>OIL &amp; SPOOLS OF TWINE</t>
  </si>
  <si>
    <t>SOUTHERLAND, APRIL</t>
  </si>
  <si>
    <t>199-34-6411.11-937-999182</t>
  </si>
  <si>
    <t xml:space="preserve">STEWART DEAN BEARING CO </t>
  </si>
  <si>
    <t>BELTS</t>
  </si>
  <si>
    <t>VBELTS</t>
  </si>
  <si>
    <t>TMEA REGION 14 BAND</t>
  </si>
  <si>
    <t xml:space="preserve">AUDITIONS @ VETRANS </t>
  </si>
  <si>
    <t>199-36-6495.7B-041-999036</t>
  </si>
  <si>
    <t xml:space="preserve">STUDENT TRAINING </t>
  </si>
  <si>
    <t xml:space="preserve">ENGLISH 2 CHECKPOINT </t>
  </si>
  <si>
    <t xml:space="preserve">DETENTION &amp; CORRIDOR </t>
  </si>
  <si>
    <t>LETTERHEAD</t>
  </si>
  <si>
    <t>199-11-6395.45-101-911004</t>
  </si>
  <si>
    <t>PASSES &amp; RELEASE FORMS</t>
  </si>
  <si>
    <t>WINDOW ENVELOPES</t>
  </si>
  <si>
    <t>199-33-6394.8F-101-999004</t>
  </si>
  <si>
    <t>REFERRALS &amp; INNUMIZATION</t>
  </si>
  <si>
    <t>199-41-6395.10-730-999095</t>
  </si>
  <si>
    <t>EMPLOYMENT APPLICATIONS</t>
  </si>
  <si>
    <t>TRAID MEETINGS 9/26/18</t>
  </si>
  <si>
    <t>FACULTY MEETING 10/10/18</t>
  </si>
  <si>
    <t>TM FOUNDATION SUPPLIES</t>
  </si>
  <si>
    <t xml:space="preserve">BAND @ LAVACA V/FB </t>
  </si>
  <si>
    <t>10/15/18-10/19/18</t>
  </si>
  <si>
    <t xml:space="preserve">TEXAS STATE LIBRARY &amp; </t>
  </si>
  <si>
    <t>199-12-6396.7U-001-911201</t>
  </si>
  <si>
    <t>9/1/18-8/31/18 TEXQUEST FEE</t>
  </si>
  <si>
    <t>199-12-6396.7U-041-911203</t>
  </si>
  <si>
    <t>199-12-6396.7U-101-911204</t>
  </si>
  <si>
    <t>199-12-6396.7U-104-911205</t>
  </si>
  <si>
    <t xml:space="preserve">ACE HARDWARE WESTERN </t>
  </si>
  <si>
    <t>SPRAY PAINT, THINNER, PVC</t>
  </si>
  <si>
    <t>MASK, TAPE, SANDPAPER</t>
  </si>
  <si>
    <t>199-11-6399.8U-104-911005</t>
  </si>
  <si>
    <t>LABSONIC HEADPHONES</t>
  </si>
  <si>
    <t>ALTEX ELECTRONICS LTD</t>
  </si>
  <si>
    <t>199-11-6399.10-041-911080</t>
  </si>
  <si>
    <t>TSRW JBD2</t>
  </si>
  <si>
    <t>BREWER, RICHARD</t>
  </si>
  <si>
    <t>199-11-6411.VJ-001-922122</t>
  </si>
  <si>
    <t xml:space="preserve">TXPSTA@ GEORGETWN NOV </t>
  </si>
  <si>
    <t>199-11-6412.VJ-001-922122</t>
  </si>
  <si>
    <t xml:space="preserve">NOV 2018 RETAINER </t>
  </si>
  <si>
    <t>CANO, JAIME II</t>
  </si>
  <si>
    <t>199-36-6299.HC-001-999001</t>
  </si>
  <si>
    <t>CASTILLO, EDUARDO</t>
  </si>
  <si>
    <t>CC BATTERY CO INC</t>
  </si>
  <si>
    <t>BUS 54 BATTERIES</t>
  </si>
  <si>
    <t>BATTERY</t>
  </si>
  <si>
    <t>CERDA, DORA</t>
  </si>
  <si>
    <t>CONTROL MODULE &amp; VISORS</t>
  </si>
  <si>
    <t>DRAIN VALVE &amp; DV2 VALVE</t>
  </si>
  <si>
    <t>CHAVERA, YVONNE</t>
  </si>
  <si>
    <t>HS WATER 9/18/18-10/17/18</t>
  </si>
  <si>
    <t>ACC WATER 9/17/18-10/16/18</t>
  </si>
  <si>
    <t>MS WATER 9/17/18-10/16/18</t>
  </si>
  <si>
    <t>PRIMRY WATER 9/17/18-</t>
  </si>
  <si>
    <t>INTER WATER 9/17/18-</t>
  </si>
  <si>
    <t>ADMIN WATER 9/17/18-</t>
  </si>
  <si>
    <t>MAINT WATER 9/17/18-</t>
  </si>
  <si>
    <t>AG CPX 9/18/18-10/17/18</t>
  </si>
  <si>
    <t>INTER IRR 9/17/18-10/16/18</t>
  </si>
  <si>
    <t>FB FLD 9/18/18-10/17/18</t>
  </si>
  <si>
    <t>HS GAS 9/18/18-10/17/18</t>
  </si>
  <si>
    <t>MS GAS 9/17/18-10/16/18</t>
  </si>
  <si>
    <t>PRIMRY GAS 9/17/18-10/16/18</t>
  </si>
  <si>
    <t>INTER GAS 9/17/18-10/16/18</t>
  </si>
  <si>
    <t>DOME GAS 9/18/18-10/17/18</t>
  </si>
  <si>
    <t>COMFORT SUITES</t>
  </si>
  <si>
    <t>WELDING &amp; DIESEL TUITION</t>
  </si>
  <si>
    <t>DIEGEL, CANDACE</t>
  </si>
  <si>
    <t xml:space="preserve">DIST LDES @ ROBSTOWN </t>
  </si>
  <si>
    <t>199-36-6411.V8-001-922022</t>
  </si>
  <si>
    <t>WORKSHOP 1489662 10/15/18</t>
  </si>
  <si>
    <t>199-34-6411.10-937-999082</t>
  </si>
  <si>
    <t>WORKSHOP 1481182 9/22/18</t>
  </si>
  <si>
    <t>199-41-6239.11-726-999091</t>
  </si>
  <si>
    <t>BUSINESS ADVISORY 2018-</t>
  </si>
  <si>
    <t>FINANCE</t>
  </si>
  <si>
    <t>EMSHOFF, KINSLEY</t>
  </si>
  <si>
    <t>199-36-6411.V8-041-999003</t>
  </si>
  <si>
    <t>199-36-6412.V8-041-999003</t>
  </si>
  <si>
    <t xml:space="preserve">ERNEST R. GARZA &amp; </t>
  </si>
  <si>
    <t>199-41-6212.10-726-999091</t>
  </si>
  <si>
    <t>FISCAL YEAR AUDIT 8/31/18</t>
  </si>
  <si>
    <t>COFFEE &amp; CREAMERS</t>
  </si>
  <si>
    <t xml:space="preserve">COFFEE, SUGARS &amp; </t>
  </si>
  <si>
    <t>EWALD KUBOTA, INC.</t>
  </si>
  <si>
    <t>MOWER BLADES</t>
  </si>
  <si>
    <t>FINCH OPAQUE ENVELOPES</t>
  </si>
  <si>
    <t xml:space="preserve">GLOSS DIGITAL &amp; COVER </t>
  </si>
  <si>
    <t xml:space="preserve">ASTRO BRIGHT PACK </t>
  </si>
  <si>
    <t>WHITE OPAQUE COVER</t>
  </si>
  <si>
    <t xml:space="preserve">BOISE POLARIS &amp; </t>
  </si>
  <si>
    <t xml:space="preserve">FOLLETT SCHOOL </t>
  </si>
  <si>
    <t>199-11-6396.TB-001-911001</t>
  </si>
  <si>
    <t>12/1/18-11/30/19 RENEWAL</t>
  </si>
  <si>
    <t>199-11-6396.TB-041-911003</t>
  </si>
  <si>
    <t>199-11-6396.TB-101-911004</t>
  </si>
  <si>
    <t>199-11-6396.TB-104-911005</t>
  </si>
  <si>
    <t>199-12-6396.7U-001-911101</t>
  </si>
  <si>
    <t>199-12-6396.7U-041-911003</t>
  </si>
  <si>
    <t>199-12-6396.7U-101-911104</t>
  </si>
  <si>
    <t>199-12-6396.7U-104-911005</t>
  </si>
  <si>
    <t xml:space="preserve">BAND @ FLRSVILLE V/FB </t>
  </si>
  <si>
    <t>199-11-6399.00-001-923023</t>
  </si>
  <si>
    <t>HFL SUPPLIES</t>
  </si>
  <si>
    <t>199-11-6399.N1-001-911001</t>
  </si>
  <si>
    <t>LAB SUPPLIES</t>
  </si>
  <si>
    <t>PRINCIPLES OF AG CLASS</t>
  </si>
  <si>
    <t>199-11-6499.10-104-911005</t>
  </si>
  <si>
    <t>ATTENDANCE INCENTIVES</t>
  </si>
  <si>
    <t>FENDER GUITAR EBH1402543</t>
  </si>
  <si>
    <t>SYSTEM BLUE TNR SST</t>
  </si>
  <si>
    <t xml:space="preserve">YAMAHA MARCHING SD </t>
  </si>
  <si>
    <t>HOBBY LOBBY STORES INC</t>
  </si>
  <si>
    <t>FLORAL DESIGN SUPPLIES</t>
  </si>
  <si>
    <t>TAX REFUND</t>
  </si>
  <si>
    <t>PVC PIPE, FHT FITTINGS</t>
  </si>
  <si>
    <t xml:space="preserve">REINFORCE SHELVES </t>
  </si>
  <si>
    <t xml:space="preserve">REFLECTIVE MARKERS, </t>
  </si>
  <si>
    <t xml:space="preserve">CLOROX, DURACELL, SAFETY </t>
  </si>
  <si>
    <t>CHOIR MUISC</t>
  </si>
  <si>
    <t>SCHICKSALSLIED</t>
  </si>
  <si>
    <t>MANHASSET MUSIC LAMPS</t>
  </si>
  <si>
    <t>199-11-6399.7E-041-911035</t>
  </si>
  <si>
    <t xml:space="preserve">SILENT NIGHT, RUDOLPH </t>
  </si>
  <si>
    <t xml:space="preserve">CAROL BELLS &amp; SILENT </t>
  </si>
  <si>
    <t>TFA @ KING 11/17/18</t>
  </si>
  <si>
    <t xml:space="preserve">NATIONAL SPEECH &amp; DEBATE </t>
  </si>
  <si>
    <t>199-11-6412.7K-041-911003</t>
  </si>
  <si>
    <t>LIFETIME MEMBERSHIP</t>
  </si>
  <si>
    <t>CALK, DAVID</t>
  </si>
  <si>
    <t xml:space="preserve">PRINCIPALS MEETING </t>
  </si>
  <si>
    <t>RANDOM SELECTION TEST</t>
  </si>
  <si>
    <t>PLAYSCRIPTS, INC.</t>
  </si>
  <si>
    <t>199-11-6399.7K-041-911003</t>
  </si>
  <si>
    <t>EDITIONS SCRIPTS</t>
  </si>
  <si>
    <t>11/1/18-11/30/18</t>
  </si>
  <si>
    <t>ROKOHL, MARY</t>
  </si>
  <si>
    <t>3502 GAL DIESEL</t>
  </si>
  <si>
    <t xml:space="preserve">1500 GAL UNL 2500 GAL </t>
  </si>
  <si>
    <t>199-11-6249.7B-041-911036</t>
  </si>
  <si>
    <t xml:space="preserve">FRENCH HORN 588886, </t>
  </si>
  <si>
    <t>INSTRUMENT REPAIRS</t>
  </si>
  <si>
    <t xml:space="preserve">GUITAR, STRAP, PICK </t>
  </si>
  <si>
    <t xml:space="preserve">BUS 25 FRONT END </t>
  </si>
  <si>
    <t>BUS 46 11R22.5 FS561 TIRES</t>
  </si>
  <si>
    <t>TM123 LT245 75R16 TIRES</t>
  </si>
  <si>
    <t>199-51-6256.10-936-999081</t>
  </si>
  <si>
    <t>8/27/18-9/26/18</t>
  </si>
  <si>
    <t>9/27/18-10/26/18</t>
  </si>
  <si>
    <t>199-41-6417.10-702-999093</t>
  </si>
  <si>
    <t>ONLINE TRAINING</t>
  </si>
  <si>
    <t xml:space="preserve">USB ENROLLMENT SERVICES </t>
  </si>
  <si>
    <t>199-41-6299.11-730-999095</t>
  </si>
  <si>
    <t xml:space="preserve">10/1/18-9/30/18 CLAIM CARD </t>
  </si>
  <si>
    <t>VEX ROBOTICS, INC</t>
  </si>
  <si>
    <t>ROBOTIC PARTS</t>
  </si>
  <si>
    <t xml:space="preserve">SETSCREWS &amp; SHAFT </t>
  </si>
  <si>
    <t>WALKER, SARAH</t>
  </si>
  <si>
    <t>10/8/18-10/18/18</t>
  </si>
  <si>
    <t>BINDERS</t>
  </si>
  <si>
    <t>2 WAY RADIOS</t>
  </si>
  <si>
    <t>PENCILS &amp; ERASERS</t>
  </si>
  <si>
    <t>199-11-6399.10-104-911080</t>
  </si>
  <si>
    <t>HDMI CABLES</t>
  </si>
  <si>
    <t>PRINT PASTE &amp; INK</t>
  </si>
  <si>
    <t>199-11-6399.P1-001-911001</t>
  </si>
  <si>
    <t>COMPUTER SPEAKERS</t>
  </si>
  <si>
    <t>SECURITY MIRRORS</t>
  </si>
  <si>
    <t>DEPOSIT BAGS &amp; PAPER</t>
  </si>
  <si>
    <t>199-41-6399.10-726-999091</t>
  </si>
  <si>
    <t>AVERY LABELS</t>
  </si>
  <si>
    <t>FLASH DRIVE</t>
  </si>
  <si>
    <t>BUS 31 ROLL STOP CYLINDER</t>
  </si>
  <si>
    <t>BUS 10 @ FLEET PRIDE</t>
  </si>
  <si>
    <t>ARMSTRONG, VIVIAN</t>
  </si>
  <si>
    <t>199-11-6412.NL-001-922122</t>
  </si>
  <si>
    <t xml:space="preserve">ORIENTATION @ KNGVILE </t>
  </si>
  <si>
    <t>199-36-6411.NL-001-922022</t>
  </si>
  <si>
    <t>ASCD</t>
  </si>
  <si>
    <t>3/1/19-2/29/20 BARTOSH</t>
  </si>
  <si>
    <t>3/1/19-2/29/20 BIRDWELL</t>
  </si>
  <si>
    <t>3/1/19-2/29/20 PORTILLO</t>
  </si>
  <si>
    <t>3/1/19-2/29/20 LUCAS</t>
  </si>
  <si>
    <t>BANDERA ISD</t>
  </si>
  <si>
    <t xml:space="preserve">PRACTICE MEET@ BANDERA </t>
  </si>
  <si>
    <t>BENAVIDES, DANIEL</t>
  </si>
  <si>
    <t>BOLSTER, NINA</t>
  </si>
  <si>
    <t>199-23-6411.8K-104-999105</t>
  </si>
  <si>
    <t>8/16/18-10/16/18 MILEAGE</t>
  </si>
  <si>
    <t xml:space="preserve">REGION TRYOUTS @ ALICE </t>
  </si>
  <si>
    <t>10/4/18 SERVICE</t>
  </si>
  <si>
    <t>10/11/18 SERVICE</t>
  </si>
  <si>
    <t>10/18/18 SERVICE</t>
  </si>
  <si>
    <t>10/25/18 SERVICE</t>
  </si>
  <si>
    <t>NCR 3 &amp; 4 PARTS</t>
  </si>
  <si>
    <t>199-21-6411.V1-001-922022</t>
  </si>
  <si>
    <t xml:space="preserve">CTE TSDA/PEIMS @ SA </t>
  </si>
  <si>
    <t>199-41-6239.01-709-999083</t>
  </si>
  <si>
    <t>TSDA/PEIMS COLLECTIONS</t>
  </si>
  <si>
    <t>199-53-6239.00-001-999091</t>
  </si>
  <si>
    <t xml:space="preserve">TXEIS STUDENT HOSTING </t>
  </si>
  <si>
    <t xml:space="preserve">TXEIS UNLIMITED STUDENT </t>
  </si>
  <si>
    <t xml:space="preserve">TXEIS STUDENT CORE </t>
  </si>
  <si>
    <t>199-53-6239.00-002-999091</t>
  </si>
  <si>
    <t>199-53-6239.00-041-999091</t>
  </si>
  <si>
    <t>199-53-6239.00-101-999091</t>
  </si>
  <si>
    <t>199-53-6239.00-104-999091</t>
  </si>
  <si>
    <t>199-53-6239.00-726-999091</t>
  </si>
  <si>
    <t xml:space="preserve">TXEIS BUSINESS CORE </t>
  </si>
  <si>
    <t xml:space="preserve">TXEIS BUSINESS HOSTING </t>
  </si>
  <si>
    <t xml:space="preserve">EMBASSY SUITES AUSTIN </t>
  </si>
  <si>
    <t xml:space="preserve">TFA TOURNAMENT@ AUSTIN </t>
  </si>
  <si>
    <t xml:space="preserve">HS AIR HANDLER BAD </t>
  </si>
  <si>
    <t>100W REPLACEMENT</t>
  </si>
  <si>
    <t>LED FIXTURE</t>
  </si>
  <si>
    <t>SPECIALTY LIGHT BULBS</t>
  </si>
  <si>
    <t>LIGHTING SUPPLIES</t>
  </si>
  <si>
    <t>TAGES, CHAINS, SCHACKLE</t>
  </si>
  <si>
    <t>MASTER KEY PADLOCKS</t>
  </si>
  <si>
    <t xml:space="preserve">RITE CAM &amp; MORTISE </t>
  </si>
  <si>
    <t>FEDERAL IRON &amp; PIPE</t>
  </si>
  <si>
    <t>16GA SHEET 4X8</t>
  </si>
  <si>
    <t>MEGATAPE HEM CLEAR</t>
  </si>
  <si>
    <t>FLINN SCIENTIFIC INC</t>
  </si>
  <si>
    <t>AP CHEMISTRY SUPPLIES</t>
  </si>
  <si>
    <t>GALLS, LLC</t>
  </si>
  <si>
    <t>199-11-6399.VJ-001-922022</t>
  </si>
  <si>
    <t>RIOT SHIELD</t>
  </si>
  <si>
    <t>CRIMINAL JUSTICE SUPPLIES</t>
  </si>
  <si>
    <t>HANDCUFF CASE</t>
  </si>
  <si>
    <t>BLUE TRAINING GUN</t>
  </si>
  <si>
    <t>TRAINING TASER GUN &amp; 9MM</t>
  </si>
  <si>
    <t>MULTIFIT HOLSTER</t>
  </si>
  <si>
    <t>HERRERA, RUPERTO</t>
  </si>
  <si>
    <t>199-41-6411.LK-933-999085</t>
  </si>
  <si>
    <t>9/17/18-11/2/18 MILEAGE</t>
  </si>
  <si>
    <t>CLEANER &amp; RECEPTACLES</t>
  </si>
  <si>
    <t>LINERS</t>
  </si>
  <si>
    <t>AEROSOL</t>
  </si>
  <si>
    <t>9/12/18-10/25/18</t>
  </si>
  <si>
    <t>STEP DOWN TRANSORMER</t>
  </si>
  <si>
    <t>10/2/18 DETECTION SERVICE</t>
  </si>
  <si>
    <t xml:space="preserve">TFA </t>
  </si>
  <si>
    <t>11/1/18-11/31/18 DCA RECORD</t>
  </si>
  <si>
    <t>11/1/18-11/31/18 LESSEE</t>
  </si>
  <si>
    <t>199-36-6269.HC-001-999001</t>
  </si>
  <si>
    <t>199-36-6399.H2-001-999037</t>
  </si>
  <si>
    <t>DRILL TEAM SUPPLIES</t>
  </si>
  <si>
    <t>VEGA, PRISCILLA PRADO</t>
  </si>
  <si>
    <t>FLY TRAP</t>
  </si>
  <si>
    <t>TICEKTS &amp; DECORATIONS</t>
  </si>
  <si>
    <t>TEACHER SUPPLIES</t>
  </si>
  <si>
    <t>RIVER CITY SUPPLY LLC</t>
  </si>
  <si>
    <t>MIMAKI WASHING FLUID</t>
  </si>
  <si>
    <t>SCHOOL SPECIALTY INC.</t>
  </si>
  <si>
    <t xml:space="preserve">KINETIC ENERGY &amp; FRICTION </t>
  </si>
  <si>
    <t>CUBES DENSITY SET</t>
  </si>
  <si>
    <t xml:space="preserve">6TH GRADE CLASSROOM </t>
  </si>
  <si>
    <t>GRASSFROG PLAIN WET PAIL</t>
  </si>
  <si>
    <t>TISSUE, PIN, PENCILS</t>
  </si>
  <si>
    <t>CLASSROOM SUPPLIES</t>
  </si>
  <si>
    <t>UNIQUE POLICY CHANGES</t>
  </si>
  <si>
    <t xml:space="preserve">TEXAS FORENSIC </t>
  </si>
  <si>
    <t xml:space="preserve">TEXAS PUBLIC SERV </t>
  </si>
  <si>
    <t>TRANSFINDER</t>
  </si>
  <si>
    <t>199-34-6396.11-937-999082</t>
  </si>
  <si>
    <t xml:space="preserve">11/22/18-11/21/19 TECH </t>
  </si>
  <si>
    <t>WILLIAMS, MICHELLE</t>
  </si>
  <si>
    <t>9/6/18-10/30/18 MILEAGE</t>
  </si>
  <si>
    <t>WILTSHIRE, DAVID</t>
  </si>
  <si>
    <t>9/5/18-10/18/18 MILEAGE</t>
  </si>
  <si>
    <t>10/29/18-11/2/18</t>
  </si>
  <si>
    <t>11/5/18-11/9/18</t>
  </si>
  <si>
    <t>VIDEO &amp; RADIO BUS TESTING</t>
  </si>
  <si>
    <t xml:space="preserve">NEW BUSES RADIO/CAMERA </t>
  </si>
  <si>
    <t xml:space="preserve">ACDC LEADERSHIP &amp; </t>
  </si>
  <si>
    <t>PRACTICE PACKET LICENSES</t>
  </si>
  <si>
    <t xml:space="preserve">ADVANCED FILTRATION </t>
  </si>
  <si>
    <t>199-51-6249.PM-936-999181</t>
  </si>
  <si>
    <t>ACC OCT 2018 90 DAY FILTER</t>
  </si>
  <si>
    <t xml:space="preserve">MAINT OCT 2018 180 DAY </t>
  </si>
  <si>
    <t xml:space="preserve">MAINT OCT 2018 90 DAY </t>
  </si>
  <si>
    <t xml:space="preserve">ADMIN OCT 2018 180 DAY </t>
  </si>
  <si>
    <t xml:space="preserve">TRANS OCT 2018 90 DAY </t>
  </si>
  <si>
    <t>MS OCT 2018 90 DAY FILTER</t>
  </si>
  <si>
    <t xml:space="preserve">PRIMRY OCT 2018 180 DAY </t>
  </si>
  <si>
    <t>HEADSETS W/MICROPHONE</t>
  </si>
  <si>
    <t>199-11-6399.LS-001-911001</t>
  </si>
  <si>
    <t xml:space="preserve">LAUNDRY BASKET, BISSELL </t>
  </si>
  <si>
    <t xml:space="preserve">CORDLESS VACUUM, </t>
  </si>
  <si>
    <t>199-11-6399.PK-101-911004</t>
  </si>
  <si>
    <t>199-11-6399.SL-001-911001</t>
  </si>
  <si>
    <t>ASL SUPPLES</t>
  </si>
  <si>
    <t>TACTICAL HELMET</t>
  </si>
  <si>
    <t xml:space="preserve">DUCO CEMENT &amp; MIXING </t>
  </si>
  <si>
    <t>SURFACE GO CASE</t>
  </si>
  <si>
    <t xml:space="preserve">WALL CALENDAR &amp; FLAG </t>
  </si>
  <si>
    <t>BROWN ENVELOPES</t>
  </si>
  <si>
    <t>11/15/18-12/15/18</t>
  </si>
  <si>
    <t>FILTER REG ASSY</t>
  </si>
  <si>
    <t>MOTOR OIL &amp; FUEL FILTER</t>
  </si>
  <si>
    <t xml:space="preserve">FLARE NUT &amp; CROWFOOT </t>
  </si>
  <si>
    <t>SQUEEGEE W/HANDLE</t>
  </si>
  <si>
    <t xml:space="preserve">THANKSGIVING LUNCH NOV </t>
  </si>
  <si>
    <t>199-11-6399.VB-001-922022</t>
  </si>
  <si>
    <t>SOFTWARE RENEWAL</t>
  </si>
  <si>
    <t>199-41-6399.10-735-999096</t>
  </si>
  <si>
    <t>GLITTER GOLD STARS</t>
  </si>
  <si>
    <t>TISSUE &amp; RIBBON</t>
  </si>
  <si>
    <t>199-41-6498.10-730-999095</t>
  </si>
  <si>
    <t>SLAT ROCKER</t>
  </si>
  <si>
    <t>HOLIDAY LUNCHEON 11/15/18</t>
  </si>
  <si>
    <t xml:space="preserve">BOUND TO STAY BOUND </t>
  </si>
  <si>
    <t>199-12-6328.7U-104-911005</t>
  </si>
  <si>
    <t>DIARY OF A WIMPY KID</t>
  </si>
  <si>
    <t>199-12-6329.7U-104-911005</t>
  </si>
  <si>
    <t xml:space="preserve">CAREER &amp; TECHNOLOGY </t>
  </si>
  <si>
    <t xml:space="preserve">CTAT CONFERENCE @ SA </t>
  </si>
  <si>
    <t>CARRIER CORPORATION</t>
  </si>
  <si>
    <t>9/1/18-8/1/18 PM AGREEMENT</t>
  </si>
  <si>
    <t>CHANEY ELECTRONICS, INC.</t>
  </si>
  <si>
    <t>DELUXE ELECTRONIC LAB</t>
  </si>
  <si>
    <t xml:space="preserve">CORPUS CHRISTI CAMERA </t>
  </si>
  <si>
    <t>199-11-6399.H4-001-911001</t>
  </si>
  <si>
    <t>77MM UV HGX PRIME</t>
  </si>
  <si>
    <t>BUS 43 EMC REPAIRS</t>
  </si>
  <si>
    <t xml:space="preserve">BUS 45 POWER STEERING </t>
  </si>
  <si>
    <t>DELL MARKETING LP</t>
  </si>
  <si>
    <t>199-31-6649.7F-001-999001</t>
  </si>
  <si>
    <t>LATITUDE 5591 BTX</t>
  </si>
  <si>
    <t>DELUXE</t>
  </si>
  <si>
    <t>DEPOSIT TICKETS BOOKS</t>
  </si>
  <si>
    <t xml:space="preserve">BAND @ HOME V/FB GP </t>
  </si>
  <si>
    <t xml:space="preserve">DRILL @ SOMERSET V/FB </t>
  </si>
  <si>
    <t xml:space="preserve">EDUCATIONAL ENTERPRISES </t>
  </si>
  <si>
    <t xml:space="preserve">SPECIAL RECORDINGS </t>
  </si>
  <si>
    <t>ENVIROTEST LTD</t>
  </si>
  <si>
    <t>MOLD INSPECTION</t>
  </si>
  <si>
    <t xml:space="preserve">AREA X LDES @ ROBSTWN </t>
  </si>
  <si>
    <t xml:space="preserve">WIREMOLD POKE THRU </t>
  </si>
  <si>
    <t xml:space="preserve">EMG BATTERIES &amp; EXIT </t>
  </si>
  <si>
    <t xml:space="preserve">BAND @ SOMERSET V/FB </t>
  </si>
  <si>
    <t>GALLARDO, GLORIA</t>
  </si>
  <si>
    <t>HAMILTON, RICK</t>
  </si>
  <si>
    <t>199-11-6299.7E-041-911035</t>
  </si>
  <si>
    <t xml:space="preserve">ACCOMPANIST &amp; CONCERT </t>
  </si>
  <si>
    <t>10/12/18-11/12/18 AG BARN</t>
  </si>
  <si>
    <t>199-31-6499.7F-001-931034</t>
  </si>
  <si>
    <t>FAFSA NIGHT 10/18/18</t>
  </si>
  <si>
    <t xml:space="preserve">CHEER@ V/VB WOODSBORO </t>
  </si>
  <si>
    <t>CUSTOM RIBBONS</t>
  </si>
  <si>
    <t>11/15/18-12/14/18 LESSEE</t>
  </si>
  <si>
    <t>5/8 HP DISPOSER</t>
  </si>
  <si>
    <t>RIDGID C1 IC CABLE</t>
  </si>
  <si>
    <t xml:space="preserve">SYMMONS SINGLE HOLE </t>
  </si>
  <si>
    <t>FOAMING SKIN CLEANSER</t>
  </si>
  <si>
    <t>NORTH EAST ISD</t>
  </si>
  <si>
    <t>199-36-6412.8S-001-999091</t>
  </si>
  <si>
    <t xml:space="preserve">TFA/TOC TOURNEY @ SA JAN </t>
  </si>
  <si>
    <t>NUECES COUNTY TAX</t>
  </si>
  <si>
    <t>199-41-6213.11-703-999091</t>
  </si>
  <si>
    <t>AD VALOREM TAXES</t>
  </si>
  <si>
    <t>199-41-6491.10-726-999091</t>
  </si>
  <si>
    <t xml:space="preserve">NOTICE PUBLIC MEETING </t>
  </si>
  <si>
    <t xml:space="preserve">RECORDS CONSULTANTS, </t>
  </si>
  <si>
    <t>199-41-6299.00-932-999084</t>
  </si>
  <si>
    <t xml:space="preserve">118 RECORD BOXES </t>
  </si>
  <si>
    <t>RECORDS MANAGEMENT</t>
  </si>
  <si>
    <t>HP 935 INK</t>
  </si>
  <si>
    <t>MEETINGS SUPPLIES</t>
  </si>
  <si>
    <t>199-36-6499.H2-001-999037</t>
  </si>
  <si>
    <t xml:space="preserve">HOMECOMING/DRILL TEAM </t>
  </si>
  <si>
    <t>HOMECOMING SUPPLIES</t>
  </si>
  <si>
    <t xml:space="preserve">LEGAL ASSISTANCE FUND </t>
  </si>
  <si>
    <t>2018-2019 MEMBERSHIP FEE</t>
  </si>
  <si>
    <t xml:space="preserve">GRADE MATH ACTIVITY </t>
  </si>
  <si>
    <t xml:space="preserve">TEXAS ASSOCIATION OF </t>
  </si>
  <si>
    <t>UIL ON SITE TESTING 12/8/18</t>
  </si>
  <si>
    <t>199-13-6411.7B-001-911032</t>
  </si>
  <si>
    <t xml:space="preserve">TMEA CONVENTION @ SA </t>
  </si>
  <si>
    <t>TEXAS TECH UNIVERSITY</t>
  </si>
  <si>
    <t>199-11-6339.10-001-911001</t>
  </si>
  <si>
    <t xml:space="preserve">SPANISH/GEOGRAPHY </t>
  </si>
  <si>
    <t>TEXAS TYPE COMPANY</t>
  </si>
  <si>
    <t>PAPER CUTTER BLADE</t>
  </si>
  <si>
    <t xml:space="preserve">MARIACHI @ LAREDO </t>
  </si>
  <si>
    <t>199-41-6499.10-702-999093</t>
  </si>
  <si>
    <t xml:space="preserve">APPRECIATION PLAQUES </t>
  </si>
  <si>
    <t xml:space="preserve">ENGLISH 1 CHECKPOINT </t>
  </si>
  <si>
    <t>COLOR INK LETTERS</t>
  </si>
  <si>
    <t>WATERMARK PAPER</t>
  </si>
  <si>
    <t>SUB TIME SHEETS</t>
  </si>
  <si>
    <t>ABSENT FROM DUTY FORMS</t>
  </si>
  <si>
    <t>EXEMPTION LETTERS &amp; TEST</t>
  </si>
  <si>
    <t>199-11-6395.10-041-911003</t>
  </si>
  <si>
    <t xml:space="preserve">ABSENT, LEAVE, SUB TIME </t>
  </si>
  <si>
    <t xml:space="preserve">MAROON BORDER </t>
  </si>
  <si>
    <t>STAR STUDENT YARD SIGN</t>
  </si>
  <si>
    <t>NHS APPLICATIONS</t>
  </si>
  <si>
    <t>FALL CONCERT PROGRAMS</t>
  </si>
  <si>
    <t>199-21-6394.00-875-923023</t>
  </si>
  <si>
    <t>SELF ADDRESS ENVELOPES</t>
  </si>
  <si>
    <t>DAILY SHEETS</t>
  </si>
  <si>
    <t xml:space="preserve">ABSENT DUTY FORMS, SUB </t>
  </si>
  <si>
    <t>199-23-6399.10-002-999002</t>
  </si>
  <si>
    <t>HOMECOMING BANNERS</t>
  </si>
  <si>
    <t>US SCHOOL SUPPLY, INC</t>
  </si>
  <si>
    <t>HONOR ROLL PENCILS</t>
  </si>
  <si>
    <t>199-11-6399.11-041-911003</t>
  </si>
  <si>
    <t>DURACEL BATTERIES</t>
  </si>
  <si>
    <t xml:space="preserve">MEETING &amp; TRAINING </t>
  </si>
  <si>
    <t>FACULTY MEETING 10/31/18</t>
  </si>
  <si>
    <t>10/29/18-11/9/18</t>
  </si>
  <si>
    <t xml:space="preserve">WILSON LANGUAGE </t>
  </si>
  <si>
    <t xml:space="preserve">WRS INTRO SET &amp; STUDENT </t>
  </si>
  <si>
    <t>WRS INTRODUCTORY SET</t>
  </si>
  <si>
    <t>WOODWIND &amp; BRASSWIND</t>
  </si>
  <si>
    <t>199-11-6649.7B-001-911032</t>
  </si>
  <si>
    <t xml:space="preserve">ELECTRIC BASS AMBER </t>
  </si>
  <si>
    <t>XEROX CORPORATION</t>
  </si>
  <si>
    <t>199-41-6395.00-932-999084</t>
  </si>
  <si>
    <t xml:space="preserve">1/31/19-1/31/20 SERVICE </t>
  </si>
  <si>
    <t>11/12/18-11/16/18</t>
  </si>
  <si>
    <t>199-11-6399.10-041-911003</t>
  </si>
  <si>
    <t>SHOP TICKETS HOLDER</t>
  </si>
  <si>
    <t>199-11-6399.10-001-911080</t>
  </si>
  <si>
    <t>WIRELESS REMOTE/MOUSE</t>
  </si>
  <si>
    <t>ELMERS RUBBER CEMENT</t>
  </si>
  <si>
    <t>PHYSICS SUPPLIES</t>
  </si>
  <si>
    <t>199-11-6399.GT-001-921021</t>
  </si>
  <si>
    <t>DRAFTING SUPPLIES</t>
  </si>
  <si>
    <t xml:space="preserve">GLUE BALSA &amp; BASSWOOD </t>
  </si>
  <si>
    <t>199-31-6399.7F-001-999001</t>
  </si>
  <si>
    <t>199-36-6399.8T-001-999001</t>
  </si>
  <si>
    <t xml:space="preserve">STUDENT COUNCIL </t>
  </si>
  <si>
    <t>APPLIED PRACTICE</t>
  </si>
  <si>
    <t>RESOURCES GUIDE</t>
  </si>
  <si>
    <t>AREA II REGION I BPA</t>
  </si>
  <si>
    <t>199-11-6412.VB-001-922022</t>
  </si>
  <si>
    <t>BPA REGION @ TM 1/12/19</t>
  </si>
  <si>
    <t>11/15/18-12/14/18</t>
  </si>
  <si>
    <t>8/28/18-11/15/18 MILEAGE</t>
  </si>
  <si>
    <t xml:space="preserve">THESPIANS @ GRPEVINE </t>
  </si>
  <si>
    <t>STUDIO ACRYLIC</t>
  </si>
  <si>
    <t>BUTLER, SHANNON</t>
  </si>
  <si>
    <t>NOV 2018 ASSESSMENTS</t>
  </si>
  <si>
    <t>CAREERSAFE</t>
  </si>
  <si>
    <t>199-11-6339.VL-001-922022</t>
  </si>
  <si>
    <t>OSHA 10 HOUR COURSE</t>
  </si>
  <si>
    <t>CASAREZ, CHRISTOPHER</t>
  </si>
  <si>
    <t>199-41-6411.00-939-999087</t>
  </si>
  <si>
    <t>9/6/18-11/14/18 MILEAGE</t>
  </si>
  <si>
    <t xml:space="preserve">ASST SUPER SCH </t>
  </si>
  <si>
    <t>10/12/18-11/12/18 DOME</t>
  </si>
  <si>
    <t>10/23/18-11/21/18 TENNIS</t>
  </si>
  <si>
    <t>CBTASBO</t>
  </si>
  <si>
    <t>199-41-6495.10-726-999091</t>
  </si>
  <si>
    <t>BUS 11 REBUILT STARTER</t>
  </si>
  <si>
    <t>BUS 31 ALTERNATOR</t>
  </si>
  <si>
    <t>BATTERIES</t>
  </si>
  <si>
    <t>199-51-6399.TR-936-999082</t>
  </si>
  <si>
    <t>MAXELL HEADPHONE</t>
  </si>
  <si>
    <t>199-11-6649.VA-001-922022</t>
  </si>
  <si>
    <t>CHRISSY K DESIGN</t>
  </si>
  <si>
    <t>CHOIR DRESSES</t>
  </si>
  <si>
    <t>SHOP OF HORRORS OCT 4-</t>
  </si>
  <si>
    <t>HS WATER 10/17/18-11/16/18</t>
  </si>
  <si>
    <t>ACC WATER 10/16/18-11/15/18</t>
  </si>
  <si>
    <t>MS WATER 10/16/18-11/15/18</t>
  </si>
  <si>
    <t>PRIMRY WATER 10/16/18-</t>
  </si>
  <si>
    <t>INTER WATER 10/16/18-</t>
  </si>
  <si>
    <t>ADMIN WATER 10/16/18-</t>
  </si>
  <si>
    <t>MAINT WATER 10/16/18-</t>
  </si>
  <si>
    <t>AG CPX WATER 10/17/18-</t>
  </si>
  <si>
    <t>INTER IRR 10/16/18-11/15/18</t>
  </si>
  <si>
    <t>FB FLD WATER 10/17/18-</t>
  </si>
  <si>
    <t>HS GAS 10/17/18-11/16/18</t>
  </si>
  <si>
    <t>MS GAS 10/16/18-11/15/18</t>
  </si>
  <si>
    <t>PRIMRY GAS 10/16/18-</t>
  </si>
  <si>
    <t>INTER GAS 10/16/18-11/15/18</t>
  </si>
  <si>
    <t>DOME GAS 10/17/18-11/16/18</t>
  </si>
  <si>
    <t>PACKING TAPE</t>
  </si>
  <si>
    <t>EXPANDING FILES</t>
  </si>
  <si>
    <t>BUS 48 BODY WORK</t>
  </si>
  <si>
    <t>BUS 44 A/C MOTOR BLOWER</t>
  </si>
  <si>
    <t>199-23-6649.11-001-999001</t>
  </si>
  <si>
    <t>LATITUDE 5590 CTO</t>
  </si>
  <si>
    <t>BRIEFCASE &amp; DOCK</t>
  </si>
  <si>
    <t>DOUBLETREE BY HILTON</t>
  </si>
  <si>
    <t>UIL STATE @ AUSTIN JAN 7-9</t>
  </si>
  <si>
    <t>MIMAKI INK CARTRIDGE</t>
  </si>
  <si>
    <t xml:space="preserve">COLOR OPAQUE SMOOTH </t>
  </si>
  <si>
    <t>FLEETPRIDE</t>
  </si>
  <si>
    <t>BUS 30 SAFETY FLASHERS</t>
  </si>
  <si>
    <t>BUS 10 RELAY, FUSE, CABLE</t>
  </si>
  <si>
    <t xml:space="preserve">BUS 21 SIGNAL SWITCH, AC </t>
  </si>
  <si>
    <t xml:space="preserve">BUS 11 BRAKE </t>
  </si>
  <si>
    <t>HYATT PLACE SAN ANTONIO</t>
  </si>
  <si>
    <t xml:space="preserve">SYMPHONY CONCERT@ SA </t>
  </si>
  <si>
    <t>199-12-6328.7U-041-911003</t>
  </si>
  <si>
    <t>BAND MUSIC</t>
  </si>
  <si>
    <t>LADY BIRD LAKE</t>
  </si>
  <si>
    <t xml:space="preserve">BALCONES, NOTTINGHAM </t>
  </si>
  <si>
    <t>CHOIR MUSIC</t>
  </si>
  <si>
    <t xml:space="preserve">PRAYER FOR PEACE &amp; </t>
  </si>
  <si>
    <t xml:space="preserve">LOVE CAME &amp; GRACIOUS </t>
  </si>
  <si>
    <t xml:space="preserve">10/1/18-10/31/18 MAINT </t>
  </si>
  <si>
    <t>LITERACY RESOURCES, INC.</t>
  </si>
  <si>
    <t xml:space="preserve">PHONEMIC AWARNESS </t>
  </si>
  <si>
    <t>199-11-6411.LK-041-911003</t>
  </si>
  <si>
    <t>8/15/18-11/30/18 MILEAGE</t>
  </si>
  <si>
    <t>MAHER, CAROL</t>
  </si>
  <si>
    <t>8/27/18-11/29/18 MILEAGE</t>
  </si>
  <si>
    <t>HS ROOF TOP UNIT MOTOR</t>
  </si>
  <si>
    <t>12/1/18-12/31/18</t>
  </si>
  <si>
    <t xml:space="preserve">2019 1ST QTR BUGET </t>
  </si>
  <si>
    <t>PAPER DIRECT INC</t>
  </si>
  <si>
    <t xml:space="preserve">SHOOTNGSTAR </t>
  </si>
  <si>
    <t>QUINTANILLA, ALEJANDRA</t>
  </si>
  <si>
    <t>STAFF BREAKFAST 7/16/18</t>
  </si>
  <si>
    <t>STAFF INCENTIVE</t>
  </si>
  <si>
    <t>PRO-ED</t>
  </si>
  <si>
    <t>ANSWER &amp; RECORD FORMS</t>
  </si>
  <si>
    <t>11/8/18 POSTAGE REFILL</t>
  </si>
  <si>
    <t>STUDENT PRIVACY DIVDERS</t>
  </si>
  <si>
    <t>CARBURETOR</t>
  </si>
  <si>
    <t xml:space="preserve">SOUTHEASTERN </t>
  </si>
  <si>
    <t>ORATORIO DRESSES</t>
  </si>
  <si>
    <t>BUS 43 FLAT REPAIR</t>
  </si>
  <si>
    <t>BUS 4 FLAT REPAIR</t>
  </si>
  <si>
    <t>BUS 30 FLAT REPAIR</t>
  </si>
  <si>
    <t xml:space="preserve">TM113 P225 70R15 DEST </t>
  </si>
  <si>
    <t xml:space="preserve">TM125 P225 70 17  DUELER </t>
  </si>
  <si>
    <t>10/27/18-11/26/18</t>
  </si>
  <si>
    <t xml:space="preserve">TEXAS HIGH SCHOOL MOCK </t>
  </si>
  <si>
    <t>199-36-6412.MT-001-999001</t>
  </si>
  <si>
    <t xml:space="preserve">MOCK TRAIL @ </t>
  </si>
  <si>
    <t>STOP PAYMENT 01/08/2019</t>
  </si>
  <si>
    <t>199-51-6249.M4-877-999081</t>
  </si>
  <si>
    <t>11/15/18 SPRAY APPLICATION</t>
  </si>
  <si>
    <t>199-11-6264.00-101-911004</t>
  </si>
  <si>
    <t>199-11-6264.00-104-911005</t>
  </si>
  <si>
    <t>199-11-6264.10-001-911001</t>
  </si>
  <si>
    <t>TUXEDO PANTS</t>
  </si>
  <si>
    <t>10/16/18-11/15/18</t>
  </si>
  <si>
    <t>11/26/18-11/30/18</t>
  </si>
  <si>
    <t xml:space="preserve">INTER NOV 2018 180 DAY </t>
  </si>
  <si>
    <t>MS NOV 2018 180 DAY FILTER</t>
  </si>
  <si>
    <t>HS NOV 2018 90 DAY FILTER</t>
  </si>
  <si>
    <t>HS NOV 2018 180 DAY FILTER</t>
  </si>
  <si>
    <t>ANIMAL BEHAVIOR BOOKS</t>
  </si>
  <si>
    <t xml:space="preserve">THERMAL LAMINATING </t>
  </si>
  <si>
    <t>FIRST AID KITS</t>
  </si>
  <si>
    <t>HOT GLUE GUNS</t>
  </si>
  <si>
    <t>FLEX SEAL LIQUID</t>
  </si>
  <si>
    <t>BUS 11 @ CC BATERY</t>
  </si>
  <si>
    <t>LUG WRENCH &amp; IMP SOCKET</t>
  </si>
  <si>
    <t>DURALAST BATTERY</t>
  </si>
  <si>
    <t>SPARK PLUGS</t>
  </si>
  <si>
    <t>SPARK PLUG</t>
  </si>
  <si>
    <t xml:space="preserve">TPSA RGN @ MISSION JAN </t>
  </si>
  <si>
    <t>MARAUDER 3X1</t>
  </si>
  <si>
    <t xml:space="preserve">DEC 2018 RETAINER </t>
  </si>
  <si>
    <t>8/16/18-11/30/18 MILEAGE</t>
  </si>
  <si>
    <t xml:space="preserve">CAROLINA BIOLOGICAL </t>
  </si>
  <si>
    <t>199-11-6399.AY-001-911001</t>
  </si>
  <si>
    <t>PS RABBITS DOUBLES</t>
  </si>
  <si>
    <t>CASTILLO, CHRISSY</t>
  </si>
  <si>
    <t>199-41-6411.10-701-999092</t>
  </si>
  <si>
    <t>8/3/18-12/12/18 MILEAGE</t>
  </si>
  <si>
    <t>CASTRO, GENEVA</t>
  </si>
  <si>
    <t>199-11-6399.VL-001-922022</t>
  </si>
  <si>
    <t>NOV 2018 PT SERVICES</t>
  </si>
  <si>
    <t>GLASS</t>
  </si>
  <si>
    <t>REAR STOP ARM</t>
  </si>
  <si>
    <t xml:space="preserve">AREA AUDITION @ TAMUCC </t>
  </si>
  <si>
    <t xml:space="preserve">CHEERLEADING COMPANY, </t>
  </si>
  <si>
    <t>SOLID METALLIC POMS</t>
  </si>
  <si>
    <t>11/1/18 SERVICE</t>
  </si>
  <si>
    <t>11/8/18 SERVICE</t>
  </si>
  <si>
    <t>11/15/18 SERVICE</t>
  </si>
  <si>
    <t>11/22/18 SERVICE</t>
  </si>
  <si>
    <t>11/29/18 SERVICE</t>
  </si>
  <si>
    <t>CISNEROS, RAYLENE</t>
  </si>
  <si>
    <t>COASTAL A.D.S.</t>
  </si>
  <si>
    <t>HEAD &amp; FOOT STRIKES</t>
  </si>
  <si>
    <t>11/1/18-10/31/19 SMARTNET</t>
  </si>
  <si>
    <t>NOV 2018 OT SERVICES</t>
  </si>
  <si>
    <t xml:space="preserve">CORPUS CHRISTI LOCK </t>
  </si>
  <si>
    <t>199-41-6249.11-726-999091</t>
  </si>
  <si>
    <t>KEY PAD &amp; RETROFIT LOCK</t>
  </si>
  <si>
    <t xml:space="preserve">DECA DISTRICT @MCALLEN </t>
  </si>
  <si>
    <t>DEL BOSQUE, JON</t>
  </si>
  <si>
    <t>199-53-6299.10-880-999080</t>
  </si>
  <si>
    <t>KACE ONSITE TRAINING</t>
  </si>
  <si>
    <t>DIAZ, ELIASAR</t>
  </si>
  <si>
    <t>199-12-6411.00-001-911094</t>
  </si>
  <si>
    <t>WORKSHOP 1434051 11/6/18</t>
  </si>
  <si>
    <t>199-13-6239.10-001-911094</t>
  </si>
  <si>
    <t>199-13-6239.10-041-911094</t>
  </si>
  <si>
    <t>199-13-6411.11-101-911004</t>
  </si>
  <si>
    <t>WORKSHOP 1467112 10/30/18</t>
  </si>
  <si>
    <t>199-13-6411.VB-001-922022</t>
  </si>
  <si>
    <t>WORKSHOP 1481192 11/10/18</t>
  </si>
  <si>
    <t>199-41-6239.11-701-999092</t>
  </si>
  <si>
    <t xml:space="preserve">2018-2019 LEADERSHIP </t>
  </si>
  <si>
    <t>KCUPS &amp; CREAMERS</t>
  </si>
  <si>
    <t>PDLK CHAIN HD STEEL</t>
  </si>
  <si>
    <t>PDLK COLLAR</t>
  </si>
  <si>
    <t>TUBING KIT &amp; SCREW NUTS</t>
  </si>
  <si>
    <t>ZINC COIL</t>
  </si>
  <si>
    <t>FIVE POINTS AUTO CENTER</t>
  </si>
  <si>
    <t>TM113 DOOR HANDLE</t>
  </si>
  <si>
    <t>GM DATA PRODUCTS LLC</t>
  </si>
  <si>
    <t>1099 MISC FORMS</t>
  </si>
  <si>
    <t xml:space="preserve">PROJECTOR MOUNT </t>
  </si>
  <si>
    <t>FIXED PIPE 6IN</t>
  </si>
  <si>
    <t>ROTC @ DELMAR 1/12/19</t>
  </si>
  <si>
    <t>SCIENCE LAB</t>
  </si>
  <si>
    <t xml:space="preserve">LIVESTOCK PRODUCTION </t>
  </si>
  <si>
    <t>199-11-6498.V1-001-922022</t>
  </si>
  <si>
    <t>CTE MEETING 11/14/18</t>
  </si>
  <si>
    <t>199-11-6499.11-001-911001</t>
  </si>
  <si>
    <t>LEGAL TRAINING 11/7/18</t>
  </si>
  <si>
    <t>HEIGL TECHNOLOGIES</t>
  </si>
  <si>
    <t>BADGE MACHINE SUPPLIES</t>
  </si>
  <si>
    <t>FRENCH HORN 708659</t>
  </si>
  <si>
    <t>CONN SOUSAPHONE 266510</t>
  </si>
  <si>
    <t>YMAHA PICCOLO 7929</t>
  </si>
  <si>
    <t>YAMAHA CLARINET 304861</t>
  </si>
  <si>
    <t>JUPITER TROMBONE J40108</t>
  </si>
  <si>
    <t>JUPITER TROMBONE J40146</t>
  </si>
  <si>
    <t>FRENCH HORN 561580</t>
  </si>
  <si>
    <t>BASSOON BOCAL</t>
  </si>
  <si>
    <t>TENOR SAX REEDS</t>
  </si>
  <si>
    <t>HOMEWOOD SUITES</t>
  </si>
  <si>
    <t xml:space="preserve">STATE TOURNAMENT@ SA </t>
  </si>
  <si>
    <t>10/11/18-11/27/18</t>
  </si>
  <si>
    <t xml:space="preserve">JONES &amp; BARTLETT </t>
  </si>
  <si>
    <t>199-11-6329.VA-001-922022</t>
  </si>
  <si>
    <t xml:space="preserve">HEAVY DUTY ENGINE </t>
  </si>
  <si>
    <t xml:space="preserve">HEAVY VEHICLE </t>
  </si>
  <si>
    <t>JONES &amp; COOK STATIONERS</t>
  </si>
  <si>
    <t>199-21-6399.10-871-999094</t>
  </si>
  <si>
    <t>199-41-6399.10-701-999092</t>
  </si>
  <si>
    <t>LABELS &amp; WHITE OUT</t>
  </si>
  <si>
    <t xml:space="preserve">DESKTOP MONITOR, </t>
  </si>
  <si>
    <t>12/1/18-12/31/18 DCA RECORD</t>
  </si>
  <si>
    <t xml:space="preserve">11/1/18-11/30/18 MAINT </t>
  </si>
  <si>
    <t>12/1/18-12/31/18 LESSEE</t>
  </si>
  <si>
    <t>199-11-6339.NL-001-922022</t>
  </si>
  <si>
    <t xml:space="preserve">HEARTSAVER SCHOOL </t>
  </si>
  <si>
    <t>BLS PROVIDER ECARDS</t>
  </si>
  <si>
    <t>CPR UPGRADE KIT</t>
  </si>
  <si>
    <t>A/C MOTOR</t>
  </si>
  <si>
    <t>FAN MOTOR &amp; ASSY BLADE</t>
  </si>
  <si>
    <t>FAN MOTOR</t>
  </si>
  <si>
    <t xml:space="preserve">PROGRAMMABLE </t>
  </si>
  <si>
    <t>BLOWER WHEEL</t>
  </si>
  <si>
    <t xml:space="preserve">TRANSFORMER KIT &amp; </t>
  </si>
  <si>
    <t>TRANSFORMER KIT</t>
  </si>
  <si>
    <t xml:space="preserve">GENERATOR INSPECTION </t>
  </si>
  <si>
    <t>MEDICAID CLAIM SOLUTIONS</t>
  </si>
  <si>
    <t>199-21-6216.00-875-923023</t>
  </si>
  <si>
    <t>11/2/18 MEDICAID CLAIMS</t>
  </si>
  <si>
    <t>11/9/18 MEDICAID CLAIMS</t>
  </si>
  <si>
    <t>11/30/18 MEDICAID CLAIMS</t>
  </si>
  <si>
    <t>NATIONAL PEN CO.</t>
  </si>
  <si>
    <t>NOTEPAD &amp; PEN SET</t>
  </si>
  <si>
    <t>BUSINESS CARD HOLDERS</t>
  </si>
  <si>
    <t>OFFICE SYSTEMS 2000, INC</t>
  </si>
  <si>
    <t>199-41-6249.10-934-999091</t>
  </si>
  <si>
    <t>1/2/19-1/1/20</t>
  </si>
  <si>
    <t>199-11-6249.8M-001-911033</t>
  </si>
  <si>
    <t>NJROTC UNIFORMS</t>
  </si>
  <si>
    <t>199-11-6399.10-002-911002</t>
  </si>
  <si>
    <t xml:space="preserve">GROWTH MINDSET BULLETIN </t>
  </si>
  <si>
    <t>199-11-6399.V8-002-922022</t>
  </si>
  <si>
    <t>TIE DOWN CAMBUCKLE</t>
  </si>
  <si>
    <t>HFL COOKING LAB</t>
  </si>
  <si>
    <t>199-23-6498.10-002-999002</t>
  </si>
  <si>
    <t xml:space="preserve">SIX WEEKS &amp; MEETING </t>
  </si>
  <si>
    <t>PEIMS MEETING 9/18/18</t>
  </si>
  <si>
    <t>PEIMS MEETING 9/19/18</t>
  </si>
  <si>
    <t>PEIMS MEETING 10/30/18</t>
  </si>
  <si>
    <t>199-23-6397.99-104-999005</t>
  </si>
  <si>
    <t>UPS GROUND SERVICE</t>
  </si>
  <si>
    <t>DRAWER LOCKS</t>
  </si>
  <si>
    <t xml:space="preserve">THANKSGIVING LUNCH </t>
  </si>
  <si>
    <t>6TH GRADE TESTING LUNCH</t>
  </si>
  <si>
    <t>7TH GRADE TESTING LUNCH</t>
  </si>
  <si>
    <t xml:space="preserve">PRE EMPLOYMENT/POST  </t>
  </si>
  <si>
    <t xml:space="preserve">PROPERTY CASUALTY </t>
  </si>
  <si>
    <t>199-34-6429.10-937-999072</t>
  </si>
  <si>
    <t>AUTO PROPERTY DAMAGE</t>
  </si>
  <si>
    <t>W2 FORMS &amp; ENVELOPES</t>
  </si>
  <si>
    <t xml:space="preserve">RENAISSANCE LEARNING, </t>
  </si>
  <si>
    <t>199-11-6249.01-104-911005</t>
  </si>
  <si>
    <t>10/1/18-9/30/19 AR RENEWAL</t>
  </si>
  <si>
    <t>199-12-6299.7U-101-911004</t>
  </si>
  <si>
    <t>RICHARDS, ALEX</t>
  </si>
  <si>
    <t>199-11-6411.LK-002-911002</t>
  </si>
  <si>
    <t xml:space="preserve">ATHLETIC MEET @ MILLER </t>
  </si>
  <si>
    <t xml:space="preserve">MOWW RIFLE @ MILLER </t>
  </si>
  <si>
    <t>KLEENEX FACIAL TISSUE</t>
  </si>
  <si>
    <t xml:space="preserve">ELECTRIC STAPLER &amp; </t>
  </si>
  <si>
    <t xml:space="preserve">DAMPRID BAGS &amp; MAKEUP </t>
  </si>
  <si>
    <t>COLOR  PAPER</t>
  </si>
  <si>
    <t>GENERAL LAB SUPPLIES</t>
  </si>
  <si>
    <t>199-11-6399.SE-001-911001</t>
  </si>
  <si>
    <t>GCS SUPPLIES</t>
  </si>
  <si>
    <t>MOBILE FILE CART</t>
  </si>
  <si>
    <t>COMMERCIAL SHARPENER</t>
  </si>
  <si>
    <t>STAFF HOLIDAY LUNCH</t>
  </si>
  <si>
    <t>INSERVICE SUPPLIES</t>
  </si>
  <si>
    <t>MOBILE PRINTER STAND</t>
  </si>
  <si>
    <t>COLD CUPS</t>
  </si>
  <si>
    <t>SANDERS, DIANE</t>
  </si>
  <si>
    <t>199-23-6411.10-041-999003</t>
  </si>
  <si>
    <t>8/21/18-11/16/18 MILEAGE</t>
  </si>
  <si>
    <t xml:space="preserve">2001 GAL UNL 4997 GAL </t>
  </si>
  <si>
    <t>SIGN XPRESS</t>
  </si>
  <si>
    <t xml:space="preserve">NOW HIRING BUS DRIVERS </t>
  </si>
  <si>
    <t>BUS NUMBERS</t>
  </si>
  <si>
    <t xml:space="preserve">AUDITIONS @ MCALLEN JAN </t>
  </si>
  <si>
    <t xml:space="preserve">KEYBOARD/MOUSE &amp; </t>
  </si>
  <si>
    <t>STUDENT SCISSORS</t>
  </si>
  <si>
    <t>PAPER MATE INKJOY</t>
  </si>
  <si>
    <t>SCHEDULING CHART</t>
  </si>
  <si>
    <t>LABELS</t>
  </si>
  <si>
    <t xml:space="preserve">FILE FOLDERS &amp; </t>
  </si>
  <si>
    <t>199-51-6399.10-936-999081</t>
  </si>
  <si>
    <t>SUMNER, RODNEY</t>
  </si>
  <si>
    <t>7/29/18-12/12/18 MILEAGE</t>
  </si>
  <si>
    <t>1/1/19-12/31/19 MEMBERSHIP</t>
  </si>
  <si>
    <t>TEPSA</t>
  </si>
  <si>
    <t>199-23-6495.10-101-999004</t>
  </si>
  <si>
    <t>1/1/18-6/30/19 TREVINO</t>
  </si>
  <si>
    <t>1/1/18-6/30/19 DE LA CERDA</t>
  </si>
  <si>
    <t>1/1/18-6/30/19 QUINTANILLA</t>
  </si>
  <si>
    <t>199-23-6495.10-104-999005</t>
  </si>
  <si>
    <t>1/1/18-6/30/19 CALK</t>
  </si>
  <si>
    <t>1/1/18-6/30/19 LERMA</t>
  </si>
  <si>
    <t>1/1/18-6/30/19 ARIAS</t>
  </si>
  <si>
    <t>TEXAS ASSOCIATION OF MID-</t>
  </si>
  <si>
    <t>2018-2019 MEMERSHIP</t>
  </si>
  <si>
    <t>TEXAS FCCLA</t>
  </si>
  <si>
    <t xml:space="preserve">FCCLA REGIONAL @ ABC FEB </t>
  </si>
  <si>
    <t>TIME CLOCK PLUS</t>
  </si>
  <si>
    <t>199-00-1411.15-000-900000</t>
  </si>
  <si>
    <t xml:space="preserve">2020-2021 LICENSES </t>
  </si>
  <si>
    <t>199-41-6396.10-726-999091</t>
  </si>
  <si>
    <t xml:space="preserve">2019-2020 LICENSES </t>
  </si>
  <si>
    <t xml:space="preserve">TOYOTA LIFT OF SOUTH </t>
  </si>
  <si>
    <t>199-51-6248.MC-936-999081</t>
  </si>
  <si>
    <t>LIFT CYLINDER REPAIR</t>
  </si>
  <si>
    <t xml:space="preserve">TULOSO MIDWAY HIGH </t>
  </si>
  <si>
    <t>FLAG TEAM UNIFORMS</t>
  </si>
  <si>
    <t>TWO WIRE MOTOR</t>
  </si>
  <si>
    <t>11/2/18-11/30/18</t>
  </si>
  <si>
    <t>10/22/18-11/30/18 MILEAGE</t>
  </si>
  <si>
    <t>12/15/18-1/14/19</t>
  </si>
  <si>
    <t>12/15/18-1/15/19</t>
  </si>
  <si>
    <t>11/12/18-12/13/18 DOME</t>
  </si>
  <si>
    <t>HS WATER 11/16/18-12/17/18</t>
  </si>
  <si>
    <t>ACC WATER 11/15/18-12/14/18</t>
  </si>
  <si>
    <t>MS WATER 11/15/18-12/14/18</t>
  </si>
  <si>
    <t>PRIMRY WATER 11/15/18-</t>
  </si>
  <si>
    <t>INTER WATER 11/15/18-</t>
  </si>
  <si>
    <t>ADMIN WATER 11/15/18-</t>
  </si>
  <si>
    <t>MAINT WATER 11/15/18-</t>
  </si>
  <si>
    <t>AG CPX 11/16/18-12/17/18</t>
  </si>
  <si>
    <t>INTER IRR 11/15/18-12/14/18</t>
  </si>
  <si>
    <t>FB FLD WATER 11/16/18-</t>
  </si>
  <si>
    <t>HS GAS 11/16/18-12/17/18</t>
  </si>
  <si>
    <t>MS GAS 11/15/18-12/14/18</t>
  </si>
  <si>
    <t>PRIMRY GAS 11/15/18-</t>
  </si>
  <si>
    <t>INTER GAS 11/15/18-12/14/18</t>
  </si>
  <si>
    <t>DOME GAS 11/16/18-12/17/18</t>
  </si>
  <si>
    <t>COURTYARD BY MARRIOTT-</t>
  </si>
  <si>
    <t>199-41-6411.10-726-999091</t>
  </si>
  <si>
    <t xml:space="preserve">TASBO @ PFLUGERVILLE JAN </t>
  </si>
  <si>
    <t>DRILL MEET @ RAY 1/26/19</t>
  </si>
  <si>
    <t>199-51-6498.10-936-999081</t>
  </si>
  <si>
    <t>TABLE COVERS</t>
  </si>
  <si>
    <t xml:space="preserve">BIG QUESTION @BANQUETE </t>
  </si>
  <si>
    <t xml:space="preserve">CROSS EXAM @ CALALLEN </t>
  </si>
  <si>
    <t>12/15/18-1/14/19 LESSEE</t>
  </si>
  <si>
    <t>1/1/19-3/31/19</t>
  </si>
  <si>
    <t>POETS FAMILY RESTAURANT</t>
  </si>
  <si>
    <t xml:space="preserve">EOC TESTING MEETING </t>
  </si>
  <si>
    <t>1/1/19-1/31/19</t>
  </si>
  <si>
    <t>11/27/18-12/26/18</t>
  </si>
  <si>
    <t>199-36-6411.7E-041-999035</t>
  </si>
  <si>
    <t xml:space="preserve">SOLO &amp; ENSEMBLE @ TAMUK </t>
  </si>
  <si>
    <t xml:space="preserve">SOLO/ENSEMBLE @VICTORIA </t>
  </si>
  <si>
    <t>12/3/18-12/7/18</t>
  </si>
  <si>
    <t>12/10/18-12/14/18</t>
  </si>
  <si>
    <t xml:space="preserve">SETUP, INSTALLATION &amp; </t>
  </si>
  <si>
    <t xml:space="preserve"> ACCO BRANDS </t>
  </si>
  <si>
    <t>2/18/19-2/18/20</t>
  </si>
  <si>
    <t>AERORACERS INC</t>
  </si>
  <si>
    <t xml:space="preserve">INTRO TO COMPETITION </t>
  </si>
  <si>
    <t>199-11-6339.11-001-911001</t>
  </si>
  <si>
    <t>LABEL PRINTING &amp; LABELS</t>
  </si>
  <si>
    <t>NUN COSTUMES &amp; CROSSES</t>
  </si>
  <si>
    <t>199-11-6399.7P-001-911001</t>
  </si>
  <si>
    <t>SHARPIE MARKERS</t>
  </si>
  <si>
    <t>LIFE SCIENCE SUPPLIES</t>
  </si>
  <si>
    <t>WASHABLE BROAD MARKERS</t>
  </si>
  <si>
    <t>THE HATE U GIVE</t>
  </si>
  <si>
    <t>NIGHT NIGHT</t>
  </si>
  <si>
    <t>40" LED TV &amp; WALL MOUNT</t>
  </si>
  <si>
    <t>STRAD VIOLIN MODEL</t>
  </si>
  <si>
    <t>ARBOR SCIENTIFIC</t>
  </si>
  <si>
    <t xml:space="preserve">ROTATIONAL INERTIA </t>
  </si>
  <si>
    <t>PHYSIC SUPPLIES</t>
  </si>
  <si>
    <t>IRRIGATION PRIME LINE</t>
  </si>
  <si>
    <t>CNA STATE EXAM</t>
  </si>
  <si>
    <t>SSL EDUPHORIA SERVER</t>
  </si>
  <si>
    <t>METAL WREATH RINGS</t>
  </si>
  <si>
    <t>11/28/18 &amp; 12/13/18</t>
  </si>
  <si>
    <t xml:space="preserve">TFA TOURNEY @ BANQUETE </t>
  </si>
  <si>
    <t>A WINTER CONCERT 12/11/18</t>
  </si>
  <si>
    <t>199-11-6399.8J-001-911001</t>
  </si>
  <si>
    <t>PE EQUIPMENT</t>
  </si>
  <si>
    <t>STRAIGHT UP &amp; MARAUDER</t>
  </si>
  <si>
    <t xml:space="preserve">JAN 2019 RETAINER </t>
  </si>
  <si>
    <t xml:space="preserve">SWITCH, KNIFE, PASTIC </t>
  </si>
  <si>
    <t>11/21/18-12/26/18</t>
  </si>
  <si>
    <t>BUS BATTERIES</t>
  </si>
  <si>
    <t>BUS BATTERY</t>
  </si>
  <si>
    <t xml:space="preserve">DUAL BEND WIRLESS </t>
  </si>
  <si>
    <t>NETWORK ADAPTER</t>
  </si>
  <si>
    <t>IOGEAR AR WIRLESS PC KIT</t>
  </si>
  <si>
    <t>12/6/18 SERVICE</t>
  </si>
  <si>
    <t>12/13/18 SERVICE</t>
  </si>
  <si>
    <t>12/20/18 SERVICE</t>
  </si>
  <si>
    <t>12/27/18 SERVICE</t>
  </si>
  <si>
    <t>JAM PRO SHREDDER</t>
  </si>
  <si>
    <t xml:space="preserve">BUS 43 STOP LIGHT </t>
  </si>
  <si>
    <t>BUS 30 BODY WORK</t>
  </si>
  <si>
    <t>BOX TRUCK KEYS</t>
  </si>
  <si>
    <t xml:space="preserve">TM117 OIL CHANGE &amp; AIR </t>
  </si>
  <si>
    <t xml:space="preserve">RGN CLINIC @ VETERANS </t>
  </si>
  <si>
    <t>TWO WINDOW GLASS</t>
  </si>
  <si>
    <t>JUDGING @ SINTON 1/25/19</t>
  </si>
  <si>
    <t>MED BIPIN &amp; UV</t>
  </si>
  <si>
    <t>OD STD USED PIPE</t>
  </si>
  <si>
    <t>GABRILLO, AUSTIN</t>
  </si>
  <si>
    <t>OVERSIZED LEG IRONS</t>
  </si>
  <si>
    <t>199-36-6412.09-001-923574</t>
  </si>
  <si>
    <t>BOWLING @ AUSTIN JAN 31-</t>
  </si>
  <si>
    <t>GARZA, HUNTER WOLF</t>
  </si>
  <si>
    <t>GOPHER SPORT</t>
  </si>
  <si>
    <t>PE SUPPLIES</t>
  </si>
  <si>
    <t>GRAF, GREG</t>
  </si>
  <si>
    <t>GUTIERREZ, VIOLA</t>
  </si>
  <si>
    <t>HAGARTY, SCOTT</t>
  </si>
  <si>
    <t>HARPER, JOSH</t>
  </si>
  <si>
    <t>199-11-6249.7E-001-911031</t>
  </si>
  <si>
    <t>PIANO TUNING</t>
  </si>
  <si>
    <t>MOP DUSTERS</t>
  </si>
  <si>
    <t>199-36-6499.7C-001-999001</t>
  </si>
  <si>
    <t>CHEER AWARDS</t>
  </si>
  <si>
    <t>HOLBEIN, AUGUSTUS</t>
  </si>
  <si>
    <t>POINSETTIAS</t>
  </si>
  <si>
    <t>11/12/18-12/13/18 AG BARN</t>
  </si>
  <si>
    <t xml:space="preserve">HYATT PLACE </t>
  </si>
  <si>
    <t xml:space="preserve">INDUSTRIAL </t>
  </si>
  <si>
    <t>199-23-6649.1T-104-999005</t>
  </si>
  <si>
    <t>MOTOROLA BATTERIES</t>
  </si>
  <si>
    <t>ABC FIRE EXTINGUISHERS</t>
  </si>
  <si>
    <t xml:space="preserve">CABLING FOR WIRELESS </t>
  </si>
  <si>
    <t xml:space="preserve">ACCESS POINT </t>
  </si>
  <si>
    <t>11/27/18 DETECTION SERVICE</t>
  </si>
  <si>
    <t>12/13/18 DETECTION SERVICE</t>
  </si>
  <si>
    <t>JOHNSTONE SUPPLY</t>
  </si>
  <si>
    <t>MOTOR KIT</t>
  </si>
  <si>
    <t>MOTOR, CLAMP METER</t>
  </si>
  <si>
    <t>SALES TAX</t>
  </si>
  <si>
    <t>AG BACKFLOW 11/20/18</t>
  </si>
  <si>
    <t>HS BACKFLOW 11/16/18</t>
  </si>
  <si>
    <t>MS BACKFLOW 11/16/18</t>
  </si>
  <si>
    <t>PRIMRY BACKFLOW 11/16/18</t>
  </si>
  <si>
    <t>INTER BACKFLOW 11/30/18</t>
  </si>
  <si>
    <t xml:space="preserve">HS DOME SPRINKLER </t>
  </si>
  <si>
    <t>AG FIRE SPRINKLER 11/19/18</t>
  </si>
  <si>
    <t>PRIMRY BACKFLOW REPAIR</t>
  </si>
  <si>
    <t>1/1/19-1/31/19 DCA RECORD</t>
  </si>
  <si>
    <t>VOID-ERROR</t>
  </si>
  <si>
    <t>1/1/19-1/31/19 LESSEE</t>
  </si>
  <si>
    <t>LEDBETTER, RONALD S JR.</t>
  </si>
  <si>
    <t>ELECTRIC ELEMENT</t>
  </si>
  <si>
    <t>GREEN FOAMING CLEANSER</t>
  </si>
  <si>
    <t>MCCLUNG, JAMES MATTHEW</t>
  </si>
  <si>
    <t xml:space="preserve">HS FIELD HSE SYSTEM </t>
  </si>
  <si>
    <t>MS ROOM 206 INSULATION</t>
  </si>
  <si>
    <t>199-51-6249.M8-936-999C81</t>
  </si>
  <si>
    <t xml:space="preserve">MS CATETERIA RTU109 </t>
  </si>
  <si>
    <t>MORALES, RAIMUNDO J.</t>
  </si>
  <si>
    <t>NASCO</t>
  </si>
  <si>
    <t>PIGS 13-16"</t>
  </si>
  <si>
    <t>NASSP/NHS/NJHS</t>
  </si>
  <si>
    <t>199-36-6495.8E-001-999001</t>
  </si>
  <si>
    <t>3/31/19-3/31/20 A BARTOSH</t>
  </si>
  <si>
    <t>199-11-6339.GT-101-921021</t>
  </si>
  <si>
    <t>NNAT2 BK MS LEVEL A PKG</t>
  </si>
  <si>
    <t>TERRACAIR 55 GAL DRUM</t>
  </si>
  <si>
    <t>PAIZ, MATTHEW E.</t>
  </si>
  <si>
    <t>PEOPLES EDUCATION INC.</t>
  </si>
  <si>
    <t>199-11-6399.78-041-911003</t>
  </si>
  <si>
    <t>STAAR READING DELUXE</t>
  </si>
  <si>
    <t>PINSON, DONALD LYNN, JR.</t>
  </si>
  <si>
    <t xml:space="preserve">SMARTLINK SHIPPING &amp; </t>
  </si>
  <si>
    <t>VETERANS LUNCH 11/12/18</t>
  </si>
  <si>
    <t xml:space="preserve">TECHNOLOGY MEETING </t>
  </si>
  <si>
    <t>SALAZAR, ANTHONY A.</t>
  </si>
  <si>
    <t>SAMUEL FRENCH, INC.</t>
  </si>
  <si>
    <t>ACTING EDITION</t>
  </si>
  <si>
    <t xml:space="preserve">SCHOOL HEALTH </t>
  </si>
  <si>
    <t xml:space="preserve">STRIPS FABRIC FLEX &amp; </t>
  </si>
  <si>
    <t>STRIPS FABRIC FLEX</t>
  </si>
  <si>
    <t>SCIENCE SUPPLIES</t>
  </si>
  <si>
    <t xml:space="preserve">SAFETY GLASSES &amp; LATEX </t>
  </si>
  <si>
    <t>199-11-6399.76-041-911003</t>
  </si>
  <si>
    <t>PENCILS &amp; SHARPENERS</t>
  </si>
  <si>
    <t>SIPES, DAN THOMAS</t>
  </si>
  <si>
    <t>SIPES, DIANA</t>
  </si>
  <si>
    <t>SISAUYHOAT, NEIL</t>
  </si>
  <si>
    <t>YAMAHA BARITONE 375871</t>
  </si>
  <si>
    <t>INSTRUMENT SUPPLIES</t>
  </si>
  <si>
    <t>TM109 FLAT REPAIR</t>
  </si>
  <si>
    <t>TM116 FLAT REPAIR</t>
  </si>
  <si>
    <t>UTILITY TRAILER NEW TIRES</t>
  </si>
  <si>
    <t>SPECIAL OLYMPICS TEXAS</t>
  </si>
  <si>
    <t>FUTURA 2000</t>
  </si>
  <si>
    <t>THORNTON, MARY L</t>
  </si>
  <si>
    <t>TKO SECURITY, LLC</t>
  </si>
  <si>
    <t>TEST CARD READER PROXY</t>
  </si>
  <si>
    <t>FENCE BUILDING SUPPLIES</t>
  </si>
  <si>
    <t xml:space="preserve">CHEMISTRY REVIEWS </t>
  </si>
  <si>
    <t>STUDENT FLYERS</t>
  </si>
  <si>
    <t>PROGRAMS</t>
  </si>
  <si>
    <t>COMIC CON FLYERS</t>
  </si>
  <si>
    <t>DISCIPLINE PLACEMENT NCR</t>
  </si>
  <si>
    <t>PROFILE LANGUAGE FORMS</t>
  </si>
  <si>
    <t>199-11-6395.45-104-911005</t>
  </si>
  <si>
    <t>FRIDAY PACKETS</t>
  </si>
  <si>
    <t>ENVELOPES</t>
  </si>
  <si>
    <t>CAREER DAY FORMS</t>
  </si>
  <si>
    <t>199-41-6395.10-701-999092</t>
  </si>
  <si>
    <t xml:space="preserve">VOLLEYBALL CONGRATS </t>
  </si>
  <si>
    <t>CHRISTMAS CARDS</t>
  </si>
  <si>
    <t>PAYROLL CHANGE FORMS</t>
  </si>
  <si>
    <t>199-41-6395.10-735-999096</t>
  </si>
  <si>
    <t>FOUNDATION STICKERS</t>
  </si>
  <si>
    <t>VANZANDT, DEBBIE</t>
  </si>
  <si>
    <t>STAFF MEETING 11/16/18</t>
  </si>
  <si>
    <t>TRAINING 12/17/18</t>
  </si>
  <si>
    <t>199-41-6211.10-726-999091</t>
  </si>
  <si>
    <t>12/7/18-12/15/18</t>
  </si>
  <si>
    <t>12/3/18-12/13/18</t>
  </si>
  <si>
    <t>AMERICAN BANK CENTER</t>
  </si>
  <si>
    <t>199-11-6268.7Q-001-911001</t>
  </si>
  <si>
    <t>GRADUATION @ ABC 5/17/19</t>
  </si>
  <si>
    <t>1/7/19-1/11/19</t>
  </si>
  <si>
    <t xml:space="preserve">TRANS JAN 2019 90 DAY </t>
  </si>
  <si>
    <t xml:space="preserve">MAINT JAN 2019 90 DAY </t>
  </si>
  <si>
    <t>ACC JAN 2019 90 DAY FILTER</t>
  </si>
  <si>
    <t>AGUILAR, AMANDA</t>
  </si>
  <si>
    <t>199-13-6499.04-101-911023</t>
  </si>
  <si>
    <t xml:space="preserve">TDLR HEALTH </t>
  </si>
  <si>
    <t>AGUIRRE, VANESSA</t>
  </si>
  <si>
    <t>ASHA MEMBERSHIP DUES</t>
  </si>
  <si>
    <t>TESTING PENCILS</t>
  </si>
  <si>
    <t>WALL CLOCKS</t>
  </si>
  <si>
    <t>199-11-6399.H2-001-911037</t>
  </si>
  <si>
    <t xml:space="preserve">ROLLOUT WASTE </t>
  </si>
  <si>
    <t>199-12-6399.7U-101-911004</t>
  </si>
  <si>
    <t>VINTAGE LAMP FLOOR</t>
  </si>
  <si>
    <t>AMPLIFIED IT, LLC</t>
  </si>
  <si>
    <t xml:space="preserve">BOOTCAMP @ SPRINGS JAN </t>
  </si>
  <si>
    <t>1/15/19-2/15/19</t>
  </si>
  <si>
    <t>199-11-6339.V8-001-922022</t>
  </si>
  <si>
    <t xml:space="preserve">HUNTERS EDUCATION </t>
  </si>
  <si>
    <t>199-11-6399.8E-001-911001</t>
  </si>
  <si>
    <t xml:space="preserve">NHS MEMBERSHIP PINS </t>
  </si>
  <si>
    <t>AEROSCIENCE PARTS</t>
  </si>
  <si>
    <t>DEL MAR MEETING 1/14/19</t>
  </si>
  <si>
    <t>12/17/18 &amp; 12/18/18</t>
  </si>
  <si>
    <t>199-41-6411.00-932-999084</t>
  </si>
  <si>
    <t>ACC STUDENTS LUNCH 1/8/19</t>
  </si>
  <si>
    <t xml:space="preserve">TRAILER LIGHT, SUREBILT </t>
  </si>
  <si>
    <t>STAFF LUNCHEON 12/17/18</t>
  </si>
  <si>
    <t>PRINCE OF THE ELVES</t>
  </si>
  <si>
    <t>199-36-6399.3A-001-991274</t>
  </si>
  <si>
    <t>NIKE THERMA HOODIES</t>
  </si>
  <si>
    <t>GENERAL CHARGES 12/13/18</t>
  </si>
  <si>
    <t>DEC 2018 PT SERVICES</t>
  </si>
  <si>
    <t xml:space="preserve">FORD R/L BASE &amp; VINYL </t>
  </si>
  <si>
    <t>TM123 INSTALL STEPS</t>
  </si>
  <si>
    <t>MS CONNECTIVITY PS</t>
  </si>
  <si>
    <t>DEC 2018 OT SERVICES</t>
  </si>
  <si>
    <t>COVARRUBIAZ, BELINDA</t>
  </si>
  <si>
    <t xml:space="preserve">PRACTICE MEET @ARANSAS </t>
  </si>
  <si>
    <t>WELDING 1 TUITION 33</t>
  </si>
  <si>
    <t xml:space="preserve">BALL VALVE &amp; WATER METER </t>
  </si>
  <si>
    <t xml:space="preserve">6 MONTH WATER FILTER </t>
  </si>
  <si>
    <t>DE LA ROSA, ANTONIO M.</t>
  </si>
  <si>
    <t>199-36-6412.7B-041-999136</t>
  </si>
  <si>
    <t>MARIACHI @ LAREDO FEB 1-2</t>
  </si>
  <si>
    <t>199-23-6649.10-104-999005</t>
  </si>
  <si>
    <t>OPTIPLEX 7060 MINI TOWER</t>
  </si>
  <si>
    <t>DOUBLETREE HOTEL</t>
  </si>
  <si>
    <t>DOUGLAS BIRCHER, PLLC</t>
  </si>
  <si>
    <t>NOV 2018 LEGAL SERVICES</t>
  </si>
  <si>
    <t xml:space="preserve">DRAMATISTS PLAY SERVICE </t>
  </si>
  <si>
    <t>ACTING EDITIONS</t>
  </si>
  <si>
    <t xml:space="preserve">EBSCO INFORMATION </t>
  </si>
  <si>
    <t>199-12-6329.7U-001-911001</t>
  </si>
  <si>
    <t>MAGAZINE SUBSCRITIONS</t>
  </si>
  <si>
    <t>WORKSHOP 1481199 12/8/18</t>
  </si>
  <si>
    <t>WORKSHOP 1481217 1/12/19</t>
  </si>
  <si>
    <t xml:space="preserve">MEAT JUDGING @LA VERNIA </t>
  </si>
  <si>
    <t>JUDGING SCANTRONS</t>
  </si>
  <si>
    <t>FAST FLEET SERVICE</t>
  </si>
  <si>
    <t>JOHN DEER PUMP MOTOR</t>
  </si>
  <si>
    <t>SULFURIC ACID REAGENT</t>
  </si>
  <si>
    <t>199-11-6399.NC-001-911001</t>
  </si>
  <si>
    <t>CHEMISTRY SUPPLIES</t>
  </si>
  <si>
    <t>GCR TIRE CENTER</t>
  </si>
  <si>
    <t xml:space="preserve">BUS 47 11R22 5/14 FS561 </t>
  </si>
  <si>
    <t xml:space="preserve">BUS 23 11R22 5/14 FS561 </t>
  </si>
  <si>
    <t xml:space="preserve">GLOBE TICKET AND LABEL </t>
  </si>
  <si>
    <t>199-41-6649.00-726-999091</t>
  </si>
  <si>
    <t>CARRY CASH BOXES</t>
  </si>
  <si>
    <t>GONZALES, ADINA G.</t>
  </si>
  <si>
    <t xml:space="preserve">FCCLA REGOPM @ ABC </t>
  </si>
  <si>
    <t xml:space="preserve">GEMEINHARDT PICCOLO </t>
  </si>
  <si>
    <t xml:space="preserve">EASTMAN SOUSAPHONE </t>
  </si>
  <si>
    <t>KING SOUSAPHONE 883512</t>
  </si>
  <si>
    <t xml:space="preserve">BACH MARCHING BARITONE </t>
  </si>
  <si>
    <t xml:space="preserve">MARCHING MELLOPHONE </t>
  </si>
  <si>
    <t>KING BARITONE 903543</t>
  </si>
  <si>
    <t xml:space="preserve">HOLIDAY INN EXPRESS </t>
  </si>
  <si>
    <t>199-11-6411.V8-001-922022</t>
  </si>
  <si>
    <t xml:space="preserve">LIVESTOCK SHOW @ SA FEB </t>
  </si>
  <si>
    <t>12/13/18-1/16/19 AG BARN</t>
  </si>
  <si>
    <t>11/9/18-12/28/18</t>
  </si>
  <si>
    <t xml:space="preserve">HOMECOMING MEETING </t>
  </si>
  <si>
    <t xml:space="preserve">HONOR ROLL &amp; ATTENDANCE </t>
  </si>
  <si>
    <t>JAZZ MUSIC</t>
  </si>
  <si>
    <t>BOOMWHACKERS SETS</t>
  </si>
  <si>
    <t xml:space="preserve">WE NEED A LITTLE </t>
  </si>
  <si>
    <t>NEEDLES</t>
  </si>
  <si>
    <t>1/15/19-2/14/19 LESSEE</t>
  </si>
  <si>
    <t>KOHLER ELOGATED BOWL</t>
  </si>
  <si>
    <t>URINAL PISTON ASSEMBLY</t>
  </si>
  <si>
    <t>12/28/18 MEDICAID CLAIMS</t>
  </si>
  <si>
    <t>MORALES, RAFAEL JOSE JR</t>
  </si>
  <si>
    <t>CLINIC @ VETERANS FEB 1-2</t>
  </si>
  <si>
    <t>SCIENCE FAIR SUPPLIES</t>
  </si>
  <si>
    <t xml:space="preserve">THE AUDITION BY DON </t>
  </si>
  <si>
    <t>PORT ARANSAS ISD</t>
  </si>
  <si>
    <t xml:space="preserve">AUTO PROPERTY </t>
  </si>
  <si>
    <t>SPEECH DEBATE SUPPLIES</t>
  </si>
  <si>
    <t>199-33-6399.8F-104-999005</t>
  </si>
  <si>
    <t xml:space="preserve">SOCIAL STUDIES SCHOOL </t>
  </si>
  <si>
    <t>SOCIAL STUDIES SUPPLIES</t>
  </si>
  <si>
    <t>ROOTS DVD</t>
  </si>
  <si>
    <t>SYLVIA'S PASTRIES</t>
  </si>
  <si>
    <t xml:space="preserve">INTVENTIONS READNG/MATH </t>
  </si>
  <si>
    <t>7/1/18-6/30/19</t>
  </si>
  <si>
    <t xml:space="preserve">REGION AUDITIONS @ GP </t>
  </si>
  <si>
    <t>ASL PROGRAM</t>
  </si>
  <si>
    <t>SUB FORMS</t>
  </si>
  <si>
    <t>ENGLISH 2 BENCHMARK</t>
  </si>
  <si>
    <t>CODE OF CODUCT</t>
  </si>
  <si>
    <t>MONDAY PACKETS</t>
  </si>
  <si>
    <t xml:space="preserve">WINTER CONCERT </t>
  </si>
  <si>
    <t>COURSE CATALOGS</t>
  </si>
  <si>
    <t>TM CARDS</t>
  </si>
  <si>
    <t>STAFF LUNCHEON</t>
  </si>
  <si>
    <t>PRINCIPALS MEETIN 1/8/19</t>
  </si>
  <si>
    <t>1/15/19-2/14/19</t>
  </si>
  <si>
    <t xml:space="preserve">BB&amp;T GOVERNMENTAL </t>
  </si>
  <si>
    <t>199-71-6513.14-999-999075</t>
  </si>
  <si>
    <t xml:space="preserve">SCH IMPRVMNTS LIMITED </t>
  </si>
  <si>
    <t>DISTRICT WIDE EXPENSES</t>
  </si>
  <si>
    <t>199-71-6523.14-999-999075</t>
  </si>
  <si>
    <t>199-11-6649.11-001-911001</t>
  </si>
  <si>
    <t>EPSON PROJECTORS</t>
  </si>
  <si>
    <t>AVER DOCUMENT CAMERAS</t>
  </si>
  <si>
    <t>BATON HANDLE POM POMS</t>
  </si>
  <si>
    <t>HS WATER 12/17/18-1/16/19</t>
  </si>
  <si>
    <t>ACC WATER 12/14/18-1/15/19</t>
  </si>
  <si>
    <t>MS WATER 12/14/18-1/15/19</t>
  </si>
  <si>
    <t>PRIMRY WATER 12/14/18-</t>
  </si>
  <si>
    <t>INTER WATER 12/14/18-</t>
  </si>
  <si>
    <t>ADMIN WATER 12/14/18-</t>
  </si>
  <si>
    <t>MAINT WATER 12/14/18-</t>
  </si>
  <si>
    <t>AG CPX 12/17/18-1/16/19</t>
  </si>
  <si>
    <t>INTER IRR 12/14/18-1/15/19</t>
  </si>
  <si>
    <t>FB FLD WATER 12/17/18-</t>
  </si>
  <si>
    <t>MS GAS 12/14/18-1/15/19</t>
  </si>
  <si>
    <t>PRIMRY GAS 12/14/18-1/15/19</t>
  </si>
  <si>
    <t>INTER GAS 12/14/18-1/15/19</t>
  </si>
  <si>
    <t>DOME GAS 12/17/18-1/16/19</t>
  </si>
  <si>
    <t>DAVILA, LAURA YVONNE</t>
  </si>
  <si>
    <t>199-21-6411.10-871-999194</t>
  </si>
  <si>
    <t>8/16/18-12/12/18 MILEAGE</t>
  </si>
  <si>
    <t>DUNLAP, BARBARA</t>
  </si>
  <si>
    <t>199-36-6411.7A-001-999101</t>
  </si>
  <si>
    <t>VASE @ GP 2/23/19</t>
  </si>
  <si>
    <t>199-36-6412.7A-001-999101</t>
  </si>
  <si>
    <t>199-13-6411.8C-104-911005</t>
  </si>
  <si>
    <t>GRAND HYATT SAN ANTONIO</t>
  </si>
  <si>
    <t>GRIFFIN, KELLIE</t>
  </si>
  <si>
    <t>TOUR GUIDE @ SA 2/13/19</t>
  </si>
  <si>
    <t xml:space="preserve">TFA TOURNAMENT @ RAY </t>
  </si>
  <si>
    <t xml:space="preserve">12/1/18-12/31/18 MAINT </t>
  </si>
  <si>
    <t>LOZANO, BRENDA</t>
  </si>
  <si>
    <t>199-31-6411.00-875-923123</t>
  </si>
  <si>
    <t>8/14/18-11/30/18 MILEAGE</t>
  </si>
  <si>
    <t>MS CAFETERIA LENNOX UNIT</t>
  </si>
  <si>
    <t xml:space="preserve">INTERMEDIATE AAON ROOF </t>
  </si>
  <si>
    <t>BAND UNIFORMS</t>
  </si>
  <si>
    <t>FILE CABINET KEY</t>
  </si>
  <si>
    <t>AP SUPREME COURT CASES</t>
  </si>
  <si>
    <t xml:space="preserve">FOOD CERTIFICATES </t>
  </si>
  <si>
    <t>A FAREWELL TO ARMS</t>
  </si>
  <si>
    <t>POWELL &amp; LEON L.L.P.</t>
  </si>
  <si>
    <t>DEC 2018 LEGAL SERVICES</t>
  </si>
  <si>
    <t xml:space="preserve">SAN ANTONIO MARRIOTT </t>
  </si>
  <si>
    <t>TAEA</t>
  </si>
  <si>
    <t>199-36-6412.7A-001-999001</t>
  </si>
  <si>
    <t>TEXAS DECA</t>
  </si>
  <si>
    <t xml:space="preserve">DECA STATE @ DALLAS FEB </t>
  </si>
  <si>
    <t>199-36-6412.VL-001-922574</t>
  </si>
  <si>
    <t>1/1/19 SPRAY APPLICATION</t>
  </si>
  <si>
    <t>199-11-6249.10-001-911001</t>
  </si>
  <si>
    <t>CLEAN DRUM SCREEN</t>
  </si>
  <si>
    <t xml:space="preserve">ACAD REGION @ TAMUCC </t>
  </si>
  <si>
    <t>1/22/19-1/25/19</t>
  </si>
  <si>
    <t>ALLISON TRANS TECH, LLC</t>
  </si>
  <si>
    <t>BUS 55 OIL CHANGE</t>
  </si>
  <si>
    <t>BUS 57 OIL CHANGE</t>
  </si>
  <si>
    <t>BUS 56 OIL CHANGE</t>
  </si>
  <si>
    <t>BUS 33 OIL CHANGE</t>
  </si>
  <si>
    <t>BUS 23 OIL CHANGE</t>
  </si>
  <si>
    <t>BUS 31 OIL CHANGE</t>
  </si>
  <si>
    <t>BUS 32 OIL CHANGE</t>
  </si>
  <si>
    <t>BUS 40 OIL CHANGE</t>
  </si>
  <si>
    <t>BUS 21 OIL CHANGE</t>
  </si>
  <si>
    <t>BUS 47 OIL CHANGE</t>
  </si>
  <si>
    <t>BUS 41 OIL CHANGE</t>
  </si>
  <si>
    <t>BUS 49 OIL CHANGE</t>
  </si>
  <si>
    <t>BUS 45 OIL CHANGE</t>
  </si>
  <si>
    <t>BUS 48 OIL CHANGE</t>
  </si>
  <si>
    <t>BUS 54 OIL CHANGE</t>
  </si>
  <si>
    <t>BUS 46 OIL CHANGE</t>
  </si>
  <si>
    <t>BUS 53 OIL CHANGE</t>
  </si>
  <si>
    <t>BUS 50 OIL CHANGE</t>
  </si>
  <si>
    <t>BUS 52 OIL CHANGE</t>
  </si>
  <si>
    <t>BUS 9 OIL CHANGE</t>
  </si>
  <si>
    <t>BUS 10 OIL CHANGE</t>
  </si>
  <si>
    <t>BUS 11 OIL CHANGE</t>
  </si>
  <si>
    <t>BUS 30 OIL CHANGE</t>
  </si>
  <si>
    <t>BUS 25 OIL CHANGE</t>
  </si>
  <si>
    <t>BUS 4 OIL CHANGE</t>
  </si>
  <si>
    <t>BUS 6 OIL CHANGE</t>
  </si>
  <si>
    <t>BUS 43 OIL CHANGE</t>
  </si>
  <si>
    <t>BUS 14 OIL CHANGE</t>
  </si>
  <si>
    <t>BUS 42 OIL CHANGEserv.</t>
  </si>
  <si>
    <t>BUS 19 OIL CHANGE</t>
  </si>
  <si>
    <t>BUS 28 OIL CHANGE</t>
  </si>
  <si>
    <t>BUS 44 OIL CHANGE</t>
  </si>
  <si>
    <t>HOLE PUNCHERS</t>
  </si>
  <si>
    <t xml:space="preserve">QUARTET GLASS </t>
  </si>
  <si>
    <t xml:space="preserve">EXTENSION REPEATER </t>
  </si>
  <si>
    <t xml:space="preserve">DICTIONARIES, SPANISH </t>
  </si>
  <si>
    <t>DICTIONARIES</t>
  </si>
  <si>
    <t>ITUNE CARD &amp; GIFT CARD</t>
  </si>
  <si>
    <t>WHITE SCENTLESS CANDLES</t>
  </si>
  <si>
    <t>AP PHYSICS BARRON &amp; APOS</t>
  </si>
  <si>
    <t xml:space="preserve">HEAT TRANSFER &amp; VINYL </t>
  </si>
  <si>
    <t>WASTE CONTAINER</t>
  </si>
  <si>
    <t>199-11-6399.V8-041-911003</t>
  </si>
  <si>
    <t xml:space="preserve">LED LIGHT EGG CANDLER </t>
  </si>
  <si>
    <t>PAPER EDGE SISSORS</t>
  </si>
  <si>
    <t>UIL OAP PROPS &amp; SUPPLIES</t>
  </si>
  <si>
    <t>ROTARY DIAL PHONE</t>
  </si>
  <si>
    <t>HOSA @ MCALLEN FEB 15-16</t>
  </si>
  <si>
    <t xml:space="preserve">BUBBLERS, NOZZLES, </t>
  </si>
  <si>
    <t>BIO CORPORATION</t>
  </si>
  <si>
    <t>PLAIN RAT &amp; FETAL PIG</t>
  </si>
  <si>
    <t>SINGLE FETAL PIG</t>
  </si>
  <si>
    <t xml:space="preserve">FEB 2019 RETAINER </t>
  </si>
  <si>
    <t xml:space="preserve">BUSINESS PROFESSIONALS </t>
  </si>
  <si>
    <t>BPA STATE @ DALLAS MAR 6-</t>
  </si>
  <si>
    <t>199-36-6411.VB-001-922022</t>
  </si>
  <si>
    <t>12/13/18-1/16/19 DOME</t>
  </si>
  <si>
    <t>12/26/18-1/25/19 TENNIS</t>
  </si>
  <si>
    <t>BUS 48 WIPER SWITCH</t>
  </si>
  <si>
    <t>BUS 30 STOP ARM/LED LIGHT</t>
  </si>
  <si>
    <t xml:space="preserve">BUS 42 DOOR </t>
  </si>
  <si>
    <t>MISCHARGED CPU FEE</t>
  </si>
  <si>
    <t xml:space="preserve">PRACTICE MEET @ FBLUFF </t>
  </si>
  <si>
    <t>EPIC PROPORTIONS ACTING</t>
  </si>
  <si>
    <t>EMBASSY SUITES BY HILTON</t>
  </si>
  <si>
    <t xml:space="preserve">COFFEE, KCUPS &amp; </t>
  </si>
  <si>
    <t>LIGHT BLUBS</t>
  </si>
  <si>
    <t xml:space="preserve">FAIRFIELD INN &amp; SUITES </t>
  </si>
  <si>
    <t xml:space="preserve">EXERCISE @ HUMBLE FEB </t>
  </si>
  <si>
    <t>paid with bank of am card</t>
  </si>
  <si>
    <t xml:space="preserve">ENVELOPES &amp; WINDOW </t>
  </si>
  <si>
    <t>TM112 OIL CHANGE</t>
  </si>
  <si>
    <t>TM110 OIL CHANGE</t>
  </si>
  <si>
    <t>TM123 OIL CHANGE</t>
  </si>
  <si>
    <t>TM113 OIL CHANGE</t>
  </si>
  <si>
    <t>TM122 OIL CHANGE</t>
  </si>
  <si>
    <t>TM114 OIL CHANGE</t>
  </si>
  <si>
    <t>TM121 OIL CHANGE</t>
  </si>
  <si>
    <t>TM109 OIL CHANGE</t>
  </si>
  <si>
    <t>TM111 OIL CHANGE</t>
  </si>
  <si>
    <t>TM129 OIL CHANGE</t>
  </si>
  <si>
    <t>TM124 OIL CHANGE</t>
  </si>
  <si>
    <t>TM118 OIL CHANGE</t>
  </si>
  <si>
    <t>TM126 OIL CHANGE</t>
  </si>
  <si>
    <t>TM119 OIL CHANGE</t>
  </si>
  <si>
    <t>TM127 OIL CHANGE</t>
  </si>
  <si>
    <t>TM130 OIL CHANGE</t>
  </si>
  <si>
    <t>TM128 OIL CHANGE</t>
  </si>
  <si>
    <t>TM1125 OIL CHANGE</t>
  </si>
  <si>
    <t>TM120 OIL CHANGE</t>
  </si>
  <si>
    <t>TM116 OIL CHANGE</t>
  </si>
  <si>
    <t>TM125 OIL CHANGE</t>
  </si>
  <si>
    <t xml:space="preserve">TM109 STARTER &amp; MOTOR </t>
  </si>
  <si>
    <t>TM112 BATTERY INTERSTATE</t>
  </si>
  <si>
    <t>BUS 40 FAN BELT</t>
  </si>
  <si>
    <t xml:space="preserve">BUS 41 POWER STEERING </t>
  </si>
  <si>
    <t>BUS 46 FITTING AIR TANK</t>
  </si>
  <si>
    <t xml:space="preserve">FOLLETT HIGHER </t>
  </si>
  <si>
    <t>199-11-6321.DC-001-931034</t>
  </si>
  <si>
    <t xml:space="preserve">PRINCIPALS OF </t>
  </si>
  <si>
    <t xml:space="preserve">AMERICAN GOV &amp; </t>
  </si>
  <si>
    <t>DUAL CREDIT TEXTBOOKS</t>
  </si>
  <si>
    <t>BLACK BASIC TEES</t>
  </si>
  <si>
    <t>CHOIR ACCOMPANIST</t>
  </si>
  <si>
    <t xml:space="preserve">CHRISTMAS CONCERT </t>
  </si>
  <si>
    <t>SOIL LAB SUPPLIES</t>
  </si>
  <si>
    <t xml:space="preserve">CORRECT SALES TAXES </t>
  </si>
  <si>
    <t xml:space="preserve">INTERVENTIONS TRAINING </t>
  </si>
  <si>
    <t>SBDM MEETING 1/29/19</t>
  </si>
  <si>
    <t>199-36-6499.8E-001-999001</t>
  </si>
  <si>
    <t>NHS INDUCTION 1/24/19</t>
  </si>
  <si>
    <t>PERSONAL MEETING 1/15/19</t>
  </si>
  <si>
    <t xml:space="preserve">HERITAGE FOOD SERVICE </t>
  </si>
  <si>
    <t>TOGGLE SWITCH</t>
  </si>
  <si>
    <t>AIR GASKET KIT</t>
  </si>
  <si>
    <t>MEDIUM GLOVES</t>
  </si>
  <si>
    <t>SQUEEGEE &amp; DUSTERS</t>
  </si>
  <si>
    <t xml:space="preserve">ASSEMBLY HOSE &amp; POWER </t>
  </si>
  <si>
    <t>PAINT BRUSH &amp; PAINT</t>
  </si>
  <si>
    <t>QUIKRETE EPOXY</t>
  </si>
  <si>
    <t>HINGE</t>
  </si>
  <si>
    <t>EXPANDABLE FILES</t>
  </si>
  <si>
    <t>TEACHABLE MODULATIONS</t>
  </si>
  <si>
    <t>BANDS MUSIC</t>
  </si>
  <si>
    <t xml:space="preserve">JURASSIC PARK &amp; LINCOLN </t>
  </si>
  <si>
    <t>TWO EUROPEAN MADRIGALS</t>
  </si>
  <si>
    <t xml:space="preserve">SONG OF JOHN DUKE LOW </t>
  </si>
  <si>
    <t>SONGS FOR VOICE &amp; PIANO</t>
  </si>
  <si>
    <t>BLOWER MOTOR &amp; SWITCH</t>
  </si>
  <si>
    <t xml:space="preserve">ROTARY WASTE TWIST </t>
  </si>
  <si>
    <t>FLANGE, STRAINER WRENCH</t>
  </si>
  <si>
    <t>MS LON CARD GYM UNIT</t>
  </si>
  <si>
    <t>MILLER, KRISTIN</t>
  </si>
  <si>
    <t>8/15/18-12/11/18 MILEAGE</t>
  </si>
  <si>
    <t>OCOOCH HARDWOODS</t>
  </si>
  <si>
    <t>POPLAR WOOD</t>
  </si>
  <si>
    <t>PETROLEUM SOLUTIONS INC</t>
  </si>
  <si>
    <t>FUEL PUMP REPAIRS</t>
  </si>
  <si>
    <t>1/30/19 POSTAGE REFILL</t>
  </si>
  <si>
    <t>2/1/19-2/28/19</t>
  </si>
  <si>
    <t>199-51-6259.10-936-999081</t>
  </si>
  <si>
    <t>BULK P/U 1/7/19 &amp; 1/9/19</t>
  </si>
  <si>
    <t>LEND ME A TENOR MAR 21-</t>
  </si>
  <si>
    <t xml:space="preserve">LEND ME A TENOR ACTING </t>
  </si>
  <si>
    <t>TM119 FLAT REPAIR</t>
  </si>
  <si>
    <t>12/27/18-1/26/19</t>
  </si>
  <si>
    <t>STEAGALL, ANGELA</t>
  </si>
  <si>
    <t>199-36-6411.09-041-999003</t>
  </si>
  <si>
    <t>UIL DISTRICT @ GP 2/9/19</t>
  </si>
  <si>
    <t>TAMEZ, LILIA</t>
  </si>
  <si>
    <t>PRINCIPALS MEETIN 11/13/18</t>
  </si>
  <si>
    <t xml:space="preserve">JAZZ FESTIVAL @VICTORIA </t>
  </si>
  <si>
    <t>1/7/19-1/25/19</t>
  </si>
  <si>
    <t>1/28/19-2/1/19</t>
  </si>
  <si>
    <t>ELA SUPPLIES</t>
  </si>
  <si>
    <t>WHITEBORAD MARKERS</t>
  </si>
  <si>
    <t>READING GUIDE STRIPS</t>
  </si>
  <si>
    <t>199-41-6649.10-701-999092</t>
  </si>
  <si>
    <t>CABINET, BOOKCASE, CHAIR</t>
  </si>
  <si>
    <t>GAS FOR BOTTLES</t>
  </si>
  <si>
    <t>A LONG WAY GONE</t>
  </si>
  <si>
    <t xml:space="preserve">ACRYLIC PAINT, BRUSH, </t>
  </si>
  <si>
    <t>199-11-6399.72-001-911001</t>
  </si>
  <si>
    <t xml:space="preserve">CRAYOLA PENCIL </t>
  </si>
  <si>
    <t>BIOLOGY LAB SUPPLIES</t>
  </si>
  <si>
    <t>TM109 @ FIVE POINTS AUTO</t>
  </si>
  <si>
    <t>TRAILER LIGHTING KIT</t>
  </si>
  <si>
    <t>SORENSEN FUEL INJECTOR</t>
  </si>
  <si>
    <t xml:space="preserve">PRACTICE @ CALALLEN FEB </t>
  </si>
  <si>
    <t>FORENSICS SUPPLIES</t>
  </si>
  <si>
    <t>FORENSIC SIMULAT STATION</t>
  </si>
  <si>
    <t xml:space="preserve">FORENSIC  DNA </t>
  </si>
  <si>
    <t>1/3/19 SERVICE</t>
  </si>
  <si>
    <t>1/10/19 SERVICE</t>
  </si>
  <si>
    <t>1/17/19 SERVICE</t>
  </si>
  <si>
    <t>1/24/19 SERVICE</t>
  </si>
  <si>
    <t>1/31/19 SERVICE</t>
  </si>
  <si>
    <t>COLLEGE BOARD, THE</t>
  </si>
  <si>
    <t>199-11-6399.DC-001-931034</t>
  </si>
  <si>
    <t>TSI TEST UNITS</t>
  </si>
  <si>
    <t>JAN 2019 OT SERVICES</t>
  </si>
  <si>
    <t>CORPUS CHRISTI CALLER-</t>
  </si>
  <si>
    <t>199-41-6491.10-939-999087</t>
  </si>
  <si>
    <t>MAINT BIDS 1/9/19 &amp; 1/16/19</t>
  </si>
  <si>
    <t>199-36-6411.7M-041-999574</t>
  </si>
  <si>
    <t xml:space="preserve">UT ON RAMPS @ AUSTIN FEB </t>
  </si>
  <si>
    <t xml:space="preserve">LIVESTOCK @ HOUSTON </t>
  </si>
  <si>
    <t xml:space="preserve">HOTEL DIDN'T ACCEPT </t>
  </si>
  <si>
    <t>199-36-6399.09-041-999003</t>
  </si>
  <si>
    <t>APRIL FISH 2/21/19-3/2/19</t>
  </si>
  <si>
    <t>199-13-6239.01-001-925025</t>
  </si>
  <si>
    <t xml:space="preserve">2018-2019 BILINGUAL/ESL </t>
  </si>
  <si>
    <t>199-13-6239.01-002-925025</t>
  </si>
  <si>
    <t>199-13-6239.01-041-925025</t>
  </si>
  <si>
    <t>199-13-6239.01-101-925025</t>
  </si>
  <si>
    <t>199-13-6239.01-104-925025</t>
  </si>
  <si>
    <t>199-41-6239.11-730-999095</t>
  </si>
  <si>
    <t xml:space="preserve">APPLICATION TRACKING </t>
  </si>
  <si>
    <t>ZEELON VINYL MATERIAL</t>
  </si>
  <si>
    <t>CLEAR MEGATAPE</t>
  </si>
  <si>
    <t>ORAGUARD OVERLAMINATE</t>
  </si>
  <si>
    <t>ORAJET MATTE ADHESVIE</t>
  </si>
  <si>
    <t xml:space="preserve">GOODHEART-WILCOX </t>
  </si>
  <si>
    <t>HYDRAULIC BOOKS &amp; CD</t>
  </si>
  <si>
    <t>199-36-6299.7E-001-999031</t>
  </si>
  <si>
    <t>MARCHING BARITONE 13406</t>
  </si>
  <si>
    <t>MARCHING BARITONE 5641</t>
  </si>
  <si>
    <t>MARCHING BARITONE 15084</t>
  </si>
  <si>
    <t>MARCHING BARITONE 13727</t>
  </si>
  <si>
    <t>MARCHING BARITONE 14256</t>
  </si>
  <si>
    <t>MARCHING BARITONE 13414</t>
  </si>
  <si>
    <t>KING TROMBONE 345997</t>
  </si>
  <si>
    <t>KING TROMBONE 534037</t>
  </si>
  <si>
    <t>SCALE MODELS</t>
  </si>
  <si>
    <t>BOARD RECOGNITION</t>
  </si>
  <si>
    <t>HOELSCHER, GWYNETTA</t>
  </si>
  <si>
    <t>199-11-6412.TA-001-931034</t>
  </si>
  <si>
    <t xml:space="preserve">TACS AREA @ BANQUETE </t>
  </si>
  <si>
    <t>2/1/19-2/28/19 DCA RECORD</t>
  </si>
  <si>
    <t xml:space="preserve">MAIL PLUS OF CORPUS </t>
  </si>
  <si>
    <t xml:space="preserve">2500 GAL UNL 5000 GAL </t>
  </si>
  <si>
    <t>199-11-6499.8M-001-911033</t>
  </si>
  <si>
    <t>ROTC AMI INSPECTION</t>
  </si>
  <si>
    <t>OAP RADIO PROP</t>
  </si>
  <si>
    <t>199-36-6411.7A-001-999001</t>
  </si>
  <si>
    <t xml:space="preserve">CRISELDA SAENZ </t>
  </si>
  <si>
    <t>STAFF MEETING 1/4/19</t>
  </si>
  <si>
    <t xml:space="preserve">TEACHERS TESTING LUNCH </t>
  </si>
  <si>
    <t>PRE AP ENGLISH SUPPLIES</t>
  </si>
  <si>
    <t>PROFORMA</t>
  </si>
  <si>
    <t>A/P LASER CHECKS</t>
  </si>
  <si>
    <t>RIGGS, VANESSA</t>
  </si>
  <si>
    <t>NHS INDUCTION</t>
  </si>
  <si>
    <t>TACS</t>
  </si>
  <si>
    <t>199-41-6411.10-730-999095</t>
  </si>
  <si>
    <t>JOB FAIR @ TAMUCC 4/17/19</t>
  </si>
  <si>
    <t>JOB FAIR @ TAMUK 4/16/19</t>
  </si>
  <si>
    <t>199-11-6399.H1-041-911003</t>
  </si>
  <si>
    <t xml:space="preserve">REGISTRATION, QUIZ, </t>
  </si>
  <si>
    <t>DRILL TEAM FORMS</t>
  </si>
  <si>
    <t>BIOLOGY BENCHMARK</t>
  </si>
  <si>
    <t xml:space="preserve">ENGLISH 1 BENCHMARK </t>
  </si>
  <si>
    <t>SUB REQUEST</t>
  </si>
  <si>
    <t>YEARBOOK SALE FLYERS</t>
  </si>
  <si>
    <t>VARIOUS FORMS</t>
  </si>
  <si>
    <t xml:space="preserve">FOUNDATION PARADE </t>
  </si>
  <si>
    <t xml:space="preserve">CONCERT/SIGHTRDNG @ FB </t>
  </si>
  <si>
    <t>199-00-1415.03-000-900000</t>
  </si>
  <si>
    <t>RETURNED MAIL POSTAGE</t>
  </si>
  <si>
    <t>VOIDED-RE-ISSUED</t>
  </si>
  <si>
    <t>BUS 45 REAR HEATER FUSE</t>
  </si>
  <si>
    <t>BUS 21 BURNT FUSES</t>
  </si>
  <si>
    <t>BUS 6 BROKEN WIRE POWER</t>
  </si>
  <si>
    <t xml:space="preserve">BUS 4 NEW SWITCH EYE </t>
  </si>
  <si>
    <t>BUS 9 HEATER BURNT WIRE</t>
  </si>
  <si>
    <t>BUS 10 BLOWER MOTOR</t>
  </si>
  <si>
    <t>VALVE BOX</t>
  </si>
  <si>
    <t>11/5/18-2/11/19 MILEAGE</t>
  </si>
  <si>
    <t>JAN 2019 PT SERVICES</t>
  </si>
  <si>
    <t xml:space="preserve">COLLIN COUNTY COMMUNITY </t>
  </si>
  <si>
    <t>199-36-6499.H1-001-931034</t>
  </si>
  <si>
    <t xml:space="preserve">STATE ACADEC @ FRISCO </t>
  </si>
  <si>
    <t xml:space="preserve">DISTANCE BROTHERS </t>
  </si>
  <si>
    <t>199-36-6412.8S-001-999574</t>
  </si>
  <si>
    <t xml:space="preserve">TFA STATE @ HOUSTON MAR </t>
  </si>
  <si>
    <t>199-36-6412.H1-001-999574</t>
  </si>
  <si>
    <t>199-36-6412.09-041-999003</t>
  </si>
  <si>
    <t>OAP CLINIC @ TM 3/2/19</t>
  </si>
  <si>
    <t>GEORGE, THE</t>
  </si>
  <si>
    <t xml:space="preserve">TPSA STATE @ BRYAN MAR </t>
  </si>
  <si>
    <t>199-36-6411.VJ-001-922574</t>
  </si>
  <si>
    <t>199-36-6412.VJ-001-922122</t>
  </si>
  <si>
    <t>199-36-6412.VJ-001-922574</t>
  </si>
  <si>
    <t>GROTH, KATY</t>
  </si>
  <si>
    <t>199-36-6299.7C-001-999001</t>
  </si>
  <si>
    <t>CHEER TRYOUTS 3/8/19</t>
  </si>
  <si>
    <t xml:space="preserve">HILTON HOUSTON </t>
  </si>
  <si>
    <t>12/13/18-1/29/19</t>
  </si>
  <si>
    <t>1/16/19-2/14/19 AG BARN</t>
  </si>
  <si>
    <t>2/1/19-2/28/19 LESSEE</t>
  </si>
  <si>
    <t>LITHIA MOTORS INC</t>
  </si>
  <si>
    <t>TM116 REPAIRS &amp; PAINT</t>
  </si>
  <si>
    <t>MAGAZINE SUBSCRIPTIONS</t>
  </si>
  <si>
    <t>MAGAZINES SUBSCRIPTIONS</t>
  </si>
  <si>
    <t>NUECES COUNTY CLERK</t>
  </si>
  <si>
    <t>199-41-6439.10-702-999093</t>
  </si>
  <si>
    <t>11/6/18 GENERAL ELECTIONS</t>
  </si>
  <si>
    <t>ORDWAY, ASHLEY</t>
  </si>
  <si>
    <t>OTTO, ALLISON</t>
  </si>
  <si>
    <t>PALCO SPECIALTIES, INC</t>
  </si>
  <si>
    <t>UIL DOOR UNITS W/JACKS</t>
  </si>
  <si>
    <t>POWER, MICHELLE</t>
  </si>
  <si>
    <t>199-41-6219.10-726-999091</t>
  </si>
  <si>
    <t xml:space="preserve">REM SCHOOL BUSINESS </t>
  </si>
  <si>
    <t>199-41-6299.10-702-999093</t>
  </si>
  <si>
    <t xml:space="preserve">DEC 2018 M&amp;G BANKRUPTCY </t>
  </si>
  <si>
    <t>INK CARTRIDGES</t>
  </si>
  <si>
    <t>MARKER BOARD</t>
  </si>
  <si>
    <t>199-11-6399.CR-001-911001</t>
  </si>
  <si>
    <t>DURACELL BATTERIES</t>
  </si>
  <si>
    <t>STERLING GLOVES</t>
  </si>
  <si>
    <t>FACULTY METTING 1/10, 1/24</t>
  </si>
  <si>
    <t>FACULTY METTING 2/8, 2/14</t>
  </si>
  <si>
    <t>CAREER DAY 2/6/19</t>
  </si>
  <si>
    <t xml:space="preserve">UIL CREW &amp; TROUPE </t>
  </si>
  <si>
    <t>199-36-6499.09-001-999001</t>
  </si>
  <si>
    <t xml:space="preserve">SCHOLASTIC TESTING </t>
  </si>
  <si>
    <t>TEST BOOKLETS</t>
  </si>
  <si>
    <t>SHERATON DALLAS HOTEL</t>
  </si>
  <si>
    <t xml:space="preserve">SPRINGHILL SUITES BY </t>
  </si>
  <si>
    <t xml:space="preserve">SWANK MOVIE LICENSING </t>
  </si>
  <si>
    <t>199-12-6396.7U-101-911004</t>
  </si>
  <si>
    <t>2/12/19-2/11/20</t>
  </si>
  <si>
    <t>TASA</t>
  </si>
  <si>
    <t>LOCALZIED UPDATE 112</t>
  </si>
  <si>
    <t>199-23-6495.10-041-999003</t>
  </si>
  <si>
    <t xml:space="preserve">8/30/18-8/31/19 PRISCILLA </t>
  </si>
  <si>
    <t xml:space="preserve">TEXAS PUBLIC SERVICE </t>
  </si>
  <si>
    <t>199-41-6249.10-726-999091</t>
  </si>
  <si>
    <t xml:space="preserve">3/10/19-3/9/20 HARDWARE </t>
  </si>
  <si>
    <t>LOGITECH KEYBOARD</t>
  </si>
  <si>
    <t>1/28/19-2/8/19</t>
  </si>
  <si>
    <t>199-36-6412.09-101-999004</t>
  </si>
  <si>
    <t>UIL DISTRICT @ GP 1/30/19</t>
  </si>
  <si>
    <t>2/7/19-2/8/19</t>
  </si>
  <si>
    <t>2/11/19-2/15/19</t>
  </si>
  <si>
    <t>CARLISLE INSURANCE</t>
  </si>
  <si>
    <t>199-00-1411.05-000-900000</t>
  </si>
  <si>
    <t>3/1/19-3/1/20</t>
  </si>
  <si>
    <t>199-23-6649.10-041-999003</t>
  </si>
  <si>
    <t xml:space="preserve">FILE CABINET, SHELVES </t>
  </si>
  <si>
    <t xml:space="preserve">MOTOROLA 484TRJ1244 </t>
  </si>
  <si>
    <t xml:space="preserve">MOTOROLA 037TKYK803 </t>
  </si>
  <si>
    <t xml:space="preserve">MOTOROLA 037TKYK804 </t>
  </si>
  <si>
    <t>LAMINATING FILM</t>
  </si>
  <si>
    <t>NETWORK SUPPLIES</t>
  </si>
  <si>
    <t>SPANISH BOOKS</t>
  </si>
  <si>
    <t>POLY TARP, CACTUS</t>
  </si>
  <si>
    <t>HOT GLUE STICKS</t>
  </si>
  <si>
    <t xml:space="preserve">HEAVY DUTY STAPLER &amp; </t>
  </si>
  <si>
    <t>ENGLISH SUPPLIES</t>
  </si>
  <si>
    <t>CHOME WIRE SHELVING</t>
  </si>
  <si>
    <t xml:space="preserve">ARCHITECTURAL DRAFTING </t>
  </si>
  <si>
    <t>TOUPEE TAPE</t>
  </si>
  <si>
    <t>199-41-6398.10-934-999091</t>
  </si>
  <si>
    <t>PITNEY BOWES RED INK</t>
  </si>
  <si>
    <t>COTTON TSHIRTS</t>
  </si>
  <si>
    <t xml:space="preserve">2018-2019 SPRING </t>
  </si>
  <si>
    <t>2/15/19-2/14/19</t>
  </si>
  <si>
    <t>HOSE SWIVEL, COUPLE KEY</t>
  </si>
  <si>
    <t>199-11-6249.V8-001-922022</t>
  </si>
  <si>
    <t>BASIC WASH</t>
  </si>
  <si>
    <t>PHARMACY BACKGROUND</t>
  </si>
  <si>
    <t>HONOR ROLL BANNER</t>
  </si>
  <si>
    <t>BALSA STRIPS &amp; SHEETS</t>
  </si>
  <si>
    <t>TXLA @ AUSTIN APRIL 15-18</t>
  </si>
  <si>
    <t>199-12-6411.00-041-911094</t>
  </si>
  <si>
    <t>199-12-6411.00-101-911094</t>
  </si>
  <si>
    <t>199-12-6411.00-104-911094</t>
  </si>
  <si>
    <t>6/30/18-6/30/19</t>
  </si>
  <si>
    <t>1/25, 2/4, 2/12, 2/13</t>
  </si>
  <si>
    <t>PRINCIPALS MEETIN 2/5/19</t>
  </si>
  <si>
    <t>199-51-6248.M2-936-999081</t>
  </si>
  <si>
    <t xml:space="preserve">BACKSTOP PANELS </t>
  </si>
  <si>
    <t>WIND SCREENS</t>
  </si>
  <si>
    <t xml:space="preserve">BARBARA'S FLOWERS &amp; </t>
  </si>
  <si>
    <t>199-31-6498.00-875-923023</t>
  </si>
  <si>
    <t>KARLA COBOS</t>
  </si>
  <si>
    <t>199-36-6399.3K-001-991274</t>
  </si>
  <si>
    <t>199-36-6399.3P-001-991274</t>
  </si>
  <si>
    <t>JERSEYS, PANTS, SOCKS</t>
  </si>
  <si>
    <t>BURRIS, CELIA</t>
  </si>
  <si>
    <t>1/16/19-2/14/19 DOME</t>
  </si>
  <si>
    <t>1/25/19-2/25/19 TENNIS</t>
  </si>
  <si>
    <t xml:space="preserve">EPSON DOCUMENT </t>
  </si>
  <si>
    <t>SMART LCD RACKMOUNT</t>
  </si>
  <si>
    <t>BLACK UPHOLSTERY TAPE</t>
  </si>
  <si>
    <t>STEPWELL LIGHT</t>
  </si>
  <si>
    <t>SURGE TANK</t>
  </si>
  <si>
    <t>RELAY 70AMP, GAS SPRINGS</t>
  </si>
  <si>
    <t>ITEMS RETURNED</t>
  </si>
  <si>
    <t>HS WATER 1/16/19-2/15/19</t>
  </si>
  <si>
    <t>ACC WATER 1/15/19-2/14/19</t>
  </si>
  <si>
    <t>MS WATER 1/15/19-2/14/19</t>
  </si>
  <si>
    <t>PRIMRY WATER 1/15/19-</t>
  </si>
  <si>
    <t>INTER WATER 1/15/19-2/14/19</t>
  </si>
  <si>
    <t>ADMIN WATER 1/15/19-2/14/19</t>
  </si>
  <si>
    <t>MAINT WATER 1/15/19-2/14/19</t>
  </si>
  <si>
    <t>AG CPX WATER 1/16/19-</t>
  </si>
  <si>
    <t>INTER IRR 1/15/19-2/14/19</t>
  </si>
  <si>
    <t>FB FLD WATER 1/16/19-2/15/19</t>
  </si>
  <si>
    <t>HS GAS 1/16/19-2/15/19</t>
  </si>
  <si>
    <t>MS GAS 1/15/19-2/14/19</t>
  </si>
  <si>
    <t>PRIMRY GAS 1/15/19-2/14/19</t>
  </si>
  <si>
    <t>INTER GAS 1/15/19-2/14/19</t>
  </si>
  <si>
    <t>DOME GAS 1/16/19-2/15/19</t>
  </si>
  <si>
    <t>199-34-6399.10-937-999082</t>
  </si>
  <si>
    <t xml:space="preserve">BUS 43 WIPER SWITCH &amp; </t>
  </si>
  <si>
    <t xml:space="preserve">BUS 57 REAR DOOR </t>
  </si>
  <si>
    <t>BUS 58 REAR DOOR SHOCK</t>
  </si>
  <si>
    <t>BUS 59 REAR DOOR SHOCK</t>
  </si>
  <si>
    <t xml:space="preserve">BUS 55 REAR DOOR </t>
  </si>
  <si>
    <t xml:space="preserve">BUS 56 REAR DOOR </t>
  </si>
  <si>
    <t xml:space="preserve">SHOWER TOWER </t>
  </si>
  <si>
    <t xml:space="preserve">HOT WATER FILTRATION </t>
  </si>
  <si>
    <t xml:space="preserve">DAIKIN APPLIED AMERICAS </t>
  </si>
  <si>
    <t>199-11-6649.00-001-911Z80</t>
  </si>
  <si>
    <t>OPTIPLEX 7040 MINI TOWER</t>
  </si>
  <si>
    <t>OAP CLINIC @ TM 2/22/19</t>
  </si>
  <si>
    <t xml:space="preserve">COOKING COMPET @ ALICE </t>
  </si>
  <si>
    <t>BROKEN MIRROR LOFT AREA</t>
  </si>
  <si>
    <t xml:space="preserve">EWING IRRIGATION GOLF </t>
  </si>
  <si>
    <t>BONNET DIAP ASSY</t>
  </si>
  <si>
    <t>SERIES PUMP</t>
  </si>
  <si>
    <t xml:space="preserve">BLAZER DIGITAL GLOSS </t>
  </si>
  <si>
    <t xml:space="preserve">SHEETS 11X17 NEW </t>
  </si>
  <si>
    <t>YELLOW INK CARTRIDGE</t>
  </si>
  <si>
    <t>FASTSIGNS</t>
  </si>
  <si>
    <t xml:space="preserve">ALUMINUM SIGNS &amp; VINYL </t>
  </si>
  <si>
    <t>ANGLE OLD STOCK</t>
  </si>
  <si>
    <t xml:space="preserve">FISHER SCIENTIFIC </t>
  </si>
  <si>
    <t xml:space="preserve">SQUEEZE BOTTLES, </t>
  </si>
  <si>
    <t>COBALT GALSS PLATES</t>
  </si>
  <si>
    <t>COBALT GLASS PLATES</t>
  </si>
  <si>
    <t>GARZA, ORLANDO</t>
  </si>
  <si>
    <t>FRENCH HORN 271471</t>
  </si>
  <si>
    <t>YAMAHA SAXOPHONE 010118</t>
  </si>
  <si>
    <t>IBANEZ GUITAR S03122178</t>
  </si>
  <si>
    <t>BACH TROMBONE G43749</t>
  </si>
  <si>
    <t>BACH TROMBONE E54854</t>
  </si>
  <si>
    <t>FRENCH HORN 551772</t>
  </si>
  <si>
    <t>FRENCH HORN 642157</t>
  </si>
  <si>
    <t>FRENCH HORN 538655</t>
  </si>
  <si>
    <t xml:space="preserve">SELMER BASS CLARINET </t>
  </si>
  <si>
    <t>BASS DRUM MALLET</t>
  </si>
  <si>
    <t xml:space="preserve">HILTON GARDEN INN AUSTIN </t>
  </si>
  <si>
    <t xml:space="preserve">CROSS EXAM @ AUSTIN MAR </t>
  </si>
  <si>
    <t>199-11-6399.00-041-923023</t>
  </si>
  <si>
    <t>SENSORY GARDEN</t>
  </si>
  <si>
    <t>OAP CLINIC @ TM FEB 21-22</t>
  </si>
  <si>
    <t>2/20/19-2/20/20 LIGHTSPEED</t>
  </si>
  <si>
    <t>INTERNATIONAL FUN SHOP</t>
  </si>
  <si>
    <t>UIL OAP COSTUMES</t>
  </si>
  <si>
    <t>FACE FOUNDATIONS</t>
  </si>
  <si>
    <t>1/22/19 DETECTION SERVICE</t>
  </si>
  <si>
    <t>ELECTIVE FAIR 1/10/19</t>
  </si>
  <si>
    <t>SPANISH HONOR 1/31/19</t>
  </si>
  <si>
    <t>DOOR GASKET &amp; GASKET KIT</t>
  </si>
  <si>
    <t>CARTRIDGE FUSE &amp; TAPES</t>
  </si>
  <si>
    <t>GASKET</t>
  </si>
  <si>
    <t>SWITCH &amp; FIN COMBO SET</t>
  </si>
  <si>
    <t>DOOR CLOSER</t>
  </si>
  <si>
    <t>INTER IRR BACKFLOW 2/6/19</t>
  </si>
  <si>
    <t>HS DOME BACKFLOW 2/4/19</t>
  </si>
  <si>
    <t xml:space="preserve">INTER DOMESTIC BACKFLOW </t>
  </si>
  <si>
    <t xml:space="preserve">MS DOMESTIC BACKFLOW </t>
  </si>
  <si>
    <t xml:space="preserve">AG DOMESTIC BACKFLOW </t>
  </si>
  <si>
    <t>PRMRY IRR BACKFLOW 2/6/19</t>
  </si>
  <si>
    <t>HS IRR BACKFLOW 2/6/19</t>
  </si>
  <si>
    <t xml:space="preserve">HS DOME ALARM SERVICE </t>
  </si>
  <si>
    <t>MS ALARM SERVICE 1/25/19</t>
  </si>
  <si>
    <t xml:space="preserve">INTER ALARM SERVICE </t>
  </si>
  <si>
    <t>MS ALARM SERVICE 2/14/19</t>
  </si>
  <si>
    <t xml:space="preserve">INTELLIGENT PHOTO </t>
  </si>
  <si>
    <t>1/1/19-1/31/19 MAINT CLICKS</t>
  </si>
  <si>
    <t>2/15/19-3/14//19 LESSEE</t>
  </si>
  <si>
    <t xml:space="preserve">WALL MOUNT WATER </t>
  </si>
  <si>
    <t>NATATORIUM THERMOSTAT</t>
  </si>
  <si>
    <t xml:space="preserve">MURRAY MCMURRAY </t>
  </si>
  <si>
    <t>CHICKEN EGGS</t>
  </si>
  <si>
    <t>MUSIC IN MOTION</t>
  </si>
  <si>
    <t xml:space="preserve">TMEA CONVENTION </t>
  </si>
  <si>
    <t>199-11-6399.8C-104-911005</t>
  </si>
  <si>
    <t>STAR LIT BOOK SERIES</t>
  </si>
  <si>
    <t xml:space="preserve">2019 2ND QTR BUGET </t>
  </si>
  <si>
    <t>AMOIRE</t>
  </si>
  <si>
    <t xml:space="preserve">RED TAPERED ENGRAVED </t>
  </si>
  <si>
    <t>CANVAS TOTE BAGS</t>
  </si>
  <si>
    <t>DRUG TESTING PHARMACY</t>
  </si>
  <si>
    <t xml:space="preserve">RANDOM &amp; PRE </t>
  </si>
  <si>
    <t xml:space="preserve">POCKET NURSE </t>
  </si>
  <si>
    <t>HEALTH SCIENCE SUPPLIES</t>
  </si>
  <si>
    <t>199-36-6412.NL-001-922574</t>
  </si>
  <si>
    <t xml:space="preserve">HOSA STATE @ SA MARCH </t>
  </si>
  <si>
    <t>IVORY PARCHMENT PAPER</t>
  </si>
  <si>
    <t>199-11-6399.CR-001-931034</t>
  </si>
  <si>
    <t>CALCULATORS</t>
  </si>
  <si>
    <t xml:space="preserve">CRACKING AP US HISTORY </t>
  </si>
  <si>
    <t xml:space="preserve">CRACKING AP WORLD </t>
  </si>
  <si>
    <t>BUS 30 BRAKE ADJUST</t>
  </si>
  <si>
    <t>TRAILER ST205 75R15 TIRE</t>
  </si>
  <si>
    <t>TM113 105 FLAT REPAIR</t>
  </si>
  <si>
    <t>1/27/19-2/26/19</t>
  </si>
  <si>
    <t>COFFEE MATE</t>
  </si>
  <si>
    <t>199-23-6649.8K-101-999004</t>
  </si>
  <si>
    <t>STORAGE CABINET</t>
  </si>
  <si>
    <t>USB 32GB</t>
  </si>
  <si>
    <t>BLUE &amp; BLACK GEL PENS</t>
  </si>
  <si>
    <t>199-41-6495.10-730-999095</t>
  </si>
  <si>
    <t>10/1/18-9/30/19 HR SERVICES</t>
  </si>
  <si>
    <t xml:space="preserve">STATE FCCLA @ DALLAS APR </t>
  </si>
  <si>
    <t>199-36-6412.VH-001-922574</t>
  </si>
  <si>
    <t>TSHIRT GALLERY &amp; SPORTS</t>
  </si>
  <si>
    <t>CONTRACT PRINTING</t>
  </si>
  <si>
    <t xml:space="preserve">CONCERT/SIGHT @ DELMAR </t>
  </si>
  <si>
    <t>ULINE</t>
  </si>
  <si>
    <t xml:space="preserve">SWIVEL, CASTER, GOJO, </t>
  </si>
  <si>
    <t>OAP COSTUMES</t>
  </si>
  <si>
    <t xml:space="preserve">CALCULUS @ AUSTIN JULY </t>
  </si>
  <si>
    <t>HS FEB 2019 90 DAY FILTER</t>
  </si>
  <si>
    <t>MS FEB 2019 90 DAY FILTER</t>
  </si>
  <si>
    <t>AHA PROCESS INC</t>
  </si>
  <si>
    <t>EMOTIONAL POVERTY</t>
  </si>
  <si>
    <t>199-11-6399.01-001-925025</t>
  </si>
  <si>
    <t>FIFI DICTIONARIES</t>
  </si>
  <si>
    <t>RED CARPET RUNNER</t>
  </si>
  <si>
    <t>SWIM/ACTIVE WEAR FABRIC</t>
  </si>
  <si>
    <t xml:space="preserve">FIVE PEOPLE YOU MEET IN </t>
  </si>
  <si>
    <t>NITRILE GLOVES</t>
  </si>
  <si>
    <t>COUNSELOR SUPPLIES</t>
  </si>
  <si>
    <t>DESKTOP TUB FILES</t>
  </si>
  <si>
    <t>MATTE LIQUID LIPSTICK</t>
  </si>
  <si>
    <t>GOLD PENS</t>
  </si>
  <si>
    <t xml:space="preserve">NOTE CARDS &amp; POCKET </t>
  </si>
  <si>
    <t>SKELETON KEYS</t>
  </si>
  <si>
    <t>DOOR TASSEL CURTAINS</t>
  </si>
  <si>
    <t>DISRUPTING POVERTY</t>
  </si>
  <si>
    <t>199-00-1411.03-000-900000</t>
  </si>
  <si>
    <t xml:space="preserve">GRADUATION DEPOSIT </t>
  </si>
  <si>
    <t>AUSTIN TURF &amp; TRACTOR</t>
  </si>
  <si>
    <t>BRACKET, ROD, BALL JOINT</t>
  </si>
  <si>
    <t>AUTO SUPPLIES</t>
  </si>
  <si>
    <t>NECK DUST MASK</t>
  </si>
  <si>
    <t>HOSE, ADAPTER JOINT SET</t>
  </si>
  <si>
    <t>DURALAST HD BATTERY</t>
  </si>
  <si>
    <t>BALFOUR</t>
  </si>
  <si>
    <t>199-11-6499.7Q-001-911001</t>
  </si>
  <si>
    <t>DIPLOMAS TYPE SHEET</t>
  </si>
  <si>
    <t>BAUDVILLE INC</t>
  </si>
  <si>
    <t>FOIL CERTIFICATE PAPER</t>
  </si>
  <si>
    <t xml:space="preserve">MAR 2019 RETAINER </t>
  </si>
  <si>
    <t xml:space="preserve">DUNBAR SECURITY </t>
  </si>
  <si>
    <t>DEPOSIT BAGS</t>
  </si>
  <si>
    <t>WORKSHOP 1481223 2/23/19</t>
  </si>
  <si>
    <t>OAP CLINIC @ TM MARCH 1-2</t>
  </si>
  <si>
    <t>RK5 TD FUSE</t>
  </si>
  <si>
    <t>EXIT SIGNS</t>
  </si>
  <si>
    <t>MECH TC</t>
  </si>
  <si>
    <t>WEDGE EXPANSION ANCHOR</t>
  </si>
  <si>
    <t>CAP SCREW, LUBRICANT</t>
  </si>
  <si>
    <t>STIMPSON BRASS SIZE</t>
  </si>
  <si>
    <t>BUS 42 TENSIONER, BELT</t>
  </si>
  <si>
    <t>BUS 40 NEW BELT FRAYING</t>
  </si>
  <si>
    <t>BUS 43 AIR BRAKE LEAK</t>
  </si>
  <si>
    <t xml:space="preserve">BUS 48 FRONT DOOR AIR </t>
  </si>
  <si>
    <t>GO-BOX, LLC</t>
  </si>
  <si>
    <t>199-11-6649.10-001-911080</t>
  </si>
  <si>
    <t xml:space="preserve">HARDWARE/SOFTWARE </t>
  </si>
  <si>
    <t>199-11-6649.10-041-911080</t>
  </si>
  <si>
    <t>199-11-6649.10-101-911080</t>
  </si>
  <si>
    <t>199-11-6649.10-104-911080</t>
  </si>
  <si>
    <t>GREATSTATE TRANSMISSION</t>
  </si>
  <si>
    <t>BUS 6 MODULAOR VALVE</t>
  </si>
  <si>
    <t xml:space="preserve">CDES INVITATIONAL @ SA </t>
  </si>
  <si>
    <t>VALENTINE BOUQUETS</t>
  </si>
  <si>
    <t>10/31/18-2/25/19 MILEAGE</t>
  </si>
  <si>
    <t>HANDLE &amp; DUSTER</t>
  </si>
  <si>
    <t>CLOTH ZIPPER BAGS</t>
  </si>
  <si>
    <t>EXTENSION TUBE ASSY</t>
  </si>
  <si>
    <t>19IN PADS</t>
  </si>
  <si>
    <t>FRAMES</t>
  </si>
  <si>
    <t>HOSA, TA</t>
  </si>
  <si>
    <t xml:space="preserve">PALS CMTE INTERVIEWS </t>
  </si>
  <si>
    <t>CAREER DAY 2/6</t>
  </si>
  <si>
    <t>OAP CLINIC @ TM 2/21/19</t>
  </si>
  <si>
    <t>DRILL TEAM TRYOUTS 2/7/19</t>
  </si>
  <si>
    <t xml:space="preserve">HEAVENS LIGHT &amp; CAPITOL </t>
  </si>
  <si>
    <t xml:space="preserve">ALLERSEELEN &amp; VEDRO CON </t>
  </si>
  <si>
    <t xml:space="preserve">THREE WILL COME SOFT </t>
  </si>
  <si>
    <t>TE DEUM HOV XXIIIC2</t>
  </si>
  <si>
    <t>THREE NEW MADRIGALS</t>
  </si>
  <si>
    <t xml:space="preserve">GET UP, GET DOWN, GET </t>
  </si>
  <si>
    <t>MUSIC SUPPLIES</t>
  </si>
  <si>
    <t>2/1/19-2/28/19 MAINT CLICKS</t>
  </si>
  <si>
    <t>3/1/19-3/31/19 DCA RECORD</t>
  </si>
  <si>
    <t>3/1/19-3/31/19 LESSEE</t>
  </si>
  <si>
    <t xml:space="preserve">CERTIFICATN @ BAYTWN </t>
  </si>
  <si>
    <t>1/25/19 MEDICAID CLAIMS</t>
  </si>
  <si>
    <t>2/1/19 MEDICAID CLAIMS</t>
  </si>
  <si>
    <t>MORENO, ERNEST</t>
  </si>
  <si>
    <t>2/18/19-2/22/19</t>
  </si>
  <si>
    <t>3/4/19-3/8/19</t>
  </si>
  <si>
    <t>OVERDRIVE INC</t>
  </si>
  <si>
    <t>ADVANTAGE COLLECTION</t>
  </si>
  <si>
    <t>PENDER'S MUSIC COMPANY</t>
  </si>
  <si>
    <t>199-36-6412.03-104-999005</t>
  </si>
  <si>
    <t>PITSCO, INC</t>
  </si>
  <si>
    <t>BALSA DRAGPAK</t>
  </si>
  <si>
    <t xml:space="preserve">PROTEX RESTAURANT </t>
  </si>
  <si>
    <t>199-51-6248.M3-936-999081</t>
  </si>
  <si>
    <t>TENNANT T510436213</t>
  </si>
  <si>
    <t xml:space="preserve">CLARKE FOCUS BOOST </t>
  </si>
  <si>
    <t xml:space="preserve">CLARKE FOCUS </t>
  </si>
  <si>
    <t>TENNANT T51043972</t>
  </si>
  <si>
    <t>TENNANT T510436208</t>
  </si>
  <si>
    <t>199-51-6649.M3-936-999081</t>
  </si>
  <si>
    <t>TENNANT 540010179581</t>
  </si>
  <si>
    <t>TENNANT T510439673</t>
  </si>
  <si>
    <t>199-21-6491.10-871-999194</t>
  </si>
  <si>
    <t xml:space="preserve">PUBLIC HEARING NOTICE </t>
  </si>
  <si>
    <t>AUDIT PUBLICATION 1/31/19</t>
  </si>
  <si>
    <t xml:space="preserve">CALENDAR MEETING @ </t>
  </si>
  <si>
    <t>3/4/19-3/31/20 AVG ANTIVIRUS</t>
  </si>
  <si>
    <t>RENARD BASSOON 10752</t>
  </si>
  <si>
    <t>FUNERAL ARRANGEMENTS</t>
  </si>
  <si>
    <t>SEPTIC TANK 1/2/19</t>
  </si>
  <si>
    <t>MATH STAAR REVIEW</t>
  </si>
  <si>
    <t>2/15/19 SPRAY APPLICATION</t>
  </si>
  <si>
    <t xml:space="preserve">ALG/BUSIM/SPAN/HLED </t>
  </si>
  <si>
    <t xml:space="preserve">TULOSO MIDWAY FOOD </t>
  </si>
  <si>
    <t>TEACHER INSERVICE 2/19/19</t>
  </si>
  <si>
    <t>ALGEBRA 1 BENCHMARKS</t>
  </si>
  <si>
    <t>ABSENT FROM DUTY</t>
  </si>
  <si>
    <t>PARENT LETTERS</t>
  </si>
  <si>
    <t>AP STUDENT FORMS</t>
  </si>
  <si>
    <t>PASSES</t>
  </si>
  <si>
    <t>REQUEST LEAVE &amp; PASSES</t>
  </si>
  <si>
    <t>POSTER</t>
  </si>
  <si>
    <t>OAP POSTERS</t>
  </si>
  <si>
    <t xml:space="preserve">SCHOOL/FED REPORT </t>
  </si>
  <si>
    <t>CUMLATIVE FOLDERS</t>
  </si>
  <si>
    <t>199-33-6395.8F-104-999005</t>
  </si>
  <si>
    <t xml:space="preserve">HEALTH FORMS &amp; NURSES </t>
  </si>
  <si>
    <t>NHS CARDS &amp; ENVELOPES</t>
  </si>
  <si>
    <t>BASEBALL CARDS</t>
  </si>
  <si>
    <t>ADDRESS ENVELOPES</t>
  </si>
  <si>
    <t xml:space="preserve">CONCERT/SIGHTRDG @ FB </t>
  </si>
  <si>
    <t>YARD SIGN STAKES</t>
  </si>
  <si>
    <t>DVI CABLES 6 FEET</t>
  </si>
  <si>
    <t>199-11-6399.00-104-923023</t>
  </si>
  <si>
    <t>IPAD CASE COVER</t>
  </si>
  <si>
    <t>TONER CARTRIDGE</t>
  </si>
  <si>
    <t>DICTIONARIES &amp; THESAURUS</t>
  </si>
  <si>
    <t>GORILLA CLEAR GRIP</t>
  </si>
  <si>
    <t>SUGAR FREE MINTS</t>
  </si>
  <si>
    <t>BIO-RAD LABORATORIES</t>
  </si>
  <si>
    <t>REGENT DIGEST DNA KIT</t>
  </si>
  <si>
    <t>199-11-6649.11-041-911003</t>
  </si>
  <si>
    <t>TI108 CALCULATORS</t>
  </si>
  <si>
    <t>2/7/19 SERVICE</t>
  </si>
  <si>
    <t>2/14/19 SERVICE</t>
  </si>
  <si>
    <t>2/21/19 SERVICE</t>
  </si>
  <si>
    <t>2/28/19 SERVICE</t>
  </si>
  <si>
    <t xml:space="preserve">BUS 25 DIAGNOSTIC </t>
  </si>
  <si>
    <t>3/1/19-3/31/19</t>
  </si>
  <si>
    <t>CONSTANTE, ERNEST</t>
  </si>
  <si>
    <t>FEB 2019 OT SERVICES</t>
  </si>
  <si>
    <t>COURTYARD HARLINGEN</t>
  </si>
  <si>
    <t xml:space="preserve">OAP AREA @ HARLINGEN </t>
  </si>
  <si>
    <t>daTES OF STAY CHANGED</t>
  </si>
  <si>
    <t xml:space="preserve">JUDGING @ CLGE STATION </t>
  </si>
  <si>
    <t>TM110 DIAGNOSTIC</t>
  </si>
  <si>
    <t>TM109 FUEL PUMP &amp; FILTER</t>
  </si>
  <si>
    <t>TM110 FRONT BRAKE PADS</t>
  </si>
  <si>
    <t>HOELSCHER, APRIL</t>
  </si>
  <si>
    <t xml:space="preserve">TACS STATE @ TEMPLE </t>
  </si>
  <si>
    <t xml:space="preserve">DISTRICT MEET @ FB MARCH </t>
  </si>
  <si>
    <t>LIVESTOCK JUDGING.COM</t>
  </si>
  <si>
    <t>1YR SITE LICENSE</t>
  </si>
  <si>
    <t>3/11/19-3/15/19</t>
  </si>
  <si>
    <t xml:space="preserve">NATIONAL FORENSIC </t>
  </si>
  <si>
    <t>199-36-6412.TF-001-999574</t>
  </si>
  <si>
    <t xml:space="preserve">NATIONAL @ HARLINGEN </t>
  </si>
  <si>
    <t>BOOK REPAIR TAPE</t>
  </si>
  <si>
    <t xml:space="preserve">HANNBK LITERATURE &amp; </t>
  </si>
  <si>
    <t>UIL SUPPLIES</t>
  </si>
  <si>
    <t>UIL REGISTRATION</t>
  </si>
  <si>
    <t>OAP BI @ VETERANS MAR 25-</t>
  </si>
  <si>
    <t>UIL OAP SUPPLIES</t>
  </si>
  <si>
    <t>TALL STORAGE CABINET</t>
  </si>
  <si>
    <t>DUPLICATE ORDER</t>
  </si>
  <si>
    <t>199-21-6495.00-875-923023</t>
  </si>
  <si>
    <t>199-21-6495.V1-001-922022</t>
  </si>
  <si>
    <t>199-23-6495.10-002-999002</t>
  </si>
  <si>
    <t xml:space="preserve">SOUNDZABOUND MUSIC </t>
  </si>
  <si>
    <t>4/1/19-4/1/20 ONLINE ACCESS</t>
  </si>
  <si>
    <t>199-11-6398.7E-041-911035</t>
  </si>
  <si>
    <t>CINCH SATIN TIES</t>
  </si>
  <si>
    <t>TASPA</t>
  </si>
  <si>
    <t xml:space="preserve">TEXAS TECHNOLOGY </t>
  </si>
  <si>
    <t>199-36-6412.VD-001-922574</t>
  </si>
  <si>
    <t xml:space="preserve">TSA STATE @ FT WORTH APR </t>
  </si>
  <si>
    <t>PRO MOUSE</t>
  </si>
  <si>
    <t>MM WIPES</t>
  </si>
  <si>
    <t>TEACHER SNACKS</t>
  </si>
  <si>
    <t>4/1/19-4/1/20</t>
  </si>
  <si>
    <t xml:space="preserve">TEXAS FUTURE PROBLEM </t>
  </si>
  <si>
    <t>199-36-6412.PS-041-999574</t>
  </si>
  <si>
    <t xml:space="preserve">TX FPSP @ SAN MARCOS </t>
  </si>
  <si>
    <t>FILE FOLDER LABELS</t>
  </si>
  <si>
    <t>GEL PENS</t>
  </si>
  <si>
    <t xml:space="preserve">HEXAGONAL WEIGHTING </t>
  </si>
  <si>
    <t>199-12-6649.7U-041-911003</t>
  </si>
  <si>
    <t>VINTAGE DINING TABLES</t>
  </si>
  <si>
    <t>3/15/19-4/14/19</t>
  </si>
  <si>
    <t>BALSA SHEETS</t>
  </si>
  <si>
    <t xml:space="preserve">PRESENTATION @ TAMUCC </t>
  </si>
  <si>
    <t>199-36-6411.H1-001-931034</t>
  </si>
  <si>
    <t>ENTRY ANNUAL LICESE FEE</t>
  </si>
  <si>
    <t>UIL OAP 3RD PARTY LICENSE</t>
  </si>
  <si>
    <t>199-41-6499.14-726-999091</t>
  </si>
  <si>
    <t>PADLOCK</t>
  </si>
  <si>
    <t>199-36-6412.VB-001-922574</t>
  </si>
  <si>
    <t xml:space="preserve">BPA NATIONALS @ CALI MAY </t>
  </si>
  <si>
    <t xml:space="preserve">CITY OF CORPUS CHRISTI </t>
  </si>
  <si>
    <t>3/15/19-3/15/20 ACC ALARM</t>
  </si>
  <si>
    <t>4/23/19-4/23/20 ADMIN ALARM</t>
  </si>
  <si>
    <t>4/23/19-4/23/20 MAINT ALARM</t>
  </si>
  <si>
    <t>4/23/19-4/23/20 TRANS ALARM</t>
  </si>
  <si>
    <t xml:space="preserve">VMWARE SUPPORT &amp; </t>
  </si>
  <si>
    <t xml:space="preserve">OAP BIDIST @ VETERANS </t>
  </si>
  <si>
    <t xml:space="preserve">DEMOULIN BROTHERS &amp; </t>
  </si>
  <si>
    <t>199-11-6649.7M-041-911136</t>
  </si>
  <si>
    <t>ZIP GARMENT BAGS</t>
  </si>
  <si>
    <t>199-11-6411.7K-041-911003</t>
  </si>
  <si>
    <t xml:space="preserve">STATE TOURNY @ KLEIN </t>
  </si>
  <si>
    <t xml:space="preserve">HAMPTON INN &amp; SUITES </t>
  </si>
  <si>
    <t xml:space="preserve">HARLINGEN CONSOLIDATED </t>
  </si>
  <si>
    <t xml:space="preserve">NORTH BEACH CLEAN UP </t>
  </si>
  <si>
    <t>SCOTSMAN WATER PUMP</t>
  </si>
  <si>
    <t>1/15/19-2/27/19</t>
  </si>
  <si>
    <t>2/14/19-3/15/19 AG BARN</t>
  </si>
  <si>
    <t>MAKEUP SUPPLIES</t>
  </si>
  <si>
    <t xml:space="preserve">CLOWN WHITE MAKEUP &amp; </t>
  </si>
  <si>
    <t xml:space="preserve">INTERNATIONAL THESPIAN </t>
  </si>
  <si>
    <t>199-36-6412.NA-001-999574</t>
  </si>
  <si>
    <t xml:space="preserve">THESPIAN FEST @ NE JUNE </t>
  </si>
  <si>
    <t>LIBRARY STORE, INC.</t>
  </si>
  <si>
    <t xml:space="preserve">MIRACLE METHOD OF </t>
  </si>
  <si>
    <t xml:space="preserve">BOARD DESK &amp; SHELF </t>
  </si>
  <si>
    <t>3/18/19-3/22/19</t>
  </si>
  <si>
    <t>4/30/19-4/30/20 BIRDWELL</t>
  </si>
  <si>
    <t>4/30/19-4/30/20 LUCAS</t>
  </si>
  <si>
    <t>4/30/19-4/30/20 PORTILLO</t>
  </si>
  <si>
    <t>7/1/19-6/30/20 AFFILIATION</t>
  </si>
  <si>
    <t>PAPA JOHN'S PIZZA</t>
  </si>
  <si>
    <t xml:space="preserve">TEACH CPR CLASS @ TM </t>
  </si>
  <si>
    <t>PHOTO PRINTS</t>
  </si>
  <si>
    <t>STORAGE BOX</t>
  </si>
  <si>
    <t>DRINKING WATER</t>
  </si>
  <si>
    <t>LEATHER GLOVE</t>
  </si>
  <si>
    <t>RETIREMENT PLAQUE</t>
  </si>
  <si>
    <t>OAP CLINIC @ TM MAR 20-21</t>
  </si>
  <si>
    <t>OAP SCRIPTS</t>
  </si>
  <si>
    <t>4/1/19-6/30/19</t>
  </si>
  <si>
    <t xml:space="preserve">JAZZ FEST @ HOUSTON FEB </t>
  </si>
  <si>
    <t xml:space="preserve">SPRINGHILL SUITES CORPUS </t>
  </si>
  <si>
    <t>199-11-6299.7B-001-911032</t>
  </si>
  <si>
    <t>BAND CLINIC @ TM 4/5/19</t>
  </si>
  <si>
    <t>199-36-6412.7A-001-999574</t>
  </si>
  <si>
    <t xml:space="preserve">VASE @ SAN MARCOS APR </t>
  </si>
  <si>
    <t>PRINCIPALS MEETIN 2/19/19</t>
  </si>
  <si>
    <t>3/31/19-3/31/20 MEMBERSHIP</t>
  </si>
  <si>
    <t xml:space="preserve">SPRING WRKSHOP @ TAMUK </t>
  </si>
  <si>
    <t xml:space="preserve">TREBLE/TENOR @ TAMUCC </t>
  </si>
  <si>
    <t>MIXED @ TAMUCC 4/16/19</t>
  </si>
  <si>
    <t>THERMO FLAMES PENCILS</t>
  </si>
  <si>
    <t>V5 SYSTEM BUNDLE</t>
  </si>
  <si>
    <t>3/11/19-3/18/19</t>
  </si>
  <si>
    <t>WESTERN-BRW PAPER</t>
  </si>
  <si>
    <t xml:space="preserve">NCR, GLOSS &amp; STICKER </t>
  </si>
  <si>
    <t>STICKER PAPER</t>
  </si>
  <si>
    <t>199-31-6399.7F-041-999003</t>
  </si>
  <si>
    <t xml:space="preserve">COLOR PAPER &amp; OFFICE </t>
  </si>
  <si>
    <t xml:space="preserve">A. BARGAS &amp; ASSOCIATES </t>
  </si>
  <si>
    <t>199-51-6649.A1-936-999081</t>
  </si>
  <si>
    <t>TILTER CHAIRS W/CASTERS</t>
  </si>
  <si>
    <t xml:space="preserve">BUS 40 TRANSMISSION </t>
  </si>
  <si>
    <t>CEILING HOOKS</t>
  </si>
  <si>
    <t>DIGITAL STOPWATCH</t>
  </si>
  <si>
    <t>STRETCH SCRUB PANTS</t>
  </si>
  <si>
    <t>WILDLIFE CLASS SUPPLIES</t>
  </si>
  <si>
    <t>VARIOUS DVDS</t>
  </si>
  <si>
    <t>HUMAN FOOTPRINT DVD</t>
  </si>
  <si>
    <t>199-51-6249.3S-878-999081</t>
  </si>
  <si>
    <t xml:space="preserve">PULSAR BOOSTER </t>
  </si>
  <si>
    <t>NATATORIUM</t>
  </si>
  <si>
    <t>199-51-6399.3S-878-999081</t>
  </si>
  <si>
    <t xml:space="preserve">PULSAR BRIQUETTES &amp; </t>
  </si>
  <si>
    <t xml:space="preserve">BEST WESTERN PLUS PALO </t>
  </si>
  <si>
    <t>OAP REGIONAL @ SA APR 15-</t>
  </si>
  <si>
    <t>BROWN, BERNADETTE JC</t>
  </si>
  <si>
    <t>MAR 2019 EVALUATION</t>
  </si>
  <si>
    <t xml:space="preserve">APR 2019 RETAINER </t>
  </si>
  <si>
    <t>1/4/19-3/30/19 MILEAGE</t>
  </si>
  <si>
    <t>2/14/19-3/15/19 DOME</t>
  </si>
  <si>
    <t>2/25/19-3/26/19 TENNIS</t>
  </si>
  <si>
    <t>AA FORD TERMINAL</t>
  </si>
  <si>
    <t>DRIVER BELT</t>
  </si>
  <si>
    <t>7 SERIES CONTROL MODULE</t>
  </si>
  <si>
    <t>HS WATER 2/15/19-3/15/19</t>
  </si>
  <si>
    <t>ACC WATER 2/14/19-3/14/19</t>
  </si>
  <si>
    <t>MS WATER 2/14/19-3/14/19</t>
  </si>
  <si>
    <t>PRIMRY WATER 2/14/19-</t>
  </si>
  <si>
    <t>INTER WATER 2/14/19-3/14/19</t>
  </si>
  <si>
    <t>ADMIN WATER 2/14/19-3/14/19</t>
  </si>
  <si>
    <t>MAINT WATER 2/14/19-3/14/19</t>
  </si>
  <si>
    <t>AG CPX WATER 2/15/19-</t>
  </si>
  <si>
    <t>INTER IRR 2/14/19-3/14/19</t>
  </si>
  <si>
    <t>FB LFD WATER 2/15/19-3/15/19</t>
  </si>
  <si>
    <t>MS GAS 2/14/19-3/14/19</t>
  </si>
  <si>
    <t>PRIMRY GAS 2/14/19-3/14/19</t>
  </si>
  <si>
    <t>INTER GAS 2/14/19-3/14/19</t>
  </si>
  <si>
    <t>DOME GAS 2/15/19-3/15/19</t>
  </si>
  <si>
    <t>COMFORT INN &amp; SUITES</t>
  </si>
  <si>
    <t xml:space="preserve">VASE STATE @ SMARCOS </t>
  </si>
  <si>
    <t>BUS 54 REAR DOOR STRUT</t>
  </si>
  <si>
    <t>BUS 53 DOOR ASSIST SHOCK</t>
  </si>
  <si>
    <t xml:space="preserve">BUS 44 TURBORCHARGER </t>
  </si>
  <si>
    <t>BUS 43 V BELT TIGHTENED</t>
  </si>
  <si>
    <t xml:space="preserve">CRITTER CONTROL OF </t>
  </si>
  <si>
    <t>199-51-6249.MC-101-999081</t>
  </si>
  <si>
    <t>BATS CONTROL</t>
  </si>
  <si>
    <t>CROWN AWARDS, INC.</t>
  </si>
  <si>
    <t>ENAMEL PINS</t>
  </si>
  <si>
    <t>97WHR BATTERY</t>
  </si>
  <si>
    <t xml:space="preserve">AREA X CDE'S @ ROBSTWN </t>
  </si>
  <si>
    <t xml:space="preserve">JUDGING @ JOURDANTON </t>
  </si>
  <si>
    <t xml:space="preserve">QBANK, MATH, TRAINING </t>
  </si>
  <si>
    <t>EWING, CRAIG</t>
  </si>
  <si>
    <t>BAND CLINIC @ TM 4/4/19</t>
  </si>
  <si>
    <t xml:space="preserve">BUS 40 BRAKE SYSTEM </t>
  </si>
  <si>
    <t xml:space="preserve">BUS 45 AIR LEAK &amp; NOX </t>
  </si>
  <si>
    <t>BUS 21 AIR LINE FITTING</t>
  </si>
  <si>
    <t>BUS 44 WATER PUMP</t>
  </si>
  <si>
    <t>FUNTRACKERS</t>
  </si>
  <si>
    <t>DRILL TEAM EOY 4/16/19</t>
  </si>
  <si>
    <t>GARZA, MAHOGANY</t>
  </si>
  <si>
    <t xml:space="preserve">FOOD &amp; SOCIAL LIVING </t>
  </si>
  <si>
    <t>ATTENDANCE AWARDS</t>
  </si>
  <si>
    <t>UIL OAP PROPS</t>
  </si>
  <si>
    <t xml:space="preserve">OAP CLINIC REHERSAL </t>
  </si>
  <si>
    <t>COMPIANCE TRAINING 3/5/19</t>
  </si>
  <si>
    <t>HERBST, GLENN</t>
  </si>
  <si>
    <t>199-11-6299.7B-041-911036</t>
  </si>
  <si>
    <t>BAND TRYOUTS 3/23/19</t>
  </si>
  <si>
    <t>HERNANDEZ, FELIX</t>
  </si>
  <si>
    <t>HILTON AHAHEIM</t>
  </si>
  <si>
    <t xml:space="preserve">WHITE CORRUGATED </t>
  </si>
  <si>
    <t>WELDING SUPPLIES</t>
  </si>
  <si>
    <t xml:space="preserve">HAIR/GREASE DRAIN </t>
  </si>
  <si>
    <t xml:space="preserve">ACADEMIC RGNL @ SA APR </t>
  </si>
  <si>
    <t>LO, ALBERT</t>
  </si>
  <si>
    <t>MADERA, MARGARITA</t>
  </si>
  <si>
    <t>199-11-6411.HB-001-911374</t>
  </si>
  <si>
    <t>9/19/18-2/13/19 MILEAGE</t>
  </si>
  <si>
    <t>MORALES, MAGADALENA</t>
  </si>
  <si>
    <t>3/25/19-3/29/19</t>
  </si>
  <si>
    <t>MPS</t>
  </si>
  <si>
    <t>AP AMERCIAN GOVERNMENT</t>
  </si>
  <si>
    <t>NORTHSIDE ISD</t>
  </si>
  <si>
    <t xml:space="preserve">1000 GAL UNL 3500 GAL </t>
  </si>
  <si>
    <t xml:space="preserve">OMNI AUSTIN HOTEL </t>
  </si>
  <si>
    <t>ORTIZ, VANESSA</t>
  </si>
  <si>
    <t>9/7/18-3/28/19 MILEAGE</t>
  </si>
  <si>
    <t xml:space="preserve">PERFECTION LEARNING </t>
  </si>
  <si>
    <t>WORKBOOK SPANISH</t>
  </si>
  <si>
    <t>OAP SUPPLIES</t>
  </si>
  <si>
    <t>PAD QUILTED CLOTH</t>
  </si>
  <si>
    <t xml:space="preserve">SPEELING BEE &amp; PUBLIC SCH </t>
  </si>
  <si>
    <t>199-23-6397.99-101-999004</t>
  </si>
  <si>
    <t>GT TEST SCORING</t>
  </si>
  <si>
    <t>PRECISION CAMERA &amp; VIDEO</t>
  </si>
  <si>
    <t>BLACK, MAGENTA, CYAN INK</t>
  </si>
  <si>
    <t>PRO MAINT TANK</t>
  </si>
  <si>
    <t>3/15/19 POSTAGE REFILL</t>
  </si>
  <si>
    <t>199-41-6499.10-720-999091</t>
  </si>
  <si>
    <t xml:space="preserve">TREBLE/TENOR @TAMUCC </t>
  </si>
  <si>
    <t xml:space="preserve">GREEN/YELLOW SPRAY </t>
  </si>
  <si>
    <t>KEY, IDLER, ROTARY SWITCH</t>
  </si>
  <si>
    <t>SALINAS, CAMILO A</t>
  </si>
  <si>
    <t>SHELTON, BRIAN</t>
  </si>
  <si>
    <t>BUS 47 BRAKE ADJUST</t>
  </si>
  <si>
    <t>BUS 49 BRAKE ADJUST</t>
  </si>
  <si>
    <t>BUS 50 BRAKE ADJUST</t>
  </si>
  <si>
    <t>AG TRAILER NEW TIRES</t>
  </si>
  <si>
    <t>TM125 FLAT REPAIR</t>
  </si>
  <si>
    <t xml:space="preserve">TM112 FLAT REPAIR &amp; </t>
  </si>
  <si>
    <t>2/27/19-3/26/19</t>
  </si>
  <si>
    <t>199-41-6299.10-726-999091</t>
  </si>
  <si>
    <t>20 HRS SUPPORT SERVICE</t>
  </si>
  <si>
    <t>BENCHMARK TEST</t>
  </si>
  <si>
    <t>ART COURSE CONTRACTS</t>
  </si>
  <si>
    <t>REGULAR ENVELOPES</t>
  </si>
  <si>
    <t xml:space="preserve">PLR &amp; ABSENT FROM DUTY </t>
  </si>
  <si>
    <t xml:space="preserve">LETTERHEAD &amp; WINDOW </t>
  </si>
  <si>
    <t>PLAIN ENVELOPES</t>
  </si>
  <si>
    <t>3 PART DEPOSIT SLIPS</t>
  </si>
  <si>
    <t xml:space="preserve">EDUCATION FOUNDATION </t>
  </si>
  <si>
    <t>VARSITY SPIRIT FASHIONS</t>
  </si>
  <si>
    <t>199-36-6399.7C-001-999001</t>
  </si>
  <si>
    <t xml:space="preserve">METALLIC POMS &amp; </t>
  </si>
  <si>
    <t>VELA, MARIA VIRGINIA</t>
  </si>
  <si>
    <t xml:space="preserve">WEBB AC LAWN &amp; GARDEN </t>
  </si>
  <si>
    <t>199-51-6639.M2-936-999081</t>
  </si>
  <si>
    <t>TURF TIGER VELOCITY PLUS</t>
  </si>
  <si>
    <t xml:space="preserve">PAINT, THINNER, WIRE </t>
  </si>
  <si>
    <t>VGA ERGONOMIC MONITOR</t>
  </si>
  <si>
    <t>READY VEGETABLE PLANTS</t>
  </si>
  <si>
    <t>199-11-6399.VT-001-911001</t>
  </si>
  <si>
    <t>TECH AP SUPPLIES</t>
  </si>
  <si>
    <t>TM117 @ CC FREIGHTLINER</t>
  </si>
  <si>
    <t xml:space="preserve">PLASTIGAGE KIT, SPLINE </t>
  </si>
  <si>
    <t>DIGITAL CALIPER</t>
  </si>
  <si>
    <t>STAR SOCKET, HEX BIT SET</t>
  </si>
  <si>
    <t>STAFF MEETING 4/10/19</t>
  </si>
  <si>
    <t>4/1/19-4/30/19</t>
  </si>
  <si>
    <t>APR 2019 OT SERVICES</t>
  </si>
  <si>
    <t xml:space="preserve">WATER HEATER METAL </t>
  </si>
  <si>
    <t xml:space="preserve">BILEVEL DRINKING </t>
  </si>
  <si>
    <t>199-11-6229.NM-001-922022</t>
  </si>
  <si>
    <t>CNA PROGRAM 8/17/19-</t>
  </si>
  <si>
    <t xml:space="preserve">DORIAN BUSINESS SYSTEMS </t>
  </si>
  <si>
    <t>199-36-6412.7E-001-999574</t>
  </si>
  <si>
    <t xml:space="preserve">STATE SOLO @ AUSTIN MAY </t>
  </si>
  <si>
    <t>WORKSHOP 1481227 3/2/19</t>
  </si>
  <si>
    <t>ELIZONDO, ANA MARIA</t>
  </si>
  <si>
    <t>199-41-6411.10-730-999195</t>
  </si>
  <si>
    <t xml:space="preserve">STATE CDES @ LUBBOCK </t>
  </si>
  <si>
    <t xml:space="preserve">HID/CANOPY LIGHTS, 15' </t>
  </si>
  <si>
    <t>LOCKSET LESS CORE</t>
  </si>
  <si>
    <t>EXISTING DOOR KEY</t>
  </si>
  <si>
    <t>CORE DRIVER LEVERS</t>
  </si>
  <si>
    <t>KICK PLATE 6X34</t>
  </si>
  <si>
    <t>WHITE YARD SIGNS</t>
  </si>
  <si>
    <t>COMPARTMENT BOX &amp; RACK</t>
  </si>
  <si>
    <t>DRILL BITS</t>
  </si>
  <si>
    <t xml:space="preserve">BOLT SNAPS &amp; STEARATE </t>
  </si>
  <si>
    <t>STEEL MACHINE SCREWS</t>
  </si>
  <si>
    <t>ORAGUARD LAMINATING</t>
  </si>
  <si>
    <t>SONNET MESH VINYL</t>
  </si>
  <si>
    <t xml:space="preserve">MAGIC INDOOR/OUTDOOR </t>
  </si>
  <si>
    <t>VINYL, POSTERS, MEGATAPE</t>
  </si>
  <si>
    <t>FIGUEROA, STACIE</t>
  </si>
  <si>
    <t>TM113 RADIATOR</t>
  </si>
  <si>
    <t xml:space="preserve">TM116 AC EVAPORATOR </t>
  </si>
  <si>
    <t>GARRETT, CRISTINA</t>
  </si>
  <si>
    <t xml:space="preserve">UIL CONTEST @ DELMAR </t>
  </si>
  <si>
    <t>OLDS TROMBONE A47910</t>
  </si>
  <si>
    <t xml:space="preserve">BARITONE SAXAPHONE </t>
  </si>
  <si>
    <t>MOP DUST TWIST COTTON</t>
  </si>
  <si>
    <t>ARSENAL SUPROX</t>
  </si>
  <si>
    <t>SPRAY BOTTLES</t>
  </si>
  <si>
    <t>199-36-6412.H1-041-999003</t>
  </si>
  <si>
    <t xml:space="preserve">ACADEMIC @ WALLER APR </t>
  </si>
  <si>
    <t>199-23-6649.1T-041-999003</t>
  </si>
  <si>
    <t xml:space="preserve">MOTOROLA RADIOS &amp; </t>
  </si>
  <si>
    <t>INSIGHT INVESTMENTS, LLC</t>
  </si>
  <si>
    <t>199-11-6649.00-041-911Z80</t>
  </si>
  <si>
    <t>DELL OPTIPLEX 9020</t>
  </si>
  <si>
    <t>199-21-6498.10-871-999094</t>
  </si>
  <si>
    <t>SITE BASED MEETING 3/13/19</t>
  </si>
  <si>
    <t>KEY POULAN MUSIC</t>
  </si>
  <si>
    <t xml:space="preserve">WIND PERCUSSION </t>
  </si>
  <si>
    <t xml:space="preserve">HS FLD FIRE ALARM INSP </t>
  </si>
  <si>
    <t>HS SPRINKLER LABOR 3/5/19</t>
  </si>
  <si>
    <t xml:space="preserve">HS AG SPRINKLER LABOR </t>
  </si>
  <si>
    <t>3/1/19-3/31/19 MAINT CLICKS</t>
  </si>
  <si>
    <t>4/1/19-4/30/19 DCA RECORD</t>
  </si>
  <si>
    <t>4/1/19-4/30/19 LESSEE</t>
  </si>
  <si>
    <t>MOTOR BL 1HP</t>
  </si>
  <si>
    <t xml:space="preserve">FOOD/EQUIPMNT EXPO @ SA </t>
  </si>
  <si>
    <t>GUARDTRAP &amp; STOP VALVE</t>
  </si>
  <si>
    <t>VANDAL PROOF AERATOR</t>
  </si>
  <si>
    <t>URINAL AUGER CABLE</t>
  </si>
  <si>
    <t>199-11-6398.00-001-923023</t>
  </si>
  <si>
    <t>3/8/19 MEDICAID CLAIMS</t>
  </si>
  <si>
    <t>4/1/19-4/5/19</t>
  </si>
  <si>
    <t>CERTIFICATES</t>
  </si>
  <si>
    <t>GARDEN SEEDS</t>
  </si>
  <si>
    <t>3RD WEEKS CELEBRATION</t>
  </si>
  <si>
    <t>CUSTODIANS BIRTHDAY</t>
  </si>
  <si>
    <t>GOOGLE TRAINING 2/22/19</t>
  </si>
  <si>
    <t>PHASE 2 MEETING 4/3/19</t>
  </si>
  <si>
    <t>AUSTISM LUNCHEON 12/11/18</t>
  </si>
  <si>
    <t>VB GAME @ HS 11/7/18</t>
  </si>
  <si>
    <t>CBI @ OUTLETS 2/5/19</t>
  </si>
  <si>
    <t>CBI @ HEB &amp; CHILLIS 3/27/19</t>
  </si>
  <si>
    <t>AUSTISM LUNCHEON 12/12/18</t>
  </si>
  <si>
    <t xml:space="preserve">CBI TRIP @ HEB, CICIS </t>
  </si>
  <si>
    <t xml:space="preserve">SHARS/RMTS TRAINING </t>
  </si>
  <si>
    <t>STAFF MEETING 3/13/19</t>
  </si>
  <si>
    <t>199-36-6412.7K-001-999574</t>
  </si>
  <si>
    <t xml:space="preserve">OAP STATE @ ROUNDRCK </t>
  </si>
  <si>
    <t>199-11-6396.05-041-911023</t>
  </si>
  <si>
    <t>CCAP2 &amp; TWS5 FORMS</t>
  </si>
  <si>
    <t>RODRIGUEZ, ALEJANDRA</t>
  </si>
  <si>
    <t>199-13-6411.NL-001-922022</t>
  </si>
  <si>
    <t>TDA MEETING @ SA MAY 1-4</t>
  </si>
  <si>
    <t xml:space="preserve">ASYMMETRICAL </t>
  </si>
  <si>
    <t>FLORAL ARRANGEMENTS</t>
  </si>
  <si>
    <t>SPANISH ACTIVITIES</t>
  </si>
  <si>
    <t xml:space="preserve">PUZZLEMENT VERB </t>
  </si>
  <si>
    <t>4/1/19 SPRAY APPLICATION</t>
  </si>
  <si>
    <t>199-11-6339.10-041-911003</t>
  </si>
  <si>
    <t>HIGH ENG 1A/1B BULK</t>
  </si>
  <si>
    <t>TREVINO, MINERVA A.</t>
  </si>
  <si>
    <t>199-13-6411.11-104-911005</t>
  </si>
  <si>
    <t>8/6/18-3/22/19 MILEAGE</t>
  </si>
  <si>
    <t xml:space="preserve">UNIVERSAL CHEERLEADERS </t>
  </si>
  <si>
    <t>199-36-6411.7C-001-999001</t>
  </si>
  <si>
    <t>CHEER CAMP @ CC JUN 24-</t>
  </si>
  <si>
    <t>199-36-6411.7C-041-991003</t>
  </si>
  <si>
    <t xml:space="preserve">AP SUMMER @ AUSTIN JUL </t>
  </si>
  <si>
    <t xml:space="preserve">INK BY THE QUART WTR </t>
  </si>
  <si>
    <t>WATTS, TIMOTHY</t>
  </si>
  <si>
    <t>3/28/19-3/29/20 LANSWEEPER</t>
  </si>
  <si>
    <t>INTERNATIONAL FEE</t>
  </si>
  <si>
    <t>199-11-6411.VA-001-922122</t>
  </si>
  <si>
    <t xml:space="preserve">HEAVY EQUIPMNT INDUSTRY </t>
  </si>
  <si>
    <t>199-11-6412.VA-001-922122</t>
  </si>
  <si>
    <t>STATE SALES TAX</t>
  </si>
  <si>
    <t xml:space="preserve">THESPIAN NATL @ NE JUNE </t>
  </si>
  <si>
    <t>OAP CLINIC @ TM APR 5-6</t>
  </si>
  <si>
    <t>199-23-6299.10-041-999003</t>
  </si>
  <si>
    <t>5/1/19-5/1/20</t>
  </si>
  <si>
    <t>199-23-6299.10-104-999005</t>
  </si>
  <si>
    <t>6/1/19-6/1/20</t>
  </si>
  <si>
    <t>WALL CLOCK</t>
  </si>
  <si>
    <t>CARDSTOCK</t>
  </si>
  <si>
    <t>AVANTI WATER COOLER</t>
  </si>
  <si>
    <t>199-12-6299.7U-104-911005</t>
  </si>
  <si>
    <t>4/29/19-4/28/20</t>
  </si>
  <si>
    <t>BOILER INSPECTION 3/7/19</t>
  </si>
  <si>
    <t xml:space="preserve">CHEER CAMP @ DALLAS JUL </t>
  </si>
  <si>
    <t>199-36-6411.7C-001-999301</t>
  </si>
  <si>
    <t>LARGE PRINT DICTIONARY</t>
  </si>
  <si>
    <t>ARTEZA #2 PENCILS</t>
  </si>
  <si>
    <t>PC PROBE COVER</t>
  </si>
  <si>
    <t>ESL TRANSLATORS</t>
  </si>
  <si>
    <t>PAPER CONE CUPS</t>
  </si>
  <si>
    <t>GIFT WRAP PAPER</t>
  </si>
  <si>
    <t>FEATHER HEADDRESS</t>
  </si>
  <si>
    <t>BOOKS</t>
  </si>
  <si>
    <t>DIGITAL WALL CLOCK</t>
  </si>
  <si>
    <t>199-11-6649.V1-001-922022</t>
  </si>
  <si>
    <t>IPAD PRO 12.9 WIFI 512GB</t>
  </si>
  <si>
    <t>199-11-6649.VC-001-922022</t>
  </si>
  <si>
    <t xml:space="preserve">IPAD PRO 12.9 SMART </t>
  </si>
  <si>
    <t>STAAR WRITING GUIDE</t>
  </si>
  <si>
    <t>4/15/19-5/14/19</t>
  </si>
  <si>
    <t>CVR 8X10</t>
  </si>
  <si>
    <t>199-36-6499.7B-001-999032</t>
  </si>
  <si>
    <t xml:space="preserve">TROPHIES &amp; CRYSTAL </t>
  </si>
  <si>
    <t>BTG CUSTOM AWARDS</t>
  </si>
  <si>
    <t>199-41-6499.11-735-999096</t>
  </si>
  <si>
    <t xml:space="preserve">ENGRAVED ACRYLIC </t>
  </si>
  <si>
    <t>199-11-6412.00-101-923023</t>
  </si>
  <si>
    <t>CBI TRIP @ CICI'S 4/12/19</t>
  </si>
  <si>
    <t>3/7/19 SERVICE</t>
  </si>
  <si>
    <t>3/14/19 SERVICE</t>
  </si>
  <si>
    <t>3/21/19 SERVICE</t>
  </si>
  <si>
    <t>3/28/19 SERVICE</t>
  </si>
  <si>
    <t>ECOLAB, INC</t>
  </si>
  <si>
    <t xml:space="preserve">LAUNDRI DESTAINER, SOLID </t>
  </si>
  <si>
    <t>SEWING FABRIC PROJETCS</t>
  </si>
  <si>
    <t>HAIREL ENTERPRISES INC</t>
  </si>
  <si>
    <t>PAC REPAIR PROJECTORS</t>
  </si>
  <si>
    <t xml:space="preserve">HUB CITY OVERHEAD DOOR </t>
  </si>
  <si>
    <t xml:space="preserve">REPLACED CABLES, LUBED </t>
  </si>
  <si>
    <t>2/13/19-3/28/19</t>
  </si>
  <si>
    <t>3/15/19-4/15/19 AG BARN</t>
  </si>
  <si>
    <t xml:space="preserve">WIRLESS &amp; NETWORK </t>
  </si>
  <si>
    <t xml:space="preserve">LAKESHORE LEARNING </t>
  </si>
  <si>
    <t xml:space="preserve">LISTENING CENTER </t>
  </si>
  <si>
    <t>LUMENBRITE TRAINING</t>
  </si>
  <si>
    <t xml:space="preserve">PHOTOSHOP @ HOUSTON </t>
  </si>
  <si>
    <t>199-13-6411.VL-001-922022</t>
  </si>
  <si>
    <t xml:space="preserve">INDESIGN @ HOUSTON MAY </t>
  </si>
  <si>
    <t xml:space="preserve">EARTH FOARMING </t>
  </si>
  <si>
    <t>4/8/19-4/12/19</t>
  </si>
  <si>
    <t>MATH SUPPLIES</t>
  </si>
  <si>
    <t xml:space="preserve">MEGATIMER, EASY CLING </t>
  </si>
  <si>
    <t>POLYESTER STUFFING</t>
  </si>
  <si>
    <t>WIAT III ENH REC FORMS</t>
  </si>
  <si>
    <t xml:space="preserve">ELEVATOR INSPECTION </t>
  </si>
  <si>
    <t>OTC BRANDS INC</t>
  </si>
  <si>
    <t>PAYNE, SANDRA</t>
  </si>
  <si>
    <t xml:space="preserve">REALCARE BABY DETECTION </t>
  </si>
  <si>
    <t>ENERGY CONTRACT 3/27/19-</t>
  </si>
  <si>
    <t>SITE BASED MEETING 5/1/19</t>
  </si>
  <si>
    <t>SALAS, ERIC</t>
  </si>
  <si>
    <t>MARCHING BAND DRILL</t>
  </si>
  <si>
    <t>199-36-6299.7B-001-999032</t>
  </si>
  <si>
    <t>SITE BASED MEETING 3/20/19</t>
  </si>
  <si>
    <t xml:space="preserve">TEACHER MEETINGS 3/14, </t>
  </si>
  <si>
    <t>10X13 ENVELOPES</t>
  </si>
  <si>
    <t xml:space="preserve">SCHNEIDER ELECTRIC </t>
  </si>
  <si>
    <t>199-51-6249.MA-936-999081</t>
  </si>
  <si>
    <t>3/1/20-2/1/20 PASS FEE</t>
  </si>
  <si>
    <t xml:space="preserve">FCCLA STATE @ DALLAS APR </t>
  </si>
  <si>
    <t>STAAR TESTING 4/9/19</t>
  </si>
  <si>
    <t>STAAR TESTING 4/10/19</t>
  </si>
  <si>
    <t xml:space="preserve">4/22/19-4/22/20 MEBERSHIP </t>
  </si>
  <si>
    <t xml:space="preserve">TEXAS STATE FLORISTS' </t>
  </si>
  <si>
    <t>FLORAL CERTIFICATION</t>
  </si>
  <si>
    <t>BIOLOGY MATERIAL</t>
  </si>
  <si>
    <t xml:space="preserve">ABSENT DUTY FORMS, </t>
  </si>
  <si>
    <t>Q BOOKLETS</t>
  </si>
  <si>
    <t>REGISTRATION FORMS</t>
  </si>
  <si>
    <t>EMERGENCY CARDS</t>
  </si>
  <si>
    <t xml:space="preserve">CUMULATIVE STUDENT </t>
  </si>
  <si>
    <t>11X17 PAPER</t>
  </si>
  <si>
    <t>LETTERHEAD ENVELOPES</t>
  </si>
  <si>
    <t xml:space="preserve">LEAVE, ABSENT, DEPOSIT </t>
  </si>
  <si>
    <t>AGR CARDS</t>
  </si>
  <si>
    <t>US POSTMASTER</t>
  </si>
  <si>
    <t xml:space="preserve">3/17/19-3/17/20 PRESORTED </t>
  </si>
  <si>
    <t xml:space="preserve">STAAR LUNCHES, MTG </t>
  </si>
  <si>
    <t>2/21/19-3/15/19</t>
  </si>
  <si>
    <t>12/3/18-4/10/19 MILEAGE</t>
  </si>
  <si>
    <t>WHITE BOARD CLEANER</t>
  </si>
  <si>
    <t xml:space="preserve">ABEL'S PAVING &amp; </t>
  </si>
  <si>
    <t>PARKING LOT REPAIRS</t>
  </si>
  <si>
    <t>ACC APR 2019 90 DAY FILTER</t>
  </si>
  <si>
    <t xml:space="preserve">TRANS APR 2019 90 DAY </t>
  </si>
  <si>
    <t xml:space="preserve">MAINT APR 2019 180 DAY </t>
  </si>
  <si>
    <t xml:space="preserve">MAINT APR 2019 90 DAY </t>
  </si>
  <si>
    <t xml:space="preserve">ADMIN APR 2019 180 DAY </t>
  </si>
  <si>
    <t xml:space="preserve">PRIMRY APR 2019 180 DAY </t>
  </si>
  <si>
    <t>BUS 11 NEW ENGINE</t>
  </si>
  <si>
    <t xml:space="preserve">AMERICAN STEEL &amp; SUPPLY </t>
  </si>
  <si>
    <t>STEEL ANGLE BAR 2X2X3/8</t>
  </si>
  <si>
    <t>ARMA INTERNATIONAL, INC</t>
  </si>
  <si>
    <t>199-41-6495.00-932-999084</t>
  </si>
  <si>
    <t>6/30/19-6/30/20 MEMBERSHIP</t>
  </si>
  <si>
    <t>BELTRAN, GABRIELLA</t>
  </si>
  <si>
    <t xml:space="preserve">TM120 BATTERY </t>
  </si>
  <si>
    <t>199-11-6649.45-101-911004</t>
  </si>
  <si>
    <t xml:space="preserve">BELKIN PRESENTER TABLET </t>
  </si>
  <si>
    <t>CHROMEBOOK CART</t>
  </si>
  <si>
    <t xml:space="preserve">APC REPLACEMENT </t>
  </si>
  <si>
    <t>SMALL BRASS GROMMETS</t>
  </si>
  <si>
    <t>MAR 2019 PT SERVICES</t>
  </si>
  <si>
    <t>NURSE AIDE 1/8/19-5/24/19</t>
  </si>
  <si>
    <t>COLOR PRINTING PAPER</t>
  </si>
  <si>
    <t>FLORES, JOSE G.</t>
  </si>
  <si>
    <t>HAGARTY, MIA E</t>
  </si>
  <si>
    <t>PIANO TUNNING</t>
  </si>
  <si>
    <t>YAMAHA PICCOLO 1929</t>
  </si>
  <si>
    <t>YAMAHA CLARINET 135909</t>
  </si>
  <si>
    <t>FRENCH HORN 270905</t>
  </si>
  <si>
    <t>2/19/19 DETECTION SERVICE</t>
  </si>
  <si>
    <t>3/11/19 DETECTION SERVICE</t>
  </si>
  <si>
    <t>NITROGEN TANK &amp; SUPPLIES</t>
  </si>
  <si>
    <t>AERATOR W/TOOL</t>
  </si>
  <si>
    <t>STRIAGHT &amp; FUNNEL AUGER</t>
  </si>
  <si>
    <t>OFFSET GRID STRAINER</t>
  </si>
  <si>
    <t>FAUCET VACUUM BREAKER</t>
  </si>
  <si>
    <t>MEINHEIT, MATTHEW</t>
  </si>
  <si>
    <t>4/22/19-4/26/19</t>
  </si>
  <si>
    <t xml:space="preserve">2766 GAL UNL 4155 GAL </t>
  </si>
  <si>
    <t>READING MATERIALS</t>
  </si>
  <si>
    <t>P/R LASER CHECKS</t>
  </si>
  <si>
    <t>199-11-6399.01-101-925025</t>
  </si>
  <si>
    <t>5/1/19-5/31/19</t>
  </si>
  <si>
    <t>REYES, CARISSA</t>
  </si>
  <si>
    <t xml:space="preserve">CNCRT/SIGHT @ DELMAR </t>
  </si>
  <si>
    <t>WEEDEATER CARBURATOR</t>
  </si>
  <si>
    <t>BUS 47 11R22.5 FS560 TIRES</t>
  </si>
  <si>
    <t>ALVAREZ-WIGGINS, ANITA</t>
  </si>
  <si>
    <t>199-00-5749.00-000-900000</t>
  </si>
  <si>
    <t>REPLACE CHECK 073715</t>
  </si>
  <si>
    <t>ENGLISH NOVELS</t>
  </si>
  <si>
    <t>TWO TONE FILE FOLDERS</t>
  </si>
  <si>
    <t>FILE FOLDERS &amp; SHARPIES</t>
  </si>
  <si>
    <t xml:space="preserve">GENERATOR W/HUMIDITY </t>
  </si>
  <si>
    <t>CARPET CHAIR MAT</t>
  </si>
  <si>
    <t>RESOURCE CLASS SUPPLIES</t>
  </si>
  <si>
    <t>LANYARDS</t>
  </si>
  <si>
    <t>DELL TONER CARTRIDGE</t>
  </si>
  <si>
    <t>AP ENGLISH SUPPLIES</t>
  </si>
  <si>
    <t>USB WIRED MOUSE</t>
  </si>
  <si>
    <t>SHIPPING &amp; HANDLING</t>
  </si>
  <si>
    <t>JOURNALISM SUPPLIES</t>
  </si>
  <si>
    <t xml:space="preserve">AQUEON FILTER </t>
  </si>
  <si>
    <t>FOOD SCALE</t>
  </si>
  <si>
    <t>GRAPHITE PENCILS</t>
  </si>
  <si>
    <t>MINI CLAY POTS</t>
  </si>
  <si>
    <t>POULTRY NEST BOX</t>
  </si>
  <si>
    <t xml:space="preserve">PERSIL PROCLEAN </t>
  </si>
  <si>
    <t>CURLY WIGS</t>
  </si>
  <si>
    <t>199-36-6399.H1-001-931034</t>
  </si>
  <si>
    <t>DECATHLON SUPPLIES</t>
  </si>
  <si>
    <t>AP RESOURCE GUIDES</t>
  </si>
  <si>
    <t>REEL MOTOR REPLACEMENT</t>
  </si>
  <si>
    <t>DRILL DRIVER</t>
  </si>
  <si>
    <t>2/11/19-4/29/19 MILEAGE</t>
  </si>
  <si>
    <t>BOWMAN SEWING LAB</t>
  </si>
  <si>
    <t>199-11-6649.VH-001-922022</t>
  </si>
  <si>
    <t xml:space="preserve">JANOME S3015 SEWING </t>
  </si>
  <si>
    <t xml:space="preserve">MAY 2019 RETAINER </t>
  </si>
  <si>
    <t>CAMERON, DIANA</t>
  </si>
  <si>
    <t>REPLACE CHECK 071082</t>
  </si>
  <si>
    <t>CASTRO, CELINDA</t>
  </si>
  <si>
    <t>REPLACE CHECK 072660</t>
  </si>
  <si>
    <t>199-34-6411.10-937-999182</t>
  </si>
  <si>
    <t>3/15/19-4/15/19 DOME</t>
  </si>
  <si>
    <t>3/26/19-4/25/19 TENNIS</t>
  </si>
  <si>
    <t>PRESSURE VALVES</t>
  </si>
  <si>
    <t>BULBS</t>
  </si>
  <si>
    <t>REPLACE CHECK 064736</t>
  </si>
  <si>
    <t>ACC WATER 3/14/19-4/16/19</t>
  </si>
  <si>
    <t>MS WATER 3/14/19-4/16/19</t>
  </si>
  <si>
    <t>PRIMRY WATER 3/14/19-</t>
  </si>
  <si>
    <t>INTER WATER 3/14/19-4/16/19</t>
  </si>
  <si>
    <t>ADMIN WATER 3/14/19-4/16/19</t>
  </si>
  <si>
    <t>MAINT WATER 3/14/19-4/16/19</t>
  </si>
  <si>
    <t>AG CPX WATER 3/15/19-</t>
  </si>
  <si>
    <t>INTER IRR 3/14/19-4/16/19</t>
  </si>
  <si>
    <t>FB FLD WATER 3/15/19-4/17/19</t>
  </si>
  <si>
    <t>MS GAS 3/14/19-4/16/19</t>
  </si>
  <si>
    <t>PRIMRY GAS 3/14/19-4/16/19</t>
  </si>
  <si>
    <t>INTER GAS 3/14/19-4/16/19</t>
  </si>
  <si>
    <t>DOME GAS  3/15/19-4/17/19</t>
  </si>
  <si>
    <t>BUS 44 BELT TENSIONER</t>
  </si>
  <si>
    <t>BUS 21 PRESSURE PUMP</t>
  </si>
  <si>
    <t>199-21-6649.10-871-999094</t>
  </si>
  <si>
    <t>OPTIPLEX 3060 MT XCTO</t>
  </si>
  <si>
    <t xml:space="preserve">EDUCATIONAL THEATRE </t>
  </si>
  <si>
    <t>199-36-6499.7K-001-999001</t>
  </si>
  <si>
    <t>AWARD CERTIFICATES</t>
  </si>
  <si>
    <t>199-36-6412.H1-041-999574</t>
  </si>
  <si>
    <t>REPLACE CHECK 074252</t>
  </si>
  <si>
    <t>CREAMERS &amp; SWEET &amp; LOW</t>
  </si>
  <si>
    <t>VANDALGUARD LCORE</t>
  </si>
  <si>
    <t>ALUM SURFACE HINGES</t>
  </si>
  <si>
    <t>BUS 32 AIR LEAK</t>
  </si>
  <si>
    <t>BUS 11 COMPRESSION TEST</t>
  </si>
  <si>
    <t>BUS 44 AIR BAG</t>
  </si>
  <si>
    <t>CBI TRIP @ HEB 3/27/19</t>
  </si>
  <si>
    <t>STAAR TESTING APR 9-10</t>
  </si>
  <si>
    <t>STAAR TESTING MEALS</t>
  </si>
  <si>
    <t>END OF YEAR AWARDS</t>
  </si>
  <si>
    <t>MG GARDEN SOIL</t>
  </si>
  <si>
    <t>SPOTLIGHT &amp; BATTERY KIT</t>
  </si>
  <si>
    <t xml:space="preserve">STOP RUST GLOSS, CHIP </t>
  </si>
  <si>
    <t>199-41-6399.00-939-999087</t>
  </si>
  <si>
    <t xml:space="preserve">SHREDDER &amp; DYMO LABEL </t>
  </si>
  <si>
    <t>REPLACE CHECK 070848</t>
  </si>
  <si>
    <t>MS SPRINKLER 4/5/19</t>
  </si>
  <si>
    <t>MARLEY, SHERYL</t>
  </si>
  <si>
    <t>4/1/19-4/11/19 MILEAGE</t>
  </si>
  <si>
    <t>REPLACE CHECK 069144</t>
  </si>
  <si>
    <t>4/29/19-5/3/19</t>
  </si>
  <si>
    <t>POPCORN TUBS</t>
  </si>
  <si>
    <t>PHYSICALS</t>
  </si>
  <si>
    <t xml:space="preserve">BESTEST BEDTIME PLAY </t>
  </si>
  <si>
    <t>12/12/18-3/29/19 MILEAGE</t>
  </si>
  <si>
    <t>199-11-6219.GT-101-921021</t>
  </si>
  <si>
    <t xml:space="preserve">TTCT, FIGURAL A, </t>
  </si>
  <si>
    <t>REPLACE CHECK 075088</t>
  </si>
  <si>
    <t xml:space="preserve">SOUTH TEXAS NJROTC </t>
  </si>
  <si>
    <t>199-36-6411.8M-001-999033</t>
  </si>
  <si>
    <t xml:space="preserve">NJROTC CAMP @ TAMUK JUN </t>
  </si>
  <si>
    <t>3/27/19-4/26/19</t>
  </si>
  <si>
    <t>TASB</t>
  </si>
  <si>
    <t>LEADERSHIP @ SA JUN 12-15</t>
  </si>
  <si>
    <t>ACM SAMPLING @ MS 3/26/19</t>
  </si>
  <si>
    <t xml:space="preserve">EL ARMARIO SPANISH </t>
  </si>
  <si>
    <t xml:space="preserve">TEXAS A&amp;M AGRILIFE </t>
  </si>
  <si>
    <t>IPM TRAINING @ CC APR 24-</t>
  </si>
  <si>
    <t>REPLACE CHECK 064860</t>
  </si>
  <si>
    <t>REPLACE CHECK 064786</t>
  </si>
  <si>
    <t xml:space="preserve">TEXAS HEALTH </t>
  </si>
  <si>
    <t>THOA @ CLGE STN JUL 28-</t>
  </si>
  <si>
    <t>REPLACE CHECK 074414</t>
  </si>
  <si>
    <t xml:space="preserve">TOWNPLACE SUITES </t>
  </si>
  <si>
    <t>VALADEZ, JOSE R</t>
  </si>
  <si>
    <t>REPLACE CHECK 062625</t>
  </si>
  <si>
    <t>VASQUEZ, MELINDA</t>
  </si>
  <si>
    <t>3/1/19-3/29/19</t>
  </si>
  <si>
    <t xml:space="preserve">IPAD CASE &amp; SHOULDER </t>
  </si>
  <si>
    <t>USB CABLE</t>
  </si>
  <si>
    <t xml:space="preserve">COLLEGE READINESS </t>
  </si>
  <si>
    <t>2ND GRADE SUPPLIES</t>
  </si>
  <si>
    <t>HEALTH CLASS SUPPLIES</t>
  </si>
  <si>
    <t xml:space="preserve">HEAVY DUTY WATERPROOF </t>
  </si>
  <si>
    <t>199-11-6399.SC-001-911001</t>
  </si>
  <si>
    <t>COUNTER HEIGHT CABINET</t>
  </si>
  <si>
    <t>SHIPPING PAPER LABELS</t>
  </si>
  <si>
    <t>PACON FINISH PAPER</t>
  </si>
  <si>
    <t xml:space="preserve">24 POCKET EXPANDING </t>
  </si>
  <si>
    <t xml:space="preserve">BUS 44 A/C COVER ASSY EM1 </t>
  </si>
  <si>
    <t>BUS 45 A/C COMPRESSOR</t>
  </si>
  <si>
    <t xml:space="preserve">BUS 19 A/C DRIER VACUUM &amp; </t>
  </si>
  <si>
    <t>BUS 32 @ FLEETPRIDE</t>
  </si>
  <si>
    <t>ATHEY, SHAWN</t>
  </si>
  <si>
    <t>REPLACE CHECK 058108</t>
  </si>
  <si>
    <t xml:space="preserve">AUSTIN COMMUNITY </t>
  </si>
  <si>
    <t xml:space="preserve">5/8/19-5/29/19 PHAMACY </t>
  </si>
  <si>
    <t>AYALA, HUGO</t>
  </si>
  <si>
    <t>REPLACE CHECK 069757</t>
  </si>
  <si>
    <t>DNA EXTRACTION MODULE</t>
  </si>
  <si>
    <t>BROWN INDUSTRIES, INC.</t>
  </si>
  <si>
    <t>APPLE PINS EOY ARWARDS</t>
  </si>
  <si>
    <t>CASTILLO, AIMEE</t>
  </si>
  <si>
    <t>199-13-6411.11-041-911003</t>
  </si>
  <si>
    <t xml:space="preserve">ENERGY WORKSHOP @ SA </t>
  </si>
  <si>
    <t xml:space="preserve">OAP LEND ME A TENOR </t>
  </si>
  <si>
    <t>4/4/19 SERVICE</t>
  </si>
  <si>
    <t>4/11/19 SERVICE</t>
  </si>
  <si>
    <t>4/18/19 SERVICE</t>
  </si>
  <si>
    <t>4/25/19 SERVICE</t>
  </si>
  <si>
    <t>199-41-6499.11-730-999095</t>
  </si>
  <si>
    <t>JOB FAIR 4/6/19-4/13/19</t>
  </si>
  <si>
    <t>WORKSHOP 1484226 4/17/19</t>
  </si>
  <si>
    <t>199-13-6411.VH-001-922022</t>
  </si>
  <si>
    <t>FCSTAT @ DALLAS JUL 21-26</t>
  </si>
  <si>
    <t>HARBOR ME &amp; WISHTREE</t>
  </si>
  <si>
    <t>FISH IN A TREE &amp; REBOUND</t>
  </si>
  <si>
    <t>EMERGENCY BUS CALL OUT</t>
  </si>
  <si>
    <t>BAND TRYOUTS</t>
  </si>
  <si>
    <t>199-11-6499.01-001-911001</t>
  </si>
  <si>
    <t>TEAM AWARDS 4/23/19</t>
  </si>
  <si>
    <t>JOB FAIR @ HS 4/10/19</t>
  </si>
  <si>
    <t>AWARD RIBBONS</t>
  </si>
  <si>
    <t xml:space="preserve">STATE MEET @ AUSTIN MAY </t>
  </si>
  <si>
    <t>199-36-6412.10-001-999574</t>
  </si>
  <si>
    <t>5/1/19-5/31/19 DCA RECORD</t>
  </si>
  <si>
    <t>5/1/19-5/31/19 LESSEE</t>
  </si>
  <si>
    <t>MOTOR FAN</t>
  </si>
  <si>
    <t>COIL ASSY, DRIER, CYLINDER</t>
  </si>
  <si>
    <t>199-12-6396.7U-001-911001</t>
  </si>
  <si>
    <t>BARCODE SCANNER</t>
  </si>
  <si>
    <t>MAILBOX YEARBOOK, THE</t>
  </si>
  <si>
    <t>GRADES 2-6 SUBSCRIPTION</t>
  </si>
  <si>
    <t>MCGEE, LIBBY</t>
  </si>
  <si>
    <t>HS RTU6 WATER VALVE</t>
  </si>
  <si>
    <t xml:space="preserve">HS RTU27/AHU4 </t>
  </si>
  <si>
    <t>PRIMARY MDF CONDENSER</t>
  </si>
  <si>
    <t>5/6/19-5/10/19</t>
  </si>
  <si>
    <t>STAMP</t>
  </si>
  <si>
    <t>SENIOR AWARDS</t>
  </si>
  <si>
    <t>PAC EOY 5/8/19</t>
  </si>
  <si>
    <t>S/P2</t>
  </si>
  <si>
    <t>5/10/19-5/10/20 AUTO/DIESEL</t>
  </si>
  <si>
    <t>GREASE ACTING EDITION</t>
  </si>
  <si>
    <t>SHORES-PRICE, HEATHER</t>
  </si>
  <si>
    <t>EOY AWARDS CEREMONY</t>
  </si>
  <si>
    <t xml:space="preserve">SOUTHWEST EMBLEM </t>
  </si>
  <si>
    <t>199-36-6499.7E-001-999031</t>
  </si>
  <si>
    <t xml:space="preserve">SWEEPSTAKES </t>
  </si>
  <si>
    <t>SENTENCE STRIPS</t>
  </si>
  <si>
    <t>CHAIR MAT</t>
  </si>
  <si>
    <t>HIGHLIGHTERS</t>
  </si>
  <si>
    <t>STAPLE CARTRIDGE</t>
  </si>
  <si>
    <t>5/15/19 SPRAY APPLICATION</t>
  </si>
  <si>
    <t xml:space="preserve">CELL SPINNERS &amp; COLOR </t>
  </si>
  <si>
    <t>MARS FOR NURSE</t>
  </si>
  <si>
    <t>EXEMPTION PAPER</t>
  </si>
  <si>
    <t>VARIOURS FORMS</t>
  </si>
  <si>
    <t xml:space="preserve">STUDENT &amp; PARENT </t>
  </si>
  <si>
    <t>199-12-6395.7U-104-911005</t>
  </si>
  <si>
    <t>LIBRARY BROCHURES</t>
  </si>
  <si>
    <t xml:space="preserve">VARIOUS FORMS &amp; </t>
  </si>
  <si>
    <t>ENVELOPE STICKERS</t>
  </si>
  <si>
    <t>INVITES</t>
  </si>
  <si>
    <t>WINN, ANGELA</t>
  </si>
  <si>
    <t>WORTHINGTON DIRECT</t>
  </si>
  <si>
    <t>CANTILEVER CHAIRS</t>
  </si>
  <si>
    <t>OVERSIZED STACK CHAIRS</t>
  </si>
  <si>
    <t xml:space="preserve">SPANISH/ENGLISH </t>
  </si>
  <si>
    <t>SPANISH SUPPLIES</t>
  </si>
  <si>
    <t>199-11-6399.8J-104-911005</t>
  </si>
  <si>
    <t>COATED FOAM FOOTBALL</t>
  </si>
  <si>
    <t>POASTER WHITE BOARDS</t>
  </si>
  <si>
    <t>TERRACOTTA CLAY POTS</t>
  </si>
  <si>
    <t xml:space="preserve">MINI CLAY POTS &amp; TERRA </t>
  </si>
  <si>
    <t>REPLACE CHECK 070860</t>
  </si>
  <si>
    <t>FACULTY MEETING 5/9/19</t>
  </si>
  <si>
    <t>SR BURGER W/STAFF 5/16/19</t>
  </si>
  <si>
    <t>199-11-6499.AC-001-931034</t>
  </si>
  <si>
    <t>AP TESTS</t>
  </si>
  <si>
    <t>CRAIG, DOBIE GERARD</t>
  </si>
  <si>
    <t>REPLACE CHECK 057506</t>
  </si>
  <si>
    <t xml:space="preserve">DALLAS CHAPTER AMERICAN </t>
  </si>
  <si>
    <t xml:space="preserve">LRNG SUMMIT @ PLANO AUG </t>
  </si>
  <si>
    <t>MEMORY UPGRADE 4GB</t>
  </si>
  <si>
    <t xml:space="preserve">EMPLOYMENT INTERVIEWS </t>
  </si>
  <si>
    <t>STUDENT LAB KIT BUNDLE</t>
  </si>
  <si>
    <t>VOLLEYBALLS</t>
  </si>
  <si>
    <t>ACTIVITY BALLS SET</t>
  </si>
  <si>
    <t xml:space="preserve">HANDWRITING WITHOUT </t>
  </si>
  <si>
    <t xml:space="preserve">WORKBOOKS &amp; TEACHERS </t>
  </si>
  <si>
    <t>BASIC TRAINING @ SC JUN 2-</t>
  </si>
  <si>
    <t xml:space="preserve">HODGES BADGE COMPANY, </t>
  </si>
  <si>
    <t>199-36-6499.45-104-999005</t>
  </si>
  <si>
    <t>TRACK AWARD RIBBONS</t>
  </si>
  <si>
    <t>4/1/19-4/15/19 MAINT CLICKS</t>
  </si>
  <si>
    <t>4/1/19-4/30/19 MAINT CLICKS</t>
  </si>
  <si>
    <t>5/13/19-5/17/19</t>
  </si>
  <si>
    <t xml:space="preserve">2019 3RD QTR BUGET </t>
  </si>
  <si>
    <t>CAP ERASERS</t>
  </si>
  <si>
    <t>GENERAL SUPPLIES</t>
  </si>
  <si>
    <t>199-41-6298.00-932-999084</t>
  </si>
  <si>
    <t xml:space="preserve">167 RECORD BOXES </t>
  </si>
  <si>
    <t>REPLACE CHECK 073915</t>
  </si>
  <si>
    <t xml:space="preserve">STATE SOLO @ AUSTIN JUN </t>
  </si>
  <si>
    <t>REPLACE CHECK 074308</t>
  </si>
  <si>
    <t>COLORED PAPER</t>
  </si>
  <si>
    <t>ANATOMY SUPPLIES</t>
  </si>
  <si>
    <t>NITRILE EXAM GLOVES</t>
  </si>
  <si>
    <t xml:space="preserve">GUMMY CANDIES &amp; SOUR </t>
  </si>
  <si>
    <t>T.E.A.M. AWARD 4/23/19</t>
  </si>
  <si>
    <t>SENIOR AWARDS 5/9/19</t>
  </si>
  <si>
    <t>STAFF MEETING 5/3/19</t>
  </si>
  <si>
    <t>MOBILE SHELVING</t>
  </si>
  <si>
    <t>ION SPEAKER SYSTEM</t>
  </si>
  <si>
    <t xml:space="preserve">1500 GAL UNL 4652 GAL </t>
  </si>
  <si>
    <t xml:space="preserve">DRAGON WINDOWS </t>
  </si>
  <si>
    <t xml:space="preserve">SOUTH TEXAS FOOTBALL </t>
  </si>
  <si>
    <t>REPLACE CHECK 073755</t>
  </si>
  <si>
    <t xml:space="preserve">STEWART PEST CONTROL OF </t>
  </si>
  <si>
    <t>199-11-6219.V8-001-922022</t>
  </si>
  <si>
    <t>INSECT SPRAY 10/6/18</t>
  </si>
  <si>
    <t>STORMWIND LLC</t>
  </si>
  <si>
    <t>199-53-6499.10-880-999080</t>
  </si>
  <si>
    <t>5/17/19-5/17/20</t>
  </si>
  <si>
    <t>TESTING 5/13/19-3/15/19</t>
  </si>
  <si>
    <t>ESCAPE MATH</t>
  </si>
  <si>
    <t xml:space="preserve">TEXAS SCHOOL FOR THE </t>
  </si>
  <si>
    <t xml:space="preserve">SKILLS WRKSHP @AUSTIN </t>
  </si>
  <si>
    <t>ALG/USHIS EXAMS</t>
  </si>
  <si>
    <t>REPLACE CHECK 074955</t>
  </si>
  <si>
    <t>199-11-6499.00-101-911004</t>
  </si>
  <si>
    <t xml:space="preserve">PERFECT ATTENDANCE </t>
  </si>
  <si>
    <t>MEDALS W/NECK RIBBON</t>
  </si>
  <si>
    <t>ROCKERS NAME PLATES</t>
  </si>
  <si>
    <t>TSA/FCCLA WEBSTORE</t>
  </si>
  <si>
    <t>GRAUATION CORDS</t>
  </si>
  <si>
    <t>VASQUEZ, VALERIE</t>
  </si>
  <si>
    <t>REPLACE CHECK 059624</t>
  </si>
  <si>
    <t>PRINCIPALS MEETING 4/23/19</t>
  </si>
  <si>
    <t xml:space="preserve">WRS STUDENT READER </t>
  </si>
  <si>
    <t>MS MAY 2019 90 DAY FILTER</t>
  </si>
  <si>
    <t>MS MAY 2019 180 DAY FILTER</t>
  </si>
  <si>
    <t xml:space="preserve">INTER MAY 2019 180 DAY </t>
  </si>
  <si>
    <t>HS MAY 2019 90 DAY FILTER</t>
  </si>
  <si>
    <t>HS MAY 2019 180 DAY FILTER</t>
  </si>
  <si>
    <t>ENGLISH 3 SUPPLEMENTS</t>
  </si>
  <si>
    <t xml:space="preserve">SAT DAILY WARMUPS, &amp; </t>
  </si>
  <si>
    <t>LAPTOP BATTERY &amp; CABLES</t>
  </si>
  <si>
    <t>5/15/19-6/14/19</t>
  </si>
  <si>
    <t>AUTONATION CHEVROLET</t>
  </si>
  <si>
    <t>TM111 BODY REPAIRS</t>
  </si>
  <si>
    <t>199-00-1291.04-000-900000</t>
  </si>
  <si>
    <t>4/17/19-4/17/20</t>
  </si>
  <si>
    <t>4/23/19-4/23/20</t>
  </si>
  <si>
    <t>EXECUTIVE WASH</t>
  </si>
  <si>
    <t>199-11-6249.VA-001-922022</t>
  </si>
  <si>
    <t xml:space="preserve">CNA CERTIFICATION </t>
  </si>
  <si>
    <t xml:space="preserve">CVA LEVEL 1 EXAM </t>
  </si>
  <si>
    <t xml:space="preserve">1YR CREATIVE CLOUD </t>
  </si>
  <si>
    <t>INDIAN MASCOT COSTUME</t>
  </si>
  <si>
    <t>199-36-6411.7K-001-999574</t>
  </si>
  <si>
    <t>199-36-6412.11-001-999574</t>
  </si>
  <si>
    <t xml:space="preserve">NATL SPEECH @ DALLAS JUN </t>
  </si>
  <si>
    <t>199-36-6412.V2-001-922574</t>
  </si>
  <si>
    <t>TSA NATIONAL @ MD JUN 27-</t>
  </si>
  <si>
    <t>4/24/19-4/30/19</t>
  </si>
  <si>
    <t>SOFTWARE KEY</t>
  </si>
  <si>
    <t>HARDWOOD SLAT ROCKERS</t>
  </si>
  <si>
    <t xml:space="preserve">LEGENDS CONCERT @ PAC </t>
  </si>
  <si>
    <t>AQUATIC SUPPLIES</t>
  </si>
  <si>
    <t>C.W. PUBLICATIONS</t>
  </si>
  <si>
    <t xml:space="preserve">CURRENT CURRICULUM </t>
  </si>
  <si>
    <t>AMENDED AUTO COVERAGE</t>
  </si>
  <si>
    <t>ANIMAL TRAY PADS</t>
  </si>
  <si>
    <t xml:space="preserve">AVERVISION DOCUMENT </t>
  </si>
  <si>
    <t>199-11-6649.8U-041-911003</t>
  </si>
  <si>
    <t>APR 2019 PT SERVICES</t>
  </si>
  <si>
    <t>CONSTANTE, HORTENCIA</t>
  </si>
  <si>
    <t xml:space="preserve">VOLUNTEER APPRECIATION </t>
  </si>
  <si>
    <t xml:space="preserve">BATHROOMS SEWER </t>
  </si>
  <si>
    <t>TOILET SLOAN VALVE</t>
  </si>
  <si>
    <t>WELDING &amp; AUTO TUITION</t>
  </si>
  <si>
    <t xml:space="preserve">DEL MAR COLLEGE </t>
  </si>
  <si>
    <t>CAP &amp; GOWN, TASSELS</t>
  </si>
  <si>
    <t xml:space="preserve">DON JOHNSTON </t>
  </si>
  <si>
    <t xml:space="preserve">CO-WRITER UNIVERSAL </t>
  </si>
  <si>
    <t>THESPIAN TROUPE PINS</t>
  </si>
  <si>
    <t>199-23-6299.10-001-999001</t>
  </si>
  <si>
    <t>199-12-6329.7U-101-911004</t>
  </si>
  <si>
    <t>GAME COURT SERVICES</t>
  </si>
  <si>
    <t xml:space="preserve">BLEACHERS PENDANT </t>
  </si>
  <si>
    <t>UPPER ASSEMBLY BRUSH</t>
  </si>
  <si>
    <t>SOURING PADS</t>
  </si>
  <si>
    <t>199-51-6639.M3-936-999081</t>
  </si>
  <si>
    <t>3/14/19-4/29/19</t>
  </si>
  <si>
    <t>4/15/19-5/15/19 AG BARN</t>
  </si>
  <si>
    <t>REPLACE CHECK 071419</t>
  </si>
  <si>
    <t xml:space="preserve">SORTER, ELECTRIC </t>
  </si>
  <si>
    <t>5/15/19-9/14/19 LESSEE</t>
  </si>
  <si>
    <t>MS GYM A/C DEEP LOUVERS</t>
  </si>
  <si>
    <t>5/20/19-5/24/19</t>
  </si>
  <si>
    <t>OFFICE DEPOT INC</t>
  </si>
  <si>
    <t>199-31-6399.7F-101-999004</t>
  </si>
  <si>
    <t>199-11-6269.7B-001-911032</t>
  </si>
  <si>
    <t>FINAL CIP MEETING 5/23/19</t>
  </si>
  <si>
    <t>PRINCIPALS MEETING 5/21/19</t>
  </si>
  <si>
    <t>CLASSROOM BOOKS</t>
  </si>
  <si>
    <t>SCAREDY SQUIRREL MAKES</t>
  </si>
  <si>
    <t xml:space="preserve">JOURNEY ONE ONLY </t>
  </si>
  <si>
    <t>199-11-6499.10-001-931034</t>
  </si>
  <si>
    <t>CUSTOM TOP TEN BANNER</t>
  </si>
  <si>
    <t>SPOFFORD, TRENT</t>
  </si>
  <si>
    <t xml:space="preserve">TEXAS MUSIC FESTIVALS, </t>
  </si>
  <si>
    <t>CHOIR AWARDS</t>
  </si>
  <si>
    <t>TREVINO, FELICIA ANN</t>
  </si>
  <si>
    <t xml:space="preserve">TEACHER APPRECIATION </t>
  </si>
  <si>
    <t>SENIORS FIELD DAY 5/16/19</t>
  </si>
  <si>
    <t>199-41-6498.00-939-999087</t>
  </si>
  <si>
    <t>ADMIN BREAKFAST 4/24/19</t>
  </si>
  <si>
    <t xml:space="preserve">SUB REQUEST, ABSENT </t>
  </si>
  <si>
    <t>NURSE FORMS</t>
  </si>
  <si>
    <t>PHOTO BANNER</t>
  </si>
  <si>
    <t>SENIOR AWARDS BOOKLET</t>
  </si>
  <si>
    <t>PARENT PACKETS</t>
  </si>
  <si>
    <t>JOURNALISM MAGAZINES</t>
  </si>
  <si>
    <t>MATH REVIEW</t>
  </si>
  <si>
    <t xml:space="preserve">PARENTS  &amp; STUDENT </t>
  </si>
  <si>
    <t xml:space="preserve">PARENTS  &amp; STUDEN </t>
  </si>
  <si>
    <t>199-11-6395.7Q-001-911001</t>
  </si>
  <si>
    <t>GRADUATION PROGRAM</t>
  </si>
  <si>
    <t>SPRING CHOIR PROGRAMS</t>
  </si>
  <si>
    <t xml:space="preserve">SPRING CONCERT </t>
  </si>
  <si>
    <t xml:space="preserve">EE HANDBOOK , PAYROLL </t>
  </si>
  <si>
    <t>VALPERTS, JEFFERY D.</t>
  </si>
  <si>
    <t xml:space="preserve">DRUM MAJOR TRYOUTS </t>
  </si>
  <si>
    <t>VISUALIZE IT PRODUCTIONS</t>
  </si>
  <si>
    <t>BUTCHER PAPER</t>
  </si>
  <si>
    <t>TEACHER STAAR LUNCHES</t>
  </si>
  <si>
    <t>OFFICE FURNITURE</t>
  </si>
  <si>
    <t>199-53-6649.00-880-999080</t>
  </si>
  <si>
    <t>EXECUTIVE &amp; GUEST CHAIRS</t>
  </si>
  <si>
    <t>199-36-6499.09-001-991091</t>
  </si>
  <si>
    <t>UIL DISTRICT 29 5A</t>
  </si>
  <si>
    <t>199-52-6649.00-880-999080</t>
  </si>
  <si>
    <t xml:space="preserve">DOME CAMERAS &amp; WALL </t>
  </si>
  <si>
    <t>TEXTBOOKS</t>
  </si>
  <si>
    <t>199-11-6649.VT-001-911001</t>
  </si>
  <si>
    <t xml:space="preserve">DRAWING TABLET </t>
  </si>
  <si>
    <t>2/1/19-5/29/19 MILEAGE</t>
  </si>
  <si>
    <t>BOWERS, LINDSEY</t>
  </si>
  <si>
    <t>1/7/19-5/17/19 MILEAGE</t>
  </si>
  <si>
    <t>BEACH BALLS, BASKETBALL</t>
  </si>
  <si>
    <t>12/3/18-5/21/19 MILEAGE</t>
  </si>
  <si>
    <t>CAREER CRUISING</t>
  </si>
  <si>
    <t>199-11-6329.V1-001-922022</t>
  </si>
  <si>
    <t>6/1/19-8/31/20SPRINGBOARD</t>
  </si>
  <si>
    <t>BUS 4 ALTERNATOR</t>
  </si>
  <si>
    <t>HS WATER 3/15/19-4/17/19</t>
  </si>
  <si>
    <t>HS WATER 4/17/19-5/16/19</t>
  </si>
  <si>
    <t>ACC WATER 4/16/19-5/15/19</t>
  </si>
  <si>
    <t>MS WATER 4/16/19-5/15/19</t>
  </si>
  <si>
    <t>PRIMRY WATER 4/16/19-</t>
  </si>
  <si>
    <t>INTER WATER 4/16/19-5/15/19</t>
  </si>
  <si>
    <t>ADMIN WATER 4/16/19-5/15/19</t>
  </si>
  <si>
    <t>MAINT WATER 4/16/19-5/15/19</t>
  </si>
  <si>
    <t>AG CPX WATER 4/17/19-</t>
  </si>
  <si>
    <t>INTER IRR 4/16/19-5/15/19</t>
  </si>
  <si>
    <t>FB FLD WATER 4/17/19-5/16/19</t>
  </si>
  <si>
    <t>HS GAS 3/15/19-4/17/19</t>
  </si>
  <si>
    <t>HS GAS 4/17/19-5/16/19</t>
  </si>
  <si>
    <t>MS GAS 4/16/19-5/15/19</t>
  </si>
  <si>
    <t>PRIMRY GAS 4/16/19-5/15/19</t>
  </si>
  <si>
    <t>INTER GAS 4/16/19-5/15/19</t>
  </si>
  <si>
    <t>DOME GAS 4/17/19-5/16/19</t>
  </si>
  <si>
    <t xml:space="preserve">BUS 9 LOADING LIGHT </t>
  </si>
  <si>
    <t>1/22/19-5/24/19 MILEAGE</t>
  </si>
  <si>
    <t xml:space="preserve">6/13/19-6/12/20 VMWARE </t>
  </si>
  <si>
    <t>TM117 TANK &amp; HEADER ASSY</t>
  </si>
  <si>
    <t xml:space="preserve">BUS 40 GLASS </t>
  </si>
  <si>
    <t xml:space="preserve">OVERLOAD HEATER </t>
  </si>
  <si>
    <t>ECO2 32W</t>
  </si>
  <si>
    <t>250V FUSES</t>
  </si>
  <si>
    <t>EMER 1300 LUMEN</t>
  </si>
  <si>
    <t>ECO2 32W 4100K</t>
  </si>
  <si>
    <t>42W VPRF FLUOR FIX</t>
  </si>
  <si>
    <t xml:space="preserve">SCHALGE MORTISE LOCK </t>
  </si>
  <si>
    <t xml:space="preserve">BUS 32 AIR BUZZER, AIR </t>
  </si>
  <si>
    <t>BUS 32 REPAIR OIL LEAK</t>
  </si>
  <si>
    <t>GARIBAY, NELDA</t>
  </si>
  <si>
    <t>1/7/19-5/22/19 MILEAGE</t>
  </si>
  <si>
    <t xml:space="preserve">UIL ACADEMIC MEET @ GP </t>
  </si>
  <si>
    <t>199-36-6495.09-101-999004</t>
  </si>
  <si>
    <t>SPRING CONCERT 5/10/19</t>
  </si>
  <si>
    <t xml:space="preserve">SPECIAL OLYMPICS </t>
  </si>
  <si>
    <t xml:space="preserve">STUDENTS &amp; DEPARTMENT </t>
  </si>
  <si>
    <t>STAAR TESTING 5/13/19</t>
  </si>
  <si>
    <t>STAAR TESTING 5/14/19</t>
  </si>
  <si>
    <t>STAAR TESTING 5/15/19</t>
  </si>
  <si>
    <t>STAAR TESTING 5/16/19</t>
  </si>
  <si>
    <t>DRAMA AWARDS BANQUET</t>
  </si>
  <si>
    <t xml:space="preserve">4/1 &amp; 4/22 DETECTION </t>
  </si>
  <si>
    <t>4/8/19 DETECTION SERVICE</t>
  </si>
  <si>
    <t>BOARD MEETING 5/29/19</t>
  </si>
  <si>
    <t xml:space="preserve">INTER FIRE SPRINKLER </t>
  </si>
  <si>
    <t xml:space="preserve">PRIMRY FIRE SPRINKLER </t>
  </si>
  <si>
    <t xml:space="preserve">HS FIRE SPRINKLER INSP </t>
  </si>
  <si>
    <t xml:space="preserve">MS FIRE SPRINKLER INSP </t>
  </si>
  <si>
    <t>HS ALARM SERVICE 4/30/19</t>
  </si>
  <si>
    <t>HS ALARM SERVICE 5/13/19</t>
  </si>
  <si>
    <t>KOGNITO SOLUTIONS</t>
  </si>
  <si>
    <t>199-13-6411.10-002-911002</t>
  </si>
  <si>
    <t xml:space="preserve">AT RISK ONLINE </t>
  </si>
  <si>
    <t>1/7/19-5/20/19 MILEAGE</t>
  </si>
  <si>
    <t xml:space="preserve">STAAR BLITZ &amp; FOCUS </t>
  </si>
  <si>
    <t>4/3/19-5/22/19 MILEAGE</t>
  </si>
  <si>
    <t>12/4/18-5/22/19 MILEAE</t>
  </si>
  <si>
    <t>THERMOSTATIC MIXING</t>
  </si>
  <si>
    <t>HOT CP LEVER</t>
  </si>
  <si>
    <t>ZURN CVR &amp; SCREW</t>
  </si>
  <si>
    <t>199-32-6399.00-999-999002</t>
  </si>
  <si>
    <t>HOMELESS ASSISTANCE ACT</t>
  </si>
  <si>
    <t>3/15/19 MEDICAID CLAIMS</t>
  </si>
  <si>
    <t>4/19/19 MEDICAID CLAIMS</t>
  </si>
  <si>
    <t>ABC PRIZES</t>
  </si>
  <si>
    <t>HAND PUPPETS CAUCASIA</t>
  </si>
  <si>
    <t>STUDENT SUPPLIES</t>
  </si>
  <si>
    <t xml:space="preserve">NNAT2 SCAN SCORRING </t>
  </si>
  <si>
    <t>ADVION &amp; ANT BAIT GEL</t>
  </si>
  <si>
    <t>199-11-6339.11-041-911003</t>
  </si>
  <si>
    <t>STAAR SUPPLIES</t>
  </si>
  <si>
    <t>CLASSROOM PROJECT</t>
  </si>
  <si>
    <t>PNK PEARL ERASERS</t>
  </si>
  <si>
    <t>SBDM MEETING 4/29/19</t>
  </si>
  <si>
    <t>TEACHER APPRECIATION</t>
  </si>
  <si>
    <t>STAAR LUNCHES 5/16/19</t>
  </si>
  <si>
    <t xml:space="preserve">PRE EMPLOYMENT/RANDOM </t>
  </si>
  <si>
    <t xml:space="preserve">NON DOT &amp; ON SITE </t>
  </si>
  <si>
    <t>PRETTY ONE CAKE CO</t>
  </si>
  <si>
    <t>DRAMA BANQUET 5/10/19</t>
  </si>
  <si>
    <t>5/3/19 POSTAGE REFILL</t>
  </si>
  <si>
    <t>RAMIREZ, MARISSA</t>
  </si>
  <si>
    <t>8/20/18-5/17/19 MILEAGE</t>
  </si>
  <si>
    <t>1/7/19-5/23/19 MILEAGE</t>
  </si>
  <si>
    <t>STAAR TESTING 5/8/19</t>
  </si>
  <si>
    <t>STAFF MEETING 5/28/19</t>
  </si>
  <si>
    <t xml:space="preserve">GRADUATION </t>
  </si>
  <si>
    <t>TM116 LT225/75R16 TIRES</t>
  </si>
  <si>
    <t>SPIRAL BINDING LLC</t>
  </si>
  <si>
    <t>SUPER STRIP BINDING TAPE</t>
  </si>
  <si>
    <t>WASHABLE MARKERS</t>
  </si>
  <si>
    <t>BOY SUPPLIES</t>
  </si>
  <si>
    <t>4TH GRADE SUPPLIES</t>
  </si>
  <si>
    <t xml:space="preserve">ELECTRIC PENCIL </t>
  </si>
  <si>
    <t>SCREEN WIPES</t>
  </si>
  <si>
    <t>CALENDAR SET</t>
  </si>
  <si>
    <t xml:space="preserve">BLACK &amp; WHITE BOARDER </t>
  </si>
  <si>
    <t>TEACHER PLANNER BOOK</t>
  </si>
  <si>
    <t>SLIME PROJECT CASE</t>
  </si>
  <si>
    <t>ITEMS NOT RECEIVED</t>
  </si>
  <si>
    <t>CLEAR &amp; CORRECTION TAPE</t>
  </si>
  <si>
    <t>FILM DISPENSOR</t>
  </si>
  <si>
    <t>CHAIRMAT</t>
  </si>
  <si>
    <t>STEWART SIGNS</t>
  </si>
  <si>
    <t>MEANWELL POWER SUPPLY</t>
  </si>
  <si>
    <t>LOCAL DISTRICT UPDATE</t>
  </si>
  <si>
    <t>199-41-6499.12-730-999095</t>
  </si>
  <si>
    <t>FSA FUNDING</t>
  </si>
  <si>
    <t xml:space="preserve">TEXAS FFA @ FT WORTH JUL </t>
  </si>
  <si>
    <t>PTO SWITCH</t>
  </si>
  <si>
    <t>DOORHANGERS</t>
  </si>
  <si>
    <t>PASTEL CARDSTOCK</t>
  </si>
  <si>
    <t>COLOR COPY PAPER</t>
  </si>
  <si>
    <t>GLOSS PAPER &amp; ENVELOPES</t>
  </si>
  <si>
    <t>NCR NEEKOOSA</t>
  </si>
  <si>
    <t>WYCKOFF, JORDAN</t>
  </si>
  <si>
    <t>3/12/19-5/23/19 MILEAGE</t>
  </si>
  <si>
    <t>199-41-6649.00-939-999087</t>
  </si>
  <si>
    <t>HIGH BLACK CHAIR</t>
  </si>
  <si>
    <t>BUS 11 @ ALLISON TRANS</t>
  </si>
  <si>
    <t>BUS 4 @ CC BATTERY</t>
  </si>
  <si>
    <t>WIPER BLADES</t>
  </si>
  <si>
    <t>BEARCOM</t>
  </si>
  <si>
    <t xml:space="preserve">TRIPPE LITE RACKMOUNT </t>
  </si>
  <si>
    <t xml:space="preserve">JUN 2019 RETAINER </t>
  </si>
  <si>
    <t>199-11-6411.00-101-923123</t>
  </si>
  <si>
    <t>8/22/18-5/29/19 MILEAGE</t>
  </si>
  <si>
    <t>CAPITAL KLEEN-AIR, INC.</t>
  </si>
  <si>
    <t xml:space="preserve">CLEAN KITCHEN EXHAUST </t>
  </si>
  <si>
    <t xml:space="preserve">CHILLER ALARM VFD </t>
  </si>
  <si>
    <t>4/15/19-5/15/19 DOME</t>
  </si>
  <si>
    <t>4/25/19-5/24/19 TENNIS</t>
  </si>
  <si>
    <t xml:space="preserve">LIGHT THOMAS MOULDED </t>
  </si>
  <si>
    <t>ARMORED MOUNT</t>
  </si>
  <si>
    <t>5/2/19 SERVICE</t>
  </si>
  <si>
    <t>5/9/19 SERVICE</t>
  </si>
  <si>
    <t>5/16/19 SERVICE</t>
  </si>
  <si>
    <t>5/23/19 SERVICE</t>
  </si>
  <si>
    <t xml:space="preserve">2X2 FINE FISSURED CEILING </t>
  </si>
  <si>
    <t>COBOS, KARLA</t>
  </si>
  <si>
    <t>8/21/18-5/20/19 MILEAGE</t>
  </si>
  <si>
    <t>MAY 2019 OT SERVICES</t>
  </si>
  <si>
    <t xml:space="preserve">DOUBLETREE SUITES BY </t>
  </si>
  <si>
    <t>DOUBRAVA, LORRI</t>
  </si>
  <si>
    <t>11/3/17-4/11/18 MILEAGE</t>
  </si>
  <si>
    <t>WORKSHOP 1481506 5/4/19</t>
  </si>
  <si>
    <t>EDUTECH VISIONS, INC.</t>
  </si>
  <si>
    <t>199-21-6299.00-939-999087</t>
  </si>
  <si>
    <t>INSTRUCTIONAL AUDIT</t>
  </si>
  <si>
    <t xml:space="preserve">INSTRUCTIONAL AUDIT </t>
  </si>
  <si>
    <t>199-51-6269.10-936-999081</t>
  </si>
  <si>
    <t xml:space="preserve">MOVE TABLES/CHAIRS CUM </t>
  </si>
  <si>
    <t>AREA X @ LOGARTO JUN 21-</t>
  </si>
  <si>
    <t>FALCON, REBECCA</t>
  </si>
  <si>
    <t>199-11-6411.00-001-923123</t>
  </si>
  <si>
    <t>8/16/18-5/24/19 MILEAGE</t>
  </si>
  <si>
    <t>199-11-6411.00-041-923123</t>
  </si>
  <si>
    <t>MULTIPURPOSE PAPER</t>
  </si>
  <si>
    <t>PERFORATED PAPER</t>
  </si>
  <si>
    <t>BLAZER DIGITAL GLOSS TEXT</t>
  </si>
  <si>
    <t>199-11-6299.7Q-001-911001</t>
  </si>
  <si>
    <t>BRUSH ROLLERS</t>
  </si>
  <si>
    <t xml:space="preserve">ARSENAL TOP CLEAN &amp; </t>
  </si>
  <si>
    <t xml:space="preserve">PHOTOSHOP @ AUSTIN JUN </t>
  </si>
  <si>
    <t>SET DESIGN SUPPLIES</t>
  </si>
  <si>
    <t>PLEDGE ORANGE</t>
  </si>
  <si>
    <t>199-21-6411.00-875-923123</t>
  </si>
  <si>
    <t>8/20/18-6/6/19 MILEAGE</t>
  </si>
  <si>
    <t>ORCHESTRAL MUSIC</t>
  </si>
  <si>
    <t>MUSIC EPRINTS</t>
  </si>
  <si>
    <t>6/1/19-6/30/19 DCA RECORD</t>
  </si>
  <si>
    <t>6/1/19-6/30/19 LESSEE</t>
  </si>
  <si>
    <t xml:space="preserve">PHONEMIC AWARENESS </t>
  </si>
  <si>
    <t>12/6/18-6/4/19 MILEAGE</t>
  </si>
  <si>
    <t>MSDSONLINE, INC.</t>
  </si>
  <si>
    <t>9/9/19-6/8/20</t>
  </si>
  <si>
    <t>6/1/19-6/30/19</t>
  </si>
  <si>
    <t>PEREZ, ROSE</t>
  </si>
  <si>
    <t>2/20/19-5/17/19 MILEAGE</t>
  </si>
  <si>
    <t>LOST &amp; FOUND HELPING</t>
  </si>
  <si>
    <t>PAC DECORATIONS</t>
  </si>
  <si>
    <t>GOGGLE TRAINING 5/10/19</t>
  </si>
  <si>
    <t>INTERNET PHOTO</t>
  </si>
  <si>
    <t>EOY CELEBRATION 5/28/19</t>
  </si>
  <si>
    <t xml:space="preserve">HS STUDENT </t>
  </si>
  <si>
    <t>EOY TEACHER LUNCHEON</t>
  </si>
  <si>
    <t>2/18/19-6/3/19 MILEAGE</t>
  </si>
  <si>
    <t>PRECHECK, INC.</t>
  </si>
  <si>
    <t>CNA BACKGROUND CHECK</t>
  </si>
  <si>
    <t>ACCT SETUP INCORRECTLY</t>
  </si>
  <si>
    <t>TSHRT PROPOSAL 5/15/19-</t>
  </si>
  <si>
    <t>3RD GRADE SUPPLIES</t>
  </si>
  <si>
    <t>SOUTH TEXAS BALFOUR</t>
  </si>
  <si>
    <t xml:space="preserve">TURQUOISE DOUBLE HONOR </t>
  </si>
  <si>
    <t>199-11-6399.V1-001-922022</t>
  </si>
  <si>
    <t>199-11-6499.10-002-911002</t>
  </si>
  <si>
    <t>MAROON/GOLD TASSELS</t>
  </si>
  <si>
    <t xml:space="preserve">ASSORTED DOUBLE HONOR </t>
  </si>
  <si>
    <t xml:space="preserve">MAROON/GOLD DOUBLE </t>
  </si>
  <si>
    <t>199-11-6499.AW-001-931034</t>
  </si>
  <si>
    <t>PINK DOUBLE HONOR CORDS</t>
  </si>
  <si>
    <t>199-36-6499.8S-001-999001</t>
  </si>
  <si>
    <t xml:space="preserve">RED/SILVER DOUBLE HONOR </t>
  </si>
  <si>
    <t>4/27/19-5/26/19</t>
  </si>
  <si>
    <t>5TH GRADE SUPPLIES</t>
  </si>
  <si>
    <t>CAP ERASERS &amp; MAGNETS</t>
  </si>
  <si>
    <t>DRY ERASE MARKER</t>
  </si>
  <si>
    <t>METALLICS GEL PENS</t>
  </si>
  <si>
    <t>CHAT ELECTRICAL CIRUITS</t>
  </si>
  <si>
    <t xml:space="preserve">LEARNING CHART LIGHT &amp; </t>
  </si>
  <si>
    <t>EZ GRADER</t>
  </si>
  <si>
    <t>MAGNETIC HALL PASSES</t>
  </si>
  <si>
    <t>CREATE A SPACE BINS</t>
  </si>
  <si>
    <t xml:space="preserve">ENVELOPES &amp; </t>
  </si>
  <si>
    <t>COUSELORS SUPPLIES</t>
  </si>
  <si>
    <t>PENCIL GRIPS</t>
  </si>
  <si>
    <t>PRINCIPALS MEETING 3/26/19</t>
  </si>
  <si>
    <t>CERTIFICATION EXAMS</t>
  </si>
  <si>
    <t>ONRAMPS @ AUSTIN JUN 24-</t>
  </si>
  <si>
    <t>VANDERBURG, SABRINA</t>
  </si>
  <si>
    <t>STATE SOLO @ AUSTIN 6/3/19</t>
  </si>
  <si>
    <t>WALLACE, DON</t>
  </si>
  <si>
    <t>WESLACO MUSIC CENTER</t>
  </si>
  <si>
    <t>CUSTOMIZED MONOS (TIES)</t>
  </si>
  <si>
    <t>MARIACHI UNIFORMS</t>
  </si>
  <si>
    <t>WELDING MACHINE REPAIR</t>
  </si>
  <si>
    <t>METAL LOCKER CABINET</t>
  </si>
  <si>
    <t>TECH SUPPLES</t>
  </si>
  <si>
    <t>VGA MONITOR CABLES</t>
  </si>
  <si>
    <t>GORILLA SUPER GLUE</t>
  </si>
  <si>
    <t>FEMALE ADAPTER CABLES</t>
  </si>
  <si>
    <t>COMPOSITE FOOTBALLS</t>
  </si>
  <si>
    <t>LAPTOP BATTERY</t>
  </si>
  <si>
    <t>EASEL PADS</t>
  </si>
  <si>
    <t xml:space="preserve">SHARPIES &amp; POCKET </t>
  </si>
  <si>
    <t xml:space="preserve">SWIVEL ROLLING DENTAL </t>
  </si>
  <si>
    <t>PACIFIC BASS STARTER SET</t>
  </si>
  <si>
    <t>199-11-6399.VB-002-922022</t>
  </si>
  <si>
    <t xml:space="preserve">3D PRINTER FILAMENT </t>
  </si>
  <si>
    <t xml:space="preserve">HATCHBOX 3D PRINTER </t>
  </si>
  <si>
    <t>199-11-6499.11-002-911002</t>
  </si>
  <si>
    <t xml:space="preserve">POPCORN MACHINE &amp; </t>
  </si>
  <si>
    <t>199-23-6399.12-041-999003</t>
  </si>
  <si>
    <t>LED FLASHLIGHTS</t>
  </si>
  <si>
    <t>GUIDANCE SUPPLIES</t>
  </si>
  <si>
    <t>FOLDING CARTS</t>
  </si>
  <si>
    <t>PROJECTOR SCREEN</t>
  </si>
  <si>
    <t>SPEECH &amp; DEBATE SUPPLIES</t>
  </si>
  <si>
    <t>LEGAL PADS</t>
  </si>
  <si>
    <t>POLKA DOT GIFT BAGS</t>
  </si>
  <si>
    <t>ROLLER COOLERS</t>
  </si>
  <si>
    <t>STACKING DRAWER</t>
  </si>
  <si>
    <t>DUAL TAPE DISPENSER</t>
  </si>
  <si>
    <t xml:space="preserve">ETHERNET INJECTOR &amp; </t>
  </si>
  <si>
    <t>OFFICE DESK CHAIRS</t>
  </si>
  <si>
    <t>FILTER AIR &amp; ROLL</t>
  </si>
  <si>
    <t>199-11-6649.10-002-911002</t>
  </si>
  <si>
    <t>MACBOOK AIR</t>
  </si>
  <si>
    <t>TM128 NEW DOOR CHECK</t>
  </si>
  <si>
    <t xml:space="preserve">MAIN REPEATER NON </t>
  </si>
  <si>
    <t>BUSES RADIO REPAIR</t>
  </si>
  <si>
    <t xml:space="preserve">BASKETBALLS &amp; WEIGHT </t>
  </si>
  <si>
    <t>199-36-6399.3N-001-991274</t>
  </si>
  <si>
    <t>BATTERY CARTRIDGE</t>
  </si>
  <si>
    <t xml:space="preserve">CUBE MICRO STATION </t>
  </si>
  <si>
    <t xml:space="preserve">ADJUSTABLE KEYBOARD </t>
  </si>
  <si>
    <t>MAY 2019 PT SERVICES</t>
  </si>
  <si>
    <t>NETWORK RACK</t>
  </si>
  <si>
    <t>CPA BIDS 5/1/19-5/8/19</t>
  </si>
  <si>
    <t>ATHLETIC INS BID 5/8/19-</t>
  </si>
  <si>
    <t>EXCLNCE PINS</t>
  </si>
  <si>
    <t>GAS CONTROL PANELS</t>
  </si>
  <si>
    <t>CAST IRON SUMP PUMP</t>
  </si>
  <si>
    <t xml:space="preserve">REPLACED PROPRESS BALL </t>
  </si>
  <si>
    <t>199-53-6639.00-880-999080</t>
  </si>
  <si>
    <t>POWER EDGE R540 SERVER</t>
  </si>
  <si>
    <t>6/2/19-7/2/20 SUBSCRIPTIONS</t>
  </si>
  <si>
    <t>CORDLESS SCANNER</t>
  </si>
  <si>
    <t>199-13-6411.7E-001-911031</t>
  </si>
  <si>
    <t xml:space="preserve">TCDA CONVENTION @ SA JUL </t>
  </si>
  <si>
    <t>GULF COAST PAPER CO INC</t>
  </si>
  <si>
    <t xml:space="preserve">DANMAR MACHINE </t>
  </si>
  <si>
    <t>AUTO SCRUBBERS</t>
  </si>
  <si>
    <t>4/12/19-5/29/19</t>
  </si>
  <si>
    <t>5/15/19-6/14/19 AG BARN</t>
  </si>
  <si>
    <t>5/1/19 DETECTION SERVICE</t>
  </si>
  <si>
    <t xml:space="preserve">CURRICULUM 101 TRAINING </t>
  </si>
  <si>
    <t>DRILLTEAM CAMP 6/12/19</t>
  </si>
  <si>
    <t>199-41-6399.00-932-999084</t>
  </si>
  <si>
    <t>HS ALARM SERVICE 5/24/19</t>
  </si>
  <si>
    <t>MS SPRINKLER 5/30/19</t>
  </si>
  <si>
    <t>CAN DO IT READING</t>
  </si>
  <si>
    <t>LEARNING A-Z</t>
  </si>
  <si>
    <t>7/23/19-9/1/20 LICENSES</t>
  </si>
  <si>
    <t>MTR 3/4HP &amp; MTR BL</t>
  </si>
  <si>
    <t>5/17/19 MEDICAID CLAIMS</t>
  </si>
  <si>
    <t>5/24/19 MEDICAID CLAIMS</t>
  </si>
  <si>
    <t>5/31/19 MEDICAID CLAIMS</t>
  </si>
  <si>
    <t>199-11-6399.7A-002-911002</t>
  </si>
  <si>
    <t>7/1/19-9/30/19</t>
  </si>
  <si>
    <t>199-11-6649.N7-001-911001</t>
  </si>
  <si>
    <t>NEW ICE MACHINE</t>
  </si>
  <si>
    <t>SHEET PROTECTORS</t>
  </si>
  <si>
    <t xml:space="preserve">POCKET FOLDERS &amp; </t>
  </si>
  <si>
    <t xml:space="preserve">NON-DESCRIMINATION </t>
  </si>
  <si>
    <t>199-21-6499.00-875-923023</t>
  </si>
  <si>
    <t xml:space="preserve">DESTRUCTION RECORDS </t>
  </si>
  <si>
    <t>STAFF MEETING 5/29/19</t>
  </si>
  <si>
    <t>199-11-6399.AW-001-931034</t>
  </si>
  <si>
    <t>FISH CAMP 7/11/19</t>
  </si>
  <si>
    <t>TALL STORAGE CABINETS</t>
  </si>
  <si>
    <t>PALS AWARDS</t>
  </si>
  <si>
    <t xml:space="preserve">FB GIFT BASKETS OPPOSING </t>
  </si>
  <si>
    <t>GREASE @ PAC 10/10/19-</t>
  </si>
  <si>
    <t>5/4/19-6/8/19 MILEAGE</t>
  </si>
  <si>
    <t>SECURE BY DESIGN, INC</t>
  </si>
  <si>
    <t>6/14/19/-6/12/20 NINITE PRO</t>
  </si>
  <si>
    <t>MANILA FOLDERS</t>
  </si>
  <si>
    <t>TEXAS CHORAL DIRECTORS</t>
  </si>
  <si>
    <t>TRIFOLD FOLDERS</t>
  </si>
  <si>
    <t>FLYERS</t>
  </si>
  <si>
    <t>MEGA TRAY CABINET</t>
  </si>
  <si>
    <t>FRONT L DESK</t>
  </si>
  <si>
    <t>BINDERS &amp; POST IT</t>
  </si>
  <si>
    <t>LETTER COPY PAPER</t>
  </si>
  <si>
    <t>199-12-6399.7U-041-911003</t>
  </si>
  <si>
    <t>CEILING HOOKS &amp; STAMP</t>
  </si>
  <si>
    <t>ENDORSEMENT STAMPS</t>
  </si>
  <si>
    <t>FILE CABINET</t>
  </si>
  <si>
    <t>PLASTIC CLIPBOARD</t>
  </si>
  <si>
    <t>199-41-6399.00-709-999083</t>
  </si>
  <si>
    <t>CARDS</t>
  </si>
  <si>
    <t>CUSTOM STAMPS</t>
  </si>
  <si>
    <t xml:space="preserve">BUS 11 LOWER RADIATOR </t>
  </si>
  <si>
    <t>BUS 42 OIL CHANGE</t>
  </si>
  <si>
    <t>BUS 59 OIL CHANGE</t>
  </si>
  <si>
    <t>BUS 58 OIL CHANGE</t>
  </si>
  <si>
    <t>BUS 56 OIL CHANGE &amp; DOT</t>
  </si>
  <si>
    <t>199-52-6639.00-880-999080</t>
  </si>
  <si>
    <t>PANASONIC SERVER</t>
  </si>
  <si>
    <t>OPEN FRAME RACK</t>
  </si>
  <si>
    <t>ESL SUPPLIES</t>
  </si>
  <si>
    <t>USB DRIVE &amp; BATTERIES</t>
  </si>
  <si>
    <t>VGA ADAPTER CABLE</t>
  </si>
  <si>
    <t>VGA ADAMPTER CABLES</t>
  </si>
  <si>
    <t xml:space="preserve">WD BLUE 3D NAND 250GB PC </t>
  </si>
  <si>
    <t>LAPTOP CADDY CART</t>
  </si>
  <si>
    <t>199-31-6399.10-002-999002</t>
  </si>
  <si>
    <t>COUNSELORS SUPPLIES</t>
  </si>
  <si>
    <t>MOISTURE MGMT TSHIRTS</t>
  </si>
  <si>
    <t>7/15/19-7/14/19</t>
  </si>
  <si>
    <t>BUS 28 IMPACT SENSOR</t>
  </si>
  <si>
    <t xml:space="preserve">BOATER EDUCATION </t>
  </si>
  <si>
    <t>REPLACEMENT SCREEN</t>
  </si>
  <si>
    <t xml:space="preserve">DENTAL MTG @ GARLAND </t>
  </si>
  <si>
    <t>199-31-6411.04-101-999023</t>
  </si>
  <si>
    <t xml:space="preserve">504 ACADEMY @ AUSTIN JUN </t>
  </si>
  <si>
    <t>5/23/19-6/12/19</t>
  </si>
  <si>
    <t>ATTORNEY MEETINGS 5/24/19</t>
  </si>
  <si>
    <t>BAUER SPORT FLOORS</t>
  </si>
  <si>
    <t>199-51-6249.PM-936-999381</t>
  </si>
  <si>
    <t xml:space="preserve">SCREEN &amp; RECOAT GYM </t>
  </si>
  <si>
    <t>199-23-6649.10-001-999001</t>
  </si>
  <si>
    <t>MOTOROLA XPR RADIOS</t>
  </si>
  <si>
    <t>ACCESS POINTS INSTALL</t>
  </si>
  <si>
    <t>FISH CAMP SUPPLIES</t>
  </si>
  <si>
    <t>199-41-6211.00-875-923023</t>
  </si>
  <si>
    <t>NOV 2018 INSERVICE</t>
  </si>
  <si>
    <t xml:space="preserve">JULY 2019 RETAINER </t>
  </si>
  <si>
    <t xml:space="preserve">MAY 2019 ADDITIONAL </t>
  </si>
  <si>
    <t>5/15/19-6/14/19 DOME</t>
  </si>
  <si>
    <t>5/24/19-6/25/19 TENNIS</t>
  </si>
  <si>
    <t>NIAGARA BOTTLED WATERS</t>
  </si>
  <si>
    <t>GATORADE</t>
  </si>
  <si>
    <t>199-11-6649.10-001-911001</t>
  </si>
  <si>
    <t>HS WATER 5/16/19-6/18/19</t>
  </si>
  <si>
    <t>ACC WATER 5/15/19-6/17/19</t>
  </si>
  <si>
    <t>MS WATER 5/15/19-6/17/19</t>
  </si>
  <si>
    <t>PRIMRY WATER 5/15/19-</t>
  </si>
  <si>
    <t>INTER WATER 5/15/19-6/17/19</t>
  </si>
  <si>
    <t>ADMIN WATER 5/15/19-6/17/19</t>
  </si>
  <si>
    <t>MAINT WATER 5/15/19-6/17/19</t>
  </si>
  <si>
    <t>AG CPX WATER 5/16/19-</t>
  </si>
  <si>
    <t>INTER IRR 5/15/19-6/17/19</t>
  </si>
  <si>
    <t>FB FLD WATER 5/16/19-6/18/19</t>
  </si>
  <si>
    <t>HS GAS 5/16/19-6/18/19</t>
  </si>
  <si>
    <t>MS GAS 5/15/19-6/17/19</t>
  </si>
  <si>
    <t>PRIMRY GAS 5/15/19-6/17/19</t>
  </si>
  <si>
    <t>INTER GAS 5/15/19-6/17/19</t>
  </si>
  <si>
    <t>DOME GAS 5/16/19-6/18/19</t>
  </si>
  <si>
    <t>BUS 48 DOOR CLEVIS</t>
  </si>
  <si>
    <t>TM117 OIL CHANGE &amp; DOT</t>
  </si>
  <si>
    <t>DAIKIN APPLIED</t>
  </si>
  <si>
    <t xml:space="preserve">ACID WASH CONDENSER </t>
  </si>
  <si>
    <t>CHILLER PC INSTALL</t>
  </si>
  <si>
    <t>DELL MONITOR &amp; SOUNDBAR</t>
  </si>
  <si>
    <t>XPS 15</t>
  </si>
  <si>
    <t>POWEREDGE R540 SERVER</t>
  </si>
  <si>
    <t>DIAZ, EDITH A.</t>
  </si>
  <si>
    <t>DLT SOLUTIONS</t>
  </si>
  <si>
    <t xml:space="preserve">7/31/19-7/31/20 MAINT </t>
  </si>
  <si>
    <t>DRILL TEAM CAMP 6/11/19</t>
  </si>
  <si>
    <t>SECURITY ENVELOPES</t>
  </si>
  <si>
    <t>199-41-6397.10-730-999095</t>
  </si>
  <si>
    <t>BUS 47 REPLACED FITTINGS</t>
  </si>
  <si>
    <t>199-51-6299.10-936-999081</t>
  </si>
  <si>
    <t xml:space="preserve">BLEACHERS SAFETY </t>
  </si>
  <si>
    <t>1.5FT RR HD15 3.5MM COM</t>
  </si>
  <si>
    <t>KITPR003 &amp; FIXED PIPE 6IN</t>
  </si>
  <si>
    <t>RR FORMAT CABLES</t>
  </si>
  <si>
    <t>199-11-6399.75-041-911003</t>
  </si>
  <si>
    <t>STEAM CAMP</t>
  </si>
  <si>
    <t>PRINCIPALS MEETING 6/4/19</t>
  </si>
  <si>
    <t>HENRY SCHEIN, INC.</t>
  </si>
  <si>
    <t>DENTAL SUPPLIES</t>
  </si>
  <si>
    <t>SPATULA ALGINATE</t>
  </si>
  <si>
    <t>EXCAVATOR SPOON</t>
  </si>
  <si>
    <t xml:space="preserve">IMPLANT MINI GRACEY </t>
  </si>
  <si>
    <t>GRIPLITE SCALER</t>
  </si>
  <si>
    <t xml:space="preserve">CASSETTE STORAGE </t>
  </si>
  <si>
    <t xml:space="preserve">CARVER DE IPC </t>
  </si>
  <si>
    <t xml:space="preserve">XCP COLOR CODED </t>
  </si>
  <si>
    <t>JUPITER TROMBONE J40184</t>
  </si>
  <si>
    <t>YAMAHA TROMBONE 513886</t>
  </si>
  <si>
    <t>JUPITER TROMBONE L43496</t>
  </si>
  <si>
    <t>JUPITER TROMBONE K70417</t>
  </si>
  <si>
    <t>YAMAHA TROMBONE 550261</t>
  </si>
  <si>
    <t>YAMAHA TROMBONE 567036</t>
  </si>
  <si>
    <t>KING BARITONE 80285</t>
  </si>
  <si>
    <t>REYNOLDS BARITONE 60308</t>
  </si>
  <si>
    <t>YAMAHA EUP[HONIUM 006324</t>
  </si>
  <si>
    <t xml:space="preserve">HOLTON FRENCH HORN </t>
  </si>
  <si>
    <t>YAMAHA SAXOPHONE 010666</t>
  </si>
  <si>
    <t>BASSOON 7564</t>
  </si>
  <si>
    <t xml:space="preserve">BARITONE SAXOPHONE </t>
  </si>
  <si>
    <t>WAX &amp; ARSENAL STRIPPER</t>
  </si>
  <si>
    <t>BLACK STRIP PADS</t>
  </si>
  <si>
    <t>EZ SNAP RISERS</t>
  </si>
  <si>
    <t>HILTON PALACIO DEL RIO</t>
  </si>
  <si>
    <t>DRAWER CAM LOCK</t>
  </si>
  <si>
    <t>SPRAY GUN</t>
  </si>
  <si>
    <t>5/14/19-6/27/19</t>
  </si>
  <si>
    <t xml:space="preserve">DELL OPTIPLEX 9020 &amp; </t>
  </si>
  <si>
    <t>199-11-6649.PK-101-911104</t>
  </si>
  <si>
    <t xml:space="preserve">INTERSTATE BILLING </t>
  </si>
  <si>
    <t>BUS 51 DOT INSPECTION</t>
  </si>
  <si>
    <t>199-34-6249.11-937-999C82</t>
  </si>
  <si>
    <t>BUS 51 COLLISION REPAIRS</t>
  </si>
  <si>
    <t>5/1/19-5/31/19 MAINT CLICKS</t>
  </si>
  <si>
    <t>6/15/19-7/14/19 LESSEE</t>
  </si>
  <si>
    <t>7/1/19-7/31/19 LESSEE</t>
  </si>
  <si>
    <t>1" BEARINGS  &amp; BRACKETS</t>
  </si>
  <si>
    <t>LONE STAR SHREDDING &amp;</t>
  </si>
  <si>
    <t>150 BOXES SHREDDED</t>
  </si>
  <si>
    <t>METERING FACUET</t>
  </si>
  <si>
    <t>SAW CUTTER</t>
  </si>
  <si>
    <t>AUTO FEED ASSEM</t>
  </si>
  <si>
    <t>GRID STRAINER &amp; P TRAP</t>
  </si>
  <si>
    <t xml:space="preserve">MCGRAW HILL EDUCATION, </t>
  </si>
  <si>
    <t>INTERPRETING ECGS</t>
  </si>
  <si>
    <t xml:space="preserve">MIDWEST DENTAL </t>
  </si>
  <si>
    <t>199-11-6639.V1-001-922022</t>
  </si>
  <si>
    <t>ULTRACLAVE STERILIZER</t>
  </si>
  <si>
    <t>PRIMRY RTU22 LABOR</t>
  </si>
  <si>
    <t xml:space="preserve">PRIMRY RTU22 </t>
  </si>
  <si>
    <t xml:space="preserve">HS DOME TRAINE UNIT APR </t>
  </si>
  <si>
    <t>HS CHILLER NEW VALVES</t>
  </si>
  <si>
    <t>199-51-6249.MC-002-999081</t>
  </si>
  <si>
    <t>ACC UNITS MAINT &amp; REPAIR</t>
  </si>
  <si>
    <t xml:space="preserve">HS DOME CONDENSOR FAN </t>
  </si>
  <si>
    <t>MITCHELL 1</t>
  </si>
  <si>
    <t xml:space="preserve">TEAMWORKS PLUS SE </t>
  </si>
  <si>
    <t>7/1/19-7/31/19</t>
  </si>
  <si>
    <t xml:space="preserve">NATIONAL EDUCATORS LAW </t>
  </si>
  <si>
    <t>NIMCO INC.</t>
  </si>
  <si>
    <t xml:space="preserve">VAPING &amp; BULLYING </t>
  </si>
  <si>
    <t xml:space="preserve">PARK PLACE RECREATION </t>
  </si>
  <si>
    <t>ENGINEERED WOOD FIBER</t>
  </si>
  <si>
    <t>RODANT BAIT</t>
  </si>
  <si>
    <t>ALVARO, YOLANDA</t>
  </si>
  <si>
    <t>AWARD CEREMONY 5/20/19</t>
  </si>
  <si>
    <t>EOY SUPPLIES</t>
  </si>
  <si>
    <t>199-11-6412.00-041-923023</t>
  </si>
  <si>
    <t>CBI @ PLANETARIUM 5/23/19</t>
  </si>
  <si>
    <t>MAY 2019 LEGAL SERVICES</t>
  </si>
  <si>
    <t>CNA BACKGROUND</t>
  </si>
  <si>
    <t>6/4/19 POSTAGE REFILL</t>
  </si>
  <si>
    <t>6/27/19 POSTAGE REFILL</t>
  </si>
  <si>
    <t>BULK P/U 6/10/19</t>
  </si>
  <si>
    <t>IDLER</t>
  </si>
  <si>
    <t>RODRIGUEZ, AMANDA D.</t>
  </si>
  <si>
    <t>DRILL TEAM CAMP 6/12/19</t>
  </si>
  <si>
    <t>SALINAS CATERING</t>
  </si>
  <si>
    <t xml:space="preserve">INSERVICE LUNCHEON </t>
  </si>
  <si>
    <t>GREASE ACTING EDITIONS</t>
  </si>
  <si>
    <t>KRAFT PAPER ROLLS</t>
  </si>
  <si>
    <t>RECTANGLE TABLES</t>
  </si>
  <si>
    <t>TABLES &amp; MARKERBOARD</t>
  </si>
  <si>
    <t>VMWARE FUSION LICENSE</t>
  </si>
  <si>
    <t>5/27/19-6/26/19</t>
  </si>
  <si>
    <t xml:space="preserve">TEXAS EDUCATIONAL </t>
  </si>
  <si>
    <t>THE MAJOR WORKS</t>
  </si>
  <si>
    <t>199-36-6495.7E-001-999031</t>
  </si>
  <si>
    <t>7/1/19-6/30/20</t>
  </si>
  <si>
    <t xml:space="preserve">ANIMAL FEED, LITTER, DEL </t>
  </si>
  <si>
    <t>SOIL, LITTER, PLTRY</t>
  </si>
  <si>
    <t>GILDAN DRYBLEND TSHIRTS</t>
  </si>
  <si>
    <t>LOCKER CARDS</t>
  </si>
  <si>
    <t>FISH CAMP FLYERS</t>
  </si>
  <si>
    <t>LARGE SCHOOL CALENDARS</t>
  </si>
  <si>
    <t>ABSENT FROM DUTY &amp; PLR</t>
  </si>
  <si>
    <t>WELCOME BACK LETTERS</t>
  </si>
  <si>
    <t>199-21-6397.10-871-999094</t>
  </si>
  <si>
    <t>BULK MAIL ENVELOPES</t>
  </si>
  <si>
    <t>ACADECA BOOKLETS</t>
  </si>
  <si>
    <t>EMPLOYEE HANDBOOKS</t>
  </si>
  <si>
    <t xml:space="preserve">NEW HIRE ORIENTATION </t>
  </si>
  <si>
    <t>SUBSTITUTE HANDBOOKS</t>
  </si>
  <si>
    <t>TURNER LANDSCAPE, INC.</t>
  </si>
  <si>
    <t>VATAT</t>
  </si>
  <si>
    <t>199-13-6411.V8-001-922022</t>
  </si>
  <si>
    <t>VATAT @ CC JUL 29-AUG 2</t>
  </si>
  <si>
    <t xml:space="preserve">CELEBRATE @ SIX FLAGS </t>
  </si>
  <si>
    <t>GIFT CARDS</t>
  </si>
  <si>
    <t>DRILL TEAM CAMP 6/13/19</t>
  </si>
  <si>
    <t>LARA, OSCAR</t>
  </si>
  <si>
    <t xml:space="preserve">P/UP BUSES @ LAREDO </t>
  </si>
  <si>
    <t>STRIPE PARKING LOT</t>
  </si>
  <si>
    <t>5/1/19-5/30/19</t>
  </si>
  <si>
    <t>ANNAVILLE FLORIST</t>
  </si>
  <si>
    <t>BILLY LERMA</t>
  </si>
  <si>
    <t>BUS 14 @ CC BATTERY</t>
  </si>
  <si>
    <t>199-23-6649.00-101-999004</t>
  </si>
  <si>
    <t>RADIO BATTERY &amp; TESTING</t>
  </si>
  <si>
    <t xml:space="preserve">RADIO BATTERIES, </t>
  </si>
  <si>
    <t>BUS 58, 59 WIFI ANTENNAS</t>
  </si>
  <si>
    <t>COLEMAN LOCK BOX</t>
  </si>
  <si>
    <t>AIRBED TWINS &amp; PUMP</t>
  </si>
  <si>
    <t>ASL PARA 6/2/19-6/15/19</t>
  </si>
  <si>
    <t>199-21-6499.10-871-999094</t>
  </si>
  <si>
    <t>TITLE I 6/9/19</t>
  </si>
  <si>
    <t xml:space="preserve">NEW PIPE &amp; BROKEN </t>
  </si>
  <si>
    <t xml:space="preserve">CLEAR BLOCKAGE </t>
  </si>
  <si>
    <t>WATER HEATER REPAIRS</t>
  </si>
  <si>
    <t>NEW PIPE &amp; FITTINGS</t>
  </si>
  <si>
    <t xml:space="preserve">ADMIN NEW TOILET &amp; </t>
  </si>
  <si>
    <t>9/1/19-8/31/20</t>
  </si>
  <si>
    <t>199-13-6411.VJ-001-922022</t>
  </si>
  <si>
    <t>WORKSHOP 1481512 5/18/19</t>
  </si>
  <si>
    <t>WORKSHOP 1538272 5/29/19</t>
  </si>
  <si>
    <t xml:space="preserve">2018-2019 RAC TASA/TASB </t>
  </si>
  <si>
    <t xml:space="preserve">TM120 A/C DIAGNOSTIC &amp; </t>
  </si>
  <si>
    <t>TM121 OIL CHANGE &amp; DOT</t>
  </si>
  <si>
    <t>TM128 OIL CHANGE &amp; DOT</t>
  </si>
  <si>
    <t>TM123 OIL CHANGE &amp; DOT</t>
  </si>
  <si>
    <t>TM115 OIL CHANGE &amp; DOT</t>
  </si>
  <si>
    <t>TM109 OIL CHANGE &amp; DOT</t>
  </si>
  <si>
    <t>TM118 OIL CHANGE &amp; DOT</t>
  </si>
  <si>
    <t>TM113 OIL CHANGE &amp; DOT</t>
  </si>
  <si>
    <t>TM110 OIL CHANGE &amp; DOT</t>
  </si>
  <si>
    <t>TM112 OIL CHANGE &amp; DOT</t>
  </si>
  <si>
    <t>TM114 OIL CHANGE &amp; DOT</t>
  </si>
  <si>
    <t>TM122 OIL CHANGE &amp; DOT</t>
  </si>
  <si>
    <t>TM124 OIL CHANGE &amp; DOT</t>
  </si>
  <si>
    <t>TM126 OIL CHANGE &amp; DOT</t>
  </si>
  <si>
    <t>TM130 OIL CHANGE &amp; DOT</t>
  </si>
  <si>
    <t>TM111 OIL CHANGE &amp; DOT</t>
  </si>
  <si>
    <t>TM129 OIL CHANGE &amp; DOT</t>
  </si>
  <si>
    <t>TM119 OIL CHANGE &amp; DOT</t>
  </si>
  <si>
    <t>TM127 OIL CHANGE &amp; DOT</t>
  </si>
  <si>
    <t xml:space="preserve">TM125 A/C, OIL CHANGE &amp; </t>
  </si>
  <si>
    <t>TM116 OIL CHANGE &amp; DOT</t>
  </si>
  <si>
    <t>TM125 A/C NEW CONDENSER</t>
  </si>
  <si>
    <t>199-36-6499.09-001-999091</t>
  </si>
  <si>
    <t>UIL ACADEMIC MEET</t>
  </si>
  <si>
    <t xml:space="preserve">FRONTLINE TECHNOLOGIES </t>
  </si>
  <si>
    <t>199-21-6396.00-875-923023</t>
  </si>
  <si>
    <t>8/1/19-7/31/20</t>
  </si>
  <si>
    <t>199-11-6649.12-041-911003</t>
  </si>
  <si>
    <t>DELL OPTIPLEX 9020 MICRO</t>
  </si>
  <si>
    <t xml:space="preserve">SEXUAL HARASSMENT </t>
  </si>
  <si>
    <t xml:space="preserve">ORCHESTRAL ANTHOLOGY </t>
  </si>
  <si>
    <t xml:space="preserve">CORONATION MARCHES </t>
  </si>
  <si>
    <t>EPRINTS &amp; DOWNLOADS</t>
  </si>
  <si>
    <t>PIRATE CHRISTMAS KIT</t>
  </si>
  <si>
    <t>7/1/19-7/31/19 DCA RECORD</t>
  </si>
  <si>
    <t>MARAKBIZ, LLC</t>
  </si>
  <si>
    <t xml:space="preserve">OPERATING GUIDELINES </t>
  </si>
  <si>
    <t xml:space="preserve">SMART BOARD TRAINING </t>
  </si>
  <si>
    <t>SAFEGUARD SYSTEM, INC</t>
  </si>
  <si>
    <t>199-52-6219.10-936-999081</t>
  </si>
  <si>
    <t>CHAIRS &amp; ACCENT TABLE</t>
  </si>
  <si>
    <t>STACKING CHAIRS</t>
  </si>
  <si>
    <t>INSERVICE ITEMS JUL 9-15</t>
  </si>
  <si>
    <t>COLORED PAPER &amp; BIC PENS</t>
  </si>
  <si>
    <t>BOARD SUPPLIES</t>
  </si>
  <si>
    <t>SCRUBS R US</t>
  </si>
  <si>
    <t>WHITE LAB COATS</t>
  </si>
  <si>
    <t xml:space="preserve">BUS 6 STATE SAFETY </t>
  </si>
  <si>
    <t xml:space="preserve">BUS 4 STATE SAFETY </t>
  </si>
  <si>
    <t xml:space="preserve">BUS 10 STATE SAFETY </t>
  </si>
  <si>
    <t>BUS 19 255 70R22 TIRES</t>
  </si>
  <si>
    <t>BUS 23 DOT INSPECTION</t>
  </si>
  <si>
    <t>BUS 21 DOT INSPECTION</t>
  </si>
  <si>
    <t>BUS 4 DOT INSPECTION</t>
  </si>
  <si>
    <t>BUS 6 DOT INSPECTION</t>
  </si>
  <si>
    <t>BUS 10 DOT INSPECTION</t>
  </si>
  <si>
    <t>BUS 14 DOT INSPECTION</t>
  </si>
  <si>
    <t>BUS 33 DOT INSPECTION</t>
  </si>
  <si>
    <t xml:space="preserve">BUS 11 DOT INSPECTION, </t>
  </si>
  <si>
    <t>BUS 31 DOT INSPECTION</t>
  </si>
  <si>
    <t>BUS 32 DOT INSPECTION</t>
  </si>
  <si>
    <t>BUS 9 DOT INSPECTION</t>
  </si>
  <si>
    <t xml:space="preserve">BUS 30 DOT INSPECTION, </t>
  </si>
  <si>
    <t xml:space="preserve">BUS 28 DOT INSPECTION, </t>
  </si>
  <si>
    <t>BUS 50 11R22 FS561 TIRES</t>
  </si>
  <si>
    <t>TM115 P225 60TR16 TIRES</t>
  </si>
  <si>
    <t>TM128 P255 70SR17 TIRES</t>
  </si>
  <si>
    <t>TM127 P255 70SR17 TIRES</t>
  </si>
  <si>
    <t>TM119 LT255 75R16 TIRES</t>
  </si>
  <si>
    <t>TM125 P255 70R17 TIRES</t>
  </si>
  <si>
    <t>TM129 LT245 75R16 TIRES</t>
  </si>
  <si>
    <t xml:space="preserve">ELAR WONDERS TRAINING </t>
  </si>
  <si>
    <t>HOUSE BILL @ KATY 7/16/19</t>
  </si>
  <si>
    <t xml:space="preserve">WELCOME BACK BREAKFAST </t>
  </si>
  <si>
    <t>UTILITY CARTS</t>
  </si>
  <si>
    <t>TILTER CHAIRS</t>
  </si>
  <si>
    <t>DRY ERASE PACK</t>
  </si>
  <si>
    <t>MACBOOK AIR CASES</t>
  </si>
  <si>
    <t>STANDARD STAPLES</t>
  </si>
  <si>
    <t xml:space="preserve">CARDSTOCK &amp; COMOSITION </t>
  </si>
  <si>
    <t>COMOSITION BOOKS</t>
  </si>
  <si>
    <t>MECHANICAL PENCILS</t>
  </si>
  <si>
    <t>POST IT</t>
  </si>
  <si>
    <t>LORELL GUEST CHAIRS</t>
  </si>
  <si>
    <t>UNKNOWN CREDIT</t>
  </si>
  <si>
    <t>7/21/19-7/20/20 DNS RENEWAL</t>
  </si>
  <si>
    <t>VARIOUS FABRICS</t>
  </si>
  <si>
    <t>199-11-6639.NL-001-922122</t>
  </si>
  <si>
    <t>DENTAL BADGER LUBEFREE</t>
  </si>
  <si>
    <t xml:space="preserve">CATCHBOX PLUS WIRELESS </t>
  </si>
  <si>
    <t>REGISTRATION FEES</t>
  </si>
  <si>
    <t>199-41-6499.18-730-999095</t>
  </si>
  <si>
    <t>TEA CERTIFICATION</t>
  </si>
  <si>
    <t>BELT</t>
  </si>
  <si>
    <t>199-11-6499.AP-001-931034</t>
  </si>
  <si>
    <t xml:space="preserve">ADVANCED PLACEMENT </t>
  </si>
  <si>
    <t xml:space="preserve">CHILLER INSPECT &amp; BRUSH </t>
  </si>
  <si>
    <t>4/5/19-6/6/19 MILEAGE</t>
  </si>
  <si>
    <t>199-11-6649.PK-101-911204</t>
  </si>
  <si>
    <t xml:space="preserve">EPSON PROJECTOR, </t>
  </si>
  <si>
    <t>MIMO TEACH WHITEBOARD</t>
  </si>
  <si>
    <t>AIR FILTER &amp; COVER ASSY</t>
  </si>
  <si>
    <t>SPRING</t>
  </si>
  <si>
    <t>NETWORK REPLACEMENT</t>
  </si>
  <si>
    <t>199-81-6629.00-104-999080</t>
  </si>
  <si>
    <t xml:space="preserve">REDUNDANT POWER </t>
  </si>
  <si>
    <t xml:space="preserve">EMBOSSERS &amp; INKING </t>
  </si>
  <si>
    <t>MOTOROLA BPR40 RADIOS</t>
  </si>
  <si>
    <t>JIMENEZ, MELISSA</t>
  </si>
  <si>
    <t>6/1/19-6/30/19 MAINT CLICKS</t>
  </si>
  <si>
    <t>7/15/19-8/14/19 LESSEE</t>
  </si>
  <si>
    <t xml:space="preserve">CURRICULUM 101 TRAING </t>
  </si>
  <si>
    <t>EDUCATION PLAN 7/11/19</t>
  </si>
  <si>
    <t>STAFF DEVELOPMENT 7/12/19</t>
  </si>
  <si>
    <t xml:space="preserve">STUDENT ORIENTATION </t>
  </si>
  <si>
    <t>6/14/19 MEDICAID CLAIMS</t>
  </si>
  <si>
    <t>6/21/19 MEDICAID CLAIMS</t>
  </si>
  <si>
    <t>7/16/19-7/19/19</t>
  </si>
  <si>
    <t>INTERNET PHOTOS</t>
  </si>
  <si>
    <t>BRASS PLAQUES</t>
  </si>
  <si>
    <t>TABLECOVERS</t>
  </si>
  <si>
    <t>STORAGE BOXES</t>
  </si>
  <si>
    <t>JUN 2019 LEGAL SERVICES</t>
  </si>
  <si>
    <t xml:space="preserve">PROTECTIVE POWDER </t>
  </si>
  <si>
    <t xml:space="preserve">POWER COATING SHELL </t>
  </si>
  <si>
    <t xml:space="preserve">CURRICULUM TRAINING </t>
  </si>
  <si>
    <t xml:space="preserve">ATTENDANCE MEETING </t>
  </si>
  <si>
    <t>WELCOME BACK 7/16/19</t>
  </si>
  <si>
    <t>SHORELINE PLUMBING CO</t>
  </si>
  <si>
    <t>199-51-6249.10-001-999081</t>
  </si>
  <si>
    <t>REPLACE GAS LINE</t>
  </si>
  <si>
    <t>WHITE CARDSTOCK</t>
  </si>
  <si>
    <t>HDMI CABLE</t>
  </si>
  <si>
    <t>DVD PLAYER</t>
  </si>
  <si>
    <t>LOCALIZED UPDATE 113</t>
  </si>
  <si>
    <t>TEDA</t>
  </si>
  <si>
    <t>WRITERS GUILD</t>
  </si>
  <si>
    <t>PARKING TAGS</t>
  </si>
  <si>
    <t xml:space="preserve">PARENTS PACKET &amp; </t>
  </si>
  <si>
    <t>TEACHER INFO</t>
  </si>
  <si>
    <t>EMERGENCY PLAN</t>
  </si>
  <si>
    <t>PACKETS</t>
  </si>
  <si>
    <t>BOOKLETS &amp; AGENDAS</t>
  </si>
  <si>
    <t>STUDENT HANDBOOKS</t>
  </si>
  <si>
    <t xml:space="preserve">OPEN HOUSE, ATTENDANCE </t>
  </si>
  <si>
    <t>BOOSTER CLUB MANUALS</t>
  </si>
  <si>
    <t>CALENDERS &amp; PLANNERS</t>
  </si>
  <si>
    <t>CONGRATS CARDS</t>
  </si>
  <si>
    <t xml:space="preserve">POLICY UPDATE &amp; XFER </t>
  </si>
  <si>
    <t>POLICY UPDATES</t>
  </si>
  <si>
    <t>199-41-6395.10-702-999093</t>
  </si>
  <si>
    <t xml:space="preserve">EMPLOYEE BENEFITS </t>
  </si>
  <si>
    <t>SMALL CALENDERS</t>
  </si>
  <si>
    <t>IPOD TOUCH 32GB</t>
  </si>
  <si>
    <t>ITUNES GIFT CARDS</t>
  </si>
  <si>
    <t>MAC MINI 8GB</t>
  </si>
  <si>
    <t>7/15/19-8/14/19</t>
  </si>
  <si>
    <t xml:space="preserve">BARCOM CONSTRUCTION </t>
  </si>
  <si>
    <t>DENTAL CHAIRS INSTALL</t>
  </si>
  <si>
    <t>199-11-6249.VH-001-922022</t>
  </si>
  <si>
    <t>SEWING MACHINES REPAIR</t>
  </si>
  <si>
    <t>1/8/19-7/22/19 MILEAGE</t>
  </si>
  <si>
    <t>HS WATER 6/18/19-7/17/19</t>
  </si>
  <si>
    <t>ACC WATER 6/17/19-7/16/19</t>
  </si>
  <si>
    <t>MS WATER 6/17/19-7/16/19</t>
  </si>
  <si>
    <t>PRIMRY WATER 6/17/19-</t>
  </si>
  <si>
    <t>INTER WATER 6/17/19-7/16/19</t>
  </si>
  <si>
    <t>ADMIN WATER 6/17/19-7/16/19</t>
  </si>
  <si>
    <t>MAINT WATER 6/17/19-7/16/19</t>
  </si>
  <si>
    <t>AG CPX WATER 6/18/19-</t>
  </si>
  <si>
    <t>INTER IRR 6/17/19-7/16/19</t>
  </si>
  <si>
    <t>FB FLD WATER 6/18/19-7/17/19</t>
  </si>
  <si>
    <t>HS GAS 6/18/19-7/17/19</t>
  </si>
  <si>
    <t>MS GAS 6/17/19-7/16/19</t>
  </si>
  <si>
    <t>PRIMRY GAS 6/17/19-7/16/19</t>
  </si>
  <si>
    <t>INTER GAS 6/17/19-7/16/19</t>
  </si>
  <si>
    <t>DOME GAS 6/18/19-7/17/19</t>
  </si>
  <si>
    <t>199-23-6411.10-101-999104</t>
  </si>
  <si>
    <t>7/17/18-7/16/19 MILEAGE</t>
  </si>
  <si>
    <t>GARZA, MARISSA</t>
  </si>
  <si>
    <t>8/20/18-5/21/19 MILEAGE</t>
  </si>
  <si>
    <t xml:space="preserve">TAKE BUSES @ LAREDO </t>
  </si>
  <si>
    <t>PENNZOIL 5W30 FOR BUSES</t>
  </si>
  <si>
    <t>HOPPER, JOHN J MD PLLC</t>
  </si>
  <si>
    <t>199-41-6219.12-730-999095</t>
  </si>
  <si>
    <t>PROFESSIONAL SERVICES</t>
  </si>
  <si>
    <t>LANDIN, FELIX</t>
  </si>
  <si>
    <t>MACHALICK, DANIEL B</t>
  </si>
  <si>
    <t>199-13-6411.P1-001-911101</t>
  </si>
  <si>
    <t>7/22/19-7/26/19</t>
  </si>
  <si>
    <t>MOSTELLA, JAN</t>
  </si>
  <si>
    <t>OCHOA, STEPHANIE</t>
  </si>
  <si>
    <t>199-13-6411.SL-001-911001</t>
  </si>
  <si>
    <t xml:space="preserve">SOUTH TEXAS GREASE </t>
  </si>
  <si>
    <t>SEPTIC TANK 7/8/19</t>
  </si>
  <si>
    <t>2/5/19-6/15/19 MILEAGE</t>
  </si>
  <si>
    <t>TREVINO, CHRISTINA</t>
  </si>
  <si>
    <t>8/9/18-7/15/19 MILEAGE</t>
  </si>
  <si>
    <t>SELF INK STAMP</t>
  </si>
  <si>
    <t>INK JEL PENS</t>
  </si>
  <si>
    <t>ACT ONLINE TRAINING</t>
  </si>
  <si>
    <t xml:space="preserve">EDUCATOR CLASSROOM </t>
  </si>
  <si>
    <t xml:space="preserve">MAINT JUL 2019 90 DAY </t>
  </si>
  <si>
    <t xml:space="preserve">TRANS JUL 2019 90 DAY </t>
  </si>
  <si>
    <t>ACC JUL 2019 90 DAY FILTER</t>
  </si>
  <si>
    <t>6/3/19-6/20/19</t>
  </si>
  <si>
    <t>BUS 40 NEW AIR BAGS</t>
  </si>
  <si>
    <t>BUS 42 NEW AIR BAGS</t>
  </si>
  <si>
    <t xml:space="preserve">BUS 51 FILTERS &amp; PERORM </t>
  </si>
  <si>
    <t>POTTING SOIL</t>
  </si>
  <si>
    <t xml:space="preserve">BLUETOOTH SPEACKERS, </t>
  </si>
  <si>
    <t>SAND DINO DIG PLAYSET</t>
  </si>
  <si>
    <t>CLASP ENVELOPES</t>
  </si>
  <si>
    <t>MONITOR DESK STAND</t>
  </si>
  <si>
    <t xml:space="preserve">PC PERIPHERALS </t>
  </si>
  <si>
    <t>FINGERTIP MOISTENERS</t>
  </si>
  <si>
    <t>RUBBER BANDS</t>
  </si>
  <si>
    <t xml:space="preserve">WALL MOUNT STORAGE </t>
  </si>
  <si>
    <t xml:space="preserve">SOLVENT CLEANING </t>
  </si>
  <si>
    <t>KITCHEN PROTECTION PLAN</t>
  </si>
  <si>
    <t>NCR PAPER</t>
  </si>
  <si>
    <t>CLEANER SPRAY</t>
  </si>
  <si>
    <t xml:space="preserve">PENS, ADAPTER, KEYBOARD </t>
  </si>
  <si>
    <t xml:space="preserve">EXTENSION CABLE, CLIP </t>
  </si>
  <si>
    <t xml:space="preserve">AMERICAN SAFETY &amp; HEALTH </t>
  </si>
  <si>
    <t xml:space="preserve">CPR/AED/1ST AID </t>
  </si>
  <si>
    <t xml:space="preserve">20 REMOTE SUPPORT </t>
  </si>
  <si>
    <t xml:space="preserve">BUS 32 A/C FREON &amp; </t>
  </si>
  <si>
    <t xml:space="preserve">BUS 33 A/C FREON, EVAP </t>
  </si>
  <si>
    <t xml:space="preserve">BUS 44 A/C FREON, EVAP </t>
  </si>
  <si>
    <t xml:space="preserve">BUS 42 A/C FREON &amp; </t>
  </si>
  <si>
    <t xml:space="preserve">BUS 10 A/C COMPRESSOR </t>
  </si>
  <si>
    <t>BUS 21 A/C REPAIRS</t>
  </si>
  <si>
    <t>BUS 43 A/C REPAIRS</t>
  </si>
  <si>
    <t>BUS 45 A/C REPAIRS</t>
  </si>
  <si>
    <t xml:space="preserve">BUS 14 A/C FREON &amp; </t>
  </si>
  <si>
    <t xml:space="preserve">BUS 28 HOSE, RELAYS, </t>
  </si>
  <si>
    <t>TM115 SENSOR &amp; ACTUATOR</t>
  </si>
  <si>
    <t xml:space="preserve">DOME CONCESSION </t>
  </si>
  <si>
    <t>BUS RADIOS &amp; DRV ISSUES</t>
  </si>
  <si>
    <t xml:space="preserve">BILL BEATTY INSUR AGENCY, </t>
  </si>
  <si>
    <t>199-11-6429.NL-001-922022</t>
  </si>
  <si>
    <t>STUDENT BLANKET LIABILITY</t>
  </si>
  <si>
    <t xml:space="preserve">AUG 2019 RETAINER </t>
  </si>
  <si>
    <t xml:space="preserve">JUN 2019 ADDITIONAL </t>
  </si>
  <si>
    <t>9/17/18-7/19/19 MILEAGE</t>
  </si>
  <si>
    <t>BUS 14 NEW STARTER</t>
  </si>
  <si>
    <t>10/2/18-5/31/19 MILEAGE</t>
  </si>
  <si>
    <t>MEET THE TEACHER 7/11/19</t>
  </si>
  <si>
    <t>MEET THE TEACHER 7/10/19</t>
  </si>
  <si>
    <t>7/11/19 SERVICE</t>
  </si>
  <si>
    <t>7/18/19 SERVICE</t>
  </si>
  <si>
    <t>7/25/19 SERVICE</t>
  </si>
  <si>
    <t>JUL 2019 OT SERVICES</t>
  </si>
  <si>
    <t xml:space="preserve">AIR LINES BRAKE </t>
  </si>
  <si>
    <t xml:space="preserve">CAMPUS GAS PRESSURE </t>
  </si>
  <si>
    <t xml:space="preserve">INSTALL NEW SOLENOID </t>
  </si>
  <si>
    <t xml:space="preserve">WATER HEATER EXHAUST </t>
  </si>
  <si>
    <t xml:space="preserve">SEWER LINES BREAKS &amp; </t>
  </si>
  <si>
    <t xml:space="preserve">WATER METER IRRIGATION </t>
  </si>
  <si>
    <t xml:space="preserve">LATITUDE 3500 BTX &amp; </t>
  </si>
  <si>
    <t xml:space="preserve">LATITUDE 550 BTX &amp; </t>
  </si>
  <si>
    <t>199-13-6411.R1-001-911001</t>
  </si>
  <si>
    <t>ONRAMPS @ AUSTIN JUL 17-</t>
  </si>
  <si>
    <t xml:space="preserve">BUS 40 WINDSHIELD </t>
  </si>
  <si>
    <t xml:space="preserve">BUS 55 WINDSHIELD </t>
  </si>
  <si>
    <t xml:space="preserve">BROKEN STORE FRONT </t>
  </si>
  <si>
    <t>TM120 WINDSHIELD REPAIR</t>
  </si>
  <si>
    <t>BELT CUTTER</t>
  </si>
  <si>
    <t xml:space="preserve">FERGUSON ENTERPRISES, </t>
  </si>
  <si>
    <t xml:space="preserve">BUS 30 PRIMED PUMP </t>
  </si>
  <si>
    <t xml:space="preserve">DEMO GUN GLOCK, UNIFORM </t>
  </si>
  <si>
    <t>BLUE TRAINING GUNS</t>
  </si>
  <si>
    <t>COMBAT SHIRTS</t>
  </si>
  <si>
    <t xml:space="preserve">CUFFS, KNEE PADS, </t>
  </si>
  <si>
    <t>UNIFORM PANT</t>
  </si>
  <si>
    <t>BUSINESS PRINCIPALS BOOK</t>
  </si>
  <si>
    <t>HAMPTON INN AND SUITES</t>
  </si>
  <si>
    <t>hotel refused ck &amp; chg-to cc</t>
  </si>
  <si>
    <t>SHARPENING STONE KIT</t>
  </si>
  <si>
    <t>HEXCO, INC - ACADEMIC</t>
  </si>
  <si>
    <t xml:space="preserve">READY WRITING ,SPELLING </t>
  </si>
  <si>
    <t>JBL SPEAKER P1082559</t>
  </si>
  <si>
    <t>FRENCH HORN CASE</t>
  </si>
  <si>
    <t>YAMAHA VIBRAPHONE</t>
  </si>
  <si>
    <t>PEARL PICCOLO</t>
  </si>
  <si>
    <t>GREASE MUSICAL PROPS</t>
  </si>
  <si>
    <t>SANDUSKY HAND PALLET</t>
  </si>
  <si>
    <t>SPECTRACIDES &amp; LYSOL</t>
  </si>
  <si>
    <t>199-11-6649.00-101-911Z80</t>
  </si>
  <si>
    <t>R410A25 REFRIGERANT</t>
  </si>
  <si>
    <t xml:space="preserve">9/1/19-9/1/20 AUTO </t>
  </si>
  <si>
    <t>SYMPHONY #3 &amp; #9</t>
  </si>
  <si>
    <t>UNCLOUDED DAY</t>
  </si>
  <si>
    <t xml:space="preserve">JUMP &amp; LOVE CAME DOWN </t>
  </si>
  <si>
    <t>SYMPHONY &amp; ORCHESTRAL</t>
  </si>
  <si>
    <t xml:space="preserve">PRIMRY SPRINKLER INSP </t>
  </si>
  <si>
    <t xml:space="preserve">PRIMRY FIRE ALARM INSP </t>
  </si>
  <si>
    <t>MS FIRE ALARM INSP 6/12/19</t>
  </si>
  <si>
    <t xml:space="preserve">INTER FIRE ALARM INSP </t>
  </si>
  <si>
    <t>HS SPRINKLER INSP 6/13/19</t>
  </si>
  <si>
    <t>ACC FIRE ALARM INSP 6/14/19</t>
  </si>
  <si>
    <t xml:space="preserve">HS AG FIRE ALARM INSP </t>
  </si>
  <si>
    <t xml:space="preserve">HSDOME FIRE ALARM INSP </t>
  </si>
  <si>
    <t>HS FIRE ALARM INSP 6/21/19</t>
  </si>
  <si>
    <t xml:space="preserve">INTER SPRINKLER INSP </t>
  </si>
  <si>
    <t>MS SPRINKLER INSP 6/21/19</t>
  </si>
  <si>
    <t>PRIMRY ALARM 7/1/19-6/30/20</t>
  </si>
  <si>
    <t>MS ALARM 7/1/19-6/30/20</t>
  </si>
  <si>
    <t>HS ALARM 7/1/19-6/30/20</t>
  </si>
  <si>
    <t>INTER ALARM 7/1/19-6/30/20</t>
  </si>
  <si>
    <t>ACC ALARM SERVICE 6/14/19</t>
  </si>
  <si>
    <t xml:space="preserve">PRIMRY SPRINKLER LABOR </t>
  </si>
  <si>
    <t>199-11-6649.PK-101-911004</t>
  </si>
  <si>
    <t>PRE K FURNITURE</t>
  </si>
  <si>
    <t>FAN ASSY</t>
  </si>
  <si>
    <t xml:space="preserve">BLOWER MOTOR, WHEEL, </t>
  </si>
  <si>
    <t>VALVE &amp; DRIER</t>
  </si>
  <si>
    <t>MOTOR BLOWER</t>
  </si>
  <si>
    <t>MS UNIT EXPANSION VALVE</t>
  </si>
  <si>
    <t>MAINT COIL CLEANING</t>
  </si>
  <si>
    <t>HS RTU BLOWER ASSY</t>
  </si>
  <si>
    <t>HS DOME UNIT LEAK SEARCH</t>
  </si>
  <si>
    <t xml:space="preserve">MS UNIT NEW PRIMARY </t>
  </si>
  <si>
    <t xml:space="preserve">MS UNIT NEW FAN MOTOR </t>
  </si>
  <si>
    <t>HS DOME APR VALVE</t>
  </si>
  <si>
    <t>7/29/19-8/2/19</t>
  </si>
  <si>
    <t>8/1/19-8/31/19</t>
  </si>
  <si>
    <t>STUDENT INCENTIVES</t>
  </si>
  <si>
    <t>TEACHER INCENTIVES</t>
  </si>
  <si>
    <t>PROMO UNIVERSAL LLC</t>
  </si>
  <si>
    <t>PROMOTIONAL SUPPLIES</t>
  </si>
  <si>
    <t>CLARKE FOCUS 8000098826</t>
  </si>
  <si>
    <t>CLARKE FOCUS 8000098791</t>
  </si>
  <si>
    <t>RELIANT, DEPT 0954</t>
  </si>
  <si>
    <t>6/25/19-7/25/19 TENNIS</t>
  </si>
  <si>
    <t>6/14/19-7/16/19 DOME</t>
  </si>
  <si>
    <t xml:space="preserve">JOHN DEERE TRACTOR </t>
  </si>
  <si>
    <t>ROSETTA STONE, LTD.</t>
  </si>
  <si>
    <t>199-11-6396.00-001-925025</t>
  </si>
  <si>
    <t>8/19/19-8/20/20</t>
  </si>
  <si>
    <t>199-11-6396.00-041-925025</t>
  </si>
  <si>
    <t>199-11-6396.00-104-925025</t>
  </si>
  <si>
    <t xml:space="preserve">8/25/19-8/24/20 ADOBE </t>
  </si>
  <si>
    <t>199-41-6396.10-720-999091</t>
  </si>
  <si>
    <t xml:space="preserve">SOUTHERN CHARM HOME </t>
  </si>
  <si>
    <t>199-41-6498.00-726-999091</t>
  </si>
  <si>
    <t xml:space="preserve">BLOODBORNE PATHOGENS </t>
  </si>
  <si>
    <t>BUS 50 AIR VALVE</t>
  </si>
  <si>
    <t>TM111 LT245 75R16 TIRES</t>
  </si>
  <si>
    <t>TM124 P255 70R17 TIRES</t>
  </si>
  <si>
    <t>TM30 LT265 70R17 TIRES</t>
  </si>
  <si>
    <t>TM15 225 60R16 TIRE</t>
  </si>
  <si>
    <t>6/27/19-7/26/19</t>
  </si>
  <si>
    <t xml:space="preserve">6/1/19 FERTILIZER </t>
  </si>
  <si>
    <t>6/15/19 SPRAY APPLICATION</t>
  </si>
  <si>
    <t xml:space="preserve">BASEBALL INFIELD </t>
  </si>
  <si>
    <t xml:space="preserve">SOFTBALL INFIELD </t>
  </si>
  <si>
    <t>ENGLISH 2 CHECKPOINT</t>
  </si>
  <si>
    <t>HANDBOOKS</t>
  </si>
  <si>
    <t>HISTORY CHECKPOINT</t>
  </si>
  <si>
    <t>PICK UP PASSES</t>
  </si>
  <si>
    <t>PROCEDURAL NOTICE</t>
  </si>
  <si>
    <t xml:space="preserve">EMERGENCY CARDS, OTHER </t>
  </si>
  <si>
    <t>BLANK ENVELOPES</t>
  </si>
  <si>
    <t>IGNITION SWITCH, HYD HOSE</t>
  </si>
  <si>
    <t>RELAY SWITCHES</t>
  </si>
  <si>
    <t>POWER POINT CLICKER</t>
  </si>
  <si>
    <t xml:space="preserve">ASSURANT PROTECTION </t>
  </si>
  <si>
    <t>BUS 30 @ FLEETPRIDE</t>
  </si>
  <si>
    <t>BUS 11 @ FLEETPRIDE</t>
  </si>
  <si>
    <t>BUS 42 @ FLEETPRIDE</t>
  </si>
  <si>
    <t>BUS 40 @ ALLISON TRANS</t>
  </si>
  <si>
    <t>DILUTE SULFURIC ACID</t>
  </si>
  <si>
    <t>ROTORS &amp; PVC FITTINGS</t>
  </si>
  <si>
    <t>PLAS RISERS &amp; PVC FITTINGS</t>
  </si>
  <si>
    <t>JULY 2019 INSERVICE</t>
  </si>
  <si>
    <t>PHARMACY MEDICATION</t>
  </si>
  <si>
    <t>9/1/19-8/31/19 MAINT PERMIT</t>
  </si>
  <si>
    <t>9/1/19-8/31/19 ADMIN PERMIT</t>
  </si>
  <si>
    <t xml:space="preserve">BARRACUDA EMAIL </t>
  </si>
  <si>
    <t>CABLING SERVICES</t>
  </si>
  <si>
    <t>OPTIPLEX 7060 MT MLK</t>
  </si>
  <si>
    <t>LATITUDE 550 BTX BASE</t>
  </si>
  <si>
    <t>199-41-6649.10-730-999095</t>
  </si>
  <si>
    <t>199-41-6649.10-735-999096</t>
  </si>
  <si>
    <t>DEMIDEC RESOURCES</t>
  </si>
  <si>
    <t xml:space="preserve">TOPICS, WORKBOOKS, </t>
  </si>
  <si>
    <t xml:space="preserve">E3 TEXAS SPECIAL </t>
  </si>
  <si>
    <t>199-33-6249.8F-001-999001</t>
  </si>
  <si>
    <t>AUDIOMETER CALIBRATION</t>
  </si>
  <si>
    <t>199-33-6249.8F-041-999003</t>
  </si>
  <si>
    <t>199-33-6249.8F-104-999005</t>
  </si>
  <si>
    <t xml:space="preserve">PEDESTRIAN CROSSWALK </t>
  </si>
  <si>
    <t xml:space="preserve">WORKSHOPS 7/10/19 &amp; </t>
  </si>
  <si>
    <t xml:space="preserve">PROFESSIONAL </t>
  </si>
  <si>
    <t>6/14/19-7/16/19 AG BARN</t>
  </si>
  <si>
    <t>6/13/19-7/29/19</t>
  </si>
  <si>
    <t>SCHEDULE PICK UP 7/11/19</t>
  </si>
  <si>
    <t>WORKING LUNCH 7/16/19</t>
  </si>
  <si>
    <t>OPEN HOUSE 8/1/19</t>
  </si>
  <si>
    <t xml:space="preserve">SYMPHONY #5 IN E MINOR </t>
  </si>
  <si>
    <t>7/1/19-7/31/19 MAINT CLICKS</t>
  </si>
  <si>
    <t>8/1/19-8/31/19 DCA RECORD</t>
  </si>
  <si>
    <t>8/1/19-8/31/19 LESSEE</t>
  </si>
  <si>
    <t>GRID STRAINER</t>
  </si>
  <si>
    <t>WALL MOUNT SINK</t>
  </si>
  <si>
    <t>LAVATORY FAUCET</t>
  </si>
  <si>
    <t>8/5/19-8/9/19</t>
  </si>
  <si>
    <t>HUGE ROLLED POSTERS</t>
  </si>
  <si>
    <t xml:space="preserve">PRIME MAINTENANCE &amp; </t>
  </si>
  <si>
    <t>GYM LETTERING REMOVAL</t>
  </si>
  <si>
    <t>SAMANIEGO, JOHN</t>
  </si>
  <si>
    <t xml:space="preserve">3406 GAL UNL 4004 GAL </t>
  </si>
  <si>
    <t xml:space="preserve">V-NECKS, PANTS, WARM UP </t>
  </si>
  <si>
    <t>SHICK, KIM</t>
  </si>
  <si>
    <t xml:space="preserve">LEGISLATIVE MEETING </t>
  </si>
  <si>
    <t>MATH WORKSHOP 7/10/19</t>
  </si>
  <si>
    <t xml:space="preserve">BEHAVIOR EXPECTATIONS </t>
  </si>
  <si>
    <t>PRINCIPALS MEETING 6/18/19</t>
  </si>
  <si>
    <t>PRINCIPALS MEETING 7/30/19</t>
  </si>
  <si>
    <t xml:space="preserve">TASA/TASB @ DALLAS SEPT </t>
  </si>
  <si>
    <t>199-41-6495.00-939-999087</t>
  </si>
  <si>
    <t>9/1/19-9/1/20</t>
  </si>
  <si>
    <t>US ACADEMIC DECATHLON</t>
  </si>
  <si>
    <t xml:space="preserve">CURRICULUM &amp; STUDY </t>
  </si>
  <si>
    <t>VILLARREAL-QUESNEL, ANA</t>
  </si>
  <si>
    <t>TEKSCON @ SA JUL 30-AUG 1</t>
  </si>
  <si>
    <t>CREDENZA</t>
  </si>
  <si>
    <t>BUS 40 A/C REPAIR</t>
  </si>
  <si>
    <t xml:space="preserve">BUS 11 @ SOUTHERN TIRE </t>
  </si>
  <si>
    <t xml:space="preserve">PVC FITTINGS, CEMENT, </t>
  </si>
  <si>
    <t>VALVES</t>
  </si>
  <si>
    <t>HUNTER ICV</t>
  </si>
  <si>
    <t>STANDARD WILDCARD SSL</t>
  </si>
  <si>
    <t>199-34-6495.11-937-999082</t>
  </si>
  <si>
    <t>7/18/19-8/9/19</t>
  </si>
  <si>
    <t>IRRIGATION LINES</t>
  </si>
  <si>
    <t>DENTAL VACUUM PUMPS</t>
  </si>
  <si>
    <t>6/6/19-8/13/19 MILEAGE</t>
  </si>
  <si>
    <t>7/15/19-8/13/19 MILEAGE</t>
  </si>
  <si>
    <t>5/3/19-8/15/19 MILEAGE</t>
  </si>
  <si>
    <t>199-36-6399.3Y-001-991274</t>
  </si>
  <si>
    <t>POLO MENS &amp; WMNS SHIRTS</t>
  </si>
  <si>
    <t>8X10 PLAQUE</t>
  </si>
  <si>
    <t>7/16/19-8/15/19 MILEAGE</t>
  </si>
  <si>
    <t>7/8/19-8/14/19 MILEAGE</t>
  </si>
  <si>
    <t>7/29/19-8/5/19 MILEAGE</t>
  </si>
  <si>
    <t xml:space="preserve">BUS 21 DRIVE </t>
  </si>
  <si>
    <t>BUS 41 ALTERNATOR</t>
  </si>
  <si>
    <t>TM111 NEW BATTERY</t>
  </si>
  <si>
    <t>AVER DOCUMENT CAMERA</t>
  </si>
  <si>
    <t>6/3/19-8/14/19 MILEAGE</t>
  </si>
  <si>
    <t xml:space="preserve">DOME SWITCH, RELAY, CSB </t>
  </si>
  <si>
    <t>DOME SWITCH</t>
  </si>
  <si>
    <t xml:space="preserve">WIPERS, STEP LIGHT, DOOR </t>
  </si>
  <si>
    <t>MOTOR CRADLE ASSY</t>
  </si>
  <si>
    <t>TRAN FALSE ALARM APR-JUL</t>
  </si>
  <si>
    <t xml:space="preserve">BUS 30 BOOST TUBE </t>
  </si>
  <si>
    <t>BUS 52 STOP ARMS FUSE</t>
  </si>
  <si>
    <t>BUS 45 COOLANT HOSE LINE</t>
  </si>
  <si>
    <t>BUS 43 NOX SENSORS</t>
  </si>
  <si>
    <t>REPAIR GAS LINE LEAKS</t>
  </si>
  <si>
    <t xml:space="preserve">DATA RECOGNITION </t>
  </si>
  <si>
    <t>199-11-6339.00-001-923023</t>
  </si>
  <si>
    <t xml:space="preserve">ONLINE LAS LINKS ENG </t>
  </si>
  <si>
    <t xml:space="preserve">ENG KIT, LAS GUIDE/SCORE </t>
  </si>
  <si>
    <t>199-11-6339.00-001-925025</t>
  </si>
  <si>
    <t>199-11-6339.00-041-925025</t>
  </si>
  <si>
    <t>199-11-6339.00-101-925025</t>
  </si>
  <si>
    <t>199-11-6339.00-104-925025</t>
  </si>
  <si>
    <t>1/2/19-8/15/19 MILEAGE</t>
  </si>
  <si>
    <t xml:space="preserve">FOCUSED QUIZZES/SECTION </t>
  </si>
  <si>
    <t>WORKSHOP 1517939 8/8/19</t>
  </si>
  <si>
    <t>199-13-6411.VR-001-922022</t>
  </si>
  <si>
    <t>WORKSHOP 1522868 7/25/19</t>
  </si>
  <si>
    <t>199-31-6411.04-104-999023</t>
  </si>
  <si>
    <t>WORKSHOP 1481678 8/24/19</t>
  </si>
  <si>
    <t>MOLD INSPECTION 8/12/19</t>
  </si>
  <si>
    <t xml:space="preserve">COFFEE, KCUPS, CREAMERS, </t>
  </si>
  <si>
    <t>ECO2 32W T8 4100K</t>
  </si>
  <si>
    <t>SM SWITCHES</t>
  </si>
  <si>
    <t>2X4 LED &amp; BATTERY</t>
  </si>
  <si>
    <t>KENALL LED &amp; DRIVER</t>
  </si>
  <si>
    <t xml:space="preserve">LEGEND PLATE &amp; MS </t>
  </si>
  <si>
    <t>KEY RETRACTS LATCHBOLT</t>
  </si>
  <si>
    <t>EXIT DEVICE KAWNEER</t>
  </si>
  <si>
    <t>LOCK LESS CORE LEVER</t>
  </si>
  <si>
    <t xml:space="preserve">GENESIS SURFACE MOUNT </t>
  </si>
  <si>
    <t xml:space="preserve">BUS 42 BRAKE CHAMBERS, </t>
  </si>
  <si>
    <t xml:space="preserve">BUS 11 FAN DRIVE HUB </t>
  </si>
  <si>
    <t>BUS 32 AB HOSE</t>
  </si>
  <si>
    <t>BUS 14 FROM LAREDO</t>
  </si>
  <si>
    <t>BUS 28 FROM LAREDO</t>
  </si>
  <si>
    <t>NOTCHED BLADES</t>
  </si>
  <si>
    <t xml:space="preserve">6 WEEKS STAFF MEETING </t>
  </si>
  <si>
    <t>AMALGAM PACKER POINT</t>
  </si>
  <si>
    <t xml:space="preserve">HS THREAT LOCKDOWN AUG </t>
  </si>
  <si>
    <t>BAND SUPPLIES</t>
  </si>
  <si>
    <t>MOPS</t>
  </si>
  <si>
    <t>SCRUB BRUSHES</t>
  </si>
  <si>
    <t>MOP BUCKETS</t>
  </si>
  <si>
    <t>ARSENAL SUPROXD</t>
  </si>
  <si>
    <t>7/16/19-8/14/19 AG BARN</t>
  </si>
  <si>
    <t>IDENTISYS INCORPORATED</t>
  </si>
  <si>
    <t>ZENIUS EXPERT PRINTER</t>
  </si>
  <si>
    <t>PRINCIPALS MEETING 8/13/19</t>
  </si>
  <si>
    <t>WIRELESS DATA LOGGER KIT</t>
  </si>
  <si>
    <t xml:space="preserve">DOME ANNUAL GENERATOR </t>
  </si>
  <si>
    <t>7/8/19-7/18/19 MILEAGE</t>
  </si>
  <si>
    <t>5/31/19-8/12/19 MILEAGE</t>
  </si>
  <si>
    <t>8/9/19 MEDICAID CLAIMS</t>
  </si>
  <si>
    <t xml:space="preserve">PRIMRY RTU22 CONDENSER </t>
  </si>
  <si>
    <t xml:space="preserve">INTER RTU3 FAILED </t>
  </si>
  <si>
    <t>8/12/19-8/16/19</t>
  </si>
  <si>
    <t xml:space="preserve">INTERPRETATION BLACK </t>
  </si>
  <si>
    <t>5/15/19-8/9/19 MILEAGE</t>
  </si>
  <si>
    <t xml:space="preserve">6/27/19-6/27/20 </t>
  </si>
  <si>
    <t>7/8/19-8/12/19 MILEAGE</t>
  </si>
  <si>
    <t>BUDGET/PROPSED TAX 8/9/19</t>
  </si>
  <si>
    <t>7/16-19-8/15/19 MILEAGE</t>
  </si>
  <si>
    <t>TOGGLE ROCKER SWITCH</t>
  </si>
  <si>
    <t>7/13/19-7/17/19 MILEAGE</t>
  </si>
  <si>
    <t>SEPTIC TANK 8/19/19</t>
  </si>
  <si>
    <t>BUS 50 BRAKE ADJUSTMENT</t>
  </si>
  <si>
    <t>BUS 41 AIR CHAMBER</t>
  </si>
  <si>
    <t xml:space="preserve">BUS 11 COMPRESSOR, </t>
  </si>
  <si>
    <t>BUS 44 FLAT REPAIR</t>
  </si>
  <si>
    <t>6 WEEKS TEST</t>
  </si>
  <si>
    <t>PROGRESS REPORTS</t>
  </si>
  <si>
    <t>BANNERS</t>
  </si>
  <si>
    <t xml:space="preserve">WILDS-WENDLAND, </t>
  </si>
  <si>
    <t>8/20/18-8/7/19 MILEAGE</t>
  </si>
  <si>
    <t>199-41-6411.LK-709-999083</t>
  </si>
  <si>
    <t>4/11/19-8/13/19 MILEAGE</t>
  </si>
  <si>
    <t>HS AUG 2019 90 DAY FILTER</t>
  </si>
  <si>
    <t>MS AUG 2019 90 DAY FILTER</t>
  </si>
  <si>
    <t>BUS 31 A/C REPAIRS</t>
  </si>
  <si>
    <t>BUS 31 DELIVERY FUEL</t>
  </si>
  <si>
    <t>BUS 23 @ COASTAL DIESEL</t>
  </si>
  <si>
    <t>8/15/19-9/14/19</t>
  </si>
  <si>
    <t xml:space="preserve">AQUATIC &amp; TENNIS WALL </t>
  </si>
  <si>
    <t xml:space="preserve">BAND CORRIDOR WALL </t>
  </si>
  <si>
    <t xml:space="preserve">DENTAL ROOM FLOOR </t>
  </si>
  <si>
    <t>IRRIGATION REPAIRS</t>
  </si>
  <si>
    <t>8/1/19 SERVICE</t>
  </si>
  <si>
    <t>8/8/19 SERVICE</t>
  </si>
  <si>
    <t>8/15/19 SERVICE</t>
  </si>
  <si>
    <t>8/22/19 SERVICE</t>
  </si>
  <si>
    <t>8/29/19 SERVICE</t>
  </si>
  <si>
    <t>ACC WATER 7/16/19-8/15/19</t>
  </si>
  <si>
    <t>MS WATER 7/16/19-8/15/19</t>
  </si>
  <si>
    <t>PRIMRY WATER 7/16/19-</t>
  </si>
  <si>
    <t>INTER WATER 7/16/19-8/15/19</t>
  </si>
  <si>
    <t>ADMIN WATER 7/16/19-8/15/19</t>
  </si>
  <si>
    <t>MAINT WATER 7/16/19-8/15/19</t>
  </si>
  <si>
    <t>INTER IRR 7/16/19-8/15/19</t>
  </si>
  <si>
    <t>MS GAS 7/16/19-8/15/19</t>
  </si>
  <si>
    <t>PRIMRY GAS 7/16/19-8/15/19</t>
  </si>
  <si>
    <t>INTER GAS 7/16/19-8/15/19</t>
  </si>
  <si>
    <t>9/10/19-9/10/20 HS ALARM</t>
  </si>
  <si>
    <t xml:space="preserve">NEW PVC 90 PRESSURE &amp; </t>
  </si>
  <si>
    <t>KEY CONTROLS LEVER KNOB</t>
  </si>
  <si>
    <t>199-41-6639.10-933-999085</t>
  </si>
  <si>
    <t>XANTE ENPRESS</t>
  </si>
  <si>
    <t>DEMONSTRATION KITS</t>
  </si>
  <si>
    <t>MY MATH LAB</t>
  </si>
  <si>
    <t>EXPERIENCE PSYCHOLOGY</t>
  </si>
  <si>
    <t xml:space="preserve">ENGINEERING &amp; </t>
  </si>
  <si>
    <t>DUAL CREDIT BOOKS</t>
  </si>
  <si>
    <t>BINDER 1</t>
  </si>
  <si>
    <t xml:space="preserve">MACROECONOMICS/AUTO </t>
  </si>
  <si>
    <t>AUTO UPKEEP WORKBOOKS</t>
  </si>
  <si>
    <t xml:space="preserve">KEY WRENCH &amp; EXTENSION </t>
  </si>
  <si>
    <t xml:space="preserve">MULTIMETER &amp; </t>
  </si>
  <si>
    <t>PLANTS &amp; PLANTER BEDS</t>
  </si>
  <si>
    <t>8/27/19 DETECTION SERVICE</t>
  </si>
  <si>
    <t>HS ALARM SERVICE 6/28/19</t>
  </si>
  <si>
    <t>SINGLE ENTHALPY</t>
  </si>
  <si>
    <t xml:space="preserve">DUAL RUN CAP &amp; BLOWER </t>
  </si>
  <si>
    <t>199-34-6397.10-937-999082</t>
  </si>
  <si>
    <t>MEDIA MAIL</t>
  </si>
  <si>
    <t>HS RTU4 NEW MOTOR</t>
  </si>
  <si>
    <t xml:space="preserve">MAINT CONSENSER </t>
  </si>
  <si>
    <t>8/19/19-8/23/19</t>
  </si>
  <si>
    <t>8/26/19-8/30/19</t>
  </si>
  <si>
    <t>PRINCIPALS MEETING 8/27/19</t>
  </si>
  <si>
    <t>BOTTLED DRINKING WATER</t>
  </si>
  <si>
    <t>7/16/19-8/14/19 DOME</t>
  </si>
  <si>
    <t>7/25/19-8/23/19 TENNIS</t>
  </si>
  <si>
    <t>TM110 FLAT REPAIR</t>
  </si>
  <si>
    <t xml:space="preserve">COUNT FC114 PEFORATING </t>
  </si>
  <si>
    <t>BATTERIES &amp; HOOKS</t>
  </si>
  <si>
    <t>HEALTH SUPPLIES</t>
  </si>
  <si>
    <t>211-13-6411.00-104-930018</t>
  </si>
  <si>
    <t>ESEA TITLE I - PART A</t>
  </si>
  <si>
    <t xml:space="preserve">GRAMMER &amp; WRITING @ SA </t>
  </si>
  <si>
    <t xml:space="preserve">TRAIL OF BREADCRUMBS, </t>
  </si>
  <si>
    <t xml:space="preserve">KELLY HARMON &amp; </t>
  </si>
  <si>
    <t>211-11-6299.00-101-930000</t>
  </si>
  <si>
    <t>GUIDED READING OCT 10-11</t>
  </si>
  <si>
    <t>BURRIS, MELANIE</t>
  </si>
  <si>
    <t>211-13-6411.00-104-930000</t>
  </si>
  <si>
    <t>CAVAZOS, JORGE</t>
  </si>
  <si>
    <t>DIAZ, MARIA ALMA</t>
  </si>
  <si>
    <t>GARZA, KATIE VELA</t>
  </si>
  <si>
    <t>JENKINS, SHELIA</t>
  </si>
  <si>
    <t>211-61-6399.00-104-930000</t>
  </si>
  <si>
    <t>PROJECT BOARD</t>
  </si>
  <si>
    <t xml:space="preserve">PROJECT BOARD TITLE </t>
  </si>
  <si>
    <t>211-11-6399.00-104-930000</t>
  </si>
  <si>
    <t>STORYWORKS MAGAZINES</t>
  </si>
  <si>
    <t>211-13-6239.00-101-930000</t>
  </si>
  <si>
    <t>211-13-6239.00-104-930000</t>
  </si>
  <si>
    <t>211-21-6239.00-871-930000</t>
  </si>
  <si>
    <t>2018-2019 ESSA SCHOOL FEE</t>
  </si>
  <si>
    <t>ETA HAND2MIND</t>
  </si>
  <si>
    <t>VT LITERACY CLASS KITS</t>
  </si>
  <si>
    <t>FRIED TECHNOLOGY LLC</t>
  </si>
  <si>
    <t>211-13-6299.00-104-930000</t>
  </si>
  <si>
    <t xml:space="preserve">GOOGLE TRAINING @ TM </t>
  </si>
  <si>
    <t>MATHWARM-UPS.COM</t>
  </si>
  <si>
    <t>WRITING FAST FOCUS 2016</t>
  </si>
  <si>
    <t xml:space="preserve">REUSABLE WW POCKET </t>
  </si>
  <si>
    <t>211-13-6299.00-101-930000</t>
  </si>
  <si>
    <t>211-13-6411.00-101-930000</t>
  </si>
  <si>
    <t>WORKSHOP 1497380 1/24/19</t>
  </si>
  <si>
    <t>211-21-6411.00-871-930000</t>
  </si>
  <si>
    <t>BOOST COMPREHENSION</t>
  </si>
  <si>
    <t>INSTRUCTIONAL MATERIALS</t>
  </si>
  <si>
    <t>MACDONALD, WILLIAM C.</t>
  </si>
  <si>
    <t>WRITING TRAINING FEB 25-27</t>
  </si>
  <si>
    <t>ACCELERATE LEARNING INC</t>
  </si>
  <si>
    <t>TX GRADE 3-4 ONLINE</t>
  </si>
  <si>
    <t>EXPO MARKERS</t>
  </si>
  <si>
    <t>WRITING RESOURCES</t>
  </si>
  <si>
    <t xml:space="preserve">READY MATH/RDG </t>
  </si>
  <si>
    <t>WORKSHOP 1497290 2/12/19</t>
  </si>
  <si>
    <t>ERIC ARMIN INC</t>
  </si>
  <si>
    <t>MATH &amp; LITERATURE</t>
  </si>
  <si>
    <t>ESCUE AND ASSOCIATES</t>
  </si>
  <si>
    <t>211-23-6411.00-101-930000</t>
  </si>
  <si>
    <t>TEPSA @ AUSTIN JUNE 11-14</t>
  </si>
  <si>
    <t>211-23-6411.00-104-930000</t>
  </si>
  <si>
    <t>MATH ZINGERS</t>
  </si>
  <si>
    <t>IMAGINATION STATION, INC</t>
  </si>
  <si>
    <t>211-11-6399.00-101-930000</t>
  </si>
  <si>
    <t xml:space="preserve">8/1/19-7/31/20 ISTATION </t>
  </si>
  <si>
    <t>LEARNING MATERIALS</t>
  </si>
  <si>
    <t xml:space="preserve">3/28/19-8/31/20 CORRECTIVE </t>
  </si>
  <si>
    <t xml:space="preserve">CORRECTIVE READING </t>
  </si>
  <si>
    <t xml:space="preserve">INSTRUCTION STAFF </t>
  </si>
  <si>
    <t xml:space="preserve">DS LEVELED READING </t>
  </si>
  <si>
    <t>HANGUP BAG &amp; RACK</t>
  </si>
  <si>
    <t>HEINEMANN</t>
  </si>
  <si>
    <t>FPC GUIDED READING</t>
  </si>
  <si>
    <t>F&amp;P LITERACY CONTINUUM</t>
  </si>
  <si>
    <t>SCHOLASTIC BOOK CLUB</t>
  </si>
  <si>
    <t>DUCK &amp; BEAR TRIO</t>
  </si>
  <si>
    <t>CHICKA LISTENING</t>
  </si>
  <si>
    <t xml:space="preserve">FIRST GRADE FRIENDS </t>
  </si>
  <si>
    <t xml:space="preserve">I WANT TO BE A COMMUNITY </t>
  </si>
  <si>
    <t>LLAMA LLAMA &amp; NELLY</t>
  </si>
  <si>
    <t>PETE THE CAT</t>
  </si>
  <si>
    <t>VERY HUNGRY</t>
  </si>
  <si>
    <t>FROG &amp; TOAD</t>
  </si>
  <si>
    <t>AMELIA BEDELIA</t>
  </si>
  <si>
    <t>ROOKIE CONCEPT</t>
  </si>
  <si>
    <t>TOP &amp; BOTTOMS</t>
  </si>
  <si>
    <t>BOOKSOURCE INC, THE</t>
  </si>
  <si>
    <t>211-61-6399.00-101-930000</t>
  </si>
  <si>
    <t>ASSORTED BOOKS</t>
  </si>
  <si>
    <t>GUIDED MATH KITS</t>
  </si>
  <si>
    <t>GUIDED MATH BUNDLE</t>
  </si>
  <si>
    <t xml:space="preserve">HOMEWOOD SUITES BY </t>
  </si>
  <si>
    <t>DRAWSTRING BACKPACKS</t>
  </si>
  <si>
    <t>ED-POINT, LLC</t>
  </si>
  <si>
    <t>211-21-6291.00-871-930000</t>
  </si>
  <si>
    <t>ELAR PROGRAM REVIEW</t>
  </si>
  <si>
    <t>READYROSIE</t>
  </si>
  <si>
    <t xml:space="preserve">WRITE THE LETTER ACTIVITY </t>
  </si>
  <si>
    <t>BEHAVIOR PLUS, INC.</t>
  </si>
  <si>
    <t>TRAINING WORKSHOP 7/12/19</t>
  </si>
  <si>
    <t>THE GLORIOUS FLIGHT</t>
  </si>
  <si>
    <t>FROG STREET PRESS</t>
  </si>
  <si>
    <t xml:space="preserve">FROG STREET PRE K </t>
  </si>
  <si>
    <t>LERMA, GEORGE</t>
  </si>
  <si>
    <t>SUMMER ACTIVITY BOOKS</t>
  </si>
  <si>
    <t xml:space="preserve">WESTON WOODS STUDIOS </t>
  </si>
  <si>
    <t xml:space="preserve">MAN WHO WALKED </t>
  </si>
  <si>
    <t>WORKSHOP 1504315 JUN 11-</t>
  </si>
  <si>
    <t>WORKSHOP 1504315 6/11/19</t>
  </si>
  <si>
    <t>WORKSHOP 1504319 JUN 12-</t>
  </si>
  <si>
    <t>WORKSHOP 1504319 6/13/19</t>
  </si>
  <si>
    <t>WORKSHOP 1504318 6/12/19</t>
  </si>
  <si>
    <t>WORKSHOP 1504326 JUN 18-</t>
  </si>
  <si>
    <t>WORKSHOP 1504326 6/20/19</t>
  </si>
  <si>
    <t>WORKSHOP 1504320 6/18/19</t>
  </si>
  <si>
    <t>WORKSHOP 1504504 6/13/19</t>
  </si>
  <si>
    <t>WORKSHOP 1504505 6/18/19</t>
  </si>
  <si>
    <t>MATH &amp; READING ACTIVITIES</t>
  </si>
  <si>
    <t xml:space="preserve">POP FOR ADDITION &amp; </t>
  </si>
  <si>
    <t xml:space="preserve">GEOSOLIDS FOAM &amp; </t>
  </si>
  <si>
    <t>7/10/19-7/10/20</t>
  </si>
  <si>
    <t>CHILDREN'S PLUS, INC.</t>
  </si>
  <si>
    <t>LEAD4WARD, LLC</t>
  </si>
  <si>
    <t>ONLINE SUBSCRIPTION K-12</t>
  </si>
  <si>
    <t>CLEAR RULERS</t>
  </si>
  <si>
    <t xml:space="preserve">WORKSHOP 1504531/32 JUN </t>
  </si>
  <si>
    <t>MATH &amp; READING SUPPLIES</t>
  </si>
  <si>
    <t>BARRERA, DELIA</t>
  </si>
  <si>
    <t>PRE K NATL ENGLISH</t>
  </si>
  <si>
    <t>GARCIA, HANNAH BETH</t>
  </si>
  <si>
    <t>TITLE 1 PARENT MEETING</t>
  </si>
  <si>
    <t>MARINO, AMY SHARON</t>
  </si>
  <si>
    <t>224-00-2110.18-000-900000</t>
  </si>
  <si>
    <t>AUG 2018 O&amp;M SERVICES</t>
  </si>
  <si>
    <t>IDEA - PART B, FORMULA</t>
  </si>
  <si>
    <t>QI USER ACCESS UPGRADE</t>
  </si>
  <si>
    <t>224-31-6219.00-875-923000</t>
  </si>
  <si>
    <t>SEPT 2018 O&amp;M SERVICES</t>
  </si>
  <si>
    <t>224-21-6411.SH-878-923018</t>
  </si>
  <si>
    <t>NELI @ AUSTIN DEC 4-7</t>
  </si>
  <si>
    <t>N2Y, INC.</t>
  </si>
  <si>
    <t>224-11-6399.00-001-923000</t>
  </si>
  <si>
    <t>9/21/18-9/20/19 LICENSE</t>
  </si>
  <si>
    <t>224-11-6399.00-041-923000</t>
  </si>
  <si>
    <t>224-11-6399.00-104-923000</t>
  </si>
  <si>
    <t>PAR INC.</t>
  </si>
  <si>
    <t>224-11-6339.00-101-923018</t>
  </si>
  <si>
    <t>TB BRIEF FORMS</t>
  </si>
  <si>
    <t>224-31-6339.00-875-923000</t>
  </si>
  <si>
    <t>TESTING MATERIALS</t>
  </si>
  <si>
    <t>224-31-6219.00-875-923018</t>
  </si>
  <si>
    <t>OCT 2018 OT SERVICES</t>
  </si>
  <si>
    <t>224-13-6411.00-101-923018</t>
  </si>
  <si>
    <t>WORKSHOP 1456334 9/20/18</t>
  </si>
  <si>
    <t>224-31-6411.SG-875-923000</t>
  </si>
  <si>
    <t>WORKSHOP 1483115 10/1/18</t>
  </si>
  <si>
    <t>CBI TRIP 10/19/18</t>
  </si>
  <si>
    <t xml:space="preserve">MULTI-HEALTH SYSTEMS, </t>
  </si>
  <si>
    <t>224-31-6399.00-875-923018</t>
  </si>
  <si>
    <t xml:space="preserve">QUIKSCORE &amp; RESPONSE </t>
  </si>
  <si>
    <t xml:space="preserve">WESTERN PSYCHOLOGICAL </t>
  </si>
  <si>
    <t xml:space="preserve">CAYC KIET &amp; RECORD </t>
  </si>
  <si>
    <t>TEXAS STATE AQUARIUM</t>
  </si>
  <si>
    <t>224-11-6411.00-041-923018</t>
  </si>
  <si>
    <t>SELF GUIDED VISIT 11/16/18</t>
  </si>
  <si>
    <t>224-11-6412.00-041-923018</t>
  </si>
  <si>
    <t>COURTYARD BY MARRIOTT</t>
  </si>
  <si>
    <t>224-31-6411.SG-875-923018</t>
  </si>
  <si>
    <t xml:space="preserve">TEDA CONFERENCE @ WACO </t>
  </si>
  <si>
    <t xml:space="preserve">IED III RECORD 10 PACK </t>
  </si>
  <si>
    <t>224-13-6411.00-041-923018</t>
  </si>
  <si>
    <t xml:space="preserve">HOUGHTON MIFFLIN </t>
  </si>
  <si>
    <t xml:space="preserve">EXAMINERS 2YR ONLINE </t>
  </si>
  <si>
    <t>OCT 2018 O&amp;M SERVICES</t>
  </si>
  <si>
    <t>RUIZ, SYLVIA</t>
  </si>
  <si>
    <t>224-61-6419.00-001-923018</t>
  </si>
  <si>
    <t>8/27/18-9/28/18 MILEAGE</t>
  </si>
  <si>
    <t>224-11-6399.00-001-923018</t>
  </si>
  <si>
    <t xml:space="preserve">STORAGE BAGS &amp; LYSOL </t>
  </si>
  <si>
    <t>224-11-6399.00-041-923018</t>
  </si>
  <si>
    <t>224-11-6399.00-101-923018</t>
  </si>
  <si>
    <t>224-11-6399.00-104-923018</t>
  </si>
  <si>
    <t>OCT 2018 PT SERVICES</t>
  </si>
  <si>
    <t xml:space="preserve">SUPER DUPER </t>
  </si>
  <si>
    <t xml:space="preserve">FLUHARTY EXAMINER </t>
  </si>
  <si>
    <t>224-11-6399.00-101-923000</t>
  </si>
  <si>
    <t>224-21-6399.00-875-923018</t>
  </si>
  <si>
    <t xml:space="preserve">EXPANDING FILES &amp; FINE </t>
  </si>
  <si>
    <t>FILE DRAWER</t>
  </si>
  <si>
    <t>224-11-6229.00-001-923000</t>
  </si>
  <si>
    <t>2018-2019 SERVICES</t>
  </si>
  <si>
    <t>224-11-6229.00-041-923000</t>
  </si>
  <si>
    <t>224-11-6229.00-101-923000</t>
  </si>
  <si>
    <t xml:space="preserve">SUPPLLEMENTAL/CORE </t>
  </si>
  <si>
    <t>224-13-6411.00-001-923000</t>
  </si>
  <si>
    <t>WORKSHOP 1483710 10/31/18</t>
  </si>
  <si>
    <t>224-13-6411.00-101-923000</t>
  </si>
  <si>
    <t>224-13-6411.00-104-923000</t>
  </si>
  <si>
    <t>WORKSHOP 1474736 11/13/18</t>
  </si>
  <si>
    <t xml:space="preserve">LIFE SKILLS CBI @ HEB </t>
  </si>
  <si>
    <t xml:space="preserve">SPECIAL ED CBI @ HEB </t>
  </si>
  <si>
    <t xml:space="preserve">ADAPTIVE ED CBI @ HEB </t>
  </si>
  <si>
    <t>NOV 2018 O&amp;M SERVICES</t>
  </si>
  <si>
    <t>PLS5 SCR &amp; CTOPP2 FORMS</t>
  </si>
  <si>
    <t>WRMT III FORMS</t>
  </si>
  <si>
    <t xml:space="preserve">SSIS RTG SCL TCHER/PRNT </t>
  </si>
  <si>
    <t>CBI MONTHLY TRIP</t>
  </si>
  <si>
    <t>DEC 2018 ASSESSMENTS</t>
  </si>
  <si>
    <t>MAIKOETTER, VANESSA</t>
  </si>
  <si>
    <t>DEC 2018 O&amp;M SERVICES</t>
  </si>
  <si>
    <t xml:space="preserve">WAIS IV SYMBOL SEARCH </t>
  </si>
  <si>
    <t xml:space="preserve">WAISIV CANCEL SCRNG </t>
  </si>
  <si>
    <t>224-31-6339.00-875-923018</t>
  </si>
  <si>
    <t>WAIS IV RESP BKLT</t>
  </si>
  <si>
    <t xml:space="preserve">WAISIV CODING SCORING </t>
  </si>
  <si>
    <t>224-11-6411.00-101-923000</t>
  </si>
  <si>
    <t>WORKSHOP 1483711 1/10/19</t>
  </si>
  <si>
    <t>224-13-6411.00-001-923018</t>
  </si>
  <si>
    <t>WORKSHOP 1492102 12/5/18</t>
  </si>
  <si>
    <t>224-13-6411.00-104-923018</t>
  </si>
  <si>
    <t>224-31-6399.00-875-923000</t>
  </si>
  <si>
    <t>ABAS TEACHER FORMS</t>
  </si>
  <si>
    <t xml:space="preserve">WESTIN GALLERIA DALLAS, </t>
  </si>
  <si>
    <t xml:space="preserve">EVALUATION @ DALLAS FEB </t>
  </si>
  <si>
    <t>BROCK, KERI</t>
  </si>
  <si>
    <t>JAN 2019 O&amp;M SERVICES</t>
  </si>
  <si>
    <t>COUNTRY INN &amp; SUITES</t>
  </si>
  <si>
    <t>TSHA @ FT WORTH FEB 27-</t>
  </si>
  <si>
    <t xml:space="preserve">TEXAS SPEECH LANGUAGE </t>
  </si>
  <si>
    <t xml:space="preserve">ACADEMIC THERAPY </t>
  </si>
  <si>
    <t>EXPRESSIVE 4 FORMS</t>
  </si>
  <si>
    <t>JAN 2019 ASSESSMENTS</t>
  </si>
  <si>
    <t xml:space="preserve">PIERS HARRIS PRINT </t>
  </si>
  <si>
    <t xml:space="preserve">DP3 PARENT CAREGIVER </t>
  </si>
  <si>
    <t>CRUZ, SAMANTHA</t>
  </si>
  <si>
    <t>KABC II NU RECORD FORMS</t>
  </si>
  <si>
    <t>WPPSI IV QG</t>
  </si>
  <si>
    <t>WORKSHOP 1484198 2/11/19</t>
  </si>
  <si>
    <t>CBI TRIP @ HEB 2/8/19</t>
  </si>
  <si>
    <t>224-11-6339.00-001-923018</t>
  </si>
  <si>
    <t>ONLINE LICENSE RENEWAL</t>
  </si>
  <si>
    <t>224-11-6339.00-041-923018</t>
  </si>
  <si>
    <t>224-11-6339.00-104-923018</t>
  </si>
  <si>
    <t>WIATT III ENH RESP BKLT</t>
  </si>
  <si>
    <t>FEB 2019 PT SERVICES</t>
  </si>
  <si>
    <t>PROTOCOLS</t>
  </si>
  <si>
    <t xml:space="preserve">PAREN/TEACHER RESPONSE </t>
  </si>
  <si>
    <t xml:space="preserve">CLOROX WIPES, BOUNCHE, </t>
  </si>
  <si>
    <t>LYSOL SPRAY, KLEENES, 409</t>
  </si>
  <si>
    <t>MEDICAL GLOVES</t>
  </si>
  <si>
    <t>CPI TRAINING 1/3/19</t>
  </si>
  <si>
    <t xml:space="preserve">FORM A RESPONSE </t>
  </si>
  <si>
    <t xml:space="preserve">FORM A TEST RECORD &amp; </t>
  </si>
  <si>
    <t>MAR 2019 O&amp;M SERVICES</t>
  </si>
  <si>
    <t>224-11-6339.00-101-923000</t>
  </si>
  <si>
    <t>CAAP &amp; TOCS COMPLETE KIT</t>
  </si>
  <si>
    <t xml:space="preserve">TOLD COMPLETE KIT &amp; </t>
  </si>
  <si>
    <t>CASL 2/OWLS II LC FORMS</t>
  </si>
  <si>
    <t xml:space="preserve">TOLD 94 EXAM REC </t>
  </si>
  <si>
    <t>FCP R COMPLETE TEST</t>
  </si>
  <si>
    <t xml:space="preserve">GORT5 EXAMINER RECORD </t>
  </si>
  <si>
    <t>MONTHLY CBI TRIP</t>
  </si>
  <si>
    <t>APR 2019 O&amp;M SERVICES</t>
  </si>
  <si>
    <t>224-23-6411.00-104-923018</t>
  </si>
  <si>
    <t>WORKSHOP 1483717 4/15/19</t>
  </si>
  <si>
    <t>WORKSHOP 1474738 4/9/19</t>
  </si>
  <si>
    <t xml:space="preserve">TEST RECORD INDIVIDUAL </t>
  </si>
  <si>
    <t>SPECIAL EDU @ SPI JUN 10-</t>
  </si>
  <si>
    <t>WILL PERSONALLY PAY</t>
  </si>
  <si>
    <t>LIFESKILLS END OF YEAR</t>
  </si>
  <si>
    <t>MAY 2019 O&amp;M SERVICES</t>
  </si>
  <si>
    <t>224-13-6411.00-041-923000</t>
  </si>
  <si>
    <t>WORKSHOP 1483908 4/24/19</t>
  </si>
  <si>
    <t>WORKSHOP 1474739 5/7/19</t>
  </si>
  <si>
    <t>ASSESSING INTELLIGENCE</t>
  </si>
  <si>
    <t xml:space="preserve">LETTER BUILDERS, NUMBER </t>
  </si>
  <si>
    <t>224-11-6299.00-001-923000</t>
  </si>
  <si>
    <t xml:space="preserve">8/31/18-4/22/19 </t>
  </si>
  <si>
    <t>THERAPRO, INC.</t>
  </si>
  <si>
    <t xml:space="preserve">SILENT/AUDIBLE VISUAL </t>
  </si>
  <si>
    <t>BEYOND PLAY LLC</t>
  </si>
  <si>
    <t>BUMPER CASES</t>
  </si>
  <si>
    <t>THINKWRITE HEADSETS</t>
  </si>
  <si>
    <t>TAPE DISPENSER</t>
  </si>
  <si>
    <t>EXTERNAL USB SLIM DRIVE</t>
  </si>
  <si>
    <t>OPTIPLEX 5260 AIO BTX</t>
  </si>
  <si>
    <t>MODEL ME KIDS, LLC</t>
  </si>
  <si>
    <t>APPT PLANNER</t>
  </si>
  <si>
    <t xml:space="preserve">PROJECTION DRAWING </t>
  </si>
  <si>
    <t>ARIZONA PRINT KIT</t>
  </si>
  <si>
    <t>JUN 2019 EVALUATION</t>
  </si>
  <si>
    <t xml:space="preserve">BEHAVIORAL OBSERVATIONS </t>
  </si>
  <si>
    <t xml:space="preserve">DELL 22 SERIES LCD </t>
  </si>
  <si>
    <t>224-11-6399.00-001-923019</t>
  </si>
  <si>
    <t>EXPRESSO CHAIRS</t>
  </si>
  <si>
    <t>TVL'S GUIDE COMPLETE SET</t>
  </si>
  <si>
    <t>INSTA-LEARN BY STEP, INC.</t>
  </si>
  <si>
    <t>224-21-6411.00-875-923019</t>
  </si>
  <si>
    <t>224-11-6399.00-101-923019</t>
  </si>
  <si>
    <t>TRACKBALL MOUSE</t>
  </si>
  <si>
    <t>224-11-6299.10-001-923019</t>
  </si>
  <si>
    <t>224-11-6299.10-041-923019</t>
  </si>
  <si>
    <t>224-11-6299.10-104-923019</t>
  </si>
  <si>
    <t>CHRISTAL VISION, INC.</t>
  </si>
  <si>
    <t>224-11-6639.00-001-923019</t>
  </si>
  <si>
    <t>BRAILLE NOTE TOUCH PLUS</t>
  </si>
  <si>
    <t>224-31-6219.00-875-923019</t>
  </si>
  <si>
    <t>JUL 2019 O&amp;M SERVICES</t>
  </si>
  <si>
    <t>9/21/19-9/20/20 NEWS 2 YOU</t>
  </si>
  <si>
    <t>224-11-6399.00-041-923019</t>
  </si>
  <si>
    <t>9/21/19-9/20/20 SYMBOLSTIX</t>
  </si>
  <si>
    <t>224-11-6399.00-104-923019</t>
  </si>
  <si>
    <t xml:space="preserve">9/21/19-9/20/20 UNIQUE </t>
  </si>
  <si>
    <t>224-31-6399.00-875-923019</t>
  </si>
  <si>
    <t>BASC 3 PRQ EXAM &amp; FORM</t>
  </si>
  <si>
    <t>SWELL TOUCH PAPER</t>
  </si>
  <si>
    <t xml:space="preserve">SUMMIT INTEGRATION </t>
  </si>
  <si>
    <t>INTERACTIVE FLAT PANELS</t>
  </si>
  <si>
    <t>THERAPY SHOPPE</t>
  </si>
  <si>
    <t xml:space="preserve">SMART BOARD FLAT PANELS </t>
  </si>
  <si>
    <t>JUL 2019 PT SERVICES</t>
  </si>
  <si>
    <t>224-13-6411.00-001-923019</t>
  </si>
  <si>
    <t>224-13-6411.00-041-923019</t>
  </si>
  <si>
    <t>WORKSHOP 1540378 8/15/19</t>
  </si>
  <si>
    <t>224-61-6419.00-001-923019</t>
  </si>
  <si>
    <t>WORKSHOP 1511764 8/1/19</t>
  </si>
  <si>
    <t>224-61-6419.00-041-923019</t>
  </si>
  <si>
    <t>225-11-6399.00-101-923000</t>
  </si>
  <si>
    <t>IDEA - PART B, PRE-SCHOOL</t>
  </si>
  <si>
    <t>225-11-6399.00-101-923018</t>
  </si>
  <si>
    <t>LETS GET MOVING</t>
  </si>
  <si>
    <t xml:space="preserve">FROG STREET THREES </t>
  </si>
  <si>
    <t>HIGH BACK BEAN BAGS</t>
  </si>
  <si>
    <t>PPCD SENSORY SUPPLIES</t>
  </si>
  <si>
    <t>FUN AND FUNCTION</t>
  </si>
  <si>
    <t>225-11-6399.00-101-923019</t>
  </si>
  <si>
    <t>SOUND &amp; LIGHT PANEL</t>
  </si>
  <si>
    <t>226-31-6219.00-875-923000</t>
  </si>
  <si>
    <t>MAR 2019 ASSESSMENTS</t>
  </si>
  <si>
    <t xml:space="preserve">226 IDEA-PART B, </t>
  </si>
  <si>
    <t>APR 2019 ASSESSMENTS</t>
  </si>
  <si>
    <t>GARCIA, VELMA</t>
  </si>
  <si>
    <t>MAY 2019 IQ TESTING</t>
  </si>
  <si>
    <t>MAY 2019 ASSESSMENTS</t>
  </si>
  <si>
    <t>JUN 2019 ASSESSMENTS</t>
  </si>
  <si>
    <t xml:space="preserve">ARAMARK SCHOOL </t>
  </si>
  <si>
    <t>240-00-2110.18-000-900000</t>
  </si>
  <si>
    <t>BREAKFAST MEALS 8/22/18</t>
  </si>
  <si>
    <t>FOOD SVS</t>
  </si>
  <si>
    <t>LUNCH MEALS 8/22/18</t>
  </si>
  <si>
    <t>EQUIVALENT MEALS 8/22/18</t>
  </si>
  <si>
    <t>SNACK MEALS 8/22/18</t>
  </si>
  <si>
    <t xml:space="preserve">HEARTLAND SCHOOL </t>
  </si>
  <si>
    <t>240-35-6499.93-938-999000</t>
  </si>
  <si>
    <t xml:space="preserve">8/1/18-7/31/19 ANNUAL </t>
  </si>
  <si>
    <t>FOOD SERVICES</t>
  </si>
  <si>
    <t>WIF NEW HEATER &amp; GASKET</t>
  </si>
  <si>
    <t>GREASE TRAP 8/8/18</t>
  </si>
  <si>
    <t>240-00-5751.01-000-900000</t>
  </si>
  <si>
    <t>COMMODITY CREDIT</t>
  </si>
  <si>
    <t>240-35-6217.10-938-999000</t>
  </si>
  <si>
    <t>BREAKFAST MEALS 9/26/18</t>
  </si>
  <si>
    <t>240-35-6217.11-938-999000</t>
  </si>
  <si>
    <t>LUNCH MEALS 9/26/18</t>
  </si>
  <si>
    <t>240-35-6217.12-938-999000</t>
  </si>
  <si>
    <t>EQUIVALENT MEALS 9/26/18</t>
  </si>
  <si>
    <t>240-35-6217.13-938-999000</t>
  </si>
  <si>
    <t>SNACK MEALS 9/26/18</t>
  </si>
  <si>
    <t>240-35-6399.93-001-999000</t>
  </si>
  <si>
    <t>240-35-6249.93-001-999000</t>
  </si>
  <si>
    <t xml:space="preserve">HEATING ELEMENTS TOGGLE </t>
  </si>
  <si>
    <t>240-35-6249.93-041-999000</t>
  </si>
  <si>
    <t>WIF COMPRESSOR</t>
  </si>
  <si>
    <t>COMMODITY CREDIT 10/24/18</t>
  </si>
  <si>
    <t>BREAKFAST MEALS 10/24/18</t>
  </si>
  <si>
    <t>LUNCH MEALS 10/24/18</t>
  </si>
  <si>
    <t>EQUIVALENT MEALS 10/24/18</t>
  </si>
  <si>
    <t>SNACK MEALS 10/24/18</t>
  </si>
  <si>
    <t>WIF NEW FAN MOTOR</t>
  </si>
  <si>
    <t>COMMODITY CREDIT 11/2118</t>
  </si>
  <si>
    <t>BREAKFAST MEALS 11/21/18</t>
  </si>
  <si>
    <t>LUNCH MEALS 11/21/18</t>
  </si>
  <si>
    <t>EQUIVALENT MEALS 11/21/18</t>
  </si>
  <si>
    <t>SNACK MEALS 11/21/18</t>
  </si>
  <si>
    <t>KITCHEN HEAT LAMP</t>
  </si>
  <si>
    <t>240-35-6249.93-101-999000</t>
  </si>
  <si>
    <t xml:space="preserve">WIC/WIF DRYER, ABSORBER, </t>
  </si>
  <si>
    <t>WIC NEW COMPRESSOR</t>
  </si>
  <si>
    <t>240-35-6249.93-104-999000</t>
  </si>
  <si>
    <t xml:space="preserve">FREEZER COMPRESSOR, </t>
  </si>
  <si>
    <t xml:space="preserve">COMMODITY CREDIT </t>
  </si>
  <si>
    <t>BREAKFAST MEALS 12/26/18</t>
  </si>
  <si>
    <t>LUNCH MEALS 12/26/18</t>
  </si>
  <si>
    <t>EQUIVALENT MEALS 12/26/18</t>
  </si>
  <si>
    <t>SNACK MEALS 12/26/18</t>
  </si>
  <si>
    <t>240-51-6249.00-001-999000</t>
  </si>
  <si>
    <t>240-51-6249.00-041-999000</t>
  </si>
  <si>
    <t>240-51-6249.00-101-999000</t>
  </si>
  <si>
    <t>240-51-6249.00-104-999000</t>
  </si>
  <si>
    <t>COMMODITY CREDIT 1/23/19</t>
  </si>
  <si>
    <t>BREAKFAST MEALS 1/23/19</t>
  </si>
  <si>
    <t>LUNCH MEALS 1/23/19</t>
  </si>
  <si>
    <t>EQUIVALENT MEALS 1/23/19</t>
  </si>
  <si>
    <t>SNACK MEALS 1/23/19</t>
  </si>
  <si>
    <t xml:space="preserve">HOOD SYSTM INSPECTION </t>
  </si>
  <si>
    <t xml:space="preserve">WIF BREAKERS &amp; CUSHION </t>
  </si>
  <si>
    <t>WIC REFRIGERANT LEAK</t>
  </si>
  <si>
    <t xml:space="preserve">WIC/WIF </t>
  </si>
  <si>
    <t>GREASE TRAP 1/29/19</t>
  </si>
  <si>
    <t>GREASE TRAP 11/6/18</t>
  </si>
  <si>
    <t>COMMODITY CREDIT 2/20/19</t>
  </si>
  <si>
    <t>BREAKFAST MEALS 2/20/19</t>
  </si>
  <si>
    <t>LUNCH MEALS 2/20/19</t>
  </si>
  <si>
    <t>EQUIVALENT MEALS 2/20/19</t>
  </si>
  <si>
    <t>SNACK MEALS 2/20/19</t>
  </si>
  <si>
    <t>SICO AMERICA, INC</t>
  </si>
  <si>
    <t>STOOL BLACK ABS RD SHAFT</t>
  </si>
  <si>
    <t>RIC TEMPERATURE SENSOR</t>
  </si>
  <si>
    <t>WIC NEW THERMOSTAT</t>
  </si>
  <si>
    <t xml:space="preserve">REACH WARMER BLOWER </t>
  </si>
  <si>
    <t>GREASE TRAP 2/6/19</t>
  </si>
  <si>
    <t>GREASE TRAP 2/12/19</t>
  </si>
  <si>
    <t>240-35-6649.02-101-999000</t>
  </si>
  <si>
    <t xml:space="preserve">PREPSTER TABLES WITH 16 </t>
  </si>
  <si>
    <t>COMMODITY CREDIT 3/27/19</t>
  </si>
  <si>
    <t>BREAKFAST MEALS 3/27/19</t>
  </si>
  <si>
    <t>LUNCH MEALS 3/27/19</t>
  </si>
  <si>
    <t>EQUIVALENT MEALS 3/27/19</t>
  </si>
  <si>
    <t>SNACKS MEALS 3/27/19</t>
  </si>
  <si>
    <t>COMMODITY CREDIT 4/24/19</t>
  </si>
  <si>
    <t>BREAKFAST MEALS 4/24/19</t>
  </si>
  <si>
    <t>LUNCH MEALS 4/24/19</t>
  </si>
  <si>
    <t>EQUIVALENT MEALS 4/24/19</t>
  </si>
  <si>
    <t>SNACKS MEALS 4/24/19</t>
  </si>
  <si>
    <t xml:space="preserve">NEW BRAZIER BURNERS &amp; </t>
  </si>
  <si>
    <t xml:space="preserve">MISSION RESTAURANT  </t>
  </si>
  <si>
    <t>CAFETERIA EQUIPMENT</t>
  </si>
  <si>
    <t>240-35-6649.02-938-999000</t>
  </si>
  <si>
    <t>COMMODITY CREDIT 5/22/18</t>
  </si>
  <si>
    <t>BREAKFAST MEALS 5/22/19</t>
  </si>
  <si>
    <t>LUNCH MEALS 5/22/19</t>
  </si>
  <si>
    <t>EQUIVALENT MEALS 5/22/19</t>
  </si>
  <si>
    <t>SNACK MEALS 5/22/19</t>
  </si>
  <si>
    <t>240-35-6398.91-938-999000</t>
  </si>
  <si>
    <t>BROTHER FAX MACHINE</t>
  </si>
  <si>
    <t>240-35-6649.01-938-999000</t>
  </si>
  <si>
    <t>NEW DOOR PANEL</t>
  </si>
  <si>
    <t xml:space="preserve">QUOTE ON NEW ICE </t>
  </si>
  <si>
    <t xml:space="preserve">ICE MACHINE SEIZED ON </t>
  </si>
  <si>
    <t>GREASE TRAP 7/8/19</t>
  </si>
  <si>
    <t>COMMODITY CREDIT 6/26/19</t>
  </si>
  <si>
    <t>BREAKFAST MEALS 6/26/19</t>
  </si>
  <si>
    <t>LUNCH MEALS 6/26/19</t>
  </si>
  <si>
    <t>EQUIVALENT MEALS 6/26/19</t>
  </si>
  <si>
    <t>SNACK MEALS 6/26/19</t>
  </si>
  <si>
    <t>PIN PAD OPTICAL SCANNER</t>
  </si>
  <si>
    <t xml:space="preserve">JEAN'S RESTAURANT </t>
  </si>
  <si>
    <t>240-35-6649.02-001-999000</t>
  </si>
  <si>
    <t xml:space="preserve">SELF CONTAINED ICE </t>
  </si>
  <si>
    <t>WIF NEW THERMOSTAT</t>
  </si>
  <si>
    <t xml:space="preserve">ICE MACHINE PRESSURE </t>
  </si>
  <si>
    <t>COMMODITY CREDIT 7/24/19</t>
  </si>
  <si>
    <t>BREAKFAST MEALS 7/24/19</t>
  </si>
  <si>
    <t>LUNCH MEALS 7/24/19</t>
  </si>
  <si>
    <t>EQUIVALENT MEALS 7/24/19</t>
  </si>
  <si>
    <t>SNACK MEALS 7/24/19</t>
  </si>
  <si>
    <t xml:space="preserve">RIC LEAK REPAIRED &amp; NEW </t>
  </si>
  <si>
    <t>FREEZER THERMOSTAT</t>
  </si>
  <si>
    <t>244-11-6399.00-001-922000</t>
  </si>
  <si>
    <t xml:space="preserve">CAYENNE STUDENT RED </t>
  </si>
  <si>
    <t>VOC ED - BASIC GRANT</t>
  </si>
  <si>
    <t>TROUSERS &amp; BELT KEEPER</t>
  </si>
  <si>
    <t>SEWING NEEDLES SETS</t>
  </si>
  <si>
    <t>SEWING SUPPLIES</t>
  </si>
  <si>
    <t>STRETCH SCRUB TOPS</t>
  </si>
  <si>
    <t>CHALK SEWING QUILTING</t>
  </si>
  <si>
    <t>DENTAL WHOLESALERS</t>
  </si>
  <si>
    <t>DENTAL CHAIRS UNITS</t>
  </si>
  <si>
    <t xml:space="preserve">DENTAL CHAIRS UNITS </t>
  </si>
  <si>
    <t xml:space="preserve">COMPRESSOR DEPENDABLE </t>
  </si>
  <si>
    <t>SWEING QUILTING NOTIONS</t>
  </si>
  <si>
    <t>VET MEDICALS SUPPLIES</t>
  </si>
  <si>
    <t>PHARMACY EXAM BUNDLE</t>
  </si>
  <si>
    <t xml:space="preserve">CARDIOSENS ULTRA,  ECG </t>
  </si>
  <si>
    <t>PORTFOLIO</t>
  </si>
  <si>
    <t>TITANIUM SCISSORS</t>
  </si>
  <si>
    <t xml:space="preserve">DENTAL ASSISTING </t>
  </si>
  <si>
    <t>TRAINER ECG PLCMENT</t>
  </si>
  <si>
    <t xml:space="preserve">GMETRIZ &amp; MOS SITE </t>
  </si>
  <si>
    <t xml:space="preserve">LINCOLN ELECTRIC </t>
  </si>
  <si>
    <t>EXCALIBURS</t>
  </si>
  <si>
    <t>1/4"X4" FLAT 20"</t>
  </si>
  <si>
    <t>SUPERARC L5033 SPOOL</t>
  </si>
  <si>
    <t>WELDING HELMET</t>
  </si>
  <si>
    <t>WELDING SHOP SUPPLIES</t>
  </si>
  <si>
    <t xml:space="preserve">SAFETY GLASSES &amp; NYLON </t>
  </si>
  <si>
    <t xml:space="preserve">CHROMEBOOKS &amp; GOGGLE </t>
  </si>
  <si>
    <t xml:space="preserve">NATIONAL INSTITUTE </t>
  </si>
  <si>
    <t xml:space="preserve">ASE ENTRY CERTIFICATION </t>
  </si>
  <si>
    <t>LATITUDE 5500 CTO BASE</t>
  </si>
  <si>
    <t>GENO V</t>
  </si>
  <si>
    <t>244-11-6299.00-001-922000</t>
  </si>
  <si>
    <t xml:space="preserve">CAREER READY TRAINING </t>
  </si>
  <si>
    <t>MAYER, MELANIE</t>
  </si>
  <si>
    <t>255-13-6411.00-001-924000</t>
  </si>
  <si>
    <t xml:space="preserve">TEACH RHYMES @ ARANSAS </t>
  </si>
  <si>
    <t>TITLE II, PART A</t>
  </si>
  <si>
    <t>255-21-6411.00-871-924000</t>
  </si>
  <si>
    <t xml:space="preserve">LEGAL WORKSHOP @ ESC </t>
  </si>
  <si>
    <t>255-23-6411.00-001-924000</t>
  </si>
  <si>
    <t>255-23-6411.00-041-924000</t>
  </si>
  <si>
    <t>255-23-6411.00-101-924000</t>
  </si>
  <si>
    <t>WORKSHOP 1484247 10/18/18</t>
  </si>
  <si>
    <t>RESPONSIVE LEARNING</t>
  </si>
  <si>
    <t>255-13-6299.00-001-924000</t>
  </si>
  <si>
    <t>JOYCE JUNTUNE TRAINING</t>
  </si>
  <si>
    <t>255-13-6299.00-041-924000</t>
  </si>
  <si>
    <t xml:space="preserve">UNDERSTANDING </t>
  </si>
  <si>
    <t>255-13-6299.00-101-924000</t>
  </si>
  <si>
    <t>TAGT ON DEMAND TRAINING</t>
  </si>
  <si>
    <t>255-13-6299.00-104-924000</t>
  </si>
  <si>
    <t>255-13-6239.00-001-924000</t>
  </si>
  <si>
    <t>2018-2019 DMAC SERVICES</t>
  </si>
  <si>
    <t xml:space="preserve">2018-2019 INSTUCTIONAL </t>
  </si>
  <si>
    <t xml:space="preserve">2018-2019 GT/ADVANCED </t>
  </si>
  <si>
    <t xml:space="preserve">2018-2019 ENG, READING, </t>
  </si>
  <si>
    <t>2018-2019 MATH &amp; SCIENCE</t>
  </si>
  <si>
    <t>255-13-6239.00-002-924000</t>
  </si>
  <si>
    <t>255-13-6239.00-041-924000</t>
  </si>
  <si>
    <t>255-13-6239.00-101-924000</t>
  </si>
  <si>
    <t>255-13-6239.00-104-924000</t>
  </si>
  <si>
    <t>255-23-6411.00-104-924000</t>
  </si>
  <si>
    <t xml:space="preserve">2018-2019 INSTRUCTIONAL </t>
  </si>
  <si>
    <t xml:space="preserve">2018-2019 DISTANCE </t>
  </si>
  <si>
    <t>255-13-6411.00-041-924000</t>
  </si>
  <si>
    <t>WORKSHOP 1497289 2/7/19</t>
  </si>
  <si>
    <t xml:space="preserve">ACCOUNTABILITY CONNECT </t>
  </si>
  <si>
    <t>255-13-6411.00-002-924000</t>
  </si>
  <si>
    <t>255-13-6411.00-101-924000</t>
  </si>
  <si>
    <t>255-13-6411.00-104-924000</t>
  </si>
  <si>
    <t>255-21-6399.00-871-924000</t>
  </si>
  <si>
    <t>255-13-6291.00-001-924000</t>
  </si>
  <si>
    <t xml:space="preserve">CURRICULUM TRAINING JUL </t>
  </si>
  <si>
    <t>255-13-6291.00-041-924000</t>
  </si>
  <si>
    <t>255-13-6291.00-101-924000</t>
  </si>
  <si>
    <t>255-13-6291.00-104-924000</t>
  </si>
  <si>
    <t>WORKSHOP 1523075 8/6/19</t>
  </si>
  <si>
    <t>287-53-6299.10-880-999000</t>
  </si>
  <si>
    <t xml:space="preserve">RUBRIK 3YR PREMIUM </t>
  </si>
  <si>
    <t xml:space="preserve">HURRICANE RESTART </t>
  </si>
  <si>
    <t>287-53-6396.10-880-999000</t>
  </si>
  <si>
    <t xml:space="preserve">RUBRIK CLOUDON 3YR </t>
  </si>
  <si>
    <t>287-53-6396.11-880-999000</t>
  </si>
  <si>
    <t xml:space="preserve">AZURE CLOUD STORAGE </t>
  </si>
  <si>
    <t>287-53-6399.10-880-999000</t>
  </si>
  <si>
    <t>TWINAX &amp; FIBER CABLES</t>
  </si>
  <si>
    <t>287-53-6399.11-880-999000</t>
  </si>
  <si>
    <t xml:space="preserve">XENPAK &amp; SFT </t>
  </si>
  <si>
    <t>287-53-6639.10-880-999000</t>
  </si>
  <si>
    <t xml:space="preserve">R6404S APPLIANCE 4NODE </t>
  </si>
  <si>
    <t>287-53-6299.11-880-999000</t>
  </si>
  <si>
    <t>HILTON AUSTIN AIRPORT</t>
  </si>
  <si>
    <t>289-23-6411.00-041-930000</t>
  </si>
  <si>
    <t xml:space="preserve">SYMPOSIUM @ AUSTIN MAR </t>
  </si>
  <si>
    <t>TITLEIV, PART A, SUBPART 1</t>
  </si>
  <si>
    <t>VEGA, PRISCILLA</t>
  </si>
  <si>
    <t>CAMT</t>
  </si>
  <si>
    <t>289-13-6411.00-041-930000</t>
  </si>
  <si>
    <t xml:space="preserve">VIVA MATEMATICAS @ SA </t>
  </si>
  <si>
    <t>289-11-6411.00-001-930000</t>
  </si>
  <si>
    <t>289-11-6411.00-002-930000</t>
  </si>
  <si>
    <t>289-11-6411.00-101-930000</t>
  </si>
  <si>
    <t>289-11-6411.00-104-930000</t>
  </si>
  <si>
    <t>289-21-6291.00-871-930000</t>
  </si>
  <si>
    <t>289-11-6411.00-041-930000</t>
  </si>
  <si>
    <t>WORKSHOP 1504535 6/20/19</t>
  </si>
  <si>
    <t>WORKSHOP 1504529 JUN 11-</t>
  </si>
  <si>
    <t>WORKSHOP 1540533 6/18/19</t>
  </si>
  <si>
    <t>289-11-6399.00-001-930000</t>
  </si>
  <si>
    <t>289-11-6399.00-002-930000</t>
  </si>
  <si>
    <t>289-11-6399.00-041-930000</t>
  </si>
  <si>
    <t>289-11-6399.00-101-930000</t>
  </si>
  <si>
    <t>289-11-6399.00-104-930000</t>
  </si>
  <si>
    <t>ALVARADO, CYNTHIA</t>
  </si>
  <si>
    <t>BENAVIDEZ, MARIA E</t>
  </si>
  <si>
    <t>CLACK, SHAUNA</t>
  </si>
  <si>
    <t>COSIO, ESMERALDA</t>
  </si>
  <si>
    <t>289-13-6239.00-001-930000</t>
  </si>
  <si>
    <t xml:space="preserve">2019-2020 COMPLIANCE </t>
  </si>
  <si>
    <t>289-13-6239.00-002-930000</t>
  </si>
  <si>
    <t>289-13-6239.00-041-930000</t>
  </si>
  <si>
    <t>289-13-6239.00-101-930000</t>
  </si>
  <si>
    <t>289-13-6239.00-104-930000</t>
  </si>
  <si>
    <t>GONZALEZ, RENE</t>
  </si>
  <si>
    <t>HIRACHETA, ANDREA</t>
  </si>
  <si>
    <t>WOOD, ANALISA</t>
  </si>
  <si>
    <t>MISPRINT</t>
  </si>
  <si>
    <t xml:space="preserve">IGLESIAS-GARCIA, </t>
  </si>
  <si>
    <t>LEIB, JENNA</t>
  </si>
  <si>
    <t>MALDONADO, JAMIE</t>
  </si>
  <si>
    <t xml:space="preserve">STOP PAYMENT -PURSE </t>
  </si>
  <si>
    <t>TEKSCON @ SA JUL 29-AUG 1</t>
  </si>
  <si>
    <t>REPLACE CHECK 077714</t>
  </si>
  <si>
    <t>410-11-6649.00-041-911000</t>
  </si>
  <si>
    <t xml:space="preserve">INSTRUCTIONAL </t>
  </si>
  <si>
    <t>BARNES &amp; NOBLE</t>
  </si>
  <si>
    <t>410-11-6329.00-104-911000</t>
  </si>
  <si>
    <t>WEBSTRE'S DICTIONARY</t>
  </si>
  <si>
    <t xml:space="preserve">LEARNING INTERNET, INC. </t>
  </si>
  <si>
    <t>410-11-6396.10-041-911000</t>
  </si>
  <si>
    <t xml:space="preserve">7/1/19-6/30/22 TA-TEKS </t>
  </si>
  <si>
    <t>410-11-6396.10-101-911000</t>
  </si>
  <si>
    <t>410-11-6396.10-104-911000</t>
  </si>
  <si>
    <t>NOREDINK CORP</t>
  </si>
  <si>
    <t>410-11-6396.11-002-911000</t>
  </si>
  <si>
    <t xml:space="preserve">8/1/19-6/30/20 STUDNT </t>
  </si>
  <si>
    <t>410-11-6396.11-041-911000</t>
  </si>
  <si>
    <t>8/1/19-6/30/20 SITE LICENSE</t>
  </si>
  <si>
    <t>410-11-6649.12-001-911000</t>
  </si>
  <si>
    <t>410-11-6321.14-001-911000</t>
  </si>
  <si>
    <t xml:space="preserve">EXPLORING CHILD </t>
  </si>
  <si>
    <t>461-36-6399.CS-001-991000</t>
  </si>
  <si>
    <t>CONSESSION SUPPLIES</t>
  </si>
  <si>
    <t>CAMPUS ACTIVITY FUNDS</t>
  </si>
  <si>
    <t xml:space="preserve">BEST WESTERN SAN ISIDRO </t>
  </si>
  <si>
    <t>461-36-6412.3G-001-991000</t>
  </si>
  <si>
    <t>461-36-6399.3C-001-991000</t>
  </si>
  <si>
    <t>XC @ COLLEGE STN SEPT 21-</t>
  </si>
  <si>
    <t>HILTON COLLEGE STATION &amp;</t>
  </si>
  <si>
    <t xml:space="preserve">MCALLEN CARPET &amp; </t>
  </si>
  <si>
    <t>461-36-6399.61-101-999000</t>
  </si>
  <si>
    <t>CARPET REPLACEMENT</t>
  </si>
  <si>
    <t>461-36-6399.PR-001-999000</t>
  </si>
  <si>
    <t>PLC TEACHER ICE CREAM</t>
  </si>
  <si>
    <t>PRINCIPAL MEETING 8/27/18</t>
  </si>
  <si>
    <t>461-36-6412.88-001-999000</t>
  </si>
  <si>
    <t>MONE ORDER FEE</t>
  </si>
  <si>
    <t>461-36-6399.PR-104-999000</t>
  </si>
  <si>
    <t>BUNDLE WITH RESEARCH</t>
  </si>
  <si>
    <t>461-36-6495.7K-001-999000</t>
  </si>
  <si>
    <t>CRE8IVE CULTURE LLC</t>
  </si>
  <si>
    <t>461-36-6399.00-942-999088</t>
  </si>
  <si>
    <t xml:space="preserve">PAC EVENTS CUSTOM BACK </t>
  </si>
  <si>
    <t>BIG TIME SCREEN PRINTING</t>
  </si>
  <si>
    <t>461-36-6399.Y5-802-999000</t>
  </si>
  <si>
    <t>YOUTH SPORTS TSHIRTS</t>
  </si>
  <si>
    <t>YOUTH ACTIVITIES</t>
  </si>
  <si>
    <t>461-36-6399.3B-001-991000</t>
  </si>
  <si>
    <t xml:space="preserve">PERFORMANCE TEES &amp; </t>
  </si>
  <si>
    <t>ECONOMY AWARDS</t>
  </si>
  <si>
    <t>461-36-6399.3Y-041-991000</t>
  </si>
  <si>
    <t>MEDALS &amp; TROPHIES</t>
  </si>
  <si>
    <t>461-00-2110.18-000-900000</t>
  </si>
  <si>
    <t>CONTENDER TEES</t>
  </si>
  <si>
    <t>GARCIA, DOMINIC R</t>
  </si>
  <si>
    <t>SUMMER SWIM 7/20/18-</t>
  </si>
  <si>
    <t>461-36-6399.H2-001-999000</t>
  </si>
  <si>
    <t>DRILL TEAM FUNDRAISER</t>
  </si>
  <si>
    <t>SOZA, ISRAEL III</t>
  </si>
  <si>
    <t>PRELIMINARY COMPETITION</t>
  </si>
  <si>
    <t>THIRD COAST FUNDRAISING</t>
  </si>
  <si>
    <t>FALL FUNDRAISER</t>
  </si>
  <si>
    <t>461-36-6399.89-001-999000</t>
  </si>
  <si>
    <t>FALL FESTIVAL 10/18/18</t>
  </si>
  <si>
    <t>461-36-6399.PL-001-999000</t>
  </si>
  <si>
    <t>461-36-6399.7B-001-999000</t>
  </si>
  <si>
    <t>461-36-6399.GN-001-999000</t>
  </si>
  <si>
    <t>461-36-6219.3Y-041-991000</t>
  </si>
  <si>
    <t>BAND SHOPPE</t>
  </si>
  <si>
    <t xml:space="preserve">DEANAN GOURMET </t>
  </si>
  <si>
    <t>461-36-6412.3Y-041-991000</t>
  </si>
  <si>
    <t>NORCOSTCO, INC</t>
  </si>
  <si>
    <t>ROCKIN' K CORN MAZE, LLC</t>
  </si>
  <si>
    <t>461-36-6412.PL-001-999000</t>
  </si>
  <si>
    <t>TIN-RAM SPORTS</t>
  </si>
  <si>
    <t>461-36-6399.15-104-999000</t>
  </si>
  <si>
    <t>461-36-6399.3T-001-991000</t>
  </si>
  <si>
    <t>461-36-6399.3V-041-991000</t>
  </si>
  <si>
    <t>461-36-6399.7E-001-999000</t>
  </si>
  <si>
    <t>461-36-6399.7K-001-999000</t>
  </si>
  <si>
    <t>WATCH D.O.G.S.</t>
  </si>
  <si>
    <t>461-36-6399.DG-101-999000</t>
  </si>
  <si>
    <t>ANNUAL RENEWAL DUES</t>
  </si>
  <si>
    <t xml:space="preserve">PALS @ ROCKIN MAZE </t>
  </si>
  <si>
    <t xml:space="preserve">VB TOUNEY 9/22/18 </t>
  </si>
  <si>
    <t>BODYPACK TRANSMITTER</t>
  </si>
  <si>
    <t>EXCERCISE BALL</t>
  </si>
  <si>
    <t>FACE COSMETICS</t>
  </si>
  <si>
    <t>ADULT ISIS WINGS</t>
  </si>
  <si>
    <t>COLOR POWDER</t>
  </si>
  <si>
    <t>VB TOURNEY @ TM 9/22/18</t>
  </si>
  <si>
    <t xml:space="preserve">TRICOT PANTS, JACKETS, </t>
  </si>
  <si>
    <t>BLUEANT DESIGN</t>
  </si>
  <si>
    <t>WHITE TEES</t>
  </si>
  <si>
    <t xml:space="preserve">LONG SLEEVE DRIFIT </t>
  </si>
  <si>
    <t xml:space="preserve">VB @ TM 9/22/18 </t>
  </si>
  <si>
    <t xml:space="preserve">MOBILE PRECISION W/SLIM </t>
  </si>
  <si>
    <t xml:space="preserve">VB SPIKE 9/22/18 </t>
  </si>
  <si>
    <t>461-36-6499.8M-001-999000</t>
  </si>
  <si>
    <t>MILITARY BALL @ USS 12/7/18</t>
  </si>
  <si>
    <t>NOMAD EDITION &amp; LAMPS</t>
  </si>
  <si>
    <t>GRAD CELEBRATION 7/27/18</t>
  </si>
  <si>
    <t xml:space="preserve">TSHIRT STUDENTS </t>
  </si>
  <si>
    <t>SILVA, ALYSSA</t>
  </si>
  <si>
    <t>TEXAS THESPIANS</t>
  </si>
  <si>
    <t>461-36-6412.7K-001-999000</t>
  </si>
  <si>
    <t>SHIRTS &amp; SHORTS SET</t>
  </si>
  <si>
    <t>TNT PARTY KINGS LLC</t>
  </si>
  <si>
    <t>461-36-6269.PR-104-999000</t>
  </si>
  <si>
    <t>OBSTACLE COURSE  10/19/18</t>
  </si>
  <si>
    <t>LONG SLEEVE TSHIRTS</t>
  </si>
  <si>
    <t>PERFORMANCE CREW TEES</t>
  </si>
  <si>
    <t>AMERICA SINGING PROGRAM</t>
  </si>
  <si>
    <t>AD SALES FORMS</t>
  </si>
  <si>
    <t>MATERIALS BOOKLET</t>
  </si>
  <si>
    <t>UNIFORM TSHIRTS</t>
  </si>
  <si>
    <t>461-36-6399.3D-041-991000</t>
  </si>
  <si>
    <t>461-36-6399.38-001-991000</t>
  </si>
  <si>
    <t>461-36-6399.61-001-999000</t>
  </si>
  <si>
    <t>EYESHADOW PALETTE</t>
  </si>
  <si>
    <t>GRAD NIGHT SUPPLES</t>
  </si>
  <si>
    <t>CASAREZ, AMANDA NENA</t>
  </si>
  <si>
    <t>461-36-6299.00-802-999000</t>
  </si>
  <si>
    <t>YOUTH FLAG FB 10/6/18</t>
  </si>
  <si>
    <t>BOTTLED WATERS</t>
  </si>
  <si>
    <t>461-36-6411.3F-041-991000</t>
  </si>
  <si>
    <t xml:space="preserve">COACHES@ BEEVILLE V/FB </t>
  </si>
  <si>
    <t>461-36-6399.44-104-999000</t>
  </si>
  <si>
    <t>PERORMANCE TEES</t>
  </si>
  <si>
    <t>HY-TEK SPORTS SOFTWARE</t>
  </si>
  <si>
    <t>461-36-6399.3S-041-991000</t>
  </si>
  <si>
    <t xml:space="preserve">SWIM TEAM MANAGER </t>
  </si>
  <si>
    <t>MOSELEY, MICHELLE</t>
  </si>
  <si>
    <t>461-36-6399.3Y-001-991000</t>
  </si>
  <si>
    <t>DIG PINK FUNDRAISER</t>
  </si>
  <si>
    <t xml:space="preserve">4TH GRD @ ROCKIN MAZE </t>
  </si>
  <si>
    <t>ROSAS, REYMUNDO III</t>
  </si>
  <si>
    <t>YOUTH BASKETBALL 9/22/18</t>
  </si>
  <si>
    <t>461-36-6499.61-001-999000</t>
  </si>
  <si>
    <t>TEAM LUNCH 10/2/18</t>
  </si>
  <si>
    <t>461-36-6399.3F-001-991000</t>
  </si>
  <si>
    <t>PARENTS NIGHT 9/7/18</t>
  </si>
  <si>
    <t>461-36-6499.7C-001-999000</t>
  </si>
  <si>
    <t>461-36-6499.H2-001-999000</t>
  </si>
  <si>
    <t>461-36-6412.50-104-999000</t>
  </si>
  <si>
    <t xml:space="preserve">TEPSA WORKSHOP @ CC </t>
  </si>
  <si>
    <t xml:space="preserve">THEATRE @ TAMUCC </t>
  </si>
  <si>
    <t>CRUISER BOWLING SHIRT</t>
  </si>
  <si>
    <t>461-36-6399.30-002-999000</t>
  </si>
  <si>
    <t>COFFEE CREAMERS</t>
  </si>
  <si>
    <t>461-36-6399.Y4-802-999000</t>
  </si>
  <si>
    <t>YOUTH SPORTS INCENTIVE</t>
  </si>
  <si>
    <t>461-36-6412.3C-041-991000</t>
  </si>
  <si>
    <t xml:space="preserve">NIKE PANTS, HOODED </t>
  </si>
  <si>
    <t>461-36-6399.61-041-999000</t>
  </si>
  <si>
    <t>COLOR JELLY BRACELETS</t>
  </si>
  <si>
    <t>HALLOWEEN ASSORTMENT</t>
  </si>
  <si>
    <t>AR STORE SUPPLIES</t>
  </si>
  <si>
    <t>YOUTH BASKETBALL 10/6/18</t>
  </si>
  <si>
    <t>SCHOOL STORE SUPPLIES</t>
  </si>
  <si>
    <t>STUDENT PICNIC TABLES</t>
  </si>
  <si>
    <t>461-36-6399.8M-001-999000</t>
  </si>
  <si>
    <t>PANASONIC MICROWAVES</t>
  </si>
  <si>
    <t>SINTON ISD</t>
  </si>
  <si>
    <t>461-36-6412.3Y-001-991000</t>
  </si>
  <si>
    <t>F/JV VB @ SINTON 9/6 &amp; 9/8</t>
  </si>
  <si>
    <t>461-36-6412.3S-001-991000</t>
  </si>
  <si>
    <t>DRONW W/CAMERA</t>
  </si>
  <si>
    <t xml:space="preserve">SPELLING BEE </t>
  </si>
  <si>
    <t>461-36-6399.3D-001-991000</t>
  </si>
  <si>
    <t>461-36-6412.3D-001-991000</t>
  </si>
  <si>
    <t>YOUTH FLAG FB 10/20/18</t>
  </si>
  <si>
    <t xml:space="preserve">EPSON REPLACEMENT </t>
  </si>
  <si>
    <t>EVOLUTION GAME BALLS</t>
  </si>
  <si>
    <t>BASIC TEES</t>
  </si>
  <si>
    <t>DIG PINK TEES</t>
  </si>
  <si>
    <t>461-36-6399.49-001-991000</t>
  </si>
  <si>
    <t xml:space="preserve">SWEAT TOPS, HOODIES, </t>
  </si>
  <si>
    <t>CHARGER POLOS</t>
  </si>
  <si>
    <t>461-36-6399.DC-101-999000</t>
  </si>
  <si>
    <t>WRITERS WORKBOOKS</t>
  </si>
  <si>
    <t xml:space="preserve">CUSTOM RIBBONS, </t>
  </si>
  <si>
    <t>SOLID SHEET</t>
  </si>
  <si>
    <t>461-36-6495.76-001-999000</t>
  </si>
  <si>
    <t>YEARBOOK CONTEST FEE</t>
  </si>
  <si>
    <t>CHECK LOST IN MAIL</t>
  </si>
  <si>
    <t>TICKETS AND PROGRAMS</t>
  </si>
  <si>
    <t>461-36-6399.AB-001-999000</t>
  </si>
  <si>
    <t>AG BARN FORMS</t>
  </si>
  <si>
    <t>PARENT PEP RALLY</t>
  </si>
  <si>
    <t>461-36-6399.74-041-999000</t>
  </si>
  <si>
    <t>TENNIS CONCESSION 9/18/18</t>
  </si>
  <si>
    <t xml:space="preserve">TENNIS CONCESSION </t>
  </si>
  <si>
    <t>WESLACO HIGH SCHOOL</t>
  </si>
  <si>
    <t>461-36-6495.3D-001-991000</t>
  </si>
  <si>
    <t>AFFORDABLE T SHIRTS</t>
  </si>
  <si>
    <t>461-36-6399.50-104-999000</t>
  </si>
  <si>
    <t>TSHIRTS</t>
  </si>
  <si>
    <t>461-36-6399.3A-001-991000</t>
  </si>
  <si>
    <t>BADGER TEES, NIKE CREW</t>
  </si>
  <si>
    <t>SCREEN PRINTED TSHIRTS</t>
  </si>
  <si>
    <t>461-36-6412.3B-001-991000</t>
  </si>
  <si>
    <t xml:space="preserve">V/BBK@ CLEARCREEK NOV </t>
  </si>
  <si>
    <t>YOUTH FLAG FB 10/13/18</t>
  </si>
  <si>
    <t>CLEAR CREEK ISD</t>
  </si>
  <si>
    <t xml:space="preserve">DAISY CHARTERS &amp; </t>
  </si>
  <si>
    <t>GRUNWALD PRINTING</t>
  </si>
  <si>
    <t>SILICONE WRISTBANDS</t>
  </si>
  <si>
    <t>SNAP SHOT 10/19/18</t>
  </si>
  <si>
    <t>DRUG FREE WEEK</t>
  </si>
  <si>
    <t xml:space="preserve">AWARD RECOGNITION </t>
  </si>
  <si>
    <t>SHOWCASE LOCK KEYES</t>
  </si>
  <si>
    <t>MOVIES, INC</t>
  </si>
  <si>
    <t>461-36-6412.PR-104-999000</t>
  </si>
  <si>
    <t xml:space="preserve">3RD GRADE @ MOVIES </t>
  </si>
  <si>
    <t>MEGA KIT ELEMENTARY</t>
  </si>
  <si>
    <t>461-36-6399.7U-104-999000</t>
  </si>
  <si>
    <t>CLEAR STORAGE TUBS</t>
  </si>
  <si>
    <t>STUDENT INCENTIVE</t>
  </si>
  <si>
    <t>DQ GIFT CARDS</t>
  </si>
  <si>
    <t>POSITIVE PROMOTIONS</t>
  </si>
  <si>
    <t>STICKERS</t>
  </si>
  <si>
    <t>RAYMOND GEDDES &amp; CO INC</t>
  </si>
  <si>
    <t>AR STORE PRIZES</t>
  </si>
  <si>
    <t>SCHOLASTIC BOOK FAIRS</t>
  </si>
  <si>
    <t>BOOK FAIR SEPT 10-14</t>
  </si>
  <si>
    <t xml:space="preserve">SPRINGHILL SUITES </t>
  </si>
  <si>
    <t>TEAMSTER BACKPACKS</t>
  </si>
  <si>
    <t>461-36-6299.7K-001-999000</t>
  </si>
  <si>
    <t>VOID</t>
  </si>
  <si>
    <t xml:space="preserve">CREW FLEECE TOPS &amp; </t>
  </si>
  <si>
    <t>GOLD RIBBONS</t>
  </si>
  <si>
    <t>CHEER HAIR BOWS</t>
  </si>
  <si>
    <t>461-36-6649.PR-104-999000</t>
  </si>
  <si>
    <t>BOSE MUSIC SYSTEM</t>
  </si>
  <si>
    <t>SLEEVE STRIPE JERSEYS</t>
  </si>
  <si>
    <t>461-36-6399.3B-041-991000</t>
  </si>
  <si>
    <t>CONTENDER LONG SLEEVES</t>
  </si>
  <si>
    <t>461-36-6498.PR-104-999000</t>
  </si>
  <si>
    <t>LUNCHEON 11/16/18</t>
  </si>
  <si>
    <t>461-36-6498.3V-041-991000</t>
  </si>
  <si>
    <t>461-36-6399.3R-001-991000</t>
  </si>
  <si>
    <t>1ST PLACE POLE</t>
  </si>
  <si>
    <t>SPRINT 8TH TIMING SYSTEM</t>
  </si>
  <si>
    <t>461-36-6399.HC-001-999000</t>
  </si>
  <si>
    <t>VETERANS DAY PROGRAM</t>
  </si>
  <si>
    <t>DARK HEATHER TSHIRTS</t>
  </si>
  <si>
    <t>461-36-6412.3D-041-991000</t>
  </si>
  <si>
    <t>GBK @ ALICE 11/10/18</t>
  </si>
  <si>
    <t>ACCOLADES</t>
  </si>
  <si>
    <t>461-36-6399.3C-041-991000</t>
  </si>
  <si>
    <t>1ST-15TH PLACE MEDALS</t>
  </si>
  <si>
    <t>461-36-6399.3G-001-991000</t>
  </si>
  <si>
    <t>TROPHIES &amp; MEDALS</t>
  </si>
  <si>
    <t xml:space="preserve">TEAM AWARDS &amp; PLACE </t>
  </si>
  <si>
    <t>PICTURE FRAME PLATES</t>
  </si>
  <si>
    <t>SHOP OF HORRORS 11/13/18</t>
  </si>
  <si>
    <t>BLEND TEES</t>
  </si>
  <si>
    <t xml:space="preserve">CUSTOME BASKETBALL </t>
  </si>
  <si>
    <t xml:space="preserve">PERFORM TEES &amp; CORE </t>
  </si>
  <si>
    <t>CHAVEZ-GARCIA, ARMANDO</t>
  </si>
  <si>
    <t xml:space="preserve">COLOR BLOCK RAGLAN </t>
  </si>
  <si>
    <t>HOLIDAY INN EXPRESS</t>
  </si>
  <si>
    <t>AR PRIZES</t>
  </si>
  <si>
    <t>ACRYLIC PAINT SETS</t>
  </si>
  <si>
    <t>WRAPPED PRESENT TOTE</t>
  </si>
  <si>
    <t>GOLF @ RIVER HILLS NOV 2-3</t>
  </si>
  <si>
    <t>GOLF @ RIVER HILLS 11/5/18</t>
  </si>
  <si>
    <t>V/GBK @ ROCKPORT NOV 29-</t>
  </si>
  <si>
    <t xml:space="preserve">SCHOOL STORE &amp; TEST </t>
  </si>
  <si>
    <t>UTILITY CART</t>
  </si>
  <si>
    <t>HOSPITALITY SUPPLIES</t>
  </si>
  <si>
    <t xml:space="preserve">PINK OUT PARENT NIGHT </t>
  </si>
  <si>
    <t>SPURGEON, GABBY</t>
  </si>
  <si>
    <t>MAROON &amp; GOLD POMS</t>
  </si>
  <si>
    <t>461-36-6499.3B-041-991000</t>
  </si>
  <si>
    <t xml:space="preserve">JR PRIDE MEDALS,PLAQUES </t>
  </si>
  <si>
    <t>VB DIG CHECK 18X36</t>
  </si>
  <si>
    <t>SHEET MUSIC</t>
  </si>
  <si>
    <t>PROGRAMS, SIGNS, TICKETS</t>
  </si>
  <si>
    <t>PRESENTATION CHECK</t>
  </si>
  <si>
    <t>461-36-6399.90-001-999000</t>
  </si>
  <si>
    <t>PLATE SALE TICKETS</t>
  </si>
  <si>
    <t>SPELL BOOKLETS &amp; GUIDES</t>
  </si>
  <si>
    <t>PICK UP &amp; BUS PASSES</t>
  </si>
  <si>
    <t xml:space="preserve">MEDAL PARTICIPATION </t>
  </si>
  <si>
    <t>ULTIMATE AVT INC</t>
  </si>
  <si>
    <t>461-36-6499.PR-104-999000</t>
  </si>
  <si>
    <t xml:space="preserve">GOLF @ RIVER HILLS NOV 2-3 </t>
  </si>
  <si>
    <t xml:space="preserve">TENNIS TOURNEY 11/3 </t>
  </si>
  <si>
    <t>SHOP WITH A COP 12/4/18</t>
  </si>
  <si>
    <t>461-36-6412.61-101-999000</t>
  </si>
  <si>
    <t>461-36-6499.TA-001-999000</t>
  </si>
  <si>
    <t>SCHOALRSHIP</t>
  </si>
  <si>
    <t>DILL, MICHAEL K</t>
  </si>
  <si>
    <t>STOP PAYMENT 01/09/2019</t>
  </si>
  <si>
    <t>JOHNSON, MILES N</t>
  </si>
  <si>
    <t>461-36-6399.7U-101-999000</t>
  </si>
  <si>
    <t>MAYES, SHARI L</t>
  </si>
  <si>
    <t>MIRABELLI, RUSSELL</t>
  </si>
  <si>
    <t xml:space="preserve">4TH GRADE @ MOVIES </t>
  </si>
  <si>
    <t>LEVER LOCK</t>
  </si>
  <si>
    <t>461-36-6329.7U-101-999000</t>
  </si>
  <si>
    <t>BOOK FAIR 11/8/18-11/16/18</t>
  </si>
  <si>
    <t>SPIRES, KRISTIN</t>
  </si>
  <si>
    <t>WESTGATE, ASHLEY DAWN</t>
  </si>
  <si>
    <t>INDUSTRIAL WATER COOLER</t>
  </si>
  <si>
    <t>461-36-6399.3K-001-991000</t>
  </si>
  <si>
    <t>MARATHON TEES &amp; CREWS</t>
  </si>
  <si>
    <t>LONG SLEEVE JERZEES</t>
  </si>
  <si>
    <t>SHORTS, JERSEYS, &amp; SHOES</t>
  </si>
  <si>
    <t>BRAIN POP LLC</t>
  </si>
  <si>
    <t>2/17/19-2/17/20</t>
  </si>
  <si>
    <t>SWIM/DIVE @ CCISD 12/15/18</t>
  </si>
  <si>
    <t>KARIO KIDS @ CICIS 12/6/18</t>
  </si>
  <si>
    <t xml:space="preserve">CUP GRAPHICS &amp; </t>
  </si>
  <si>
    <t>461-36-6399.PH-101-999000</t>
  </si>
  <si>
    <t>MAROON TEES</t>
  </si>
  <si>
    <t>FAN CLOTH LLC</t>
  </si>
  <si>
    <t>461-36-6399.3P-001-991000</t>
  </si>
  <si>
    <t>SOFTBALL FUNDRAISER</t>
  </si>
  <si>
    <t>GOLF @ VETERANS 12/7/18</t>
  </si>
  <si>
    <t>STUDENT PROJECT</t>
  </si>
  <si>
    <t xml:space="preserve">PALS @ ROUND ROCK JAN </t>
  </si>
  <si>
    <t>STAGE REPAIR ITEMS</t>
  </si>
  <si>
    <t>AG BARN SUPPLIES</t>
  </si>
  <si>
    <t>HYPE SOCKS LLC</t>
  </si>
  <si>
    <t>LOGO ELITE SOCKS</t>
  </si>
  <si>
    <t xml:space="preserve">12/5/18-12/5/19 RDG </t>
  </si>
  <si>
    <t>461-36-6499.PR-001-999000</t>
  </si>
  <si>
    <t>PEN GIFT SETS</t>
  </si>
  <si>
    <t>PETER PIPER PIZZA</t>
  </si>
  <si>
    <t xml:space="preserve">DREAM CATCHERS @ PETER </t>
  </si>
  <si>
    <t>461-36-6399.05-104-999000</t>
  </si>
  <si>
    <t>5TH GRADE SCIENCE LAB</t>
  </si>
  <si>
    <t>5TH GRADE MATH PROJECT</t>
  </si>
  <si>
    <t>ART PROJECT</t>
  </si>
  <si>
    <t>STUDENT REWARDS</t>
  </si>
  <si>
    <t>AR REWARDS</t>
  </si>
  <si>
    <t>VETERANS HONOR 11/9/18</t>
  </si>
  <si>
    <t>SPELLING BEE RIBBONS</t>
  </si>
  <si>
    <t>BLUETOOTH SPEAKER</t>
  </si>
  <si>
    <t>INK CARTRIDGE &amp; ROSES</t>
  </si>
  <si>
    <t>461-36-6499.7K-001-999000</t>
  </si>
  <si>
    <t>UIL ACADEMIC PATCHES</t>
  </si>
  <si>
    <t>STAMP &amp; SMILEY THUMBS UP</t>
  </si>
  <si>
    <t>7 DIGIT TEST</t>
  </si>
  <si>
    <t>CORRECTION TAPE</t>
  </si>
  <si>
    <t>MAGNETIC CLIPS</t>
  </si>
  <si>
    <t>BRIGHT COLOR ERASERS</t>
  </si>
  <si>
    <t>DAP BLUESTIK PUTTY</t>
  </si>
  <si>
    <t>FELT TIP PENS</t>
  </si>
  <si>
    <t>ROSETTE RIBBONS</t>
  </si>
  <si>
    <t>461-36-6299.61-001-999000</t>
  </si>
  <si>
    <t>FOOD FUNDRAISER</t>
  </si>
  <si>
    <t>WATERBOY GRAPHICS LLC</t>
  </si>
  <si>
    <t>KINDNESS CAMPAIGN</t>
  </si>
  <si>
    <t>TITLEIST TEAM CAPS</t>
  </si>
  <si>
    <t>VOW &amp; DRUM CLUB</t>
  </si>
  <si>
    <t>MATH PROJECT</t>
  </si>
  <si>
    <t xml:space="preserve">PRINTS CHARMING ROYAL </t>
  </si>
  <si>
    <t xml:space="preserve">CREW &amp; LONG SLEEVE </t>
  </si>
  <si>
    <t>461-36-6399.7U-041-999000</t>
  </si>
  <si>
    <t>BOOK FAIR</t>
  </si>
  <si>
    <t xml:space="preserve">WORKERS ASSISTANCE </t>
  </si>
  <si>
    <t>RED STOCKINGS</t>
  </si>
  <si>
    <t xml:space="preserve">RAWLINGS TANNER TEES &amp; </t>
  </si>
  <si>
    <t xml:space="preserve">BEST WESTERN PEARLAND </t>
  </si>
  <si>
    <t>461-36-6411.49-001-991000</t>
  </si>
  <si>
    <t xml:space="preserve">SWIM CHAMPS @ PERLND </t>
  </si>
  <si>
    <t>POLY LONG SLEEVE TSHIRTS</t>
  </si>
  <si>
    <t>461-36-6399.3M-001-991100</t>
  </si>
  <si>
    <t>CREW TSHIRTS</t>
  </si>
  <si>
    <t xml:space="preserve">BROOKS DUPLICATOR </t>
  </si>
  <si>
    <t>POSTER MACHINE SUPPLIES</t>
  </si>
  <si>
    <t>CAMPOS, MELISSA LOUISE</t>
  </si>
  <si>
    <t>461-36-6219.3S-001-991000</t>
  </si>
  <si>
    <t>SWIM/DIVE REINDEER 12/1/18</t>
  </si>
  <si>
    <t>GBK @ CCISD JAN 11-12</t>
  </si>
  <si>
    <t>461-36-6399.25-104-999000</t>
  </si>
  <si>
    <t>GILDAN MAROON TSHIRTS</t>
  </si>
  <si>
    <t xml:space="preserve">NIKE SHOES, JACKETS, </t>
  </si>
  <si>
    <t>GAMBLER SPECIALTIES, INC</t>
  </si>
  <si>
    <t>HANES BLANK TSHIRTS</t>
  </si>
  <si>
    <t>PAINT &amp; PAINT SUPPLIES</t>
  </si>
  <si>
    <t xml:space="preserve">FIBERGLASS MEASURING </t>
  </si>
  <si>
    <t xml:space="preserve">SWIM/DIVE REINDEER </t>
  </si>
  <si>
    <t>GARMET VISORS</t>
  </si>
  <si>
    <t>461-36-6269.7K-001-999000</t>
  </si>
  <si>
    <t>STUDENT RAZORS</t>
  </si>
  <si>
    <t>R &amp; R AWARDS</t>
  </si>
  <si>
    <t>JV/BBK TOURNEY TROPHIES</t>
  </si>
  <si>
    <t>461-36-6498.3T-001-991000</t>
  </si>
  <si>
    <t>F/JV TENNIS @ TM 11/16/18</t>
  </si>
  <si>
    <t>CLASSROOM REWARDS</t>
  </si>
  <si>
    <t>OBSTACLE COURSE 1/11/19</t>
  </si>
  <si>
    <t>HORSE BEDDING</t>
  </si>
  <si>
    <t xml:space="preserve">HORSE BEDDING, TAPE, WGT </t>
  </si>
  <si>
    <t>BAND PROGRAMS</t>
  </si>
  <si>
    <t>TICKETS &amp; POSTERS</t>
  </si>
  <si>
    <t>YOUTH SPORT FLYERS</t>
  </si>
  <si>
    <t>POLAR EXPRESS DAY</t>
  </si>
  <si>
    <t>461-36-6412.H2-001-999000</t>
  </si>
  <si>
    <t xml:space="preserve">DRILL @ SELENA AUDITOR </t>
  </si>
  <si>
    <t xml:space="preserve">ST. JAMES EPISCOPAL </t>
  </si>
  <si>
    <t>461-36-6412.3B-041-991000</t>
  </si>
  <si>
    <t>BBK @ ST JAMES JAN 18-19</t>
  </si>
  <si>
    <t>REGIONAL SCIENCE FAIR</t>
  </si>
  <si>
    <t>TEXAS STATE FLAGS</t>
  </si>
  <si>
    <t>461-36-6399.7U-001-999000</t>
  </si>
  <si>
    <t>PERSONALIZED TUMBLERS</t>
  </si>
  <si>
    <t xml:space="preserve">NIKE CUSTOM PANTS &amp; </t>
  </si>
  <si>
    <t>461-36-6219.75-001-991000</t>
  </si>
  <si>
    <t xml:space="preserve">BBK/GBK PRIDE OF TEXAS </t>
  </si>
  <si>
    <t xml:space="preserve">LEGEND CREWS, TEES, </t>
  </si>
  <si>
    <t>NIKE HYPERDUNK</t>
  </si>
  <si>
    <t xml:space="preserve">V/BBK PRIDE OF TEXAS </t>
  </si>
  <si>
    <t>GBK @ FLOUR BLUFF 12/8/18</t>
  </si>
  <si>
    <t>NICKLESON, GUY</t>
  </si>
  <si>
    <t>461-36-6499.75-001-991000</t>
  </si>
  <si>
    <t xml:space="preserve">BBK/GBK PRIDE TEXAS </t>
  </si>
  <si>
    <t>RAMIREZ, RAMON</t>
  </si>
  <si>
    <t>MICROWAVES</t>
  </si>
  <si>
    <t>SCHOOL OUTFITTERS</t>
  </si>
  <si>
    <t xml:space="preserve">SOLID COLOR CLASSROOM </t>
  </si>
  <si>
    <t>TROPHY DEPOT, INC.</t>
  </si>
  <si>
    <t>461-36-6399.3S-001-991000</t>
  </si>
  <si>
    <t xml:space="preserve">SWIMMING TROPHIES &amp; </t>
  </si>
  <si>
    <t>461-36-6399.75-001-991000</t>
  </si>
  <si>
    <t xml:space="preserve">TENNIS TOURNY 1/25/19 </t>
  </si>
  <si>
    <t>461-36-6219.3B-041-991000</t>
  </si>
  <si>
    <t>BBK JUNIOR PRIDE 1/12/19</t>
  </si>
  <si>
    <t>VARIOUS SOCKS</t>
  </si>
  <si>
    <t>BBK JUNIOR PRIDE 1/11/19</t>
  </si>
  <si>
    <t xml:space="preserve">DRIFIT LONG SLEEVES </t>
  </si>
  <si>
    <t>461-36-6399.3M-001-991000</t>
  </si>
  <si>
    <t>CREW SOFTSTYLE TEES</t>
  </si>
  <si>
    <t>DRYBLEND SHORT SLEEVES</t>
  </si>
  <si>
    <t>SOFTSTYLE SHORT SLEEVES</t>
  </si>
  <si>
    <t>GBK @ CCISD 1/12/19</t>
  </si>
  <si>
    <t xml:space="preserve">F/JV/V @ FLOUR BLUFF </t>
  </si>
  <si>
    <t>461-36-6499.3M-001-991100</t>
  </si>
  <si>
    <t xml:space="preserve">F/JV/V GBK @ LAREDO </t>
  </si>
  <si>
    <t>461-36-6649.7U-104-999000</t>
  </si>
  <si>
    <t>LIBRARY FUNITURE</t>
  </si>
  <si>
    <t>DIAZ II, JUAN CARLOS</t>
  </si>
  <si>
    <t>461-36-6412.61-001-999000</t>
  </si>
  <si>
    <t xml:space="preserve">HOLOCAUST MUSEUM @ SA </t>
  </si>
  <si>
    <t>SWIM/DIVE @ CCISD 1/19/19</t>
  </si>
  <si>
    <t>GUAJARDO, ALFREDO</t>
  </si>
  <si>
    <t>HAMPTON INN &amp; SUITES</t>
  </si>
  <si>
    <t>461-36-6412.3P-001-991000</t>
  </si>
  <si>
    <t>V/SB @ JUDSON FEB 21-23</t>
  </si>
  <si>
    <t>PABON, KRYSTAL</t>
  </si>
  <si>
    <t>BCG TEES</t>
  </si>
  <si>
    <t xml:space="preserve">RICHARD M BORCHARD </t>
  </si>
  <si>
    <t>461-36-6269.69-001-999000</t>
  </si>
  <si>
    <t>PROM 4/13/19</t>
  </si>
  <si>
    <t>TEXAS STRENGTH SYSTEMS</t>
  </si>
  <si>
    <t xml:space="preserve">PWRLIFTING EQUIPMENT </t>
  </si>
  <si>
    <t>GBK @ FLOUR BLUFF 1/10/19</t>
  </si>
  <si>
    <t>GBK @ CCISD 1/11/19</t>
  </si>
  <si>
    <t>BANQUET TABLECLOTHES</t>
  </si>
  <si>
    <t>CAR WASH SUPPLIES</t>
  </si>
  <si>
    <t xml:space="preserve">YOUTH &amp; ALL ROUND GK </t>
  </si>
  <si>
    <t>BARBEE, SHARYLEE</t>
  </si>
  <si>
    <t>461-36-6219.3M-001-991100</t>
  </si>
  <si>
    <t>BARRERA, MATTHEW</t>
  </si>
  <si>
    <t>BARRERA JR, NOE AGUILAR</t>
  </si>
  <si>
    <t>BARRERA, NOE R.</t>
  </si>
  <si>
    <t>CALAIS, RAYDEAN</t>
  </si>
  <si>
    <t>CASTILLO, RUBEN</t>
  </si>
  <si>
    <t xml:space="preserve">ALTERING DRESSES/TUXEDO </t>
  </si>
  <si>
    <t>MIXED POPCORN</t>
  </si>
  <si>
    <t>BAG BOY PUSH CART</t>
  </si>
  <si>
    <t>ELIZONDO, VICTORIA</t>
  </si>
  <si>
    <t>461-36-6399.91-001-999000</t>
  </si>
  <si>
    <t>GOLD BASIC TEES</t>
  </si>
  <si>
    <t>GONZALEZ, BRYANNA</t>
  </si>
  <si>
    <t>GONZALEZ, ROBERTO</t>
  </si>
  <si>
    <t>HARGENS, GARY K</t>
  </si>
  <si>
    <t>HARTMAN, CODY</t>
  </si>
  <si>
    <t>461-36-6412.3A-001-991000</t>
  </si>
  <si>
    <t>JONGEMA, RICKY</t>
  </si>
  <si>
    <t>LOPEZ, JONATHAN</t>
  </si>
  <si>
    <t>461-36-6399.3J-001-991000</t>
  </si>
  <si>
    <t>MORENO, ILLIANA</t>
  </si>
  <si>
    <t>FITTED TABLE COVERS</t>
  </si>
  <si>
    <t>RAMOS, ANDRES</t>
  </si>
  <si>
    <t>DUPLEX SCANNERS</t>
  </si>
  <si>
    <t>RESENDEZ, ALEXXIS-MARIE</t>
  </si>
  <si>
    <t>RICHMOND, CAROLINE TUNG</t>
  </si>
  <si>
    <t>461-36-6299.7U-001-999000</t>
  </si>
  <si>
    <t>AUTHOR VISIT @ HS 2/15/19</t>
  </si>
  <si>
    <t>SOTO, TALISSA</t>
  </si>
  <si>
    <t>SOTO, THOMAS</t>
  </si>
  <si>
    <t>UIL OAP @ TM FEB 20-23</t>
  </si>
  <si>
    <t>TAYLOR, AUSTIN</t>
  </si>
  <si>
    <t xml:space="preserve">KATANA, CENTURION, </t>
  </si>
  <si>
    <t>ADKISON, GEORGE ROBERT</t>
  </si>
  <si>
    <t>CONTROL STANCHION</t>
  </si>
  <si>
    <t>461-36-6649.7E-001-999000</t>
  </si>
  <si>
    <t>COMPUTER PARTS</t>
  </si>
  <si>
    <t>461-36-6399.09-942-999288</t>
  </si>
  <si>
    <t>OAP CLINIC @ TM MAR 1-2</t>
  </si>
  <si>
    <t>SHORT SLEEVE TEES</t>
  </si>
  <si>
    <t xml:space="preserve">BPL QUALIFIER @ BISHOP </t>
  </si>
  <si>
    <t xml:space="preserve">2ND GRADE @ OSO BAY MAR </t>
  </si>
  <si>
    <t xml:space="preserve">COLLEGE ENTRANCE </t>
  </si>
  <si>
    <t>461-36-6399.32-001-999000</t>
  </si>
  <si>
    <t>PSAT TEST MATERIAL</t>
  </si>
  <si>
    <t xml:space="preserve">CREATING MEMORIES </t>
  </si>
  <si>
    <t>461-36-6299.69-001-999000</t>
  </si>
  <si>
    <t>PROM @ ROBSTOWN 4/13/19</t>
  </si>
  <si>
    <t>F/JV/V GBK @ ALICE 1/15/19</t>
  </si>
  <si>
    <t>GREEN, SAMMY</t>
  </si>
  <si>
    <t>461-36-6299.09-942-999488</t>
  </si>
  <si>
    <t xml:space="preserve">5TH GRADE @ MOVIES </t>
  </si>
  <si>
    <t>VB SPIKE IT TOURNEY 9/22/18</t>
  </si>
  <si>
    <t>461-36-6412.3V-041-991000</t>
  </si>
  <si>
    <t>461-36-6399.PR-041-999000</t>
  </si>
  <si>
    <t>MEET SUPPLIES</t>
  </si>
  <si>
    <t xml:space="preserve">PROGRAMS, FORMS, </t>
  </si>
  <si>
    <t xml:space="preserve">YOUTH SPORTS RECEIPT </t>
  </si>
  <si>
    <t>461-36-6399.3W-001-991000</t>
  </si>
  <si>
    <t>461-36-6412.3W-001-991000</t>
  </si>
  <si>
    <t>D&amp;D TEXAS OUTFITTERS</t>
  </si>
  <si>
    <t>461-36-6649.AB-001-999000</t>
  </si>
  <si>
    <t>SUNDOWNER STOCK BOX</t>
  </si>
  <si>
    <t xml:space="preserve">DRILL TEAM UNIFORM </t>
  </si>
  <si>
    <t>RAISED DECALS, LLC</t>
  </si>
  <si>
    <t>CUSTOM RAISED DECALS</t>
  </si>
  <si>
    <t>461-36-6412.3T-001-991000</t>
  </si>
  <si>
    <t>461-36-6499.PR-041-999000</t>
  </si>
  <si>
    <t xml:space="preserve">OFFICER APPRECIATION </t>
  </si>
  <si>
    <t xml:space="preserve">V/SB ALUMNI 2/9/19 </t>
  </si>
  <si>
    <t>CONCESSION SUPPLIES</t>
  </si>
  <si>
    <t xml:space="preserve">FULL DOOR STORAGE </t>
  </si>
  <si>
    <t>IREADY TESTING REWARDS</t>
  </si>
  <si>
    <t xml:space="preserve">8TH GRADE ORIENTATION </t>
  </si>
  <si>
    <t>TAMEZ, CHRISTOPHER</t>
  </si>
  <si>
    <t>OAP INSTRUCTOR FEB 18-19</t>
  </si>
  <si>
    <t>SPRING FUNDRAISER</t>
  </si>
  <si>
    <t xml:space="preserve">WRTNG WRKSHOP @ AUSTIN </t>
  </si>
  <si>
    <t>POLAR TREATS</t>
  </si>
  <si>
    <t>VALENTINE DANCE 2/12/19</t>
  </si>
  <si>
    <t>WEST MUSIC</t>
  </si>
  <si>
    <t>HARMONY H30S</t>
  </si>
  <si>
    <t>461-36-6412.3K-001-991000</t>
  </si>
  <si>
    <t>JV/V GSC @ SA 1/25/19</t>
  </si>
  <si>
    <t>28" DELL MONITOR</t>
  </si>
  <si>
    <t>FLAT SEAM BASEBALLS</t>
  </si>
  <si>
    <t>POLO MENS &amp; WMNS TEES</t>
  </si>
  <si>
    <t>UNIFORMS &amp; SHOES</t>
  </si>
  <si>
    <t>NIKE YTH PLAYCOACH</t>
  </si>
  <si>
    <t>LASER FAX MACHINE</t>
  </si>
  <si>
    <t>OPTIPLEX 5060 MICRO FORM</t>
  </si>
  <si>
    <t>MAROON BASIC TEES</t>
  </si>
  <si>
    <t>PEFORMANCE TEES</t>
  </si>
  <si>
    <t xml:space="preserve">MAROON PEFORMANCE </t>
  </si>
  <si>
    <t>ASH GREY BASIC TEES</t>
  </si>
  <si>
    <t>461-36-6399.7C-001-999000</t>
  </si>
  <si>
    <t>MOUNT MIRRORS SUPPLIES</t>
  </si>
  <si>
    <t xml:space="preserve">HURDLE, BLUE DISCUS, </t>
  </si>
  <si>
    <t>DIAMOND SPORTS</t>
  </si>
  <si>
    <t>SINGLE BASE TROPHIES</t>
  </si>
  <si>
    <t>ACADEMIC BOOKS</t>
  </si>
  <si>
    <t>SULLIVAN SUPPLY SOUTH</t>
  </si>
  <si>
    <t>DOUBLE GATE PEN DIVIDER</t>
  </si>
  <si>
    <t>461-36-6499.09-942-999488</t>
  </si>
  <si>
    <t>TROPHIES &amp; INSERT MEDALS</t>
  </si>
  <si>
    <t>GOLF @ RAY MARCH 22-23</t>
  </si>
  <si>
    <t>GOLFER WITHDREW</t>
  </si>
  <si>
    <t xml:space="preserve">SATIN GLOVES, VELVET </t>
  </si>
  <si>
    <t xml:space="preserve">KIDS CHAIRS, STRESS </t>
  </si>
  <si>
    <t>FUNDRAISER REWARDS</t>
  </si>
  <si>
    <t xml:space="preserve">BLUE MOON </t>
  </si>
  <si>
    <t>461-36-6299.GN-001-999000</t>
  </si>
  <si>
    <t>GRAD NIGHT 5/17/19</t>
  </si>
  <si>
    <t>YOUTH VB 2/16, 2/23, 3/9</t>
  </si>
  <si>
    <t>NBA CARDS</t>
  </si>
  <si>
    <t>461-36-6219.3R-001-991000</t>
  </si>
  <si>
    <t>TRIBAL RELAYS @ TM 3/23/19</t>
  </si>
  <si>
    <t>461-36-6412.58-041-999000</t>
  </si>
  <si>
    <t xml:space="preserve">LIFE SKILLS CBI@ CICIS </t>
  </si>
  <si>
    <t xml:space="preserve">CORPUS CHRISTI HOOKS </t>
  </si>
  <si>
    <t>461-36-6269.3A-001-991000</t>
  </si>
  <si>
    <t>V/BSB @ WBURGER 3/15, 3/25</t>
  </si>
  <si>
    <t>GILDAN TSHIRTS</t>
  </si>
  <si>
    <t>TENNIS @ KINGSVILE 2/23/19</t>
  </si>
  <si>
    <t>DESIGN WEST</t>
  </si>
  <si>
    <t>BALL CAPS</t>
  </si>
  <si>
    <t>FRANK, DAVID A.</t>
  </si>
  <si>
    <t>AR INCENTIVES</t>
  </si>
  <si>
    <t>COUNSELORS WEEK</t>
  </si>
  <si>
    <t>TENNIS @ CALALLEN 2/2/19</t>
  </si>
  <si>
    <t>461-36-6499.7U-001-999000</t>
  </si>
  <si>
    <t xml:space="preserve">AUTHOR &amp; BOOK CLUB </t>
  </si>
  <si>
    <t>K &amp; K INSURANCE GROUP INC</t>
  </si>
  <si>
    <t>ROTC INSURANCE</t>
  </si>
  <si>
    <t>NUECES COUNTY</t>
  </si>
  <si>
    <t>BBQ COOK OFF MARCH 29-30</t>
  </si>
  <si>
    <t>STAND BACKDROP</t>
  </si>
  <si>
    <t>BLUEBONNET PARTY</t>
  </si>
  <si>
    <t>461-36-6399.90-104-999000</t>
  </si>
  <si>
    <t>TMPM CARE 2/25/19</t>
  </si>
  <si>
    <t>VISOR CAPS</t>
  </si>
  <si>
    <t xml:space="preserve">SPELLING BEE BOBBLE </t>
  </si>
  <si>
    <t>STAR CAMP FEB 25-27</t>
  </si>
  <si>
    <t>SPRING BOOK FAIR</t>
  </si>
  <si>
    <t>BBK PARENTS NIGHT</t>
  </si>
  <si>
    <t xml:space="preserve">JV/V GSC SENIOR NIGHT </t>
  </si>
  <si>
    <t>CUSTOM SILCONE CAPS</t>
  </si>
  <si>
    <t>TEAM ALLIANCE JAMMERS</t>
  </si>
  <si>
    <t>SELF GUIDED VISIT 3/26/19</t>
  </si>
  <si>
    <t>SELF GUIDED VISIT 3/25/19</t>
  </si>
  <si>
    <t>461-36-6499.3B-001-991000</t>
  </si>
  <si>
    <t>461-36-6499.3D-001-991000</t>
  </si>
  <si>
    <t>461-36-6399.09-942-999488</t>
  </si>
  <si>
    <t>BBK/GBK BANNERS</t>
  </si>
  <si>
    <t>GBK BANNERS</t>
  </si>
  <si>
    <t xml:space="preserve">GBK VS CARROLL </t>
  </si>
  <si>
    <t>GSC SIGNS</t>
  </si>
  <si>
    <t xml:space="preserve">LINEUP SHEETS/CHOP BEEF </t>
  </si>
  <si>
    <t>SCHOLARSHIP CHECK</t>
  </si>
  <si>
    <t xml:space="preserve">TRIBAL RELAYS 3/23/19 </t>
  </si>
  <si>
    <t>461-36-6399.3R-041-991000</t>
  </si>
  <si>
    <t xml:space="preserve">TRIBAL RELAYS @ TM </t>
  </si>
  <si>
    <t>ALVARADO II, GABRIEL</t>
  </si>
  <si>
    <t>YOUTH BB 1/26/19-3/2/19</t>
  </si>
  <si>
    <t>OAP PROPS</t>
  </si>
  <si>
    <t>461-36-6399.09-942-999188</t>
  </si>
  <si>
    <t>BASEBALL BATS</t>
  </si>
  <si>
    <t>461-36-6399.3J-041-991000</t>
  </si>
  <si>
    <t>NIKE WATERPROOF JACKETS</t>
  </si>
  <si>
    <t>ELITE PRO BACKPACKS</t>
  </si>
  <si>
    <t>VAPOR BACKPACKS</t>
  </si>
  <si>
    <t>YOUTH BB 1/26/19-3/9/19</t>
  </si>
  <si>
    <t>DELEON, ROSENDO</t>
  </si>
  <si>
    <t>461-36-6299.09-942-999188</t>
  </si>
  <si>
    <t>461-36-6412.3J-001-991000</t>
  </si>
  <si>
    <t>461-36-6499.32-001-999000</t>
  </si>
  <si>
    <t>GRIEF COUNSELING</t>
  </si>
  <si>
    <t>MORENO, LISA</t>
  </si>
  <si>
    <t>FOLD TABLES</t>
  </si>
  <si>
    <t>KLEENEX POP UP</t>
  </si>
  <si>
    <t>OAP CLINIC @ TM APR 6-7</t>
  </si>
  <si>
    <t>OAP INSTRUCTOR 3/9/19</t>
  </si>
  <si>
    <t>F/JV/V GBK @ GP 2/5/19</t>
  </si>
  <si>
    <t>METAL BAR STOOLS</t>
  </si>
  <si>
    <t xml:space="preserve">RETRO SUNGLASSES &amp; HAIR </t>
  </si>
  <si>
    <t xml:space="preserve">AMERICAN HEART </t>
  </si>
  <si>
    <t>JUMP ROPE FOR HEART</t>
  </si>
  <si>
    <t>461-36-6412.TD-002-999000</t>
  </si>
  <si>
    <t xml:space="preserve">SCIENCE @ AQUARIUM </t>
  </si>
  <si>
    <t>COLEMAN COMPANY INC</t>
  </si>
  <si>
    <t>CANTEEN CVR &amp; BELT</t>
  </si>
  <si>
    <t>14GA 4X8 SHEETS</t>
  </si>
  <si>
    <t xml:space="preserve">GLOW SCENTED CANDLES </t>
  </si>
  <si>
    <t xml:space="preserve">WIND/SHOWSTOPPERS </t>
  </si>
  <si>
    <t>Entry Fee 3/31 - 4/1 Laredo</t>
  </si>
  <si>
    <t>LIBRARIANS CHOICE</t>
  </si>
  <si>
    <t>MONEY ORDER DIFFERANCE</t>
  </si>
  <si>
    <t>SPORTS ATTACK, LLC</t>
  </si>
  <si>
    <t>PITCHING MOTOR</t>
  </si>
  <si>
    <t xml:space="preserve">ALLIANCE JAMMERS &amp; MAX </t>
  </si>
  <si>
    <t>461-36-6411.3T-001-991000</t>
  </si>
  <si>
    <t>V/TENNIS @ TM 1/25/19</t>
  </si>
  <si>
    <t xml:space="preserve">INSPIRATIONAL MEDALS </t>
  </si>
  <si>
    <t xml:space="preserve">CHEER PROGRAM </t>
  </si>
  <si>
    <t>COLOR WRISTBANDS</t>
  </si>
  <si>
    <t>461-36-6399.69-001-999000</t>
  </si>
  <si>
    <t>PROM DECORATIONS</t>
  </si>
  <si>
    <t>DECOR MANTLE CLOCK</t>
  </si>
  <si>
    <t>ANDERSON'S ALPHABET U</t>
  </si>
  <si>
    <t xml:space="preserve">KIT TALL/SHORT STAR </t>
  </si>
  <si>
    <t xml:space="preserve">WHOOSH LONNIE JOHNSON </t>
  </si>
  <si>
    <t>CUP &amp; LIDS</t>
  </si>
  <si>
    <t>CRAWFORD, TAYLOR</t>
  </si>
  <si>
    <t>SLOPING SHELVES</t>
  </si>
  <si>
    <t xml:space="preserve">PUBLIC SCHOOLS WEEK </t>
  </si>
  <si>
    <t>461-36-6499.09-001-999000</t>
  </si>
  <si>
    <t>OAP CLINIC @ TM 3/21/19</t>
  </si>
  <si>
    <t>FINDAWAY WORLD, LLC</t>
  </si>
  <si>
    <t>CLIFFORD THE BIG RED DOG</t>
  </si>
  <si>
    <t>ARTHUR'S AUDIO FAVORITES</t>
  </si>
  <si>
    <t xml:space="preserve">JV/V GSC @ CALALLEN </t>
  </si>
  <si>
    <t>BAND FUNDRAISER</t>
  </si>
  <si>
    <t>AWARD BANQUET 8/29/19</t>
  </si>
  <si>
    <t xml:space="preserve">5TH GRADE SCIENCE </t>
  </si>
  <si>
    <t>CANDY GRAMS FUNDRAISER</t>
  </si>
  <si>
    <t xml:space="preserve">STUDENT &amp; OFFICE </t>
  </si>
  <si>
    <t xml:space="preserve">SOUTH TEXAS BOTANICAL </t>
  </si>
  <si>
    <t xml:space="preserve">KINDER SCIENCE TRIP MAR </t>
  </si>
  <si>
    <t>MEDAL STICKERS</t>
  </si>
  <si>
    <t>F/BSB @ VICTORIA 2/28/19</t>
  </si>
  <si>
    <t>JV/V GSC @ GP 3/22/19</t>
  </si>
  <si>
    <t>OAP CLINIC @ TM 3/20/19</t>
  </si>
  <si>
    <t>WINNERS, INC.</t>
  </si>
  <si>
    <t xml:space="preserve">MOTIVATIONAL ASSEMBLY </t>
  </si>
  <si>
    <t>RING POPS &amp; CERTIFICATES</t>
  </si>
  <si>
    <t>CROWN SETS &amp; TOTE BAGS</t>
  </si>
  <si>
    <t>COLOR TUMBLER CUPS</t>
  </si>
  <si>
    <t>461-36-6412.3M-001-991000</t>
  </si>
  <si>
    <t>461-36-6219.3R-041-991100</t>
  </si>
  <si>
    <t>TRIBAL RELAYS @ TM 3/21/19</t>
  </si>
  <si>
    <t>HEATHER CONTENDER TEES</t>
  </si>
  <si>
    <t>OAP CLINIC @ TM 3/1/19</t>
  </si>
  <si>
    <t xml:space="preserve">SAY SOMETHING </t>
  </si>
  <si>
    <t>TENNIS MEETING 3/25/19</t>
  </si>
  <si>
    <t xml:space="preserve">F/JV TENNIS @ TENNIS </t>
  </si>
  <si>
    <t xml:space="preserve">SUPER TEACHER </t>
  </si>
  <si>
    <t>3/28/19-3/28/20 SITE LICENSE</t>
  </si>
  <si>
    <t xml:space="preserve">PALS SELF GUIDED TOUR </t>
  </si>
  <si>
    <t>461-36-6412.7C-999-999000</t>
  </si>
  <si>
    <t>461-36-6291.11-041-999000</t>
  </si>
  <si>
    <t>HTV TRANSFER TM LOGO</t>
  </si>
  <si>
    <t>DIAGNOSTICIANS WEEK</t>
  </si>
  <si>
    <t xml:space="preserve">OPERA GLASSES &amp; MAIL </t>
  </si>
  <si>
    <t>461-36-6499.GN-001-999000</t>
  </si>
  <si>
    <t>GRAD NIGHT AWARDS</t>
  </si>
  <si>
    <t>PIE AND HAM FUNDRASIER</t>
  </si>
  <si>
    <t>SHORT SLEEVE TSHIRTS</t>
  </si>
  <si>
    <t>VAPOR PRO GREY PANTS</t>
  </si>
  <si>
    <t xml:space="preserve">CLEAT CLEANERS, STAR </t>
  </si>
  <si>
    <t>NIKE FLX SKIRT &amp; SHORTS</t>
  </si>
  <si>
    <t>461-36-6219.3S-041-991000</t>
  </si>
  <si>
    <t>SWIM/DIVE MEET @ TM 4/6/19</t>
  </si>
  <si>
    <t>PIZZA PARTY 4/12/19</t>
  </si>
  <si>
    <t>EXPANSE PUBLICATIONS</t>
  </si>
  <si>
    <t>YEARBOOKS</t>
  </si>
  <si>
    <t>461-36-6399.3F-041-991000</t>
  </si>
  <si>
    <t>FOOTBALL FAN GEAR</t>
  </si>
  <si>
    <t>GOLEMON, KATEN</t>
  </si>
  <si>
    <t>461-36-6412.93-001-999000</t>
  </si>
  <si>
    <t>CBI @ MOVIES INC 5/8/19</t>
  </si>
  <si>
    <t>MONARCH TROPHY STUDIO</t>
  </si>
  <si>
    <t>461-36-6499.09-942-999188</t>
  </si>
  <si>
    <t xml:space="preserve">OAP CONTEST AWARDS </t>
  </si>
  <si>
    <t>MORGENROTH, KRISTINA C.</t>
  </si>
  <si>
    <t>MOM ARTIST FLOWERPOTS</t>
  </si>
  <si>
    <t>GRAD NIGHT PRIZES</t>
  </si>
  <si>
    <t xml:space="preserve">SHOWTIME INTERNATIONAL, </t>
  </si>
  <si>
    <t xml:space="preserve">DRILL TEAM CAMP @ TM JUN </t>
  </si>
  <si>
    <t>STUMPS PARTY, SHINDIGZ</t>
  </si>
  <si>
    <t>PROGRAMS &amp; BADGES</t>
  </si>
  <si>
    <t>GBK BASKETBALL BANNER</t>
  </si>
  <si>
    <t>PLAYER BANNERS</t>
  </si>
  <si>
    <t>POSTER &amp; PROGRAMS</t>
  </si>
  <si>
    <t>STAAR SNACKS</t>
  </si>
  <si>
    <t xml:space="preserve">READING INTERSESSION APR </t>
  </si>
  <si>
    <t>RING POPS</t>
  </si>
  <si>
    <t>TBALL/SB EQUIPMENT</t>
  </si>
  <si>
    <t xml:space="preserve">ABILENE CHRISTIAN </t>
  </si>
  <si>
    <t>461-36-6499.69-001-999000</t>
  </si>
  <si>
    <t>MISS TMHS SCHOLARSHIP</t>
  </si>
  <si>
    <t>LARGE OWL PELLETS</t>
  </si>
  <si>
    <t>PAINTED LADY SETUP</t>
  </si>
  <si>
    <t>461-36-6399.76-001-999000</t>
  </si>
  <si>
    <t>FERNANDEZ, FERNANDO</t>
  </si>
  <si>
    <t>461-36-6299.7E-001-999000</t>
  </si>
  <si>
    <t>GARCIA, MATIAS A JR</t>
  </si>
  <si>
    <t>IN CONCERT @ PAX CC 4/9/19</t>
  </si>
  <si>
    <t>GIGS, INC</t>
  </si>
  <si>
    <t>461-36-6412.44-104-999000</t>
  </si>
  <si>
    <t xml:space="preserve">SHOWSTOPPERS @ MOVIES </t>
  </si>
  <si>
    <t>NIEMANN, JO LYNN</t>
  </si>
  <si>
    <t>ODEM-EDROY ISD</t>
  </si>
  <si>
    <t>461-36-6499.3Y-041-991000</t>
  </si>
  <si>
    <t>POOL PARTY @ ODEM 5/21/19</t>
  </si>
  <si>
    <t>BASEBALL STYLE CAPS</t>
  </si>
  <si>
    <t>CHEER SUPPLIES</t>
  </si>
  <si>
    <t>DRILL TEAM UNIFORMS</t>
  </si>
  <si>
    <t xml:space="preserve">TABLETOP BOOK VIDEO </t>
  </si>
  <si>
    <t>WHITE BASIC TEES</t>
  </si>
  <si>
    <t xml:space="preserve">PERFORMANCE </t>
  </si>
  <si>
    <t>3RD GRADE EOY 5/23/19</t>
  </si>
  <si>
    <t>GILLEY, RICHARD</t>
  </si>
  <si>
    <t>461-36-6412.76-041-999000</t>
  </si>
  <si>
    <t xml:space="preserve">FISH HATCHERY @ FBLUFF </t>
  </si>
  <si>
    <t>PAC SUPPLIES</t>
  </si>
  <si>
    <t>ATTRIUM PLANTS</t>
  </si>
  <si>
    <t>HUNTERS HAT</t>
  </si>
  <si>
    <t>CHILDS SOMBRERO HAT</t>
  </si>
  <si>
    <t>461-36-6399.04-104-999000</t>
  </si>
  <si>
    <t>4TH GRADE REWARDS</t>
  </si>
  <si>
    <t>TMPM SNACKS</t>
  </si>
  <si>
    <t xml:space="preserve">JV/V SB PARENTS NIGHT </t>
  </si>
  <si>
    <t>PROM SUPPLIES 4/13/19</t>
  </si>
  <si>
    <t>OBSTACLE COURSE 5/20/19</t>
  </si>
  <si>
    <t>MASTER LOCKS</t>
  </si>
  <si>
    <t>BENCH DADDY LLC</t>
  </si>
  <si>
    <t xml:space="preserve">GREEN KILLER BENCH </t>
  </si>
  <si>
    <t>BRANDENBURG, JOYLEE</t>
  </si>
  <si>
    <t xml:space="preserve">SCIENCE GEOLOGICAL@ CC </t>
  </si>
  <si>
    <t>DJ'S R US</t>
  </si>
  <si>
    <t>50s DANCE 5/24/19</t>
  </si>
  <si>
    <t>MISCALCULATIONS OF</t>
  </si>
  <si>
    <t>CORDED SCANNER 5100</t>
  </si>
  <si>
    <t>461-36-6412.38-001-991000</t>
  </si>
  <si>
    <t xml:space="preserve">ATH TRAINERS @ FUNTRACK </t>
  </si>
  <si>
    <t>OAP CLINIC @ TM 4/6/19</t>
  </si>
  <si>
    <t>PATTERNED GOSSAMER</t>
  </si>
  <si>
    <t>461-36-6412.7B-001-999000</t>
  </si>
  <si>
    <t>EOY @ DALLAS JUN 6-9</t>
  </si>
  <si>
    <t>KINDER GRAD INVITES</t>
  </si>
  <si>
    <t xml:space="preserve">POSTERS, TICKETS, </t>
  </si>
  <si>
    <t xml:space="preserve">WATCH DOGS USA </t>
  </si>
  <si>
    <t>UNIFORM SHORT SLEEVES</t>
  </si>
  <si>
    <t xml:space="preserve">GRAD NIGHT 5/17/19 </t>
  </si>
  <si>
    <t>GRAD NIGHT 5/17/19 AWARDS</t>
  </si>
  <si>
    <t>WIRELESS PRINTER</t>
  </si>
  <si>
    <t>MR TMHS SCHOLARSHIP</t>
  </si>
  <si>
    <t>461-36-6412.8M-001-999000</t>
  </si>
  <si>
    <t xml:space="preserve">KOASTAL KONA ICE OF </t>
  </si>
  <si>
    <t>YOUTH SB 5/18/19</t>
  </si>
  <si>
    <t>TROPHIES</t>
  </si>
  <si>
    <t xml:space="preserve">PROM FOOD @ ROBSTOWN </t>
  </si>
  <si>
    <t>TEXAS GLIDE ICECHEST</t>
  </si>
  <si>
    <t>SPRING SHOW SUPPIES</t>
  </si>
  <si>
    <t xml:space="preserve">MERRY MEN BREAKFAST </t>
  </si>
  <si>
    <t>TISCA</t>
  </si>
  <si>
    <t>461-36-6495.3S-001-991000</t>
  </si>
  <si>
    <t xml:space="preserve">A&amp;B MEDALS &amp; ATTENDANCE </t>
  </si>
  <si>
    <t>TROPHIES W/ENGRAVING</t>
  </si>
  <si>
    <t>YOUTH BASEBALL MEDALS</t>
  </si>
  <si>
    <t>US GAMES</t>
  </si>
  <si>
    <t>PHYSICAL EQUIPMENT</t>
  </si>
  <si>
    <t xml:space="preserve">PALS @ STATE AQUARIUM </t>
  </si>
  <si>
    <t>WHOLESALE CHESS</t>
  </si>
  <si>
    <t>CLUB CHESS SETS</t>
  </si>
  <si>
    <t>LIGHT BLUE TEES</t>
  </si>
  <si>
    <t>DANCE DUFEL BAGS</t>
  </si>
  <si>
    <t>VERBATIM OPTICAL MOUSE</t>
  </si>
  <si>
    <t>IREADY &amp; AR STORE</t>
  </si>
  <si>
    <t>BLUE MOOSE APPAREL</t>
  </si>
  <si>
    <t>YOUTH TBALL/SB 4/6/19-</t>
  </si>
  <si>
    <t>EOY PARTY 5/20/19</t>
  </si>
  <si>
    <t>COASTLINE CUSTOM PRINTS</t>
  </si>
  <si>
    <t>461-36-6399.76-041-999000</t>
  </si>
  <si>
    <t xml:space="preserve">STRAWBERRY &amp; GRAPE </t>
  </si>
  <si>
    <t>LEAPIN LEOTARDS</t>
  </si>
  <si>
    <t>TAN JAZZ SHOES</t>
  </si>
  <si>
    <t>BLACK JAZZ SHOES</t>
  </si>
  <si>
    <t>HIGH WAISTED LEGGINGS</t>
  </si>
  <si>
    <t>ASSORTED TANKS</t>
  </si>
  <si>
    <t>NATURAL BRIDGE CAVERNS</t>
  </si>
  <si>
    <t>FCM 1000W LAMP</t>
  </si>
  <si>
    <t xml:space="preserve">NORTHSIDE FAMILY </t>
  </si>
  <si>
    <t>461-36-6299.38-001-991000</t>
  </si>
  <si>
    <t>SCHOOL PHYSICALS</t>
  </si>
  <si>
    <t>TOP NOTCH TUMBLE</t>
  </si>
  <si>
    <t>4/3/19-4/24/19 CHEER CAMP</t>
  </si>
  <si>
    <t>5/8/19-5/22/19 CHEER CAMP</t>
  </si>
  <si>
    <t>461-36-6499.61-041-999000</t>
  </si>
  <si>
    <t>STUENT STAAR SNACKS</t>
  </si>
  <si>
    <t>461-36-6399.62-001-991000</t>
  </si>
  <si>
    <t xml:space="preserve">1ST-6TH PLACE AWARDS </t>
  </si>
  <si>
    <t>MOKO PHONE/TABLET STAND</t>
  </si>
  <si>
    <t>FIRE 7 TABLET</t>
  </si>
  <si>
    <t>ROLING CART W/DRAWERS</t>
  </si>
  <si>
    <t xml:space="preserve">GRAD NIGHT GIFT CARDS </t>
  </si>
  <si>
    <t>WOMENS SHOES</t>
  </si>
  <si>
    <t>POWER RAM SLED</t>
  </si>
  <si>
    <t xml:space="preserve">SCOREBOOK, TAPE, WRAP </t>
  </si>
  <si>
    <t>4TH GRADE EOY PARTY</t>
  </si>
  <si>
    <t>50's PARTY 5/24/19</t>
  </si>
  <si>
    <t>EOY CELEBRATION 5/7/19</t>
  </si>
  <si>
    <t>EOY CELEBRATION MAY 17-</t>
  </si>
  <si>
    <t>BREAKFAST MEETING 5/29/19</t>
  </si>
  <si>
    <t>461-36-6399.58-041-999000</t>
  </si>
  <si>
    <t>MARIETTA PLANT</t>
  </si>
  <si>
    <t>RETIREMENTS</t>
  </si>
  <si>
    <t>BOOK FAIR 5/10/19-5/17/19</t>
  </si>
  <si>
    <t xml:space="preserve">SCRAPBOOK CLEAR CASE </t>
  </si>
  <si>
    <t>461-36-6411.76-001-999000</t>
  </si>
  <si>
    <t xml:space="preserve">ILPC WRKSHOP@ AUSTIN </t>
  </si>
  <si>
    <t>MOBILE BUILD N WRITE</t>
  </si>
  <si>
    <t>461-36-6499.04-104-999000</t>
  </si>
  <si>
    <t>EOY REWARD 5/22/19</t>
  </si>
  <si>
    <t>BASIC SS TEES</t>
  </si>
  <si>
    <t>SHADOW POLOS</t>
  </si>
  <si>
    <t>NURSED DAY</t>
  </si>
  <si>
    <t>BEHR FLAT PAINT</t>
  </si>
  <si>
    <t xml:space="preserve">PAINT, SCISSORS, </t>
  </si>
  <si>
    <t>PAINT &amp; DROP CLOTH</t>
  </si>
  <si>
    <t>CONSTRUCTION ADHESIVE</t>
  </si>
  <si>
    <t>PAINTERS TOUCH</t>
  </si>
  <si>
    <t>BROWN CUBE TAP</t>
  </si>
  <si>
    <t>GRAD NITE DECORATIONS</t>
  </si>
  <si>
    <t>TRACK SUPPLIES</t>
  </si>
  <si>
    <t xml:space="preserve">SANMAR JERZEES SHORT </t>
  </si>
  <si>
    <t>TSHIRTS &amp; DETERGENT</t>
  </si>
  <si>
    <t>461-36-6498.30-002-999000</t>
  </si>
  <si>
    <t xml:space="preserve">EOC TESTING BREAKFAST </t>
  </si>
  <si>
    <t xml:space="preserve">RUNNER EOY CELEBRATION </t>
  </si>
  <si>
    <t xml:space="preserve">2ND GRADE AR </t>
  </si>
  <si>
    <t>EOY STUDENT CELEBRATION</t>
  </si>
  <si>
    <t>461-36-6499.3P-001-991000</t>
  </si>
  <si>
    <t>461-36-6499.3Y-001-991000</t>
  </si>
  <si>
    <t xml:space="preserve">CREAM DOUBLE HONOR </t>
  </si>
  <si>
    <t>FAREWELL 5/29/19</t>
  </si>
  <si>
    <t>461-36-6499.GD-001-999000</t>
  </si>
  <si>
    <t xml:space="preserve">SHELBY MEMORIAL </t>
  </si>
  <si>
    <t xml:space="preserve">CAMP COAST @ TAMUCC </t>
  </si>
  <si>
    <t>461-36-6399.7C-999-999000</t>
  </si>
  <si>
    <t>CHEER UNIFORMS</t>
  </si>
  <si>
    <t>CHEER UNIFOIRMS</t>
  </si>
  <si>
    <t>TEXTS &amp; READERS</t>
  </si>
  <si>
    <t>DRYBLEND TEES</t>
  </si>
  <si>
    <t>CAMP TEES</t>
  </si>
  <si>
    <t>461-36-6499.PS-001-999000</t>
  </si>
  <si>
    <t>KOCH SCHOLARSHIP</t>
  </si>
  <si>
    <t>461-36-6329.7U-104-999000</t>
  </si>
  <si>
    <t>TRIPLE RIBBONS</t>
  </si>
  <si>
    <t>STAR FLEXOR BOOTS</t>
  </si>
  <si>
    <t>SHORTS &amp; FOOTED TIGHTS</t>
  </si>
  <si>
    <t>6/4/19-5/30/20 A-Z LICENSES</t>
  </si>
  <si>
    <t>PIZZA PARTY 5/20/19</t>
  </si>
  <si>
    <t xml:space="preserve">SAFETY PATROL MEETING </t>
  </si>
  <si>
    <t>PRINCIPALS MEETING 6/5/19</t>
  </si>
  <si>
    <t>GIFT CARDS INCENTIVES</t>
  </si>
  <si>
    <t>VOLUNTEER GIFT BASKETS</t>
  </si>
  <si>
    <t>IREADY STORE</t>
  </si>
  <si>
    <t>DESK MAT</t>
  </si>
  <si>
    <t>PAC OPERATION SUPPLIES</t>
  </si>
  <si>
    <t>ROTC SUPPLIES</t>
  </si>
  <si>
    <t>BUMPER BALLS</t>
  </si>
  <si>
    <t xml:space="preserve">IREADY &amp; AR STORE </t>
  </si>
  <si>
    <t>NAME BADGE HOLDERS</t>
  </si>
  <si>
    <t>STORAGE CADDY</t>
  </si>
  <si>
    <t xml:space="preserve">STEPHEN F. AUSTIN STATE </t>
  </si>
  <si>
    <t>CHECKS &amp; HOLE SPONSOR</t>
  </si>
  <si>
    <t>TEES &amp; JACKETS</t>
  </si>
  <si>
    <t>TYPHOONE SHIRTS</t>
  </si>
  <si>
    <t>AR PARTY 5/16/19</t>
  </si>
  <si>
    <t>461-36-6412.76-001-999000</t>
  </si>
  <si>
    <t>HELICONI BASIC SS TEES</t>
  </si>
  <si>
    <t>TOOLS</t>
  </si>
  <si>
    <t xml:space="preserve">ELECTRONIC W/WIRED </t>
  </si>
  <si>
    <t>STUDENT PRIZES</t>
  </si>
  <si>
    <t>EOY CELEBRATION SUPPLIES</t>
  </si>
  <si>
    <t>MLB &amp; NFL CARDS</t>
  </si>
  <si>
    <t>461-36-6499.74-041-999000</t>
  </si>
  <si>
    <t>SCIENCE INCENTIVES</t>
  </si>
  <si>
    <t>DAYS INN</t>
  </si>
  <si>
    <t>461-36-6412.49-001-991000</t>
  </si>
  <si>
    <t xml:space="preserve">SWIM @ COLLEGE STN JUL </t>
  </si>
  <si>
    <t>461-00-1109.CS-000-900000</t>
  </si>
  <si>
    <t>CONESSION FUNDS</t>
  </si>
  <si>
    <t xml:space="preserve">DISNEYS LITTLE MERMAID </t>
  </si>
  <si>
    <t xml:space="preserve">IREADY REWARD @ MOVIES </t>
  </si>
  <si>
    <t>SOUND LINK MINI</t>
  </si>
  <si>
    <t xml:space="preserve">GUNNNER SHORTS &amp; </t>
  </si>
  <si>
    <t>GOLF TOURNAMENT 6/3/19</t>
  </si>
  <si>
    <t>UNITED STATES MAP</t>
  </si>
  <si>
    <t>REPLACE CHECK 076963</t>
  </si>
  <si>
    <t xml:space="preserve">TACS CHALLENGE </t>
  </si>
  <si>
    <t>461-36-6399.10-001-999000</t>
  </si>
  <si>
    <t>BARCODE SCANNERS</t>
  </si>
  <si>
    <t>SPRAY PAINT &amp; PEBBLES</t>
  </si>
  <si>
    <t>PAINT BRUSHES</t>
  </si>
  <si>
    <t>DESKTOP ORGANIZER</t>
  </si>
  <si>
    <t xml:space="preserve">LADIES TOURDE JACKETS &amp; </t>
  </si>
  <si>
    <t>TRI COLOR SPORT BAGS</t>
  </si>
  <si>
    <t>YOUTH SPORT SUPPLIES</t>
  </si>
  <si>
    <t>DE LUNA, JORGE A</t>
  </si>
  <si>
    <t xml:space="preserve">GREASE COACH &amp; </t>
  </si>
  <si>
    <t>NAVY BASIC TEES</t>
  </si>
  <si>
    <t>GRY BASIC &amp; SOFT TEES</t>
  </si>
  <si>
    <t xml:space="preserve">MAROON/GRY PEFORMANCE </t>
  </si>
  <si>
    <t>GREASE AUDITIONS JUL 27-</t>
  </si>
  <si>
    <t>461-36-6411.8M-001-999000</t>
  </si>
  <si>
    <t>AREA TRANING @ SA JUL 31-</t>
  </si>
  <si>
    <t>GOLD PEP RALLY DRESSES</t>
  </si>
  <si>
    <t xml:space="preserve">HIGH JUMP PIT WEATHER </t>
  </si>
  <si>
    <t>SIGN SOLUTIONS, INC</t>
  </si>
  <si>
    <t>TENNIS CHAMP BOARDS</t>
  </si>
  <si>
    <t xml:space="preserve">SPRINGHILL SUITES IN </t>
  </si>
  <si>
    <t>SWIM FLYERS &amp; RECORDS</t>
  </si>
  <si>
    <t>TAX FORMS &amp; LETTERS</t>
  </si>
  <si>
    <t>YOUTH SPORTS FLYERS</t>
  </si>
  <si>
    <t xml:space="preserve">DOG MAN FOR WHOM THE </t>
  </si>
  <si>
    <t xml:space="preserve">USB THUMBDRIVE </t>
  </si>
  <si>
    <t>DRILLMASTERS BAND SHOES</t>
  </si>
  <si>
    <t xml:space="preserve">DRILL MARKERS &amp; AC </t>
  </si>
  <si>
    <t>UNITARD W/DRESS REVEAL</t>
  </si>
  <si>
    <t xml:space="preserve">AMATEUR @ VICTORIA JUL </t>
  </si>
  <si>
    <t>CREW SOCKS</t>
  </si>
  <si>
    <t>CHAVERO, GERARDO</t>
  </si>
  <si>
    <t>461-36-6299.7B-001-999000</t>
  </si>
  <si>
    <t xml:space="preserve">COLOR GUARD </t>
  </si>
  <si>
    <t xml:space="preserve">CORPUS CHRISTI AREA </t>
  </si>
  <si>
    <t>461-36-6219.3Y-001-991000</t>
  </si>
  <si>
    <t xml:space="preserve">F/JV/V VB VETRNS/GOLIAD </t>
  </si>
  <si>
    <t>CANON 50MM &amp; SUPPLIES</t>
  </si>
  <si>
    <t>WATCH DOGS NIGHT 8/6/19</t>
  </si>
  <si>
    <t>WORKOUT SETS</t>
  </si>
  <si>
    <t>461-36-6399.45-041-999000</t>
  </si>
  <si>
    <t xml:space="preserve">MAROON PERFORMANCE </t>
  </si>
  <si>
    <t>GRAPH TRAINING SHORTS</t>
  </si>
  <si>
    <t>TABLECOVERS &amp; RAZORS</t>
  </si>
  <si>
    <t>LAMINATED POSTERS</t>
  </si>
  <si>
    <t>MAROON DRIFIT TSHIRTS</t>
  </si>
  <si>
    <t>461-36-6412.3F-001-991000</t>
  </si>
  <si>
    <t>F/JV/V FB @ KING 8/16/19</t>
  </si>
  <si>
    <t>462-11-6649.29-001-911900</t>
  </si>
  <si>
    <t xml:space="preserve">CPEN READER &amp; </t>
  </si>
  <si>
    <t xml:space="preserve">TM EDU FOUNDATION </t>
  </si>
  <si>
    <t>462-11-6649.25-001-911900</t>
  </si>
  <si>
    <t>462-11-6649.17-041-911900</t>
  </si>
  <si>
    <t>APPLE PENCILS</t>
  </si>
  <si>
    <t xml:space="preserve">PROJECTOR, CABLES, </t>
  </si>
  <si>
    <t>462-11-6649.22-001-911900</t>
  </si>
  <si>
    <t xml:space="preserve">MIMIO TEACH INTERACTIVE </t>
  </si>
  <si>
    <t>462-11-6399.19-001-911900</t>
  </si>
  <si>
    <t>ROBOTIC PIECES</t>
  </si>
  <si>
    <t>462-11-6649.15-041-911900</t>
  </si>
  <si>
    <t>LIGHTNING DIGITAL ADAPTER</t>
  </si>
  <si>
    <t>IPAD WIFI 32GB SPACE GRAY</t>
  </si>
  <si>
    <t>462-11-6412.28-001-911900</t>
  </si>
  <si>
    <t xml:space="preserve">NATIONAL @ HARVARD FEB </t>
  </si>
  <si>
    <t>462-11-6399.18-041-911900</t>
  </si>
  <si>
    <t>CLASSROOM FURNITURE</t>
  </si>
  <si>
    <t>462-11-6649.14-041-911900</t>
  </si>
  <si>
    <t>462-11-6412.20-001-911900</t>
  </si>
  <si>
    <t>TATE II, DONALD E</t>
  </si>
  <si>
    <t>462-11-6299.11-104-911900</t>
  </si>
  <si>
    <t xml:space="preserve">AUTHOR PRESENTATION </t>
  </si>
  <si>
    <t>TEEN BOOKFEST BY THE BAY</t>
  </si>
  <si>
    <t>462-11-6299.27-001-911900</t>
  </si>
  <si>
    <t xml:space="preserve">TEEN BOOKFEST @ ABC FEB </t>
  </si>
  <si>
    <t xml:space="preserve">IPAD CASE &amp; PORTABLE </t>
  </si>
  <si>
    <t>462-11-6412.24-001-911900</t>
  </si>
  <si>
    <t>FLUENCY LLC</t>
  </si>
  <si>
    <t>462-13-6412.32-001-911900</t>
  </si>
  <si>
    <t xml:space="preserve">FLUENCY CAMP @ HS </t>
  </si>
  <si>
    <t>SPACE CENTER HOUSTON</t>
  </si>
  <si>
    <t>462-11-6412.26-001-911900</t>
  </si>
  <si>
    <t>TSA @ HOUSTON MAR 22-23</t>
  </si>
  <si>
    <t>TABLET MOUNT</t>
  </si>
  <si>
    <t>462-11-6399.13-104-911900</t>
  </si>
  <si>
    <t>LITE PLAN</t>
  </si>
  <si>
    <t>TSA @ HOUSTON MARCH 22-</t>
  </si>
  <si>
    <t>462-11-6399.07-101-911900</t>
  </si>
  <si>
    <t>MATH &amp; SCIENCE SUPPLIES</t>
  </si>
  <si>
    <t>3MP CAMERA</t>
  </si>
  <si>
    <t>462-11-6329.03-101-911900</t>
  </si>
  <si>
    <t>F&amp;P GENRE GUIDES</t>
  </si>
  <si>
    <t>TERRAPIN</t>
  </si>
  <si>
    <t>462-11-6399.06-101-911900</t>
  </si>
  <si>
    <t>BEE BOTS MATERIALS</t>
  </si>
  <si>
    <t>QUOTE PRICE DIFFERENCE</t>
  </si>
  <si>
    <t>RODENTPRO.COM LLC</t>
  </si>
  <si>
    <t>462-11-6399.16-041-911900</t>
  </si>
  <si>
    <t>FROZEN MICE &amp; RATS</t>
  </si>
  <si>
    <t>462-11-6399.09-101-911900</t>
  </si>
  <si>
    <t>TOY ROCKER &amp; AREA RUG</t>
  </si>
  <si>
    <t xml:space="preserve">WOBBLE CHAIR &amp; STADIUM </t>
  </si>
  <si>
    <t>ANIMAL FOOD</t>
  </si>
  <si>
    <t>462-11-6299.12-104-911900</t>
  </si>
  <si>
    <t>SOUND &amp; STORIES 3/29/19</t>
  </si>
  <si>
    <t>462-11-6329.01-101-911900</t>
  </si>
  <si>
    <t>COOKTOP &amp; BUILDING SET</t>
  </si>
  <si>
    <t>462-11-6412.23-001-911900</t>
  </si>
  <si>
    <t xml:space="preserve">RESEARCH ART @ HOUSTON </t>
  </si>
  <si>
    <t>462-11-6329.02-101-911900</t>
  </si>
  <si>
    <t>MATH LIBRARY BOOKS</t>
  </si>
  <si>
    <t>462-11-6399.04-101-911900</t>
  </si>
  <si>
    <t>NATIONAL GEOGRPAHIC</t>
  </si>
  <si>
    <t>GIRL MIND MONTAGUE</t>
  </si>
  <si>
    <t>GARDEN 3 PACK</t>
  </si>
  <si>
    <t>WHATS PIGGYBANK SET</t>
  </si>
  <si>
    <t>NATIONAL READER SAVINGS</t>
  </si>
  <si>
    <t xml:space="preserve">CITY SHAPES, GROUCHY </t>
  </si>
  <si>
    <t>LIFE CYCLE PACK</t>
  </si>
  <si>
    <t>SOLAR SYSTEM PACK</t>
  </si>
  <si>
    <t>EARTH SCIENCE</t>
  </si>
  <si>
    <t>TIME KIDS STEM</t>
  </si>
  <si>
    <t>WHO SCIENTISTS PACK</t>
  </si>
  <si>
    <t>462-11-6412.21-001-911900</t>
  </si>
  <si>
    <t>462-11-6339.30-002-911900</t>
  </si>
  <si>
    <t>SAT ADMISSION TICKET</t>
  </si>
  <si>
    <t>ACT NATIONAL TEST</t>
  </si>
  <si>
    <t>WOBBLE CHAIR &amp; CUSHION</t>
  </si>
  <si>
    <t>462-11-6399.10-101-911900</t>
  </si>
  <si>
    <t>GIFT CARDS &amp; TABLET</t>
  </si>
  <si>
    <t>TABLET CASE</t>
  </si>
  <si>
    <t>462-11-6399.05-101-911900</t>
  </si>
  <si>
    <t>VINYL FLOOR TAPE</t>
  </si>
  <si>
    <t>462-11-6399.31-002-911900</t>
  </si>
  <si>
    <t>WORM BAGS</t>
  </si>
  <si>
    <t>UMB BANK, N.A.</t>
  </si>
  <si>
    <t>599-71-6599.00-999-999000</t>
  </si>
  <si>
    <t>BOND MANAGEMENT FEE</t>
  </si>
  <si>
    <t>DEBT SVS</t>
  </si>
  <si>
    <t>FROST BANK</t>
  </si>
  <si>
    <t>SEC RULE 15C212 FY 8/31/18</t>
  </si>
  <si>
    <t>WELLS FARGO BANK</t>
  </si>
  <si>
    <t>3/1/19-2/28/20 AGENT FEE</t>
  </si>
  <si>
    <t xml:space="preserve">TREMCO </t>
  </si>
  <si>
    <t>685-00-2110.18-000-900000</t>
  </si>
  <si>
    <t xml:space="preserve">2016 MAINTENANCE TAX </t>
  </si>
  <si>
    <t>685-00-2110.18-000-900018</t>
  </si>
  <si>
    <t>GOLD ROOF WARRANTY</t>
  </si>
  <si>
    <t>LONGHORN BUS SALES LLC</t>
  </si>
  <si>
    <t>685-34-6631.2R-937-999000</t>
  </si>
  <si>
    <t>2 71 PASSENGER BUSES</t>
  </si>
  <si>
    <t>685-51-6249.2S-001-999000</t>
  </si>
  <si>
    <t xml:space="preserve">HALLWAY FLOORING </t>
  </si>
  <si>
    <t>KJM COMMERCIAL, INC.</t>
  </si>
  <si>
    <t>695-00-2110.67-000-900000</t>
  </si>
  <si>
    <t>CLASSROOM ADDITION</t>
  </si>
  <si>
    <t xml:space="preserve">$36 MILLION BOND PROG - </t>
  </si>
  <si>
    <t>JRG ACCESS ABILITY LLC</t>
  </si>
  <si>
    <t>695-81-6629.67-104-999030</t>
  </si>
  <si>
    <t>ADA FINAL INSPECTION</t>
  </si>
  <si>
    <t>699-81-6629.TC-041-999200</t>
  </si>
  <si>
    <t xml:space="preserve">TENNIS CRT CLOSEOUT </t>
  </si>
  <si>
    <t xml:space="preserve">$13M BOND/2010 MAINT TAX </t>
  </si>
  <si>
    <t>749-61-6412.00-101-999000</t>
  </si>
  <si>
    <t>TMPM FIELD TRIP 9/5/18</t>
  </si>
  <si>
    <t>ENTERPRISE - TMPM</t>
  </si>
  <si>
    <t>749-61-6399.00-101-999000</t>
  </si>
  <si>
    <t>HEADPHONES W/MIC</t>
  </si>
  <si>
    <t>749-61-6269.00-104-999000</t>
  </si>
  <si>
    <t xml:space="preserve">TMPM @ ROCKIN MAZE </t>
  </si>
  <si>
    <t>749-61-6649.00-104-999000</t>
  </si>
  <si>
    <t>EPSON PROJECTOR</t>
  </si>
  <si>
    <t>BRAUN THERMOSCAN</t>
  </si>
  <si>
    <t>749-61-6399.00-104-999000</t>
  </si>
  <si>
    <t>TMPM SUPPLIES</t>
  </si>
  <si>
    <t>749-61-6412.00-104-999000</t>
  </si>
  <si>
    <t>TMPM @ MOVIES 10/24/18</t>
  </si>
  <si>
    <t>LATITUDE 5590 BTX</t>
  </si>
  <si>
    <t>749-61-6498.00-104-999000</t>
  </si>
  <si>
    <t>EOY MEETING 12/13/18</t>
  </si>
  <si>
    <t>TMPM LUNCHEON 12/14/18</t>
  </si>
  <si>
    <t xml:space="preserve">PEERLESS FLAT PANEL TV </t>
  </si>
  <si>
    <t>BESOM 136 HEADPHONES</t>
  </si>
  <si>
    <t>TMPM @ MOVIES 2/27/19</t>
  </si>
  <si>
    <t>PRIMARY @ ESA 2/26/19</t>
  </si>
  <si>
    <t>MAG ONE BPR40 BATTERIES</t>
  </si>
  <si>
    <t xml:space="preserve">CORPUS CHRISTI MUSEUM </t>
  </si>
  <si>
    <t>TMPM @ MUSEUM 4/17/19</t>
  </si>
  <si>
    <t>ATTENDANCE AMT CHANGED</t>
  </si>
  <si>
    <t xml:space="preserve">BASKETBALLS, FOOTBALLS, </t>
  </si>
  <si>
    <t>TMPM RECEIPT BOOKS</t>
  </si>
  <si>
    <t>NINTENDO GAMES</t>
  </si>
  <si>
    <t>NINTENDO SWITCH</t>
  </si>
  <si>
    <t>NINTENDO CONTROLLERS</t>
  </si>
  <si>
    <t>AMERICOLORS CARPET</t>
  </si>
  <si>
    <t>43" VIZO HDTV</t>
  </si>
  <si>
    <t xml:space="preserve">TMPM CARECAMP @ MOVIES </t>
  </si>
  <si>
    <t>749-61-6499.00-104-999000</t>
  </si>
  <si>
    <t>AREA RUG</t>
  </si>
  <si>
    <t>749-61-6394.00-104-999000</t>
  </si>
  <si>
    <t>RULES &amp; PROCEDURES</t>
  </si>
  <si>
    <t>749-61-6299.00-101-999000</t>
  </si>
  <si>
    <t>749-61-6299.00-104-999000</t>
  </si>
  <si>
    <t>749-00-1411.02-000-900000</t>
  </si>
  <si>
    <t>TMPM @ AQUARIUM 9/4/19</t>
  </si>
  <si>
    <t>SCHOOL COMP</t>
  </si>
  <si>
    <t>753-00-2110.18-000-900000</t>
  </si>
  <si>
    <t>AUG 2018 CLAIMS COST</t>
  </si>
  <si>
    <t xml:space="preserve">WORKER'S COMP SELF </t>
  </si>
  <si>
    <t>STOP PAYMENT 10/02/2018</t>
  </si>
  <si>
    <t>753-41-6299.00-750-999000</t>
  </si>
  <si>
    <t>WORKERS COMPENSATION</t>
  </si>
  <si>
    <t xml:space="preserve">1ST QUARTERLY </t>
  </si>
  <si>
    <t>753-41-6429.02-750-999000</t>
  </si>
  <si>
    <t>EXCESS PREMIUM 2018-2019</t>
  </si>
  <si>
    <t>REPLACE CK#73923</t>
  </si>
  <si>
    <t>753-41-6429.00-750-999000</t>
  </si>
  <si>
    <t>SEPT 2018 CLAIMS COST</t>
  </si>
  <si>
    <t>OCT 2018 CLAIMS COST</t>
  </si>
  <si>
    <t xml:space="preserve">2ND QUARTERLY </t>
  </si>
  <si>
    <t>NOV 2018 CLAIMS COST</t>
  </si>
  <si>
    <t>DEC 2018 CLAIMS COST</t>
  </si>
  <si>
    <t>753-41-6429.03-750-999000</t>
  </si>
  <si>
    <t>2019 POOL RECONCILIATION</t>
  </si>
  <si>
    <t xml:space="preserve">3RD QUARTERLY </t>
  </si>
  <si>
    <t>JAN 2019 CLAIM COST</t>
  </si>
  <si>
    <t>FEB 2019 CLAIM COST</t>
  </si>
  <si>
    <t xml:space="preserve">4TH QUARTERLY </t>
  </si>
  <si>
    <t>865-36-6399.7K-041-999000</t>
  </si>
  <si>
    <t xml:space="preserve">STUDENT ACTIVITY </t>
  </si>
  <si>
    <t>865-36-6499.8T-001-999000</t>
  </si>
  <si>
    <t>865-36-6399.8T-001-999000</t>
  </si>
  <si>
    <t>865-36-6399.8S-001-999000</t>
  </si>
  <si>
    <t>865-36-6399.TS-001-999000</t>
  </si>
  <si>
    <t>865-36-6499.8E-041-999000</t>
  </si>
  <si>
    <t>865-00-2110.18-000-900000</t>
  </si>
  <si>
    <t>865-36-6399.8P-041-999000</t>
  </si>
  <si>
    <t xml:space="preserve">VB GP 9/6/18 CONSESSION </t>
  </si>
  <si>
    <t>865-36-6399.8P-001-999000</t>
  </si>
  <si>
    <t>865-36-6399.7B-041-999000</t>
  </si>
  <si>
    <t xml:space="preserve">BROCHURE SALES </t>
  </si>
  <si>
    <t>865-36-6495.8S-001-999000</t>
  </si>
  <si>
    <t>LIFETIME MEMBERSHIPS</t>
  </si>
  <si>
    <t xml:space="preserve">STENCIL &amp; OFFICE </t>
  </si>
  <si>
    <t>865-36-6412.8S-001-999000</t>
  </si>
  <si>
    <t>NIKE RUNNING SHOES</t>
  </si>
  <si>
    <t>865-36-6299.8T-001-999000</t>
  </si>
  <si>
    <t>HOMECOMING DANCE 11/1/18</t>
  </si>
  <si>
    <t>DECA</t>
  </si>
  <si>
    <t>865-36-6495.VL-001-999000</t>
  </si>
  <si>
    <t>STUDENT AFFILIATION</t>
  </si>
  <si>
    <t>HOSA INC</t>
  </si>
  <si>
    <t>865-36-6495.H5-001-999000</t>
  </si>
  <si>
    <t xml:space="preserve">STATE/NATIONAL </t>
  </si>
  <si>
    <t>865-36-6399.30-002-999000</t>
  </si>
  <si>
    <t>BAR STOOLS</t>
  </si>
  <si>
    <t>GILDAN COTTEN TSHIRTS</t>
  </si>
  <si>
    <t xml:space="preserve">HOMECOMING DANCE </t>
  </si>
  <si>
    <t>SUGAR SKULL STAND UPS</t>
  </si>
  <si>
    <t xml:space="preserve">HALLOWEEN ICONIC </t>
  </si>
  <si>
    <t>865-36-6412.8T-001-999000</t>
  </si>
  <si>
    <t xml:space="preserve">COUNCIL FALL @ RAY </t>
  </si>
  <si>
    <t>BIG TIME FUNDRAISING</t>
  </si>
  <si>
    <t xml:space="preserve">DISCOUNT CARDS </t>
  </si>
  <si>
    <t>GRAPHITE TSHIRTS</t>
  </si>
  <si>
    <t>HOMECOMING FUNDRAISER</t>
  </si>
  <si>
    <t>865-36-6299.8S-001-999000</t>
  </si>
  <si>
    <t>ONLINE CRITIQUE SESSIONS</t>
  </si>
  <si>
    <t>UNIFROMS, PATCHES &amp; PINS</t>
  </si>
  <si>
    <t>VB CONCESSION 9/17/18</t>
  </si>
  <si>
    <t>VB CONCESSION 10/15/18</t>
  </si>
  <si>
    <t>865-36-6399.30-101-999000</t>
  </si>
  <si>
    <t>VOLUNTEERS WORK 9/27/18</t>
  </si>
  <si>
    <t>865-36-6412.7K-041-999000</t>
  </si>
  <si>
    <t xml:space="preserve">TEAM PACKAGE, COACH </t>
  </si>
  <si>
    <t xml:space="preserve">OCTOBER MOON FINE </t>
  </si>
  <si>
    <t>865-36-6399.30-104-999000</t>
  </si>
  <si>
    <t>RATHKE SYUMPATHY</t>
  </si>
  <si>
    <t>AMYE MORALES PLANT</t>
  </si>
  <si>
    <t>MAROON TSHIRTS</t>
  </si>
  <si>
    <t>BAND V/FB GP 11/2/18</t>
  </si>
  <si>
    <t>ON LINE TEST REGISTRATION</t>
  </si>
  <si>
    <t>JOY OF TOURNAMENTS</t>
  </si>
  <si>
    <t xml:space="preserve">ONSITE TOURNAMENT @ TM </t>
  </si>
  <si>
    <t>865-36-6495.V8-001-999000</t>
  </si>
  <si>
    <t xml:space="preserve">2018-2019 JUNIOR </t>
  </si>
  <si>
    <t>865-36-6649.30-002-999000</t>
  </si>
  <si>
    <t xml:space="preserve">BAR STYLE POPCORN </t>
  </si>
  <si>
    <t>865-36-6495.VB-001-999000</t>
  </si>
  <si>
    <t>NATIONAL &amp; STATE DUES</t>
  </si>
  <si>
    <t>COLLING, RICHARD J.</t>
  </si>
  <si>
    <t>ONLINE PRACTICE SESSIONS</t>
  </si>
  <si>
    <t xml:space="preserve">FRESH COUNTRY </t>
  </si>
  <si>
    <t>865-36-6399.V8-001-999000</t>
  </si>
  <si>
    <t>FFA FUNDRAISER</t>
  </si>
  <si>
    <t>865-36-6399.7E-041-999000</t>
  </si>
  <si>
    <t>CHOIR FUNDRAISER</t>
  </si>
  <si>
    <t>865-36-6399.8E-001-999000</t>
  </si>
  <si>
    <t>PICNIC TABLE</t>
  </si>
  <si>
    <t xml:space="preserve">HOMECOMING DANCE AND </t>
  </si>
  <si>
    <t>865-36-6399.H5-001-999000</t>
  </si>
  <si>
    <t>865-36-6499.7B-041-999000</t>
  </si>
  <si>
    <t xml:space="preserve">VETERANS CELEBRATION </t>
  </si>
  <si>
    <t>VIP TEACHER SIGN</t>
  </si>
  <si>
    <t>865-36-6399.MB-041-999000</t>
  </si>
  <si>
    <t>BBQ TICKETS</t>
  </si>
  <si>
    <t xml:space="preserve">UNITED STATES FUNDS FOR </t>
  </si>
  <si>
    <t>865-36-6399.VB-001-999000</t>
  </si>
  <si>
    <t>BPA DONATION</t>
  </si>
  <si>
    <t>865-36-6399.VL-001-999000</t>
  </si>
  <si>
    <t>DECA DONATION</t>
  </si>
  <si>
    <t>FALL DANCE CONCESSION</t>
  </si>
  <si>
    <t>PASF OF TEXAS</t>
  </si>
  <si>
    <t>865-36-6412.8P-001-999000</t>
  </si>
  <si>
    <t xml:space="preserve">PASF CONVENTION @ SA </t>
  </si>
  <si>
    <t>POWER OUTAGE 10/15/18</t>
  </si>
  <si>
    <t>865-36-6399.92-001-999000</t>
  </si>
  <si>
    <t>HAILEY SOLIZ</t>
  </si>
  <si>
    <t xml:space="preserve">COMMUNITY SERVICE </t>
  </si>
  <si>
    <t>LOPEZ III, PEDRO</t>
  </si>
  <si>
    <t>865-36-6299.V8-001-999000</t>
  </si>
  <si>
    <t>FFA CONSULTANT</t>
  </si>
  <si>
    <t xml:space="preserve">2ND SIX WEEKS </t>
  </si>
  <si>
    <t>EOC TESTING 12/3/18</t>
  </si>
  <si>
    <t>STAFF XMAS 12/7/18</t>
  </si>
  <si>
    <t>SPANISH CLUB CONCESSION</t>
  </si>
  <si>
    <t>FFA CONCESSION</t>
  </si>
  <si>
    <t>KCUP COFFEE</t>
  </si>
  <si>
    <t>CONSRUCTION PAPER</t>
  </si>
  <si>
    <t xml:space="preserve">CONSRUCTION PAPER &amp; </t>
  </si>
  <si>
    <t>SISSCORS</t>
  </si>
  <si>
    <t>SISSORS</t>
  </si>
  <si>
    <t>865-36-6399.48-001-999000</t>
  </si>
  <si>
    <t>POINSETTA FUNDRAISER</t>
  </si>
  <si>
    <t>865-36-6399.RC-001-999000</t>
  </si>
  <si>
    <t>TURKEYS FOR COMMUNITY</t>
  </si>
  <si>
    <t xml:space="preserve">STUDENT COUNCIL WRKRS </t>
  </si>
  <si>
    <t>FRESH COUNTRY FFA</t>
  </si>
  <si>
    <t>HARVARD DEBATE INC</t>
  </si>
  <si>
    <t>ANGEL TREE SUPPLIES</t>
  </si>
  <si>
    <t xml:space="preserve">ROTARY CLUB OF CORPUS </t>
  </si>
  <si>
    <t>865-36-6499.RC-001-999000</t>
  </si>
  <si>
    <t>RYLA TRAINING JAN 31-FEB 3</t>
  </si>
  <si>
    <t>865-36-6499.30-101-999000</t>
  </si>
  <si>
    <t>STRATEGIES MEETING 1/3/19</t>
  </si>
  <si>
    <t>REVEAL LUNCHEON 12/14/18</t>
  </si>
  <si>
    <t>TROPHY PACKAGE</t>
  </si>
  <si>
    <t>RESTAURNAT GIFT CARDS</t>
  </si>
  <si>
    <t>FACULTY INCENTIVES</t>
  </si>
  <si>
    <t>FRUIT TRAY</t>
  </si>
  <si>
    <t>FUNERAL ARRANGEMENT</t>
  </si>
  <si>
    <t>CO2 CARTRIDGE</t>
  </si>
  <si>
    <t xml:space="preserve">COMIC CON CHRISTMAS </t>
  </si>
  <si>
    <t>FFA SIGNS</t>
  </si>
  <si>
    <t>DOUBLETREE SUITES BY</t>
  </si>
  <si>
    <t>EVENT  CANCELLED</t>
  </si>
  <si>
    <t xml:space="preserve">SPORT TEK V NECK WIND </t>
  </si>
  <si>
    <t>BELLA BEAUTY SCHOOL</t>
  </si>
  <si>
    <t>865-36-6499.8H-001-999000</t>
  </si>
  <si>
    <t xml:space="preserve">NATIONAL SPANISH HONOR </t>
  </si>
  <si>
    <t>SIX FLAGS FIESTA TEXAS</t>
  </si>
  <si>
    <t xml:space="preserve">MS BAND @ SIX FLAGS </t>
  </si>
  <si>
    <t>SPANISH HONOR INDUCTION</t>
  </si>
  <si>
    <t>COLOR SIGN KIT WTR BASE</t>
  </si>
  <si>
    <t>TSA SUPPLIES</t>
  </si>
  <si>
    <t>PERFORMANCE LS CREW</t>
  </si>
  <si>
    <t>865-36-6412.TS-001-999000</t>
  </si>
  <si>
    <t>DRIFIT ROYAL TSHIRTS</t>
  </si>
  <si>
    <t>NOYOLA FAMILY</t>
  </si>
  <si>
    <t>865-36-6499.TS-001-999000</t>
  </si>
  <si>
    <t>TSA LOCKIN 2/8/19</t>
  </si>
  <si>
    <t xml:space="preserve">HURRICANE ALLEY </t>
  </si>
  <si>
    <t>865-36-6412.7B-041-999000</t>
  </si>
  <si>
    <t xml:space="preserve">EOY TRIP @ HURRICANE </t>
  </si>
  <si>
    <t xml:space="preserve">STAFF ROOTBEER FLOAT </t>
  </si>
  <si>
    <t xml:space="preserve">TO TEACH IS TO LOVE </t>
  </si>
  <si>
    <t>LUNCH W/AUTHOR 2/15/19</t>
  </si>
  <si>
    <t>BASS METRIC DRAGSTER KIT</t>
  </si>
  <si>
    <t xml:space="preserve">COUNSELOR APPRECIATION </t>
  </si>
  <si>
    <t>865-36-6412.8P-041-999000</t>
  </si>
  <si>
    <t xml:space="preserve">EOY TRIP @ SIX FLAGS </t>
  </si>
  <si>
    <t>ROSE GRAM FUNDRAISER</t>
  </si>
  <si>
    <t>SHOWTIME INTERNATIONAL</t>
  </si>
  <si>
    <t>VIP TEACHER PARKING SIGN</t>
  </si>
  <si>
    <t>865-36-6499.VL-001-999000</t>
  </si>
  <si>
    <t>GOLD GRADUATION STOLES</t>
  </si>
  <si>
    <t>FAKE ROSE VINE FLOWERS</t>
  </si>
  <si>
    <t>DAP PLASTER &amp; PLEXIGLASS</t>
  </si>
  <si>
    <t xml:space="preserve">PENDANTS, PATCHES, </t>
  </si>
  <si>
    <t>865-36-6412.VB-001-999000</t>
  </si>
  <si>
    <t>DISTRICT X @ KING 3/23/19</t>
  </si>
  <si>
    <t xml:space="preserve">SAINT MARY'S HALL SUMMER </t>
  </si>
  <si>
    <t>865-36-6499.VB-001-999000</t>
  </si>
  <si>
    <t xml:space="preserve">EOY TRIP @ DAVEBUSTERS </t>
  </si>
  <si>
    <t xml:space="preserve">HEATHER ATHLETIC </t>
  </si>
  <si>
    <t xml:space="preserve">BILL'S SPARKLING CITY </t>
  </si>
  <si>
    <t xml:space="preserve">SPEECH DEBATE </t>
  </si>
  <si>
    <t>ENGRAVED BLACK PENS</t>
  </si>
  <si>
    <t>R &amp; R TREATS &amp; EATS</t>
  </si>
  <si>
    <t>PAPER GOODS</t>
  </si>
  <si>
    <t>MULTI COLORED NOTE PADS</t>
  </si>
  <si>
    <t>865-36-6399.08-041-999000</t>
  </si>
  <si>
    <t>STAAR REWARDS</t>
  </si>
  <si>
    <t>CICI'S PIZZA #561</t>
  </si>
  <si>
    <t xml:space="preserve">NATIONAL FFA </t>
  </si>
  <si>
    <t>865-36-6499.V8-001-999000</t>
  </si>
  <si>
    <t>GRAVEL INDIVIDUAL</t>
  </si>
  <si>
    <t xml:space="preserve">GRAD SASH &amp; CORDS </t>
  </si>
  <si>
    <t>865-36-6412.7E-041-999000</t>
  </si>
  <si>
    <t>EOY TRIP @ SA 5/20/19</t>
  </si>
  <si>
    <t>EASTER LILLIES FUNDRAISER</t>
  </si>
  <si>
    <t>865-36-6399.8T-041-999000</t>
  </si>
  <si>
    <t>8TH GRADE DANCE 4/26/19</t>
  </si>
  <si>
    <t>865-36-6412.42-001-999000</t>
  </si>
  <si>
    <t>GIFT CARDS AWARDS</t>
  </si>
  <si>
    <t>SEITZ GIFT FRUIT, LLC</t>
  </si>
  <si>
    <t>EOY TRIP @ SA 5/23/19</t>
  </si>
  <si>
    <t xml:space="preserve">SPANISH NATIONAL </t>
  </si>
  <si>
    <t>865-36-6499.8S-001-999000</t>
  </si>
  <si>
    <t xml:space="preserve">HONOR CORD &amp; PENDANT </t>
  </si>
  <si>
    <t>CAMPING LANTERN</t>
  </si>
  <si>
    <t xml:space="preserve">CHOIR BROCHURE </t>
  </si>
  <si>
    <t>OFFICIAL UNIFROM SHRITS</t>
  </si>
  <si>
    <t>PATCH, STOLE &amp; GOLD CORD</t>
  </si>
  <si>
    <t>865-36-6399.H1-041-999000</t>
  </si>
  <si>
    <t>STADIUM BLANKETS</t>
  </si>
  <si>
    <t>865-36-6399.99-001-991000</t>
  </si>
  <si>
    <t>865-36-6411.99-001-991000</t>
  </si>
  <si>
    <t>865-36-6412.48-001-999000</t>
  </si>
  <si>
    <t xml:space="preserve">EXPEDITION @ AUSTRIA JUN </t>
  </si>
  <si>
    <t xml:space="preserve">APPRECIATION LUNCH </t>
  </si>
  <si>
    <t>FFA BANQUET 5/4/19</t>
  </si>
  <si>
    <t>865-36-6412.MB-041-999000</t>
  </si>
  <si>
    <t>FFA BANQUET</t>
  </si>
  <si>
    <t>HERRERA, BELINDA</t>
  </si>
  <si>
    <t xml:space="preserve">EOY TRIP SIX FLAGS@ SA </t>
  </si>
  <si>
    <t>MATH INCENTIVE 5/21/19</t>
  </si>
  <si>
    <t>REHEARSALS 3/22/19</t>
  </si>
  <si>
    <t>REYNA, AMANDA</t>
  </si>
  <si>
    <t>GREY BASIC TEES</t>
  </si>
  <si>
    <t>FFA BANQUET DECORATIONS</t>
  </si>
  <si>
    <t>PAC CELEBRATION</t>
  </si>
  <si>
    <t>865-36-6498.30-002-999000</t>
  </si>
  <si>
    <t xml:space="preserve">TEACHER APPRECIATION &amp; </t>
  </si>
  <si>
    <t>RED APPLE RESOURCES OF</t>
  </si>
  <si>
    <t>THEATRE FUNDRAISER</t>
  </si>
  <si>
    <t>865-36-6499.48-001-999000</t>
  </si>
  <si>
    <t xml:space="preserve">BLUE/GREEN DOUBLE </t>
  </si>
  <si>
    <t>865-36-6499.CW-001-999000</t>
  </si>
  <si>
    <t xml:space="preserve">RED/BLACK DOUBLE HONOR </t>
  </si>
  <si>
    <t>865-36-6499.H5-001-999000</t>
  </si>
  <si>
    <t xml:space="preserve">NAVY/WHITE DOUBLE HONOR </t>
  </si>
  <si>
    <t xml:space="preserve">BLUE/WHITE DOUBLE HONOR </t>
  </si>
  <si>
    <t xml:space="preserve">ROYAL/RED DOUBLE HONOR </t>
  </si>
  <si>
    <t xml:space="preserve">RED/NAVY DOUBLE HONOR </t>
  </si>
  <si>
    <t>865-36-6649.MB-041-999000</t>
  </si>
  <si>
    <t>GONG STAND</t>
  </si>
  <si>
    <t>VIOLIN STRING SET</t>
  </si>
  <si>
    <t>SYMPATHY PLANTS</t>
  </si>
  <si>
    <t>ROBOTIC CAMP 6/17/19-</t>
  </si>
  <si>
    <t>WMNS OFFICIAL JACKETS</t>
  </si>
  <si>
    <t>ROBOTICS BOOKLETS</t>
  </si>
  <si>
    <t>5X7 PLAQUES</t>
  </si>
  <si>
    <t>ROBOTIC CAMP 6/17/19</t>
  </si>
  <si>
    <t>ROBOTIC CAMP 6/18/19</t>
  </si>
  <si>
    <t>ROBOTIC CAMP 6/21/19</t>
  </si>
  <si>
    <t>NIKE SHOES, JAW PADS</t>
  </si>
  <si>
    <t>865-36-6399.7C-041-999000</t>
  </si>
  <si>
    <t>VSF WATER INK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</si>
</sst>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4" fontId="0" fillId="0" borderId="0" xfId="0" applyNumberFormat="1"/>
    <xf numFmtId="17" fontId="0" fillId="0" borderId="0" xfId="0" applyNumberFormat="1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591"/>
  <sheetViews>
    <sheetView tabSelected="1" workbookViewId="0">
      <selection activeCell="U1" sqref="U1:X1048576"/>
    </sheetView>
  </sheetViews>
  <sheetFormatPr defaultRowHeight="15" x14ac:dyDescent="0.25"/>
  <cols>
    <col min="1" max="1" width="8.140625" bestFit="1" customWidth="1"/>
    <col min="2" max="2" width="5.140625" bestFit="1" customWidth="1"/>
    <col min="3" max="3" width="4.85546875" bestFit="1" customWidth="1"/>
    <col min="4" max="4" width="5" bestFit="1" customWidth="1"/>
    <col min="5" max="5" width="4.7109375" bestFit="1" customWidth="1"/>
    <col min="6" max="6" width="4" bestFit="1" customWidth="1"/>
    <col min="7" max="7" width="6.7109375" bestFit="1" customWidth="1"/>
    <col min="8" max="8" width="4.85546875" bestFit="1" customWidth="1"/>
    <col min="9" max="9" width="7.85546875" bestFit="1" customWidth="1"/>
    <col min="10" max="10" width="7.42578125" bestFit="1" customWidth="1"/>
    <col min="11" max="11" width="9" bestFit="1" customWidth="1"/>
    <col min="12" max="12" width="9.42578125" bestFit="1" customWidth="1"/>
    <col min="13" max="13" width="10.7109375" bestFit="1" customWidth="1"/>
    <col min="14" max="14" width="27.7109375" bestFit="1" customWidth="1"/>
    <col min="15" max="15" width="15.140625" bestFit="1" customWidth="1"/>
    <col min="16" max="16" width="9" bestFit="1" customWidth="1"/>
    <col min="17" max="17" width="26.140625" bestFit="1" customWidth="1"/>
    <col min="18" max="18" width="29.140625" bestFit="1" customWidth="1"/>
    <col min="19" max="19" width="27.5703125" bestFit="1" customWidth="1"/>
    <col min="20" max="20" width="26.42578125" bestFit="1" customWidth="1"/>
  </cols>
  <sheetData>
    <row r="1" spans="1:2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x14ac:dyDescent="0.25">
      <c r="A2">
        <v>9</v>
      </c>
      <c r="B2">
        <v>163</v>
      </c>
      <c r="C2" t="str">
        <f t="shared" ref="C2:C65" si="0">"00"</f>
        <v>00</v>
      </c>
      <c r="D2">
        <v>2153</v>
      </c>
      <c r="E2" t="str">
        <f t="shared" ref="E2:E65" si="1">"00"</f>
        <v>00</v>
      </c>
      <c r="F2" t="str">
        <f>"141"</f>
        <v>141</v>
      </c>
      <c r="G2">
        <v>9</v>
      </c>
      <c r="H2" t="str">
        <f t="shared" ref="H2:H65" si="2">"00"</f>
        <v>00</v>
      </c>
      <c r="I2" t="str">
        <f t="shared" ref="I2:I65" si="3">"0"</f>
        <v>0</v>
      </c>
      <c r="J2" t="str">
        <f t="shared" ref="J2:J65" si="4">"00"</f>
        <v>00</v>
      </c>
      <c r="K2">
        <v>20180907</v>
      </c>
      <c r="L2" t="str">
        <f>"027037"</f>
        <v>027037</v>
      </c>
      <c r="M2" t="str">
        <f>"00068"</f>
        <v>00068</v>
      </c>
      <c r="N2" t="s">
        <v>20</v>
      </c>
      <c r="O2">
        <v>351.36</v>
      </c>
      <c r="P2">
        <v>20180907</v>
      </c>
      <c r="Q2" t="s">
        <v>21</v>
      </c>
      <c r="R2" t="s">
        <v>22</v>
      </c>
      <c r="S2" t="s">
        <v>23</v>
      </c>
      <c r="T2" t="s">
        <v>24</v>
      </c>
    </row>
    <row r="3" spans="1:20" x14ac:dyDescent="0.25">
      <c r="A3">
        <v>9</v>
      </c>
      <c r="B3">
        <v>163</v>
      </c>
      <c r="C3" t="str">
        <f t="shared" si="0"/>
        <v>00</v>
      </c>
      <c r="D3">
        <v>2153</v>
      </c>
      <c r="E3" t="str">
        <f t="shared" si="1"/>
        <v>00</v>
      </c>
      <c r="F3" t="str">
        <f>"142"</f>
        <v>142</v>
      </c>
      <c r="G3">
        <v>9</v>
      </c>
      <c r="H3" t="str">
        <f t="shared" si="2"/>
        <v>00</v>
      </c>
      <c r="I3" t="str">
        <f t="shared" si="3"/>
        <v>0</v>
      </c>
      <c r="J3" t="str">
        <f t="shared" si="4"/>
        <v>00</v>
      </c>
      <c r="K3">
        <v>20180907</v>
      </c>
      <c r="L3" t="str">
        <f>"027037"</f>
        <v>027037</v>
      </c>
      <c r="M3" t="str">
        <f>"00068"</f>
        <v>00068</v>
      </c>
      <c r="N3" t="s">
        <v>20</v>
      </c>
      <c r="O3">
        <v>342.31</v>
      </c>
      <c r="P3">
        <v>20180907</v>
      </c>
      <c r="Q3" t="s">
        <v>25</v>
      </c>
      <c r="R3" t="s">
        <v>26</v>
      </c>
      <c r="S3" t="s">
        <v>23</v>
      </c>
      <c r="T3" t="s">
        <v>27</v>
      </c>
    </row>
    <row r="4" spans="1:20" x14ac:dyDescent="0.25">
      <c r="A4">
        <v>9</v>
      </c>
      <c r="B4">
        <v>163</v>
      </c>
      <c r="C4" t="str">
        <f t="shared" si="0"/>
        <v>00</v>
      </c>
      <c r="D4">
        <v>2153</v>
      </c>
      <c r="E4" t="str">
        <f t="shared" si="1"/>
        <v>00</v>
      </c>
      <c r="F4" t="str">
        <f>"022"</f>
        <v>022</v>
      </c>
      <c r="G4">
        <v>9</v>
      </c>
      <c r="H4" t="str">
        <f t="shared" si="2"/>
        <v>00</v>
      </c>
      <c r="I4" t="str">
        <f t="shared" si="3"/>
        <v>0</v>
      </c>
      <c r="J4" t="str">
        <f t="shared" si="4"/>
        <v>00</v>
      </c>
      <c r="K4">
        <v>20180907</v>
      </c>
      <c r="L4" t="str">
        <f>"027038"</f>
        <v>027038</v>
      </c>
      <c r="M4" t="str">
        <f>"04831"</f>
        <v>04831</v>
      </c>
      <c r="N4" t="s">
        <v>28</v>
      </c>
      <c r="O4">
        <v>16.77</v>
      </c>
      <c r="P4">
        <v>20180907</v>
      </c>
      <c r="Q4" t="s">
        <v>29</v>
      </c>
      <c r="R4" t="s">
        <v>26</v>
      </c>
      <c r="S4" t="s">
        <v>23</v>
      </c>
      <c r="T4" t="s">
        <v>30</v>
      </c>
    </row>
    <row r="5" spans="1:20" x14ac:dyDescent="0.25">
      <c r="A5">
        <v>9</v>
      </c>
      <c r="B5">
        <v>163</v>
      </c>
      <c r="C5" t="str">
        <f t="shared" si="0"/>
        <v>00</v>
      </c>
      <c r="D5">
        <v>2159</v>
      </c>
      <c r="E5" t="str">
        <f t="shared" si="1"/>
        <v>00</v>
      </c>
      <c r="F5" t="str">
        <f>"018"</f>
        <v>018</v>
      </c>
      <c r="G5">
        <v>9</v>
      </c>
      <c r="H5" t="str">
        <f t="shared" si="2"/>
        <v>00</v>
      </c>
      <c r="I5" t="str">
        <f t="shared" si="3"/>
        <v>0</v>
      </c>
      <c r="J5" t="str">
        <f t="shared" si="4"/>
        <v>00</v>
      </c>
      <c r="K5">
        <v>20180907</v>
      </c>
      <c r="L5" t="str">
        <f>"027039"</f>
        <v>027039</v>
      </c>
      <c r="M5" t="str">
        <f>"04905"</f>
        <v>04905</v>
      </c>
      <c r="N5" t="s">
        <v>31</v>
      </c>
      <c r="O5">
        <v>36.700000000000003</v>
      </c>
      <c r="P5">
        <v>20180907</v>
      </c>
      <c r="Q5" t="s">
        <v>32</v>
      </c>
      <c r="R5" t="s">
        <v>33</v>
      </c>
      <c r="S5" t="s">
        <v>23</v>
      </c>
      <c r="T5" t="s">
        <v>34</v>
      </c>
    </row>
    <row r="6" spans="1:20" x14ac:dyDescent="0.25">
      <c r="A6">
        <v>9</v>
      </c>
      <c r="B6">
        <v>163</v>
      </c>
      <c r="C6" t="str">
        <f t="shared" si="0"/>
        <v>00</v>
      </c>
      <c r="D6">
        <v>2153</v>
      </c>
      <c r="E6" t="str">
        <f t="shared" si="1"/>
        <v>00</v>
      </c>
      <c r="F6" t="str">
        <f>"053"</f>
        <v>053</v>
      </c>
      <c r="G6">
        <v>9</v>
      </c>
      <c r="H6" t="str">
        <f t="shared" si="2"/>
        <v>00</v>
      </c>
      <c r="I6" t="str">
        <f t="shared" si="3"/>
        <v>0</v>
      </c>
      <c r="J6" t="str">
        <f t="shared" si="4"/>
        <v>00</v>
      </c>
      <c r="K6">
        <v>20180907</v>
      </c>
      <c r="L6" t="str">
        <f>"027040"</f>
        <v>027040</v>
      </c>
      <c r="M6" t="str">
        <f>"04987"</f>
        <v>04987</v>
      </c>
      <c r="N6" t="s">
        <v>35</v>
      </c>
      <c r="O6">
        <v>34.619999999999997</v>
      </c>
      <c r="P6">
        <v>20180907</v>
      </c>
      <c r="Q6" t="s">
        <v>36</v>
      </c>
      <c r="R6" t="s">
        <v>26</v>
      </c>
      <c r="S6" t="s">
        <v>23</v>
      </c>
      <c r="T6" t="s">
        <v>37</v>
      </c>
    </row>
    <row r="7" spans="1:20" x14ac:dyDescent="0.25">
      <c r="A7">
        <v>9</v>
      </c>
      <c r="B7">
        <v>163</v>
      </c>
      <c r="C7" t="str">
        <f t="shared" si="0"/>
        <v>00</v>
      </c>
      <c r="D7">
        <v>2159</v>
      </c>
      <c r="E7" t="str">
        <f t="shared" si="1"/>
        <v>00</v>
      </c>
      <c r="F7" t="str">
        <f>"009"</f>
        <v>009</v>
      </c>
      <c r="G7">
        <v>9</v>
      </c>
      <c r="H7" t="str">
        <f t="shared" si="2"/>
        <v>00</v>
      </c>
      <c r="I7" t="str">
        <f t="shared" si="3"/>
        <v>0</v>
      </c>
      <c r="J7" t="str">
        <f t="shared" si="4"/>
        <v>00</v>
      </c>
      <c r="K7">
        <v>20180907</v>
      </c>
      <c r="L7" t="str">
        <f>"027041"</f>
        <v>027041</v>
      </c>
      <c r="M7" t="str">
        <f>"07710"</f>
        <v>07710</v>
      </c>
      <c r="N7" t="s">
        <v>38</v>
      </c>
      <c r="O7">
        <v>15</v>
      </c>
      <c r="P7">
        <v>20180907</v>
      </c>
      <c r="Q7" t="s">
        <v>39</v>
      </c>
      <c r="R7" t="s">
        <v>33</v>
      </c>
      <c r="S7" t="s">
        <v>23</v>
      </c>
      <c r="T7" t="s">
        <v>40</v>
      </c>
    </row>
    <row r="8" spans="1:20" x14ac:dyDescent="0.25">
      <c r="A8">
        <v>9</v>
      </c>
      <c r="B8">
        <v>163</v>
      </c>
      <c r="C8" t="str">
        <f t="shared" si="0"/>
        <v>00</v>
      </c>
      <c r="D8">
        <v>2153</v>
      </c>
      <c r="E8" t="str">
        <f t="shared" si="1"/>
        <v>00</v>
      </c>
      <c r="F8" t="str">
        <f>"011"</f>
        <v>011</v>
      </c>
      <c r="G8">
        <v>9</v>
      </c>
      <c r="H8" t="str">
        <f t="shared" si="2"/>
        <v>00</v>
      </c>
      <c r="I8" t="str">
        <f t="shared" si="3"/>
        <v>0</v>
      </c>
      <c r="J8" t="str">
        <f t="shared" si="4"/>
        <v>00</v>
      </c>
      <c r="K8">
        <v>20180907</v>
      </c>
      <c r="L8" t="str">
        <f>"027042"</f>
        <v>027042</v>
      </c>
      <c r="M8" t="str">
        <f>"11211"</f>
        <v>11211</v>
      </c>
      <c r="N8" t="s">
        <v>41</v>
      </c>
      <c r="O8">
        <v>160.91999999999999</v>
      </c>
      <c r="P8">
        <v>20180907</v>
      </c>
      <c r="Q8" t="s">
        <v>42</v>
      </c>
      <c r="R8" t="s">
        <v>26</v>
      </c>
      <c r="S8" t="s">
        <v>23</v>
      </c>
      <c r="T8" t="s">
        <v>43</v>
      </c>
    </row>
    <row r="9" spans="1:20" x14ac:dyDescent="0.25">
      <c r="A9">
        <v>9</v>
      </c>
      <c r="B9">
        <v>163</v>
      </c>
      <c r="C9" t="str">
        <f t="shared" si="0"/>
        <v>00</v>
      </c>
      <c r="D9">
        <v>2159</v>
      </c>
      <c r="E9" t="str">
        <f t="shared" si="1"/>
        <v>00</v>
      </c>
      <c r="F9" t="str">
        <f>"104"</f>
        <v>104</v>
      </c>
      <c r="G9">
        <v>9</v>
      </c>
      <c r="H9" t="str">
        <f t="shared" si="2"/>
        <v>00</v>
      </c>
      <c r="I9" t="str">
        <f t="shared" si="3"/>
        <v>0</v>
      </c>
      <c r="J9" t="str">
        <f t="shared" si="4"/>
        <v>00</v>
      </c>
      <c r="K9">
        <v>20180907</v>
      </c>
      <c r="L9" t="str">
        <f>"027043"</f>
        <v>027043</v>
      </c>
      <c r="M9" t="str">
        <f>"14177"</f>
        <v>14177</v>
      </c>
      <c r="N9" t="s">
        <v>44</v>
      </c>
      <c r="O9">
        <v>18.75</v>
      </c>
      <c r="P9">
        <v>20180907</v>
      </c>
      <c r="Q9" t="s">
        <v>45</v>
      </c>
      <c r="R9" t="s">
        <v>33</v>
      </c>
      <c r="S9" t="s">
        <v>23</v>
      </c>
      <c r="T9" t="s">
        <v>46</v>
      </c>
    </row>
    <row r="10" spans="1:20" x14ac:dyDescent="0.25">
      <c r="A10">
        <v>9</v>
      </c>
      <c r="B10">
        <v>163</v>
      </c>
      <c r="C10" t="str">
        <f t="shared" si="0"/>
        <v>00</v>
      </c>
      <c r="D10">
        <v>2153</v>
      </c>
      <c r="E10" t="str">
        <f t="shared" si="1"/>
        <v>00</v>
      </c>
      <c r="F10" t="str">
        <f>"110"</f>
        <v>110</v>
      </c>
      <c r="G10">
        <v>9</v>
      </c>
      <c r="H10" t="str">
        <f t="shared" si="2"/>
        <v>00</v>
      </c>
      <c r="I10" t="str">
        <f t="shared" si="3"/>
        <v>0</v>
      </c>
      <c r="J10" t="str">
        <f t="shared" si="4"/>
        <v>00</v>
      </c>
      <c r="K10">
        <v>20180907</v>
      </c>
      <c r="L10" t="str">
        <f>"027044"</f>
        <v>027044</v>
      </c>
      <c r="M10" t="str">
        <f>"48947"</f>
        <v>48947</v>
      </c>
      <c r="N10" t="s">
        <v>47</v>
      </c>
      <c r="O10">
        <v>54.83</v>
      </c>
      <c r="P10">
        <v>20180907</v>
      </c>
      <c r="Q10" t="s">
        <v>48</v>
      </c>
      <c r="R10" t="s">
        <v>22</v>
      </c>
      <c r="S10" t="s">
        <v>23</v>
      </c>
      <c r="T10" t="s">
        <v>49</v>
      </c>
    </row>
    <row r="11" spans="1:20" x14ac:dyDescent="0.25">
      <c r="A11">
        <v>9</v>
      </c>
      <c r="B11">
        <v>163</v>
      </c>
      <c r="C11" t="str">
        <f t="shared" si="0"/>
        <v>00</v>
      </c>
      <c r="D11">
        <v>2159</v>
      </c>
      <c r="E11" t="str">
        <f t="shared" si="1"/>
        <v>00</v>
      </c>
      <c r="F11" t="str">
        <f>"131"</f>
        <v>131</v>
      </c>
      <c r="G11">
        <v>9</v>
      </c>
      <c r="H11" t="str">
        <f t="shared" si="2"/>
        <v>00</v>
      </c>
      <c r="I11" t="str">
        <f t="shared" si="3"/>
        <v>0</v>
      </c>
      <c r="J11" t="str">
        <f t="shared" si="4"/>
        <v>00</v>
      </c>
      <c r="K11">
        <v>20180907</v>
      </c>
      <c r="L11" t="str">
        <f>"027045"</f>
        <v>027045</v>
      </c>
      <c r="M11" t="str">
        <f>"54196"</f>
        <v>54196</v>
      </c>
      <c r="N11" t="s">
        <v>50</v>
      </c>
      <c r="O11">
        <v>50</v>
      </c>
      <c r="P11">
        <v>20180907</v>
      </c>
      <c r="Q11" t="s">
        <v>51</v>
      </c>
      <c r="R11" t="s">
        <v>52</v>
      </c>
      <c r="S11" t="s">
        <v>23</v>
      </c>
      <c r="T11" t="s">
        <v>53</v>
      </c>
    </row>
    <row r="12" spans="1:20" x14ac:dyDescent="0.25">
      <c r="A12">
        <v>9</v>
      </c>
      <c r="B12">
        <v>163</v>
      </c>
      <c r="C12" t="str">
        <f t="shared" si="0"/>
        <v>00</v>
      </c>
      <c r="D12">
        <v>2159</v>
      </c>
      <c r="E12" t="str">
        <f t="shared" si="1"/>
        <v>00</v>
      </c>
      <c r="F12" t="str">
        <f>"111"</f>
        <v>111</v>
      </c>
      <c r="G12">
        <v>9</v>
      </c>
      <c r="H12" t="str">
        <f t="shared" si="2"/>
        <v>00</v>
      </c>
      <c r="I12" t="str">
        <f t="shared" si="3"/>
        <v>0</v>
      </c>
      <c r="J12" t="str">
        <f t="shared" si="4"/>
        <v>00</v>
      </c>
      <c r="K12">
        <v>20180907</v>
      </c>
      <c r="L12" t="str">
        <f>"027046"</f>
        <v>027046</v>
      </c>
      <c r="M12" t="str">
        <f>"72601"</f>
        <v>72601</v>
      </c>
      <c r="N12" t="s">
        <v>54</v>
      </c>
      <c r="O12">
        <v>394.27</v>
      </c>
      <c r="P12">
        <v>20180907</v>
      </c>
      <c r="Q12" t="s">
        <v>55</v>
      </c>
      <c r="R12" t="s">
        <v>33</v>
      </c>
      <c r="S12" t="s">
        <v>23</v>
      </c>
      <c r="T12" t="s">
        <v>56</v>
      </c>
    </row>
    <row r="13" spans="1:20" x14ac:dyDescent="0.25">
      <c r="A13">
        <v>9</v>
      </c>
      <c r="B13">
        <v>163</v>
      </c>
      <c r="C13" t="str">
        <f t="shared" si="0"/>
        <v>00</v>
      </c>
      <c r="D13">
        <v>2153</v>
      </c>
      <c r="E13" t="str">
        <f t="shared" si="1"/>
        <v>00</v>
      </c>
      <c r="F13" t="str">
        <f>"006"</f>
        <v>006</v>
      </c>
      <c r="G13">
        <v>9</v>
      </c>
      <c r="H13" t="str">
        <f t="shared" si="2"/>
        <v>00</v>
      </c>
      <c r="I13" t="str">
        <f t="shared" si="3"/>
        <v>0</v>
      </c>
      <c r="J13" t="str">
        <f t="shared" si="4"/>
        <v>00</v>
      </c>
      <c r="K13">
        <v>20180907</v>
      </c>
      <c r="L13" t="str">
        <f>"027047"</f>
        <v>027047</v>
      </c>
      <c r="M13" t="str">
        <f>"75452"</f>
        <v>75452</v>
      </c>
      <c r="N13" t="s">
        <v>57</v>
      </c>
      <c r="O13">
        <v>524.27</v>
      </c>
      <c r="P13">
        <v>20180907</v>
      </c>
      <c r="Q13" t="s">
        <v>58</v>
      </c>
      <c r="R13" t="s">
        <v>26</v>
      </c>
      <c r="S13" t="s">
        <v>23</v>
      </c>
      <c r="T13" t="s">
        <v>59</v>
      </c>
    </row>
    <row r="14" spans="1:20" x14ac:dyDescent="0.25">
      <c r="A14">
        <v>9</v>
      </c>
      <c r="B14">
        <v>163</v>
      </c>
      <c r="C14" t="str">
        <f t="shared" si="0"/>
        <v>00</v>
      </c>
      <c r="D14">
        <v>2159</v>
      </c>
      <c r="E14" t="str">
        <f t="shared" si="1"/>
        <v>00</v>
      </c>
      <c r="F14" t="str">
        <f>"106"</f>
        <v>106</v>
      </c>
      <c r="G14">
        <v>9</v>
      </c>
      <c r="H14" t="str">
        <f t="shared" si="2"/>
        <v>00</v>
      </c>
      <c r="I14" t="str">
        <f t="shared" si="3"/>
        <v>0</v>
      </c>
      <c r="J14" t="str">
        <f t="shared" si="4"/>
        <v>00</v>
      </c>
      <c r="K14">
        <v>20180907</v>
      </c>
      <c r="L14" t="str">
        <f>"027048"</f>
        <v>027048</v>
      </c>
      <c r="M14" t="str">
        <f>"81173"</f>
        <v>81173</v>
      </c>
      <c r="N14" t="s">
        <v>60</v>
      </c>
      <c r="O14">
        <v>23.26</v>
      </c>
      <c r="P14">
        <v>20180907</v>
      </c>
      <c r="Q14" t="s">
        <v>61</v>
      </c>
      <c r="R14" t="s">
        <v>33</v>
      </c>
      <c r="S14" t="s">
        <v>23</v>
      </c>
      <c r="T14" t="s">
        <v>62</v>
      </c>
    </row>
    <row r="15" spans="1:20" x14ac:dyDescent="0.25">
      <c r="A15">
        <v>9</v>
      </c>
      <c r="B15">
        <v>163</v>
      </c>
      <c r="C15" t="str">
        <f t="shared" si="0"/>
        <v>00</v>
      </c>
      <c r="D15">
        <v>2159</v>
      </c>
      <c r="E15" t="str">
        <f t="shared" si="1"/>
        <v>00</v>
      </c>
      <c r="F15" t="str">
        <f>"007"</f>
        <v>007</v>
      </c>
      <c r="G15">
        <v>9</v>
      </c>
      <c r="H15" t="str">
        <f t="shared" si="2"/>
        <v>00</v>
      </c>
      <c r="I15" t="str">
        <f t="shared" si="3"/>
        <v>0</v>
      </c>
      <c r="J15" t="str">
        <f t="shared" si="4"/>
        <v>00</v>
      </c>
      <c r="K15">
        <v>20180907</v>
      </c>
      <c r="L15" t="str">
        <f>"027049"</f>
        <v>027049</v>
      </c>
      <c r="M15" t="str">
        <f>"81174"</f>
        <v>81174</v>
      </c>
      <c r="N15" t="s">
        <v>63</v>
      </c>
      <c r="O15">
        <v>39.51</v>
      </c>
      <c r="P15">
        <v>20180907</v>
      </c>
      <c r="Q15" t="s">
        <v>64</v>
      </c>
      <c r="R15" t="s">
        <v>33</v>
      </c>
      <c r="S15" t="s">
        <v>23</v>
      </c>
      <c r="T15" t="s">
        <v>65</v>
      </c>
    </row>
    <row r="16" spans="1:20" x14ac:dyDescent="0.25">
      <c r="A16">
        <v>9</v>
      </c>
      <c r="B16">
        <v>163</v>
      </c>
      <c r="C16" t="str">
        <f t="shared" si="0"/>
        <v>00</v>
      </c>
      <c r="D16">
        <v>2159</v>
      </c>
      <c r="E16" t="str">
        <f t="shared" si="1"/>
        <v>00</v>
      </c>
      <c r="F16" t="str">
        <f>"100"</f>
        <v>100</v>
      </c>
      <c r="G16">
        <v>9</v>
      </c>
      <c r="H16" t="str">
        <f t="shared" si="2"/>
        <v>00</v>
      </c>
      <c r="I16" t="str">
        <f t="shared" si="3"/>
        <v>0</v>
      </c>
      <c r="J16" t="str">
        <f t="shared" si="4"/>
        <v>00</v>
      </c>
      <c r="K16">
        <v>20180907</v>
      </c>
      <c r="L16" t="str">
        <f>"027050"</f>
        <v>027050</v>
      </c>
      <c r="M16" t="str">
        <f>"81177"</f>
        <v>81177</v>
      </c>
      <c r="N16" t="s">
        <v>66</v>
      </c>
      <c r="O16">
        <v>48</v>
      </c>
      <c r="P16">
        <v>20180907</v>
      </c>
      <c r="Q16" t="s">
        <v>67</v>
      </c>
      <c r="R16" t="s">
        <v>33</v>
      </c>
      <c r="S16" t="s">
        <v>23</v>
      </c>
      <c r="T16" t="s">
        <v>68</v>
      </c>
    </row>
    <row r="17" spans="1:20" x14ac:dyDescent="0.25">
      <c r="A17">
        <v>9</v>
      </c>
      <c r="B17">
        <v>163</v>
      </c>
      <c r="C17" t="str">
        <f t="shared" si="0"/>
        <v>00</v>
      </c>
      <c r="D17">
        <v>2159</v>
      </c>
      <c r="E17" t="str">
        <f t="shared" si="1"/>
        <v>00</v>
      </c>
      <c r="F17" t="str">
        <f>"129"</f>
        <v>129</v>
      </c>
      <c r="G17">
        <v>9</v>
      </c>
      <c r="H17" t="str">
        <f t="shared" si="2"/>
        <v>00</v>
      </c>
      <c r="I17" t="str">
        <f t="shared" si="3"/>
        <v>0</v>
      </c>
      <c r="J17" t="str">
        <f t="shared" si="4"/>
        <v>00</v>
      </c>
      <c r="K17">
        <v>20180907</v>
      </c>
      <c r="L17" t="str">
        <f>"027051"</f>
        <v>027051</v>
      </c>
      <c r="M17" t="str">
        <f>"82168"</f>
        <v>82168</v>
      </c>
      <c r="N17" t="s">
        <v>69</v>
      </c>
      <c r="O17">
        <v>11.25</v>
      </c>
      <c r="P17">
        <v>20180907</v>
      </c>
      <c r="Q17" t="s">
        <v>70</v>
      </c>
      <c r="R17" t="s">
        <v>33</v>
      </c>
      <c r="S17" t="s">
        <v>23</v>
      </c>
      <c r="T17" t="s">
        <v>71</v>
      </c>
    </row>
    <row r="18" spans="1:20" x14ac:dyDescent="0.25">
      <c r="A18">
        <v>9</v>
      </c>
      <c r="B18">
        <v>163</v>
      </c>
      <c r="C18" t="str">
        <f t="shared" si="0"/>
        <v>00</v>
      </c>
      <c r="D18">
        <v>2153</v>
      </c>
      <c r="E18" t="str">
        <f t="shared" si="1"/>
        <v>00</v>
      </c>
      <c r="F18" t="str">
        <f>"141"</f>
        <v>141</v>
      </c>
      <c r="G18">
        <v>9</v>
      </c>
      <c r="H18" t="str">
        <f t="shared" si="2"/>
        <v>00</v>
      </c>
      <c r="I18" t="str">
        <f t="shared" si="3"/>
        <v>0</v>
      </c>
      <c r="J18" t="str">
        <f t="shared" si="4"/>
        <v>00</v>
      </c>
      <c r="K18">
        <v>20180914</v>
      </c>
      <c r="L18" t="str">
        <f>"027052"</f>
        <v>027052</v>
      </c>
      <c r="M18" t="str">
        <f>"00068"</f>
        <v>00068</v>
      </c>
      <c r="N18" t="s">
        <v>20</v>
      </c>
      <c r="O18" s="1">
        <v>4790.5</v>
      </c>
      <c r="P18">
        <v>20180914</v>
      </c>
      <c r="Q18" t="s">
        <v>21</v>
      </c>
      <c r="R18" t="s">
        <v>22</v>
      </c>
      <c r="S18" t="s">
        <v>23</v>
      </c>
      <c r="T18" t="s">
        <v>24</v>
      </c>
    </row>
    <row r="19" spans="1:20" x14ac:dyDescent="0.25">
      <c r="A19">
        <v>9</v>
      </c>
      <c r="B19">
        <v>163</v>
      </c>
      <c r="C19" t="str">
        <f t="shared" si="0"/>
        <v>00</v>
      </c>
      <c r="D19">
        <v>2153</v>
      </c>
      <c r="E19" t="str">
        <f t="shared" si="1"/>
        <v>00</v>
      </c>
      <c r="F19" t="str">
        <f>"142"</f>
        <v>142</v>
      </c>
      <c r="G19">
        <v>9</v>
      </c>
      <c r="H19" t="str">
        <f t="shared" si="2"/>
        <v>00</v>
      </c>
      <c r="I19" t="str">
        <f t="shared" si="3"/>
        <v>0</v>
      </c>
      <c r="J19" t="str">
        <f t="shared" si="4"/>
        <v>00</v>
      </c>
      <c r="K19">
        <v>20180914</v>
      </c>
      <c r="L19" t="str">
        <f>"027052"</f>
        <v>027052</v>
      </c>
      <c r="M19" t="str">
        <f>"00068"</f>
        <v>00068</v>
      </c>
      <c r="N19" t="s">
        <v>20</v>
      </c>
      <c r="O19" s="1">
        <v>9525.7999999999993</v>
      </c>
      <c r="P19">
        <v>20180914</v>
      </c>
      <c r="Q19" t="s">
        <v>25</v>
      </c>
      <c r="R19" t="s">
        <v>26</v>
      </c>
      <c r="S19" t="s">
        <v>23</v>
      </c>
      <c r="T19" t="s">
        <v>27</v>
      </c>
    </row>
    <row r="20" spans="1:20" x14ac:dyDescent="0.25">
      <c r="A20">
        <v>9</v>
      </c>
      <c r="B20">
        <v>163</v>
      </c>
      <c r="C20" t="str">
        <f t="shared" si="0"/>
        <v>00</v>
      </c>
      <c r="D20">
        <v>2159</v>
      </c>
      <c r="E20" t="str">
        <f t="shared" si="1"/>
        <v>00</v>
      </c>
      <c r="F20" t="str">
        <f>"143"</f>
        <v>143</v>
      </c>
      <c r="G20">
        <v>9</v>
      </c>
      <c r="H20" t="str">
        <f t="shared" si="2"/>
        <v>00</v>
      </c>
      <c r="I20" t="str">
        <f t="shared" si="3"/>
        <v>0</v>
      </c>
      <c r="J20" t="str">
        <f t="shared" si="4"/>
        <v>00</v>
      </c>
      <c r="K20">
        <v>20180914</v>
      </c>
      <c r="L20" t="str">
        <f>"027053"</f>
        <v>027053</v>
      </c>
      <c r="M20" t="str">
        <f>"00069"</f>
        <v>00069</v>
      </c>
      <c r="N20" t="s">
        <v>72</v>
      </c>
      <c r="O20">
        <v>282.92</v>
      </c>
      <c r="P20">
        <v>20180914</v>
      </c>
      <c r="Q20" t="s">
        <v>73</v>
      </c>
      <c r="R20" t="s">
        <v>33</v>
      </c>
      <c r="S20" t="s">
        <v>23</v>
      </c>
      <c r="T20" t="s">
        <v>74</v>
      </c>
    </row>
    <row r="21" spans="1:20" x14ac:dyDescent="0.25">
      <c r="A21">
        <v>9</v>
      </c>
      <c r="B21">
        <v>163</v>
      </c>
      <c r="C21" t="str">
        <f t="shared" si="0"/>
        <v>00</v>
      </c>
      <c r="D21">
        <v>2159</v>
      </c>
      <c r="E21" t="str">
        <f t="shared" si="1"/>
        <v>00</v>
      </c>
      <c r="F21" t="str">
        <f>"146"</f>
        <v>146</v>
      </c>
      <c r="G21">
        <v>9</v>
      </c>
      <c r="H21" t="str">
        <f t="shared" si="2"/>
        <v>00</v>
      </c>
      <c r="I21" t="str">
        <f t="shared" si="3"/>
        <v>0</v>
      </c>
      <c r="J21" t="str">
        <f t="shared" si="4"/>
        <v>00</v>
      </c>
      <c r="K21">
        <v>20180914</v>
      </c>
      <c r="L21" t="str">
        <f>"027054"</f>
        <v>027054</v>
      </c>
      <c r="M21" t="str">
        <f>"00086"</f>
        <v>00086</v>
      </c>
      <c r="N21" t="s">
        <v>75</v>
      </c>
      <c r="O21">
        <v>186.78</v>
      </c>
      <c r="P21">
        <v>20180914</v>
      </c>
      <c r="Q21" t="s">
        <v>76</v>
      </c>
      <c r="R21" t="s">
        <v>33</v>
      </c>
      <c r="S21" t="s">
        <v>23</v>
      </c>
      <c r="T21" t="s">
        <v>75</v>
      </c>
    </row>
    <row r="22" spans="1:20" x14ac:dyDescent="0.25">
      <c r="A22">
        <v>9</v>
      </c>
      <c r="B22">
        <v>163</v>
      </c>
      <c r="C22" t="str">
        <f t="shared" si="0"/>
        <v>00</v>
      </c>
      <c r="D22">
        <v>2159</v>
      </c>
      <c r="E22" t="str">
        <f t="shared" si="1"/>
        <v>00</v>
      </c>
      <c r="F22" t="str">
        <f>"147"</f>
        <v>147</v>
      </c>
      <c r="G22">
        <v>9</v>
      </c>
      <c r="H22" t="str">
        <f t="shared" si="2"/>
        <v>00</v>
      </c>
      <c r="I22" t="str">
        <f t="shared" si="3"/>
        <v>0</v>
      </c>
      <c r="J22" t="str">
        <f t="shared" si="4"/>
        <v>00</v>
      </c>
      <c r="K22">
        <v>20180914</v>
      </c>
      <c r="L22" t="str">
        <f>"027055"</f>
        <v>027055</v>
      </c>
      <c r="M22" t="str">
        <f>"00248"</f>
        <v>00248</v>
      </c>
      <c r="N22" t="s">
        <v>77</v>
      </c>
      <c r="O22" s="1">
        <v>2391.02</v>
      </c>
      <c r="P22">
        <v>20180914</v>
      </c>
      <c r="Q22" t="s">
        <v>78</v>
      </c>
      <c r="R22" t="s">
        <v>33</v>
      </c>
      <c r="S22" t="s">
        <v>23</v>
      </c>
      <c r="T22" t="s">
        <v>79</v>
      </c>
    </row>
    <row r="23" spans="1:20" x14ac:dyDescent="0.25">
      <c r="A23">
        <v>9</v>
      </c>
      <c r="B23">
        <v>163</v>
      </c>
      <c r="C23" t="str">
        <f t="shared" si="0"/>
        <v>00</v>
      </c>
      <c r="D23">
        <v>2159</v>
      </c>
      <c r="E23" t="str">
        <f t="shared" si="1"/>
        <v>00</v>
      </c>
      <c r="F23" t="str">
        <f>"149"</f>
        <v>149</v>
      </c>
      <c r="G23">
        <v>9</v>
      </c>
      <c r="H23" t="str">
        <f t="shared" si="2"/>
        <v>00</v>
      </c>
      <c r="I23" t="str">
        <f t="shared" si="3"/>
        <v>0</v>
      </c>
      <c r="J23" t="str">
        <f t="shared" si="4"/>
        <v>00</v>
      </c>
      <c r="K23">
        <v>20180914</v>
      </c>
      <c r="L23" t="str">
        <f>"027056"</f>
        <v>027056</v>
      </c>
      <c r="M23" t="str">
        <f>"00551"</f>
        <v>00551</v>
      </c>
      <c r="N23" t="s">
        <v>80</v>
      </c>
      <c r="O23">
        <v>654.30999999999995</v>
      </c>
      <c r="P23">
        <v>20180914</v>
      </c>
      <c r="Q23" t="s">
        <v>81</v>
      </c>
      <c r="R23" t="s">
        <v>33</v>
      </c>
      <c r="S23" t="s">
        <v>23</v>
      </c>
      <c r="T23" t="s">
        <v>82</v>
      </c>
    </row>
    <row r="24" spans="1:20" x14ac:dyDescent="0.25">
      <c r="A24">
        <v>9</v>
      </c>
      <c r="B24">
        <v>163</v>
      </c>
      <c r="C24" t="str">
        <f t="shared" si="0"/>
        <v>00</v>
      </c>
      <c r="D24">
        <v>2153</v>
      </c>
      <c r="E24" t="str">
        <f t="shared" si="1"/>
        <v>00</v>
      </c>
      <c r="F24" t="str">
        <f>"022"</f>
        <v>022</v>
      </c>
      <c r="G24">
        <v>9</v>
      </c>
      <c r="H24" t="str">
        <f t="shared" si="2"/>
        <v>00</v>
      </c>
      <c r="I24" t="str">
        <f t="shared" si="3"/>
        <v>0</v>
      </c>
      <c r="J24" t="str">
        <f t="shared" si="4"/>
        <v>00</v>
      </c>
      <c r="K24">
        <v>20180914</v>
      </c>
      <c r="L24" t="str">
        <f>"027057"</f>
        <v>027057</v>
      </c>
      <c r="M24" t="str">
        <f>"04831"</f>
        <v>04831</v>
      </c>
      <c r="N24" t="s">
        <v>28</v>
      </c>
      <c r="O24" s="1">
        <v>1707.05</v>
      </c>
      <c r="P24">
        <v>20180914</v>
      </c>
      <c r="Q24" t="s">
        <v>29</v>
      </c>
      <c r="R24" t="s">
        <v>26</v>
      </c>
      <c r="S24" t="s">
        <v>23</v>
      </c>
      <c r="T24" t="s">
        <v>30</v>
      </c>
    </row>
    <row r="25" spans="1:20" x14ac:dyDescent="0.25">
      <c r="A25">
        <v>9</v>
      </c>
      <c r="B25">
        <v>163</v>
      </c>
      <c r="C25" t="str">
        <f t="shared" si="0"/>
        <v>00</v>
      </c>
      <c r="D25">
        <v>2159</v>
      </c>
      <c r="E25" t="str">
        <f t="shared" si="1"/>
        <v>00</v>
      </c>
      <c r="F25" t="str">
        <f>"018"</f>
        <v>018</v>
      </c>
      <c r="G25">
        <v>9</v>
      </c>
      <c r="H25" t="str">
        <f t="shared" si="2"/>
        <v>00</v>
      </c>
      <c r="I25" t="str">
        <f t="shared" si="3"/>
        <v>0</v>
      </c>
      <c r="J25" t="str">
        <f t="shared" si="4"/>
        <v>00</v>
      </c>
      <c r="K25">
        <v>20180914</v>
      </c>
      <c r="L25" t="str">
        <f>"027058"</f>
        <v>027058</v>
      </c>
      <c r="M25" t="str">
        <f>"04905"</f>
        <v>04905</v>
      </c>
      <c r="N25" t="s">
        <v>31</v>
      </c>
      <c r="O25" s="1">
        <v>2876.07</v>
      </c>
      <c r="P25">
        <v>20180914</v>
      </c>
      <c r="Q25" t="s">
        <v>32</v>
      </c>
      <c r="R25" t="s">
        <v>33</v>
      </c>
      <c r="S25" t="s">
        <v>23</v>
      </c>
      <c r="T25" t="s">
        <v>34</v>
      </c>
    </row>
    <row r="26" spans="1:20" x14ac:dyDescent="0.25">
      <c r="A26">
        <v>9</v>
      </c>
      <c r="B26">
        <v>163</v>
      </c>
      <c r="C26" t="str">
        <f t="shared" si="0"/>
        <v>00</v>
      </c>
      <c r="D26">
        <v>2153</v>
      </c>
      <c r="E26" t="str">
        <f t="shared" si="1"/>
        <v>00</v>
      </c>
      <c r="F26" t="str">
        <f>"053"</f>
        <v>053</v>
      </c>
      <c r="G26">
        <v>9</v>
      </c>
      <c r="H26" t="str">
        <f t="shared" si="2"/>
        <v>00</v>
      </c>
      <c r="I26" t="str">
        <f t="shared" si="3"/>
        <v>0</v>
      </c>
      <c r="J26" t="str">
        <f t="shared" si="4"/>
        <v>00</v>
      </c>
      <c r="K26">
        <v>20180914</v>
      </c>
      <c r="L26" t="str">
        <f>"027059"</f>
        <v>027059</v>
      </c>
      <c r="M26" t="str">
        <f>"04987"</f>
        <v>04987</v>
      </c>
      <c r="N26" t="s">
        <v>35</v>
      </c>
      <c r="O26">
        <v>704.6</v>
      </c>
      <c r="P26">
        <v>20180914</v>
      </c>
      <c r="Q26" t="s">
        <v>36</v>
      </c>
      <c r="R26" t="s">
        <v>26</v>
      </c>
      <c r="S26" t="s">
        <v>23</v>
      </c>
      <c r="T26" t="s">
        <v>37</v>
      </c>
    </row>
    <row r="27" spans="1:20" x14ac:dyDescent="0.25">
      <c r="A27">
        <v>9</v>
      </c>
      <c r="B27">
        <v>163</v>
      </c>
      <c r="C27" t="str">
        <f t="shared" si="0"/>
        <v>00</v>
      </c>
      <c r="D27">
        <v>2159</v>
      </c>
      <c r="E27" t="str">
        <f t="shared" si="1"/>
        <v>00</v>
      </c>
      <c r="F27" t="str">
        <f>"009"</f>
        <v>009</v>
      </c>
      <c r="G27">
        <v>9</v>
      </c>
      <c r="H27" t="str">
        <f t="shared" si="2"/>
        <v>00</v>
      </c>
      <c r="I27" t="str">
        <f t="shared" si="3"/>
        <v>0</v>
      </c>
      <c r="J27" t="str">
        <f t="shared" si="4"/>
        <v>00</v>
      </c>
      <c r="K27">
        <v>20180914</v>
      </c>
      <c r="L27" t="str">
        <f>"027060"</f>
        <v>027060</v>
      </c>
      <c r="M27" t="str">
        <f>"07710"</f>
        <v>07710</v>
      </c>
      <c r="N27" t="s">
        <v>38</v>
      </c>
      <c r="O27">
        <v>663.17</v>
      </c>
      <c r="P27">
        <v>20180914</v>
      </c>
      <c r="Q27" t="s">
        <v>39</v>
      </c>
      <c r="R27" t="s">
        <v>33</v>
      </c>
      <c r="S27" t="s">
        <v>23</v>
      </c>
      <c r="T27" t="s">
        <v>40</v>
      </c>
    </row>
    <row r="28" spans="1:20" x14ac:dyDescent="0.25">
      <c r="A28">
        <v>9</v>
      </c>
      <c r="B28">
        <v>163</v>
      </c>
      <c r="C28" t="str">
        <f t="shared" si="0"/>
        <v>00</v>
      </c>
      <c r="D28">
        <v>2159</v>
      </c>
      <c r="E28" t="str">
        <f t="shared" si="1"/>
        <v>00</v>
      </c>
      <c r="F28" t="str">
        <f>"068"</f>
        <v>068</v>
      </c>
      <c r="G28">
        <v>9</v>
      </c>
      <c r="H28" t="str">
        <f t="shared" si="2"/>
        <v>00</v>
      </c>
      <c r="I28" t="str">
        <f t="shared" si="3"/>
        <v>0</v>
      </c>
      <c r="J28" t="str">
        <f t="shared" si="4"/>
        <v>00</v>
      </c>
      <c r="K28">
        <v>20180914</v>
      </c>
      <c r="L28" t="str">
        <f>"027061"</f>
        <v>027061</v>
      </c>
      <c r="M28" t="str">
        <f>"10095"</f>
        <v>10095</v>
      </c>
      <c r="N28" t="s">
        <v>83</v>
      </c>
      <c r="O28">
        <v>389.42</v>
      </c>
      <c r="P28">
        <v>20180914</v>
      </c>
      <c r="Q28" t="s">
        <v>84</v>
      </c>
      <c r="R28" t="s">
        <v>33</v>
      </c>
      <c r="S28" t="s">
        <v>23</v>
      </c>
      <c r="T28" t="s">
        <v>85</v>
      </c>
    </row>
    <row r="29" spans="1:20" x14ac:dyDescent="0.25">
      <c r="A29">
        <v>9</v>
      </c>
      <c r="B29">
        <v>163</v>
      </c>
      <c r="C29" t="str">
        <f t="shared" si="0"/>
        <v>00</v>
      </c>
      <c r="D29">
        <v>2153</v>
      </c>
      <c r="E29" t="str">
        <f t="shared" si="1"/>
        <v>00</v>
      </c>
      <c r="F29" t="str">
        <f>"011"</f>
        <v>011</v>
      </c>
      <c r="G29">
        <v>9</v>
      </c>
      <c r="H29" t="str">
        <f t="shared" si="2"/>
        <v>00</v>
      </c>
      <c r="I29" t="str">
        <f t="shared" si="3"/>
        <v>0</v>
      </c>
      <c r="J29" t="str">
        <f t="shared" si="4"/>
        <v>00</v>
      </c>
      <c r="K29">
        <v>20180914</v>
      </c>
      <c r="L29" t="str">
        <f>"027062"</f>
        <v>027062</v>
      </c>
      <c r="M29" t="str">
        <f>"11211"</f>
        <v>11211</v>
      </c>
      <c r="N29" t="s">
        <v>41</v>
      </c>
      <c r="O29" s="1">
        <v>2603.2399999999998</v>
      </c>
      <c r="P29">
        <v>20180914</v>
      </c>
      <c r="Q29" t="s">
        <v>42</v>
      </c>
      <c r="R29" t="s">
        <v>26</v>
      </c>
      <c r="S29" t="s">
        <v>23</v>
      </c>
      <c r="T29" t="s">
        <v>43</v>
      </c>
    </row>
    <row r="30" spans="1:20" x14ac:dyDescent="0.25">
      <c r="A30">
        <v>9</v>
      </c>
      <c r="B30">
        <v>163</v>
      </c>
      <c r="C30" t="str">
        <f t="shared" si="0"/>
        <v>00</v>
      </c>
      <c r="D30">
        <v>2159</v>
      </c>
      <c r="E30" t="str">
        <f t="shared" si="1"/>
        <v>00</v>
      </c>
      <c r="F30" t="str">
        <f>"104"</f>
        <v>104</v>
      </c>
      <c r="G30">
        <v>9</v>
      </c>
      <c r="H30" t="str">
        <f t="shared" si="2"/>
        <v>00</v>
      </c>
      <c r="I30" t="str">
        <f t="shared" si="3"/>
        <v>0</v>
      </c>
      <c r="J30" t="str">
        <f t="shared" si="4"/>
        <v>00</v>
      </c>
      <c r="K30">
        <v>20180914</v>
      </c>
      <c r="L30" t="str">
        <f>"027063"</f>
        <v>027063</v>
      </c>
      <c r="M30" t="str">
        <f>"14177"</f>
        <v>14177</v>
      </c>
      <c r="N30" t="s">
        <v>44</v>
      </c>
      <c r="O30">
        <v>286.5</v>
      </c>
      <c r="P30">
        <v>20180914</v>
      </c>
      <c r="Q30" t="s">
        <v>45</v>
      </c>
      <c r="R30" t="s">
        <v>33</v>
      </c>
      <c r="S30" t="s">
        <v>23</v>
      </c>
      <c r="T30" t="s">
        <v>46</v>
      </c>
    </row>
    <row r="31" spans="1:20" x14ac:dyDescent="0.25">
      <c r="A31">
        <v>9</v>
      </c>
      <c r="B31">
        <v>163</v>
      </c>
      <c r="C31" t="str">
        <f t="shared" si="0"/>
        <v>00</v>
      </c>
      <c r="D31">
        <v>2159</v>
      </c>
      <c r="E31" t="str">
        <f t="shared" si="1"/>
        <v>00</v>
      </c>
      <c r="F31" t="str">
        <f>"014"</f>
        <v>014</v>
      </c>
      <c r="G31">
        <v>9</v>
      </c>
      <c r="H31" t="str">
        <f t="shared" si="2"/>
        <v>00</v>
      </c>
      <c r="I31" t="str">
        <f t="shared" si="3"/>
        <v>0</v>
      </c>
      <c r="J31" t="str">
        <f t="shared" si="4"/>
        <v>00</v>
      </c>
      <c r="K31">
        <v>20180914</v>
      </c>
      <c r="L31" t="str">
        <f>"027064"</f>
        <v>027064</v>
      </c>
      <c r="M31" t="str">
        <f>"20682"</f>
        <v>20682</v>
      </c>
      <c r="N31" t="s">
        <v>86</v>
      </c>
      <c r="O31" s="1">
        <v>2211.88</v>
      </c>
      <c r="P31">
        <v>20180914</v>
      </c>
      <c r="Q31" t="s">
        <v>87</v>
      </c>
      <c r="R31" t="s">
        <v>33</v>
      </c>
      <c r="S31" t="s">
        <v>23</v>
      </c>
      <c r="T31" t="s">
        <v>88</v>
      </c>
    </row>
    <row r="32" spans="1:20" x14ac:dyDescent="0.25">
      <c r="A32">
        <v>9</v>
      </c>
      <c r="B32">
        <v>163</v>
      </c>
      <c r="C32" t="str">
        <f t="shared" si="0"/>
        <v>00</v>
      </c>
      <c r="D32">
        <v>2153</v>
      </c>
      <c r="E32" t="str">
        <f t="shared" si="1"/>
        <v>00</v>
      </c>
      <c r="F32" t="str">
        <f>"024"</f>
        <v>024</v>
      </c>
      <c r="G32">
        <v>9</v>
      </c>
      <c r="H32" t="str">
        <f t="shared" si="2"/>
        <v>00</v>
      </c>
      <c r="I32" t="str">
        <f t="shared" si="3"/>
        <v>0</v>
      </c>
      <c r="J32" t="str">
        <f t="shared" si="4"/>
        <v>00</v>
      </c>
      <c r="K32">
        <v>20180914</v>
      </c>
      <c r="L32" t="str">
        <f>"027065"</f>
        <v>027065</v>
      </c>
      <c r="M32" t="str">
        <f>"21504"</f>
        <v>21504</v>
      </c>
      <c r="N32" t="s">
        <v>89</v>
      </c>
      <c r="O32">
        <v>36.6</v>
      </c>
      <c r="P32">
        <v>20180914</v>
      </c>
      <c r="Q32" t="s">
        <v>90</v>
      </c>
      <c r="R32" t="s">
        <v>26</v>
      </c>
      <c r="S32" t="s">
        <v>23</v>
      </c>
      <c r="T32" t="s">
        <v>91</v>
      </c>
    </row>
    <row r="33" spans="1:20" x14ac:dyDescent="0.25">
      <c r="A33">
        <v>9</v>
      </c>
      <c r="B33">
        <v>163</v>
      </c>
      <c r="C33" t="str">
        <f t="shared" si="0"/>
        <v>00</v>
      </c>
      <c r="D33">
        <v>2153</v>
      </c>
      <c r="E33" t="str">
        <f t="shared" si="1"/>
        <v>00</v>
      </c>
      <c r="F33" t="str">
        <f>"026"</f>
        <v>026</v>
      </c>
      <c r="G33">
        <v>9</v>
      </c>
      <c r="H33" t="str">
        <f t="shared" si="2"/>
        <v>00</v>
      </c>
      <c r="I33" t="str">
        <f t="shared" si="3"/>
        <v>0</v>
      </c>
      <c r="J33" t="str">
        <f t="shared" si="4"/>
        <v>00</v>
      </c>
      <c r="K33">
        <v>20180914</v>
      </c>
      <c r="L33" t="str">
        <f>"027066"</f>
        <v>027066</v>
      </c>
      <c r="M33" t="str">
        <f>"21506"</f>
        <v>21506</v>
      </c>
      <c r="N33" t="s">
        <v>92</v>
      </c>
      <c r="O33">
        <v>102.75</v>
      </c>
      <c r="P33">
        <v>20180914</v>
      </c>
      <c r="Q33" t="s">
        <v>93</v>
      </c>
      <c r="R33" t="s">
        <v>26</v>
      </c>
      <c r="S33" t="s">
        <v>23</v>
      </c>
      <c r="T33" t="s">
        <v>94</v>
      </c>
    </row>
    <row r="34" spans="1:20" x14ac:dyDescent="0.25">
      <c r="A34">
        <v>9</v>
      </c>
      <c r="B34">
        <v>163</v>
      </c>
      <c r="C34" t="str">
        <f t="shared" si="0"/>
        <v>00</v>
      </c>
      <c r="D34">
        <v>2159</v>
      </c>
      <c r="E34" t="str">
        <f t="shared" si="1"/>
        <v>00</v>
      </c>
      <c r="F34" t="str">
        <f>"117"</f>
        <v>117</v>
      </c>
      <c r="G34">
        <v>9</v>
      </c>
      <c r="H34" t="str">
        <f t="shared" si="2"/>
        <v>00</v>
      </c>
      <c r="I34" t="str">
        <f t="shared" si="3"/>
        <v>0</v>
      </c>
      <c r="J34" t="str">
        <f t="shared" si="4"/>
        <v>00</v>
      </c>
      <c r="K34">
        <v>20180914</v>
      </c>
      <c r="L34" t="str">
        <f>"027067"</f>
        <v>027067</v>
      </c>
      <c r="M34" t="str">
        <f>"21826"</f>
        <v>21826</v>
      </c>
      <c r="N34" t="s">
        <v>95</v>
      </c>
      <c r="O34">
        <v>707.33</v>
      </c>
      <c r="P34">
        <v>20180914</v>
      </c>
      <c r="Q34" t="s">
        <v>96</v>
      </c>
      <c r="R34" t="s">
        <v>33</v>
      </c>
      <c r="S34" t="s">
        <v>23</v>
      </c>
      <c r="T34" t="s">
        <v>97</v>
      </c>
    </row>
    <row r="35" spans="1:20" x14ac:dyDescent="0.25">
      <c r="A35">
        <v>9</v>
      </c>
      <c r="B35">
        <v>163</v>
      </c>
      <c r="C35" t="str">
        <f t="shared" si="0"/>
        <v>00</v>
      </c>
      <c r="D35">
        <v>2159</v>
      </c>
      <c r="E35" t="str">
        <f t="shared" si="1"/>
        <v>00</v>
      </c>
      <c r="F35" t="str">
        <f>"140"</f>
        <v>140</v>
      </c>
      <c r="G35">
        <v>9</v>
      </c>
      <c r="H35" t="str">
        <f t="shared" si="2"/>
        <v>00</v>
      </c>
      <c r="I35" t="str">
        <f t="shared" si="3"/>
        <v>0</v>
      </c>
      <c r="J35" t="str">
        <f t="shared" si="4"/>
        <v>00</v>
      </c>
      <c r="K35">
        <v>20180914</v>
      </c>
      <c r="L35" t="str">
        <f>"027068"</f>
        <v>027068</v>
      </c>
      <c r="M35" t="str">
        <f>"47701"</f>
        <v>47701</v>
      </c>
      <c r="N35" t="s">
        <v>98</v>
      </c>
      <c r="O35">
        <v>450.6</v>
      </c>
      <c r="P35">
        <v>20180914</v>
      </c>
      <c r="Q35" t="s">
        <v>99</v>
      </c>
      <c r="R35" t="s">
        <v>33</v>
      </c>
      <c r="S35" t="s">
        <v>23</v>
      </c>
      <c r="T35" t="s">
        <v>100</v>
      </c>
    </row>
    <row r="36" spans="1:20" x14ac:dyDescent="0.25">
      <c r="A36">
        <v>9</v>
      </c>
      <c r="B36">
        <v>163</v>
      </c>
      <c r="C36" t="str">
        <f t="shared" si="0"/>
        <v>00</v>
      </c>
      <c r="D36">
        <v>2153</v>
      </c>
      <c r="E36" t="str">
        <f t="shared" si="1"/>
        <v>00</v>
      </c>
      <c r="F36" t="str">
        <f>"110"</f>
        <v>110</v>
      </c>
      <c r="G36">
        <v>9</v>
      </c>
      <c r="H36" t="str">
        <f t="shared" si="2"/>
        <v>00</v>
      </c>
      <c r="I36" t="str">
        <f t="shared" si="3"/>
        <v>0</v>
      </c>
      <c r="J36" t="str">
        <f t="shared" si="4"/>
        <v>00</v>
      </c>
      <c r="K36">
        <v>20180914</v>
      </c>
      <c r="L36" t="str">
        <f>"027069"</f>
        <v>027069</v>
      </c>
      <c r="M36" t="str">
        <f>"48947"</f>
        <v>48947</v>
      </c>
      <c r="N36" t="s">
        <v>47</v>
      </c>
      <c r="O36" s="1">
        <v>1931.88</v>
      </c>
      <c r="P36">
        <v>20180914</v>
      </c>
      <c r="Q36" t="s">
        <v>48</v>
      </c>
      <c r="R36" t="s">
        <v>22</v>
      </c>
      <c r="S36" t="s">
        <v>23</v>
      </c>
      <c r="T36" t="s">
        <v>49</v>
      </c>
    </row>
    <row r="37" spans="1:20" x14ac:dyDescent="0.25">
      <c r="A37">
        <v>9</v>
      </c>
      <c r="B37">
        <v>163</v>
      </c>
      <c r="C37" t="str">
        <f t="shared" si="0"/>
        <v>00</v>
      </c>
      <c r="D37">
        <v>2159</v>
      </c>
      <c r="E37" t="str">
        <f t="shared" si="1"/>
        <v>00</v>
      </c>
      <c r="F37" t="str">
        <f>"032"</f>
        <v>032</v>
      </c>
      <c r="G37">
        <v>9</v>
      </c>
      <c r="H37" t="str">
        <f t="shared" si="2"/>
        <v>00</v>
      </c>
      <c r="I37" t="str">
        <f t="shared" si="3"/>
        <v>0</v>
      </c>
      <c r="J37" t="str">
        <f t="shared" si="4"/>
        <v>00</v>
      </c>
      <c r="K37">
        <v>20180914</v>
      </c>
      <c r="L37" t="str">
        <f t="shared" ref="L37:L55" si="5">"027070"</f>
        <v>027070</v>
      </c>
      <c r="M37" t="str">
        <f t="shared" ref="M37:M55" si="6">"54196"</f>
        <v>54196</v>
      </c>
      <c r="N37" t="s">
        <v>50</v>
      </c>
      <c r="O37">
        <v>50</v>
      </c>
      <c r="P37">
        <v>20180914</v>
      </c>
      <c r="Q37" t="s">
        <v>101</v>
      </c>
      <c r="R37" t="s">
        <v>52</v>
      </c>
      <c r="S37" t="s">
        <v>23</v>
      </c>
      <c r="T37" t="s">
        <v>102</v>
      </c>
    </row>
    <row r="38" spans="1:20" x14ac:dyDescent="0.25">
      <c r="A38">
        <v>9</v>
      </c>
      <c r="B38">
        <v>163</v>
      </c>
      <c r="C38" t="str">
        <f t="shared" si="0"/>
        <v>00</v>
      </c>
      <c r="D38">
        <v>2159</v>
      </c>
      <c r="E38" t="str">
        <f t="shared" si="1"/>
        <v>00</v>
      </c>
      <c r="F38" t="str">
        <f>"033"</f>
        <v>033</v>
      </c>
      <c r="G38">
        <v>9</v>
      </c>
      <c r="H38" t="str">
        <f t="shared" si="2"/>
        <v>00</v>
      </c>
      <c r="I38" t="str">
        <f t="shared" si="3"/>
        <v>0</v>
      </c>
      <c r="J38" t="str">
        <f t="shared" si="4"/>
        <v>00</v>
      </c>
      <c r="K38">
        <v>20180914</v>
      </c>
      <c r="L38" t="str">
        <f t="shared" si="5"/>
        <v>027070</v>
      </c>
      <c r="M38" t="str">
        <f t="shared" si="6"/>
        <v>54196</v>
      </c>
      <c r="N38" t="s">
        <v>50</v>
      </c>
      <c r="O38">
        <v>283</v>
      </c>
      <c r="P38">
        <v>20180914</v>
      </c>
      <c r="Q38" t="s">
        <v>103</v>
      </c>
      <c r="R38" t="s">
        <v>52</v>
      </c>
      <c r="S38" t="s">
        <v>23</v>
      </c>
      <c r="T38" t="s">
        <v>104</v>
      </c>
    </row>
    <row r="39" spans="1:20" x14ac:dyDescent="0.25">
      <c r="A39">
        <v>9</v>
      </c>
      <c r="B39">
        <v>163</v>
      </c>
      <c r="C39" t="str">
        <f t="shared" si="0"/>
        <v>00</v>
      </c>
      <c r="D39">
        <v>2159</v>
      </c>
      <c r="E39" t="str">
        <f t="shared" si="1"/>
        <v>00</v>
      </c>
      <c r="F39" t="str">
        <f>"041"</f>
        <v>041</v>
      </c>
      <c r="G39">
        <v>9</v>
      </c>
      <c r="H39" t="str">
        <f t="shared" si="2"/>
        <v>00</v>
      </c>
      <c r="I39" t="str">
        <f t="shared" si="3"/>
        <v>0</v>
      </c>
      <c r="J39" t="str">
        <f t="shared" si="4"/>
        <v>00</v>
      </c>
      <c r="K39">
        <v>20180914</v>
      </c>
      <c r="L39" t="str">
        <f t="shared" si="5"/>
        <v>027070</v>
      </c>
      <c r="M39" t="str">
        <f t="shared" si="6"/>
        <v>54196</v>
      </c>
      <c r="N39" t="s">
        <v>50</v>
      </c>
      <c r="O39" s="1">
        <v>1340</v>
      </c>
      <c r="P39">
        <v>20180914</v>
      </c>
      <c r="Q39" t="s">
        <v>105</v>
      </c>
      <c r="R39" t="s">
        <v>52</v>
      </c>
      <c r="S39" t="s">
        <v>23</v>
      </c>
      <c r="T39" t="s">
        <v>106</v>
      </c>
    </row>
    <row r="40" spans="1:20" x14ac:dyDescent="0.25">
      <c r="A40">
        <v>9</v>
      </c>
      <c r="B40">
        <v>163</v>
      </c>
      <c r="C40" t="str">
        <f t="shared" si="0"/>
        <v>00</v>
      </c>
      <c r="D40">
        <v>2159</v>
      </c>
      <c r="E40" t="str">
        <f t="shared" si="1"/>
        <v>00</v>
      </c>
      <c r="F40" t="str">
        <f>"042"</f>
        <v>042</v>
      </c>
      <c r="G40">
        <v>9</v>
      </c>
      <c r="H40" t="str">
        <f t="shared" si="2"/>
        <v>00</v>
      </c>
      <c r="I40" t="str">
        <f t="shared" si="3"/>
        <v>0</v>
      </c>
      <c r="J40" t="str">
        <f t="shared" si="4"/>
        <v>00</v>
      </c>
      <c r="K40">
        <v>20180914</v>
      </c>
      <c r="L40" t="str">
        <f t="shared" si="5"/>
        <v>027070</v>
      </c>
      <c r="M40" t="str">
        <f t="shared" si="6"/>
        <v>54196</v>
      </c>
      <c r="N40" t="s">
        <v>50</v>
      </c>
      <c r="O40" s="1">
        <v>2075</v>
      </c>
      <c r="P40">
        <v>20180914</v>
      </c>
      <c r="Q40" t="s">
        <v>107</v>
      </c>
      <c r="R40" t="s">
        <v>52</v>
      </c>
      <c r="S40" t="s">
        <v>23</v>
      </c>
      <c r="T40" t="s">
        <v>108</v>
      </c>
    </row>
    <row r="41" spans="1:20" x14ac:dyDescent="0.25">
      <c r="A41">
        <v>9</v>
      </c>
      <c r="B41">
        <v>163</v>
      </c>
      <c r="C41" t="str">
        <f t="shared" si="0"/>
        <v>00</v>
      </c>
      <c r="D41">
        <v>2159</v>
      </c>
      <c r="E41" t="str">
        <f t="shared" si="1"/>
        <v>00</v>
      </c>
      <c r="F41" t="str">
        <f>"046"</f>
        <v>046</v>
      </c>
      <c r="G41">
        <v>9</v>
      </c>
      <c r="H41" t="str">
        <f t="shared" si="2"/>
        <v>00</v>
      </c>
      <c r="I41" t="str">
        <f t="shared" si="3"/>
        <v>0</v>
      </c>
      <c r="J41" t="str">
        <f t="shared" si="4"/>
        <v>00</v>
      </c>
      <c r="K41">
        <v>20180914</v>
      </c>
      <c r="L41" t="str">
        <f t="shared" si="5"/>
        <v>027070</v>
      </c>
      <c r="M41" t="str">
        <f t="shared" si="6"/>
        <v>54196</v>
      </c>
      <c r="N41" t="s">
        <v>50</v>
      </c>
      <c r="O41">
        <v>40</v>
      </c>
      <c r="P41">
        <v>20180914</v>
      </c>
      <c r="Q41" t="s">
        <v>109</v>
      </c>
      <c r="R41" t="s">
        <v>52</v>
      </c>
      <c r="S41" t="s">
        <v>23</v>
      </c>
      <c r="T41" t="s">
        <v>110</v>
      </c>
    </row>
    <row r="42" spans="1:20" x14ac:dyDescent="0.25">
      <c r="A42">
        <v>9</v>
      </c>
      <c r="B42">
        <v>163</v>
      </c>
      <c r="C42" t="str">
        <f t="shared" si="0"/>
        <v>00</v>
      </c>
      <c r="D42">
        <v>2159</v>
      </c>
      <c r="E42" t="str">
        <f t="shared" si="1"/>
        <v>00</v>
      </c>
      <c r="F42" t="str">
        <f>"058"</f>
        <v>058</v>
      </c>
      <c r="G42">
        <v>9</v>
      </c>
      <c r="H42" t="str">
        <f t="shared" si="2"/>
        <v>00</v>
      </c>
      <c r="I42" t="str">
        <f t="shared" si="3"/>
        <v>0</v>
      </c>
      <c r="J42" t="str">
        <f t="shared" si="4"/>
        <v>00</v>
      </c>
      <c r="K42">
        <v>20180914</v>
      </c>
      <c r="L42" t="str">
        <f t="shared" si="5"/>
        <v>027070</v>
      </c>
      <c r="M42" t="str">
        <f t="shared" si="6"/>
        <v>54196</v>
      </c>
      <c r="N42" t="s">
        <v>50</v>
      </c>
      <c r="O42" s="1">
        <v>1767</v>
      </c>
      <c r="P42">
        <v>20180914</v>
      </c>
      <c r="Q42" t="s">
        <v>111</v>
      </c>
      <c r="R42" t="s">
        <v>52</v>
      </c>
      <c r="S42" t="s">
        <v>23</v>
      </c>
      <c r="T42" t="s">
        <v>112</v>
      </c>
    </row>
    <row r="43" spans="1:20" x14ac:dyDescent="0.25">
      <c r="A43">
        <v>9</v>
      </c>
      <c r="B43">
        <v>163</v>
      </c>
      <c r="C43" t="str">
        <f t="shared" si="0"/>
        <v>00</v>
      </c>
      <c r="D43">
        <v>2159</v>
      </c>
      <c r="E43" t="str">
        <f t="shared" si="1"/>
        <v>00</v>
      </c>
      <c r="F43" t="str">
        <f>"059"</f>
        <v>059</v>
      </c>
      <c r="G43">
        <v>9</v>
      </c>
      <c r="H43" t="str">
        <f t="shared" si="2"/>
        <v>00</v>
      </c>
      <c r="I43" t="str">
        <f t="shared" si="3"/>
        <v>0</v>
      </c>
      <c r="J43" t="str">
        <f t="shared" si="4"/>
        <v>00</v>
      </c>
      <c r="K43">
        <v>20180914</v>
      </c>
      <c r="L43" t="str">
        <f t="shared" si="5"/>
        <v>027070</v>
      </c>
      <c r="M43" t="str">
        <f t="shared" si="6"/>
        <v>54196</v>
      </c>
      <c r="N43" t="s">
        <v>50</v>
      </c>
      <c r="O43">
        <v>672</v>
      </c>
      <c r="P43">
        <v>20180914</v>
      </c>
      <c r="Q43" t="s">
        <v>113</v>
      </c>
      <c r="R43" t="s">
        <v>52</v>
      </c>
      <c r="S43" t="s">
        <v>23</v>
      </c>
      <c r="T43" t="s">
        <v>114</v>
      </c>
    </row>
    <row r="44" spans="1:20" x14ac:dyDescent="0.25">
      <c r="A44">
        <v>9</v>
      </c>
      <c r="B44">
        <v>163</v>
      </c>
      <c r="C44" t="str">
        <f t="shared" si="0"/>
        <v>00</v>
      </c>
      <c r="D44">
        <v>2159</v>
      </c>
      <c r="E44" t="str">
        <f t="shared" si="1"/>
        <v>00</v>
      </c>
      <c r="F44" t="str">
        <f>"072"</f>
        <v>072</v>
      </c>
      <c r="G44">
        <v>9</v>
      </c>
      <c r="H44" t="str">
        <f t="shared" si="2"/>
        <v>00</v>
      </c>
      <c r="I44" t="str">
        <f t="shared" si="3"/>
        <v>0</v>
      </c>
      <c r="J44" t="str">
        <f t="shared" si="4"/>
        <v>00</v>
      </c>
      <c r="K44">
        <v>20180914</v>
      </c>
      <c r="L44" t="str">
        <f t="shared" si="5"/>
        <v>027070</v>
      </c>
      <c r="M44" t="str">
        <f t="shared" si="6"/>
        <v>54196</v>
      </c>
      <c r="N44" t="s">
        <v>50</v>
      </c>
      <c r="O44">
        <v>50</v>
      </c>
      <c r="P44">
        <v>20180914</v>
      </c>
      <c r="Q44" t="s">
        <v>115</v>
      </c>
      <c r="R44" t="s">
        <v>52</v>
      </c>
      <c r="S44" t="s">
        <v>23</v>
      </c>
      <c r="T44" t="s">
        <v>116</v>
      </c>
    </row>
    <row r="45" spans="1:20" x14ac:dyDescent="0.25">
      <c r="A45">
        <v>9</v>
      </c>
      <c r="B45">
        <v>163</v>
      </c>
      <c r="C45" t="str">
        <f t="shared" si="0"/>
        <v>00</v>
      </c>
      <c r="D45">
        <v>2159</v>
      </c>
      <c r="E45" t="str">
        <f t="shared" si="1"/>
        <v>00</v>
      </c>
      <c r="F45" t="str">
        <f>"075"</f>
        <v>075</v>
      </c>
      <c r="G45">
        <v>9</v>
      </c>
      <c r="H45" t="str">
        <f t="shared" si="2"/>
        <v>00</v>
      </c>
      <c r="I45" t="str">
        <f t="shared" si="3"/>
        <v>0</v>
      </c>
      <c r="J45" t="str">
        <f t="shared" si="4"/>
        <v>00</v>
      </c>
      <c r="K45">
        <v>20180914</v>
      </c>
      <c r="L45" t="str">
        <f t="shared" si="5"/>
        <v>027070</v>
      </c>
      <c r="M45" t="str">
        <f t="shared" si="6"/>
        <v>54196</v>
      </c>
      <c r="N45" t="s">
        <v>50</v>
      </c>
      <c r="O45">
        <v>100</v>
      </c>
      <c r="P45">
        <v>20180914</v>
      </c>
      <c r="Q45" t="s">
        <v>117</v>
      </c>
      <c r="R45" t="s">
        <v>52</v>
      </c>
      <c r="S45" t="s">
        <v>23</v>
      </c>
      <c r="T45" t="s">
        <v>118</v>
      </c>
    </row>
    <row r="46" spans="1:20" x14ac:dyDescent="0.25">
      <c r="A46">
        <v>9</v>
      </c>
      <c r="B46">
        <v>163</v>
      </c>
      <c r="C46" t="str">
        <f t="shared" si="0"/>
        <v>00</v>
      </c>
      <c r="D46">
        <v>2159</v>
      </c>
      <c r="E46" t="str">
        <f t="shared" si="1"/>
        <v>00</v>
      </c>
      <c r="F46" t="str">
        <f>"078"</f>
        <v>078</v>
      </c>
      <c r="G46">
        <v>9</v>
      </c>
      <c r="H46" t="str">
        <f t="shared" si="2"/>
        <v>00</v>
      </c>
      <c r="I46" t="str">
        <f t="shared" si="3"/>
        <v>0</v>
      </c>
      <c r="J46" t="str">
        <f t="shared" si="4"/>
        <v>00</v>
      </c>
      <c r="K46">
        <v>20180914</v>
      </c>
      <c r="L46" t="str">
        <f t="shared" si="5"/>
        <v>027070</v>
      </c>
      <c r="M46" t="str">
        <f t="shared" si="6"/>
        <v>54196</v>
      </c>
      <c r="N46" t="s">
        <v>50</v>
      </c>
      <c r="O46">
        <v>750</v>
      </c>
      <c r="P46">
        <v>20180914</v>
      </c>
      <c r="Q46" t="s">
        <v>119</v>
      </c>
      <c r="R46" t="s">
        <v>52</v>
      </c>
      <c r="S46" t="s">
        <v>23</v>
      </c>
      <c r="T46" t="s">
        <v>120</v>
      </c>
    </row>
    <row r="47" spans="1:20" x14ac:dyDescent="0.25">
      <c r="A47">
        <v>9</v>
      </c>
      <c r="B47">
        <v>163</v>
      </c>
      <c r="C47" t="str">
        <f t="shared" si="0"/>
        <v>00</v>
      </c>
      <c r="D47">
        <v>2159</v>
      </c>
      <c r="E47" t="str">
        <f t="shared" si="1"/>
        <v>00</v>
      </c>
      <c r="F47" t="str">
        <f>"082"</f>
        <v>082</v>
      </c>
      <c r="G47">
        <v>9</v>
      </c>
      <c r="H47" t="str">
        <f t="shared" si="2"/>
        <v>00</v>
      </c>
      <c r="I47" t="str">
        <f t="shared" si="3"/>
        <v>0</v>
      </c>
      <c r="J47" t="str">
        <f t="shared" si="4"/>
        <v>00</v>
      </c>
      <c r="K47">
        <v>20180914</v>
      </c>
      <c r="L47" t="str">
        <f t="shared" si="5"/>
        <v>027070</v>
      </c>
      <c r="M47" t="str">
        <f t="shared" si="6"/>
        <v>54196</v>
      </c>
      <c r="N47" t="s">
        <v>50</v>
      </c>
      <c r="O47">
        <v>300</v>
      </c>
      <c r="P47">
        <v>20180914</v>
      </c>
      <c r="Q47" t="s">
        <v>121</v>
      </c>
      <c r="R47" t="s">
        <v>52</v>
      </c>
      <c r="S47" t="s">
        <v>23</v>
      </c>
      <c r="T47" t="s">
        <v>122</v>
      </c>
    </row>
    <row r="48" spans="1:20" x14ac:dyDescent="0.25">
      <c r="A48">
        <v>9</v>
      </c>
      <c r="B48">
        <v>163</v>
      </c>
      <c r="C48" t="str">
        <f t="shared" si="0"/>
        <v>00</v>
      </c>
      <c r="D48">
        <v>2159</v>
      </c>
      <c r="E48" t="str">
        <f t="shared" si="1"/>
        <v>00</v>
      </c>
      <c r="F48" t="str">
        <f>"091"</f>
        <v>091</v>
      </c>
      <c r="G48">
        <v>9</v>
      </c>
      <c r="H48" t="str">
        <f t="shared" si="2"/>
        <v>00</v>
      </c>
      <c r="I48" t="str">
        <f t="shared" si="3"/>
        <v>0</v>
      </c>
      <c r="J48" t="str">
        <f t="shared" si="4"/>
        <v>00</v>
      </c>
      <c r="K48">
        <v>20180914</v>
      </c>
      <c r="L48" t="str">
        <f t="shared" si="5"/>
        <v>027070</v>
      </c>
      <c r="M48" t="str">
        <f t="shared" si="6"/>
        <v>54196</v>
      </c>
      <c r="N48" t="s">
        <v>50</v>
      </c>
      <c r="O48">
        <v>100</v>
      </c>
      <c r="P48">
        <v>20180914</v>
      </c>
      <c r="Q48" t="s">
        <v>123</v>
      </c>
      <c r="R48" t="s">
        <v>52</v>
      </c>
      <c r="S48" t="s">
        <v>23</v>
      </c>
      <c r="T48" t="s">
        <v>124</v>
      </c>
    </row>
    <row r="49" spans="1:20" x14ac:dyDescent="0.25">
      <c r="A49">
        <v>9</v>
      </c>
      <c r="B49">
        <v>163</v>
      </c>
      <c r="C49" t="str">
        <f t="shared" si="0"/>
        <v>00</v>
      </c>
      <c r="D49">
        <v>2159</v>
      </c>
      <c r="E49" t="str">
        <f t="shared" si="1"/>
        <v>00</v>
      </c>
      <c r="F49" t="str">
        <f>"122"</f>
        <v>122</v>
      </c>
      <c r="G49">
        <v>9</v>
      </c>
      <c r="H49" t="str">
        <f t="shared" si="2"/>
        <v>00</v>
      </c>
      <c r="I49" t="str">
        <f t="shared" si="3"/>
        <v>0</v>
      </c>
      <c r="J49" t="str">
        <f t="shared" si="4"/>
        <v>00</v>
      </c>
      <c r="K49">
        <v>20180914</v>
      </c>
      <c r="L49" t="str">
        <f t="shared" si="5"/>
        <v>027070</v>
      </c>
      <c r="M49" t="str">
        <f t="shared" si="6"/>
        <v>54196</v>
      </c>
      <c r="N49" t="s">
        <v>50</v>
      </c>
      <c r="O49">
        <v>100</v>
      </c>
      <c r="P49">
        <v>20180914</v>
      </c>
      <c r="Q49" t="s">
        <v>125</v>
      </c>
      <c r="R49" t="s">
        <v>126</v>
      </c>
      <c r="S49" t="s">
        <v>23</v>
      </c>
      <c r="T49" t="s">
        <v>127</v>
      </c>
    </row>
    <row r="50" spans="1:20" x14ac:dyDescent="0.25">
      <c r="A50">
        <v>9</v>
      </c>
      <c r="B50">
        <v>163</v>
      </c>
      <c r="C50" t="str">
        <f t="shared" si="0"/>
        <v>00</v>
      </c>
      <c r="D50">
        <v>2159</v>
      </c>
      <c r="E50" t="str">
        <f t="shared" si="1"/>
        <v>00</v>
      </c>
      <c r="F50" t="str">
        <f>"130"</f>
        <v>130</v>
      </c>
      <c r="G50">
        <v>9</v>
      </c>
      <c r="H50" t="str">
        <f t="shared" si="2"/>
        <v>00</v>
      </c>
      <c r="I50" t="str">
        <f t="shared" si="3"/>
        <v>0</v>
      </c>
      <c r="J50" t="str">
        <f t="shared" si="4"/>
        <v>00</v>
      </c>
      <c r="K50">
        <v>20180914</v>
      </c>
      <c r="L50" t="str">
        <f t="shared" si="5"/>
        <v>027070</v>
      </c>
      <c r="M50" t="str">
        <f t="shared" si="6"/>
        <v>54196</v>
      </c>
      <c r="N50" t="s">
        <v>50</v>
      </c>
      <c r="O50" s="1">
        <v>7383</v>
      </c>
      <c r="P50">
        <v>20180914</v>
      </c>
      <c r="Q50" t="s">
        <v>128</v>
      </c>
      <c r="R50" t="s">
        <v>129</v>
      </c>
      <c r="S50" t="s">
        <v>23</v>
      </c>
      <c r="T50" t="s">
        <v>112</v>
      </c>
    </row>
    <row r="51" spans="1:20" x14ac:dyDescent="0.25">
      <c r="A51">
        <v>9</v>
      </c>
      <c r="B51">
        <v>163</v>
      </c>
      <c r="C51" t="str">
        <f t="shared" si="0"/>
        <v>00</v>
      </c>
      <c r="D51">
        <v>2159</v>
      </c>
      <c r="E51" t="str">
        <f t="shared" si="1"/>
        <v>00</v>
      </c>
      <c r="F51" t="str">
        <f>"131"</f>
        <v>131</v>
      </c>
      <c r="G51">
        <v>9</v>
      </c>
      <c r="H51" t="str">
        <f t="shared" si="2"/>
        <v>00</v>
      </c>
      <c r="I51" t="str">
        <f t="shared" si="3"/>
        <v>0</v>
      </c>
      <c r="J51" t="str">
        <f t="shared" si="4"/>
        <v>00</v>
      </c>
      <c r="K51">
        <v>20180914</v>
      </c>
      <c r="L51" t="str">
        <f t="shared" si="5"/>
        <v>027070</v>
      </c>
      <c r="M51" t="str">
        <f t="shared" si="6"/>
        <v>54196</v>
      </c>
      <c r="N51" t="s">
        <v>50</v>
      </c>
      <c r="O51">
        <v>950</v>
      </c>
      <c r="P51">
        <v>20180914</v>
      </c>
      <c r="Q51" t="s">
        <v>51</v>
      </c>
      <c r="R51" t="s">
        <v>52</v>
      </c>
      <c r="S51" t="s">
        <v>23</v>
      </c>
      <c r="T51" t="s">
        <v>53</v>
      </c>
    </row>
    <row r="52" spans="1:20" x14ac:dyDescent="0.25">
      <c r="A52">
        <v>9</v>
      </c>
      <c r="B52">
        <v>163</v>
      </c>
      <c r="C52" t="str">
        <f t="shared" si="0"/>
        <v>00</v>
      </c>
      <c r="D52">
        <v>2159</v>
      </c>
      <c r="E52" t="str">
        <f t="shared" si="1"/>
        <v>00</v>
      </c>
      <c r="F52" t="str">
        <f>"136"</f>
        <v>136</v>
      </c>
      <c r="G52">
        <v>9</v>
      </c>
      <c r="H52" t="str">
        <f t="shared" si="2"/>
        <v>00</v>
      </c>
      <c r="I52" t="str">
        <f t="shared" si="3"/>
        <v>0</v>
      </c>
      <c r="J52" t="str">
        <f t="shared" si="4"/>
        <v>00</v>
      </c>
      <c r="K52">
        <v>20180914</v>
      </c>
      <c r="L52" t="str">
        <f t="shared" si="5"/>
        <v>027070</v>
      </c>
      <c r="M52" t="str">
        <f t="shared" si="6"/>
        <v>54196</v>
      </c>
      <c r="N52" t="s">
        <v>50</v>
      </c>
      <c r="O52" s="1">
        <v>1425</v>
      </c>
      <c r="P52">
        <v>20180914</v>
      </c>
      <c r="Q52" t="s">
        <v>130</v>
      </c>
      <c r="R52" t="s">
        <v>131</v>
      </c>
      <c r="S52" t="s">
        <v>23</v>
      </c>
      <c r="T52" t="s">
        <v>132</v>
      </c>
    </row>
    <row r="53" spans="1:20" x14ac:dyDescent="0.25">
      <c r="A53">
        <v>9</v>
      </c>
      <c r="B53">
        <v>163</v>
      </c>
      <c r="C53" t="str">
        <f t="shared" si="0"/>
        <v>00</v>
      </c>
      <c r="D53">
        <v>2159</v>
      </c>
      <c r="E53" t="str">
        <f t="shared" si="1"/>
        <v>00</v>
      </c>
      <c r="F53" t="str">
        <f>"137"</f>
        <v>137</v>
      </c>
      <c r="G53">
        <v>9</v>
      </c>
      <c r="H53" t="str">
        <f t="shared" si="2"/>
        <v>00</v>
      </c>
      <c r="I53" t="str">
        <f t="shared" si="3"/>
        <v>0</v>
      </c>
      <c r="J53" t="str">
        <f t="shared" si="4"/>
        <v>00</v>
      </c>
      <c r="K53">
        <v>20180914</v>
      </c>
      <c r="L53" t="str">
        <f t="shared" si="5"/>
        <v>027070</v>
      </c>
      <c r="M53" t="str">
        <f t="shared" si="6"/>
        <v>54196</v>
      </c>
      <c r="N53" t="s">
        <v>50</v>
      </c>
      <c r="O53" s="1">
        <v>4180</v>
      </c>
      <c r="P53">
        <v>20180914</v>
      </c>
      <c r="Q53" t="s">
        <v>133</v>
      </c>
      <c r="R53" t="s">
        <v>129</v>
      </c>
      <c r="S53" t="s">
        <v>23</v>
      </c>
      <c r="T53" t="s">
        <v>134</v>
      </c>
    </row>
    <row r="54" spans="1:20" x14ac:dyDescent="0.25">
      <c r="A54">
        <v>9</v>
      </c>
      <c r="B54">
        <v>163</v>
      </c>
      <c r="C54" t="str">
        <f t="shared" si="0"/>
        <v>00</v>
      </c>
      <c r="D54">
        <v>2159</v>
      </c>
      <c r="E54" t="str">
        <f t="shared" si="1"/>
        <v>00</v>
      </c>
      <c r="F54" t="str">
        <f>"138"</f>
        <v>138</v>
      </c>
      <c r="G54">
        <v>9</v>
      </c>
      <c r="H54" t="str">
        <f t="shared" si="2"/>
        <v>00</v>
      </c>
      <c r="I54" t="str">
        <f t="shared" si="3"/>
        <v>0</v>
      </c>
      <c r="J54" t="str">
        <f t="shared" si="4"/>
        <v>00</v>
      </c>
      <c r="K54">
        <v>20180914</v>
      </c>
      <c r="L54" t="str">
        <f t="shared" si="5"/>
        <v>027070</v>
      </c>
      <c r="M54" t="str">
        <f t="shared" si="6"/>
        <v>54196</v>
      </c>
      <c r="N54" t="s">
        <v>50</v>
      </c>
      <c r="O54">
        <v>300</v>
      </c>
      <c r="P54">
        <v>20180914</v>
      </c>
      <c r="Q54" t="s">
        <v>135</v>
      </c>
      <c r="R54" t="s">
        <v>131</v>
      </c>
      <c r="S54" t="s">
        <v>23</v>
      </c>
      <c r="T54" t="s">
        <v>134</v>
      </c>
    </row>
    <row r="55" spans="1:20" x14ac:dyDescent="0.25">
      <c r="A55">
        <v>9</v>
      </c>
      <c r="B55">
        <v>163</v>
      </c>
      <c r="C55" t="str">
        <f t="shared" si="0"/>
        <v>00</v>
      </c>
      <c r="D55">
        <v>2159</v>
      </c>
      <c r="E55" t="str">
        <f t="shared" si="1"/>
        <v>00</v>
      </c>
      <c r="F55" t="str">
        <f>"150"</f>
        <v>150</v>
      </c>
      <c r="G55">
        <v>9</v>
      </c>
      <c r="H55" t="str">
        <f t="shared" si="2"/>
        <v>00</v>
      </c>
      <c r="I55" t="str">
        <f t="shared" si="3"/>
        <v>0</v>
      </c>
      <c r="J55" t="str">
        <f t="shared" si="4"/>
        <v>00</v>
      </c>
      <c r="K55">
        <v>20180914</v>
      </c>
      <c r="L55" t="str">
        <f t="shared" si="5"/>
        <v>027070</v>
      </c>
      <c r="M55" t="str">
        <f t="shared" si="6"/>
        <v>54196</v>
      </c>
      <c r="N55" t="s">
        <v>50</v>
      </c>
      <c r="O55">
        <v>200</v>
      </c>
      <c r="P55">
        <v>20180914</v>
      </c>
      <c r="Q55" t="s">
        <v>136</v>
      </c>
      <c r="R55" t="s">
        <v>52</v>
      </c>
      <c r="S55" t="s">
        <v>23</v>
      </c>
      <c r="T55" t="s">
        <v>137</v>
      </c>
    </row>
    <row r="56" spans="1:20" x14ac:dyDescent="0.25">
      <c r="A56">
        <v>9</v>
      </c>
      <c r="B56">
        <v>163</v>
      </c>
      <c r="C56" t="str">
        <f t="shared" si="0"/>
        <v>00</v>
      </c>
      <c r="D56">
        <v>2159</v>
      </c>
      <c r="E56" t="str">
        <f t="shared" si="1"/>
        <v>00</v>
      </c>
      <c r="F56" t="str">
        <f>"111"</f>
        <v>111</v>
      </c>
      <c r="G56">
        <v>9</v>
      </c>
      <c r="H56" t="str">
        <f t="shared" si="2"/>
        <v>00</v>
      </c>
      <c r="I56" t="str">
        <f t="shared" si="3"/>
        <v>0</v>
      </c>
      <c r="J56" t="str">
        <f t="shared" si="4"/>
        <v>00</v>
      </c>
      <c r="K56">
        <v>20180914</v>
      </c>
      <c r="L56" t="str">
        <f>"027071"</f>
        <v>027071</v>
      </c>
      <c r="M56" t="str">
        <f>"72601"</f>
        <v>72601</v>
      </c>
      <c r="N56" t="s">
        <v>54</v>
      </c>
      <c r="O56" s="1">
        <v>8609.8799999999992</v>
      </c>
      <c r="P56">
        <v>20180914</v>
      </c>
      <c r="Q56" t="s">
        <v>55</v>
      </c>
      <c r="R56" t="s">
        <v>33</v>
      </c>
      <c r="S56" t="s">
        <v>23</v>
      </c>
      <c r="T56" t="s">
        <v>56</v>
      </c>
    </row>
    <row r="57" spans="1:20" x14ac:dyDescent="0.25">
      <c r="A57">
        <v>9</v>
      </c>
      <c r="B57">
        <v>163</v>
      </c>
      <c r="C57" t="str">
        <f t="shared" si="0"/>
        <v>00</v>
      </c>
      <c r="D57">
        <v>2153</v>
      </c>
      <c r="E57" t="str">
        <f t="shared" si="1"/>
        <v>00</v>
      </c>
      <c r="F57" t="str">
        <f>"006"</f>
        <v>006</v>
      </c>
      <c r="G57">
        <v>9</v>
      </c>
      <c r="H57" t="str">
        <f t="shared" si="2"/>
        <v>00</v>
      </c>
      <c r="I57" t="str">
        <f t="shared" si="3"/>
        <v>0</v>
      </c>
      <c r="J57" t="str">
        <f t="shared" si="4"/>
        <v>00</v>
      </c>
      <c r="K57">
        <v>20180914</v>
      </c>
      <c r="L57" t="str">
        <f>"027072"</f>
        <v>027072</v>
      </c>
      <c r="M57" t="str">
        <f>"75452"</f>
        <v>75452</v>
      </c>
      <c r="N57" t="s">
        <v>57</v>
      </c>
      <c r="O57" s="1">
        <v>9228.61</v>
      </c>
      <c r="P57">
        <v>20180914</v>
      </c>
      <c r="Q57" t="s">
        <v>58</v>
      </c>
      <c r="R57" t="s">
        <v>26</v>
      </c>
      <c r="S57" t="s">
        <v>23</v>
      </c>
      <c r="T57" t="s">
        <v>59</v>
      </c>
    </row>
    <row r="58" spans="1:20" x14ac:dyDescent="0.25">
      <c r="A58">
        <v>9</v>
      </c>
      <c r="B58">
        <v>163</v>
      </c>
      <c r="C58" t="str">
        <f t="shared" si="0"/>
        <v>00</v>
      </c>
      <c r="D58">
        <v>2153</v>
      </c>
      <c r="E58" t="str">
        <f t="shared" si="1"/>
        <v>00</v>
      </c>
      <c r="F58" t="str">
        <f>"006"</f>
        <v>006</v>
      </c>
      <c r="G58">
        <v>9</v>
      </c>
      <c r="H58" t="str">
        <f t="shared" si="2"/>
        <v>00</v>
      </c>
      <c r="I58" t="str">
        <f t="shared" si="3"/>
        <v>0</v>
      </c>
      <c r="J58" t="str">
        <f t="shared" si="4"/>
        <v>00</v>
      </c>
      <c r="K58">
        <v>20181002</v>
      </c>
      <c r="L58" t="str">
        <f>"027072"</f>
        <v>027072</v>
      </c>
      <c r="M58" t="str">
        <f>"75452"</f>
        <v>75452</v>
      </c>
      <c r="N58" t="s">
        <v>57</v>
      </c>
      <c r="O58" s="1">
        <v>-9228.61</v>
      </c>
      <c r="P58">
        <v>20181002</v>
      </c>
      <c r="Q58" t="s">
        <v>58</v>
      </c>
      <c r="R58" t="s">
        <v>138</v>
      </c>
      <c r="S58" t="s">
        <v>23</v>
      </c>
      <c r="T58" t="s">
        <v>59</v>
      </c>
    </row>
    <row r="59" spans="1:20" x14ac:dyDescent="0.25">
      <c r="A59">
        <v>9</v>
      </c>
      <c r="B59">
        <v>163</v>
      </c>
      <c r="C59" t="str">
        <f t="shared" si="0"/>
        <v>00</v>
      </c>
      <c r="D59">
        <v>2159</v>
      </c>
      <c r="E59" t="str">
        <f t="shared" si="1"/>
        <v>00</v>
      </c>
      <c r="F59" t="str">
        <f>"048"</f>
        <v>048</v>
      </c>
      <c r="G59">
        <v>9</v>
      </c>
      <c r="H59" t="str">
        <f t="shared" si="2"/>
        <v>00</v>
      </c>
      <c r="I59" t="str">
        <f t="shared" si="3"/>
        <v>0</v>
      </c>
      <c r="J59" t="str">
        <f t="shared" si="4"/>
        <v>00</v>
      </c>
      <c r="K59">
        <v>20180914</v>
      </c>
      <c r="L59" t="str">
        <f>"027073"</f>
        <v>027073</v>
      </c>
      <c r="M59" t="str">
        <f>"77030"</f>
        <v>77030</v>
      </c>
      <c r="N59" t="s">
        <v>139</v>
      </c>
      <c r="O59">
        <v>141.5</v>
      </c>
      <c r="P59">
        <v>20180914</v>
      </c>
      <c r="Q59" t="s">
        <v>140</v>
      </c>
      <c r="R59" t="s">
        <v>33</v>
      </c>
      <c r="S59" t="s">
        <v>23</v>
      </c>
      <c r="T59" t="s">
        <v>141</v>
      </c>
    </row>
    <row r="60" spans="1:20" x14ac:dyDescent="0.25">
      <c r="A60">
        <v>9</v>
      </c>
      <c r="B60">
        <v>163</v>
      </c>
      <c r="C60" t="str">
        <f t="shared" si="0"/>
        <v>00</v>
      </c>
      <c r="D60">
        <v>2159</v>
      </c>
      <c r="E60" t="str">
        <f t="shared" si="1"/>
        <v>00</v>
      </c>
      <c r="F60" t="str">
        <f>"005"</f>
        <v>005</v>
      </c>
      <c r="G60">
        <v>9</v>
      </c>
      <c r="H60" t="str">
        <f t="shared" si="2"/>
        <v>00</v>
      </c>
      <c r="I60" t="str">
        <f t="shared" si="3"/>
        <v>0</v>
      </c>
      <c r="J60" t="str">
        <f t="shared" si="4"/>
        <v>00</v>
      </c>
      <c r="K60">
        <v>20180914</v>
      </c>
      <c r="L60" t="str">
        <f>"027074"</f>
        <v>027074</v>
      </c>
      <c r="M60" t="str">
        <f>"79562"</f>
        <v>79562</v>
      </c>
      <c r="N60" t="s">
        <v>142</v>
      </c>
      <c r="O60">
        <v>156.69999999999999</v>
      </c>
      <c r="P60">
        <v>20180914</v>
      </c>
      <c r="Q60" t="s">
        <v>143</v>
      </c>
      <c r="R60" t="s">
        <v>144</v>
      </c>
      <c r="S60" t="s">
        <v>23</v>
      </c>
      <c r="T60" t="s">
        <v>145</v>
      </c>
    </row>
    <row r="61" spans="1:20" x14ac:dyDescent="0.25">
      <c r="A61">
        <v>9</v>
      </c>
      <c r="B61">
        <v>163</v>
      </c>
      <c r="C61" t="str">
        <f t="shared" si="0"/>
        <v>00</v>
      </c>
      <c r="D61">
        <v>2159</v>
      </c>
      <c r="E61" t="str">
        <f t="shared" si="1"/>
        <v>00</v>
      </c>
      <c r="F61" t="str">
        <f>"034"</f>
        <v>034</v>
      </c>
      <c r="G61">
        <v>9</v>
      </c>
      <c r="H61" t="str">
        <f t="shared" si="2"/>
        <v>00</v>
      </c>
      <c r="I61" t="str">
        <f t="shared" si="3"/>
        <v>0</v>
      </c>
      <c r="J61" t="str">
        <f t="shared" si="4"/>
        <v>00</v>
      </c>
      <c r="K61">
        <v>20180914</v>
      </c>
      <c r="L61" t="str">
        <f>"027075"</f>
        <v>027075</v>
      </c>
      <c r="M61" t="str">
        <f>"79762"</f>
        <v>79762</v>
      </c>
      <c r="N61" t="s">
        <v>146</v>
      </c>
      <c r="O61" s="1">
        <v>1255</v>
      </c>
      <c r="P61">
        <v>20180914</v>
      </c>
      <c r="Q61" t="s">
        <v>147</v>
      </c>
      <c r="R61" t="s">
        <v>33</v>
      </c>
      <c r="S61" t="s">
        <v>23</v>
      </c>
      <c r="T61" t="s">
        <v>148</v>
      </c>
    </row>
    <row r="62" spans="1:20" x14ac:dyDescent="0.25">
      <c r="A62">
        <v>9</v>
      </c>
      <c r="B62">
        <v>163</v>
      </c>
      <c r="C62" t="str">
        <f t="shared" si="0"/>
        <v>00</v>
      </c>
      <c r="D62">
        <v>2159</v>
      </c>
      <c r="E62" t="str">
        <f t="shared" si="1"/>
        <v>00</v>
      </c>
      <c r="F62" t="str">
        <f>"086"</f>
        <v>086</v>
      </c>
      <c r="G62">
        <v>9</v>
      </c>
      <c r="H62" t="str">
        <f t="shared" si="2"/>
        <v>00</v>
      </c>
      <c r="I62" t="str">
        <f t="shared" si="3"/>
        <v>0</v>
      </c>
      <c r="J62" t="str">
        <f t="shared" si="4"/>
        <v>00</v>
      </c>
      <c r="K62">
        <v>20180914</v>
      </c>
      <c r="L62" t="str">
        <f>"027076"</f>
        <v>027076</v>
      </c>
      <c r="M62" t="str">
        <f>"81155"</f>
        <v>81155</v>
      </c>
      <c r="N62" t="s">
        <v>149</v>
      </c>
      <c r="O62">
        <v>215</v>
      </c>
      <c r="P62">
        <v>20180914</v>
      </c>
      <c r="Q62" t="s">
        <v>150</v>
      </c>
      <c r="R62" t="s">
        <v>33</v>
      </c>
      <c r="S62" t="s">
        <v>23</v>
      </c>
      <c r="T62" t="s">
        <v>151</v>
      </c>
    </row>
    <row r="63" spans="1:20" x14ac:dyDescent="0.25">
      <c r="A63">
        <v>9</v>
      </c>
      <c r="B63">
        <v>163</v>
      </c>
      <c r="C63" t="str">
        <f t="shared" si="0"/>
        <v>00</v>
      </c>
      <c r="D63">
        <v>2159</v>
      </c>
      <c r="E63" t="str">
        <f t="shared" si="1"/>
        <v>00</v>
      </c>
      <c r="F63" t="str">
        <f>"106"</f>
        <v>106</v>
      </c>
      <c r="G63">
        <v>9</v>
      </c>
      <c r="H63" t="str">
        <f t="shared" si="2"/>
        <v>00</v>
      </c>
      <c r="I63" t="str">
        <f t="shared" si="3"/>
        <v>0</v>
      </c>
      <c r="J63" t="str">
        <f t="shared" si="4"/>
        <v>00</v>
      </c>
      <c r="K63">
        <v>20180914</v>
      </c>
      <c r="L63" t="str">
        <f>"027077"</f>
        <v>027077</v>
      </c>
      <c r="M63" t="str">
        <f>"81173"</f>
        <v>81173</v>
      </c>
      <c r="N63" t="s">
        <v>60</v>
      </c>
      <c r="O63">
        <v>832.75</v>
      </c>
      <c r="P63">
        <v>20180914</v>
      </c>
      <c r="Q63" t="s">
        <v>61</v>
      </c>
      <c r="R63" t="s">
        <v>33</v>
      </c>
      <c r="S63" t="s">
        <v>23</v>
      </c>
      <c r="T63" t="s">
        <v>62</v>
      </c>
    </row>
    <row r="64" spans="1:20" x14ac:dyDescent="0.25">
      <c r="A64">
        <v>9</v>
      </c>
      <c r="B64">
        <v>163</v>
      </c>
      <c r="C64" t="str">
        <f t="shared" si="0"/>
        <v>00</v>
      </c>
      <c r="D64">
        <v>2159</v>
      </c>
      <c r="E64" t="str">
        <f t="shared" si="1"/>
        <v>00</v>
      </c>
      <c r="F64" t="str">
        <f>"007"</f>
        <v>007</v>
      </c>
      <c r="G64">
        <v>9</v>
      </c>
      <c r="H64" t="str">
        <f t="shared" si="2"/>
        <v>00</v>
      </c>
      <c r="I64" t="str">
        <f t="shared" si="3"/>
        <v>0</v>
      </c>
      <c r="J64" t="str">
        <f t="shared" si="4"/>
        <v>00</v>
      </c>
      <c r="K64">
        <v>20180914</v>
      </c>
      <c r="L64" t="str">
        <f>"027078"</f>
        <v>027078</v>
      </c>
      <c r="M64" t="str">
        <f>"81174"</f>
        <v>81174</v>
      </c>
      <c r="N64" t="s">
        <v>63</v>
      </c>
      <c r="O64" s="1">
        <v>1733.15</v>
      </c>
      <c r="P64">
        <v>20180914</v>
      </c>
      <c r="Q64" t="s">
        <v>64</v>
      </c>
      <c r="R64" t="s">
        <v>33</v>
      </c>
      <c r="S64" t="s">
        <v>23</v>
      </c>
      <c r="T64" t="s">
        <v>65</v>
      </c>
    </row>
    <row r="65" spans="1:20" x14ac:dyDescent="0.25">
      <c r="A65">
        <v>9</v>
      </c>
      <c r="B65">
        <v>163</v>
      </c>
      <c r="C65" t="str">
        <f t="shared" si="0"/>
        <v>00</v>
      </c>
      <c r="D65">
        <v>2159</v>
      </c>
      <c r="E65" t="str">
        <f t="shared" si="1"/>
        <v>00</v>
      </c>
      <c r="F65" t="str">
        <f>"100"</f>
        <v>100</v>
      </c>
      <c r="G65">
        <v>9</v>
      </c>
      <c r="H65" t="str">
        <f t="shared" si="2"/>
        <v>00</v>
      </c>
      <c r="I65" t="str">
        <f t="shared" si="3"/>
        <v>0</v>
      </c>
      <c r="J65" t="str">
        <f t="shared" si="4"/>
        <v>00</v>
      </c>
      <c r="K65">
        <v>20180914</v>
      </c>
      <c r="L65" t="str">
        <f>"027079"</f>
        <v>027079</v>
      </c>
      <c r="M65" t="str">
        <f>"81177"</f>
        <v>81177</v>
      </c>
      <c r="N65" t="s">
        <v>66</v>
      </c>
      <c r="O65">
        <v>64</v>
      </c>
      <c r="P65">
        <v>20180914</v>
      </c>
      <c r="Q65" t="s">
        <v>67</v>
      </c>
      <c r="R65" t="s">
        <v>33</v>
      </c>
      <c r="S65" t="s">
        <v>23</v>
      </c>
      <c r="T65" t="s">
        <v>68</v>
      </c>
    </row>
    <row r="66" spans="1:20" x14ac:dyDescent="0.25">
      <c r="A66">
        <v>9</v>
      </c>
      <c r="B66">
        <v>163</v>
      </c>
      <c r="C66" t="str">
        <f t="shared" ref="C66:C129" si="7">"00"</f>
        <v>00</v>
      </c>
      <c r="D66">
        <v>2159</v>
      </c>
      <c r="E66" t="str">
        <f t="shared" ref="E66:E129" si="8">"00"</f>
        <v>00</v>
      </c>
      <c r="F66" t="str">
        <f>"103"</f>
        <v>103</v>
      </c>
      <c r="G66">
        <v>9</v>
      </c>
      <c r="H66" t="str">
        <f t="shared" ref="H66:H129" si="9">"00"</f>
        <v>00</v>
      </c>
      <c r="I66" t="str">
        <f t="shared" ref="I66:I129" si="10">"0"</f>
        <v>0</v>
      </c>
      <c r="J66" t="str">
        <f t="shared" ref="J66:J129" si="11">"00"</f>
        <v>00</v>
      </c>
      <c r="K66">
        <v>20180914</v>
      </c>
      <c r="L66" t="str">
        <f>"027079"</f>
        <v>027079</v>
      </c>
      <c r="M66" t="str">
        <f>"81177"</f>
        <v>81177</v>
      </c>
      <c r="N66" t="s">
        <v>66</v>
      </c>
      <c r="O66">
        <v>12</v>
      </c>
      <c r="P66">
        <v>20180914</v>
      </c>
      <c r="Q66" t="s">
        <v>152</v>
      </c>
      <c r="R66" t="s">
        <v>33</v>
      </c>
      <c r="S66" t="s">
        <v>23</v>
      </c>
      <c r="T66" t="s">
        <v>153</v>
      </c>
    </row>
    <row r="67" spans="1:20" x14ac:dyDescent="0.25">
      <c r="A67">
        <v>9</v>
      </c>
      <c r="B67">
        <v>163</v>
      </c>
      <c r="C67" t="str">
        <f t="shared" si="7"/>
        <v>00</v>
      </c>
      <c r="D67">
        <v>2159</v>
      </c>
      <c r="E67" t="str">
        <f t="shared" si="8"/>
        <v>00</v>
      </c>
      <c r="F67" t="str">
        <f>"123"</f>
        <v>123</v>
      </c>
      <c r="G67">
        <v>9</v>
      </c>
      <c r="H67" t="str">
        <f t="shared" si="9"/>
        <v>00</v>
      </c>
      <c r="I67" t="str">
        <f t="shared" si="10"/>
        <v>0</v>
      </c>
      <c r="J67" t="str">
        <f t="shared" si="11"/>
        <v>00</v>
      </c>
      <c r="K67">
        <v>20180914</v>
      </c>
      <c r="L67" t="str">
        <f>"027080"</f>
        <v>027080</v>
      </c>
      <c r="M67" t="str">
        <f>"81753"</f>
        <v>81753</v>
      </c>
      <c r="N67" t="s">
        <v>154</v>
      </c>
      <c r="O67" s="1">
        <v>1186.33</v>
      </c>
      <c r="P67">
        <v>20180914</v>
      </c>
      <c r="Q67" t="s">
        <v>155</v>
      </c>
      <c r="R67" t="s">
        <v>33</v>
      </c>
      <c r="S67" t="s">
        <v>23</v>
      </c>
      <c r="T67" t="s">
        <v>154</v>
      </c>
    </row>
    <row r="68" spans="1:20" x14ac:dyDescent="0.25">
      <c r="A68">
        <v>9</v>
      </c>
      <c r="B68">
        <v>163</v>
      </c>
      <c r="C68" t="str">
        <f t="shared" si="7"/>
        <v>00</v>
      </c>
      <c r="D68">
        <v>2159</v>
      </c>
      <c r="E68" t="str">
        <f t="shared" si="8"/>
        <v>00</v>
      </c>
      <c r="F68" t="str">
        <f>"129"</f>
        <v>129</v>
      </c>
      <c r="G68">
        <v>9</v>
      </c>
      <c r="H68" t="str">
        <f t="shared" si="9"/>
        <v>00</v>
      </c>
      <c r="I68" t="str">
        <f t="shared" si="10"/>
        <v>0</v>
      </c>
      <c r="J68" t="str">
        <f t="shared" si="11"/>
        <v>00</v>
      </c>
      <c r="K68">
        <v>20180914</v>
      </c>
      <c r="L68" t="str">
        <f>"027081"</f>
        <v>027081</v>
      </c>
      <c r="M68" t="str">
        <f>"82168"</f>
        <v>82168</v>
      </c>
      <c r="N68" t="s">
        <v>69</v>
      </c>
      <c r="O68">
        <v>615</v>
      </c>
      <c r="P68">
        <v>20180914</v>
      </c>
      <c r="Q68" t="s">
        <v>70</v>
      </c>
      <c r="R68" t="s">
        <v>33</v>
      </c>
      <c r="S68" t="s">
        <v>23</v>
      </c>
      <c r="T68" t="s">
        <v>71</v>
      </c>
    </row>
    <row r="69" spans="1:20" x14ac:dyDescent="0.25">
      <c r="A69">
        <v>9</v>
      </c>
      <c r="B69">
        <v>163</v>
      </c>
      <c r="C69" t="str">
        <f t="shared" si="7"/>
        <v>00</v>
      </c>
      <c r="D69">
        <v>2153</v>
      </c>
      <c r="E69" t="str">
        <f t="shared" si="8"/>
        <v>00</v>
      </c>
      <c r="F69" t="str">
        <f>"141"</f>
        <v>141</v>
      </c>
      <c r="G69">
        <v>9</v>
      </c>
      <c r="H69" t="str">
        <f t="shared" si="9"/>
        <v>00</v>
      </c>
      <c r="I69" t="str">
        <f t="shared" si="10"/>
        <v>0</v>
      </c>
      <c r="J69" t="str">
        <f t="shared" si="11"/>
        <v>00</v>
      </c>
      <c r="K69">
        <v>20180921</v>
      </c>
      <c r="L69" t="str">
        <f>"027097"</f>
        <v>027097</v>
      </c>
      <c r="M69" t="str">
        <f>"00068"</f>
        <v>00068</v>
      </c>
      <c r="N69" t="s">
        <v>20</v>
      </c>
      <c r="O69">
        <v>369.64</v>
      </c>
      <c r="P69">
        <v>20180921</v>
      </c>
      <c r="Q69" t="s">
        <v>21</v>
      </c>
      <c r="R69" t="s">
        <v>22</v>
      </c>
      <c r="S69" t="s">
        <v>23</v>
      </c>
      <c r="T69" t="s">
        <v>24</v>
      </c>
    </row>
    <row r="70" spans="1:20" x14ac:dyDescent="0.25">
      <c r="A70">
        <v>9</v>
      </c>
      <c r="B70">
        <v>163</v>
      </c>
      <c r="C70" t="str">
        <f t="shared" si="7"/>
        <v>00</v>
      </c>
      <c r="D70">
        <v>2153</v>
      </c>
      <c r="E70" t="str">
        <f t="shared" si="8"/>
        <v>00</v>
      </c>
      <c r="F70" t="str">
        <f>"142"</f>
        <v>142</v>
      </c>
      <c r="G70">
        <v>9</v>
      </c>
      <c r="H70" t="str">
        <f t="shared" si="9"/>
        <v>00</v>
      </c>
      <c r="I70" t="str">
        <f t="shared" si="10"/>
        <v>0</v>
      </c>
      <c r="J70" t="str">
        <f t="shared" si="11"/>
        <v>00</v>
      </c>
      <c r="K70">
        <v>20180921</v>
      </c>
      <c r="L70" t="str">
        <f>"027097"</f>
        <v>027097</v>
      </c>
      <c r="M70" t="str">
        <f>"00068"</f>
        <v>00068</v>
      </c>
      <c r="N70" t="s">
        <v>20</v>
      </c>
      <c r="O70">
        <v>319.33</v>
      </c>
      <c r="P70">
        <v>20180921</v>
      </c>
      <c r="Q70" t="s">
        <v>25</v>
      </c>
      <c r="R70" t="s">
        <v>26</v>
      </c>
      <c r="S70" t="s">
        <v>23</v>
      </c>
      <c r="T70" t="s">
        <v>27</v>
      </c>
    </row>
    <row r="71" spans="1:20" x14ac:dyDescent="0.25">
      <c r="A71">
        <v>9</v>
      </c>
      <c r="B71">
        <v>163</v>
      </c>
      <c r="C71" t="str">
        <f t="shared" si="7"/>
        <v>00</v>
      </c>
      <c r="D71">
        <v>2153</v>
      </c>
      <c r="E71" t="str">
        <f t="shared" si="8"/>
        <v>00</v>
      </c>
      <c r="F71" t="str">
        <f>"022"</f>
        <v>022</v>
      </c>
      <c r="G71">
        <v>9</v>
      </c>
      <c r="H71" t="str">
        <f t="shared" si="9"/>
        <v>00</v>
      </c>
      <c r="I71" t="str">
        <f t="shared" si="10"/>
        <v>0</v>
      </c>
      <c r="J71" t="str">
        <f t="shared" si="11"/>
        <v>00</v>
      </c>
      <c r="K71">
        <v>20180921</v>
      </c>
      <c r="L71" t="str">
        <f>"027098"</f>
        <v>027098</v>
      </c>
      <c r="M71" t="str">
        <f>"04831"</f>
        <v>04831</v>
      </c>
      <c r="N71" t="s">
        <v>28</v>
      </c>
      <c r="O71">
        <v>16.77</v>
      </c>
      <c r="P71">
        <v>20180921</v>
      </c>
      <c r="Q71" t="s">
        <v>29</v>
      </c>
      <c r="R71" t="s">
        <v>26</v>
      </c>
      <c r="S71" t="s">
        <v>23</v>
      </c>
      <c r="T71" t="s">
        <v>30</v>
      </c>
    </row>
    <row r="72" spans="1:20" x14ac:dyDescent="0.25">
      <c r="A72">
        <v>9</v>
      </c>
      <c r="B72">
        <v>163</v>
      </c>
      <c r="C72" t="str">
        <f t="shared" si="7"/>
        <v>00</v>
      </c>
      <c r="D72">
        <v>2159</v>
      </c>
      <c r="E72" t="str">
        <f t="shared" si="8"/>
        <v>00</v>
      </c>
      <c r="F72" t="str">
        <f>"018"</f>
        <v>018</v>
      </c>
      <c r="G72">
        <v>9</v>
      </c>
      <c r="H72" t="str">
        <f t="shared" si="9"/>
        <v>00</v>
      </c>
      <c r="I72" t="str">
        <f t="shared" si="10"/>
        <v>0</v>
      </c>
      <c r="J72" t="str">
        <f t="shared" si="11"/>
        <v>00</v>
      </c>
      <c r="K72">
        <v>20180921</v>
      </c>
      <c r="L72" t="str">
        <f>"027099"</f>
        <v>027099</v>
      </c>
      <c r="M72" t="str">
        <f>"04905"</f>
        <v>04905</v>
      </c>
      <c r="N72" t="s">
        <v>31</v>
      </c>
      <c r="O72">
        <v>36.700000000000003</v>
      </c>
      <c r="P72">
        <v>20180921</v>
      </c>
      <c r="Q72" t="s">
        <v>32</v>
      </c>
      <c r="R72" t="s">
        <v>33</v>
      </c>
      <c r="S72" t="s">
        <v>23</v>
      </c>
      <c r="T72" t="s">
        <v>34</v>
      </c>
    </row>
    <row r="73" spans="1:20" x14ac:dyDescent="0.25">
      <c r="A73">
        <v>9</v>
      </c>
      <c r="B73">
        <v>163</v>
      </c>
      <c r="C73" t="str">
        <f t="shared" si="7"/>
        <v>00</v>
      </c>
      <c r="D73">
        <v>2153</v>
      </c>
      <c r="E73" t="str">
        <f t="shared" si="8"/>
        <v>00</v>
      </c>
      <c r="F73" t="str">
        <f>"053"</f>
        <v>053</v>
      </c>
      <c r="G73">
        <v>9</v>
      </c>
      <c r="H73" t="str">
        <f t="shared" si="9"/>
        <v>00</v>
      </c>
      <c r="I73" t="str">
        <f t="shared" si="10"/>
        <v>0</v>
      </c>
      <c r="J73" t="str">
        <f t="shared" si="11"/>
        <v>00</v>
      </c>
      <c r="K73">
        <v>20180921</v>
      </c>
      <c r="L73" t="str">
        <f>"027100"</f>
        <v>027100</v>
      </c>
      <c r="M73" t="str">
        <f>"04987"</f>
        <v>04987</v>
      </c>
      <c r="N73" t="s">
        <v>35</v>
      </c>
      <c r="O73">
        <v>34.619999999999997</v>
      </c>
      <c r="P73">
        <v>20180921</v>
      </c>
      <c r="Q73" t="s">
        <v>36</v>
      </c>
      <c r="R73" t="s">
        <v>26</v>
      </c>
      <c r="S73" t="s">
        <v>23</v>
      </c>
      <c r="T73" t="s">
        <v>37</v>
      </c>
    </row>
    <row r="74" spans="1:20" x14ac:dyDescent="0.25">
      <c r="A74">
        <v>9</v>
      </c>
      <c r="B74">
        <v>163</v>
      </c>
      <c r="C74" t="str">
        <f t="shared" si="7"/>
        <v>00</v>
      </c>
      <c r="D74">
        <v>2159</v>
      </c>
      <c r="E74" t="str">
        <f t="shared" si="8"/>
        <v>00</v>
      </c>
      <c r="F74" t="str">
        <f>"009"</f>
        <v>009</v>
      </c>
      <c r="G74">
        <v>9</v>
      </c>
      <c r="H74" t="str">
        <f t="shared" si="9"/>
        <v>00</v>
      </c>
      <c r="I74" t="str">
        <f t="shared" si="10"/>
        <v>0</v>
      </c>
      <c r="J74" t="str">
        <f t="shared" si="11"/>
        <v>00</v>
      </c>
      <c r="K74">
        <v>20180921</v>
      </c>
      <c r="L74" t="str">
        <f>"027101"</f>
        <v>027101</v>
      </c>
      <c r="M74" t="str">
        <f>"07710"</f>
        <v>07710</v>
      </c>
      <c r="N74" t="s">
        <v>38</v>
      </c>
      <c r="O74">
        <v>15</v>
      </c>
      <c r="P74">
        <v>20180921</v>
      </c>
      <c r="Q74" t="s">
        <v>39</v>
      </c>
      <c r="R74" t="s">
        <v>33</v>
      </c>
      <c r="S74" t="s">
        <v>23</v>
      </c>
      <c r="T74" t="s">
        <v>40</v>
      </c>
    </row>
    <row r="75" spans="1:20" x14ac:dyDescent="0.25">
      <c r="A75">
        <v>9</v>
      </c>
      <c r="B75">
        <v>163</v>
      </c>
      <c r="C75" t="str">
        <f t="shared" si="7"/>
        <v>00</v>
      </c>
      <c r="D75">
        <v>2153</v>
      </c>
      <c r="E75" t="str">
        <f t="shared" si="8"/>
        <v>00</v>
      </c>
      <c r="F75" t="str">
        <f>"011"</f>
        <v>011</v>
      </c>
      <c r="G75">
        <v>9</v>
      </c>
      <c r="H75" t="str">
        <f t="shared" si="9"/>
        <v>00</v>
      </c>
      <c r="I75" t="str">
        <f t="shared" si="10"/>
        <v>0</v>
      </c>
      <c r="J75" t="str">
        <f t="shared" si="11"/>
        <v>00</v>
      </c>
      <c r="K75">
        <v>20180921</v>
      </c>
      <c r="L75" t="str">
        <f>"027102"</f>
        <v>027102</v>
      </c>
      <c r="M75" t="str">
        <f>"11211"</f>
        <v>11211</v>
      </c>
      <c r="N75" t="s">
        <v>41</v>
      </c>
      <c r="O75">
        <v>148.22</v>
      </c>
      <c r="P75">
        <v>20180921</v>
      </c>
      <c r="Q75" t="s">
        <v>42</v>
      </c>
      <c r="R75" t="s">
        <v>26</v>
      </c>
      <c r="S75" t="s">
        <v>23</v>
      </c>
      <c r="T75" t="s">
        <v>43</v>
      </c>
    </row>
    <row r="76" spans="1:20" x14ac:dyDescent="0.25">
      <c r="A76">
        <v>9</v>
      </c>
      <c r="B76">
        <v>163</v>
      </c>
      <c r="C76" t="str">
        <f t="shared" si="7"/>
        <v>00</v>
      </c>
      <c r="D76">
        <v>2159</v>
      </c>
      <c r="E76" t="str">
        <f t="shared" si="8"/>
        <v>00</v>
      </c>
      <c r="F76" t="str">
        <f>"104"</f>
        <v>104</v>
      </c>
      <c r="G76">
        <v>9</v>
      </c>
      <c r="H76" t="str">
        <f t="shared" si="9"/>
        <v>00</v>
      </c>
      <c r="I76" t="str">
        <f t="shared" si="10"/>
        <v>0</v>
      </c>
      <c r="J76" t="str">
        <f t="shared" si="11"/>
        <v>00</v>
      </c>
      <c r="K76">
        <v>20180921</v>
      </c>
      <c r="L76" t="str">
        <f>"027103"</f>
        <v>027103</v>
      </c>
      <c r="M76" t="str">
        <f>"14177"</f>
        <v>14177</v>
      </c>
      <c r="N76" t="s">
        <v>44</v>
      </c>
      <c r="O76">
        <v>18.75</v>
      </c>
      <c r="P76">
        <v>20180921</v>
      </c>
      <c r="Q76" t="s">
        <v>45</v>
      </c>
      <c r="R76" t="s">
        <v>33</v>
      </c>
      <c r="S76" t="s">
        <v>23</v>
      </c>
      <c r="T76" t="s">
        <v>46</v>
      </c>
    </row>
    <row r="77" spans="1:20" x14ac:dyDescent="0.25">
      <c r="A77">
        <v>9</v>
      </c>
      <c r="B77">
        <v>163</v>
      </c>
      <c r="C77" t="str">
        <f t="shared" si="7"/>
        <v>00</v>
      </c>
      <c r="D77">
        <v>2153</v>
      </c>
      <c r="E77" t="str">
        <f t="shared" si="8"/>
        <v>00</v>
      </c>
      <c r="F77" t="str">
        <f>"110"</f>
        <v>110</v>
      </c>
      <c r="G77">
        <v>9</v>
      </c>
      <c r="H77" t="str">
        <f t="shared" si="9"/>
        <v>00</v>
      </c>
      <c r="I77" t="str">
        <f t="shared" si="10"/>
        <v>0</v>
      </c>
      <c r="J77" t="str">
        <f t="shared" si="11"/>
        <v>00</v>
      </c>
      <c r="K77">
        <v>20180921</v>
      </c>
      <c r="L77" t="str">
        <f>"027104"</f>
        <v>027104</v>
      </c>
      <c r="M77" t="str">
        <f>"48947"</f>
        <v>48947</v>
      </c>
      <c r="N77" t="s">
        <v>47</v>
      </c>
      <c r="O77">
        <v>33.61</v>
      </c>
      <c r="P77">
        <v>20180921</v>
      </c>
      <c r="Q77" t="s">
        <v>48</v>
      </c>
      <c r="R77" t="s">
        <v>22</v>
      </c>
      <c r="S77" t="s">
        <v>23</v>
      </c>
      <c r="T77" t="s">
        <v>49</v>
      </c>
    </row>
    <row r="78" spans="1:20" x14ac:dyDescent="0.25">
      <c r="A78">
        <v>9</v>
      </c>
      <c r="B78">
        <v>163</v>
      </c>
      <c r="C78" t="str">
        <f t="shared" si="7"/>
        <v>00</v>
      </c>
      <c r="D78">
        <v>2159</v>
      </c>
      <c r="E78" t="str">
        <f t="shared" si="8"/>
        <v>00</v>
      </c>
      <c r="F78" t="str">
        <f>"131"</f>
        <v>131</v>
      </c>
      <c r="G78">
        <v>9</v>
      </c>
      <c r="H78" t="str">
        <f t="shared" si="9"/>
        <v>00</v>
      </c>
      <c r="I78" t="str">
        <f t="shared" si="10"/>
        <v>0</v>
      </c>
      <c r="J78" t="str">
        <f t="shared" si="11"/>
        <v>00</v>
      </c>
      <c r="K78">
        <v>20180921</v>
      </c>
      <c r="L78" t="str">
        <f>"027105"</f>
        <v>027105</v>
      </c>
      <c r="M78" t="str">
        <f>"54196"</f>
        <v>54196</v>
      </c>
      <c r="N78" t="s">
        <v>50</v>
      </c>
      <c r="O78">
        <v>50</v>
      </c>
      <c r="P78">
        <v>20180921</v>
      </c>
      <c r="Q78" t="s">
        <v>51</v>
      </c>
      <c r="R78" t="s">
        <v>52</v>
      </c>
      <c r="S78" t="s">
        <v>23</v>
      </c>
      <c r="T78" t="s">
        <v>53</v>
      </c>
    </row>
    <row r="79" spans="1:20" x14ac:dyDescent="0.25">
      <c r="A79">
        <v>9</v>
      </c>
      <c r="B79">
        <v>163</v>
      </c>
      <c r="C79" t="str">
        <f t="shared" si="7"/>
        <v>00</v>
      </c>
      <c r="D79">
        <v>2159</v>
      </c>
      <c r="E79" t="str">
        <f t="shared" si="8"/>
        <v>00</v>
      </c>
      <c r="F79" t="str">
        <f>"111"</f>
        <v>111</v>
      </c>
      <c r="G79">
        <v>9</v>
      </c>
      <c r="H79" t="str">
        <f t="shared" si="9"/>
        <v>00</v>
      </c>
      <c r="I79" t="str">
        <f t="shared" si="10"/>
        <v>0</v>
      </c>
      <c r="J79" t="str">
        <f t="shared" si="11"/>
        <v>00</v>
      </c>
      <c r="K79">
        <v>20180921</v>
      </c>
      <c r="L79" t="str">
        <f>"027106"</f>
        <v>027106</v>
      </c>
      <c r="M79" t="str">
        <f>"72601"</f>
        <v>72601</v>
      </c>
      <c r="N79" t="s">
        <v>54</v>
      </c>
      <c r="O79">
        <v>423.48</v>
      </c>
      <c r="P79">
        <v>20180921</v>
      </c>
      <c r="Q79" t="s">
        <v>55</v>
      </c>
      <c r="R79" t="s">
        <v>33</v>
      </c>
      <c r="S79" t="s">
        <v>23</v>
      </c>
      <c r="T79" t="s">
        <v>56</v>
      </c>
    </row>
    <row r="80" spans="1:20" x14ac:dyDescent="0.25">
      <c r="A80">
        <v>9</v>
      </c>
      <c r="B80">
        <v>163</v>
      </c>
      <c r="C80" t="str">
        <f t="shared" si="7"/>
        <v>00</v>
      </c>
      <c r="D80">
        <v>2153</v>
      </c>
      <c r="E80" t="str">
        <f t="shared" si="8"/>
        <v>00</v>
      </c>
      <c r="F80" t="str">
        <f>"006"</f>
        <v>006</v>
      </c>
      <c r="G80">
        <v>9</v>
      </c>
      <c r="H80" t="str">
        <f t="shared" si="9"/>
        <v>00</v>
      </c>
      <c r="I80" t="str">
        <f t="shared" si="10"/>
        <v>0</v>
      </c>
      <c r="J80" t="str">
        <f t="shared" si="11"/>
        <v>00</v>
      </c>
      <c r="K80">
        <v>20180921</v>
      </c>
      <c r="L80" t="str">
        <f>"027107"</f>
        <v>027107</v>
      </c>
      <c r="M80" t="str">
        <f>"75452"</f>
        <v>75452</v>
      </c>
      <c r="N80" t="s">
        <v>57</v>
      </c>
      <c r="O80">
        <v>474.29</v>
      </c>
      <c r="P80">
        <v>20180921</v>
      </c>
      <c r="Q80" t="s">
        <v>58</v>
      </c>
      <c r="R80" t="s">
        <v>26</v>
      </c>
      <c r="S80" t="s">
        <v>23</v>
      </c>
      <c r="T80" t="s">
        <v>59</v>
      </c>
    </row>
    <row r="81" spans="1:20" x14ac:dyDescent="0.25">
      <c r="A81">
        <v>9</v>
      </c>
      <c r="B81">
        <v>163</v>
      </c>
      <c r="C81" t="str">
        <f t="shared" si="7"/>
        <v>00</v>
      </c>
      <c r="D81">
        <v>2159</v>
      </c>
      <c r="E81" t="str">
        <f t="shared" si="8"/>
        <v>00</v>
      </c>
      <c r="F81" t="str">
        <f>"106"</f>
        <v>106</v>
      </c>
      <c r="G81">
        <v>9</v>
      </c>
      <c r="H81" t="str">
        <f t="shared" si="9"/>
        <v>00</v>
      </c>
      <c r="I81" t="str">
        <f t="shared" si="10"/>
        <v>0</v>
      </c>
      <c r="J81" t="str">
        <f t="shared" si="11"/>
        <v>00</v>
      </c>
      <c r="K81">
        <v>20180921</v>
      </c>
      <c r="L81" t="str">
        <f>"027108"</f>
        <v>027108</v>
      </c>
      <c r="M81" t="str">
        <f>"81173"</f>
        <v>81173</v>
      </c>
      <c r="N81" t="s">
        <v>60</v>
      </c>
      <c r="O81">
        <v>93.26</v>
      </c>
      <c r="P81">
        <v>20180921</v>
      </c>
      <c r="Q81" t="s">
        <v>61</v>
      </c>
      <c r="R81" t="s">
        <v>33</v>
      </c>
      <c r="S81" t="s">
        <v>23</v>
      </c>
      <c r="T81" t="s">
        <v>62</v>
      </c>
    </row>
    <row r="82" spans="1:20" x14ac:dyDescent="0.25">
      <c r="A82">
        <v>9</v>
      </c>
      <c r="B82">
        <v>163</v>
      </c>
      <c r="C82" t="str">
        <f t="shared" si="7"/>
        <v>00</v>
      </c>
      <c r="D82">
        <v>2159</v>
      </c>
      <c r="E82" t="str">
        <f t="shared" si="8"/>
        <v>00</v>
      </c>
      <c r="F82" t="str">
        <f>"007"</f>
        <v>007</v>
      </c>
      <c r="G82">
        <v>9</v>
      </c>
      <c r="H82" t="str">
        <f t="shared" si="9"/>
        <v>00</v>
      </c>
      <c r="I82" t="str">
        <f t="shared" si="10"/>
        <v>0</v>
      </c>
      <c r="J82" t="str">
        <f t="shared" si="11"/>
        <v>00</v>
      </c>
      <c r="K82">
        <v>20180921</v>
      </c>
      <c r="L82" t="str">
        <f>"027109"</f>
        <v>027109</v>
      </c>
      <c r="M82" t="str">
        <f>"81174"</f>
        <v>81174</v>
      </c>
      <c r="N82" t="s">
        <v>63</v>
      </c>
      <c r="O82">
        <v>39.51</v>
      </c>
      <c r="P82">
        <v>20180921</v>
      </c>
      <c r="Q82" t="s">
        <v>64</v>
      </c>
      <c r="R82" t="s">
        <v>33</v>
      </c>
      <c r="S82" t="s">
        <v>23</v>
      </c>
      <c r="T82" t="s">
        <v>65</v>
      </c>
    </row>
    <row r="83" spans="1:20" x14ac:dyDescent="0.25">
      <c r="A83">
        <v>9</v>
      </c>
      <c r="B83">
        <v>163</v>
      </c>
      <c r="C83" t="str">
        <f t="shared" si="7"/>
        <v>00</v>
      </c>
      <c r="D83">
        <v>2159</v>
      </c>
      <c r="E83" t="str">
        <f t="shared" si="8"/>
        <v>00</v>
      </c>
      <c r="F83" t="str">
        <f>"100"</f>
        <v>100</v>
      </c>
      <c r="G83">
        <v>9</v>
      </c>
      <c r="H83" t="str">
        <f t="shared" si="9"/>
        <v>00</v>
      </c>
      <c r="I83" t="str">
        <f t="shared" si="10"/>
        <v>0</v>
      </c>
      <c r="J83" t="str">
        <f t="shared" si="11"/>
        <v>00</v>
      </c>
      <c r="K83">
        <v>20180921</v>
      </c>
      <c r="L83" t="str">
        <f>"027110"</f>
        <v>027110</v>
      </c>
      <c r="M83" t="str">
        <f>"81177"</f>
        <v>81177</v>
      </c>
      <c r="N83" t="s">
        <v>66</v>
      </c>
      <c r="O83">
        <v>32</v>
      </c>
      <c r="P83">
        <v>20180921</v>
      </c>
      <c r="Q83" t="s">
        <v>67</v>
      </c>
      <c r="R83" t="s">
        <v>33</v>
      </c>
      <c r="S83" t="s">
        <v>23</v>
      </c>
      <c r="T83" t="s">
        <v>68</v>
      </c>
    </row>
    <row r="84" spans="1:20" x14ac:dyDescent="0.25">
      <c r="A84">
        <v>9</v>
      </c>
      <c r="B84">
        <v>163</v>
      </c>
      <c r="C84" t="str">
        <f t="shared" si="7"/>
        <v>00</v>
      </c>
      <c r="D84">
        <v>2159</v>
      </c>
      <c r="E84" t="str">
        <f t="shared" si="8"/>
        <v>00</v>
      </c>
      <c r="F84" t="str">
        <f>"129"</f>
        <v>129</v>
      </c>
      <c r="G84">
        <v>9</v>
      </c>
      <c r="H84" t="str">
        <f t="shared" si="9"/>
        <v>00</v>
      </c>
      <c r="I84" t="str">
        <f t="shared" si="10"/>
        <v>0</v>
      </c>
      <c r="J84" t="str">
        <f t="shared" si="11"/>
        <v>00</v>
      </c>
      <c r="K84">
        <v>20180921</v>
      </c>
      <c r="L84" t="str">
        <f>"027111"</f>
        <v>027111</v>
      </c>
      <c r="M84" t="str">
        <f>"82168"</f>
        <v>82168</v>
      </c>
      <c r="N84" t="s">
        <v>69</v>
      </c>
      <c r="O84">
        <v>3.75</v>
      </c>
      <c r="P84">
        <v>20180921</v>
      </c>
      <c r="Q84" t="s">
        <v>70</v>
      </c>
      <c r="R84" t="s">
        <v>33</v>
      </c>
      <c r="S84" t="s">
        <v>23</v>
      </c>
      <c r="T84" t="s">
        <v>71</v>
      </c>
    </row>
    <row r="85" spans="1:20" x14ac:dyDescent="0.25">
      <c r="A85">
        <v>9</v>
      </c>
      <c r="B85">
        <v>163</v>
      </c>
      <c r="C85" t="str">
        <f t="shared" si="7"/>
        <v>00</v>
      </c>
      <c r="D85">
        <v>2153</v>
      </c>
      <c r="E85" t="str">
        <f t="shared" si="8"/>
        <v>00</v>
      </c>
      <c r="F85" t="str">
        <f>"006"</f>
        <v>006</v>
      </c>
      <c r="G85">
        <v>9</v>
      </c>
      <c r="H85" t="str">
        <f t="shared" si="9"/>
        <v>00</v>
      </c>
      <c r="I85" t="str">
        <f t="shared" si="10"/>
        <v>0</v>
      </c>
      <c r="J85" t="str">
        <f t="shared" si="11"/>
        <v>00</v>
      </c>
      <c r="K85">
        <v>20181002</v>
      </c>
      <c r="L85" t="str">
        <f>"027112"</f>
        <v>027112</v>
      </c>
      <c r="M85" t="str">
        <f>"75452"</f>
        <v>75452</v>
      </c>
      <c r="N85" t="s">
        <v>57</v>
      </c>
      <c r="O85" s="1">
        <v>8828.61</v>
      </c>
      <c r="P85">
        <v>20181002</v>
      </c>
      <c r="Q85" t="s">
        <v>58</v>
      </c>
      <c r="R85" t="s">
        <v>156</v>
      </c>
      <c r="S85" t="s">
        <v>23</v>
      </c>
      <c r="T85" t="s">
        <v>59</v>
      </c>
    </row>
    <row r="86" spans="1:20" x14ac:dyDescent="0.25">
      <c r="A86">
        <v>9</v>
      </c>
      <c r="B86">
        <v>163</v>
      </c>
      <c r="C86" t="str">
        <f t="shared" si="7"/>
        <v>00</v>
      </c>
      <c r="D86">
        <v>2153</v>
      </c>
      <c r="E86" t="str">
        <f t="shared" si="8"/>
        <v>00</v>
      </c>
      <c r="F86" t="str">
        <f>"141"</f>
        <v>141</v>
      </c>
      <c r="G86">
        <v>9</v>
      </c>
      <c r="H86" t="str">
        <f t="shared" si="9"/>
        <v>00</v>
      </c>
      <c r="I86" t="str">
        <f t="shared" si="10"/>
        <v>0</v>
      </c>
      <c r="J86" t="str">
        <f t="shared" si="11"/>
        <v>00</v>
      </c>
      <c r="K86">
        <v>20181005</v>
      </c>
      <c r="L86" t="str">
        <f>"027124"</f>
        <v>027124</v>
      </c>
      <c r="M86" t="str">
        <f>"00068"</f>
        <v>00068</v>
      </c>
      <c r="N86" t="s">
        <v>20</v>
      </c>
      <c r="O86">
        <v>437.79</v>
      </c>
      <c r="P86">
        <v>20181005</v>
      </c>
      <c r="Q86" t="s">
        <v>21</v>
      </c>
      <c r="R86" t="s">
        <v>157</v>
      </c>
      <c r="S86" t="s">
        <v>23</v>
      </c>
      <c r="T86" t="s">
        <v>24</v>
      </c>
    </row>
    <row r="87" spans="1:20" x14ac:dyDescent="0.25">
      <c r="A87">
        <v>9</v>
      </c>
      <c r="B87">
        <v>163</v>
      </c>
      <c r="C87" t="str">
        <f t="shared" si="7"/>
        <v>00</v>
      </c>
      <c r="D87">
        <v>2153</v>
      </c>
      <c r="E87" t="str">
        <f t="shared" si="8"/>
        <v>00</v>
      </c>
      <c r="F87" t="str">
        <f>"142"</f>
        <v>142</v>
      </c>
      <c r="G87">
        <v>9</v>
      </c>
      <c r="H87" t="str">
        <f t="shared" si="9"/>
        <v>00</v>
      </c>
      <c r="I87" t="str">
        <f t="shared" si="10"/>
        <v>0</v>
      </c>
      <c r="J87" t="str">
        <f t="shared" si="11"/>
        <v>00</v>
      </c>
      <c r="K87">
        <v>20181005</v>
      </c>
      <c r="L87" t="str">
        <f>"027124"</f>
        <v>027124</v>
      </c>
      <c r="M87" t="str">
        <f>"00068"</f>
        <v>00068</v>
      </c>
      <c r="N87" t="s">
        <v>20</v>
      </c>
      <c r="O87">
        <v>374.38</v>
      </c>
      <c r="P87">
        <v>20181005</v>
      </c>
      <c r="Q87" t="s">
        <v>25</v>
      </c>
      <c r="R87" t="s">
        <v>158</v>
      </c>
      <c r="S87" t="s">
        <v>23</v>
      </c>
      <c r="T87" t="s">
        <v>27</v>
      </c>
    </row>
    <row r="88" spans="1:20" x14ac:dyDescent="0.25">
      <c r="A88">
        <v>9</v>
      </c>
      <c r="B88">
        <v>163</v>
      </c>
      <c r="C88" t="str">
        <f t="shared" si="7"/>
        <v>00</v>
      </c>
      <c r="D88">
        <v>2159</v>
      </c>
      <c r="E88" t="str">
        <f t="shared" si="8"/>
        <v>00</v>
      </c>
      <c r="F88" t="str">
        <f>"148"</f>
        <v>148</v>
      </c>
      <c r="G88">
        <v>9</v>
      </c>
      <c r="H88" t="str">
        <f t="shared" si="9"/>
        <v>00</v>
      </c>
      <c r="I88" t="str">
        <f t="shared" si="10"/>
        <v>0</v>
      </c>
      <c r="J88" t="str">
        <f t="shared" si="11"/>
        <v>00</v>
      </c>
      <c r="K88">
        <v>20181005</v>
      </c>
      <c r="L88" t="str">
        <f>"027125"</f>
        <v>027125</v>
      </c>
      <c r="M88" t="str">
        <f>"00528"</f>
        <v>00528</v>
      </c>
      <c r="N88" t="s">
        <v>159</v>
      </c>
      <c r="O88">
        <v>22.5</v>
      </c>
      <c r="P88">
        <v>20181005</v>
      </c>
      <c r="Q88" t="s">
        <v>160</v>
      </c>
      <c r="R88" t="s">
        <v>161</v>
      </c>
      <c r="S88" t="s">
        <v>23</v>
      </c>
      <c r="T88" t="s">
        <v>162</v>
      </c>
    </row>
    <row r="89" spans="1:20" x14ac:dyDescent="0.25">
      <c r="A89">
        <v>9</v>
      </c>
      <c r="B89">
        <v>163</v>
      </c>
      <c r="C89" t="str">
        <f t="shared" si="7"/>
        <v>00</v>
      </c>
      <c r="D89">
        <v>2153</v>
      </c>
      <c r="E89" t="str">
        <f t="shared" si="8"/>
        <v>00</v>
      </c>
      <c r="F89" t="str">
        <f>"022"</f>
        <v>022</v>
      </c>
      <c r="G89">
        <v>9</v>
      </c>
      <c r="H89" t="str">
        <f t="shared" si="9"/>
        <v>00</v>
      </c>
      <c r="I89" t="str">
        <f t="shared" si="10"/>
        <v>0</v>
      </c>
      <c r="J89" t="str">
        <f t="shared" si="11"/>
        <v>00</v>
      </c>
      <c r="K89">
        <v>20181005</v>
      </c>
      <c r="L89" t="str">
        <f>"027126"</f>
        <v>027126</v>
      </c>
      <c r="M89" t="str">
        <f>"04831"</f>
        <v>04831</v>
      </c>
      <c r="N89" t="s">
        <v>28</v>
      </c>
      <c r="O89">
        <v>16.77</v>
      </c>
      <c r="P89">
        <v>20181005</v>
      </c>
      <c r="Q89" t="s">
        <v>29</v>
      </c>
      <c r="R89" t="s">
        <v>158</v>
      </c>
      <c r="S89" t="s">
        <v>23</v>
      </c>
      <c r="T89" t="s">
        <v>30</v>
      </c>
    </row>
    <row r="90" spans="1:20" x14ac:dyDescent="0.25">
      <c r="A90">
        <v>9</v>
      </c>
      <c r="B90">
        <v>163</v>
      </c>
      <c r="C90" t="str">
        <f t="shared" si="7"/>
        <v>00</v>
      </c>
      <c r="D90">
        <v>2159</v>
      </c>
      <c r="E90" t="str">
        <f t="shared" si="8"/>
        <v>00</v>
      </c>
      <c r="F90" t="str">
        <f>"018"</f>
        <v>018</v>
      </c>
      <c r="G90">
        <v>9</v>
      </c>
      <c r="H90" t="str">
        <f t="shared" si="9"/>
        <v>00</v>
      </c>
      <c r="I90" t="str">
        <f t="shared" si="10"/>
        <v>0</v>
      </c>
      <c r="J90" t="str">
        <f t="shared" si="11"/>
        <v>00</v>
      </c>
      <c r="K90">
        <v>20181005</v>
      </c>
      <c r="L90" t="str">
        <f>"027127"</f>
        <v>027127</v>
      </c>
      <c r="M90" t="str">
        <f>"04905"</f>
        <v>04905</v>
      </c>
      <c r="N90" t="s">
        <v>31</v>
      </c>
      <c r="O90">
        <v>36.700000000000003</v>
      </c>
      <c r="P90">
        <v>20181005</v>
      </c>
      <c r="Q90" t="s">
        <v>32</v>
      </c>
      <c r="R90" t="s">
        <v>161</v>
      </c>
      <c r="S90" t="s">
        <v>23</v>
      </c>
      <c r="T90" t="s">
        <v>34</v>
      </c>
    </row>
    <row r="91" spans="1:20" x14ac:dyDescent="0.25">
      <c r="A91">
        <v>9</v>
      </c>
      <c r="B91">
        <v>163</v>
      </c>
      <c r="C91" t="str">
        <f t="shared" si="7"/>
        <v>00</v>
      </c>
      <c r="D91">
        <v>2159</v>
      </c>
      <c r="E91" t="str">
        <f t="shared" si="8"/>
        <v>00</v>
      </c>
      <c r="F91" t="str">
        <f>"009"</f>
        <v>009</v>
      </c>
      <c r="G91">
        <v>9</v>
      </c>
      <c r="H91" t="str">
        <f t="shared" si="9"/>
        <v>00</v>
      </c>
      <c r="I91" t="str">
        <f t="shared" si="10"/>
        <v>0</v>
      </c>
      <c r="J91" t="str">
        <f t="shared" si="11"/>
        <v>00</v>
      </c>
      <c r="K91">
        <v>20181005</v>
      </c>
      <c r="L91" t="str">
        <f>"027128"</f>
        <v>027128</v>
      </c>
      <c r="M91" t="str">
        <f>"07710"</f>
        <v>07710</v>
      </c>
      <c r="N91" t="s">
        <v>38</v>
      </c>
      <c r="O91">
        <v>15</v>
      </c>
      <c r="P91">
        <v>20181005</v>
      </c>
      <c r="Q91" t="s">
        <v>39</v>
      </c>
      <c r="R91" t="s">
        <v>161</v>
      </c>
      <c r="S91" t="s">
        <v>23</v>
      </c>
      <c r="T91" t="s">
        <v>40</v>
      </c>
    </row>
    <row r="92" spans="1:20" x14ac:dyDescent="0.25">
      <c r="A92">
        <v>9</v>
      </c>
      <c r="B92">
        <v>163</v>
      </c>
      <c r="C92" t="str">
        <f t="shared" si="7"/>
        <v>00</v>
      </c>
      <c r="D92">
        <v>2153</v>
      </c>
      <c r="E92" t="str">
        <f t="shared" si="8"/>
        <v>00</v>
      </c>
      <c r="F92" t="str">
        <f>"011"</f>
        <v>011</v>
      </c>
      <c r="G92">
        <v>9</v>
      </c>
      <c r="H92" t="str">
        <f t="shared" si="9"/>
        <v>00</v>
      </c>
      <c r="I92" t="str">
        <f t="shared" si="10"/>
        <v>0</v>
      </c>
      <c r="J92" t="str">
        <f t="shared" si="11"/>
        <v>00</v>
      </c>
      <c r="K92">
        <v>20181005</v>
      </c>
      <c r="L92" t="str">
        <f>"027129"</f>
        <v>027129</v>
      </c>
      <c r="M92" t="str">
        <f>"11211"</f>
        <v>11211</v>
      </c>
      <c r="N92" t="s">
        <v>41</v>
      </c>
      <c r="O92">
        <v>169.58</v>
      </c>
      <c r="P92">
        <v>20181005</v>
      </c>
      <c r="Q92" t="s">
        <v>42</v>
      </c>
      <c r="R92" t="s">
        <v>158</v>
      </c>
      <c r="S92" t="s">
        <v>23</v>
      </c>
      <c r="T92" t="s">
        <v>43</v>
      </c>
    </row>
    <row r="93" spans="1:20" x14ac:dyDescent="0.25">
      <c r="A93">
        <v>9</v>
      </c>
      <c r="B93">
        <v>163</v>
      </c>
      <c r="C93" t="str">
        <f t="shared" si="7"/>
        <v>00</v>
      </c>
      <c r="D93">
        <v>2159</v>
      </c>
      <c r="E93" t="str">
        <f t="shared" si="8"/>
        <v>00</v>
      </c>
      <c r="F93" t="str">
        <f>"104"</f>
        <v>104</v>
      </c>
      <c r="G93">
        <v>9</v>
      </c>
      <c r="H93" t="str">
        <f t="shared" si="9"/>
        <v>00</v>
      </c>
      <c r="I93" t="str">
        <f t="shared" si="10"/>
        <v>0</v>
      </c>
      <c r="J93" t="str">
        <f t="shared" si="11"/>
        <v>00</v>
      </c>
      <c r="K93">
        <v>20181005</v>
      </c>
      <c r="L93" t="str">
        <f>"027130"</f>
        <v>027130</v>
      </c>
      <c r="M93" t="str">
        <f>"14177"</f>
        <v>14177</v>
      </c>
      <c r="N93" t="s">
        <v>163</v>
      </c>
      <c r="O93">
        <v>42</v>
      </c>
      <c r="P93">
        <v>20181005</v>
      </c>
      <c r="Q93" t="s">
        <v>45</v>
      </c>
      <c r="R93" t="s">
        <v>161</v>
      </c>
      <c r="S93" t="s">
        <v>23</v>
      </c>
      <c r="T93" t="s">
        <v>46</v>
      </c>
    </row>
    <row r="94" spans="1:20" x14ac:dyDescent="0.25">
      <c r="A94">
        <v>9</v>
      </c>
      <c r="B94">
        <v>163</v>
      </c>
      <c r="C94" t="str">
        <f t="shared" si="7"/>
        <v>00</v>
      </c>
      <c r="D94">
        <v>2153</v>
      </c>
      <c r="E94" t="str">
        <f t="shared" si="8"/>
        <v>00</v>
      </c>
      <c r="F94" t="str">
        <f>"110"</f>
        <v>110</v>
      </c>
      <c r="G94">
        <v>9</v>
      </c>
      <c r="H94" t="str">
        <f t="shared" si="9"/>
        <v>00</v>
      </c>
      <c r="I94" t="str">
        <f t="shared" si="10"/>
        <v>0</v>
      </c>
      <c r="J94" t="str">
        <f t="shared" si="11"/>
        <v>00</v>
      </c>
      <c r="K94">
        <v>20181005</v>
      </c>
      <c r="L94" t="str">
        <f>"027131"</f>
        <v>027131</v>
      </c>
      <c r="M94" t="str">
        <f>"48947"</f>
        <v>48947</v>
      </c>
      <c r="N94" t="s">
        <v>47</v>
      </c>
      <c r="O94">
        <v>34.78</v>
      </c>
      <c r="P94">
        <v>20181005</v>
      </c>
      <c r="Q94" t="s">
        <v>48</v>
      </c>
      <c r="R94" t="s">
        <v>157</v>
      </c>
      <c r="S94" t="s">
        <v>23</v>
      </c>
      <c r="T94" t="s">
        <v>49</v>
      </c>
    </row>
    <row r="95" spans="1:20" x14ac:dyDescent="0.25">
      <c r="A95">
        <v>9</v>
      </c>
      <c r="B95">
        <v>163</v>
      </c>
      <c r="C95" t="str">
        <f t="shared" si="7"/>
        <v>00</v>
      </c>
      <c r="D95">
        <v>2159</v>
      </c>
      <c r="E95" t="str">
        <f t="shared" si="8"/>
        <v>00</v>
      </c>
      <c r="F95" t="str">
        <f>"131"</f>
        <v>131</v>
      </c>
      <c r="G95">
        <v>9</v>
      </c>
      <c r="H95" t="str">
        <f t="shared" si="9"/>
        <v>00</v>
      </c>
      <c r="I95" t="str">
        <f t="shared" si="10"/>
        <v>0</v>
      </c>
      <c r="J95" t="str">
        <f t="shared" si="11"/>
        <v>00</v>
      </c>
      <c r="K95">
        <v>20181005</v>
      </c>
      <c r="L95" t="str">
        <f>"027132"</f>
        <v>027132</v>
      </c>
      <c r="M95" t="str">
        <f>"54196"</f>
        <v>54196</v>
      </c>
      <c r="N95" t="s">
        <v>50</v>
      </c>
      <c r="O95">
        <v>50</v>
      </c>
      <c r="P95">
        <v>20181005</v>
      </c>
      <c r="Q95" t="s">
        <v>51</v>
      </c>
      <c r="R95" t="s">
        <v>164</v>
      </c>
      <c r="S95" t="s">
        <v>23</v>
      </c>
      <c r="T95" t="s">
        <v>53</v>
      </c>
    </row>
    <row r="96" spans="1:20" x14ac:dyDescent="0.25">
      <c r="A96">
        <v>9</v>
      </c>
      <c r="B96">
        <v>163</v>
      </c>
      <c r="C96" t="str">
        <f t="shared" si="7"/>
        <v>00</v>
      </c>
      <c r="D96">
        <v>2159</v>
      </c>
      <c r="E96" t="str">
        <f t="shared" si="8"/>
        <v>00</v>
      </c>
      <c r="F96" t="str">
        <f>"111"</f>
        <v>111</v>
      </c>
      <c r="G96">
        <v>9</v>
      </c>
      <c r="H96" t="str">
        <f t="shared" si="9"/>
        <v>00</v>
      </c>
      <c r="I96" t="str">
        <f t="shared" si="10"/>
        <v>0</v>
      </c>
      <c r="J96" t="str">
        <f t="shared" si="11"/>
        <v>00</v>
      </c>
      <c r="K96">
        <v>20181005</v>
      </c>
      <c r="L96" t="str">
        <f>"027133"</f>
        <v>027133</v>
      </c>
      <c r="M96" t="str">
        <f>"72601"</f>
        <v>72601</v>
      </c>
      <c r="N96" t="s">
        <v>54</v>
      </c>
      <c r="O96">
        <v>455.4</v>
      </c>
      <c r="P96">
        <v>20181005</v>
      </c>
      <c r="Q96" t="s">
        <v>55</v>
      </c>
      <c r="R96" t="s">
        <v>161</v>
      </c>
      <c r="S96" t="s">
        <v>23</v>
      </c>
      <c r="T96" t="s">
        <v>56</v>
      </c>
    </row>
    <row r="97" spans="1:20" x14ac:dyDescent="0.25">
      <c r="A97">
        <v>9</v>
      </c>
      <c r="B97">
        <v>163</v>
      </c>
      <c r="C97" t="str">
        <f t="shared" si="7"/>
        <v>00</v>
      </c>
      <c r="D97">
        <v>2153</v>
      </c>
      <c r="E97" t="str">
        <f t="shared" si="8"/>
        <v>00</v>
      </c>
      <c r="F97" t="str">
        <f>"006"</f>
        <v>006</v>
      </c>
      <c r="G97">
        <v>9</v>
      </c>
      <c r="H97" t="str">
        <f t="shared" si="9"/>
        <v>00</v>
      </c>
      <c r="I97" t="str">
        <f t="shared" si="10"/>
        <v>0</v>
      </c>
      <c r="J97" t="str">
        <f t="shared" si="11"/>
        <v>00</v>
      </c>
      <c r="K97">
        <v>20181005</v>
      </c>
      <c r="L97" t="str">
        <f>"027134"</f>
        <v>027134</v>
      </c>
      <c r="M97" t="str">
        <f>"75452"</f>
        <v>75452</v>
      </c>
      <c r="N97" t="s">
        <v>57</v>
      </c>
      <c r="O97">
        <v>523.44000000000005</v>
      </c>
      <c r="P97">
        <v>20181005</v>
      </c>
      <c r="Q97" t="s">
        <v>58</v>
      </c>
      <c r="R97" t="s">
        <v>158</v>
      </c>
      <c r="S97" t="s">
        <v>23</v>
      </c>
      <c r="T97" t="s">
        <v>59</v>
      </c>
    </row>
    <row r="98" spans="1:20" x14ac:dyDescent="0.25">
      <c r="A98">
        <v>9</v>
      </c>
      <c r="B98">
        <v>163</v>
      </c>
      <c r="C98" t="str">
        <f t="shared" si="7"/>
        <v>00</v>
      </c>
      <c r="D98">
        <v>2159</v>
      </c>
      <c r="E98" t="str">
        <f t="shared" si="8"/>
        <v>00</v>
      </c>
      <c r="F98" t="str">
        <f>"106"</f>
        <v>106</v>
      </c>
      <c r="G98">
        <v>9</v>
      </c>
      <c r="H98" t="str">
        <f t="shared" si="9"/>
        <v>00</v>
      </c>
      <c r="I98" t="str">
        <f t="shared" si="10"/>
        <v>0</v>
      </c>
      <c r="J98" t="str">
        <f t="shared" si="11"/>
        <v>00</v>
      </c>
      <c r="K98">
        <v>20181005</v>
      </c>
      <c r="L98" t="str">
        <f>"027135"</f>
        <v>027135</v>
      </c>
      <c r="M98" t="str">
        <f>"81173"</f>
        <v>81173</v>
      </c>
      <c r="N98" t="s">
        <v>60</v>
      </c>
      <c r="O98">
        <v>93.14</v>
      </c>
      <c r="P98">
        <v>20181005</v>
      </c>
      <c r="Q98" t="s">
        <v>61</v>
      </c>
      <c r="R98" t="s">
        <v>161</v>
      </c>
      <c r="S98" t="s">
        <v>23</v>
      </c>
      <c r="T98" t="s">
        <v>62</v>
      </c>
    </row>
    <row r="99" spans="1:20" x14ac:dyDescent="0.25">
      <c r="A99">
        <v>9</v>
      </c>
      <c r="B99">
        <v>163</v>
      </c>
      <c r="C99" t="str">
        <f t="shared" si="7"/>
        <v>00</v>
      </c>
      <c r="D99">
        <v>2159</v>
      </c>
      <c r="E99" t="str">
        <f t="shared" si="8"/>
        <v>00</v>
      </c>
      <c r="F99" t="str">
        <f>"007"</f>
        <v>007</v>
      </c>
      <c r="G99">
        <v>9</v>
      </c>
      <c r="H99" t="str">
        <f t="shared" si="9"/>
        <v>00</v>
      </c>
      <c r="I99" t="str">
        <f t="shared" si="10"/>
        <v>0</v>
      </c>
      <c r="J99" t="str">
        <f t="shared" si="11"/>
        <v>00</v>
      </c>
      <c r="K99">
        <v>20181005</v>
      </c>
      <c r="L99" t="str">
        <f>"027136"</f>
        <v>027136</v>
      </c>
      <c r="M99" t="str">
        <f>"81174"</f>
        <v>81174</v>
      </c>
      <c r="N99" t="s">
        <v>63</v>
      </c>
      <c r="O99">
        <v>27.89</v>
      </c>
      <c r="P99">
        <v>20181005</v>
      </c>
      <c r="Q99" t="s">
        <v>64</v>
      </c>
      <c r="R99" t="s">
        <v>161</v>
      </c>
      <c r="S99" t="s">
        <v>23</v>
      </c>
      <c r="T99" t="s">
        <v>65</v>
      </c>
    </row>
    <row r="100" spans="1:20" x14ac:dyDescent="0.25">
      <c r="A100">
        <v>9</v>
      </c>
      <c r="B100">
        <v>163</v>
      </c>
      <c r="C100" t="str">
        <f t="shared" si="7"/>
        <v>00</v>
      </c>
      <c r="D100">
        <v>2159</v>
      </c>
      <c r="E100" t="str">
        <f t="shared" si="8"/>
        <v>00</v>
      </c>
      <c r="F100" t="str">
        <f>"100"</f>
        <v>100</v>
      </c>
      <c r="G100">
        <v>9</v>
      </c>
      <c r="H100" t="str">
        <f t="shared" si="9"/>
        <v>00</v>
      </c>
      <c r="I100" t="str">
        <f t="shared" si="10"/>
        <v>0</v>
      </c>
      <c r="J100" t="str">
        <f t="shared" si="11"/>
        <v>00</v>
      </c>
      <c r="K100">
        <v>20181005</v>
      </c>
      <c r="L100" t="str">
        <f>"027137"</f>
        <v>027137</v>
      </c>
      <c r="M100" t="str">
        <f>"81177"</f>
        <v>81177</v>
      </c>
      <c r="N100" t="s">
        <v>66</v>
      </c>
      <c r="O100">
        <v>32</v>
      </c>
      <c r="P100">
        <v>20181005</v>
      </c>
      <c r="Q100" t="s">
        <v>67</v>
      </c>
      <c r="R100" t="s">
        <v>161</v>
      </c>
      <c r="S100" t="s">
        <v>23</v>
      </c>
      <c r="T100" t="s">
        <v>68</v>
      </c>
    </row>
    <row r="101" spans="1:20" x14ac:dyDescent="0.25">
      <c r="A101">
        <v>9</v>
      </c>
      <c r="B101">
        <v>163</v>
      </c>
      <c r="C101" t="str">
        <f t="shared" si="7"/>
        <v>00</v>
      </c>
      <c r="D101">
        <v>2153</v>
      </c>
      <c r="E101" t="str">
        <f t="shared" si="8"/>
        <v>00</v>
      </c>
      <c r="F101" t="str">
        <f>"141"</f>
        <v>141</v>
      </c>
      <c r="G101">
        <v>9</v>
      </c>
      <c r="H101" t="str">
        <f t="shared" si="9"/>
        <v>00</v>
      </c>
      <c r="I101" t="str">
        <f t="shared" si="10"/>
        <v>0</v>
      </c>
      <c r="J101" t="str">
        <f t="shared" si="11"/>
        <v>00</v>
      </c>
      <c r="K101">
        <v>20181015</v>
      </c>
      <c r="L101" t="str">
        <f>"027161"</f>
        <v>027161</v>
      </c>
      <c r="M101" t="str">
        <f>"00068"</f>
        <v>00068</v>
      </c>
      <c r="N101" t="s">
        <v>20</v>
      </c>
      <c r="O101" s="1">
        <v>5257.23</v>
      </c>
      <c r="P101">
        <v>20181015</v>
      </c>
      <c r="Q101" t="s">
        <v>21</v>
      </c>
      <c r="R101" t="s">
        <v>157</v>
      </c>
      <c r="S101" t="s">
        <v>23</v>
      </c>
      <c r="T101" t="s">
        <v>24</v>
      </c>
    </row>
    <row r="102" spans="1:20" x14ac:dyDescent="0.25">
      <c r="A102">
        <v>9</v>
      </c>
      <c r="B102">
        <v>163</v>
      </c>
      <c r="C102" t="str">
        <f t="shared" si="7"/>
        <v>00</v>
      </c>
      <c r="D102">
        <v>2153</v>
      </c>
      <c r="E102" t="str">
        <f t="shared" si="8"/>
        <v>00</v>
      </c>
      <c r="F102" t="str">
        <f>"142"</f>
        <v>142</v>
      </c>
      <c r="G102">
        <v>9</v>
      </c>
      <c r="H102" t="str">
        <f t="shared" si="9"/>
        <v>00</v>
      </c>
      <c r="I102" t="str">
        <f t="shared" si="10"/>
        <v>0</v>
      </c>
      <c r="J102" t="str">
        <f t="shared" si="11"/>
        <v>00</v>
      </c>
      <c r="K102">
        <v>20181015</v>
      </c>
      <c r="L102" t="str">
        <f>"027161"</f>
        <v>027161</v>
      </c>
      <c r="M102" t="str">
        <f>"00068"</f>
        <v>00068</v>
      </c>
      <c r="N102" t="s">
        <v>20</v>
      </c>
      <c r="O102" s="1">
        <v>9692.4599999999991</v>
      </c>
      <c r="P102">
        <v>20181015</v>
      </c>
      <c r="Q102" t="s">
        <v>25</v>
      </c>
      <c r="R102" t="s">
        <v>158</v>
      </c>
      <c r="S102" t="s">
        <v>23</v>
      </c>
      <c r="T102" t="s">
        <v>27</v>
      </c>
    </row>
    <row r="103" spans="1:20" x14ac:dyDescent="0.25">
      <c r="A103">
        <v>9</v>
      </c>
      <c r="B103">
        <v>163</v>
      </c>
      <c r="C103" t="str">
        <f t="shared" si="7"/>
        <v>00</v>
      </c>
      <c r="D103">
        <v>2159</v>
      </c>
      <c r="E103" t="str">
        <f t="shared" si="8"/>
        <v>00</v>
      </c>
      <c r="F103" t="str">
        <f>"143"</f>
        <v>143</v>
      </c>
      <c r="G103">
        <v>9</v>
      </c>
      <c r="H103" t="str">
        <f t="shared" si="9"/>
        <v>00</v>
      </c>
      <c r="I103" t="str">
        <f t="shared" si="10"/>
        <v>0</v>
      </c>
      <c r="J103" t="str">
        <f t="shared" si="11"/>
        <v>00</v>
      </c>
      <c r="K103">
        <v>20181015</v>
      </c>
      <c r="L103" t="str">
        <f>"027162"</f>
        <v>027162</v>
      </c>
      <c r="M103" t="str">
        <f>"00069"</f>
        <v>00069</v>
      </c>
      <c r="N103" t="s">
        <v>72</v>
      </c>
      <c r="O103">
        <v>282.92</v>
      </c>
      <c r="P103">
        <v>20181015</v>
      </c>
      <c r="Q103" t="s">
        <v>73</v>
      </c>
      <c r="R103" t="s">
        <v>161</v>
      </c>
      <c r="S103" t="s">
        <v>23</v>
      </c>
      <c r="T103" t="s">
        <v>74</v>
      </c>
    </row>
    <row r="104" spans="1:20" x14ac:dyDescent="0.25">
      <c r="A104">
        <v>9</v>
      </c>
      <c r="B104">
        <v>163</v>
      </c>
      <c r="C104" t="str">
        <f t="shared" si="7"/>
        <v>00</v>
      </c>
      <c r="D104">
        <v>2159</v>
      </c>
      <c r="E104" t="str">
        <f t="shared" si="8"/>
        <v>00</v>
      </c>
      <c r="F104" t="str">
        <f>"146"</f>
        <v>146</v>
      </c>
      <c r="G104">
        <v>9</v>
      </c>
      <c r="H104" t="str">
        <f t="shared" si="9"/>
        <v>00</v>
      </c>
      <c r="I104" t="str">
        <f t="shared" si="10"/>
        <v>0</v>
      </c>
      <c r="J104" t="str">
        <f t="shared" si="11"/>
        <v>00</v>
      </c>
      <c r="K104">
        <v>20181015</v>
      </c>
      <c r="L104" t="str">
        <f>"027163"</f>
        <v>027163</v>
      </c>
      <c r="M104" t="str">
        <f>"00086"</f>
        <v>00086</v>
      </c>
      <c r="N104" t="s">
        <v>75</v>
      </c>
      <c r="O104">
        <v>263.23</v>
      </c>
      <c r="P104">
        <v>20181015</v>
      </c>
      <c r="Q104" t="s">
        <v>76</v>
      </c>
      <c r="R104" t="s">
        <v>161</v>
      </c>
      <c r="S104" t="s">
        <v>23</v>
      </c>
      <c r="T104" t="s">
        <v>75</v>
      </c>
    </row>
    <row r="105" spans="1:20" x14ac:dyDescent="0.25">
      <c r="A105">
        <v>9</v>
      </c>
      <c r="B105">
        <v>163</v>
      </c>
      <c r="C105" t="str">
        <f t="shared" si="7"/>
        <v>00</v>
      </c>
      <c r="D105">
        <v>2159</v>
      </c>
      <c r="E105" t="str">
        <f t="shared" si="8"/>
        <v>00</v>
      </c>
      <c r="F105" t="str">
        <f>"147"</f>
        <v>147</v>
      </c>
      <c r="G105">
        <v>9</v>
      </c>
      <c r="H105" t="str">
        <f t="shared" si="9"/>
        <v>00</v>
      </c>
      <c r="I105" t="str">
        <f t="shared" si="10"/>
        <v>0</v>
      </c>
      <c r="J105" t="str">
        <f t="shared" si="11"/>
        <v>00</v>
      </c>
      <c r="K105">
        <v>20181015</v>
      </c>
      <c r="L105" t="str">
        <f>"027164"</f>
        <v>027164</v>
      </c>
      <c r="M105" t="str">
        <f>"00248"</f>
        <v>00248</v>
      </c>
      <c r="N105" t="s">
        <v>77</v>
      </c>
      <c r="O105" s="1">
        <v>1952.88</v>
      </c>
      <c r="P105">
        <v>20181015</v>
      </c>
      <c r="Q105" t="s">
        <v>78</v>
      </c>
      <c r="R105" t="s">
        <v>161</v>
      </c>
      <c r="S105" t="s">
        <v>23</v>
      </c>
      <c r="T105" t="s">
        <v>79</v>
      </c>
    </row>
    <row r="106" spans="1:20" x14ac:dyDescent="0.25">
      <c r="A106">
        <v>9</v>
      </c>
      <c r="B106">
        <v>163</v>
      </c>
      <c r="C106" t="str">
        <f t="shared" si="7"/>
        <v>00</v>
      </c>
      <c r="D106">
        <v>2159</v>
      </c>
      <c r="E106" t="str">
        <f t="shared" si="8"/>
        <v>00</v>
      </c>
      <c r="F106" t="str">
        <f>"148"</f>
        <v>148</v>
      </c>
      <c r="G106">
        <v>9</v>
      </c>
      <c r="H106" t="str">
        <f t="shared" si="9"/>
        <v>00</v>
      </c>
      <c r="I106" t="str">
        <f t="shared" si="10"/>
        <v>0</v>
      </c>
      <c r="J106" t="str">
        <f t="shared" si="11"/>
        <v>00</v>
      </c>
      <c r="K106">
        <v>20181015</v>
      </c>
      <c r="L106" t="str">
        <f>"027165"</f>
        <v>027165</v>
      </c>
      <c r="M106" t="str">
        <f>"00528"</f>
        <v>00528</v>
      </c>
      <c r="N106" t="s">
        <v>159</v>
      </c>
      <c r="O106">
        <v>787.5</v>
      </c>
      <c r="P106">
        <v>20181015</v>
      </c>
      <c r="Q106" t="s">
        <v>160</v>
      </c>
      <c r="R106" t="s">
        <v>161</v>
      </c>
      <c r="S106" t="s">
        <v>23</v>
      </c>
      <c r="T106" t="s">
        <v>162</v>
      </c>
    </row>
    <row r="107" spans="1:20" x14ac:dyDescent="0.25">
      <c r="A107">
        <v>9</v>
      </c>
      <c r="B107">
        <v>163</v>
      </c>
      <c r="C107" t="str">
        <f t="shared" si="7"/>
        <v>00</v>
      </c>
      <c r="D107">
        <v>2153</v>
      </c>
      <c r="E107" t="str">
        <f t="shared" si="8"/>
        <v>00</v>
      </c>
      <c r="F107" t="str">
        <f>"022"</f>
        <v>022</v>
      </c>
      <c r="G107">
        <v>9</v>
      </c>
      <c r="H107" t="str">
        <f t="shared" si="9"/>
        <v>00</v>
      </c>
      <c r="I107" t="str">
        <f t="shared" si="10"/>
        <v>0</v>
      </c>
      <c r="J107" t="str">
        <f t="shared" si="11"/>
        <v>00</v>
      </c>
      <c r="K107">
        <v>20181015</v>
      </c>
      <c r="L107" t="str">
        <f>"027166"</f>
        <v>027166</v>
      </c>
      <c r="M107" t="str">
        <f>"04831"</f>
        <v>04831</v>
      </c>
      <c r="N107" t="s">
        <v>28</v>
      </c>
      <c r="O107" s="1">
        <v>1661.81</v>
      </c>
      <c r="P107">
        <v>20181015</v>
      </c>
      <c r="Q107" t="s">
        <v>29</v>
      </c>
      <c r="R107" t="s">
        <v>158</v>
      </c>
      <c r="S107" t="s">
        <v>23</v>
      </c>
      <c r="T107" t="s">
        <v>30</v>
      </c>
    </row>
    <row r="108" spans="1:20" x14ac:dyDescent="0.25">
      <c r="A108">
        <v>9</v>
      </c>
      <c r="B108">
        <v>163</v>
      </c>
      <c r="C108" t="str">
        <f t="shared" si="7"/>
        <v>00</v>
      </c>
      <c r="D108">
        <v>2159</v>
      </c>
      <c r="E108" t="str">
        <f t="shared" si="8"/>
        <v>00</v>
      </c>
      <c r="F108" t="str">
        <f>"018"</f>
        <v>018</v>
      </c>
      <c r="G108">
        <v>9</v>
      </c>
      <c r="H108" t="str">
        <f t="shared" si="9"/>
        <v>00</v>
      </c>
      <c r="I108" t="str">
        <f t="shared" si="10"/>
        <v>0</v>
      </c>
      <c r="J108" t="str">
        <f t="shared" si="11"/>
        <v>00</v>
      </c>
      <c r="K108">
        <v>20181015</v>
      </c>
      <c r="L108" t="str">
        <f>"027167"</f>
        <v>027167</v>
      </c>
      <c r="M108" t="str">
        <f>"04905"</f>
        <v>04905</v>
      </c>
      <c r="N108" t="s">
        <v>31</v>
      </c>
      <c r="O108" s="1">
        <v>3235.75</v>
      </c>
      <c r="P108">
        <v>20181015</v>
      </c>
      <c r="Q108" t="s">
        <v>32</v>
      </c>
      <c r="R108" t="s">
        <v>161</v>
      </c>
      <c r="S108" t="s">
        <v>23</v>
      </c>
      <c r="T108" t="s">
        <v>34</v>
      </c>
    </row>
    <row r="109" spans="1:20" x14ac:dyDescent="0.25">
      <c r="A109">
        <v>9</v>
      </c>
      <c r="B109">
        <v>163</v>
      </c>
      <c r="C109" t="str">
        <f t="shared" si="7"/>
        <v>00</v>
      </c>
      <c r="D109">
        <v>2153</v>
      </c>
      <c r="E109" t="str">
        <f t="shared" si="8"/>
        <v>00</v>
      </c>
      <c r="F109" t="str">
        <f>"053"</f>
        <v>053</v>
      </c>
      <c r="G109">
        <v>9</v>
      </c>
      <c r="H109" t="str">
        <f t="shared" si="9"/>
        <v>00</v>
      </c>
      <c r="I109" t="str">
        <f t="shared" si="10"/>
        <v>0</v>
      </c>
      <c r="J109" t="str">
        <f t="shared" si="11"/>
        <v>00</v>
      </c>
      <c r="K109">
        <v>20181015</v>
      </c>
      <c r="L109" t="str">
        <f>"027168"</f>
        <v>027168</v>
      </c>
      <c r="M109" t="str">
        <f>"04987"</f>
        <v>04987</v>
      </c>
      <c r="N109" t="s">
        <v>35</v>
      </c>
      <c r="O109">
        <v>888.72</v>
      </c>
      <c r="P109">
        <v>20181015</v>
      </c>
      <c r="Q109" t="s">
        <v>36</v>
      </c>
      <c r="R109" t="s">
        <v>158</v>
      </c>
      <c r="S109" t="s">
        <v>23</v>
      </c>
      <c r="T109" t="s">
        <v>37</v>
      </c>
    </row>
    <row r="110" spans="1:20" x14ac:dyDescent="0.25">
      <c r="A110">
        <v>9</v>
      </c>
      <c r="B110">
        <v>163</v>
      </c>
      <c r="C110" t="str">
        <f t="shared" si="7"/>
        <v>00</v>
      </c>
      <c r="D110">
        <v>2159</v>
      </c>
      <c r="E110" t="str">
        <f t="shared" si="8"/>
        <v>00</v>
      </c>
      <c r="F110" t="str">
        <f>"009"</f>
        <v>009</v>
      </c>
      <c r="G110">
        <v>9</v>
      </c>
      <c r="H110" t="str">
        <f t="shared" si="9"/>
        <v>00</v>
      </c>
      <c r="I110" t="str">
        <f t="shared" si="10"/>
        <v>0</v>
      </c>
      <c r="J110" t="str">
        <f t="shared" si="11"/>
        <v>00</v>
      </c>
      <c r="K110">
        <v>20181015</v>
      </c>
      <c r="L110" t="str">
        <f>"027169"</f>
        <v>027169</v>
      </c>
      <c r="M110" t="str">
        <f>"07710"</f>
        <v>07710</v>
      </c>
      <c r="N110" t="s">
        <v>38</v>
      </c>
      <c r="O110">
        <v>681.88</v>
      </c>
      <c r="P110">
        <v>20181015</v>
      </c>
      <c r="Q110" t="s">
        <v>39</v>
      </c>
      <c r="R110" t="s">
        <v>161</v>
      </c>
      <c r="S110" t="s">
        <v>23</v>
      </c>
      <c r="T110" t="s">
        <v>40</v>
      </c>
    </row>
    <row r="111" spans="1:20" x14ac:dyDescent="0.25">
      <c r="A111">
        <v>9</v>
      </c>
      <c r="B111">
        <v>163</v>
      </c>
      <c r="C111" t="str">
        <f t="shared" si="7"/>
        <v>00</v>
      </c>
      <c r="D111">
        <v>2159</v>
      </c>
      <c r="E111" t="str">
        <f t="shared" si="8"/>
        <v>00</v>
      </c>
      <c r="F111" t="str">
        <f>"068"</f>
        <v>068</v>
      </c>
      <c r="G111">
        <v>9</v>
      </c>
      <c r="H111" t="str">
        <f t="shared" si="9"/>
        <v>00</v>
      </c>
      <c r="I111" t="str">
        <f t="shared" si="10"/>
        <v>0</v>
      </c>
      <c r="J111" t="str">
        <f t="shared" si="11"/>
        <v>00</v>
      </c>
      <c r="K111">
        <v>20181015</v>
      </c>
      <c r="L111" t="str">
        <f>"027170"</f>
        <v>027170</v>
      </c>
      <c r="M111" t="str">
        <f>"10095"</f>
        <v>10095</v>
      </c>
      <c r="N111" t="s">
        <v>83</v>
      </c>
      <c r="O111">
        <v>389.42</v>
      </c>
      <c r="P111">
        <v>20181015</v>
      </c>
      <c r="Q111" t="s">
        <v>84</v>
      </c>
      <c r="R111" t="s">
        <v>161</v>
      </c>
      <c r="S111" t="s">
        <v>23</v>
      </c>
      <c r="T111" t="s">
        <v>85</v>
      </c>
    </row>
    <row r="112" spans="1:20" x14ac:dyDescent="0.25">
      <c r="A112">
        <v>9</v>
      </c>
      <c r="B112">
        <v>163</v>
      </c>
      <c r="C112" t="str">
        <f t="shared" si="7"/>
        <v>00</v>
      </c>
      <c r="D112">
        <v>2153</v>
      </c>
      <c r="E112" t="str">
        <f t="shared" si="8"/>
        <v>00</v>
      </c>
      <c r="F112" t="str">
        <f>"011"</f>
        <v>011</v>
      </c>
      <c r="G112">
        <v>9</v>
      </c>
      <c r="H112" t="str">
        <f t="shared" si="9"/>
        <v>00</v>
      </c>
      <c r="I112" t="str">
        <f t="shared" si="10"/>
        <v>0</v>
      </c>
      <c r="J112" t="str">
        <f t="shared" si="11"/>
        <v>00</v>
      </c>
      <c r="K112">
        <v>20181015</v>
      </c>
      <c r="L112" t="str">
        <f>"027171"</f>
        <v>027171</v>
      </c>
      <c r="M112" t="str">
        <f>"11211"</f>
        <v>11211</v>
      </c>
      <c r="N112" t="s">
        <v>41</v>
      </c>
      <c r="O112" s="1">
        <v>2660.85</v>
      </c>
      <c r="P112">
        <v>20181015</v>
      </c>
      <c r="Q112" t="s">
        <v>42</v>
      </c>
      <c r="R112" t="s">
        <v>158</v>
      </c>
      <c r="S112" t="s">
        <v>23</v>
      </c>
      <c r="T112" t="s">
        <v>43</v>
      </c>
    </row>
    <row r="113" spans="1:20" x14ac:dyDescent="0.25">
      <c r="A113">
        <v>9</v>
      </c>
      <c r="B113">
        <v>163</v>
      </c>
      <c r="C113" t="str">
        <f t="shared" si="7"/>
        <v>00</v>
      </c>
      <c r="D113">
        <v>2159</v>
      </c>
      <c r="E113" t="str">
        <f t="shared" si="8"/>
        <v>00</v>
      </c>
      <c r="F113" t="str">
        <f>"104"</f>
        <v>104</v>
      </c>
      <c r="G113">
        <v>9</v>
      </c>
      <c r="H113" t="str">
        <f t="shared" si="9"/>
        <v>00</v>
      </c>
      <c r="I113" t="str">
        <f t="shared" si="10"/>
        <v>0</v>
      </c>
      <c r="J113" t="str">
        <f t="shared" si="11"/>
        <v>00</v>
      </c>
      <c r="K113">
        <v>20181015</v>
      </c>
      <c r="L113" t="str">
        <f>"027172"</f>
        <v>027172</v>
      </c>
      <c r="M113" t="str">
        <f>"14177"</f>
        <v>14177</v>
      </c>
      <c r="N113" t="s">
        <v>163</v>
      </c>
      <c r="O113">
        <v>100.5</v>
      </c>
      <c r="P113">
        <v>20181015</v>
      </c>
      <c r="Q113" t="s">
        <v>45</v>
      </c>
      <c r="R113" t="s">
        <v>161</v>
      </c>
      <c r="S113" t="s">
        <v>23</v>
      </c>
      <c r="T113" t="s">
        <v>46</v>
      </c>
    </row>
    <row r="114" spans="1:20" x14ac:dyDescent="0.25">
      <c r="A114">
        <v>9</v>
      </c>
      <c r="B114">
        <v>163</v>
      </c>
      <c r="C114" t="str">
        <f t="shared" si="7"/>
        <v>00</v>
      </c>
      <c r="D114">
        <v>2159</v>
      </c>
      <c r="E114" t="str">
        <f t="shared" si="8"/>
        <v>00</v>
      </c>
      <c r="F114" t="str">
        <f>"014"</f>
        <v>014</v>
      </c>
      <c r="G114">
        <v>9</v>
      </c>
      <c r="H114" t="str">
        <f t="shared" si="9"/>
        <v>00</v>
      </c>
      <c r="I114" t="str">
        <f t="shared" si="10"/>
        <v>0</v>
      </c>
      <c r="J114" t="str">
        <f t="shared" si="11"/>
        <v>00</v>
      </c>
      <c r="K114">
        <v>20181015</v>
      </c>
      <c r="L114" t="str">
        <f>"027173"</f>
        <v>027173</v>
      </c>
      <c r="M114" t="str">
        <f>"20682"</f>
        <v>20682</v>
      </c>
      <c r="N114" t="s">
        <v>86</v>
      </c>
      <c r="O114" s="1">
        <v>2211.88</v>
      </c>
      <c r="P114">
        <v>20181015</v>
      </c>
      <c r="Q114" t="s">
        <v>87</v>
      </c>
      <c r="R114" t="s">
        <v>161</v>
      </c>
      <c r="S114" t="s">
        <v>23</v>
      </c>
      <c r="T114" t="s">
        <v>88</v>
      </c>
    </row>
    <row r="115" spans="1:20" x14ac:dyDescent="0.25">
      <c r="A115">
        <v>9</v>
      </c>
      <c r="B115">
        <v>163</v>
      </c>
      <c r="C115" t="str">
        <f t="shared" si="7"/>
        <v>00</v>
      </c>
      <c r="D115">
        <v>2153</v>
      </c>
      <c r="E115" t="str">
        <f t="shared" si="8"/>
        <v>00</v>
      </c>
      <c r="F115" t="str">
        <f>"024"</f>
        <v>024</v>
      </c>
      <c r="G115">
        <v>9</v>
      </c>
      <c r="H115" t="str">
        <f t="shared" si="9"/>
        <v>00</v>
      </c>
      <c r="I115" t="str">
        <f t="shared" si="10"/>
        <v>0</v>
      </c>
      <c r="J115" t="str">
        <f t="shared" si="11"/>
        <v>00</v>
      </c>
      <c r="K115">
        <v>20181015</v>
      </c>
      <c r="L115" t="str">
        <f>"027174"</f>
        <v>027174</v>
      </c>
      <c r="M115" t="str">
        <f>"21504"</f>
        <v>21504</v>
      </c>
      <c r="N115" t="s">
        <v>89</v>
      </c>
      <c r="O115">
        <v>36.6</v>
      </c>
      <c r="P115">
        <v>20181015</v>
      </c>
      <c r="Q115" t="s">
        <v>90</v>
      </c>
      <c r="R115" t="s">
        <v>158</v>
      </c>
      <c r="S115" t="s">
        <v>23</v>
      </c>
      <c r="T115" t="s">
        <v>91</v>
      </c>
    </row>
    <row r="116" spans="1:20" x14ac:dyDescent="0.25">
      <c r="A116">
        <v>9</v>
      </c>
      <c r="B116">
        <v>163</v>
      </c>
      <c r="C116" t="str">
        <f t="shared" si="7"/>
        <v>00</v>
      </c>
      <c r="D116">
        <v>2153</v>
      </c>
      <c r="E116" t="str">
        <f t="shared" si="8"/>
        <v>00</v>
      </c>
      <c r="F116" t="str">
        <f>"026"</f>
        <v>026</v>
      </c>
      <c r="G116">
        <v>9</v>
      </c>
      <c r="H116" t="str">
        <f t="shared" si="9"/>
        <v>00</v>
      </c>
      <c r="I116" t="str">
        <f t="shared" si="10"/>
        <v>0</v>
      </c>
      <c r="J116" t="str">
        <f t="shared" si="11"/>
        <v>00</v>
      </c>
      <c r="K116">
        <v>20181015</v>
      </c>
      <c r="L116" t="str">
        <f>"027175"</f>
        <v>027175</v>
      </c>
      <c r="M116" t="str">
        <f>"21506"</f>
        <v>21506</v>
      </c>
      <c r="N116" t="s">
        <v>92</v>
      </c>
      <c r="O116">
        <v>102.75</v>
      </c>
      <c r="P116">
        <v>20181015</v>
      </c>
      <c r="Q116" t="s">
        <v>93</v>
      </c>
      <c r="R116" t="s">
        <v>158</v>
      </c>
      <c r="S116" t="s">
        <v>23</v>
      </c>
      <c r="T116" t="s">
        <v>94</v>
      </c>
    </row>
    <row r="117" spans="1:20" x14ac:dyDescent="0.25">
      <c r="A117">
        <v>9</v>
      </c>
      <c r="B117">
        <v>163</v>
      </c>
      <c r="C117" t="str">
        <f t="shared" si="7"/>
        <v>00</v>
      </c>
      <c r="D117">
        <v>2159</v>
      </c>
      <c r="E117" t="str">
        <f t="shared" si="8"/>
        <v>00</v>
      </c>
      <c r="F117" t="str">
        <f>"117"</f>
        <v>117</v>
      </c>
      <c r="G117">
        <v>9</v>
      </c>
      <c r="H117" t="str">
        <f t="shared" si="9"/>
        <v>00</v>
      </c>
      <c r="I117" t="str">
        <f t="shared" si="10"/>
        <v>0</v>
      </c>
      <c r="J117" t="str">
        <f t="shared" si="11"/>
        <v>00</v>
      </c>
      <c r="K117">
        <v>20181015</v>
      </c>
      <c r="L117" t="str">
        <f>"027176"</f>
        <v>027176</v>
      </c>
      <c r="M117" t="str">
        <f>"21826"</f>
        <v>21826</v>
      </c>
      <c r="N117" t="s">
        <v>95</v>
      </c>
      <c r="O117">
        <v>630.78</v>
      </c>
      <c r="P117">
        <v>20181015</v>
      </c>
      <c r="Q117" t="s">
        <v>96</v>
      </c>
      <c r="R117" t="s">
        <v>161</v>
      </c>
      <c r="S117" t="s">
        <v>23</v>
      </c>
      <c r="T117" t="s">
        <v>97</v>
      </c>
    </row>
    <row r="118" spans="1:20" x14ac:dyDescent="0.25">
      <c r="A118">
        <v>9</v>
      </c>
      <c r="B118">
        <v>163</v>
      </c>
      <c r="C118" t="str">
        <f t="shared" si="7"/>
        <v>00</v>
      </c>
      <c r="D118">
        <v>2159</v>
      </c>
      <c r="E118" t="str">
        <f t="shared" si="8"/>
        <v>00</v>
      </c>
      <c r="F118" t="str">
        <f>"108"</f>
        <v>108</v>
      </c>
      <c r="G118">
        <v>9</v>
      </c>
      <c r="H118" t="str">
        <f t="shared" si="9"/>
        <v>00</v>
      </c>
      <c r="I118" t="str">
        <f t="shared" si="10"/>
        <v>0</v>
      </c>
      <c r="J118" t="str">
        <f t="shared" si="11"/>
        <v>00</v>
      </c>
      <c r="K118">
        <v>20181015</v>
      </c>
      <c r="L118" t="str">
        <f>"027177"</f>
        <v>027177</v>
      </c>
      <c r="M118" t="str">
        <f>"29572"</f>
        <v>29572</v>
      </c>
      <c r="N118" t="s">
        <v>165</v>
      </c>
      <c r="O118">
        <v>21.87</v>
      </c>
      <c r="P118">
        <v>20181015</v>
      </c>
      <c r="Q118" t="s">
        <v>166</v>
      </c>
      <c r="R118" t="s">
        <v>161</v>
      </c>
      <c r="S118" t="s">
        <v>23</v>
      </c>
      <c r="T118" t="s">
        <v>167</v>
      </c>
    </row>
    <row r="119" spans="1:20" x14ac:dyDescent="0.25">
      <c r="A119">
        <v>9</v>
      </c>
      <c r="B119">
        <v>163</v>
      </c>
      <c r="C119" t="str">
        <f t="shared" si="7"/>
        <v>00</v>
      </c>
      <c r="D119">
        <v>2159</v>
      </c>
      <c r="E119" t="str">
        <f t="shared" si="8"/>
        <v>00</v>
      </c>
      <c r="F119" t="str">
        <f>"140"</f>
        <v>140</v>
      </c>
      <c r="G119">
        <v>9</v>
      </c>
      <c r="H119" t="str">
        <f t="shared" si="9"/>
        <v>00</v>
      </c>
      <c r="I119" t="str">
        <f t="shared" si="10"/>
        <v>0</v>
      </c>
      <c r="J119" t="str">
        <f t="shared" si="11"/>
        <v>00</v>
      </c>
      <c r="K119">
        <v>20181015</v>
      </c>
      <c r="L119" t="str">
        <f>"027178"</f>
        <v>027178</v>
      </c>
      <c r="M119" t="str">
        <f>"47701"</f>
        <v>47701</v>
      </c>
      <c r="N119" t="s">
        <v>98</v>
      </c>
      <c r="O119">
        <v>450.6</v>
      </c>
      <c r="P119">
        <v>20181015</v>
      </c>
      <c r="Q119" t="s">
        <v>99</v>
      </c>
      <c r="R119" t="s">
        <v>161</v>
      </c>
      <c r="S119" t="s">
        <v>23</v>
      </c>
      <c r="T119" t="s">
        <v>100</v>
      </c>
    </row>
    <row r="120" spans="1:20" x14ac:dyDescent="0.25">
      <c r="A120">
        <v>9</v>
      </c>
      <c r="B120">
        <v>163</v>
      </c>
      <c r="C120" t="str">
        <f t="shared" si="7"/>
        <v>00</v>
      </c>
      <c r="D120">
        <v>2153</v>
      </c>
      <c r="E120" t="str">
        <f t="shared" si="8"/>
        <v>00</v>
      </c>
      <c r="F120" t="str">
        <f>"110"</f>
        <v>110</v>
      </c>
      <c r="G120">
        <v>9</v>
      </c>
      <c r="H120" t="str">
        <f t="shared" si="9"/>
        <v>00</v>
      </c>
      <c r="I120" t="str">
        <f t="shared" si="10"/>
        <v>0</v>
      </c>
      <c r="J120" t="str">
        <f t="shared" si="11"/>
        <v>00</v>
      </c>
      <c r="K120">
        <v>20181015</v>
      </c>
      <c r="L120" t="str">
        <f>"027179"</f>
        <v>027179</v>
      </c>
      <c r="M120" t="str">
        <f>"48947"</f>
        <v>48947</v>
      </c>
      <c r="N120" t="s">
        <v>47</v>
      </c>
      <c r="O120" s="1">
        <v>1994.38</v>
      </c>
      <c r="P120">
        <v>20181015</v>
      </c>
      <c r="Q120" t="s">
        <v>48</v>
      </c>
      <c r="R120" t="s">
        <v>157</v>
      </c>
      <c r="S120" t="s">
        <v>23</v>
      </c>
      <c r="T120" t="s">
        <v>49</v>
      </c>
    </row>
    <row r="121" spans="1:20" x14ac:dyDescent="0.25">
      <c r="A121">
        <v>9</v>
      </c>
      <c r="B121">
        <v>163</v>
      </c>
      <c r="C121" t="str">
        <f t="shared" si="7"/>
        <v>00</v>
      </c>
      <c r="D121">
        <v>2159</v>
      </c>
      <c r="E121" t="str">
        <f t="shared" si="8"/>
        <v>00</v>
      </c>
      <c r="F121" t="str">
        <f>"032"</f>
        <v>032</v>
      </c>
      <c r="G121">
        <v>9</v>
      </c>
      <c r="H121" t="str">
        <f t="shared" si="9"/>
        <v>00</v>
      </c>
      <c r="I121" t="str">
        <f t="shared" si="10"/>
        <v>0</v>
      </c>
      <c r="J121" t="str">
        <f t="shared" si="11"/>
        <v>00</v>
      </c>
      <c r="K121">
        <v>20181015</v>
      </c>
      <c r="L121" t="str">
        <f t="shared" ref="L121:L139" si="12">"027180"</f>
        <v>027180</v>
      </c>
      <c r="M121" t="str">
        <f t="shared" ref="M121:M139" si="13">"54196"</f>
        <v>54196</v>
      </c>
      <c r="N121" t="s">
        <v>50</v>
      </c>
      <c r="O121">
        <v>50</v>
      </c>
      <c r="P121">
        <v>20181015</v>
      </c>
      <c r="Q121" t="s">
        <v>101</v>
      </c>
      <c r="R121" t="s">
        <v>164</v>
      </c>
      <c r="S121" t="s">
        <v>23</v>
      </c>
      <c r="T121" t="s">
        <v>102</v>
      </c>
    </row>
    <row r="122" spans="1:20" x14ac:dyDescent="0.25">
      <c r="A122">
        <v>9</v>
      </c>
      <c r="B122">
        <v>163</v>
      </c>
      <c r="C122" t="str">
        <f t="shared" si="7"/>
        <v>00</v>
      </c>
      <c r="D122">
        <v>2159</v>
      </c>
      <c r="E122" t="str">
        <f t="shared" si="8"/>
        <v>00</v>
      </c>
      <c r="F122" t="str">
        <f>"033"</f>
        <v>033</v>
      </c>
      <c r="G122">
        <v>9</v>
      </c>
      <c r="H122" t="str">
        <f t="shared" si="9"/>
        <v>00</v>
      </c>
      <c r="I122" t="str">
        <f t="shared" si="10"/>
        <v>0</v>
      </c>
      <c r="J122" t="str">
        <f t="shared" si="11"/>
        <v>00</v>
      </c>
      <c r="K122">
        <v>20181015</v>
      </c>
      <c r="L122" t="str">
        <f t="shared" si="12"/>
        <v>027180</v>
      </c>
      <c r="M122" t="str">
        <f t="shared" si="13"/>
        <v>54196</v>
      </c>
      <c r="N122" t="s">
        <v>50</v>
      </c>
      <c r="O122">
        <v>283</v>
      </c>
      <c r="P122">
        <v>20181015</v>
      </c>
      <c r="Q122" t="s">
        <v>103</v>
      </c>
      <c r="R122" t="s">
        <v>164</v>
      </c>
      <c r="S122" t="s">
        <v>23</v>
      </c>
      <c r="T122" t="s">
        <v>104</v>
      </c>
    </row>
    <row r="123" spans="1:20" x14ac:dyDescent="0.25">
      <c r="A123">
        <v>9</v>
      </c>
      <c r="B123">
        <v>163</v>
      </c>
      <c r="C123" t="str">
        <f t="shared" si="7"/>
        <v>00</v>
      </c>
      <c r="D123">
        <v>2159</v>
      </c>
      <c r="E123" t="str">
        <f t="shared" si="8"/>
        <v>00</v>
      </c>
      <c r="F123" t="str">
        <f>"041"</f>
        <v>041</v>
      </c>
      <c r="G123">
        <v>9</v>
      </c>
      <c r="H123" t="str">
        <f t="shared" si="9"/>
        <v>00</v>
      </c>
      <c r="I123" t="str">
        <f t="shared" si="10"/>
        <v>0</v>
      </c>
      <c r="J123" t="str">
        <f t="shared" si="11"/>
        <v>00</v>
      </c>
      <c r="K123">
        <v>20181015</v>
      </c>
      <c r="L123" t="str">
        <f t="shared" si="12"/>
        <v>027180</v>
      </c>
      <c r="M123" t="str">
        <f t="shared" si="13"/>
        <v>54196</v>
      </c>
      <c r="N123" t="s">
        <v>50</v>
      </c>
      <c r="O123" s="1">
        <v>1340</v>
      </c>
      <c r="P123">
        <v>20181015</v>
      </c>
      <c r="Q123" t="s">
        <v>105</v>
      </c>
      <c r="R123" t="s">
        <v>164</v>
      </c>
      <c r="S123" t="s">
        <v>23</v>
      </c>
      <c r="T123" t="s">
        <v>106</v>
      </c>
    </row>
    <row r="124" spans="1:20" x14ac:dyDescent="0.25">
      <c r="A124">
        <v>9</v>
      </c>
      <c r="B124">
        <v>163</v>
      </c>
      <c r="C124" t="str">
        <f t="shared" si="7"/>
        <v>00</v>
      </c>
      <c r="D124">
        <v>2159</v>
      </c>
      <c r="E124" t="str">
        <f t="shared" si="8"/>
        <v>00</v>
      </c>
      <c r="F124" t="str">
        <f>"042"</f>
        <v>042</v>
      </c>
      <c r="G124">
        <v>9</v>
      </c>
      <c r="H124" t="str">
        <f t="shared" si="9"/>
        <v>00</v>
      </c>
      <c r="I124" t="str">
        <f t="shared" si="10"/>
        <v>0</v>
      </c>
      <c r="J124" t="str">
        <f t="shared" si="11"/>
        <v>00</v>
      </c>
      <c r="K124">
        <v>20181015</v>
      </c>
      <c r="L124" t="str">
        <f t="shared" si="12"/>
        <v>027180</v>
      </c>
      <c r="M124" t="str">
        <f t="shared" si="13"/>
        <v>54196</v>
      </c>
      <c r="N124" t="s">
        <v>50</v>
      </c>
      <c r="O124" s="1">
        <v>2075</v>
      </c>
      <c r="P124">
        <v>20181015</v>
      </c>
      <c r="Q124" t="s">
        <v>107</v>
      </c>
      <c r="R124" t="s">
        <v>164</v>
      </c>
      <c r="S124" t="s">
        <v>23</v>
      </c>
      <c r="T124" t="s">
        <v>108</v>
      </c>
    </row>
    <row r="125" spans="1:20" x14ac:dyDescent="0.25">
      <c r="A125">
        <v>9</v>
      </c>
      <c r="B125">
        <v>163</v>
      </c>
      <c r="C125" t="str">
        <f t="shared" si="7"/>
        <v>00</v>
      </c>
      <c r="D125">
        <v>2159</v>
      </c>
      <c r="E125" t="str">
        <f t="shared" si="8"/>
        <v>00</v>
      </c>
      <c r="F125" t="str">
        <f>"046"</f>
        <v>046</v>
      </c>
      <c r="G125">
        <v>9</v>
      </c>
      <c r="H125" t="str">
        <f t="shared" si="9"/>
        <v>00</v>
      </c>
      <c r="I125" t="str">
        <f t="shared" si="10"/>
        <v>0</v>
      </c>
      <c r="J125" t="str">
        <f t="shared" si="11"/>
        <v>00</v>
      </c>
      <c r="K125">
        <v>20181015</v>
      </c>
      <c r="L125" t="str">
        <f t="shared" si="12"/>
        <v>027180</v>
      </c>
      <c r="M125" t="str">
        <f t="shared" si="13"/>
        <v>54196</v>
      </c>
      <c r="N125" t="s">
        <v>50</v>
      </c>
      <c r="O125">
        <v>40</v>
      </c>
      <c r="P125">
        <v>20181015</v>
      </c>
      <c r="Q125" t="s">
        <v>109</v>
      </c>
      <c r="R125" t="s">
        <v>164</v>
      </c>
      <c r="S125" t="s">
        <v>23</v>
      </c>
      <c r="T125" t="s">
        <v>110</v>
      </c>
    </row>
    <row r="126" spans="1:20" x14ac:dyDescent="0.25">
      <c r="A126">
        <v>9</v>
      </c>
      <c r="B126">
        <v>163</v>
      </c>
      <c r="C126" t="str">
        <f t="shared" si="7"/>
        <v>00</v>
      </c>
      <c r="D126">
        <v>2159</v>
      </c>
      <c r="E126" t="str">
        <f t="shared" si="8"/>
        <v>00</v>
      </c>
      <c r="F126" t="str">
        <f>"058"</f>
        <v>058</v>
      </c>
      <c r="G126">
        <v>9</v>
      </c>
      <c r="H126" t="str">
        <f t="shared" si="9"/>
        <v>00</v>
      </c>
      <c r="I126" t="str">
        <f t="shared" si="10"/>
        <v>0</v>
      </c>
      <c r="J126" t="str">
        <f t="shared" si="11"/>
        <v>00</v>
      </c>
      <c r="K126">
        <v>20181015</v>
      </c>
      <c r="L126" t="str">
        <f t="shared" si="12"/>
        <v>027180</v>
      </c>
      <c r="M126" t="str">
        <f t="shared" si="13"/>
        <v>54196</v>
      </c>
      <c r="N126" t="s">
        <v>50</v>
      </c>
      <c r="O126" s="1">
        <v>1767</v>
      </c>
      <c r="P126">
        <v>20181015</v>
      </c>
      <c r="Q126" t="s">
        <v>111</v>
      </c>
      <c r="R126" t="s">
        <v>164</v>
      </c>
      <c r="S126" t="s">
        <v>23</v>
      </c>
      <c r="T126" t="s">
        <v>112</v>
      </c>
    </row>
    <row r="127" spans="1:20" x14ac:dyDescent="0.25">
      <c r="A127">
        <v>9</v>
      </c>
      <c r="B127">
        <v>163</v>
      </c>
      <c r="C127" t="str">
        <f t="shared" si="7"/>
        <v>00</v>
      </c>
      <c r="D127">
        <v>2159</v>
      </c>
      <c r="E127" t="str">
        <f t="shared" si="8"/>
        <v>00</v>
      </c>
      <c r="F127" t="str">
        <f>"059"</f>
        <v>059</v>
      </c>
      <c r="G127">
        <v>9</v>
      </c>
      <c r="H127" t="str">
        <f t="shared" si="9"/>
        <v>00</v>
      </c>
      <c r="I127" t="str">
        <f t="shared" si="10"/>
        <v>0</v>
      </c>
      <c r="J127" t="str">
        <f t="shared" si="11"/>
        <v>00</v>
      </c>
      <c r="K127">
        <v>20181015</v>
      </c>
      <c r="L127" t="str">
        <f t="shared" si="12"/>
        <v>027180</v>
      </c>
      <c r="M127" t="str">
        <f t="shared" si="13"/>
        <v>54196</v>
      </c>
      <c r="N127" t="s">
        <v>50</v>
      </c>
      <c r="O127">
        <v>672</v>
      </c>
      <c r="P127">
        <v>20181015</v>
      </c>
      <c r="Q127" t="s">
        <v>113</v>
      </c>
      <c r="R127" t="s">
        <v>164</v>
      </c>
      <c r="S127" t="s">
        <v>23</v>
      </c>
      <c r="T127" t="s">
        <v>114</v>
      </c>
    </row>
    <row r="128" spans="1:20" x14ac:dyDescent="0.25">
      <c r="A128">
        <v>9</v>
      </c>
      <c r="B128">
        <v>163</v>
      </c>
      <c r="C128" t="str">
        <f t="shared" si="7"/>
        <v>00</v>
      </c>
      <c r="D128">
        <v>2159</v>
      </c>
      <c r="E128" t="str">
        <f t="shared" si="8"/>
        <v>00</v>
      </c>
      <c r="F128" t="str">
        <f>"072"</f>
        <v>072</v>
      </c>
      <c r="G128">
        <v>9</v>
      </c>
      <c r="H128" t="str">
        <f t="shared" si="9"/>
        <v>00</v>
      </c>
      <c r="I128" t="str">
        <f t="shared" si="10"/>
        <v>0</v>
      </c>
      <c r="J128" t="str">
        <f t="shared" si="11"/>
        <v>00</v>
      </c>
      <c r="K128">
        <v>20181015</v>
      </c>
      <c r="L128" t="str">
        <f t="shared" si="12"/>
        <v>027180</v>
      </c>
      <c r="M128" t="str">
        <f t="shared" si="13"/>
        <v>54196</v>
      </c>
      <c r="N128" t="s">
        <v>50</v>
      </c>
      <c r="O128">
        <v>50</v>
      </c>
      <c r="P128">
        <v>20181015</v>
      </c>
      <c r="Q128" t="s">
        <v>115</v>
      </c>
      <c r="R128" t="s">
        <v>164</v>
      </c>
      <c r="S128" t="s">
        <v>23</v>
      </c>
      <c r="T128" t="s">
        <v>116</v>
      </c>
    </row>
    <row r="129" spans="1:20" x14ac:dyDescent="0.25">
      <c r="A129">
        <v>9</v>
      </c>
      <c r="B129">
        <v>163</v>
      </c>
      <c r="C129" t="str">
        <f t="shared" si="7"/>
        <v>00</v>
      </c>
      <c r="D129">
        <v>2159</v>
      </c>
      <c r="E129" t="str">
        <f t="shared" si="8"/>
        <v>00</v>
      </c>
      <c r="F129" t="str">
        <f>"075"</f>
        <v>075</v>
      </c>
      <c r="G129">
        <v>9</v>
      </c>
      <c r="H129" t="str">
        <f t="shared" si="9"/>
        <v>00</v>
      </c>
      <c r="I129" t="str">
        <f t="shared" si="10"/>
        <v>0</v>
      </c>
      <c r="J129" t="str">
        <f t="shared" si="11"/>
        <v>00</v>
      </c>
      <c r="K129">
        <v>20181015</v>
      </c>
      <c r="L129" t="str">
        <f t="shared" si="12"/>
        <v>027180</v>
      </c>
      <c r="M129" t="str">
        <f t="shared" si="13"/>
        <v>54196</v>
      </c>
      <c r="N129" t="s">
        <v>50</v>
      </c>
      <c r="O129">
        <v>100</v>
      </c>
      <c r="P129">
        <v>20181015</v>
      </c>
      <c r="Q129" t="s">
        <v>117</v>
      </c>
      <c r="R129" t="s">
        <v>164</v>
      </c>
      <c r="S129" t="s">
        <v>23</v>
      </c>
      <c r="T129" t="s">
        <v>118</v>
      </c>
    </row>
    <row r="130" spans="1:20" x14ac:dyDescent="0.25">
      <c r="A130">
        <v>9</v>
      </c>
      <c r="B130">
        <v>163</v>
      </c>
      <c r="C130" t="str">
        <f t="shared" ref="C130:C193" si="14">"00"</f>
        <v>00</v>
      </c>
      <c r="D130">
        <v>2159</v>
      </c>
      <c r="E130" t="str">
        <f t="shared" ref="E130:E193" si="15">"00"</f>
        <v>00</v>
      </c>
      <c r="F130" t="str">
        <f>"078"</f>
        <v>078</v>
      </c>
      <c r="G130">
        <v>9</v>
      </c>
      <c r="H130" t="str">
        <f t="shared" ref="H130:H193" si="16">"00"</f>
        <v>00</v>
      </c>
      <c r="I130" t="str">
        <f t="shared" ref="I130:I193" si="17">"0"</f>
        <v>0</v>
      </c>
      <c r="J130" t="str">
        <f t="shared" ref="J130:J193" si="18">"00"</f>
        <v>00</v>
      </c>
      <c r="K130">
        <v>20181015</v>
      </c>
      <c r="L130" t="str">
        <f t="shared" si="12"/>
        <v>027180</v>
      </c>
      <c r="M130" t="str">
        <f t="shared" si="13"/>
        <v>54196</v>
      </c>
      <c r="N130" t="s">
        <v>50</v>
      </c>
      <c r="O130">
        <v>750</v>
      </c>
      <c r="P130">
        <v>20181015</v>
      </c>
      <c r="Q130" t="s">
        <v>119</v>
      </c>
      <c r="R130" t="s">
        <v>164</v>
      </c>
      <c r="S130" t="s">
        <v>23</v>
      </c>
      <c r="T130" t="s">
        <v>120</v>
      </c>
    </row>
    <row r="131" spans="1:20" x14ac:dyDescent="0.25">
      <c r="A131">
        <v>9</v>
      </c>
      <c r="B131">
        <v>163</v>
      </c>
      <c r="C131" t="str">
        <f t="shared" si="14"/>
        <v>00</v>
      </c>
      <c r="D131">
        <v>2159</v>
      </c>
      <c r="E131" t="str">
        <f t="shared" si="15"/>
        <v>00</v>
      </c>
      <c r="F131" t="str">
        <f>"082"</f>
        <v>082</v>
      </c>
      <c r="G131">
        <v>9</v>
      </c>
      <c r="H131" t="str">
        <f t="shared" si="16"/>
        <v>00</v>
      </c>
      <c r="I131" t="str">
        <f t="shared" si="17"/>
        <v>0</v>
      </c>
      <c r="J131" t="str">
        <f t="shared" si="18"/>
        <v>00</v>
      </c>
      <c r="K131">
        <v>20181015</v>
      </c>
      <c r="L131" t="str">
        <f t="shared" si="12"/>
        <v>027180</v>
      </c>
      <c r="M131" t="str">
        <f t="shared" si="13"/>
        <v>54196</v>
      </c>
      <c r="N131" t="s">
        <v>50</v>
      </c>
      <c r="O131">
        <v>300</v>
      </c>
      <c r="P131">
        <v>20181015</v>
      </c>
      <c r="Q131" t="s">
        <v>121</v>
      </c>
      <c r="R131" t="s">
        <v>164</v>
      </c>
      <c r="S131" t="s">
        <v>23</v>
      </c>
      <c r="T131" t="s">
        <v>122</v>
      </c>
    </row>
    <row r="132" spans="1:20" x14ac:dyDescent="0.25">
      <c r="A132">
        <v>9</v>
      </c>
      <c r="B132">
        <v>163</v>
      </c>
      <c r="C132" t="str">
        <f t="shared" si="14"/>
        <v>00</v>
      </c>
      <c r="D132">
        <v>2159</v>
      </c>
      <c r="E132" t="str">
        <f t="shared" si="15"/>
        <v>00</v>
      </c>
      <c r="F132" t="str">
        <f>"091"</f>
        <v>091</v>
      </c>
      <c r="G132">
        <v>9</v>
      </c>
      <c r="H132" t="str">
        <f t="shared" si="16"/>
        <v>00</v>
      </c>
      <c r="I132" t="str">
        <f t="shared" si="17"/>
        <v>0</v>
      </c>
      <c r="J132" t="str">
        <f t="shared" si="18"/>
        <v>00</v>
      </c>
      <c r="K132">
        <v>20181015</v>
      </c>
      <c r="L132" t="str">
        <f t="shared" si="12"/>
        <v>027180</v>
      </c>
      <c r="M132" t="str">
        <f t="shared" si="13"/>
        <v>54196</v>
      </c>
      <c r="N132" t="s">
        <v>50</v>
      </c>
      <c r="O132">
        <v>100</v>
      </c>
      <c r="P132">
        <v>20181015</v>
      </c>
      <c r="Q132" t="s">
        <v>123</v>
      </c>
      <c r="R132" t="s">
        <v>164</v>
      </c>
      <c r="S132" t="s">
        <v>23</v>
      </c>
      <c r="T132" t="s">
        <v>124</v>
      </c>
    </row>
    <row r="133" spans="1:20" x14ac:dyDescent="0.25">
      <c r="A133">
        <v>9</v>
      </c>
      <c r="B133">
        <v>163</v>
      </c>
      <c r="C133" t="str">
        <f t="shared" si="14"/>
        <v>00</v>
      </c>
      <c r="D133">
        <v>2159</v>
      </c>
      <c r="E133" t="str">
        <f t="shared" si="15"/>
        <v>00</v>
      </c>
      <c r="F133" t="str">
        <f>"122"</f>
        <v>122</v>
      </c>
      <c r="G133">
        <v>9</v>
      </c>
      <c r="H133" t="str">
        <f t="shared" si="16"/>
        <v>00</v>
      </c>
      <c r="I133" t="str">
        <f t="shared" si="17"/>
        <v>0</v>
      </c>
      <c r="J133" t="str">
        <f t="shared" si="18"/>
        <v>00</v>
      </c>
      <c r="K133">
        <v>20181015</v>
      </c>
      <c r="L133" t="str">
        <f t="shared" si="12"/>
        <v>027180</v>
      </c>
      <c r="M133" t="str">
        <f t="shared" si="13"/>
        <v>54196</v>
      </c>
      <c r="N133" t="s">
        <v>50</v>
      </c>
      <c r="O133">
        <v>100</v>
      </c>
      <c r="P133">
        <v>20181015</v>
      </c>
      <c r="Q133" t="s">
        <v>125</v>
      </c>
      <c r="R133" t="s">
        <v>168</v>
      </c>
      <c r="S133" t="s">
        <v>23</v>
      </c>
      <c r="T133" t="s">
        <v>127</v>
      </c>
    </row>
    <row r="134" spans="1:20" x14ac:dyDescent="0.25">
      <c r="A134">
        <v>9</v>
      </c>
      <c r="B134">
        <v>163</v>
      </c>
      <c r="C134" t="str">
        <f t="shared" si="14"/>
        <v>00</v>
      </c>
      <c r="D134">
        <v>2159</v>
      </c>
      <c r="E134" t="str">
        <f t="shared" si="15"/>
        <v>00</v>
      </c>
      <c r="F134" t="str">
        <f>"130"</f>
        <v>130</v>
      </c>
      <c r="G134">
        <v>9</v>
      </c>
      <c r="H134" t="str">
        <f t="shared" si="16"/>
        <v>00</v>
      </c>
      <c r="I134" t="str">
        <f t="shared" si="17"/>
        <v>0</v>
      </c>
      <c r="J134" t="str">
        <f t="shared" si="18"/>
        <v>00</v>
      </c>
      <c r="K134">
        <v>20181015</v>
      </c>
      <c r="L134" t="str">
        <f t="shared" si="12"/>
        <v>027180</v>
      </c>
      <c r="M134" t="str">
        <f t="shared" si="13"/>
        <v>54196</v>
      </c>
      <c r="N134" t="s">
        <v>50</v>
      </c>
      <c r="O134" s="1">
        <v>7833</v>
      </c>
      <c r="P134">
        <v>20181015</v>
      </c>
      <c r="Q134" t="s">
        <v>128</v>
      </c>
      <c r="R134" t="s">
        <v>169</v>
      </c>
      <c r="S134" t="s">
        <v>23</v>
      </c>
      <c r="T134" t="s">
        <v>112</v>
      </c>
    </row>
    <row r="135" spans="1:20" x14ac:dyDescent="0.25">
      <c r="A135">
        <v>9</v>
      </c>
      <c r="B135">
        <v>163</v>
      </c>
      <c r="C135" t="str">
        <f t="shared" si="14"/>
        <v>00</v>
      </c>
      <c r="D135">
        <v>2159</v>
      </c>
      <c r="E135" t="str">
        <f t="shared" si="15"/>
        <v>00</v>
      </c>
      <c r="F135" t="str">
        <f>"131"</f>
        <v>131</v>
      </c>
      <c r="G135">
        <v>9</v>
      </c>
      <c r="H135" t="str">
        <f t="shared" si="16"/>
        <v>00</v>
      </c>
      <c r="I135" t="str">
        <f t="shared" si="17"/>
        <v>0</v>
      </c>
      <c r="J135" t="str">
        <f t="shared" si="18"/>
        <v>00</v>
      </c>
      <c r="K135">
        <v>20181015</v>
      </c>
      <c r="L135" t="str">
        <f t="shared" si="12"/>
        <v>027180</v>
      </c>
      <c r="M135" t="str">
        <f t="shared" si="13"/>
        <v>54196</v>
      </c>
      <c r="N135" t="s">
        <v>50</v>
      </c>
      <c r="O135" s="1">
        <v>1050</v>
      </c>
      <c r="P135">
        <v>20181015</v>
      </c>
      <c r="Q135" t="s">
        <v>51</v>
      </c>
      <c r="R135" t="s">
        <v>164</v>
      </c>
      <c r="S135" t="s">
        <v>23</v>
      </c>
      <c r="T135" t="s">
        <v>53</v>
      </c>
    </row>
    <row r="136" spans="1:20" x14ac:dyDescent="0.25">
      <c r="A136">
        <v>9</v>
      </c>
      <c r="B136">
        <v>163</v>
      </c>
      <c r="C136" t="str">
        <f t="shared" si="14"/>
        <v>00</v>
      </c>
      <c r="D136">
        <v>2159</v>
      </c>
      <c r="E136" t="str">
        <f t="shared" si="15"/>
        <v>00</v>
      </c>
      <c r="F136" t="str">
        <f>"136"</f>
        <v>136</v>
      </c>
      <c r="G136">
        <v>9</v>
      </c>
      <c r="H136" t="str">
        <f t="shared" si="16"/>
        <v>00</v>
      </c>
      <c r="I136" t="str">
        <f t="shared" si="17"/>
        <v>0</v>
      </c>
      <c r="J136" t="str">
        <f t="shared" si="18"/>
        <v>00</v>
      </c>
      <c r="K136">
        <v>20181015</v>
      </c>
      <c r="L136" t="str">
        <f t="shared" si="12"/>
        <v>027180</v>
      </c>
      <c r="M136" t="str">
        <f t="shared" si="13"/>
        <v>54196</v>
      </c>
      <c r="N136" t="s">
        <v>50</v>
      </c>
      <c r="O136" s="1">
        <v>1475</v>
      </c>
      <c r="P136">
        <v>20181015</v>
      </c>
      <c r="Q136" t="s">
        <v>130</v>
      </c>
      <c r="R136" t="s">
        <v>170</v>
      </c>
      <c r="S136" t="s">
        <v>23</v>
      </c>
      <c r="T136" t="s">
        <v>132</v>
      </c>
    </row>
    <row r="137" spans="1:20" x14ac:dyDescent="0.25">
      <c r="A137">
        <v>9</v>
      </c>
      <c r="B137">
        <v>163</v>
      </c>
      <c r="C137" t="str">
        <f t="shared" si="14"/>
        <v>00</v>
      </c>
      <c r="D137">
        <v>2159</v>
      </c>
      <c r="E137" t="str">
        <f t="shared" si="15"/>
        <v>00</v>
      </c>
      <c r="F137" t="str">
        <f>"137"</f>
        <v>137</v>
      </c>
      <c r="G137">
        <v>9</v>
      </c>
      <c r="H137" t="str">
        <f t="shared" si="16"/>
        <v>00</v>
      </c>
      <c r="I137" t="str">
        <f t="shared" si="17"/>
        <v>0</v>
      </c>
      <c r="J137" t="str">
        <f t="shared" si="18"/>
        <v>00</v>
      </c>
      <c r="K137">
        <v>20181015</v>
      </c>
      <c r="L137" t="str">
        <f t="shared" si="12"/>
        <v>027180</v>
      </c>
      <c r="M137" t="str">
        <f t="shared" si="13"/>
        <v>54196</v>
      </c>
      <c r="N137" t="s">
        <v>50</v>
      </c>
      <c r="O137" s="1">
        <v>4680</v>
      </c>
      <c r="P137">
        <v>20181015</v>
      </c>
      <c r="Q137" t="s">
        <v>133</v>
      </c>
      <c r="R137" t="s">
        <v>169</v>
      </c>
      <c r="S137" t="s">
        <v>23</v>
      </c>
      <c r="T137" t="s">
        <v>134</v>
      </c>
    </row>
    <row r="138" spans="1:20" x14ac:dyDescent="0.25">
      <c r="A138">
        <v>9</v>
      </c>
      <c r="B138">
        <v>163</v>
      </c>
      <c r="C138" t="str">
        <f t="shared" si="14"/>
        <v>00</v>
      </c>
      <c r="D138">
        <v>2159</v>
      </c>
      <c r="E138" t="str">
        <f t="shared" si="15"/>
        <v>00</v>
      </c>
      <c r="F138" t="str">
        <f>"138"</f>
        <v>138</v>
      </c>
      <c r="G138">
        <v>9</v>
      </c>
      <c r="H138" t="str">
        <f t="shared" si="16"/>
        <v>00</v>
      </c>
      <c r="I138" t="str">
        <f t="shared" si="17"/>
        <v>0</v>
      </c>
      <c r="J138" t="str">
        <f t="shared" si="18"/>
        <v>00</v>
      </c>
      <c r="K138">
        <v>20181015</v>
      </c>
      <c r="L138" t="str">
        <f t="shared" si="12"/>
        <v>027180</v>
      </c>
      <c r="M138" t="str">
        <f t="shared" si="13"/>
        <v>54196</v>
      </c>
      <c r="N138" t="s">
        <v>50</v>
      </c>
      <c r="O138">
        <v>300</v>
      </c>
      <c r="P138">
        <v>20181015</v>
      </c>
      <c r="Q138" t="s">
        <v>135</v>
      </c>
      <c r="R138" t="s">
        <v>170</v>
      </c>
      <c r="S138" t="s">
        <v>23</v>
      </c>
      <c r="T138" t="s">
        <v>134</v>
      </c>
    </row>
    <row r="139" spans="1:20" x14ac:dyDescent="0.25">
      <c r="A139">
        <v>9</v>
      </c>
      <c r="B139">
        <v>163</v>
      </c>
      <c r="C139" t="str">
        <f t="shared" si="14"/>
        <v>00</v>
      </c>
      <c r="D139">
        <v>2159</v>
      </c>
      <c r="E139" t="str">
        <f t="shared" si="15"/>
        <v>00</v>
      </c>
      <c r="F139" t="str">
        <f>"150"</f>
        <v>150</v>
      </c>
      <c r="G139">
        <v>9</v>
      </c>
      <c r="H139" t="str">
        <f t="shared" si="16"/>
        <v>00</v>
      </c>
      <c r="I139" t="str">
        <f t="shared" si="17"/>
        <v>0</v>
      </c>
      <c r="J139" t="str">
        <f t="shared" si="18"/>
        <v>00</v>
      </c>
      <c r="K139">
        <v>20181015</v>
      </c>
      <c r="L139" t="str">
        <f t="shared" si="12"/>
        <v>027180</v>
      </c>
      <c r="M139" t="str">
        <f t="shared" si="13"/>
        <v>54196</v>
      </c>
      <c r="N139" t="s">
        <v>50</v>
      </c>
      <c r="O139">
        <v>200</v>
      </c>
      <c r="P139">
        <v>20181015</v>
      </c>
      <c r="Q139" t="s">
        <v>136</v>
      </c>
      <c r="R139" t="s">
        <v>164</v>
      </c>
      <c r="S139" t="s">
        <v>23</v>
      </c>
      <c r="T139" t="s">
        <v>137</v>
      </c>
    </row>
    <row r="140" spans="1:20" x14ac:dyDescent="0.25">
      <c r="A140">
        <v>9</v>
      </c>
      <c r="B140">
        <v>163</v>
      </c>
      <c r="C140" t="str">
        <f t="shared" si="14"/>
        <v>00</v>
      </c>
      <c r="D140">
        <v>2159</v>
      </c>
      <c r="E140" t="str">
        <f t="shared" si="15"/>
        <v>00</v>
      </c>
      <c r="F140" t="str">
        <f>"111"</f>
        <v>111</v>
      </c>
      <c r="G140">
        <v>9</v>
      </c>
      <c r="H140" t="str">
        <f t="shared" si="16"/>
        <v>00</v>
      </c>
      <c r="I140" t="str">
        <f t="shared" si="17"/>
        <v>0</v>
      </c>
      <c r="J140" t="str">
        <f t="shared" si="18"/>
        <v>00</v>
      </c>
      <c r="K140">
        <v>20181015</v>
      </c>
      <c r="L140" t="str">
        <f>"027181"</f>
        <v>027181</v>
      </c>
      <c r="M140" t="str">
        <f>"72601"</f>
        <v>72601</v>
      </c>
      <c r="N140" t="s">
        <v>54</v>
      </c>
      <c r="O140" s="1">
        <v>9200.94</v>
      </c>
      <c r="P140">
        <v>20181015</v>
      </c>
      <c r="Q140" t="s">
        <v>55</v>
      </c>
      <c r="R140" t="s">
        <v>161</v>
      </c>
      <c r="S140" t="s">
        <v>23</v>
      </c>
      <c r="T140" t="s">
        <v>56</v>
      </c>
    </row>
    <row r="141" spans="1:20" x14ac:dyDescent="0.25">
      <c r="A141">
        <v>9</v>
      </c>
      <c r="B141">
        <v>163</v>
      </c>
      <c r="C141" t="str">
        <f t="shared" si="14"/>
        <v>00</v>
      </c>
      <c r="D141">
        <v>2153</v>
      </c>
      <c r="E141" t="str">
        <f t="shared" si="15"/>
        <v>00</v>
      </c>
      <c r="F141" t="str">
        <f>"006"</f>
        <v>006</v>
      </c>
      <c r="G141">
        <v>9</v>
      </c>
      <c r="H141" t="str">
        <f t="shared" si="16"/>
        <v>00</v>
      </c>
      <c r="I141" t="str">
        <f t="shared" si="17"/>
        <v>0</v>
      </c>
      <c r="J141" t="str">
        <f t="shared" si="18"/>
        <v>00</v>
      </c>
      <c r="K141">
        <v>20181015</v>
      </c>
      <c r="L141" t="str">
        <f>"027182"</f>
        <v>027182</v>
      </c>
      <c r="M141" t="str">
        <f>"75452"</f>
        <v>75452</v>
      </c>
      <c r="N141" t="s">
        <v>57</v>
      </c>
      <c r="O141" s="1">
        <v>9141.61</v>
      </c>
      <c r="P141">
        <v>20181015</v>
      </c>
      <c r="Q141" t="s">
        <v>58</v>
      </c>
      <c r="R141" t="s">
        <v>158</v>
      </c>
      <c r="S141" t="s">
        <v>23</v>
      </c>
      <c r="T141" t="s">
        <v>59</v>
      </c>
    </row>
    <row r="142" spans="1:20" x14ac:dyDescent="0.25">
      <c r="A142">
        <v>9</v>
      </c>
      <c r="B142">
        <v>163</v>
      </c>
      <c r="C142" t="str">
        <f t="shared" si="14"/>
        <v>00</v>
      </c>
      <c r="D142">
        <v>2159</v>
      </c>
      <c r="E142" t="str">
        <f t="shared" si="15"/>
        <v>00</v>
      </c>
      <c r="F142" t="str">
        <f>"099"</f>
        <v>099</v>
      </c>
      <c r="G142">
        <v>9</v>
      </c>
      <c r="H142" t="str">
        <f t="shared" si="16"/>
        <v>00</v>
      </c>
      <c r="I142" t="str">
        <f t="shared" si="17"/>
        <v>0</v>
      </c>
      <c r="J142" t="str">
        <f t="shared" si="18"/>
        <v>00</v>
      </c>
      <c r="K142">
        <v>20181015</v>
      </c>
      <c r="L142" t="str">
        <f>"027182"</f>
        <v>027182</v>
      </c>
      <c r="M142" t="str">
        <f>"75452"</f>
        <v>75452</v>
      </c>
      <c r="N142" t="s">
        <v>57</v>
      </c>
      <c r="O142">
        <v>300</v>
      </c>
      <c r="P142">
        <v>20181015</v>
      </c>
      <c r="Q142" t="s">
        <v>171</v>
      </c>
      <c r="R142" t="s">
        <v>172</v>
      </c>
      <c r="S142" t="s">
        <v>23</v>
      </c>
      <c r="T142" t="s">
        <v>173</v>
      </c>
    </row>
    <row r="143" spans="1:20" x14ac:dyDescent="0.25">
      <c r="A143">
        <v>9</v>
      </c>
      <c r="B143">
        <v>163</v>
      </c>
      <c r="C143" t="str">
        <f t="shared" si="14"/>
        <v>00</v>
      </c>
      <c r="D143">
        <v>2159</v>
      </c>
      <c r="E143" t="str">
        <f t="shared" si="15"/>
        <v>00</v>
      </c>
      <c r="F143" t="str">
        <f>"048"</f>
        <v>048</v>
      </c>
      <c r="G143">
        <v>9</v>
      </c>
      <c r="H143" t="str">
        <f t="shared" si="16"/>
        <v>00</v>
      </c>
      <c r="I143" t="str">
        <f t="shared" si="17"/>
        <v>0</v>
      </c>
      <c r="J143" t="str">
        <f t="shared" si="18"/>
        <v>00</v>
      </c>
      <c r="K143">
        <v>20181015</v>
      </c>
      <c r="L143" t="str">
        <f>"027183"</f>
        <v>027183</v>
      </c>
      <c r="M143" t="str">
        <f>"77030"</f>
        <v>77030</v>
      </c>
      <c r="N143" t="s">
        <v>139</v>
      </c>
      <c r="O143">
        <v>155.25</v>
      </c>
      <c r="P143">
        <v>20181015</v>
      </c>
      <c r="Q143" t="s">
        <v>140</v>
      </c>
      <c r="R143" t="s">
        <v>161</v>
      </c>
      <c r="S143" t="s">
        <v>23</v>
      </c>
      <c r="T143" t="s">
        <v>141</v>
      </c>
    </row>
    <row r="144" spans="1:20" x14ac:dyDescent="0.25">
      <c r="A144">
        <v>9</v>
      </c>
      <c r="B144">
        <v>163</v>
      </c>
      <c r="C144" t="str">
        <f t="shared" si="14"/>
        <v>00</v>
      </c>
      <c r="D144">
        <v>2159</v>
      </c>
      <c r="E144" t="str">
        <f t="shared" si="15"/>
        <v>00</v>
      </c>
      <c r="F144" t="str">
        <f>"005"</f>
        <v>005</v>
      </c>
      <c r="G144">
        <v>9</v>
      </c>
      <c r="H144" t="str">
        <f t="shared" si="16"/>
        <v>00</v>
      </c>
      <c r="I144" t="str">
        <f t="shared" si="17"/>
        <v>0</v>
      </c>
      <c r="J144" t="str">
        <f t="shared" si="18"/>
        <v>00</v>
      </c>
      <c r="K144">
        <v>20181015</v>
      </c>
      <c r="L144" t="str">
        <f>"027184"</f>
        <v>027184</v>
      </c>
      <c r="M144" t="str">
        <f>"79562"</f>
        <v>79562</v>
      </c>
      <c r="N144" t="s">
        <v>142</v>
      </c>
      <c r="O144">
        <v>156.69999999999999</v>
      </c>
      <c r="P144">
        <v>20181015</v>
      </c>
      <c r="Q144" t="s">
        <v>143</v>
      </c>
      <c r="R144" t="s">
        <v>174</v>
      </c>
      <c r="S144" t="s">
        <v>23</v>
      </c>
      <c r="T144" t="s">
        <v>145</v>
      </c>
    </row>
    <row r="145" spans="1:20" x14ac:dyDescent="0.25">
      <c r="A145">
        <v>9</v>
      </c>
      <c r="B145">
        <v>163</v>
      </c>
      <c r="C145" t="str">
        <f t="shared" si="14"/>
        <v>00</v>
      </c>
      <c r="D145">
        <v>2159</v>
      </c>
      <c r="E145" t="str">
        <f t="shared" si="15"/>
        <v>00</v>
      </c>
      <c r="F145" t="str">
        <f>"034"</f>
        <v>034</v>
      </c>
      <c r="G145">
        <v>9</v>
      </c>
      <c r="H145" t="str">
        <f t="shared" si="16"/>
        <v>00</v>
      </c>
      <c r="I145" t="str">
        <f t="shared" si="17"/>
        <v>0</v>
      </c>
      <c r="J145" t="str">
        <f t="shared" si="18"/>
        <v>00</v>
      </c>
      <c r="K145">
        <v>20181015</v>
      </c>
      <c r="L145" t="str">
        <f>"027185"</f>
        <v>027185</v>
      </c>
      <c r="M145" t="str">
        <f>"79762"</f>
        <v>79762</v>
      </c>
      <c r="N145" t="s">
        <v>146</v>
      </c>
      <c r="O145" s="1">
        <v>1255</v>
      </c>
      <c r="P145">
        <v>20181015</v>
      </c>
      <c r="Q145" t="s">
        <v>147</v>
      </c>
      <c r="R145" t="s">
        <v>161</v>
      </c>
      <c r="S145" t="s">
        <v>23</v>
      </c>
      <c r="T145" t="s">
        <v>148</v>
      </c>
    </row>
    <row r="146" spans="1:20" x14ac:dyDescent="0.25">
      <c r="A146">
        <v>9</v>
      </c>
      <c r="B146">
        <v>163</v>
      </c>
      <c r="C146" t="str">
        <f t="shared" si="14"/>
        <v>00</v>
      </c>
      <c r="D146">
        <v>2159</v>
      </c>
      <c r="E146" t="str">
        <f t="shared" si="15"/>
        <v>00</v>
      </c>
      <c r="F146" t="str">
        <f>"086"</f>
        <v>086</v>
      </c>
      <c r="G146">
        <v>9</v>
      </c>
      <c r="H146" t="str">
        <f t="shared" si="16"/>
        <v>00</v>
      </c>
      <c r="I146" t="str">
        <f t="shared" si="17"/>
        <v>0</v>
      </c>
      <c r="J146" t="str">
        <f t="shared" si="18"/>
        <v>00</v>
      </c>
      <c r="K146">
        <v>20181015</v>
      </c>
      <c r="L146" t="str">
        <f>"027186"</f>
        <v>027186</v>
      </c>
      <c r="M146" t="str">
        <f>"81155"</f>
        <v>81155</v>
      </c>
      <c r="N146" t="s">
        <v>149</v>
      </c>
      <c r="O146">
        <v>215</v>
      </c>
      <c r="P146">
        <v>20181015</v>
      </c>
      <c r="Q146" t="s">
        <v>150</v>
      </c>
      <c r="R146" t="s">
        <v>161</v>
      </c>
      <c r="S146" t="s">
        <v>23</v>
      </c>
      <c r="T146" t="s">
        <v>151</v>
      </c>
    </row>
    <row r="147" spans="1:20" x14ac:dyDescent="0.25">
      <c r="A147">
        <v>9</v>
      </c>
      <c r="B147">
        <v>163</v>
      </c>
      <c r="C147" t="str">
        <f t="shared" si="14"/>
        <v>00</v>
      </c>
      <c r="D147">
        <v>2159</v>
      </c>
      <c r="E147" t="str">
        <f t="shared" si="15"/>
        <v>00</v>
      </c>
      <c r="F147" t="str">
        <f>"106"</f>
        <v>106</v>
      </c>
      <c r="G147">
        <v>9</v>
      </c>
      <c r="H147" t="str">
        <f t="shared" si="16"/>
        <v>00</v>
      </c>
      <c r="I147" t="str">
        <f t="shared" si="17"/>
        <v>0</v>
      </c>
      <c r="J147" t="str">
        <f t="shared" si="18"/>
        <v>00</v>
      </c>
      <c r="K147">
        <v>20181015</v>
      </c>
      <c r="L147" t="str">
        <f>"027187"</f>
        <v>027187</v>
      </c>
      <c r="M147" t="str">
        <f>"81173"</f>
        <v>81173</v>
      </c>
      <c r="N147" t="s">
        <v>60</v>
      </c>
      <c r="O147">
        <v>832.75</v>
      </c>
      <c r="P147">
        <v>20181015</v>
      </c>
      <c r="Q147" t="s">
        <v>61</v>
      </c>
      <c r="R147" t="s">
        <v>161</v>
      </c>
      <c r="S147" t="s">
        <v>23</v>
      </c>
      <c r="T147" t="s">
        <v>62</v>
      </c>
    </row>
    <row r="148" spans="1:20" x14ac:dyDescent="0.25">
      <c r="A148">
        <v>9</v>
      </c>
      <c r="B148">
        <v>163</v>
      </c>
      <c r="C148" t="str">
        <f t="shared" si="14"/>
        <v>00</v>
      </c>
      <c r="D148">
        <v>2159</v>
      </c>
      <c r="E148" t="str">
        <f t="shared" si="15"/>
        <v>00</v>
      </c>
      <c r="F148" t="str">
        <f>"007"</f>
        <v>007</v>
      </c>
      <c r="G148">
        <v>9</v>
      </c>
      <c r="H148" t="str">
        <f t="shared" si="16"/>
        <v>00</v>
      </c>
      <c r="I148" t="str">
        <f t="shared" si="17"/>
        <v>0</v>
      </c>
      <c r="J148" t="str">
        <f t="shared" si="18"/>
        <v>00</v>
      </c>
      <c r="K148">
        <v>20181015</v>
      </c>
      <c r="L148" t="str">
        <f>"027188"</f>
        <v>027188</v>
      </c>
      <c r="M148" t="str">
        <f>"81174"</f>
        <v>81174</v>
      </c>
      <c r="N148" t="s">
        <v>63</v>
      </c>
      <c r="O148" s="1">
        <v>1733.15</v>
      </c>
      <c r="P148">
        <v>20181015</v>
      </c>
      <c r="Q148" t="s">
        <v>64</v>
      </c>
      <c r="R148" t="s">
        <v>161</v>
      </c>
      <c r="S148" t="s">
        <v>23</v>
      </c>
      <c r="T148" t="s">
        <v>65</v>
      </c>
    </row>
    <row r="149" spans="1:20" x14ac:dyDescent="0.25">
      <c r="A149">
        <v>9</v>
      </c>
      <c r="B149">
        <v>163</v>
      </c>
      <c r="C149" t="str">
        <f t="shared" si="14"/>
        <v>00</v>
      </c>
      <c r="D149">
        <v>2159</v>
      </c>
      <c r="E149" t="str">
        <f t="shared" si="15"/>
        <v>00</v>
      </c>
      <c r="F149" t="str">
        <f>"100"</f>
        <v>100</v>
      </c>
      <c r="G149">
        <v>9</v>
      </c>
      <c r="H149" t="str">
        <f t="shared" si="16"/>
        <v>00</v>
      </c>
      <c r="I149" t="str">
        <f t="shared" si="17"/>
        <v>0</v>
      </c>
      <c r="J149" t="str">
        <f t="shared" si="18"/>
        <v>00</v>
      </c>
      <c r="K149">
        <v>20181015</v>
      </c>
      <c r="L149" t="str">
        <f>"027189"</f>
        <v>027189</v>
      </c>
      <c r="M149" t="str">
        <f>"81177"</f>
        <v>81177</v>
      </c>
      <c r="N149" t="s">
        <v>66</v>
      </c>
      <c r="O149">
        <v>48</v>
      </c>
      <c r="P149">
        <v>20181015</v>
      </c>
      <c r="Q149" t="s">
        <v>67</v>
      </c>
      <c r="R149" t="s">
        <v>161</v>
      </c>
      <c r="S149" t="s">
        <v>23</v>
      </c>
      <c r="T149" t="s">
        <v>68</v>
      </c>
    </row>
    <row r="150" spans="1:20" x14ac:dyDescent="0.25">
      <c r="A150">
        <v>9</v>
      </c>
      <c r="B150">
        <v>163</v>
      </c>
      <c r="C150" t="str">
        <f t="shared" si="14"/>
        <v>00</v>
      </c>
      <c r="D150">
        <v>2159</v>
      </c>
      <c r="E150" t="str">
        <f t="shared" si="15"/>
        <v>00</v>
      </c>
      <c r="F150" t="str">
        <f>"123"</f>
        <v>123</v>
      </c>
      <c r="G150">
        <v>9</v>
      </c>
      <c r="H150" t="str">
        <f t="shared" si="16"/>
        <v>00</v>
      </c>
      <c r="I150" t="str">
        <f t="shared" si="17"/>
        <v>0</v>
      </c>
      <c r="J150" t="str">
        <f t="shared" si="18"/>
        <v>00</v>
      </c>
      <c r="K150">
        <v>20181015</v>
      </c>
      <c r="L150" t="str">
        <f>"027190"</f>
        <v>027190</v>
      </c>
      <c r="M150" t="str">
        <f>"81753"</f>
        <v>81753</v>
      </c>
      <c r="N150" t="s">
        <v>154</v>
      </c>
      <c r="O150" s="1">
        <v>1367.05</v>
      </c>
      <c r="P150">
        <v>20181015</v>
      </c>
      <c r="Q150" t="s">
        <v>155</v>
      </c>
      <c r="R150" t="s">
        <v>161</v>
      </c>
      <c r="S150" t="s">
        <v>23</v>
      </c>
      <c r="T150" t="s">
        <v>154</v>
      </c>
    </row>
    <row r="151" spans="1:20" x14ac:dyDescent="0.25">
      <c r="A151">
        <v>9</v>
      </c>
      <c r="B151">
        <v>163</v>
      </c>
      <c r="C151" t="str">
        <f t="shared" si="14"/>
        <v>00</v>
      </c>
      <c r="D151">
        <v>2153</v>
      </c>
      <c r="E151" t="str">
        <f t="shared" si="15"/>
        <v>00</v>
      </c>
      <c r="F151" t="str">
        <f>"141"</f>
        <v>141</v>
      </c>
      <c r="G151">
        <v>9</v>
      </c>
      <c r="H151" t="str">
        <f t="shared" si="16"/>
        <v>00</v>
      </c>
      <c r="I151" t="str">
        <f t="shared" si="17"/>
        <v>0</v>
      </c>
      <c r="J151" t="str">
        <f t="shared" si="18"/>
        <v>00</v>
      </c>
      <c r="K151">
        <v>20181019</v>
      </c>
      <c r="L151" t="str">
        <f>"027191"</f>
        <v>027191</v>
      </c>
      <c r="M151" t="str">
        <f>"00068"</f>
        <v>00068</v>
      </c>
      <c r="N151" t="s">
        <v>20</v>
      </c>
      <c r="O151">
        <v>431.93</v>
      </c>
      <c r="P151">
        <v>20181019</v>
      </c>
      <c r="Q151" t="s">
        <v>21</v>
      </c>
      <c r="R151" t="s">
        <v>157</v>
      </c>
      <c r="S151" t="s">
        <v>23</v>
      </c>
      <c r="T151" t="s">
        <v>24</v>
      </c>
    </row>
    <row r="152" spans="1:20" x14ac:dyDescent="0.25">
      <c r="A152">
        <v>9</v>
      </c>
      <c r="B152">
        <v>163</v>
      </c>
      <c r="C152" t="str">
        <f t="shared" si="14"/>
        <v>00</v>
      </c>
      <c r="D152">
        <v>2153</v>
      </c>
      <c r="E152" t="str">
        <f t="shared" si="15"/>
        <v>00</v>
      </c>
      <c r="F152" t="str">
        <f>"142"</f>
        <v>142</v>
      </c>
      <c r="G152">
        <v>9</v>
      </c>
      <c r="H152" t="str">
        <f t="shared" si="16"/>
        <v>00</v>
      </c>
      <c r="I152" t="str">
        <f t="shared" si="17"/>
        <v>0</v>
      </c>
      <c r="J152" t="str">
        <f t="shared" si="18"/>
        <v>00</v>
      </c>
      <c r="K152">
        <v>20181019</v>
      </c>
      <c r="L152" t="str">
        <f>"027191"</f>
        <v>027191</v>
      </c>
      <c r="M152" t="str">
        <f>"00068"</f>
        <v>00068</v>
      </c>
      <c r="N152" t="s">
        <v>20</v>
      </c>
      <c r="O152">
        <v>374.57</v>
      </c>
      <c r="P152">
        <v>20181019</v>
      </c>
      <c r="Q152" t="s">
        <v>25</v>
      </c>
      <c r="R152" t="s">
        <v>158</v>
      </c>
      <c r="S152" t="s">
        <v>23</v>
      </c>
      <c r="T152" t="s">
        <v>27</v>
      </c>
    </row>
    <row r="153" spans="1:20" x14ac:dyDescent="0.25">
      <c r="A153">
        <v>9</v>
      </c>
      <c r="B153">
        <v>163</v>
      </c>
      <c r="C153" t="str">
        <f t="shared" si="14"/>
        <v>00</v>
      </c>
      <c r="D153">
        <v>2159</v>
      </c>
      <c r="E153" t="str">
        <f t="shared" si="15"/>
        <v>00</v>
      </c>
      <c r="F153" t="str">
        <f>"148"</f>
        <v>148</v>
      </c>
      <c r="G153">
        <v>9</v>
      </c>
      <c r="H153" t="str">
        <f t="shared" si="16"/>
        <v>00</v>
      </c>
      <c r="I153" t="str">
        <f t="shared" si="17"/>
        <v>0</v>
      </c>
      <c r="J153" t="str">
        <f t="shared" si="18"/>
        <v>00</v>
      </c>
      <c r="K153">
        <v>20181019</v>
      </c>
      <c r="L153" t="str">
        <f>"027192"</f>
        <v>027192</v>
      </c>
      <c r="M153" t="str">
        <f>"00528"</f>
        <v>00528</v>
      </c>
      <c r="N153" t="s">
        <v>159</v>
      </c>
      <c r="O153">
        <v>22.5</v>
      </c>
      <c r="P153">
        <v>20181019</v>
      </c>
      <c r="Q153" t="s">
        <v>160</v>
      </c>
      <c r="R153" t="s">
        <v>161</v>
      </c>
      <c r="S153" t="s">
        <v>23</v>
      </c>
      <c r="T153" t="s">
        <v>162</v>
      </c>
    </row>
    <row r="154" spans="1:20" x14ac:dyDescent="0.25">
      <c r="A154">
        <v>9</v>
      </c>
      <c r="B154">
        <v>163</v>
      </c>
      <c r="C154" t="str">
        <f t="shared" si="14"/>
        <v>00</v>
      </c>
      <c r="D154">
        <v>2153</v>
      </c>
      <c r="E154" t="str">
        <f t="shared" si="15"/>
        <v>00</v>
      </c>
      <c r="F154" t="str">
        <f>"022"</f>
        <v>022</v>
      </c>
      <c r="G154">
        <v>9</v>
      </c>
      <c r="H154" t="str">
        <f t="shared" si="16"/>
        <v>00</v>
      </c>
      <c r="I154" t="str">
        <f t="shared" si="17"/>
        <v>0</v>
      </c>
      <c r="J154" t="str">
        <f t="shared" si="18"/>
        <v>00</v>
      </c>
      <c r="K154">
        <v>20181019</v>
      </c>
      <c r="L154" t="str">
        <f>"027193"</f>
        <v>027193</v>
      </c>
      <c r="M154" t="str">
        <f>"04831"</f>
        <v>04831</v>
      </c>
      <c r="N154" t="s">
        <v>28</v>
      </c>
      <c r="O154">
        <v>16.77</v>
      </c>
      <c r="P154">
        <v>20181019</v>
      </c>
      <c r="Q154" t="s">
        <v>29</v>
      </c>
      <c r="R154" t="s">
        <v>158</v>
      </c>
      <c r="S154" t="s">
        <v>23</v>
      </c>
      <c r="T154" t="s">
        <v>30</v>
      </c>
    </row>
    <row r="155" spans="1:20" x14ac:dyDescent="0.25">
      <c r="A155">
        <v>9</v>
      </c>
      <c r="B155">
        <v>163</v>
      </c>
      <c r="C155" t="str">
        <f t="shared" si="14"/>
        <v>00</v>
      </c>
      <c r="D155">
        <v>2159</v>
      </c>
      <c r="E155" t="str">
        <f t="shared" si="15"/>
        <v>00</v>
      </c>
      <c r="F155" t="str">
        <f>"018"</f>
        <v>018</v>
      </c>
      <c r="G155">
        <v>9</v>
      </c>
      <c r="H155" t="str">
        <f t="shared" si="16"/>
        <v>00</v>
      </c>
      <c r="I155" t="str">
        <f t="shared" si="17"/>
        <v>0</v>
      </c>
      <c r="J155" t="str">
        <f t="shared" si="18"/>
        <v>00</v>
      </c>
      <c r="K155">
        <v>20181019</v>
      </c>
      <c r="L155" t="str">
        <f>"027194"</f>
        <v>027194</v>
      </c>
      <c r="M155" t="str">
        <f>"04905"</f>
        <v>04905</v>
      </c>
      <c r="N155" t="s">
        <v>31</v>
      </c>
      <c r="O155">
        <v>36.700000000000003</v>
      </c>
      <c r="P155">
        <v>20181019</v>
      </c>
      <c r="Q155" t="s">
        <v>32</v>
      </c>
      <c r="R155" t="s">
        <v>161</v>
      </c>
      <c r="S155" t="s">
        <v>23</v>
      </c>
      <c r="T155" t="s">
        <v>34</v>
      </c>
    </row>
    <row r="156" spans="1:20" x14ac:dyDescent="0.25">
      <c r="A156">
        <v>9</v>
      </c>
      <c r="B156">
        <v>163</v>
      </c>
      <c r="C156" t="str">
        <f t="shared" si="14"/>
        <v>00</v>
      </c>
      <c r="D156">
        <v>2153</v>
      </c>
      <c r="E156" t="str">
        <f t="shared" si="15"/>
        <v>00</v>
      </c>
      <c r="F156" t="str">
        <f>"053"</f>
        <v>053</v>
      </c>
      <c r="G156">
        <v>9</v>
      </c>
      <c r="H156" t="str">
        <f t="shared" si="16"/>
        <v>00</v>
      </c>
      <c r="I156" t="str">
        <f t="shared" si="17"/>
        <v>0</v>
      </c>
      <c r="J156" t="str">
        <f t="shared" si="18"/>
        <v>00</v>
      </c>
      <c r="K156">
        <v>20181019</v>
      </c>
      <c r="L156" t="str">
        <f>"027195"</f>
        <v>027195</v>
      </c>
      <c r="M156" t="str">
        <f>"04987"</f>
        <v>04987</v>
      </c>
      <c r="N156" t="s">
        <v>35</v>
      </c>
      <c r="O156">
        <v>13.32</v>
      </c>
      <c r="P156">
        <v>20181019</v>
      </c>
      <c r="Q156" t="s">
        <v>36</v>
      </c>
      <c r="R156" t="s">
        <v>158</v>
      </c>
      <c r="S156" t="s">
        <v>23</v>
      </c>
      <c r="T156" t="s">
        <v>37</v>
      </c>
    </row>
    <row r="157" spans="1:20" x14ac:dyDescent="0.25">
      <c r="A157">
        <v>9</v>
      </c>
      <c r="B157">
        <v>163</v>
      </c>
      <c r="C157" t="str">
        <f t="shared" si="14"/>
        <v>00</v>
      </c>
      <c r="D157">
        <v>2159</v>
      </c>
      <c r="E157" t="str">
        <f t="shared" si="15"/>
        <v>00</v>
      </c>
      <c r="F157" t="str">
        <f>"009"</f>
        <v>009</v>
      </c>
      <c r="G157">
        <v>9</v>
      </c>
      <c r="H157" t="str">
        <f t="shared" si="16"/>
        <v>00</v>
      </c>
      <c r="I157" t="str">
        <f t="shared" si="17"/>
        <v>0</v>
      </c>
      <c r="J157" t="str">
        <f t="shared" si="18"/>
        <v>00</v>
      </c>
      <c r="K157">
        <v>20181019</v>
      </c>
      <c r="L157" t="str">
        <f>"027196"</f>
        <v>027196</v>
      </c>
      <c r="M157" t="str">
        <f>"07710"</f>
        <v>07710</v>
      </c>
      <c r="N157" t="s">
        <v>38</v>
      </c>
      <c r="O157">
        <v>15</v>
      </c>
      <c r="P157">
        <v>20181019</v>
      </c>
      <c r="Q157" t="s">
        <v>39</v>
      </c>
      <c r="R157" t="s">
        <v>161</v>
      </c>
      <c r="S157" t="s">
        <v>23</v>
      </c>
      <c r="T157" t="s">
        <v>40</v>
      </c>
    </row>
    <row r="158" spans="1:20" x14ac:dyDescent="0.25">
      <c r="A158">
        <v>9</v>
      </c>
      <c r="B158">
        <v>163</v>
      </c>
      <c r="C158" t="str">
        <f t="shared" si="14"/>
        <v>00</v>
      </c>
      <c r="D158">
        <v>2153</v>
      </c>
      <c r="E158" t="str">
        <f t="shared" si="15"/>
        <v>00</v>
      </c>
      <c r="F158" t="str">
        <f>"011"</f>
        <v>011</v>
      </c>
      <c r="G158">
        <v>9</v>
      </c>
      <c r="H158" t="str">
        <f t="shared" si="16"/>
        <v>00</v>
      </c>
      <c r="I158" t="str">
        <f t="shared" si="17"/>
        <v>0</v>
      </c>
      <c r="J158" t="str">
        <f t="shared" si="18"/>
        <v>00</v>
      </c>
      <c r="K158">
        <v>20181019</v>
      </c>
      <c r="L158" t="str">
        <f>"027197"</f>
        <v>027197</v>
      </c>
      <c r="M158" t="str">
        <f>"11211"</f>
        <v>11211</v>
      </c>
      <c r="N158" t="s">
        <v>41</v>
      </c>
      <c r="O158">
        <v>175.96</v>
      </c>
      <c r="P158">
        <v>20181019</v>
      </c>
      <c r="Q158" t="s">
        <v>42</v>
      </c>
      <c r="R158" t="s">
        <v>158</v>
      </c>
      <c r="S158" t="s">
        <v>23</v>
      </c>
      <c r="T158" t="s">
        <v>43</v>
      </c>
    </row>
    <row r="159" spans="1:20" x14ac:dyDescent="0.25">
      <c r="A159">
        <v>9</v>
      </c>
      <c r="B159">
        <v>163</v>
      </c>
      <c r="C159" t="str">
        <f t="shared" si="14"/>
        <v>00</v>
      </c>
      <c r="D159">
        <v>2159</v>
      </c>
      <c r="E159" t="str">
        <f t="shared" si="15"/>
        <v>00</v>
      </c>
      <c r="F159" t="str">
        <f>"104"</f>
        <v>104</v>
      </c>
      <c r="G159">
        <v>9</v>
      </c>
      <c r="H159" t="str">
        <f t="shared" si="16"/>
        <v>00</v>
      </c>
      <c r="I159" t="str">
        <f t="shared" si="17"/>
        <v>0</v>
      </c>
      <c r="J159" t="str">
        <f t="shared" si="18"/>
        <v>00</v>
      </c>
      <c r="K159">
        <v>20181019</v>
      </c>
      <c r="L159" t="str">
        <f>"027198"</f>
        <v>027198</v>
      </c>
      <c r="M159" t="str">
        <f>"14177"</f>
        <v>14177</v>
      </c>
      <c r="N159" t="s">
        <v>163</v>
      </c>
      <c r="O159">
        <v>35.75</v>
      </c>
      <c r="P159">
        <v>20181019</v>
      </c>
      <c r="Q159" t="s">
        <v>45</v>
      </c>
      <c r="R159" t="s">
        <v>161</v>
      </c>
      <c r="S159" t="s">
        <v>23</v>
      </c>
      <c r="T159" t="s">
        <v>46</v>
      </c>
    </row>
    <row r="160" spans="1:20" x14ac:dyDescent="0.25">
      <c r="A160">
        <v>9</v>
      </c>
      <c r="B160">
        <v>163</v>
      </c>
      <c r="C160" t="str">
        <f t="shared" si="14"/>
        <v>00</v>
      </c>
      <c r="D160">
        <v>2153</v>
      </c>
      <c r="E160" t="str">
        <f t="shared" si="15"/>
        <v>00</v>
      </c>
      <c r="F160" t="str">
        <f>"110"</f>
        <v>110</v>
      </c>
      <c r="G160">
        <v>9</v>
      </c>
      <c r="H160" t="str">
        <f t="shared" si="16"/>
        <v>00</v>
      </c>
      <c r="I160" t="str">
        <f t="shared" si="17"/>
        <v>0</v>
      </c>
      <c r="J160" t="str">
        <f t="shared" si="18"/>
        <v>00</v>
      </c>
      <c r="K160">
        <v>20181019</v>
      </c>
      <c r="L160" t="str">
        <f>"027199"</f>
        <v>027199</v>
      </c>
      <c r="M160" t="str">
        <f>"48947"</f>
        <v>48947</v>
      </c>
      <c r="N160" t="s">
        <v>47</v>
      </c>
      <c r="O160">
        <v>34.81</v>
      </c>
      <c r="P160">
        <v>20181019</v>
      </c>
      <c r="Q160" t="s">
        <v>48</v>
      </c>
      <c r="R160" t="s">
        <v>157</v>
      </c>
      <c r="S160" t="s">
        <v>23</v>
      </c>
      <c r="T160" t="s">
        <v>49</v>
      </c>
    </row>
    <row r="161" spans="1:20" x14ac:dyDescent="0.25">
      <c r="A161">
        <v>9</v>
      </c>
      <c r="B161">
        <v>163</v>
      </c>
      <c r="C161" t="str">
        <f t="shared" si="14"/>
        <v>00</v>
      </c>
      <c r="D161">
        <v>2159</v>
      </c>
      <c r="E161" t="str">
        <f t="shared" si="15"/>
        <v>00</v>
      </c>
      <c r="F161" t="str">
        <f>"131"</f>
        <v>131</v>
      </c>
      <c r="G161">
        <v>9</v>
      </c>
      <c r="H161" t="str">
        <f t="shared" si="16"/>
        <v>00</v>
      </c>
      <c r="I161" t="str">
        <f t="shared" si="17"/>
        <v>0</v>
      </c>
      <c r="J161" t="str">
        <f t="shared" si="18"/>
        <v>00</v>
      </c>
      <c r="K161">
        <v>20181019</v>
      </c>
      <c r="L161" t="str">
        <f>"027200"</f>
        <v>027200</v>
      </c>
      <c r="M161" t="str">
        <f>"54196"</f>
        <v>54196</v>
      </c>
      <c r="N161" t="s">
        <v>50</v>
      </c>
      <c r="O161">
        <v>50</v>
      </c>
      <c r="P161">
        <v>20181019</v>
      </c>
      <c r="Q161" t="s">
        <v>51</v>
      </c>
      <c r="R161" t="s">
        <v>164</v>
      </c>
      <c r="S161" t="s">
        <v>23</v>
      </c>
      <c r="T161" t="s">
        <v>53</v>
      </c>
    </row>
    <row r="162" spans="1:20" x14ac:dyDescent="0.25">
      <c r="A162">
        <v>9</v>
      </c>
      <c r="B162">
        <v>163</v>
      </c>
      <c r="C162" t="str">
        <f t="shared" si="14"/>
        <v>00</v>
      </c>
      <c r="D162">
        <v>2159</v>
      </c>
      <c r="E162" t="str">
        <f t="shared" si="15"/>
        <v>00</v>
      </c>
      <c r="F162" t="str">
        <f>"111"</f>
        <v>111</v>
      </c>
      <c r="G162">
        <v>9</v>
      </c>
      <c r="H162" t="str">
        <f t="shared" si="16"/>
        <v>00</v>
      </c>
      <c r="I162" t="str">
        <f t="shared" si="17"/>
        <v>0</v>
      </c>
      <c r="J162" t="str">
        <f t="shared" si="18"/>
        <v>00</v>
      </c>
      <c r="K162">
        <v>20181019</v>
      </c>
      <c r="L162" t="str">
        <f>"027201"</f>
        <v>027201</v>
      </c>
      <c r="M162" t="str">
        <f>"72601"</f>
        <v>72601</v>
      </c>
      <c r="N162" t="s">
        <v>54</v>
      </c>
      <c r="O162">
        <v>468.23</v>
      </c>
      <c r="P162">
        <v>20181019</v>
      </c>
      <c r="Q162" t="s">
        <v>55</v>
      </c>
      <c r="R162" t="s">
        <v>161</v>
      </c>
      <c r="S162" t="s">
        <v>23</v>
      </c>
      <c r="T162" t="s">
        <v>56</v>
      </c>
    </row>
    <row r="163" spans="1:20" x14ac:dyDescent="0.25">
      <c r="A163">
        <v>9</v>
      </c>
      <c r="B163">
        <v>163</v>
      </c>
      <c r="C163" t="str">
        <f t="shared" si="14"/>
        <v>00</v>
      </c>
      <c r="D163">
        <v>2153</v>
      </c>
      <c r="E163" t="str">
        <f t="shared" si="15"/>
        <v>00</v>
      </c>
      <c r="F163" t="str">
        <f>"006"</f>
        <v>006</v>
      </c>
      <c r="G163">
        <v>9</v>
      </c>
      <c r="H163" t="str">
        <f t="shared" si="16"/>
        <v>00</v>
      </c>
      <c r="I163" t="str">
        <f t="shared" si="17"/>
        <v>0</v>
      </c>
      <c r="J163" t="str">
        <f t="shared" si="18"/>
        <v>00</v>
      </c>
      <c r="K163">
        <v>20181019</v>
      </c>
      <c r="L163" t="str">
        <f>"027202"</f>
        <v>027202</v>
      </c>
      <c r="M163" t="str">
        <f>"75452"</f>
        <v>75452</v>
      </c>
      <c r="N163" t="s">
        <v>57</v>
      </c>
      <c r="O163">
        <v>523.44000000000005</v>
      </c>
      <c r="P163">
        <v>20181019</v>
      </c>
      <c r="Q163" t="s">
        <v>58</v>
      </c>
      <c r="R163" t="s">
        <v>158</v>
      </c>
      <c r="S163" t="s">
        <v>23</v>
      </c>
      <c r="T163" t="s">
        <v>59</v>
      </c>
    </row>
    <row r="164" spans="1:20" x14ac:dyDescent="0.25">
      <c r="A164">
        <v>9</v>
      </c>
      <c r="B164">
        <v>163</v>
      </c>
      <c r="C164" t="str">
        <f t="shared" si="14"/>
        <v>00</v>
      </c>
      <c r="D164">
        <v>2159</v>
      </c>
      <c r="E164" t="str">
        <f t="shared" si="15"/>
        <v>00</v>
      </c>
      <c r="F164" t="str">
        <f>"106"</f>
        <v>106</v>
      </c>
      <c r="G164">
        <v>9</v>
      </c>
      <c r="H164" t="str">
        <f t="shared" si="16"/>
        <v>00</v>
      </c>
      <c r="I164" t="str">
        <f t="shared" si="17"/>
        <v>0</v>
      </c>
      <c r="J164" t="str">
        <f t="shared" si="18"/>
        <v>00</v>
      </c>
      <c r="K164">
        <v>20181019</v>
      </c>
      <c r="L164" t="str">
        <f>"027203"</f>
        <v>027203</v>
      </c>
      <c r="M164" t="str">
        <f>"81173"</f>
        <v>81173</v>
      </c>
      <c r="N164" t="s">
        <v>60</v>
      </c>
      <c r="O164">
        <v>58.26</v>
      </c>
      <c r="P164">
        <v>20181019</v>
      </c>
      <c r="Q164" t="s">
        <v>61</v>
      </c>
      <c r="R164" t="s">
        <v>161</v>
      </c>
      <c r="S164" t="s">
        <v>23</v>
      </c>
      <c r="T164" t="s">
        <v>62</v>
      </c>
    </row>
    <row r="165" spans="1:20" x14ac:dyDescent="0.25">
      <c r="A165">
        <v>9</v>
      </c>
      <c r="B165">
        <v>163</v>
      </c>
      <c r="C165" t="str">
        <f t="shared" si="14"/>
        <v>00</v>
      </c>
      <c r="D165">
        <v>2159</v>
      </c>
      <c r="E165" t="str">
        <f t="shared" si="15"/>
        <v>00</v>
      </c>
      <c r="F165" t="str">
        <f>"007"</f>
        <v>007</v>
      </c>
      <c r="G165">
        <v>9</v>
      </c>
      <c r="H165" t="str">
        <f t="shared" si="16"/>
        <v>00</v>
      </c>
      <c r="I165" t="str">
        <f t="shared" si="17"/>
        <v>0</v>
      </c>
      <c r="J165" t="str">
        <f t="shared" si="18"/>
        <v>00</v>
      </c>
      <c r="K165">
        <v>20181019</v>
      </c>
      <c r="L165" t="str">
        <f>"027204"</f>
        <v>027204</v>
      </c>
      <c r="M165" t="str">
        <f>"81174"</f>
        <v>81174</v>
      </c>
      <c r="N165" t="s">
        <v>63</v>
      </c>
      <c r="O165">
        <v>23.26</v>
      </c>
      <c r="P165">
        <v>20181019</v>
      </c>
      <c r="Q165" t="s">
        <v>64</v>
      </c>
      <c r="R165" t="s">
        <v>161</v>
      </c>
      <c r="S165" t="s">
        <v>23</v>
      </c>
      <c r="T165" t="s">
        <v>65</v>
      </c>
    </row>
    <row r="166" spans="1:20" x14ac:dyDescent="0.25">
      <c r="A166">
        <v>9</v>
      </c>
      <c r="B166">
        <v>163</v>
      </c>
      <c r="C166" t="str">
        <f t="shared" si="14"/>
        <v>00</v>
      </c>
      <c r="D166">
        <v>2159</v>
      </c>
      <c r="E166" t="str">
        <f t="shared" si="15"/>
        <v>00</v>
      </c>
      <c r="F166" t="str">
        <f>"100"</f>
        <v>100</v>
      </c>
      <c r="G166">
        <v>9</v>
      </c>
      <c r="H166" t="str">
        <f t="shared" si="16"/>
        <v>00</v>
      </c>
      <c r="I166" t="str">
        <f t="shared" si="17"/>
        <v>0</v>
      </c>
      <c r="J166" t="str">
        <f t="shared" si="18"/>
        <v>00</v>
      </c>
      <c r="K166">
        <v>20181019</v>
      </c>
      <c r="L166" t="str">
        <f>"027205"</f>
        <v>027205</v>
      </c>
      <c r="M166" t="str">
        <f>"81177"</f>
        <v>81177</v>
      </c>
      <c r="N166" t="s">
        <v>66</v>
      </c>
      <c r="O166">
        <v>32</v>
      </c>
      <c r="P166">
        <v>20181019</v>
      </c>
      <c r="Q166" t="s">
        <v>67</v>
      </c>
      <c r="R166" t="s">
        <v>161</v>
      </c>
      <c r="S166" t="s">
        <v>23</v>
      </c>
      <c r="T166" t="s">
        <v>68</v>
      </c>
    </row>
    <row r="167" spans="1:20" x14ac:dyDescent="0.25">
      <c r="A167">
        <v>9</v>
      </c>
      <c r="B167">
        <v>163</v>
      </c>
      <c r="C167" t="str">
        <f t="shared" si="14"/>
        <v>00</v>
      </c>
      <c r="D167">
        <v>2153</v>
      </c>
      <c r="E167" t="str">
        <f t="shared" si="15"/>
        <v>00</v>
      </c>
      <c r="F167" t="str">
        <f>"053"</f>
        <v>053</v>
      </c>
      <c r="G167">
        <v>9</v>
      </c>
      <c r="H167" t="str">
        <f t="shared" si="16"/>
        <v>00</v>
      </c>
      <c r="I167" t="str">
        <f t="shared" si="17"/>
        <v>0</v>
      </c>
      <c r="J167" t="str">
        <f t="shared" si="18"/>
        <v>00</v>
      </c>
      <c r="K167">
        <v>20181024</v>
      </c>
      <c r="L167" t="str">
        <f>"027206"</f>
        <v>027206</v>
      </c>
      <c r="M167" t="str">
        <f>"99999"</f>
        <v>99999</v>
      </c>
      <c r="N167" t="s">
        <v>175</v>
      </c>
      <c r="O167">
        <v>27.96</v>
      </c>
      <c r="P167">
        <v>20181024</v>
      </c>
      <c r="Q167" t="s">
        <v>36</v>
      </c>
      <c r="R167" t="s">
        <v>176</v>
      </c>
      <c r="S167" t="s">
        <v>23</v>
      </c>
      <c r="T167" t="s">
        <v>37</v>
      </c>
    </row>
    <row r="168" spans="1:20" x14ac:dyDescent="0.25">
      <c r="A168">
        <v>9</v>
      </c>
      <c r="B168">
        <v>163</v>
      </c>
      <c r="C168" t="str">
        <f t="shared" si="14"/>
        <v>00</v>
      </c>
      <c r="D168">
        <v>2153</v>
      </c>
      <c r="E168" t="str">
        <f t="shared" si="15"/>
        <v>00</v>
      </c>
      <c r="F168" t="str">
        <f>"111"</f>
        <v>111</v>
      </c>
      <c r="G168">
        <v>9</v>
      </c>
      <c r="H168" t="str">
        <f t="shared" si="16"/>
        <v>00</v>
      </c>
      <c r="I168" t="str">
        <f t="shared" si="17"/>
        <v>0</v>
      </c>
      <c r="J168" t="str">
        <f t="shared" si="18"/>
        <v>00</v>
      </c>
      <c r="K168">
        <v>20181024</v>
      </c>
      <c r="L168" t="str">
        <f>"027206"</f>
        <v>027206</v>
      </c>
      <c r="M168" t="str">
        <f>"99999"</f>
        <v>99999</v>
      </c>
      <c r="N168" t="s">
        <v>175</v>
      </c>
      <c r="O168">
        <v>12.84</v>
      </c>
      <c r="P168">
        <v>20181024</v>
      </c>
      <c r="Q168" t="s">
        <v>177</v>
      </c>
      <c r="R168" t="s">
        <v>176</v>
      </c>
      <c r="S168" t="s">
        <v>23</v>
      </c>
      <c r="T168" t="s">
        <v>56</v>
      </c>
    </row>
    <row r="169" spans="1:20" x14ac:dyDescent="0.25">
      <c r="A169">
        <v>9</v>
      </c>
      <c r="B169">
        <v>163</v>
      </c>
      <c r="C169" t="str">
        <f t="shared" si="14"/>
        <v>00</v>
      </c>
      <c r="D169">
        <v>2153</v>
      </c>
      <c r="E169" t="str">
        <f t="shared" si="15"/>
        <v>00</v>
      </c>
      <c r="F169" t="str">
        <f>"141"</f>
        <v>141</v>
      </c>
      <c r="G169">
        <v>9</v>
      </c>
      <c r="H169" t="str">
        <f t="shared" si="16"/>
        <v>00</v>
      </c>
      <c r="I169" t="str">
        <f t="shared" si="17"/>
        <v>0</v>
      </c>
      <c r="J169" t="str">
        <f t="shared" si="18"/>
        <v>00</v>
      </c>
      <c r="K169">
        <v>20181024</v>
      </c>
      <c r="L169" t="str">
        <f>"027206"</f>
        <v>027206</v>
      </c>
      <c r="M169" t="str">
        <f>"99999"</f>
        <v>99999</v>
      </c>
      <c r="N169" t="s">
        <v>175</v>
      </c>
      <c r="O169">
        <v>6.2</v>
      </c>
      <c r="P169">
        <v>20181024</v>
      </c>
      <c r="Q169" t="s">
        <v>21</v>
      </c>
      <c r="R169" t="s">
        <v>176</v>
      </c>
      <c r="S169" t="s">
        <v>23</v>
      </c>
      <c r="T169" t="s">
        <v>24</v>
      </c>
    </row>
    <row r="170" spans="1:20" x14ac:dyDescent="0.25">
      <c r="A170">
        <v>9</v>
      </c>
      <c r="B170">
        <v>163</v>
      </c>
      <c r="C170" t="str">
        <f t="shared" si="14"/>
        <v>00</v>
      </c>
      <c r="D170">
        <v>2153</v>
      </c>
      <c r="E170" t="str">
        <f t="shared" si="15"/>
        <v>00</v>
      </c>
      <c r="F170" t="str">
        <f>"142"</f>
        <v>142</v>
      </c>
      <c r="G170">
        <v>9</v>
      </c>
      <c r="H170" t="str">
        <f t="shared" si="16"/>
        <v>00</v>
      </c>
      <c r="I170" t="str">
        <f t="shared" si="17"/>
        <v>0</v>
      </c>
      <c r="J170" t="str">
        <f t="shared" si="18"/>
        <v>00</v>
      </c>
      <c r="K170">
        <v>20181024</v>
      </c>
      <c r="L170" t="str">
        <f>"027206"</f>
        <v>027206</v>
      </c>
      <c r="M170" t="str">
        <f>"99999"</f>
        <v>99999</v>
      </c>
      <c r="N170" t="s">
        <v>175</v>
      </c>
      <c r="O170">
        <v>23.2</v>
      </c>
      <c r="P170">
        <v>20181024</v>
      </c>
      <c r="Q170" t="s">
        <v>25</v>
      </c>
      <c r="R170" t="s">
        <v>176</v>
      </c>
      <c r="S170" t="s">
        <v>23</v>
      </c>
      <c r="T170" t="s">
        <v>27</v>
      </c>
    </row>
    <row r="171" spans="1:20" x14ac:dyDescent="0.25">
      <c r="A171">
        <v>9</v>
      </c>
      <c r="B171">
        <v>163</v>
      </c>
      <c r="C171" t="str">
        <f t="shared" si="14"/>
        <v>00</v>
      </c>
      <c r="D171">
        <v>2153</v>
      </c>
      <c r="E171" t="str">
        <f t="shared" si="15"/>
        <v>00</v>
      </c>
      <c r="F171" t="str">
        <f>"141"</f>
        <v>141</v>
      </c>
      <c r="G171">
        <v>9</v>
      </c>
      <c r="H171" t="str">
        <f t="shared" si="16"/>
        <v>00</v>
      </c>
      <c r="I171" t="str">
        <f t="shared" si="17"/>
        <v>0</v>
      </c>
      <c r="J171" t="str">
        <f t="shared" si="18"/>
        <v>00</v>
      </c>
      <c r="K171">
        <v>20181102</v>
      </c>
      <c r="L171" t="str">
        <f>"027228"</f>
        <v>027228</v>
      </c>
      <c r="M171" t="str">
        <f>"00068"</f>
        <v>00068</v>
      </c>
      <c r="N171" t="s">
        <v>20</v>
      </c>
      <c r="O171">
        <v>457.54</v>
      </c>
      <c r="P171">
        <v>20181102</v>
      </c>
      <c r="Q171" t="s">
        <v>21</v>
      </c>
      <c r="R171" t="s">
        <v>178</v>
      </c>
      <c r="S171" t="s">
        <v>23</v>
      </c>
      <c r="T171" t="s">
        <v>24</v>
      </c>
    </row>
    <row r="172" spans="1:20" x14ac:dyDescent="0.25">
      <c r="A172">
        <v>9</v>
      </c>
      <c r="B172">
        <v>163</v>
      </c>
      <c r="C172" t="str">
        <f t="shared" si="14"/>
        <v>00</v>
      </c>
      <c r="D172">
        <v>2153</v>
      </c>
      <c r="E172" t="str">
        <f t="shared" si="15"/>
        <v>00</v>
      </c>
      <c r="F172" t="str">
        <f>"142"</f>
        <v>142</v>
      </c>
      <c r="G172">
        <v>9</v>
      </c>
      <c r="H172" t="str">
        <f t="shared" si="16"/>
        <v>00</v>
      </c>
      <c r="I172" t="str">
        <f t="shared" si="17"/>
        <v>0</v>
      </c>
      <c r="J172" t="str">
        <f t="shared" si="18"/>
        <v>00</v>
      </c>
      <c r="K172">
        <v>20181102</v>
      </c>
      <c r="L172" t="str">
        <f>"027228"</f>
        <v>027228</v>
      </c>
      <c r="M172" t="str">
        <f>"00068"</f>
        <v>00068</v>
      </c>
      <c r="N172" t="s">
        <v>20</v>
      </c>
      <c r="O172">
        <v>385.99</v>
      </c>
      <c r="P172">
        <v>20181102</v>
      </c>
      <c r="Q172" t="s">
        <v>25</v>
      </c>
      <c r="R172" t="s">
        <v>179</v>
      </c>
      <c r="S172" t="s">
        <v>23</v>
      </c>
      <c r="T172" t="s">
        <v>27</v>
      </c>
    </row>
    <row r="173" spans="1:20" x14ac:dyDescent="0.25">
      <c r="A173">
        <v>9</v>
      </c>
      <c r="B173">
        <v>163</v>
      </c>
      <c r="C173" t="str">
        <f t="shared" si="14"/>
        <v>00</v>
      </c>
      <c r="D173">
        <v>2159</v>
      </c>
      <c r="E173" t="str">
        <f t="shared" si="15"/>
        <v>00</v>
      </c>
      <c r="F173" t="str">
        <f>"148"</f>
        <v>148</v>
      </c>
      <c r="G173">
        <v>9</v>
      </c>
      <c r="H173" t="str">
        <f t="shared" si="16"/>
        <v>00</v>
      </c>
      <c r="I173" t="str">
        <f t="shared" si="17"/>
        <v>0</v>
      </c>
      <c r="J173" t="str">
        <f t="shared" si="18"/>
        <v>00</v>
      </c>
      <c r="K173">
        <v>20181102</v>
      </c>
      <c r="L173" t="str">
        <f>"027229"</f>
        <v>027229</v>
      </c>
      <c r="M173" t="str">
        <f>"00528"</f>
        <v>00528</v>
      </c>
      <c r="N173" t="s">
        <v>159</v>
      </c>
      <c r="O173">
        <v>33.75</v>
      </c>
      <c r="P173">
        <v>20181102</v>
      </c>
      <c r="Q173" t="s">
        <v>160</v>
      </c>
      <c r="R173" t="s">
        <v>180</v>
      </c>
      <c r="S173" t="s">
        <v>23</v>
      </c>
      <c r="T173" t="s">
        <v>162</v>
      </c>
    </row>
    <row r="174" spans="1:20" x14ac:dyDescent="0.25">
      <c r="A174">
        <v>9</v>
      </c>
      <c r="B174">
        <v>163</v>
      </c>
      <c r="C174" t="str">
        <f t="shared" si="14"/>
        <v>00</v>
      </c>
      <c r="D174">
        <v>2153</v>
      </c>
      <c r="E174" t="str">
        <f t="shared" si="15"/>
        <v>00</v>
      </c>
      <c r="F174" t="str">
        <f>"022"</f>
        <v>022</v>
      </c>
      <c r="G174">
        <v>9</v>
      </c>
      <c r="H174" t="str">
        <f t="shared" si="16"/>
        <v>00</v>
      </c>
      <c r="I174" t="str">
        <f t="shared" si="17"/>
        <v>0</v>
      </c>
      <c r="J174" t="str">
        <f t="shared" si="18"/>
        <v>00</v>
      </c>
      <c r="K174">
        <v>20181102</v>
      </c>
      <c r="L174" t="str">
        <f>"027230"</f>
        <v>027230</v>
      </c>
      <c r="M174" t="str">
        <f>"04831"</f>
        <v>04831</v>
      </c>
      <c r="N174" t="s">
        <v>28</v>
      </c>
      <c r="O174">
        <v>16.77</v>
      </c>
      <c r="P174">
        <v>20181102</v>
      </c>
      <c r="Q174" t="s">
        <v>29</v>
      </c>
      <c r="R174" t="s">
        <v>179</v>
      </c>
      <c r="S174" t="s">
        <v>23</v>
      </c>
      <c r="T174" t="s">
        <v>30</v>
      </c>
    </row>
    <row r="175" spans="1:20" x14ac:dyDescent="0.25">
      <c r="A175">
        <v>9</v>
      </c>
      <c r="B175">
        <v>163</v>
      </c>
      <c r="C175" t="str">
        <f t="shared" si="14"/>
        <v>00</v>
      </c>
      <c r="D175">
        <v>2159</v>
      </c>
      <c r="E175" t="str">
        <f t="shared" si="15"/>
        <v>00</v>
      </c>
      <c r="F175" t="str">
        <f>"018"</f>
        <v>018</v>
      </c>
      <c r="G175">
        <v>9</v>
      </c>
      <c r="H175" t="str">
        <f t="shared" si="16"/>
        <v>00</v>
      </c>
      <c r="I175" t="str">
        <f t="shared" si="17"/>
        <v>0</v>
      </c>
      <c r="J175" t="str">
        <f t="shared" si="18"/>
        <v>00</v>
      </c>
      <c r="K175">
        <v>20181102</v>
      </c>
      <c r="L175" t="str">
        <f>"027231"</f>
        <v>027231</v>
      </c>
      <c r="M175" t="str">
        <f>"04905"</f>
        <v>04905</v>
      </c>
      <c r="N175" t="s">
        <v>31</v>
      </c>
      <c r="O175">
        <v>36.700000000000003</v>
      </c>
      <c r="P175">
        <v>20181102</v>
      </c>
      <c r="Q175" t="s">
        <v>32</v>
      </c>
      <c r="R175" t="s">
        <v>180</v>
      </c>
      <c r="S175" t="s">
        <v>23</v>
      </c>
      <c r="T175" t="s">
        <v>34</v>
      </c>
    </row>
    <row r="176" spans="1:20" x14ac:dyDescent="0.25">
      <c r="A176">
        <v>9</v>
      </c>
      <c r="B176">
        <v>163</v>
      </c>
      <c r="C176" t="str">
        <f t="shared" si="14"/>
        <v>00</v>
      </c>
      <c r="D176">
        <v>2153</v>
      </c>
      <c r="E176" t="str">
        <f t="shared" si="15"/>
        <v>00</v>
      </c>
      <c r="F176" t="str">
        <f>"053"</f>
        <v>053</v>
      </c>
      <c r="G176">
        <v>9</v>
      </c>
      <c r="H176" t="str">
        <f t="shared" si="16"/>
        <v>00</v>
      </c>
      <c r="I176" t="str">
        <f t="shared" si="17"/>
        <v>0</v>
      </c>
      <c r="J176" t="str">
        <f t="shared" si="18"/>
        <v>00</v>
      </c>
      <c r="K176">
        <v>20181102</v>
      </c>
      <c r="L176" t="str">
        <f>"027232"</f>
        <v>027232</v>
      </c>
      <c r="M176" t="str">
        <f>"04987"</f>
        <v>04987</v>
      </c>
      <c r="N176" t="s">
        <v>35</v>
      </c>
      <c r="O176">
        <v>20.64</v>
      </c>
      <c r="P176">
        <v>20181102</v>
      </c>
      <c r="Q176" t="s">
        <v>36</v>
      </c>
      <c r="R176" t="s">
        <v>179</v>
      </c>
      <c r="S176" t="s">
        <v>23</v>
      </c>
      <c r="T176" t="s">
        <v>37</v>
      </c>
    </row>
    <row r="177" spans="1:20" x14ac:dyDescent="0.25">
      <c r="A177">
        <v>9</v>
      </c>
      <c r="B177">
        <v>163</v>
      </c>
      <c r="C177" t="str">
        <f t="shared" si="14"/>
        <v>00</v>
      </c>
      <c r="D177">
        <v>2159</v>
      </c>
      <c r="E177" t="str">
        <f t="shared" si="15"/>
        <v>00</v>
      </c>
      <c r="F177" t="str">
        <f>"009"</f>
        <v>009</v>
      </c>
      <c r="G177">
        <v>9</v>
      </c>
      <c r="H177" t="str">
        <f t="shared" si="16"/>
        <v>00</v>
      </c>
      <c r="I177" t="str">
        <f t="shared" si="17"/>
        <v>0</v>
      </c>
      <c r="J177" t="str">
        <f t="shared" si="18"/>
        <v>00</v>
      </c>
      <c r="K177">
        <v>20181102</v>
      </c>
      <c r="L177" t="str">
        <f>"027233"</f>
        <v>027233</v>
      </c>
      <c r="M177" t="str">
        <f>"07710"</f>
        <v>07710</v>
      </c>
      <c r="N177" t="s">
        <v>38</v>
      </c>
      <c r="O177">
        <v>15</v>
      </c>
      <c r="P177">
        <v>20181102</v>
      </c>
      <c r="Q177" t="s">
        <v>39</v>
      </c>
      <c r="R177" t="s">
        <v>180</v>
      </c>
      <c r="S177" t="s">
        <v>23</v>
      </c>
      <c r="T177" t="s">
        <v>40</v>
      </c>
    </row>
    <row r="178" spans="1:20" x14ac:dyDescent="0.25">
      <c r="A178">
        <v>9</v>
      </c>
      <c r="B178">
        <v>163</v>
      </c>
      <c r="C178" t="str">
        <f t="shared" si="14"/>
        <v>00</v>
      </c>
      <c r="D178">
        <v>2153</v>
      </c>
      <c r="E178" t="str">
        <f t="shared" si="15"/>
        <v>00</v>
      </c>
      <c r="F178" t="str">
        <f>"011"</f>
        <v>011</v>
      </c>
      <c r="G178">
        <v>9</v>
      </c>
      <c r="H178" t="str">
        <f t="shared" si="16"/>
        <v>00</v>
      </c>
      <c r="I178" t="str">
        <f t="shared" si="17"/>
        <v>0</v>
      </c>
      <c r="J178" t="str">
        <f t="shared" si="18"/>
        <v>00</v>
      </c>
      <c r="K178">
        <v>20181102</v>
      </c>
      <c r="L178" t="str">
        <f>"027234"</f>
        <v>027234</v>
      </c>
      <c r="M178" t="str">
        <f>"11211"</f>
        <v>11211</v>
      </c>
      <c r="N178" t="s">
        <v>41</v>
      </c>
      <c r="O178">
        <v>195.38</v>
      </c>
      <c r="P178">
        <v>20181102</v>
      </c>
      <c r="Q178" t="s">
        <v>42</v>
      </c>
      <c r="R178" t="s">
        <v>179</v>
      </c>
      <c r="S178" t="s">
        <v>23</v>
      </c>
      <c r="T178" t="s">
        <v>43</v>
      </c>
    </row>
    <row r="179" spans="1:20" x14ac:dyDescent="0.25">
      <c r="A179">
        <v>9</v>
      </c>
      <c r="B179">
        <v>163</v>
      </c>
      <c r="C179" t="str">
        <f t="shared" si="14"/>
        <v>00</v>
      </c>
      <c r="D179">
        <v>2159</v>
      </c>
      <c r="E179" t="str">
        <f t="shared" si="15"/>
        <v>00</v>
      </c>
      <c r="F179" t="str">
        <f>"104"</f>
        <v>104</v>
      </c>
      <c r="G179">
        <v>9</v>
      </c>
      <c r="H179" t="str">
        <f t="shared" si="16"/>
        <v>00</v>
      </c>
      <c r="I179" t="str">
        <f t="shared" si="17"/>
        <v>0</v>
      </c>
      <c r="J179" t="str">
        <f t="shared" si="18"/>
        <v>00</v>
      </c>
      <c r="K179">
        <v>20181102</v>
      </c>
      <c r="L179" t="str">
        <f>"027235"</f>
        <v>027235</v>
      </c>
      <c r="M179" t="str">
        <f>"14177"</f>
        <v>14177</v>
      </c>
      <c r="N179" t="s">
        <v>163</v>
      </c>
      <c r="O179">
        <v>35.75</v>
      </c>
      <c r="P179">
        <v>20181102</v>
      </c>
      <c r="Q179" t="s">
        <v>45</v>
      </c>
      <c r="R179" t="s">
        <v>180</v>
      </c>
      <c r="S179" t="s">
        <v>23</v>
      </c>
      <c r="T179" t="s">
        <v>46</v>
      </c>
    </row>
    <row r="180" spans="1:20" x14ac:dyDescent="0.25">
      <c r="A180">
        <v>9</v>
      </c>
      <c r="B180">
        <v>163</v>
      </c>
      <c r="C180" t="str">
        <f t="shared" si="14"/>
        <v>00</v>
      </c>
      <c r="D180">
        <v>2153</v>
      </c>
      <c r="E180" t="str">
        <f t="shared" si="15"/>
        <v>00</v>
      </c>
      <c r="F180" t="str">
        <f>"110"</f>
        <v>110</v>
      </c>
      <c r="G180">
        <v>9</v>
      </c>
      <c r="H180" t="str">
        <f t="shared" si="16"/>
        <v>00</v>
      </c>
      <c r="I180" t="str">
        <f t="shared" si="17"/>
        <v>0</v>
      </c>
      <c r="J180" t="str">
        <f t="shared" si="18"/>
        <v>00</v>
      </c>
      <c r="K180">
        <v>20181102</v>
      </c>
      <c r="L180" t="str">
        <f>"027236"</f>
        <v>027236</v>
      </c>
      <c r="M180" t="str">
        <f>"48947"</f>
        <v>48947</v>
      </c>
      <c r="N180" t="s">
        <v>47</v>
      </c>
      <c r="O180">
        <v>34.78</v>
      </c>
      <c r="P180">
        <v>20181102</v>
      </c>
      <c r="Q180" t="s">
        <v>48</v>
      </c>
      <c r="R180" t="s">
        <v>178</v>
      </c>
      <c r="S180" t="s">
        <v>23</v>
      </c>
      <c r="T180" t="s">
        <v>49</v>
      </c>
    </row>
    <row r="181" spans="1:20" x14ac:dyDescent="0.25">
      <c r="A181">
        <v>9</v>
      </c>
      <c r="B181">
        <v>163</v>
      </c>
      <c r="C181" t="str">
        <f t="shared" si="14"/>
        <v>00</v>
      </c>
      <c r="D181">
        <v>2159</v>
      </c>
      <c r="E181" t="str">
        <f t="shared" si="15"/>
        <v>00</v>
      </c>
      <c r="F181" t="str">
        <f>"131"</f>
        <v>131</v>
      </c>
      <c r="G181">
        <v>9</v>
      </c>
      <c r="H181" t="str">
        <f t="shared" si="16"/>
        <v>00</v>
      </c>
      <c r="I181" t="str">
        <f t="shared" si="17"/>
        <v>0</v>
      </c>
      <c r="J181" t="str">
        <f t="shared" si="18"/>
        <v>00</v>
      </c>
      <c r="K181">
        <v>20181102</v>
      </c>
      <c r="L181" t="str">
        <f>"027237"</f>
        <v>027237</v>
      </c>
      <c r="M181" t="str">
        <f>"54196"</f>
        <v>54196</v>
      </c>
      <c r="N181" t="s">
        <v>50</v>
      </c>
      <c r="O181">
        <v>50</v>
      </c>
      <c r="P181">
        <v>20181102</v>
      </c>
      <c r="Q181" t="s">
        <v>51</v>
      </c>
      <c r="R181" t="s">
        <v>181</v>
      </c>
      <c r="S181" t="s">
        <v>23</v>
      </c>
      <c r="T181" t="s">
        <v>53</v>
      </c>
    </row>
    <row r="182" spans="1:20" x14ac:dyDescent="0.25">
      <c r="A182">
        <v>9</v>
      </c>
      <c r="B182">
        <v>163</v>
      </c>
      <c r="C182" t="str">
        <f t="shared" si="14"/>
        <v>00</v>
      </c>
      <c r="D182">
        <v>2159</v>
      </c>
      <c r="E182" t="str">
        <f t="shared" si="15"/>
        <v>00</v>
      </c>
      <c r="F182" t="str">
        <f>"111"</f>
        <v>111</v>
      </c>
      <c r="G182">
        <v>9</v>
      </c>
      <c r="H182" t="str">
        <f t="shared" si="16"/>
        <v>00</v>
      </c>
      <c r="I182" t="str">
        <f t="shared" si="17"/>
        <v>0</v>
      </c>
      <c r="J182" t="str">
        <f t="shared" si="18"/>
        <v>00</v>
      </c>
      <c r="K182">
        <v>20181102</v>
      </c>
      <c r="L182" t="str">
        <f>"027238"</f>
        <v>027238</v>
      </c>
      <c r="M182" t="str">
        <f>"72601"</f>
        <v>72601</v>
      </c>
      <c r="N182" t="s">
        <v>54</v>
      </c>
      <c r="O182">
        <v>468.24</v>
      </c>
      <c r="P182">
        <v>20181102</v>
      </c>
      <c r="Q182" t="s">
        <v>55</v>
      </c>
      <c r="R182" t="s">
        <v>180</v>
      </c>
      <c r="S182" t="s">
        <v>23</v>
      </c>
      <c r="T182" t="s">
        <v>56</v>
      </c>
    </row>
    <row r="183" spans="1:20" x14ac:dyDescent="0.25">
      <c r="A183">
        <v>9</v>
      </c>
      <c r="B183">
        <v>163</v>
      </c>
      <c r="C183" t="str">
        <f t="shared" si="14"/>
        <v>00</v>
      </c>
      <c r="D183">
        <v>2153</v>
      </c>
      <c r="E183" t="str">
        <f t="shared" si="15"/>
        <v>00</v>
      </c>
      <c r="F183" t="str">
        <f>"006"</f>
        <v>006</v>
      </c>
      <c r="G183">
        <v>9</v>
      </c>
      <c r="H183" t="str">
        <f t="shared" si="16"/>
        <v>00</v>
      </c>
      <c r="I183" t="str">
        <f t="shared" si="17"/>
        <v>0</v>
      </c>
      <c r="J183" t="str">
        <f t="shared" si="18"/>
        <v>00</v>
      </c>
      <c r="K183">
        <v>20181102</v>
      </c>
      <c r="L183" t="str">
        <f>"027239"</f>
        <v>027239</v>
      </c>
      <c r="M183" t="str">
        <f>"75452"</f>
        <v>75452</v>
      </c>
      <c r="N183" t="s">
        <v>57</v>
      </c>
      <c r="O183">
        <v>523.44000000000005</v>
      </c>
      <c r="P183">
        <v>20181102</v>
      </c>
      <c r="Q183" t="s">
        <v>58</v>
      </c>
      <c r="R183" t="s">
        <v>179</v>
      </c>
      <c r="S183" t="s">
        <v>23</v>
      </c>
      <c r="T183" t="s">
        <v>59</v>
      </c>
    </row>
    <row r="184" spans="1:20" x14ac:dyDescent="0.25">
      <c r="A184">
        <v>9</v>
      </c>
      <c r="B184">
        <v>163</v>
      </c>
      <c r="C184" t="str">
        <f t="shared" si="14"/>
        <v>00</v>
      </c>
      <c r="D184">
        <v>2159</v>
      </c>
      <c r="E184" t="str">
        <f t="shared" si="15"/>
        <v>00</v>
      </c>
      <c r="F184" t="str">
        <f>"106"</f>
        <v>106</v>
      </c>
      <c r="G184">
        <v>9</v>
      </c>
      <c r="H184" t="str">
        <f t="shared" si="16"/>
        <v>00</v>
      </c>
      <c r="I184" t="str">
        <f t="shared" si="17"/>
        <v>0</v>
      </c>
      <c r="J184" t="str">
        <f t="shared" si="18"/>
        <v>00</v>
      </c>
      <c r="K184">
        <v>20181102</v>
      </c>
      <c r="L184" t="str">
        <f>"027240"</f>
        <v>027240</v>
      </c>
      <c r="M184" t="str">
        <f>"81173"</f>
        <v>81173</v>
      </c>
      <c r="N184" t="s">
        <v>60</v>
      </c>
      <c r="O184">
        <v>58.26</v>
      </c>
      <c r="P184">
        <v>20181102</v>
      </c>
      <c r="Q184" t="s">
        <v>61</v>
      </c>
      <c r="R184" t="s">
        <v>180</v>
      </c>
      <c r="S184" t="s">
        <v>23</v>
      </c>
      <c r="T184" t="s">
        <v>62</v>
      </c>
    </row>
    <row r="185" spans="1:20" x14ac:dyDescent="0.25">
      <c r="A185">
        <v>9</v>
      </c>
      <c r="B185">
        <v>163</v>
      </c>
      <c r="C185" t="str">
        <f t="shared" si="14"/>
        <v>00</v>
      </c>
      <c r="D185">
        <v>2159</v>
      </c>
      <c r="E185" t="str">
        <f t="shared" si="15"/>
        <v>00</v>
      </c>
      <c r="F185" t="str">
        <f>"007"</f>
        <v>007</v>
      </c>
      <c r="G185">
        <v>9</v>
      </c>
      <c r="H185" t="str">
        <f t="shared" si="16"/>
        <v>00</v>
      </c>
      <c r="I185" t="str">
        <f t="shared" si="17"/>
        <v>0</v>
      </c>
      <c r="J185" t="str">
        <f t="shared" si="18"/>
        <v>00</v>
      </c>
      <c r="K185">
        <v>20181102</v>
      </c>
      <c r="L185" t="str">
        <f>"027241"</f>
        <v>027241</v>
      </c>
      <c r="M185" t="str">
        <f>"81174"</f>
        <v>81174</v>
      </c>
      <c r="N185" t="s">
        <v>63</v>
      </c>
      <c r="O185">
        <v>23.26</v>
      </c>
      <c r="P185">
        <v>20181102</v>
      </c>
      <c r="Q185" t="s">
        <v>64</v>
      </c>
      <c r="R185" t="s">
        <v>180</v>
      </c>
      <c r="S185" t="s">
        <v>23</v>
      </c>
      <c r="T185" t="s">
        <v>65</v>
      </c>
    </row>
    <row r="186" spans="1:20" x14ac:dyDescent="0.25">
      <c r="A186">
        <v>9</v>
      </c>
      <c r="B186">
        <v>163</v>
      </c>
      <c r="C186" t="str">
        <f t="shared" si="14"/>
        <v>00</v>
      </c>
      <c r="D186">
        <v>2159</v>
      </c>
      <c r="E186" t="str">
        <f t="shared" si="15"/>
        <v>00</v>
      </c>
      <c r="F186" t="str">
        <f>"100"</f>
        <v>100</v>
      </c>
      <c r="G186">
        <v>9</v>
      </c>
      <c r="H186" t="str">
        <f t="shared" si="16"/>
        <v>00</v>
      </c>
      <c r="I186" t="str">
        <f t="shared" si="17"/>
        <v>0</v>
      </c>
      <c r="J186" t="str">
        <f t="shared" si="18"/>
        <v>00</v>
      </c>
      <c r="K186">
        <v>20181102</v>
      </c>
      <c r="L186" t="str">
        <f>"027242"</f>
        <v>027242</v>
      </c>
      <c r="M186" t="str">
        <f>"81177"</f>
        <v>81177</v>
      </c>
      <c r="N186" t="s">
        <v>66</v>
      </c>
      <c r="O186">
        <v>64</v>
      </c>
      <c r="P186">
        <v>20181102</v>
      </c>
      <c r="Q186" t="s">
        <v>67</v>
      </c>
      <c r="R186" t="s">
        <v>180</v>
      </c>
      <c r="S186" t="s">
        <v>23</v>
      </c>
      <c r="T186" t="s">
        <v>68</v>
      </c>
    </row>
    <row r="187" spans="1:20" x14ac:dyDescent="0.25">
      <c r="A187">
        <v>9</v>
      </c>
      <c r="B187">
        <v>163</v>
      </c>
      <c r="C187" t="str">
        <f t="shared" si="14"/>
        <v>00</v>
      </c>
      <c r="D187">
        <v>2153</v>
      </c>
      <c r="E187" t="str">
        <f t="shared" si="15"/>
        <v>00</v>
      </c>
      <c r="F187" t="str">
        <f>"141"</f>
        <v>141</v>
      </c>
      <c r="G187">
        <v>9</v>
      </c>
      <c r="H187" t="str">
        <f t="shared" si="16"/>
        <v>00</v>
      </c>
      <c r="I187" t="str">
        <f t="shared" si="17"/>
        <v>0</v>
      </c>
      <c r="J187" t="str">
        <f t="shared" si="18"/>
        <v>00</v>
      </c>
      <c r="K187">
        <v>20181116</v>
      </c>
      <c r="L187" t="str">
        <f>"027256"</f>
        <v>027256</v>
      </c>
      <c r="M187" t="str">
        <f>"00068"</f>
        <v>00068</v>
      </c>
      <c r="N187" t="s">
        <v>20</v>
      </c>
      <c r="O187">
        <v>453.78</v>
      </c>
      <c r="P187">
        <v>20181116</v>
      </c>
      <c r="Q187" t="s">
        <v>21</v>
      </c>
      <c r="R187" t="s">
        <v>178</v>
      </c>
      <c r="S187" t="s">
        <v>23</v>
      </c>
      <c r="T187" t="s">
        <v>24</v>
      </c>
    </row>
    <row r="188" spans="1:20" x14ac:dyDescent="0.25">
      <c r="A188">
        <v>9</v>
      </c>
      <c r="B188">
        <v>163</v>
      </c>
      <c r="C188" t="str">
        <f t="shared" si="14"/>
        <v>00</v>
      </c>
      <c r="D188">
        <v>2153</v>
      </c>
      <c r="E188" t="str">
        <f t="shared" si="15"/>
        <v>00</v>
      </c>
      <c r="F188" t="str">
        <f>"142"</f>
        <v>142</v>
      </c>
      <c r="G188">
        <v>9</v>
      </c>
      <c r="H188" t="str">
        <f t="shared" si="16"/>
        <v>00</v>
      </c>
      <c r="I188" t="str">
        <f t="shared" si="17"/>
        <v>0</v>
      </c>
      <c r="J188" t="str">
        <f t="shared" si="18"/>
        <v>00</v>
      </c>
      <c r="K188">
        <v>20181116</v>
      </c>
      <c r="L188" t="str">
        <f>"027256"</f>
        <v>027256</v>
      </c>
      <c r="M188" t="str">
        <f>"00068"</f>
        <v>00068</v>
      </c>
      <c r="N188" t="s">
        <v>20</v>
      </c>
      <c r="O188">
        <v>432.53</v>
      </c>
      <c r="P188">
        <v>20181116</v>
      </c>
      <c r="Q188" t="s">
        <v>25</v>
      </c>
      <c r="R188" t="s">
        <v>179</v>
      </c>
      <c r="S188" t="s">
        <v>23</v>
      </c>
      <c r="T188" t="s">
        <v>27</v>
      </c>
    </row>
    <row r="189" spans="1:20" x14ac:dyDescent="0.25">
      <c r="A189">
        <v>9</v>
      </c>
      <c r="B189">
        <v>163</v>
      </c>
      <c r="C189" t="str">
        <f t="shared" si="14"/>
        <v>00</v>
      </c>
      <c r="D189">
        <v>2159</v>
      </c>
      <c r="E189" t="str">
        <f t="shared" si="15"/>
        <v>00</v>
      </c>
      <c r="F189" t="str">
        <f>"148"</f>
        <v>148</v>
      </c>
      <c r="G189">
        <v>9</v>
      </c>
      <c r="H189" t="str">
        <f t="shared" si="16"/>
        <v>00</v>
      </c>
      <c r="I189" t="str">
        <f t="shared" si="17"/>
        <v>0</v>
      </c>
      <c r="J189" t="str">
        <f t="shared" si="18"/>
        <v>00</v>
      </c>
      <c r="K189">
        <v>20181116</v>
      </c>
      <c r="L189" t="str">
        <f>"027257"</f>
        <v>027257</v>
      </c>
      <c r="M189" t="str">
        <f>"00528"</f>
        <v>00528</v>
      </c>
      <c r="N189" t="s">
        <v>159</v>
      </c>
      <c r="O189">
        <v>26.25</v>
      </c>
      <c r="P189">
        <v>20181116</v>
      </c>
      <c r="Q189" t="s">
        <v>160</v>
      </c>
      <c r="R189" t="s">
        <v>180</v>
      </c>
      <c r="S189" t="s">
        <v>23</v>
      </c>
      <c r="T189" t="s">
        <v>162</v>
      </c>
    </row>
    <row r="190" spans="1:20" x14ac:dyDescent="0.25">
      <c r="A190">
        <v>9</v>
      </c>
      <c r="B190">
        <v>163</v>
      </c>
      <c r="C190" t="str">
        <f t="shared" si="14"/>
        <v>00</v>
      </c>
      <c r="D190">
        <v>2153</v>
      </c>
      <c r="E190" t="str">
        <f t="shared" si="15"/>
        <v>00</v>
      </c>
      <c r="F190" t="str">
        <f>"022"</f>
        <v>022</v>
      </c>
      <c r="G190">
        <v>9</v>
      </c>
      <c r="H190" t="str">
        <f t="shared" si="16"/>
        <v>00</v>
      </c>
      <c r="I190" t="str">
        <f t="shared" si="17"/>
        <v>0</v>
      </c>
      <c r="J190" t="str">
        <f t="shared" si="18"/>
        <v>00</v>
      </c>
      <c r="K190">
        <v>20181116</v>
      </c>
      <c r="L190" t="str">
        <f>"027258"</f>
        <v>027258</v>
      </c>
      <c r="M190" t="str">
        <f>"04831"</f>
        <v>04831</v>
      </c>
      <c r="N190" t="s">
        <v>28</v>
      </c>
      <c r="O190">
        <v>16.77</v>
      </c>
      <c r="P190">
        <v>20181116</v>
      </c>
      <c r="Q190" t="s">
        <v>29</v>
      </c>
      <c r="R190" t="s">
        <v>179</v>
      </c>
      <c r="S190" t="s">
        <v>23</v>
      </c>
      <c r="T190" t="s">
        <v>30</v>
      </c>
    </row>
    <row r="191" spans="1:20" x14ac:dyDescent="0.25">
      <c r="A191">
        <v>9</v>
      </c>
      <c r="B191">
        <v>163</v>
      </c>
      <c r="C191" t="str">
        <f t="shared" si="14"/>
        <v>00</v>
      </c>
      <c r="D191">
        <v>2159</v>
      </c>
      <c r="E191" t="str">
        <f t="shared" si="15"/>
        <v>00</v>
      </c>
      <c r="F191" t="str">
        <f>"018"</f>
        <v>018</v>
      </c>
      <c r="G191">
        <v>9</v>
      </c>
      <c r="H191" t="str">
        <f t="shared" si="16"/>
        <v>00</v>
      </c>
      <c r="I191" t="str">
        <f t="shared" si="17"/>
        <v>0</v>
      </c>
      <c r="J191" t="str">
        <f t="shared" si="18"/>
        <v>00</v>
      </c>
      <c r="K191">
        <v>20181116</v>
      </c>
      <c r="L191" t="str">
        <f>"027259"</f>
        <v>027259</v>
      </c>
      <c r="M191" t="str">
        <f>"04905"</f>
        <v>04905</v>
      </c>
      <c r="N191" t="s">
        <v>31</v>
      </c>
      <c r="O191">
        <v>36.700000000000003</v>
      </c>
      <c r="P191">
        <v>20181116</v>
      </c>
      <c r="Q191" t="s">
        <v>32</v>
      </c>
      <c r="R191" t="s">
        <v>180</v>
      </c>
      <c r="S191" t="s">
        <v>23</v>
      </c>
      <c r="T191" t="s">
        <v>34</v>
      </c>
    </row>
    <row r="192" spans="1:20" x14ac:dyDescent="0.25">
      <c r="A192">
        <v>9</v>
      </c>
      <c r="B192">
        <v>163</v>
      </c>
      <c r="C192" t="str">
        <f t="shared" si="14"/>
        <v>00</v>
      </c>
      <c r="D192">
        <v>2153</v>
      </c>
      <c r="E192" t="str">
        <f t="shared" si="15"/>
        <v>00</v>
      </c>
      <c r="F192" t="str">
        <f>"053"</f>
        <v>053</v>
      </c>
      <c r="G192">
        <v>9</v>
      </c>
      <c r="H192" t="str">
        <f t="shared" si="16"/>
        <v>00</v>
      </c>
      <c r="I192" t="str">
        <f t="shared" si="17"/>
        <v>0</v>
      </c>
      <c r="J192" t="str">
        <f t="shared" si="18"/>
        <v>00</v>
      </c>
      <c r="K192">
        <v>20181116</v>
      </c>
      <c r="L192" t="str">
        <f>"027260"</f>
        <v>027260</v>
      </c>
      <c r="M192" t="str">
        <f>"04987"</f>
        <v>04987</v>
      </c>
      <c r="N192" t="s">
        <v>35</v>
      </c>
      <c r="O192">
        <v>20.64</v>
      </c>
      <c r="P192">
        <v>20181116</v>
      </c>
      <c r="Q192" t="s">
        <v>36</v>
      </c>
      <c r="R192" t="s">
        <v>179</v>
      </c>
      <c r="S192" t="s">
        <v>23</v>
      </c>
      <c r="T192" t="s">
        <v>37</v>
      </c>
    </row>
    <row r="193" spans="1:20" x14ac:dyDescent="0.25">
      <c r="A193">
        <v>9</v>
      </c>
      <c r="B193">
        <v>163</v>
      </c>
      <c r="C193" t="str">
        <f t="shared" si="14"/>
        <v>00</v>
      </c>
      <c r="D193">
        <v>2159</v>
      </c>
      <c r="E193" t="str">
        <f t="shared" si="15"/>
        <v>00</v>
      </c>
      <c r="F193" t="str">
        <f>"009"</f>
        <v>009</v>
      </c>
      <c r="G193">
        <v>9</v>
      </c>
      <c r="H193" t="str">
        <f t="shared" si="16"/>
        <v>00</v>
      </c>
      <c r="I193" t="str">
        <f t="shared" si="17"/>
        <v>0</v>
      </c>
      <c r="J193" t="str">
        <f t="shared" si="18"/>
        <v>00</v>
      </c>
      <c r="K193">
        <v>20181116</v>
      </c>
      <c r="L193" t="str">
        <f>"027261"</f>
        <v>027261</v>
      </c>
      <c r="M193" t="str">
        <f>"07710"</f>
        <v>07710</v>
      </c>
      <c r="N193" t="s">
        <v>38</v>
      </c>
      <c r="O193">
        <v>15</v>
      </c>
      <c r="P193">
        <v>20181116</v>
      </c>
      <c r="Q193" t="s">
        <v>39</v>
      </c>
      <c r="R193" t="s">
        <v>180</v>
      </c>
      <c r="S193" t="s">
        <v>23</v>
      </c>
      <c r="T193" t="s">
        <v>40</v>
      </c>
    </row>
    <row r="194" spans="1:20" x14ac:dyDescent="0.25">
      <c r="A194">
        <v>9</v>
      </c>
      <c r="B194">
        <v>163</v>
      </c>
      <c r="C194" t="str">
        <f t="shared" ref="C194:C257" si="19">"00"</f>
        <v>00</v>
      </c>
      <c r="D194">
        <v>2153</v>
      </c>
      <c r="E194" t="str">
        <f t="shared" ref="E194:E257" si="20">"00"</f>
        <v>00</v>
      </c>
      <c r="F194" t="str">
        <f>"011"</f>
        <v>011</v>
      </c>
      <c r="G194">
        <v>9</v>
      </c>
      <c r="H194" t="str">
        <f t="shared" ref="H194:H257" si="21">"00"</f>
        <v>00</v>
      </c>
      <c r="I194" t="str">
        <f t="shared" ref="I194:I257" si="22">"0"</f>
        <v>0</v>
      </c>
      <c r="J194" t="str">
        <f t="shared" ref="J194:J257" si="23">"00"</f>
        <v>00</v>
      </c>
      <c r="K194">
        <v>20181116</v>
      </c>
      <c r="L194" t="str">
        <f>"027262"</f>
        <v>027262</v>
      </c>
      <c r="M194" t="str">
        <f>"11211"</f>
        <v>11211</v>
      </c>
      <c r="N194" t="s">
        <v>41</v>
      </c>
      <c r="O194">
        <v>180.52</v>
      </c>
      <c r="P194">
        <v>20181116</v>
      </c>
      <c r="Q194" t="s">
        <v>42</v>
      </c>
      <c r="R194" t="s">
        <v>179</v>
      </c>
      <c r="S194" t="s">
        <v>23</v>
      </c>
      <c r="T194" t="s">
        <v>43</v>
      </c>
    </row>
    <row r="195" spans="1:20" x14ac:dyDescent="0.25">
      <c r="A195">
        <v>9</v>
      </c>
      <c r="B195">
        <v>163</v>
      </c>
      <c r="C195" t="str">
        <f t="shared" si="19"/>
        <v>00</v>
      </c>
      <c r="D195">
        <v>2159</v>
      </c>
      <c r="E195" t="str">
        <f t="shared" si="20"/>
        <v>00</v>
      </c>
      <c r="F195" t="str">
        <f>"104"</f>
        <v>104</v>
      </c>
      <c r="G195">
        <v>9</v>
      </c>
      <c r="H195" t="str">
        <f t="shared" si="21"/>
        <v>00</v>
      </c>
      <c r="I195" t="str">
        <f t="shared" si="22"/>
        <v>0</v>
      </c>
      <c r="J195" t="str">
        <f t="shared" si="23"/>
        <v>00</v>
      </c>
      <c r="K195">
        <v>20181116</v>
      </c>
      <c r="L195" t="str">
        <f>"027263"</f>
        <v>027263</v>
      </c>
      <c r="M195" t="str">
        <f>"14177"</f>
        <v>14177</v>
      </c>
      <c r="N195" t="s">
        <v>163</v>
      </c>
      <c r="O195">
        <v>29.5</v>
      </c>
      <c r="P195">
        <v>20181116</v>
      </c>
      <c r="Q195" t="s">
        <v>45</v>
      </c>
      <c r="R195" t="s">
        <v>180</v>
      </c>
      <c r="S195" t="s">
        <v>23</v>
      </c>
      <c r="T195" t="s">
        <v>46</v>
      </c>
    </row>
    <row r="196" spans="1:20" x14ac:dyDescent="0.25">
      <c r="A196">
        <v>9</v>
      </c>
      <c r="B196">
        <v>163</v>
      </c>
      <c r="C196" t="str">
        <f t="shared" si="19"/>
        <v>00</v>
      </c>
      <c r="D196">
        <v>2153</v>
      </c>
      <c r="E196" t="str">
        <f t="shared" si="20"/>
        <v>00</v>
      </c>
      <c r="F196" t="str">
        <f>"110"</f>
        <v>110</v>
      </c>
      <c r="G196">
        <v>9</v>
      </c>
      <c r="H196" t="str">
        <f t="shared" si="21"/>
        <v>00</v>
      </c>
      <c r="I196" t="str">
        <f t="shared" si="22"/>
        <v>0</v>
      </c>
      <c r="J196" t="str">
        <f t="shared" si="23"/>
        <v>00</v>
      </c>
      <c r="K196">
        <v>20181116</v>
      </c>
      <c r="L196" t="str">
        <f>"027264"</f>
        <v>027264</v>
      </c>
      <c r="M196" t="str">
        <f>"48947"</f>
        <v>48947</v>
      </c>
      <c r="N196" t="s">
        <v>47</v>
      </c>
      <c r="O196">
        <v>34.81</v>
      </c>
      <c r="P196">
        <v>20181116</v>
      </c>
      <c r="Q196" t="s">
        <v>48</v>
      </c>
      <c r="R196" t="s">
        <v>178</v>
      </c>
      <c r="S196" t="s">
        <v>23</v>
      </c>
      <c r="T196" t="s">
        <v>49</v>
      </c>
    </row>
    <row r="197" spans="1:20" x14ac:dyDescent="0.25">
      <c r="A197">
        <v>9</v>
      </c>
      <c r="B197">
        <v>163</v>
      </c>
      <c r="C197" t="str">
        <f t="shared" si="19"/>
        <v>00</v>
      </c>
      <c r="D197">
        <v>2159</v>
      </c>
      <c r="E197" t="str">
        <f t="shared" si="20"/>
        <v>00</v>
      </c>
      <c r="F197" t="str">
        <f>"131"</f>
        <v>131</v>
      </c>
      <c r="G197">
        <v>9</v>
      </c>
      <c r="H197" t="str">
        <f t="shared" si="21"/>
        <v>00</v>
      </c>
      <c r="I197" t="str">
        <f t="shared" si="22"/>
        <v>0</v>
      </c>
      <c r="J197" t="str">
        <f t="shared" si="23"/>
        <v>00</v>
      </c>
      <c r="K197">
        <v>20181116</v>
      </c>
      <c r="L197" t="str">
        <f>"027265"</f>
        <v>027265</v>
      </c>
      <c r="M197" t="str">
        <f>"54196"</f>
        <v>54196</v>
      </c>
      <c r="N197" t="s">
        <v>50</v>
      </c>
      <c r="O197">
        <v>50</v>
      </c>
      <c r="P197">
        <v>20181116</v>
      </c>
      <c r="Q197" t="s">
        <v>51</v>
      </c>
      <c r="R197" t="s">
        <v>181</v>
      </c>
      <c r="S197" t="s">
        <v>23</v>
      </c>
      <c r="T197" t="s">
        <v>53</v>
      </c>
    </row>
    <row r="198" spans="1:20" x14ac:dyDescent="0.25">
      <c r="A198">
        <v>9</v>
      </c>
      <c r="B198">
        <v>163</v>
      </c>
      <c r="C198" t="str">
        <f t="shared" si="19"/>
        <v>00</v>
      </c>
      <c r="D198">
        <v>2159</v>
      </c>
      <c r="E198" t="str">
        <f t="shared" si="20"/>
        <v>00</v>
      </c>
      <c r="F198" t="str">
        <f>"111"</f>
        <v>111</v>
      </c>
      <c r="G198">
        <v>9</v>
      </c>
      <c r="H198" t="str">
        <f t="shared" si="21"/>
        <v>00</v>
      </c>
      <c r="I198" t="str">
        <f t="shared" si="22"/>
        <v>0</v>
      </c>
      <c r="J198" t="str">
        <f t="shared" si="23"/>
        <v>00</v>
      </c>
      <c r="K198">
        <v>20181116</v>
      </c>
      <c r="L198" t="str">
        <f>"027266"</f>
        <v>027266</v>
      </c>
      <c r="M198" t="str">
        <f>"72601"</f>
        <v>72601</v>
      </c>
      <c r="N198" t="s">
        <v>54</v>
      </c>
      <c r="O198">
        <v>468.24</v>
      </c>
      <c r="P198">
        <v>20181116</v>
      </c>
      <c r="Q198" t="s">
        <v>55</v>
      </c>
      <c r="R198" t="s">
        <v>180</v>
      </c>
      <c r="S198" t="s">
        <v>23</v>
      </c>
      <c r="T198" t="s">
        <v>56</v>
      </c>
    </row>
    <row r="199" spans="1:20" x14ac:dyDescent="0.25">
      <c r="A199">
        <v>9</v>
      </c>
      <c r="B199">
        <v>163</v>
      </c>
      <c r="C199" t="str">
        <f t="shared" si="19"/>
        <v>00</v>
      </c>
      <c r="D199">
        <v>2153</v>
      </c>
      <c r="E199" t="str">
        <f t="shared" si="20"/>
        <v>00</v>
      </c>
      <c r="F199" t="str">
        <f>"006"</f>
        <v>006</v>
      </c>
      <c r="G199">
        <v>9</v>
      </c>
      <c r="H199" t="str">
        <f t="shared" si="21"/>
        <v>00</v>
      </c>
      <c r="I199" t="str">
        <f t="shared" si="22"/>
        <v>0</v>
      </c>
      <c r="J199" t="str">
        <f t="shared" si="23"/>
        <v>00</v>
      </c>
      <c r="K199">
        <v>20181116</v>
      </c>
      <c r="L199" t="str">
        <f>"027267"</f>
        <v>027267</v>
      </c>
      <c r="M199" t="str">
        <f>"75452"</f>
        <v>75452</v>
      </c>
      <c r="N199" t="s">
        <v>57</v>
      </c>
      <c r="O199">
        <v>523.44000000000005</v>
      </c>
      <c r="P199">
        <v>20181116</v>
      </c>
      <c r="Q199" t="s">
        <v>58</v>
      </c>
      <c r="R199" t="s">
        <v>179</v>
      </c>
      <c r="S199" t="s">
        <v>23</v>
      </c>
      <c r="T199" t="s">
        <v>59</v>
      </c>
    </row>
    <row r="200" spans="1:20" x14ac:dyDescent="0.25">
      <c r="A200">
        <v>9</v>
      </c>
      <c r="B200">
        <v>163</v>
      </c>
      <c r="C200" t="str">
        <f t="shared" si="19"/>
        <v>00</v>
      </c>
      <c r="D200">
        <v>2159</v>
      </c>
      <c r="E200" t="str">
        <f t="shared" si="20"/>
        <v>00</v>
      </c>
      <c r="F200" t="str">
        <f>"106"</f>
        <v>106</v>
      </c>
      <c r="G200">
        <v>9</v>
      </c>
      <c r="H200" t="str">
        <f t="shared" si="21"/>
        <v>00</v>
      </c>
      <c r="I200" t="str">
        <f t="shared" si="22"/>
        <v>0</v>
      </c>
      <c r="J200" t="str">
        <f t="shared" si="23"/>
        <v>00</v>
      </c>
      <c r="K200">
        <v>20181116</v>
      </c>
      <c r="L200" t="str">
        <f>"027268"</f>
        <v>027268</v>
      </c>
      <c r="M200" t="str">
        <f>"81173"</f>
        <v>81173</v>
      </c>
      <c r="N200" t="s">
        <v>60</v>
      </c>
      <c r="O200">
        <v>93.29</v>
      </c>
      <c r="P200">
        <v>20181116</v>
      </c>
      <c r="Q200" t="s">
        <v>61</v>
      </c>
      <c r="R200" t="s">
        <v>180</v>
      </c>
      <c r="S200" t="s">
        <v>23</v>
      </c>
      <c r="T200" t="s">
        <v>62</v>
      </c>
    </row>
    <row r="201" spans="1:20" x14ac:dyDescent="0.25">
      <c r="A201">
        <v>9</v>
      </c>
      <c r="B201">
        <v>163</v>
      </c>
      <c r="C201" t="str">
        <f t="shared" si="19"/>
        <v>00</v>
      </c>
      <c r="D201">
        <v>2159</v>
      </c>
      <c r="E201" t="str">
        <f t="shared" si="20"/>
        <v>00</v>
      </c>
      <c r="F201" t="str">
        <f>"007"</f>
        <v>007</v>
      </c>
      <c r="G201">
        <v>9</v>
      </c>
      <c r="H201" t="str">
        <f t="shared" si="21"/>
        <v>00</v>
      </c>
      <c r="I201" t="str">
        <f t="shared" si="22"/>
        <v>0</v>
      </c>
      <c r="J201" t="str">
        <f t="shared" si="23"/>
        <v>00</v>
      </c>
      <c r="K201">
        <v>20181116</v>
      </c>
      <c r="L201" t="str">
        <f>"027269"</f>
        <v>027269</v>
      </c>
      <c r="M201" t="str">
        <f>"81174"</f>
        <v>81174</v>
      </c>
      <c r="N201" t="s">
        <v>63</v>
      </c>
      <c r="O201">
        <v>58.29</v>
      </c>
      <c r="P201">
        <v>20181116</v>
      </c>
      <c r="Q201" t="s">
        <v>64</v>
      </c>
      <c r="R201" t="s">
        <v>180</v>
      </c>
      <c r="S201" t="s">
        <v>23</v>
      </c>
      <c r="T201" t="s">
        <v>65</v>
      </c>
    </row>
    <row r="202" spans="1:20" x14ac:dyDescent="0.25">
      <c r="A202">
        <v>9</v>
      </c>
      <c r="B202">
        <v>163</v>
      </c>
      <c r="C202" t="str">
        <f t="shared" si="19"/>
        <v>00</v>
      </c>
      <c r="D202">
        <v>2159</v>
      </c>
      <c r="E202" t="str">
        <f t="shared" si="20"/>
        <v>00</v>
      </c>
      <c r="F202" t="str">
        <f>"100"</f>
        <v>100</v>
      </c>
      <c r="G202">
        <v>9</v>
      </c>
      <c r="H202" t="str">
        <f t="shared" si="21"/>
        <v>00</v>
      </c>
      <c r="I202" t="str">
        <f t="shared" si="22"/>
        <v>0</v>
      </c>
      <c r="J202" t="str">
        <f t="shared" si="23"/>
        <v>00</v>
      </c>
      <c r="K202">
        <v>20181116</v>
      </c>
      <c r="L202" t="str">
        <f>"027270"</f>
        <v>027270</v>
      </c>
      <c r="M202" t="str">
        <f>"81177"</f>
        <v>81177</v>
      </c>
      <c r="N202" t="s">
        <v>66</v>
      </c>
      <c r="O202">
        <v>48</v>
      </c>
      <c r="P202">
        <v>20181116</v>
      </c>
      <c r="Q202" t="s">
        <v>67</v>
      </c>
      <c r="R202" t="s">
        <v>180</v>
      </c>
      <c r="S202" t="s">
        <v>23</v>
      </c>
      <c r="T202" t="s">
        <v>68</v>
      </c>
    </row>
    <row r="203" spans="1:20" x14ac:dyDescent="0.25">
      <c r="A203">
        <v>9</v>
      </c>
      <c r="B203">
        <v>163</v>
      </c>
      <c r="C203" t="str">
        <f t="shared" si="19"/>
        <v>00</v>
      </c>
      <c r="D203">
        <v>2153</v>
      </c>
      <c r="E203" t="str">
        <f t="shared" si="20"/>
        <v>00</v>
      </c>
      <c r="F203" t="str">
        <f>"141"</f>
        <v>141</v>
      </c>
      <c r="G203">
        <v>9</v>
      </c>
      <c r="H203" t="str">
        <f t="shared" si="21"/>
        <v>00</v>
      </c>
      <c r="I203" t="str">
        <f t="shared" si="22"/>
        <v>0</v>
      </c>
      <c r="J203" t="str">
        <f t="shared" si="23"/>
        <v>00</v>
      </c>
      <c r="K203">
        <v>20181115</v>
      </c>
      <c r="L203" t="str">
        <f>"027271"</f>
        <v>027271</v>
      </c>
      <c r="M203" t="str">
        <f>"00068"</f>
        <v>00068</v>
      </c>
      <c r="N203" t="s">
        <v>20</v>
      </c>
      <c r="O203" s="1">
        <v>5548.97</v>
      </c>
      <c r="P203">
        <v>20181115</v>
      </c>
      <c r="Q203" t="s">
        <v>21</v>
      </c>
      <c r="R203" t="s">
        <v>178</v>
      </c>
      <c r="S203" t="s">
        <v>23</v>
      </c>
      <c r="T203" t="s">
        <v>24</v>
      </c>
    </row>
    <row r="204" spans="1:20" x14ac:dyDescent="0.25">
      <c r="A204">
        <v>9</v>
      </c>
      <c r="B204">
        <v>163</v>
      </c>
      <c r="C204" t="str">
        <f t="shared" si="19"/>
        <v>00</v>
      </c>
      <c r="D204">
        <v>2153</v>
      </c>
      <c r="E204" t="str">
        <f t="shared" si="20"/>
        <v>00</v>
      </c>
      <c r="F204" t="str">
        <f>"142"</f>
        <v>142</v>
      </c>
      <c r="G204">
        <v>9</v>
      </c>
      <c r="H204" t="str">
        <f t="shared" si="21"/>
        <v>00</v>
      </c>
      <c r="I204" t="str">
        <f t="shared" si="22"/>
        <v>0</v>
      </c>
      <c r="J204" t="str">
        <f t="shared" si="23"/>
        <v>00</v>
      </c>
      <c r="K204">
        <v>20181115</v>
      </c>
      <c r="L204" t="str">
        <f>"027271"</f>
        <v>027271</v>
      </c>
      <c r="M204" t="str">
        <f>"00068"</f>
        <v>00068</v>
      </c>
      <c r="N204" t="s">
        <v>20</v>
      </c>
      <c r="O204" s="1">
        <v>9673.93</v>
      </c>
      <c r="P204">
        <v>20181115</v>
      </c>
      <c r="Q204" t="s">
        <v>25</v>
      </c>
      <c r="R204" t="s">
        <v>179</v>
      </c>
      <c r="S204" t="s">
        <v>23</v>
      </c>
      <c r="T204" t="s">
        <v>27</v>
      </c>
    </row>
    <row r="205" spans="1:20" x14ac:dyDescent="0.25">
      <c r="A205">
        <v>9</v>
      </c>
      <c r="B205">
        <v>163</v>
      </c>
      <c r="C205" t="str">
        <f t="shared" si="19"/>
        <v>00</v>
      </c>
      <c r="D205">
        <v>2159</v>
      </c>
      <c r="E205" t="str">
        <f t="shared" si="20"/>
        <v>00</v>
      </c>
      <c r="F205" t="str">
        <f>"143"</f>
        <v>143</v>
      </c>
      <c r="G205">
        <v>9</v>
      </c>
      <c r="H205" t="str">
        <f t="shared" si="21"/>
        <v>00</v>
      </c>
      <c r="I205" t="str">
        <f t="shared" si="22"/>
        <v>0</v>
      </c>
      <c r="J205" t="str">
        <f t="shared" si="23"/>
        <v>00</v>
      </c>
      <c r="K205">
        <v>20181115</v>
      </c>
      <c r="L205" t="str">
        <f>"027272"</f>
        <v>027272</v>
      </c>
      <c r="M205" t="str">
        <f>"00069"</f>
        <v>00069</v>
      </c>
      <c r="N205" t="s">
        <v>72</v>
      </c>
      <c r="O205">
        <v>282.92</v>
      </c>
      <c r="P205">
        <v>20181115</v>
      </c>
      <c r="Q205" t="s">
        <v>73</v>
      </c>
      <c r="R205" t="s">
        <v>180</v>
      </c>
      <c r="S205" t="s">
        <v>23</v>
      </c>
      <c r="T205" t="s">
        <v>74</v>
      </c>
    </row>
    <row r="206" spans="1:20" x14ac:dyDescent="0.25">
      <c r="A206">
        <v>9</v>
      </c>
      <c r="B206">
        <v>163</v>
      </c>
      <c r="C206" t="str">
        <f t="shared" si="19"/>
        <v>00</v>
      </c>
      <c r="D206">
        <v>2159</v>
      </c>
      <c r="E206" t="str">
        <f t="shared" si="20"/>
        <v>00</v>
      </c>
      <c r="F206" t="str">
        <f>"146"</f>
        <v>146</v>
      </c>
      <c r="G206">
        <v>9</v>
      </c>
      <c r="H206" t="str">
        <f t="shared" si="21"/>
        <v>00</v>
      </c>
      <c r="I206" t="str">
        <f t="shared" si="22"/>
        <v>0</v>
      </c>
      <c r="J206" t="str">
        <f t="shared" si="23"/>
        <v>00</v>
      </c>
      <c r="K206">
        <v>20181115</v>
      </c>
      <c r="L206" t="str">
        <f>"027273"</f>
        <v>027273</v>
      </c>
      <c r="M206" t="str">
        <f>"00086"</f>
        <v>00086</v>
      </c>
      <c r="N206" t="s">
        <v>75</v>
      </c>
      <c r="O206">
        <v>263.23</v>
      </c>
      <c r="P206">
        <v>20181115</v>
      </c>
      <c r="Q206" t="s">
        <v>76</v>
      </c>
      <c r="R206" t="s">
        <v>180</v>
      </c>
      <c r="S206" t="s">
        <v>23</v>
      </c>
      <c r="T206" t="s">
        <v>75</v>
      </c>
    </row>
    <row r="207" spans="1:20" x14ac:dyDescent="0.25">
      <c r="A207">
        <v>9</v>
      </c>
      <c r="B207">
        <v>163</v>
      </c>
      <c r="C207" t="str">
        <f t="shared" si="19"/>
        <v>00</v>
      </c>
      <c r="D207">
        <v>2159</v>
      </c>
      <c r="E207" t="str">
        <f t="shared" si="20"/>
        <v>00</v>
      </c>
      <c r="F207" t="str">
        <f>"147"</f>
        <v>147</v>
      </c>
      <c r="G207">
        <v>9</v>
      </c>
      <c r="H207" t="str">
        <f t="shared" si="21"/>
        <v>00</v>
      </c>
      <c r="I207" t="str">
        <f t="shared" si="22"/>
        <v>0</v>
      </c>
      <c r="J207" t="str">
        <f t="shared" si="23"/>
        <v>00</v>
      </c>
      <c r="K207">
        <v>20181115</v>
      </c>
      <c r="L207" t="str">
        <f>"027274"</f>
        <v>027274</v>
      </c>
      <c r="M207" t="str">
        <f>"00248"</f>
        <v>00248</v>
      </c>
      <c r="N207" t="s">
        <v>77</v>
      </c>
      <c r="O207" s="1">
        <v>1952.88</v>
      </c>
      <c r="P207">
        <v>20181115</v>
      </c>
      <c r="Q207" t="s">
        <v>78</v>
      </c>
      <c r="R207" t="s">
        <v>180</v>
      </c>
      <c r="S207" t="s">
        <v>23</v>
      </c>
      <c r="T207" t="s">
        <v>79</v>
      </c>
    </row>
    <row r="208" spans="1:20" x14ac:dyDescent="0.25">
      <c r="A208">
        <v>9</v>
      </c>
      <c r="B208">
        <v>163</v>
      </c>
      <c r="C208" t="str">
        <f t="shared" si="19"/>
        <v>00</v>
      </c>
      <c r="D208">
        <v>2159</v>
      </c>
      <c r="E208" t="str">
        <f t="shared" si="20"/>
        <v>00</v>
      </c>
      <c r="F208" t="str">
        <f>"148"</f>
        <v>148</v>
      </c>
      <c r="G208">
        <v>9</v>
      </c>
      <c r="H208" t="str">
        <f t="shared" si="21"/>
        <v>00</v>
      </c>
      <c r="I208" t="str">
        <f t="shared" si="22"/>
        <v>0</v>
      </c>
      <c r="J208" t="str">
        <f t="shared" si="23"/>
        <v>00</v>
      </c>
      <c r="K208">
        <v>20181115</v>
      </c>
      <c r="L208" t="str">
        <f>"027275"</f>
        <v>027275</v>
      </c>
      <c r="M208" t="str">
        <f>"00528"</f>
        <v>00528</v>
      </c>
      <c r="N208" t="s">
        <v>159</v>
      </c>
      <c r="O208">
        <v>787.5</v>
      </c>
      <c r="P208">
        <v>20181115</v>
      </c>
      <c r="Q208" t="s">
        <v>160</v>
      </c>
      <c r="R208" t="s">
        <v>180</v>
      </c>
      <c r="S208" t="s">
        <v>23</v>
      </c>
      <c r="T208" t="s">
        <v>162</v>
      </c>
    </row>
    <row r="209" spans="1:20" x14ac:dyDescent="0.25">
      <c r="A209">
        <v>9</v>
      </c>
      <c r="B209">
        <v>163</v>
      </c>
      <c r="C209" t="str">
        <f t="shared" si="19"/>
        <v>00</v>
      </c>
      <c r="D209">
        <v>2153</v>
      </c>
      <c r="E209" t="str">
        <f t="shared" si="20"/>
        <v>00</v>
      </c>
      <c r="F209" t="str">
        <f>"022"</f>
        <v>022</v>
      </c>
      <c r="G209">
        <v>9</v>
      </c>
      <c r="H209" t="str">
        <f t="shared" si="21"/>
        <v>00</v>
      </c>
      <c r="I209" t="str">
        <f t="shared" si="22"/>
        <v>0</v>
      </c>
      <c r="J209" t="str">
        <f t="shared" si="23"/>
        <v>00</v>
      </c>
      <c r="K209">
        <v>20181115</v>
      </c>
      <c r="L209" t="str">
        <f>"027276"</f>
        <v>027276</v>
      </c>
      <c r="M209" t="str">
        <f>"04831"</f>
        <v>04831</v>
      </c>
      <c r="N209" t="s">
        <v>28</v>
      </c>
      <c r="O209" s="1">
        <v>1661.81</v>
      </c>
      <c r="P209">
        <v>20181115</v>
      </c>
      <c r="Q209" t="s">
        <v>29</v>
      </c>
      <c r="R209" t="s">
        <v>179</v>
      </c>
      <c r="S209" t="s">
        <v>23</v>
      </c>
      <c r="T209" t="s">
        <v>30</v>
      </c>
    </row>
    <row r="210" spans="1:20" x14ac:dyDescent="0.25">
      <c r="A210">
        <v>9</v>
      </c>
      <c r="B210">
        <v>163</v>
      </c>
      <c r="C210" t="str">
        <f t="shared" si="19"/>
        <v>00</v>
      </c>
      <c r="D210">
        <v>2159</v>
      </c>
      <c r="E210" t="str">
        <f t="shared" si="20"/>
        <v>00</v>
      </c>
      <c r="F210" t="str">
        <f>"018"</f>
        <v>018</v>
      </c>
      <c r="G210">
        <v>9</v>
      </c>
      <c r="H210" t="str">
        <f t="shared" si="21"/>
        <v>00</v>
      </c>
      <c r="I210" t="str">
        <f t="shared" si="22"/>
        <v>0</v>
      </c>
      <c r="J210" t="str">
        <f t="shared" si="23"/>
        <v>00</v>
      </c>
      <c r="K210">
        <v>20181115</v>
      </c>
      <c r="L210" t="str">
        <f>"027277"</f>
        <v>027277</v>
      </c>
      <c r="M210" t="str">
        <f>"04905"</f>
        <v>04905</v>
      </c>
      <c r="N210" t="s">
        <v>31</v>
      </c>
      <c r="O210" s="1">
        <v>3129.37</v>
      </c>
      <c r="P210">
        <v>20181115</v>
      </c>
      <c r="Q210" t="s">
        <v>32</v>
      </c>
      <c r="R210" t="s">
        <v>180</v>
      </c>
      <c r="S210" t="s">
        <v>23</v>
      </c>
      <c r="T210" t="s">
        <v>34</v>
      </c>
    </row>
    <row r="211" spans="1:20" x14ac:dyDescent="0.25">
      <c r="A211">
        <v>9</v>
      </c>
      <c r="B211">
        <v>163</v>
      </c>
      <c r="C211" t="str">
        <f t="shared" si="19"/>
        <v>00</v>
      </c>
      <c r="D211">
        <v>2153</v>
      </c>
      <c r="E211" t="str">
        <f t="shared" si="20"/>
        <v>00</v>
      </c>
      <c r="F211" t="str">
        <f>"053"</f>
        <v>053</v>
      </c>
      <c r="G211">
        <v>9</v>
      </c>
      <c r="H211" t="str">
        <f t="shared" si="21"/>
        <v>00</v>
      </c>
      <c r="I211" t="str">
        <f t="shared" si="22"/>
        <v>0</v>
      </c>
      <c r="J211" t="str">
        <f t="shared" si="23"/>
        <v>00</v>
      </c>
      <c r="K211">
        <v>20181115</v>
      </c>
      <c r="L211" t="str">
        <f>"027278"</f>
        <v>027278</v>
      </c>
      <c r="M211" t="str">
        <f>"04987"</f>
        <v>04987</v>
      </c>
      <c r="N211" t="s">
        <v>35</v>
      </c>
      <c r="O211">
        <v>888.72</v>
      </c>
      <c r="P211">
        <v>20181115</v>
      </c>
      <c r="Q211" t="s">
        <v>36</v>
      </c>
      <c r="R211" t="s">
        <v>179</v>
      </c>
      <c r="S211" t="s">
        <v>23</v>
      </c>
      <c r="T211" t="s">
        <v>37</v>
      </c>
    </row>
    <row r="212" spans="1:20" x14ac:dyDescent="0.25">
      <c r="A212">
        <v>9</v>
      </c>
      <c r="B212">
        <v>163</v>
      </c>
      <c r="C212" t="str">
        <f t="shared" si="19"/>
        <v>00</v>
      </c>
      <c r="D212">
        <v>2159</v>
      </c>
      <c r="E212" t="str">
        <f t="shared" si="20"/>
        <v>00</v>
      </c>
      <c r="F212" t="str">
        <f>"009"</f>
        <v>009</v>
      </c>
      <c r="G212">
        <v>9</v>
      </c>
      <c r="H212" t="str">
        <f t="shared" si="21"/>
        <v>00</v>
      </c>
      <c r="I212" t="str">
        <f t="shared" si="22"/>
        <v>0</v>
      </c>
      <c r="J212" t="str">
        <f t="shared" si="23"/>
        <v>00</v>
      </c>
      <c r="K212">
        <v>20181115</v>
      </c>
      <c r="L212" t="str">
        <f>"027279"</f>
        <v>027279</v>
      </c>
      <c r="M212" t="str">
        <f>"07710"</f>
        <v>07710</v>
      </c>
      <c r="N212" t="s">
        <v>38</v>
      </c>
      <c r="O212">
        <v>681.88</v>
      </c>
      <c r="P212">
        <v>20181115</v>
      </c>
      <c r="Q212" t="s">
        <v>39</v>
      </c>
      <c r="R212" t="s">
        <v>180</v>
      </c>
      <c r="S212" t="s">
        <v>23</v>
      </c>
      <c r="T212" t="s">
        <v>40</v>
      </c>
    </row>
    <row r="213" spans="1:20" x14ac:dyDescent="0.25">
      <c r="A213">
        <v>9</v>
      </c>
      <c r="B213">
        <v>163</v>
      </c>
      <c r="C213" t="str">
        <f t="shared" si="19"/>
        <v>00</v>
      </c>
      <c r="D213">
        <v>2159</v>
      </c>
      <c r="E213" t="str">
        <f t="shared" si="20"/>
        <v>00</v>
      </c>
      <c r="F213" t="str">
        <f>"068"</f>
        <v>068</v>
      </c>
      <c r="G213">
        <v>9</v>
      </c>
      <c r="H213" t="str">
        <f t="shared" si="21"/>
        <v>00</v>
      </c>
      <c r="I213" t="str">
        <f t="shared" si="22"/>
        <v>0</v>
      </c>
      <c r="J213" t="str">
        <f t="shared" si="23"/>
        <v>00</v>
      </c>
      <c r="K213">
        <v>20181115</v>
      </c>
      <c r="L213" t="str">
        <f>"027280"</f>
        <v>027280</v>
      </c>
      <c r="M213" t="str">
        <f>"10095"</f>
        <v>10095</v>
      </c>
      <c r="N213" t="s">
        <v>83</v>
      </c>
      <c r="O213">
        <v>389.42</v>
      </c>
      <c r="P213">
        <v>20181115</v>
      </c>
      <c r="Q213" t="s">
        <v>84</v>
      </c>
      <c r="R213" t="s">
        <v>180</v>
      </c>
      <c r="S213" t="s">
        <v>23</v>
      </c>
      <c r="T213" t="s">
        <v>85</v>
      </c>
    </row>
    <row r="214" spans="1:20" x14ac:dyDescent="0.25">
      <c r="A214">
        <v>9</v>
      </c>
      <c r="B214">
        <v>163</v>
      </c>
      <c r="C214" t="str">
        <f t="shared" si="19"/>
        <v>00</v>
      </c>
      <c r="D214">
        <v>2153</v>
      </c>
      <c r="E214" t="str">
        <f t="shared" si="20"/>
        <v>00</v>
      </c>
      <c r="F214" t="str">
        <f>"011"</f>
        <v>011</v>
      </c>
      <c r="G214">
        <v>9</v>
      </c>
      <c r="H214" t="str">
        <f t="shared" si="21"/>
        <v>00</v>
      </c>
      <c r="I214" t="str">
        <f t="shared" si="22"/>
        <v>0</v>
      </c>
      <c r="J214" t="str">
        <f t="shared" si="23"/>
        <v>00</v>
      </c>
      <c r="K214">
        <v>20181115</v>
      </c>
      <c r="L214" t="str">
        <f>"027281"</f>
        <v>027281</v>
      </c>
      <c r="M214" t="str">
        <f>"11211"</f>
        <v>11211</v>
      </c>
      <c r="N214" t="s">
        <v>41</v>
      </c>
      <c r="O214" s="1">
        <v>2663.97</v>
      </c>
      <c r="P214">
        <v>20181115</v>
      </c>
      <c r="Q214" t="s">
        <v>42</v>
      </c>
      <c r="R214" t="s">
        <v>179</v>
      </c>
      <c r="S214" t="s">
        <v>23</v>
      </c>
      <c r="T214" t="s">
        <v>43</v>
      </c>
    </row>
    <row r="215" spans="1:20" x14ac:dyDescent="0.25">
      <c r="A215">
        <v>9</v>
      </c>
      <c r="B215">
        <v>163</v>
      </c>
      <c r="C215" t="str">
        <f t="shared" si="19"/>
        <v>00</v>
      </c>
      <c r="D215">
        <v>2159</v>
      </c>
      <c r="E215" t="str">
        <f t="shared" si="20"/>
        <v>00</v>
      </c>
      <c r="F215" t="str">
        <f>"104"</f>
        <v>104</v>
      </c>
      <c r="G215">
        <v>9</v>
      </c>
      <c r="H215" t="str">
        <f t="shared" si="21"/>
        <v>00</v>
      </c>
      <c r="I215" t="str">
        <f t="shared" si="22"/>
        <v>0</v>
      </c>
      <c r="J215" t="str">
        <f t="shared" si="23"/>
        <v>00</v>
      </c>
      <c r="K215">
        <v>20181115</v>
      </c>
      <c r="L215" t="str">
        <f>"027282"</f>
        <v>027282</v>
      </c>
      <c r="M215" t="str">
        <f>"14177"</f>
        <v>14177</v>
      </c>
      <c r="N215" t="s">
        <v>163</v>
      </c>
      <c r="O215">
        <v>85</v>
      </c>
      <c r="P215">
        <v>20181115</v>
      </c>
      <c r="Q215" t="s">
        <v>45</v>
      </c>
      <c r="R215" t="s">
        <v>180</v>
      </c>
      <c r="S215" t="s">
        <v>23</v>
      </c>
      <c r="T215" t="s">
        <v>46</v>
      </c>
    </row>
    <row r="216" spans="1:20" x14ac:dyDescent="0.25">
      <c r="A216">
        <v>9</v>
      </c>
      <c r="B216">
        <v>163</v>
      </c>
      <c r="C216" t="str">
        <f t="shared" si="19"/>
        <v>00</v>
      </c>
      <c r="D216">
        <v>2159</v>
      </c>
      <c r="E216" t="str">
        <f t="shared" si="20"/>
        <v>00</v>
      </c>
      <c r="F216" t="str">
        <f>"014"</f>
        <v>014</v>
      </c>
      <c r="G216">
        <v>9</v>
      </c>
      <c r="H216" t="str">
        <f t="shared" si="21"/>
        <v>00</v>
      </c>
      <c r="I216" t="str">
        <f t="shared" si="22"/>
        <v>0</v>
      </c>
      <c r="J216" t="str">
        <f t="shared" si="23"/>
        <v>00</v>
      </c>
      <c r="K216">
        <v>20181115</v>
      </c>
      <c r="L216" t="str">
        <f>"027283"</f>
        <v>027283</v>
      </c>
      <c r="M216" t="str">
        <f>"20682"</f>
        <v>20682</v>
      </c>
      <c r="N216" t="s">
        <v>86</v>
      </c>
      <c r="O216" s="1">
        <v>2211.88</v>
      </c>
      <c r="P216">
        <v>20181115</v>
      </c>
      <c r="Q216" t="s">
        <v>87</v>
      </c>
      <c r="R216" t="s">
        <v>180</v>
      </c>
      <c r="S216" t="s">
        <v>23</v>
      </c>
      <c r="T216" t="s">
        <v>88</v>
      </c>
    </row>
    <row r="217" spans="1:20" x14ac:dyDescent="0.25">
      <c r="A217">
        <v>9</v>
      </c>
      <c r="B217">
        <v>163</v>
      </c>
      <c r="C217" t="str">
        <f t="shared" si="19"/>
        <v>00</v>
      </c>
      <c r="D217">
        <v>2153</v>
      </c>
      <c r="E217" t="str">
        <f t="shared" si="20"/>
        <v>00</v>
      </c>
      <c r="F217" t="str">
        <f>"024"</f>
        <v>024</v>
      </c>
      <c r="G217">
        <v>9</v>
      </c>
      <c r="H217" t="str">
        <f t="shared" si="21"/>
        <v>00</v>
      </c>
      <c r="I217" t="str">
        <f t="shared" si="22"/>
        <v>0</v>
      </c>
      <c r="J217" t="str">
        <f t="shared" si="23"/>
        <v>00</v>
      </c>
      <c r="K217">
        <v>20181115</v>
      </c>
      <c r="L217" t="str">
        <f>"027284"</f>
        <v>027284</v>
      </c>
      <c r="M217" t="str">
        <f>"21504"</f>
        <v>21504</v>
      </c>
      <c r="N217" t="s">
        <v>89</v>
      </c>
      <c r="O217">
        <v>36.6</v>
      </c>
      <c r="P217">
        <v>20181115</v>
      </c>
      <c r="Q217" t="s">
        <v>90</v>
      </c>
      <c r="R217" t="s">
        <v>179</v>
      </c>
      <c r="S217" t="s">
        <v>23</v>
      </c>
      <c r="T217" t="s">
        <v>91</v>
      </c>
    </row>
    <row r="218" spans="1:20" x14ac:dyDescent="0.25">
      <c r="A218">
        <v>9</v>
      </c>
      <c r="B218">
        <v>163</v>
      </c>
      <c r="C218" t="str">
        <f t="shared" si="19"/>
        <v>00</v>
      </c>
      <c r="D218">
        <v>2153</v>
      </c>
      <c r="E218" t="str">
        <f t="shared" si="20"/>
        <v>00</v>
      </c>
      <c r="F218" t="str">
        <f>"026"</f>
        <v>026</v>
      </c>
      <c r="G218">
        <v>9</v>
      </c>
      <c r="H218" t="str">
        <f t="shared" si="21"/>
        <v>00</v>
      </c>
      <c r="I218" t="str">
        <f t="shared" si="22"/>
        <v>0</v>
      </c>
      <c r="J218" t="str">
        <f t="shared" si="23"/>
        <v>00</v>
      </c>
      <c r="K218">
        <v>20181115</v>
      </c>
      <c r="L218" t="str">
        <f>"027285"</f>
        <v>027285</v>
      </c>
      <c r="M218" t="str">
        <f>"21506"</f>
        <v>21506</v>
      </c>
      <c r="N218" t="s">
        <v>92</v>
      </c>
      <c r="O218">
        <v>102.75</v>
      </c>
      <c r="P218">
        <v>20181115</v>
      </c>
      <c r="Q218" t="s">
        <v>93</v>
      </c>
      <c r="R218" t="s">
        <v>179</v>
      </c>
      <c r="S218" t="s">
        <v>23</v>
      </c>
      <c r="T218" t="s">
        <v>94</v>
      </c>
    </row>
    <row r="219" spans="1:20" x14ac:dyDescent="0.25">
      <c r="A219">
        <v>9</v>
      </c>
      <c r="B219">
        <v>163</v>
      </c>
      <c r="C219" t="str">
        <f t="shared" si="19"/>
        <v>00</v>
      </c>
      <c r="D219">
        <v>2159</v>
      </c>
      <c r="E219" t="str">
        <f t="shared" si="20"/>
        <v>00</v>
      </c>
      <c r="F219" t="str">
        <f>"117"</f>
        <v>117</v>
      </c>
      <c r="G219">
        <v>9</v>
      </c>
      <c r="H219" t="str">
        <f t="shared" si="21"/>
        <v>00</v>
      </c>
      <c r="I219" t="str">
        <f t="shared" si="22"/>
        <v>0</v>
      </c>
      <c r="J219" t="str">
        <f t="shared" si="23"/>
        <v>00</v>
      </c>
      <c r="K219">
        <v>20181115</v>
      </c>
      <c r="L219" t="str">
        <f>"027286"</f>
        <v>027286</v>
      </c>
      <c r="M219" t="str">
        <f>"21826"</f>
        <v>21826</v>
      </c>
      <c r="N219" t="s">
        <v>95</v>
      </c>
      <c r="O219">
        <v>630.78</v>
      </c>
      <c r="P219">
        <v>20181115</v>
      </c>
      <c r="Q219" t="s">
        <v>96</v>
      </c>
      <c r="R219" t="s">
        <v>180</v>
      </c>
      <c r="S219" t="s">
        <v>23</v>
      </c>
      <c r="T219" t="s">
        <v>97</v>
      </c>
    </row>
    <row r="220" spans="1:20" x14ac:dyDescent="0.25">
      <c r="A220">
        <v>9</v>
      </c>
      <c r="B220">
        <v>163</v>
      </c>
      <c r="C220" t="str">
        <f t="shared" si="19"/>
        <v>00</v>
      </c>
      <c r="D220">
        <v>2159</v>
      </c>
      <c r="E220" t="str">
        <f t="shared" si="20"/>
        <v>00</v>
      </c>
      <c r="F220" t="str">
        <f>"108"</f>
        <v>108</v>
      </c>
      <c r="G220">
        <v>9</v>
      </c>
      <c r="H220" t="str">
        <f t="shared" si="21"/>
        <v>00</v>
      </c>
      <c r="I220" t="str">
        <f t="shared" si="22"/>
        <v>0</v>
      </c>
      <c r="J220" t="str">
        <f t="shared" si="23"/>
        <v>00</v>
      </c>
      <c r="K220">
        <v>20181115</v>
      </c>
      <c r="L220" t="str">
        <f>"027287"</f>
        <v>027287</v>
      </c>
      <c r="M220" t="str">
        <f>"29572"</f>
        <v>29572</v>
      </c>
      <c r="N220" t="s">
        <v>165</v>
      </c>
      <c r="O220">
        <v>21.87</v>
      </c>
      <c r="P220">
        <v>20181115</v>
      </c>
      <c r="Q220" t="s">
        <v>166</v>
      </c>
      <c r="R220" t="s">
        <v>180</v>
      </c>
      <c r="S220" t="s">
        <v>23</v>
      </c>
      <c r="T220" t="s">
        <v>167</v>
      </c>
    </row>
    <row r="221" spans="1:20" x14ac:dyDescent="0.25">
      <c r="A221">
        <v>9</v>
      </c>
      <c r="B221">
        <v>163</v>
      </c>
      <c r="C221" t="str">
        <f t="shared" si="19"/>
        <v>00</v>
      </c>
      <c r="D221">
        <v>2159</v>
      </c>
      <c r="E221" t="str">
        <f t="shared" si="20"/>
        <v>00</v>
      </c>
      <c r="F221" t="str">
        <f>"140"</f>
        <v>140</v>
      </c>
      <c r="G221">
        <v>9</v>
      </c>
      <c r="H221" t="str">
        <f t="shared" si="21"/>
        <v>00</v>
      </c>
      <c r="I221" t="str">
        <f t="shared" si="22"/>
        <v>0</v>
      </c>
      <c r="J221" t="str">
        <f t="shared" si="23"/>
        <v>00</v>
      </c>
      <c r="K221">
        <v>20181115</v>
      </c>
      <c r="L221" t="str">
        <f>"027288"</f>
        <v>027288</v>
      </c>
      <c r="M221" t="str">
        <f>"47701"</f>
        <v>47701</v>
      </c>
      <c r="N221" t="s">
        <v>98</v>
      </c>
      <c r="O221">
        <v>450.6</v>
      </c>
      <c r="P221">
        <v>20181115</v>
      </c>
      <c r="Q221" t="s">
        <v>99</v>
      </c>
      <c r="R221" t="s">
        <v>180</v>
      </c>
      <c r="S221" t="s">
        <v>23</v>
      </c>
      <c r="T221" t="s">
        <v>100</v>
      </c>
    </row>
    <row r="222" spans="1:20" x14ac:dyDescent="0.25">
      <c r="A222">
        <v>9</v>
      </c>
      <c r="B222">
        <v>163</v>
      </c>
      <c r="C222" t="str">
        <f t="shared" si="19"/>
        <v>00</v>
      </c>
      <c r="D222">
        <v>2153</v>
      </c>
      <c r="E222" t="str">
        <f t="shared" si="20"/>
        <v>00</v>
      </c>
      <c r="F222" t="str">
        <f>"110"</f>
        <v>110</v>
      </c>
      <c r="G222">
        <v>9</v>
      </c>
      <c r="H222" t="str">
        <f t="shared" si="21"/>
        <v>00</v>
      </c>
      <c r="I222" t="str">
        <f t="shared" si="22"/>
        <v>0</v>
      </c>
      <c r="J222" t="str">
        <f t="shared" si="23"/>
        <v>00</v>
      </c>
      <c r="K222">
        <v>20181115</v>
      </c>
      <c r="L222" t="str">
        <f>"027289"</f>
        <v>027289</v>
      </c>
      <c r="M222" t="str">
        <f>"48947"</f>
        <v>48947</v>
      </c>
      <c r="N222" t="s">
        <v>47</v>
      </c>
      <c r="O222" s="1">
        <v>1964.81</v>
      </c>
      <c r="P222">
        <v>20181115</v>
      </c>
      <c r="Q222" t="s">
        <v>48</v>
      </c>
      <c r="R222" t="s">
        <v>178</v>
      </c>
      <c r="S222" t="s">
        <v>23</v>
      </c>
      <c r="T222" t="s">
        <v>49</v>
      </c>
    </row>
    <row r="223" spans="1:20" x14ac:dyDescent="0.25">
      <c r="A223">
        <v>9</v>
      </c>
      <c r="B223">
        <v>163</v>
      </c>
      <c r="C223" t="str">
        <f t="shared" si="19"/>
        <v>00</v>
      </c>
      <c r="D223">
        <v>2159</v>
      </c>
      <c r="E223" t="str">
        <f t="shared" si="20"/>
        <v>00</v>
      </c>
      <c r="F223" t="str">
        <f>"032"</f>
        <v>032</v>
      </c>
      <c r="G223">
        <v>9</v>
      </c>
      <c r="H223" t="str">
        <f t="shared" si="21"/>
        <v>00</v>
      </c>
      <c r="I223" t="str">
        <f t="shared" si="22"/>
        <v>0</v>
      </c>
      <c r="J223" t="str">
        <f t="shared" si="23"/>
        <v>00</v>
      </c>
      <c r="K223">
        <v>20181115</v>
      </c>
      <c r="L223" t="str">
        <f t="shared" ref="L223:L241" si="24">"027290"</f>
        <v>027290</v>
      </c>
      <c r="M223" t="str">
        <f t="shared" ref="M223:M241" si="25">"54196"</f>
        <v>54196</v>
      </c>
      <c r="N223" t="s">
        <v>50</v>
      </c>
      <c r="O223">
        <v>50</v>
      </c>
      <c r="P223">
        <v>20181115</v>
      </c>
      <c r="Q223" t="s">
        <v>101</v>
      </c>
      <c r="R223" t="s">
        <v>181</v>
      </c>
      <c r="S223" t="s">
        <v>23</v>
      </c>
      <c r="T223" t="s">
        <v>102</v>
      </c>
    </row>
    <row r="224" spans="1:20" x14ac:dyDescent="0.25">
      <c r="A224">
        <v>9</v>
      </c>
      <c r="B224">
        <v>163</v>
      </c>
      <c r="C224" t="str">
        <f t="shared" si="19"/>
        <v>00</v>
      </c>
      <c r="D224">
        <v>2159</v>
      </c>
      <c r="E224" t="str">
        <f t="shared" si="20"/>
        <v>00</v>
      </c>
      <c r="F224" t="str">
        <f>"033"</f>
        <v>033</v>
      </c>
      <c r="G224">
        <v>9</v>
      </c>
      <c r="H224" t="str">
        <f t="shared" si="21"/>
        <v>00</v>
      </c>
      <c r="I224" t="str">
        <f t="shared" si="22"/>
        <v>0</v>
      </c>
      <c r="J224" t="str">
        <f t="shared" si="23"/>
        <v>00</v>
      </c>
      <c r="K224">
        <v>20181115</v>
      </c>
      <c r="L224" t="str">
        <f t="shared" si="24"/>
        <v>027290</v>
      </c>
      <c r="M224" t="str">
        <f t="shared" si="25"/>
        <v>54196</v>
      </c>
      <c r="N224" t="s">
        <v>50</v>
      </c>
      <c r="O224">
        <v>283</v>
      </c>
      <c r="P224">
        <v>20181115</v>
      </c>
      <c r="Q224" t="s">
        <v>103</v>
      </c>
      <c r="R224" t="s">
        <v>181</v>
      </c>
      <c r="S224" t="s">
        <v>23</v>
      </c>
      <c r="T224" t="s">
        <v>104</v>
      </c>
    </row>
    <row r="225" spans="1:20" x14ac:dyDescent="0.25">
      <c r="A225">
        <v>9</v>
      </c>
      <c r="B225">
        <v>163</v>
      </c>
      <c r="C225" t="str">
        <f t="shared" si="19"/>
        <v>00</v>
      </c>
      <c r="D225">
        <v>2159</v>
      </c>
      <c r="E225" t="str">
        <f t="shared" si="20"/>
        <v>00</v>
      </c>
      <c r="F225" t="str">
        <f>"041"</f>
        <v>041</v>
      </c>
      <c r="G225">
        <v>9</v>
      </c>
      <c r="H225" t="str">
        <f t="shared" si="21"/>
        <v>00</v>
      </c>
      <c r="I225" t="str">
        <f t="shared" si="22"/>
        <v>0</v>
      </c>
      <c r="J225" t="str">
        <f t="shared" si="23"/>
        <v>00</v>
      </c>
      <c r="K225">
        <v>20181115</v>
      </c>
      <c r="L225" t="str">
        <f t="shared" si="24"/>
        <v>027290</v>
      </c>
      <c r="M225" t="str">
        <f t="shared" si="25"/>
        <v>54196</v>
      </c>
      <c r="N225" t="s">
        <v>50</v>
      </c>
      <c r="O225" s="1">
        <v>1340</v>
      </c>
      <c r="P225">
        <v>20181115</v>
      </c>
      <c r="Q225" t="s">
        <v>105</v>
      </c>
      <c r="R225" t="s">
        <v>181</v>
      </c>
      <c r="S225" t="s">
        <v>23</v>
      </c>
      <c r="T225" t="s">
        <v>106</v>
      </c>
    </row>
    <row r="226" spans="1:20" x14ac:dyDescent="0.25">
      <c r="A226">
        <v>9</v>
      </c>
      <c r="B226">
        <v>163</v>
      </c>
      <c r="C226" t="str">
        <f t="shared" si="19"/>
        <v>00</v>
      </c>
      <c r="D226">
        <v>2159</v>
      </c>
      <c r="E226" t="str">
        <f t="shared" si="20"/>
        <v>00</v>
      </c>
      <c r="F226" t="str">
        <f>"042"</f>
        <v>042</v>
      </c>
      <c r="G226">
        <v>9</v>
      </c>
      <c r="H226" t="str">
        <f t="shared" si="21"/>
        <v>00</v>
      </c>
      <c r="I226" t="str">
        <f t="shared" si="22"/>
        <v>0</v>
      </c>
      <c r="J226" t="str">
        <f t="shared" si="23"/>
        <v>00</v>
      </c>
      <c r="K226">
        <v>20181115</v>
      </c>
      <c r="L226" t="str">
        <f t="shared" si="24"/>
        <v>027290</v>
      </c>
      <c r="M226" t="str">
        <f t="shared" si="25"/>
        <v>54196</v>
      </c>
      <c r="N226" t="s">
        <v>50</v>
      </c>
      <c r="O226" s="1">
        <v>2075</v>
      </c>
      <c r="P226">
        <v>20181115</v>
      </c>
      <c r="Q226" t="s">
        <v>107</v>
      </c>
      <c r="R226" t="s">
        <v>181</v>
      </c>
      <c r="S226" t="s">
        <v>23</v>
      </c>
      <c r="T226" t="s">
        <v>108</v>
      </c>
    </row>
    <row r="227" spans="1:20" x14ac:dyDescent="0.25">
      <c r="A227">
        <v>9</v>
      </c>
      <c r="B227">
        <v>163</v>
      </c>
      <c r="C227" t="str">
        <f t="shared" si="19"/>
        <v>00</v>
      </c>
      <c r="D227">
        <v>2159</v>
      </c>
      <c r="E227" t="str">
        <f t="shared" si="20"/>
        <v>00</v>
      </c>
      <c r="F227" t="str">
        <f>"046"</f>
        <v>046</v>
      </c>
      <c r="G227">
        <v>9</v>
      </c>
      <c r="H227" t="str">
        <f t="shared" si="21"/>
        <v>00</v>
      </c>
      <c r="I227" t="str">
        <f t="shared" si="22"/>
        <v>0</v>
      </c>
      <c r="J227" t="str">
        <f t="shared" si="23"/>
        <v>00</v>
      </c>
      <c r="K227">
        <v>20181115</v>
      </c>
      <c r="L227" t="str">
        <f t="shared" si="24"/>
        <v>027290</v>
      </c>
      <c r="M227" t="str">
        <f t="shared" si="25"/>
        <v>54196</v>
      </c>
      <c r="N227" t="s">
        <v>50</v>
      </c>
      <c r="O227">
        <v>40</v>
      </c>
      <c r="P227">
        <v>20181115</v>
      </c>
      <c r="Q227" t="s">
        <v>109</v>
      </c>
      <c r="R227" t="s">
        <v>181</v>
      </c>
      <c r="S227" t="s">
        <v>23</v>
      </c>
      <c r="T227" t="s">
        <v>110</v>
      </c>
    </row>
    <row r="228" spans="1:20" x14ac:dyDescent="0.25">
      <c r="A228">
        <v>9</v>
      </c>
      <c r="B228">
        <v>163</v>
      </c>
      <c r="C228" t="str">
        <f t="shared" si="19"/>
        <v>00</v>
      </c>
      <c r="D228">
        <v>2159</v>
      </c>
      <c r="E228" t="str">
        <f t="shared" si="20"/>
        <v>00</v>
      </c>
      <c r="F228" t="str">
        <f>"058"</f>
        <v>058</v>
      </c>
      <c r="G228">
        <v>9</v>
      </c>
      <c r="H228" t="str">
        <f t="shared" si="21"/>
        <v>00</v>
      </c>
      <c r="I228" t="str">
        <f t="shared" si="22"/>
        <v>0</v>
      </c>
      <c r="J228" t="str">
        <f t="shared" si="23"/>
        <v>00</v>
      </c>
      <c r="K228">
        <v>20181115</v>
      </c>
      <c r="L228" t="str">
        <f t="shared" si="24"/>
        <v>027290</v>
      </c>
      <c r="M228" t="str">
        <f t="shared" si="25"/>
        <v>54196</v>
      </c>
      <c r="N228" t="s">
        <v>50</v>
      </c>
      <c r="O228" s="1">
        <v>1967</v>
      </c>
      <c r="P228">
        <v>20181115</v>
      </c>
      <c r="Q228" t="s">
        <v>111</v>
      </c>
      <c r="R228" t="s">
        <v>181</v>
      </c>
      <c r="S228" t="s">
        <v>23</v>
      </c>
      <c r="T228" t="s">
        <v>112</v>
      </c>
    </row>
    <row r="229" spans="1:20" x14ac:dyDescent="0.25">
      <c r="A229">
        <v>9</v>
      </c>
      <c r="B229">
        <v>163</v>
      </c>
      <c r="C229" t="str">
        <f t="shared" si="19"/>
        <v>00</v>
      </c>
      <c r="D229">
        <v>2159</v>
      </c>
      <c r="E229" t="str">
        <f t="shared" si="20"/>
        <v>00</v>
      </c>
      <c r="F229" t="str">
        <f>"059"</f>
        <v>059</v>
      </c>
      <c r="G229">
        <v>9</v>
      </c>
      <c r="H229" t="str">
        <f t="shared" si="21"/>
        <v>00</v>
      </c>
      <c r="I229" t="str">
        <f t="shared" si="22"/>
        <v>0</v>
      </c>
      <c r="J229" t="str">
        <f t="shared" si="23"/>
        <v>00</v>
      </c>
      <c r="K229">
        <v>20181115</v>
      </c>
      <c r="L229" t="str">
        <f t="shared" si="24"/>
        <v>027290</v>
      </c>
      <c r="M229" t="str">
        <f t="shared" si="25"/>
        <v>54196</v>
      </c>
      <c r="N229" t="s">
        <v>50</v>
      </c>
      <c r="O229">
        <v>672</v>
      </c>
      <c r="P229">
        <v>20181115</v>
      </c>
      <c r="Q229" t="s">
        <v>113</v>
      </c>
      <c r="R229" t="s">
        <v>181</v>
      </c>
      <c r="S229" t="s">
        <v>23</v>
      </c>
      <c r="T229" t="s">
        <v>114</v>
      </c>
    </row>
    <row r="230" spans="1:20" x14ac:dyDescent="0.25">
      <c r="A230">
        <v>9</v>
      </c>
      <c r="B230">
        <v>163</v>
      </c>
      <c r="C230" t="str">
        <f t="shared" si="19"/>
        <v>00</v>
      </c>
      <c r="D230">
        <v>2159</v>
      </c>
      <c r="E230" t="str">
        <f t="shared" si="20"/>
        <v>00</v>
      </c>
      <c r="F230" t="str">
        <f>"072"</f>
        <v>072</v>
      </c>
      <c r="G230">
        <v>9</v>
      </c>
      <c r="H230" t="str">
        <f t="shared" si="21"/>
        <v>00</v>
      </c>
      <c r="I230" t="str">
        <f t="shared" si="22"/>
        <v>0</v>
      </c>
      <c r="J230" t="str">
        <f t="shared" si="23"/>
        <v>00</v>
      </c>
      <c r="K230">
        <v>20181115</v>
      </c>
      <c r="L230" t="str">
        <f t="shared" si="24"/>
        <v>027290</v>
      </c>
      <c r="M230" t="str">
        <f t="shared" si="25"/>
        <v>54196</v>
      </c>
      <c r="N230" t="s">
        <v>50</v>
      </c>
      <c r="O230">
        <v>50</v>
      </c>
      <c r="P230">
        <v>20181115</v>
      </c>
      <c r="Q230" t="s">
        <v>115</v>
      </c>
      <c r="R230" t="s">
        <v>181</v>
      </c>
      <c r="S230" t="s">
        <v>23</v>
      </c>
      <c r="T230" t="s">
        <v>116</v>
      </c>
    </row>
    <row r="231" spans="1:20" x14ac:dyDescent="0.25">
      <c r="A231">
        <v>9</v>
      </c>
      <c r="B231">
        <v>163</v>
      </c>
      <c r="C231" t="str">
        <f t="shared" si="19"/>
        <v>00</v>
      </c>
      <c r="D231">
        <v>2159</v>
      </c>
      <c r="E231" t="str">
        <f t="shared" si="20"/>
        <v>00</v>
      </c>
      <c r="F231" t="str">
        <f>"075"</f>
        <v>075</v>
      </c>
      <c r="G231">
        <v>9</v>
      </c>
      <c r="H231" t="str">
        <f t="shared" si="21"/>
        <v>00</v>
      </c>
      <c r="I231" t="str">
        <f t="shared" si="22"/>
        <v>0</v>
      </c>
      <c r="J231" t="str">
        <f t="shared" si="23"/>
        <v>00</v>
      </c>
      <c r="K231">
        <v>20181115</v>
      </c>
      <c r="L231" t="str">
        <f t="shared" si="24"/>
        <v>027290</v>
      </c>
      <c r="M231" t="str">
        <f t="shared" si="25"/>
        <v>54196</v>
      </c>
      <c r="N231" t="s">
        <v>50</v>
      </c>
      <c r="O231">
        <v>100</v>
      </c>
      <c r="P231">
        <v>20181115</v>
      </c>
      <c r="Q231" t="s">
        <v>117</v>
      </c>
      <c r="R231" t="s">
        <v>181</v>
      </c>
      <c r="S231" t="s">
        <v>23</v>
      </c>
      <c r="T231" t="s">
        <v>118</v>
      </c>
    </row>
    <row r="232" spans="1:20" x14ac:dyDescent="0.25">
      <c r="A232">
        <v>9</v>
      </c>
      <c r="B232">
        <v>163</v>
      </c>
      <c r="C232" t="str">
        <f t="shared" si="19"/>
        <v>00</v>
      </c>
      <c r="D232">
        <v>2159</v>
      </c>
      <c r="E232" t="str">
        <f t="shared" si="20"/>
        <v>00</v>
      </c>
      <c r="F232" t="str">
        <f>"078"</f>
        <v>078</v>
      </c>
      <c r="G232">
        <v>9</v>
      </c>
      <c r="H232" t="str">
        <f t="shared" si="21"/>
        <v>00</v>
      </c>
      <c r="I232" t="str">
        <f t="shared" si="22"/>
        <v>0</v>
      </c>
      <c r="J232" t="str">
        <f t="shared" si="23"/>
        <v>00</v>
      </c>
      <c r="K232">
        <v>20181115</v>
      </c>
      <c r="L232" t="str">
        <f t="shared" si="24"/>
        <v>027290</v>
      </c>
      <c r="M232" t="str">
        <f t="shared" si="25"/>
        <v>54196</v>
      </c>
      <c r="N232" t="s">
        <v>50</v>
      </c>
      <c r="O232">
        <v>750</v>
      </c>
      <c r="P232">
        <v>20181115</v>
      </c>
      <c r="Q232" t="s">
        <v>119</v>
      </c>
      <c r="R232" t="s">
        <v>181</v>
      </c>
      <c r="S232" t="s">
        <v>23</v>
      </c>
      <c r="T232" t="s">
        <v>120</v>
      </c>
    </row>
    <row r="233" spans="1:20" x14ac:dyDescent="0.25">
      <c r="A233">
        <v>9</v>
      </c>
      <c r="B233">
        <v>163</v>
      </c>
      <c r="C233" t="str">
        <f t="shared" si="19"/>
        <v>00</v>
      </c>
      <c r="D233">
        <v>2159</v>
      </c>
      <c r="E233" t="str">
        <f t="shared" si="20"/>
        <v>00</v>
      </c>
      <c r="F233" t="str">
        <f>"082"</f>
        <v>082</v>
      </c>
      <c r="G233">
        <v>9</v>
      </c>
      <c r="H233" t="str">
        <f t="shared" si="21"/>
        <v>00</v>
      </c>
      <c r="I233" t="str">
        <f t="shared" si="22"/>
        <v>0</v>
      </c>
      <c r="J233" t="str">
        <f t="shared" si="23"/>
        <v>00</v>
      </c>
      <c r="K233">
        <v>20181115</v>
      </c>
      <c r="L233" t="str">
        <f t="shared" si="24"/>
        <v>027290</v>
      </c>
      <c r="M233" t="str">
        <f t="shared" si="25"/>
        <v>54196</v>
      </c>
      <c r="N233" t="s">
        <v>50</v>
      </c>
      <c r="O233">
        <v>300</v>
      </c>
      <c r="P233">
        <v>20181115</v>
      </c>
      <c r="Q233" t="s">
        <v>121</v>
      </c>
      <c r="R233" t="s">
        <v>181</v>
      </c>
      <c r="S233" t="s">
        <v>23</v>
      </c>
      <c r="T233" t="s">
        <v>122</v>
      </c>
    </row>
    <row r="234" spans="1:20" x14ac:dyDescent="0.25">
      <c r="A234">
        <v>9</v>
      </c>
      <c r="B234">
        <v>163</v>
      </c>
      <c r="C234" t="str">
        <f t="shared" si="19"/>
        <v>00</v>
      </c>
      <c r="D234">
        <v>2159</v>
      </c>
      <c r="E234" t="str">
        <f t="shared" si="20"/>
        <v>00</v>
      </c>
      <c r="F234" t="str">
        <f>"091"</f>
        <v>091</v>
      </c>
      <c r="G234">
        <v>9</v>
      </c>
      <c r="H234" t="str">
        <f t="shared" si="21"/>
        <v>00</v>
      </c>
      <c r="I234" t="str">
        <f t="shared" si="22"/>
        <v>0</v>
      </c>
      <c r="J234" t="str">
        <f t="shared" si="23"/>
        <v>00</v>
      </c>
      <c r="K234">
        <v>20181115</v>
      </c>
      <c r="L234" t="str">
        <f t="shared" si="24"/>
        <v>027290</v>
      </c>
      <c r="M234" t="str">
        <f t="shared" si="25"/>
        <v>54196</v>
      </c>
      <c r="N234" t="s">
        <v>50</v>
      </c>
      <c r="O234">
        <v>100</v>
      </c>
      <c r="P234">
        <v>20181115</v>
      </c>
      <c r="Q234" t="s">
        <v>123</v>
      </c>
      <c r="R234" t="s">
        <v>181</v>
      </c>
      <c r="S234" t="s">
        <v>23</v>
      </c>
      <c r="T234" t="s">
        <v>124</v>
      </c>
    </row>
    <row r="235" spans="1:20" x14ac:dyDescent="0.25">
      <c r="A235">
        <v>9</v>
      </c>
      <c r="B235">
        <v>163</v>
      </c>
      <c r="C235" t="str">
        <f t="shared" si="19"/>
        <v>00</v>
      </c>
      <c r="D235">
        <v>2159</v>
      </c>
      <c r="E235" t="str">
        <f t="shared" si="20"/>
        <v>00</v>
      </c>
      <c r="F235" t="str">
        <f>"122"</f>
        <v>122</v>
      </c>
      <c r="G235">
        <v>9</v>
      </c>
      <c r="H235" t="str">
        <f t="shared" si="21"/>
        <v>00</v>
      </c>
      <c r="I235" t="str">
        <f t="shared" si="22"/>
        <v>0</v>
      </c>
      <c r="J235" t="str">
        <f t="shared" si="23"/>
        <v>00</v>
      </c>
      <c r="K235">
        <v>20181115</v>
      </c>
      <c r="L235" t="str">
        <f t="shared" si="24"/>
        <v>027290</v>
      </c>
      <c r="M235" t="str">
        <f t="shared" si="25"/>
        <v>54196</v>
      </c>
      <c r="N235" t="s">
        <v>50</v>
      </c>
      <c r="O235">
        <v>100</v>
      </c>
      <c r="P235">
        <v>20181115</v>
      </c>
      <c r="Q235" t="s">
        <v>125</v>
      </c>
      <c r="R235" t="s">
        <v>182</v>
      </c>
      <c r="S235" t="s">
        <v>23</v>
      </c>
      <c r="T235" t="s">
        <v>127</v>
      </c>
    </row>
    <row r="236" spans="1:20" x14ac:dyDescent="0.25">
      <c r="A236">
        <v>9</v>
      </c>
      <c r="B236">
        <v>163</v>
      </c>
      <c r="C236" t="str">
        <f t="shared" si="19"/>
        <v>00</v>
      </c>
      <c r="D236">
        <v>2159</v>
      </c>
      <c r="E236" t="str">
        <f t="shared" si="20"/>
        <v>00</v>
      </c>
      <c r="F236" t="str">
        <f>"130"</f>
        <v>130</v>
      </c>
      <c r="G236">
        <v>9</v>
      </c>
      <c r="H236" t="str">
        <f t="shared" si="21"/>
        <v>00</v>
      </c>
      <c r="I236" t="str">
        <f t="shared" si="22"/>
        <v>0</v>
      </c>
      <c r="J236" t="str">
        <f t="shared" si="23"/>
        <v>00</v>
      </c>
      <c r="K236">
        <v>20181115</v>
      </c>
      <c r="L236" t="str">
        <f t="shared" si="24"/>
        <v>027290</v>
      </c>
      <c r="M236" t="str">
        <f t="shared" si="25"/>
        <v>54196</v>
      </c>
      <c r="N236" t="s">
        <v>50</v>
      </c>
      <c r="O236" s="1">
        <v>7933</v>
      </c>
      <c r="P236">
        <v>20181115</v>
      </c>
      <c r="Q236" t="s">
        <v>128</v>
      </c>
      <c r="R236" t="s">
        <v>183</v>
      </c>
      <c r="S236" t="s">
        <v>23</v>
      </c>
      <c r="T236" t="s">
        <v>112</v>
      </c>
    </row>
    <row r="237" spans="1:20" x14ac:dyDescent="0.25">
      <c r="A237">
        <v>9</v>
      </c>
      <c r="B237">
        <v>163</v>
      </c>
      <c r="C237" t="str">
        <f t="shared" si="19"/>
        <v>00</v>
      </c>
      <c r="D237">
        <v>2159</v>
      </c>
      <c r="E237" t="str">
        <f t="shared" si="20"/>
        <v>00</v>
      </c>
      <c r="F237" t="str">
        <f>"131"</f>
        <v>131</v>
      </c>
      <c r="G237">
        <v>9</v>
      </c>
      <c r="H237" t="str">
        <f t="shared" si="21"/>
        <v>00</v>
      </c>
      <c r="I237" t="str">
        <f t="shared" si="22"/>
        <v>0</v>
      </c>
      <c r="J237" t="str">
        <f t="shared" si="23"/>
        <v>00</v>
      </c>
      <c r="K237">
        <v>20181115</v>
      </c>
      <c r="L237" t="str">
        <f t="shared" si="24"/>
        <v>027290</v>
      </c>
      <c r="M237" t="str">
        <f t="shared" si="25"/>
        <v>54196</v>
      </c>
      <c r="N237" t="s">
        <v>50</v>
      </c>
      <c r="O237" s="1">
        <v>1825</v>
      </c>
      <c r="P237">
        <v>20181115</v>
      </c>
      <c r="Q237" t="s">
        <v>51</v>
      </c>
      <c r="R237" t="s">
        <v>181</v>
      </c>
      <c r="S237" t="s">
        <v>23</v>
      </c>
      <c r="T237" t="s">
        <v>53</v>
      </c>
    </row>
    <row r="238" spans="1:20" x14ac:dyDescent="0.25">
      <c r="A238">
        <v>9</v>
      </c>
      <c r="B238">
        <v>163</v>
      </c>
      <c r="C238" t="str">
        <f t="shared" si="19"/>
        <v>00</v>
      </c>
      <c r="D238">
        <v>2159</v>
      </c>
      <c r="E238" t="str">
        <f t="shared" si="20"/>
        <v>00</v>
      </c>
      <c r="F238" t="str">
        <f>"136"</f>
        <v>136</v>
      </c>
      <c r="G238">
        <v>9</v>
      </c>
      <c r="H238" t="str">
        <f t="shared" si="21"/>
        <v>00</v>
      </c>
      <c r="I238" t="str">
        <f t="shared" si="22"/>
        <v>0</v>
      </c>
      <c r="J238" t="str">
        <f t="shared" si="23"/>
        <v>00</v>
      </c>
      <c r="K238">
        <v>20181115</v>
      </c>
      <c r="L238" t="str">
        <f t="shared" si="24"/>
        <v>027290</v>
      </c>
      <c r="M238" t="str">
        <f t="shared" si="25"/>
        <v>54196</v>
      </c>
      <c r="N238" t="s">
        <v>50</v>
      </c>
      <c r="O238" s="1">
        <v>1775</v>
      </c>
      <c r="P238">
        <v>20181115</v>
      </c>
      <c r="Q238" t="s">
        <v>130</v>
      </c>
      <c r="R238" t="s">
        <v>184</v>
      </c>
      <c r="S238" t="s">
        <v>23</v>
      </c>
      <c r="T238" t="s">
        <v>132</v>
      </c>
    </row>
    <row r="239" spans="1:20" x14ac:dyDescent="0.25">
      <c r="A239">
        <v>9</v>
      </c>
      <c r="B239">
        <v>163</v>
      </c>
      <c r="C239" t="str">
        <f t="shared" si="19"/>
        <v>00</v>
      </c>
      <c r="D239">
        <v>2159</v>
      </c>
      <c r="E239" t="str">
        <f t="shared" si="20"/>
        <v>00</v>
      </c>
      <c r="F239" t="str">
        <f>"137"</f>
        <v>137</v>
      </c>
      <c r="G239">
        <v>9</v>
      </c>
      <c r="H239" t="str">
        <f t="shared" si="21"/>
        <v>00</v>
      </c>
      <c r="I239" t="str">
        <f t="shared" si="22"/>
        <v>0</v>
      </c>
      <c r="J239" t="str">
        <f t="shared" si="23"/>
        <v>00</v>
      </c>
      <c r="K239">
        <v>20181115</v>
      </c>
      <c r="L239" t="str">
        <f t="shared" si="24"/>
        <v>027290</v>
      </c>
      <c r="M239" t="str">
        <f t="shared" si="25"/>
        <v>54196</v>
      </c>
      <c r="N239" t="s">
        <v>50</v>
      </c>
      <c r="O239" s="1">
        <v>4680</v>
      </c>
      <c r="P239">
        <v>20181115</v>
      </c>
      <c r="Q239" t="s">
        <v>133</v>
      </c>
      <c r="R239" t="s">
        <v>183</v>
      </c>
      <c r="S239" t="s">
        <v>23</v>
      </c>
      <c r="T239" t="s">
        <v>134</v>
      </c>
    </row>
    <row r="240" spans="1:20" x14ac:dyDescent="0.25">
      <c r="A240">
        <v>9</v>
      </c>
      <c r="B240">
        <v>163</v>
      </c>
      <c r="C240" t="str">
        <f t="shared" si="19"/>
        <v>00</v>
      </c>
      <c r="D240">
        <v>2159</v>
      </c>
      <c r="E240" t="str">
        <f t="shared" si="20"/>
        <v>00</v>
      </c>
      <c r="F240" t="str">
        <f>"138"</f>
        <v>138</v>
      </c>
      <c r="G240">
        <v>9</v>
      </c>
      <c r="H240" t="str">
        <f t="shared" si="21"/>
        <v>00</v>
      </c>
      <c r="I240" t="str">
        <f t="shared" si="22"/>
        <v>0</v>
      </c>
      <c r="J240" t="str">
        <f t="shared" si="23"/>
        <v>00</v>
      </c>
      <c r="K240">
        <v>20181115</v>
      </c>
      <c r="L240" t="str">
        <f t="shared" si="24"/>
        <v>027290</v>
      </c>
      <c r="M240" t="str">
        <f t="shared" si="25"/>
        <v>54196</v>
      </c>
      <c r="N240" t="s">
        <v>50</v>
      </c>
      <c r="O240">
        <v>300</v>
      </c>
      <c r="P240">
        <v>20181115</v>
      </c>
      <c r="Q240" t="s">
        <v>135</v>
      </c>
      <c r="R240" t="s">
        <v>184</v>
      </c>
      <c r="S240" t="s">
        <v>23</v>
      </c>
      <c r="T240" t="s">
        <v>134</v>
      </c>
    </row>
    <row r="241" spans="1:20" x14ac:dyDescent="0.25">
      <c r="A241">
        <v>9</v>
      </c>
      <c r="B241">
        <v>163</v>
      </c>
      <c r="C241" t="str">
        <f t="shared" si="19"/>
        <v>00</v>
      </c>
      <c r="D241">
        <v>2159</v>
      </c>
      <c r="E241" t="str">
        <f t="shared" si="20"/>
        <v>00</v>
      </c>
      <c r="F241" t="str">
        <f>"150"</f>
        <v>150</v>
      </c>
      <c r="G241">
        <v>9</v>
      </c>
      <c r="H241" t="str">
        <f t="shared" si="21"/>
        <v>00</v>
      </c>
      <c r="I241" t="str">
        <f t="shared" si="22"/>
        <v>0</v>
      </c>
      <c r="J241" t="str">
        <f t="shared" si="23"/>
        <v>00</v>
      </c>
      <c r="K241">
        <v>20181115</v>
      </c>
      <c r="L241" t="str">
        <f t="shared" si="24"/>
        <v>027290</v>
      </c>
      <c r="M241" t="str">
        <f t="shared" si="25"/>
        <v>54196</v>
      </c>
      <c r="N241" t="s">
        <v>50</v>
      </c>
      <c r="O241">
        <v>200</v>
      </c>
      <c r="P241">
        <v>20181115</v>
      </c>
      <c r="Q241" t="s">
        <v>136</v>
      </c>
      <c r="R241" t="s">
        <v>181</v>
      </c>
      <c r="S241" t="s">
        <v>23</v>
      </c>
      <c r="T241" t="s">
        <v>137</v>
      </c>
    </row>
    <row r="242" spans="1:20" x14ac:dyDescent="0.25">
      <c r="A242">
        <v>9</v>
      </c>
      <c r="B242">
        <v>163</v>
      </c>
      <c r="C242" t="str">
        <f t="shared" si="19"/>
        <v>00</v>
      </c>
      <c r="D242">
        <v>2159</v>
      </c>
      <c r="E242" t="str">
        <f t="shared" si="20"/>
        <v>00</v>
      </c>
      <c r="F242" t="str">
        <f>"111"</f>
        <v>111</v>
      </c>
      <c r="G242">
        <v>9</v>
      </c>
      <c r="H242" t="str">
        <f t="shared" si="21"/>
        <v>00</v>
      </c>
      <c r="I242" t="str">
        <f t="shared" si="22"/>
        <v>0</v>
      </c>
      <c r="J242" t="str">
        <f t="shared" si="23"/>
        <v>00</v>
      </c>
      <c r="K242">
        <v>20181115</v>
      </c>
      <c r="L242" t="str">
        <f>"027291"</f>
        <v>027291</v>
      </c>
      <c r="M242" t="str">
        <f>"72601"</f>
        <v>72601</v>
      </c>
      <c r="N242" t="s">
        <v>54</v>
      </c>
      <c r="O242" s="1">
        <v>9205.44</v>
      </c>
      <c r="P242">
        <v>20181115</v>
      </c>
      <c r="Q242" t="s">
        <v>55</v>
      </c>
      <c r="R242" t="s">
        <v>180</v>
      </c>
      <c r="S242" t="s">
        <v>23</v>
      </c>
      <c r="T242" t="s">
        <v>56</v>
      </c>
    </row>
    <row r="243" spans="1:20" x14ac:dyDescent="0.25">
      <c r="A243">
        <v>9</v>
      </c>
      <c r="B243">
        <v>163</v>
      </c>
      <c r="C243" t="str">
        <f t="shared" si="19"/>
        <v>00</v>
      </c>
      <c r="D243">
        <v>2153</v>
      </c>
      <c r="E243" t="str">
        <f t="shared" si="20"/>
        <v>00</v>
      </c>
      <c r="F243" t="str">
        <f>"006"</f>
        <v>006</v>
      </c>
      <c r="G243">
        <v>9</v>
      </c>
      <c r="H243" t="str">
        <f t="shared" si="21"/>
        <v>00</v>
      </c>
      <c r="I243" t="str">
        <f t="shared" si="22"/>
        <v>0</v>
      </c>
      <c r="J243" t="str">
        <f t="shared" si="23"/>
        <v>00</v>
      </c>
      <c r="K243">
        <v>20181115</v>
      </c>
      <c r="L243" t="str">
        <f>"027292"</f>
        <v>027292</v>
      </c>
      <c r="M243" t="str">
        <f>"75452"</f>
        <v>75452</v>
      </c>
      <c r="N243" t="s">
        <v>57</v>
      </c>
      <c r="O243" s="1">
        <v>9141.61</v>
      </c>
      <c r="P243">
        <v>20181115</v>
      </c>
      <c r="Q243" t="s">
        <v>58</v>
      </c>
      <c r="R243" t="s">
        <v>179</v>
      </c>
      <c r="S243" t="s">
        <v>23</v>
      </c>
      <c r="T243" t="s">
        <v>59</v>
      </c>
    </row>
    <row r="244" spans="1:20" x14ac:dyDescent="0.25">
      <c r="A244">
        <v>9</v>
      </c>
      <c r="B244">
        <v>163</v>
      </c>
      <c r="C244" t="str">
        <f t="shared" si="19"/>
        <v>00</v>
      </c>
      <c r="D244">
        <v>2159</v>
      </c>
      <c r="E244" t="str">
        <f t="shared" si="20"/>
        <v>00</v>
      </c>
      <c r="F244" t="str">
        <f>"099"</f>
        <v>099</v>
      </c>
      <c r="G244">
        <v>9</v>
      </c>
      <c r="H244" t="str">
        <f t="shared" si="21"/>
        <v>00</v>
      </c>
      <c r="I244" t="str">
        <f t="shared" si="22"/>
        <v>0</v>
      </c>
      <c r="J244" t="str">
        <f t="shared" si="23"/>
        <v>00</v>
      </c>
      <c r="K244">
        <v>20181115</v>
      </c>
      <c r="L244" t="str">
        <f>"027292"</f>
        <v>027292</v>
      </c>
      <c r="M244" t="str">
        <f>"75452"</f>
        <v>75452</v>
      </c>
      <c r="N244" t="s">
        <v>57</v>
      </c>
      <c r="O244">
        <v>300</v>
      </c>
      <c r="P244">
        <v>20181115</v>
      </c>
      <c r="Q244" t="s">
        <v>171</v>
      </c>
      <c r="R244" t="s">
        <v>185</v>
      </c>
      <c r="S244" t="s">
        <v>23</v>
      </c>
      <c r="T244" t="s">
        <v>173</v>
      </c>
    </row>
    <row r="245" spans="1:20" x14ac:dyDescent="0.25">
      <c r="A245">
        <v>9</v>
      </c>
      <c r="B245">
        <v>163</v>
      </c>
      <c r="C245" t="str">
        <f t="shared" si="19"/>
        <v>00</v>
      </c>
      <c r="D245">
        <v>2159</v>
      </c>
      <c r="E245" t="str">
        <f t="shared" si="20"/>
        <v>00</v>
      </c>
      <c r="F245" t="str">
        <f>"048"</f>
        <v>048</v>
      </c>
      <c r="G245">
        <v>9</v>
      </c>
      <c r="H245" t="str">
        <f t="shared" si="21"/>
        <v>00</v>
      </c>
      <c r="I245" t="str">
        <f t="shared" si="22"/>
        <v>0</v>
      </c>
      <c r="J245" t="str">
        <f t="shared" si="23"/>
        <v>00</v>
      </c>
      <c r="K245">
        <v>20181115</v>
      </c>
      <c r="L245" t="str">
        <f>"027293"</f>
        <v>027293</v>
      </c>
      <c r="M245" t="str">
        <f>"77030"</f>
        <v>77030</v>
      </c>
      <c r="N245" t="s">
        <v>139</v>
      </c>
      <c r="O245">
        <v>174.7</v>
      </c>
      <c r="P245">
        <v>20181115</v>
      </c>
      <c r="Q245" t="s">
        <v>140</v>
      </c>
      <c r="R245" t="s">
        <v>180</v>
      </c>
      <c r="S245" t="s">
        <v>23</v>
      </c>
      <c r="T245" t="s">
        <v>141</v>
      </c>
    </row>
    <row r="246" spans="1:20" x14ac:dyDescent="0.25">
      <c r="A246">
        <v>9</v>
      </c>
      <c r="B246">
        <v>163</v>
      </c>
      <c r="C246" t="str">
        <f t="shared" si="19"/>
        <v>00</v>
      </c>
      <c r="D246">
        <v>2159</v>
      </c>
      <c r="E246" t="str">
        <f t="shared" si="20"/>
        <v>00</v>
      </c>
      <c r="F246" t="str">
        <f>"005"</f>
        <v>005</v>
      </c>
      <c r="G246">
        <v>9</v>
      </c>
      <c r="H246" t="str">
        <f t="shared" si="21"/>
        <v>00</v>
      </c>
      <c r="I246" t="str">
        <f t="shared" si="22"/>
        <v>0</v>
      </c>
      <c r="J246" t="str">
        <f t="shared" si="23"/>
        <v>00</v>
      </c>
      <c r="K246">
        <v>20181115</v>
      </c>
      <c r="L246" t="str">
        <f>"027294"</f>
        <v>027294</v>
      </c>
      <c r="M246" t="str">
        <f>"79562"</f>
        <v>79562</v>
      </c>
      <c r="N246" t="s">
        <v>142</v>
      </c>
      <c r="O246">
        <v>156.69999999999999</v>
      </c>
      <c r="P246">
        <v>20181115</v>
      </c>
      <c r="Q246" t="s">
        <v>143</v>
      </c>
      <c r="R246" t="s">
        <v>186</v>
      </c>
      <c r="S246" t="s">
        <v>23</v>
      </c>
      <c r="T246" t="s">
        <v>145</v>
      </c>
    </row>
    <row r="247" spans="1:20" x14ac:dyDescent="0.25">
      <c r="A247">
        <v>9</v>
      </c>
      <c r="B247">
        <v>163</v>
      </c>
      <c r="C247" t="str">
        <f t="shared" si="19"/>
        <v>00</v>
      </c>
      <c r="D247">
        <v>2159</v>
      </c>
      <c r="E247" t="str">
        <f t="shared" si="20"/>
        <v>00</v>
      </c>
      <c r="F247" t="str">
        <f>"086"</f>
        <v>086</v>
      </c>
      <c r="G247">
        <v>9</v>
      </c>
      <c r="H247" t="str">
        <f t="shared" si="21"/>
        <v>00</v>
      </c>
      <c r="I247" t="str">
        <f t="shared" si="22"/>
        <v>0</v>
      </c>
      <c r="J247" t="str">
        <f t="shared" si="23"/>
        <v>00</v>
      </c>
      <c r="K247">
        <v>20181115</v>
      </c>
      <c r="L247" t="str">
        <f>"027295"</f>
        <v>027295</v>
      </c>
      <c r="M247" t="str">
        <f>"81155"</f>
        <v>81155</v>
      </c>
      <c r="N247" t="s">
        <v>149</v>
      </c>
      <c r="O247">
        <v>215</v>
      </c>
      <c r="P247">
        <v>20181115</v>
      </c>
      <c r="Q247" t="s">
        <v>150</v>
      </c>
      <c r="R247" t="s">
        <v>180</v>
      </c>
      <c r="S247" t="s">
        <v>23</v>
      </c>
      <c r="T247" t="s">
        <v>151</v>
      </c>
    </row>
    <row r="248" spans="1:20" x14ac:dyDescent="0.25">
      <c r="A248">
        <v>9</v>
      </c>
      <c r="B248">
        <v>163</v>
      </c>
      <c r="C248" t="str">
        <f t="shared" si="19"/>
        <v>00</v>
      </c>
      <c r="D248">
        <v>2159</v>
      </c>
      <c r="E248" t="str">
        <f t="shared" si="20"/>
        <v>00</v>
      </c>
      <c r="F248" t="str">
        <f>"106"</f>
        <v>106</v>
      </c>
      <c r="G248">
        <v>9</v>
      </c>
      <c r="H248" t="str">
        <f t="shared" si="21"/>
        <v>00</v>
      </c>
      <c r="I248" t="str">
        <f t="shared" si="22"/>
        <v>0</v>
      </c>
      <c r="J248" t="str">
        <f t="shared" si="23"/>
        <v>00</v>
      </c>
      <c r="K248">
        <v>20181115</v>
      </c>
      <c r="L248" t="str">
        <f>"027296"</f>
        <v>027296</v>
      </c>
      <c r="M248" t="str">
        <f>"81173"</f>
        <v>81173</v>
      </c>
      <c r="N248" t="s">
        <v>60</v>
      </c>
      <c r="O248">
        <v>832.75</v>
      </c>
      <c r="P248">
        <v>20181115</v>
      </c>
      <c r="Q248" t="s">
        <v>61</v>
      </c>
      <c r="R248" t="s">
        <v>180</v>
      </c>
      <c r="S248" t="s">
        <v>23</v>
      </c>
      <c r="T248" t="s">
        <v>62</v>
      </c>
    </row>
    <row r="249" spans="1:20" x14ac:dyDescent="0.25">
      <c r="A249">
        <v>9</v>
      </c>
      <c r="B249">
        <v>163</v>
      </c>
      <c r="C249" t="str">
        <f t="shared" si="19"/>
        <v>00</v>
      </c>
      <c r="D249">
        <v>2159</v>
      </c>
      <c r="E249" t="str">
        <f t="shared" si="20"/>
        <v>00</v>
      </c>
      <c r="F249" t="str">
        <f>"007"</f>
        <v>007</v>
      </c>
      <c r="G249">
        <v>9</v>
      </c>
      <c r="H249" t="str">
        <f t="shared" si="21"/>
        <v>00</v>
      </c>
      <c r="I249" t="str">
        <f t="shared" si="22"/>
        <v>0</v>
      </c>
      <c r="J249" t="str">
        <f t="shared" si="23"/>
        <v>00</v>
      </c>
      <c r="K249">
        <v>20181115</v>
      </c>
      <c r="L249" t="str">
        <f>"027297"</f>
        <v>027297</v>
      </c>
      <c r="M249" t="str">
        <f>"81174"</f>
        <v>81174</v>
      </c>
      <c r="N249" t="s">
        <v>63</v>
      </c>
      <c r="O249" s="1">
        <v>1733.15</v>
      </c>
      <c r="P249">
        <v>20181115</v>
      </c>
      <c r="Q249" t="s">
        <v>64</v>
      </c>
      <c r="R249" t="s">
        <v>180</v>
      </c>
      <c r="S249" t="s">
        <v>23</v>
      </c>
      <c r="T249" t="s">
        <v>65</v>
      </c>
    </row>
    <row r="250" spans="1:20" x14ac:dyDescent="0.25">
      <c r="A250">
        <v>9</v>
      </c>
      <c r="B250">
        <v>163</v>
      </c>
      <c r="C250" t="str">
        <f t="shared" si="19"/>
        <v>00</v>
      </c>
      <c r="D250">
        <v>2159</v>
      </c>
      <c r="E250" t="str">
        <f t="shared" si="20"/>
        <v>00</v>
      </c>
      <c r="F250" t="str">
        <f>"100"</f>
        <v>100</v>
      </c>
      <c r="G250">
        <v>9</v>
      </c>
      <c r="H250" t="str">
        <f t="shared" si="21"/>
        <v>00</v>
      </c>
      <c r="I250" t="str">
        <f t="shared" si="22"/>
        <v>0</v>
      </c>
      <c r="J250" t="str">
        <f t="shared" si="23"/>
        <v>00</v>
      </c>
      <c r="K250">
        <v>20181115</v>
      </c>
      <c r="L250" t="str">
        <f>"027298"</f>
        <v>027298</v>
      </c>
      <c r="M250" t="str">
        <f>"81177"</f>
        <v>81177</v>
      </c>
      <c r="N250" t="s">
        <v>66</v>
      </c>
      <c r="O250">
        <v>16</v>
      </c>
      <c r="P250">
        <v>20181115</v>
      </c>
      <c r="Q250" t="s">
        <v>67</v>
      </c>
      <c r="R250" t="s">
        <v>180</v>
      </c>
      <c r="S250" t="s">
        <v>23</v>
      </c>
      <c r="T250" t="s">
        <v>68</v>
      </c>
    </row>
    <row r="251" spans="1:20" x14ac:dyDescent="0.25">
      <c r="A251">
        <v>9</v>
      </c>
      <c r="B251">
        <v>163</v>
      </c>
      <c r="C251" t="str">
        <f t="shared" si="19"/>
        <v>00</v>
      </c>
      <c r="D251">
        <v>2159</v>
      </c>
      <c r="E251" t="str">
        <f t="shared" si="20"/>
        <v>00</v>
      </c>
      <c r="F251" t="str">
        <f>"123"</f>
        <v>123</v>
      </c>
      <c r="G251">
        <v>9</v>
      </c>
      <c r="H251" t="str">
        <f t="shared" si="21"/>
        <v>00</v>
      </c>
      <c r="I251" t="str">
        <f t="shared" si="22"/>
        <v>0</v>
      </c>
      <c r="J251" t="str">
        <f t="shared" si="23"/>
        <v>00</v>
      </c>
      <c r="K251">
        <v>20181115</v>
      </c>
      <c r="L251" t="str">
        <f>"027299"</f>
        <v>027299</v>
      </c>
      <c r="M251" t="str">
        <f>"81753"</f>
        <v>81753</v>
      </c>
      <c r="N251" t="s">
        <v>154</v>
      </c>
      <c r="O251" s="1">
        <v>1367.05</v>
      </c>
      <c r="P251">
        <v>20181115</v>
      </c>
      <c r="Q251" t="s">
        <v>155</v>
      </c>
      <c r="R251" t="s">
        <v>180</v>
      </c>
      <c r="S251" t="s">
        <v>23</v>
      </c>
      <c r="T251" t="s">
        <v>154</v>
      </c>
    </row>
    <row r="252" spans="1:20" x14ac:dyDescent="0.25">
      <c r="A252">
        <v>9</v>
      </c>
      <c r="B252">
        <v>163</v>
      </c>
      <c r="C252" t="str">
        <f t="shared" si="19"/>
        <v>00</v>
      </c>
      <c r="D252">
        <v>2159</v>
      </c>
      <c r="E252" t="str">
        <f t="shared" si="20"/>
        <v>00</v>
      </c>
      <c r="F252" t="str">
        <f>"034"</f>
        <v>034</v>
      </c>
      <c r="G252">
        <v>9</v>
      </c>
      <c r="H252" t="str">
        <f t="shared" si="21"/>
        <v>00</v>
      </c>
      <c r="I252" t="str">
        <f t="shared" si="22"/>
        <v>0</v>
      </c>
      <c r="J252" t="str">
        <f t="shared" si="23"/>
        <v>00</v>
      </c>
      <c r="K252">
        <v>20181115</v>
      </c>
      <c r="L252" t="str">
        <f>"027300"</f>
        <v>027300</v>
      </c>
      <c r="M252" t="str">
        <f>"79762"</f>
        <v>79762</v>
      </c>
      <c r="N252" t="s">
        <v>146</v>
      </c>
      <c r="O252">
        <v>830</v>
      </c>
      <c r="P252">
        <v>20181115</v>
      </c>
      <c r="Q252" t="s">
        <v>147</v>
      </c>
      <c r="R252" t="s">
        <v>180</v>
      </c>
      <c r="S252" t="s">
        <v>23</v>
      </c>
      <c r="T252" t="s">
        <v>148</v>
      </c>
    </row>
    <row r="253" spans="1:20" x14ac:dyDescent="0.25">
      <c r="A253">
        <v>9</v>
      </c>
      <c r="B253">
        <v>163</v>
      </c>
      <c r="C253" t="str">
        <f t="shared" si="19"/>
        <v>00</v>
      </c>
      <c r="D253">
        <v>2159</v>
      </c>
      <c r="E253" t="str">
        <f t="shared" si="20"/>
        <v>00</v>
      </c>
      <c r="F253" t="str">
        <f>"100"</f>
        <v>100</v>
      </c>
      <c r="G253">
        <v>9</v>
      </c>
      <c r="H253" t="str">
        <f t="shared" si="21"/>
        <v>00</v>
      </c>
      <c r="I253" t="str">
        <f t="shared" si="22"/>
        <v>0</v>
      </c>
      <c r="J253" t="str">
        <f t="shared" si="23"/>
        <v>00</v>
      </c>
      <c r="K253">
        <v>20181130</v>
      </c>
      <c r="L253" t="str">
        <f>"027316"</f>
        <v>027316</v>
      </c>
      <c r="M253" t="str">
        <f>"81177"</f>
        <v>81177</v>
      </c>
      <c r="N253" t="s">
        <v>66</v>
      </c>
      <c r="O253">
        <v>32</v>
      </c>
      <c r="P253">
        <v>20181130</v>
      </c>
      <c r="Q253" t="s">
        <v>67</v>
      </c>
      <c r="R253" t="s">
        <v>180</v>
      </c>
      <c r="S253" t="s">
        <v>23</v>
      </c>
      <c r="T253" t="s">
        <v>68</v>
      </c>
    </row>
    <row r="254" spans="1:20" x14ac:dyDescent="0.25">
      <c r="A254">
        <v>9</v>
      </c>
      <c r="B254">
        <v>163</v>
      </c>
      <c r="C254" t="str">
        <f t="shared" si="19"/>
        <v>00</v>
      </c>
      <c r="D254">
        <v>2153</v>
      </c>
      <c r="E254" t="str">
        <f t="shared" si="20"/>
        <v>00</v>
      </c>
      <c r="F254" t="str">
        <f>"141"</f>
        <v>141</v>
      </c>
      <c r="G254">
        <v>9</v>
      </c>
      <c r="H254" t="str">
        <f t="shared" si="21"/>
        <v>00</v>
      </c>
      <c r="I254" t="str">
        <f t="shared" si="22"/>
        <v>0</v>
      </c>
      <c r="J254" t="str">
        <f t="shared" si="23"/>
        <v>00</v>
      </c>
      <c r="K254">
        <v>20181214</v>
      </c>
      <c r="L254" t="str">
        <f>"027393"</f>
        <v>027393</v>
      </c>
      <c r="M254" t="str">
        <f>"00068"</f>
        <v>00068</v>
      </c>
      <c r="N254" t="s">
        <v>20</v>
      </c>
      <c r="O254">
        <v>443.35</v>
      </c>
      <c r="P254">
        <v>20181214</v>
      </c>
      <c r="Q254" t="s">
        <v>21</v>
      </c>
      <c r="R254" t="s">
        <v>187</v>
      </c>
      <c r="S254" t="s">
        <v>23</v>
      </c>
      <c r="T254" t="s">
        <v>24</v>
      </c>
    </row>
    <row r="255" spans="1:20" x14ac:dyDescent="0.25">
      <c r="A255">
        <v>9</v>
      </c>
      <c r="B255">
        <v>163</v>
      </c>
      <c r="C255" t="str">
        <f t="shared" si="19"/>
        <v>00</v>
      </c>
      <c r="D255">
        <v>2153</v>
      </c>
      <c r="E255" t="str">
        <f t="shared" si="20"/>
        <v>00</v>
      </c>
      <c r="F255" t="str">
        <f>"142"</f>
        <v>142</v>
      </c>
      <c r="G255">
        <v>9</v>
      </c>
      <c r="H255" t="str">
        <f t="shared" si="21"/>
        <v>00</v>
      </c>
      <c r="I255" t="str">
        <f t="shared" si="22"/>
        <v>0</v>
      </c>
      <c r="J255" t="str">
        <f t="shared" si="23"/>
        <v>00</v>
      </c>
      <c r="K255">
        <v>20181214</v>
      </c>
      <c r="L255" t="str">
        <f>"027393"</f>
        <v>027393</v>
      </c>
      <c r="M255" t="str">
        <f>"00068"</f>
        <v>00068</v>
      </c>
      <c r="N255" t="s">
        <v>20</v>
      </c>
      <c r="O255">
        <v>365.03</v>
      </c>
      <c r="P255">
        <v>20181214</v>
      </c>
      <c r="Q255" t="s">
        <v>25</v>
      </c>
      <c r="R255" t="s">
        <v>188</v>
      </c>
      <c r="S255" t="s">
        <v>23</v>
      </c>
      <c r="T255" t="s">
        <v>27</v>
      </c>
    </row>
    <row r="256" spans="1:20" x14ac:dyDescent="0.25">
      <c r="A256">
        <v>9</v>
      </c>
      <c r="B256">
        <v>163</v>
      </c>
      <c r="C256" t="str">
        <f t="shared" si="19"/>
        <v>00</v>
      </c>
      <c r="D256">
        <v>2159</v>
      </c>
      <c r="E256" t="str">
        <f t="shared" si="20"/>
        <v>00</v>
      </c>
      <c r="F256" t="str">
        <f>"148"</f>
        <v>148</v>
      </c>
      <c r="G256">
        <v>9</v>
      </c>
      <c r="H256" t="str">
        <f t="shared" si="21"/>
        <v>00</v>
      </c>
      <c r="I256" t="str">
        <f t="shared" si="22"/>
        <v>0</v>
      </c>
      <c r="J256" t="str">
        <f t="shared" si="23"/>
        <v>00</v>
      </c>
      <c r="K256">
        <v>20181214</v>
      </c>
      <c r="L256" t="str">
        <f>"027394"</f>
        <v>027394</v>
      </c>
      <c r="M256" t="str">
        <f>"00528"</f>
        <v>00528</v>
      </c>
      <c r="N256" t="s">
        <v>159</v>
      </c>
      <c r="O256">
        <v>26.25</v>
      </c>
      <c r="P256">
        <v>20181214</v>
      </c>
      <c r="Q256" t="s">
        <v>160</v>
      </c>
      <c r="R256" t="s">
        <v>189</v>
      </c>
      <c r="S256" t="s">
        <v>23</v>
      </c>
      <c r="T256" t="s">
        <v>162</v>
      </c>
    </row>
    <row r="257" spans="1:20" x14ac:dyDescent="0.25">
      <c r="A257">
        <v>9</v>
      </c>
      <c r="B257">
        <v>163</v>
      </c>
      <c r="C257" t="str">
        <f t="shared" si="19"/>
        <v>00</v>
      </c>
      <c r="D257">
        <v>2153</v>
      </c>
      <c r="E257" t="str">
        <f t="shared" si="20"/>
        <v>00</v>
      </c>
      <c r="F257" t="str">
        <f>"022"</f>
        <v>022</v>
      </c>
      <c r="G257">
        <v>9</v>
      </c>
      <c r="H257" t="str">
        <f t="shared" si="21"/>
        <v>00</v>
      </c>
      <c r="I257" t="str">
        <f t="shared" si="22"/>
        <v>0</v>
      </c>
      <c r="J257" t="str">
        <f t="shared" si="23"/>
        <v>00</v>
      </c>
      <c r="K257">
        <v>20181214</v>
      </c>
      <c r="L257" t="str">
        <f>"027395"</f>
        <v>027395</v>
      </c>
      <c r="M257" t="str">
        <f>"04831"</f>
        <v>04831</v>
      </c>
      <c r="N257" t="s">
        <v>28</v>
      </c>
      <c r="O257">
        <v>16.77</v>
      </c>
      <c r="P257">
        <v>20181214</v>
      </c>
      <c r="Q257" t="s">
        <v>29</v>
      </c>
      <c r="R257" t="s">
        <v>188</v>
      </c>
      <c r="S257" t="s">
        <v>23</v>
      </c>
      <c r="T257" t="s">
        <v>30</v>
      </c>
    </row>
    <row r="258" spans="1:20" x14ac:dyDescent="0.25">
      <c r="A258">
        <v>9</v>
      </c>
      <c r="B258">
        <v>163</v>
      </c>
      <c r="C258" t="str">
        <f t="shared" ref="C258:C321" si="26">"00"</f>
        <v>00</v>
      </c>
      <c r="D258">
        <v>2159</v>
      </c>
      <c r="E258" t="str">
        <f t="shared" ref="E258:E321" si="27">"00"</f>
        <v>00</v>
      </c>
      <c r="F258" t="str">
        <f>"018"</f>
        <v>018</v>
      </c>
      <c r="G258">
        <v>9</v>
      </c>
      <c r="H258" t="str">
        <f t="shared" ref="H258:H321" si="28">"00"</f>
        <v>00</v>
      </c>
      <c r="I258" t="str">
        <f t="shared" ref="I258:I321" si="29">"0"</f>
        <v>0</v>
      </c>
      <c r="J258" t="str">
        <f t="shared" ref="J258:J321" si="30">"00"</f>
        <v>00</v>
      </c>
      <c r="K258">
        <v>20181214</v>
      </c>
      <c r="L258" t="str">
        <f>"027396"</f>
        <v>027396</v>
      </c>
      <c r="M258" t="str">
        <f>"04905"</f>
        <v>04905</v>
      </c>
      <c r="N258" t="s">
        <v>31</v>
      </c>
      <c r="O258">
        <v>73.48</v>
      </c>
      <c r="P258">
        <v>20181214</v>
      </c>
      <c r="Q258" t="s">
        <v>32</v>
      </c>
      <c r="R258" t="s">
        <v>189</v>
      </c>
      <c r="S258" t="s">
        <v>23</v>
      </c>
      <c r="T258" t="s">
        <v>34</v>
      </c>
    </row>
    <row r="259" spans="1:20" x14ac:dyDescent="0.25">
      <c r="A259">
        <v>9</v>
      </c>
      <c r="B259">
        <v>163</v>
      </c>
      <c r="C259" t="str">
        <f t="shared" si="26"/>
        <v>00</v>
      </c>
      <c r="D259">
        <v>2153</v>
      </c>
      <c r="E259" t="str">
        <f t="shared" si="27"/>
        <v>00</v>
      </c>
      <c r="F259" t="str">
        <f>"053"</f>
        <v>053</v>
      </c>
      <c r="G259">
        <v>9</v>
      </c>
      <c r="H259" t="str">
        <f t="shared" si="28"/>
        <v>00</v>
      </c>
      <c r="I259" t="str">
        <f t="shared" si="29"/>
        <v>0</v>
      </c>
      <c r="J259" t="str">
        <f t="shared" si="30"/>
        <v>00</v>
      </c>
      <c r="K259">
        <v>20181214</v>
      </c>
      <c r="L259" t="str">
        <f>"027397"</f>
        <v>027397</v>
      </c>
      <c r="M259" t="str">
        <f>"04987"</f>
        <v>04987</v>
      </c>
      <c r="N259" t="s">
        <v>35</v>
      </c>
      <c r="O259">
        <v>20.64</v>
      </c>
      <c r="P259">
        <v>20181214</v>
      </c>
      <c r="Q259" t="s">
        <v>36</v>
      </c>
      <c r="R259" t="s">
        <v>188</v>
      </c>
      <c r="S259" t="s">
        <v>23</v>
      </c>
      <c r="T259" t="s">
        <v>37</v>
      </c>
    </row>
    <row r="260" spans="1:20" x14ac:dyDescent="0.25">
      <c r="A260">
        <v>9</v>
      </c>
      <c r="B260">
        <v>163</v>
      </c>
      <c r="C260" t="str">
        <f t="shared" si="26"/>
        <v>00</v>
      </c>
      <c r="D260">
        <v>2159</v>
      </c>
      <c r="E260" t="str">
        <f t="shared" si="27"/>
        <v>00</v>
      </c>
      <c r="F260" t="str">
        <f>"068"</f>
        <v>068</v>
      </c>
      <c r="G260">
        <v>9</v>
      </c>
      <c r="H260" t="str">
        <f t="shared" si="28"/>
        <v>00</v>
      </c>
      <c r="I260" t="str">
        <f t="shared" si="29"/>
        <v>0</v>
      </c>
      <c r="J260" t="str">
        <f t="shared" si="30"/>
        <v>00</v>
      </c>
      <c r="K260">
        <v>20181214</v>
      </c>
      <c r="L260" t="str">
        <f>"027398"</f>
        <v>027398</v>
      </c>
      <c r="M260" t="str">
        <f>"10095"</f>
        <v>10095</v>
      </c>
      <c r="N260" t="s">
        <v>83</v>
      </c>
      <c r="O260">
        <v>14.59</v>
      </c>
      <c r="P260">
        <v>20181214</v>
      </c>
      <c r="Q260" t="s">
        <v>84</v>
      </c>
      <c r="R260" t="s">
        <v>189</v>
      </c>
      <c r="S260" t="s">
        <v>23</v>
      </c>
      <c r="T260" t="s">
        <v>85</v>
      </c>
    </row>
    <row r="261" spans="1:20" x14ac:dyDescent="0.25">
      <c r="A261">
        <v>9</v>
      </c>
      <c r="B261">
        <v>163</v>
      </c>
      <c r="C261" t="str">
        <f t="shared" si="26"/>
        <v>00</v>
      </c>
      <c r="D261">
        <v>2153</v>
      </c>
      <c r="E261" t="str">
        <f t="shared" si="27"/>
        <v>00</v>
      </c>
      <c r="F261" t="str">
        <f>"011"</f>
        <v>011</v>
      </c>
      <c r="G261">
        <v>9</v>
      </c>
      <c r="H261" t="str">
        <f t="shared" si="28"/>
        <v>00</v>
      </c>
      <c r="I261" t="str">
        <f t="shared" si="29"/>
        <v>0</v>
      </c>
      <c r="J261" t="str">
        <f t="shared" si="30"/>
        <v>00</v>
      </c>
      <c r="K261">
        <v>20181214</v>
      </c>
      <c r="L261" t="str">
        <f>"027399"</f>
        <v>027399</v>
      </c>
      <c r="M261" t="str">
        <f>"11211"</f>
        <v>11211</v>
      </c>
      <c r="N261" t="s">
        <v>41</v>
      </c>
      <c r="O261">
        <v>180.2</v>
      </c>
      <c r="P261">
        <v>20181214</v>
      </c>
      <c r="Q261" t="s">
        <v>42</v>
      </c>
      <c r="R261" t="s">
        <v>188</v>
      </c>
      <c r="S261" t="s">
        <v>23</v>
      </c>
      <c r="T261" t="s">
        <v>43</v>
      </c>
    </row>
    <row r="262" spans="1:20" x14ac:dyDescent="0.25">
      <c r="A262">
        <v>9</v>
      </c>
      <c r="B262">
        <v>163</v>
      </c>
      <c r="C262" t="str">
        <f t="shared" si="26"/>
        <v>00</v>
      </c>
      <c r="D262">
        <v>2159</v>
      </c>
      <c r="E262" t="str">
        <f t="shared" si="27"/>
        <v>00</v>
      </c>
      <c r="F262" t="str">
        <f>"104"</f>
        <v>104</v>
      </c>
      <c r="G262">
        <v>9</v>
      </c>
      <c r="H262" t="str">
        <f t="shared" si="28"/>
        <v>00</v>
      </c>
      <c r="I262" t="str">
        <f t="shared" si="29"/>
        <v>0</v>
      </c>
      <c r="J262" t="str">
        <f t="shared" si="30"/>
        <v>00</v>
      </c>
      <c r="K262">
        <v>20181214</v>
      </c>
      <c r="L262" t="str">
        <f>"027400"</f>
        <v>027400</v>
      </c>
      <c r="M262" t="str">
        <f>"14177"</f>
        <v>14177</v>
      </c>
      <c r="N262" t="s">
        <v>163</v>
      </c>
      <c r="O262">
        <v>29.5</v>
      </c>
      <c r="P262">
        <v>20181214</v>
      </c>
      <c r="Q262" t="s">
        <v>45</v>
      </c>
      <c r="R262" t="s">
        <v>189</v>
      </c>
      <c r="S262" t="s">
        <v>23</v>
      </c>
      <c r="T262" t="s">
        <v>46</v>
      </c>
    </row>
    <row r="263" spans="1:20" x14ac:dyDescent="0.25">
      <c r="A263">
        <v>9</v>
      </c>
      <c r="B263">
        <v>163</v>
      </c>
      <c r="C263" t="str">
        <f t="shared" si="26"/>
        <v>00</v>
      </c>
      <c r="D263">
        <v>2153</v>
      </c>
      <c r="E263" t="str">
        <f t="shared" si="27"/>
        <v>00</v>
      </c>
      <c r="F263" t="str">
        <f>"110"</f>
        <v>110</v>
      </c>
      <c r="G263">
        <v>9</v>
      </c>
      <c r="H263" t="str">
        <f t="shared" si="28"/>
        <v>00</v>
      </c>
      <c r="I263" t="str">
        <f t="shared" si="29"/>
        <v>0</v>
      </c>
      <c r="J263" t="str">
        <f t="shared" si="30"/>
        <v>00</v>
      </c>
      <c r="K263">
        <v>20181214</v>
      </c>
      <c r="L263" t="str">
        <f>"027401"</f>
        <v>027401</v>
      </c>
      <c r="M263" t="str">
        <f>"48947"</f>
        <v>48947</v>
      </c>
      <c r="N263" t="s">
        <v>47</v>
      </c>
      <c r="O263">
        <v>34.78</v>
      </c>
      <c r="P263">
        <v>20181214</v>
      </c>
      <c r="Q263" t="s">
        <v>48</v>
      </c>
      <c r="R263" t="s">
        <v>187</v>
      </c>
      <c r="S263" t="s">
        <v>23</v>
      </c>
      <c r="T263" t="s">
        <v>49</v>
      </c>
    </row>
    <row r="264" spans="1:20" x14ac:dyDescent="0.25">
      <c r="A264">
        <v>9</v>
      </c>
      <c r="B264">
        <v>163</v>
      </c>
      <c r="C264" t="str">
        <f t="shared" si="26"/>
        <v>00</v>
      </c>
      <c r="D264">
        <v>2159</v>
      </c>
      <c r="E264" t="str">
        <f t="shared" si="27"/>
        <v>00</v>
      </c>
      <c r="F264" t="str">
        <f>"131"</f>
        <v>131</v>
      </c>
      <c r="G264">
        <v>9</v>
      </c>
      <c r="H264" t="str">
        <f t="shared" si="28"/>
        <v>00</v>
      </c>
      <c r="I264" t="str">
        <f t="shared" si="29"/>
        <v>0</v>
      </c>
      <c r="J264" t="str">
        <f t="shared" si="30"/>
        <v>00</v>
      </c>
      <c r="K264">
        <v>20181214</v>
      </c>
      <c r="L264" t="str">
        <f>"027402"</f>
        <v>027402</v>
      </c>
      <c r="M264" t="str">
        <f>"54196"</f>
        <v>54196</v>
      </c>
      <c r="N264" t="s">
        <v>50</v>
      </c>
      <c r="O264">
        <v>50</v>
      </c>
      <c r="P264">
        <v>20181214</v>
      </c>
      <c r="Q264" t="s">
        <v>51</v>
      </c>
      <c r="R264" t="s">
        <v>190</v>
      </c>
      <c r="S264" t="s">
        <v>23</v>
      </c>
      <c r="T264" t="s">
        <v>53</v>
      </c>
    </row>
    <row r="265" spans="1:20" x14ac:dyDescent="0.25">
      <c r="A265">
        <v>9</v>
      </c>
      <c r="B265">
        <v>163</v>
      </c>
      <c r="C265" t="str">
        <f t="shared" si="26"/>
        <v>00</v>
      </c>
      <c r="D265">
        <v>2159</v>
      </c>
      <c r="E265" t="str">
        <f t="shared" si="27"/>
        <v>00</v>
      </c>
      <c r="F265" t="str">
        <f>"111"</f>
        <v>111</v>
      </c>
      <c r="G265">
        <v>9</v>
      </c>
      <c r="H265" t="str">
        <f t="shared" si="28"/>
        <v>00</v>
      </c>
      <c r="I265" t="str">
        <f t="shared" si="29"/>
        <v>0</v>
      </c>
      <c r="J265" t="str">
        <f t="shared" si="30"/>
        <v>00</v>
      </c>
      <c r="K265">
        <v>20181214</v>
      </c>
      <c r="L265" t="str">
        <f>"027403"</f>
        <v>027403</v>
      </c>
      <c r="M265" t="str">
        <f>"72601"</f>
        <v>72601</v>
      </c>
      <c r="N265" t="s">
        <v>54</v>
      </c>
      <c r="O265">
        <v>421.74</v>
      </c>
      <c r="P265">
        <v>20181214</v>
      </c>
      <c r="Q265" t="s">
        <v>55</v>
      </c>
      <c r="R265" t="s">
        <v>189</v>
      </c>
      <c r="S265" t="s">
        <v>23</v>
      </c>
      <c r="T265" t="s">
        <v>56</v>
      </c>
    </row>
    <row r="266" spans="1:20" x14ac:dyDescent="0.25">
      <c r="A266">
        <v>9</v>
      </c>
      <c r="B266">
        <v>163</v>
      </c>
      <c r="C266" t="str">
        <f t="shared" si="26"/>
        <v>00</v>
      </c>
      <c r="D266">
        <v>2153</v>
      </c>
      <c r="E266" t="str">
        <f t="shared" si="27"/>
        <v>00</v>
      </c>
      <c r="F266" t="str">
        <f>"006"</f>
        <v>006</v>
      </c>
      <c r="G266">
        <v>9</v>
      </c>
      <c r="H266" t="str">
        <f t="shared" si="28"/>
        <v>00</v>
      </c>
      <c r="I266" t="str">
        <f t="shared" si="29"/>
        <v>0</v>
      </c>
      <c r="J266" t="str">
        <f t="shared" si="30"/>
        <v>00</v>
      </c>
      <c r="K266">
        <v>20181214</v>
      </c>
      <c r="L266" t="str">
        <f>"027404"</f>
        <v>027404</v>
      </c>
      <c r="M266" t="str">
        <f>"75452"</f>
        <v>75452</v>
      </c>
      <c r="N266" t="s">
        <v>57</v>
      </c>
      <c r="O266">
        <v>473.44</v>
      </c>
      <c r="P266">
        <v>20181214</v>
      </c>
      <c r="Q266" t="s">
        <v>58</v>
      </c>
      <c r="R266" t="s">
        <v>188</v>
      </c>
      <c r="S266" t="s">
        <v>23</v>
      </c>
      <c r="T266" t="s">
        <v>59</v>
      </c>
    </row>
    <row r="267" spans="1:20" x14ac:dyDescent="0.25">
      <c r="A267">
        <v>9</v>
      </c>
      <c r="B267">
        <v>163</v>
      </c>
      <c r="C267" t="str">
        <f t="shared" si="26"/>
        <v>00</v>
      </c>
      <c r="D267">
        <v>2159</v>
      </c>
      <c r="E267" t="str">
        <f t="shared" si="27"/>
        <v>00</v>
      </c>
      <c r="F267" t="str">
        <f>"106"</f>
        <v>106</v>
      </c>
      <c r="G267">
        <v>9</v>
      </c>
      <c r="H267" t="str">
        <f t="shared" si="28"/>
        <v>00</v>
      </c>
      <c r="I267" t="str">
        <f t="shared" si="29"/>
        <v>0</v>
      </c>
      <c r="J267" t="str">
        <f t="shared" si="30"/>
        <v>00</v>
      </c>
      <c r="K267">
        <v>20181214</v>
      </c>
      <c r="L267" t="str">
        <f>"027405"</f>
        <v>027405</v>
      </c>
      <c r="M267" t="str">
        <f>"81173"</f>
        <v>81173</v>
      </c>
      <c r="N267" t="s">
        <v>60</v>
      </c>
      <c r="O267">
        <v>81.349999999999994</v>
      </c>
      <c r="P267">
        <v>20181214</v>
      </c>
      <c r="Q267" t="s">
        <v>61</v>
      </c>
      <c r="R267" t="s">
        <v>189</v>
      </c>
      <c r="S267" t="s">
        <v>23</v>
      </c>
      <c r="T267" t="s">
        <v>62</v>
      </c>
    </row>
    <row r="268" spans="1:20" x14ac:dyDescent="0.25">
      <c r="A268">
        <v>9</v>
      </c>
      <c r="B268">
        <v>163</v>
      </c>
      <c r="C268" t="str">
        <f t="shared" si="26"/>
        <v>00</v>
      </c>
      <c r="D268">
        <v>2159</v>
      </c>
      <c r="E268" t="str">
        <f t="shared" si="27"/>
        <v>00</v>
      </c>
      <c r="F268" t="str">
        <f>"007"</f>
        <v>007</v>
      </c>
      <c r="G268">
        <v>9</v>
      </c>
      <c r="H268" t="str">
        <f t="shared" si="28"/>
        <v>00</v>
      </c>
      <c r="I268" t="str">
        <f t="shared" si="29"/>
        <v>0</v>
      </c>
      <c r="J268" t="str">
        <f t="shared" si="30"/>
        <v>00</v>
      </c>
      <c r="K268">
        <v>20181214</v>
      </c>
      <c r="L268" t="str">
        <f>"027406"</f>
        <v>027406</v>
      </c>
      <c r="M268" t="str">
        <f>"81174"</f>
        <v>81174</v>
      </c>
      <c r="N268" t="s">
        <v>63</v>
      </c>
      <c r="O268">
        <v>34.85</v>
      </c>
      <c r="P268">
        <v>20181214</v>
      </c>
      <c r="Q268" t="s">
        <v>64</v>
      </c>
      <c r="R268" t="s">
        <v>189</v>
      </c>
      <c r="S268" t="s">
        <v>23</v>
      </c>
      <c r="T268" t="s">
        <v>65</v>
      </c>
    </row>
    <row r="269" spans="1:20" x14ac:dyDescent="0.25">
      <c r="A269">
        <v>9</v>
      </c>
      <c r="B269">
        <v>163</v>
      </c>
      <c r="C269" t="str">
        <f t="shared" si="26"/>
        <v>00</v>
      </c>
      <c r="D269">
        <v>2153</v>
      </c>
      <c r="E269" t="str">
        <f t="shared" si="27"/>
        <v>00</v>
      </c>
      <c r="F269" t="str">
        <f>"141"</f>
        <v>141</v>
      </c>
      <c r="G269">
        <v>9</v>
      </c>
      <c r="H269" t="str">
        <f t="shared" si="28"/>
        <v>00</v>
      </c>
      <c r="I269" t="str">
        <f t="shared" si="29"/>
        <v>0</v>
      </c>
      <c r="J269" t="str">
        <f t="shared" si="30"/>
        <v>00</v>
      </c>
      <c r="K269">
        <v>20181214</v>
      </c>
      <c r="L269" t="str">
        <f>"027407"</f>
        <v>027407</v>
      </c>
      <c r="M269" t="str">
        <f>"00068"</f>
        <v>00068</v>
      </c>
      <c r="N269" t="s">
        <v>20</v>
      </c>
      <c r="O269" s="1">
        <v>5193.9399999999996</v>
      </c>
      <c r="P269">
        <v>20181214</v>
      </c>
      <c r="Q269" t="s">
        <v>21</v>
      </c>
      <c r="R269" t="s">
        <v>187</v>
      </c>
      <c r="S269" t="s">
        <v>23</v>
      </c>
      <c r="T269" t="s">
        <v>24</v>
      </c>
    </row>
    <row r="270" spans="1:20" x14ac:dyDescent="0.25">
      <c r="A270">
        <v>9</v>
      </c>
      <c r="B270">
        <v>163</v>
      </c>
      <c r="C270" t="str">
        <f t="shared" si="26"/>
        <v>00</v>
      </c>
      <c r="D270">
        <v>2153</v>
      </c>
      <c r="E270" t="str">
        <f t="shared" si="27"/>
        <v>00</v>
      </c>
      <c r="F270" t="str">
        <f>"142"</f>
        <v>142</v>
      </c>
      <c r="G270">
        <v>9</v>
      </c>
      <c r="H270" t="str">
        <f t="shared" si="28"/>
        <v>00</v>
      </c>
      <c r="I270" t="str">
        <f t="shared" si="29"/>
        <v>0</v>
      </c>
      <c r="J270" t="str">
        <f t="shared" si="30"/>
        <v>00</v>
      </c>
      <c r="K270">
        <v>20181214</v>
      </c>
      <c r="L270" t="str">
        <f>"027407"</f>
        <v>027407</v>
      </c>
      <c r="M270" t="str">
        <f>"00068"</f>
        <v>00068</v>
      </c>
      <c r="N270" t="s">
        <v>20</v>
      </c>
      <c r="O270" s="1">
        <v>9569.9699999999993</v>
      </c>
      <c r="P270">
        <v>20181214</v>
      </c>
      <c r="Q270" t="s">
        <v>25</v>
      </c>
      <c r="R270" t="s">
        <v>188</v>
      </c>
      <c r="S270" t="s">
        <v>23</v>
      </c>
      <c r="T270" t="s">
        <v>27</v>
      </c>
    </row>
    <row r="271" spans="1:20" x14ac:dyDescent="0.25">
      <c r="A271">
        <v>9</v>
      </c>
      <c r="B271">
        <v>163</v>
      </c>
      <c r="C271" t="str">
        <f t="shared" si="26"/>
        <v>00</v>
      </c>
      <c r="D271">
        <v>2159</v>
      </c>
      <c r="E271" t="str">
        <f t="shared" si="27"/>
        <v>00</v>
      </c>
      <c r="F271" t="str">
        <f>"143"</f>
        <v>143</v>
      </c>
      <c r="G271">
        <v>9</v>
      </c>
      <c r="H271" t="str">
        <f t="shared" si="28"/>
        <v>00</v>
      </c>
      <c r="I271" t="str">
        <f t="shared" si="29"/>
        <v>0</v>
      </c>
      <c r="J271" t="str">
        <f t="shared" si="30"/>
        <v>00</v>
      </c>
      <c r="K271">
        <v>20181214</v>
      </c>
      <c r="L271" t="str">
        <f>"027408"</f>
        <v>027408</v>
      </c>
      <c r="M271" t="str">
        <f>"00069"</f>
        <v>00069</v>
      </c>
      <c r="N271" t="s">
        <v>72</v>
      </c>
      <c r="O271">
        <v>285.94</v>
      </c>
      <c r="P271">
        <v>20181214</v>
      </c>
      <c r="Q271" t="s">
        <v>73</v>
      </c>
      <c r="R271" t="s">
        <v>189</v>
      </c>
      <c r="S271" t="s">
        <v>23</v>
      </c>
      <c r="T271" t="s">
        <v>74</v>
      </c>
    </row>
    <row r="272" spans="1:20" x14ac:dyDescent="0.25">
      <c r="A272">
        <v>9</v>
      </c>
      <c r="B272">
        <v>163</v>
      </c>
      <c r="C272" t="str">
        <f t="shared" si="26"/>
        <v>00</v>
      </c>
      <c r="D272">
        <v>2159</v>
      </c>
      <c r="E272" t="str">
        <f t="shared" si="27"/>
        <v>00</v>
      </c>
      <c r="F272" t="str">
        <f>"146"</f>
        <v>146</v>
      </c>
      <c r="G272">
        <v>9</v>
      </c>
      <c r="H272" t="str">
        <f t="shared" si="28"/>
        <v>00</v>
      </c>
      <c r="I272" t="str">
        <f t="shared" si="29"/>
        <v>0</v>
      </c>
      <c r="J272" t="str">
        <f t="shared" si="30"/>
        <v>00</v>
      </c>
      <c r="K272">
        <v>20181214</v>
      </c>
      <c r="L272" t="str">
        <f>"027409"</f>
        <v>027409</v>
      </c>
      <c r="M272" t="str">
        <f>"00086"</f>
        <v>00086</v>
      </c>
      <c r="N272" t="s">
        <v>75</v>
      </c>
      <c r="O272">
        <v>263.23</v>
      </c>
      <c r="P272">
        <v>20181214</v>
      </c>
      <c r="Q272" t="s">
        <v>76</v>
      </c>
      <c r="R272" t="s">
        <v>189</v>
      </c>
      <c r="S272" t="s">
        <v>23</v>
      </c>
      <c r="T272" t="s">
        <v>75</v>
      </c>
    </row>
    <row r="273" spans="1:20" x14ac:dyDescent="0.25">
      <c r="A273">
        <v>9</v>
      </c>
      <c r="B273">
        <v>163</v>
      </c>
      <c r="C273" t="str">
        <f t="shared" si="26"/>
        <v>00</v>
      </c>
      <c r="D273">
        <v>2159</v>
      </c>
      <c r="E273" t="str">
        <f t="shared" si="27"/>
        <v>00</v>
      </c>
      <c r="F273" t="str">
        <f>"147"</f>
        <v>147</v>
      </c>
      <c r="G273">
        <v>9</v>
      </c>
      <c r="H273" t="str">
        <f t="shared" si="28"/>
        <v>00</v>
      </c>
      <c r="I273" t="str">
        <f t="shared" si="29"/>
        <v>0</v>
      </c>
      <c r="J273" t="str">
        <f t="shared" si="30"/>
        <v>00</v>
      </c>
      <c r="K273">
        <v>20181214</v>
      </c>
      <c r="L273" t="str">
        <f>"027410"</f>
        <v>027410</v>
      </c>
      <c r="M273" t="str">
        <f>"00248"</f>
        <v>00248</v>
      </c>
      <c r="N273" t="s">
        <v>77</v>
      </c>
      <c r="O273" s="1">
        <v>1952.88</v>
      </c>
      <c r="P273">
        <v>20181214</v>
      </c>
      <c r="Q273" t="s">
        <v>78</v>
      </c>
      <c r="R273" t="s">
        <v>189</v>
      </c>
      <c r="S273" t="s">
        <v>23</v>
      </c>
      <c r="T273" t="s">
        <v>79</v>
      </c>
    </row>
    <row r="274" spans="1:20" x14ac:dyDescent="0.25">
      <c r="A274">
        <v>9</v>
      </c>
      <c r="B274">
        <v>163</v>
      </c>
      <c r="C274" t="str">
        <f t="shared" si="26"/>
        <v>00</v>
      </c>
      <c r="D274">
        <v>2159</v>
      </c>
      <c r="E274" t="str">
        <f t="shared" si="27"/>
        <v>00</v>
      </c>
      <c r="F274" t="str">
        <f>"148"</f>
        <v>148</v>
      </c>
      <c r="G274">
        <v>9</v>
      </c>
      <c r="H274" t="str">
        <f t="shared" si="28"/>
        <v>00</v>
      </c>
      <c r="I274" t="str">
        <f t="shared" si="29"/>
        <v>0</v>
      </c>
      <c r="J274" t="str">
        <f t="shared" si="30"/>
        <v>00</v>
      </c>
      <c r="K274">
        <v>20181214</v>
      </c>
      <c r="L274" t="str">
        <f>"027411"</f>
        <v>027411</v>
      </c>
      <c r="M274" t="str">
        <f>"00528"</f>
        <v>00528</v>
      </c>
      <c r="N274" t="s">
        <v>159</v>
      </c>
      <c r="O274">
        <v>780</v>
      </c>
      <c r="P274">
        <v>20181214</v>
      </c>
      <c r="Q274" t="s">
        <v>160</v>
      </c>
      <c r="R274" t="s">
        <v>189</v>
      </c>
      <c r="S274" t="s">
        <v>23</v>
      </c>
      <c r="T274" t="s">
        <v>162</v>
      </c>
    </row>
    <row r="275" spans="1:20" x14ac:dyDescent="0.25">
      <c r="A275">
        <v>9</v>
      </c>
      <c r="B275">
        <v>163</v>
      </c>
      <c r="C275" t="str">
        <f t="shared" si="26"/>
        <v>00</v>
      </c>
      <c r="D275">
        <v>2153</v>
      </c>
      <c r="E275" t="str">
        <f t="shared" si="27"/>
        <v>00</v>
      </c>
      <c r="F275" t="str">
        <f>"022"</f>
        <v>022</v>
      </c>
      <c r="G275">
        <v>9</v>
      </c>
      <c r="H275" t="str">
        <f t="shared" si="28"/>
        <v>00</v>
      </c>
      <c r="I275" t="str">
        <f t="shared" si="29"/>
        <v>0</v>
      </c>
      <c r="J275" t="str">
        <f t="shared" si="30"/>
        <v>00</v>
      </c>
      <c r="K275">
        <v>20181214</v>
      </c>
      <c r="L275" t="str">
        <f>"027412"</f>
        <v>027412</v>
      </c>
      <c r="M275" t="str">
        <f>"04831"</f>
        <v>04831</v>
      </c>
      <c r="N275" t="s">
        <v>28</v>
      </c>
      <c r="O275" s="1">
        <v>1661.81</v>
      </c>
      <c r="P275">
        <v>20181214</v>
      </c>
      <c r="Q275" t="s">
        <v>29</v>
      </c>
      <c r="R275" t="s">
        <v>188</v>
      </c>
      <c r="S275" t="s">
        <v>23</v>
      </c>
      <c r="T275" t="s">
        <v>30</v>
      </c>
    </row>
    <row r="276" spans="1:20" x14ac:dyDescent="0.25">
      <c r="A276">
        <v>9</v>
      </c>
      <c r="B276">
        <v>163</v>
      </c>
      <c r="C276" t="str">
        <f t="shared" si="26"/>
        <v>00</v>
      </c>
      <c r="D276">
        <v>2159</v>
      </c>
      <c r="E276" t="str">
        <f t="shared" si="27"/>
        <v>00</v>
      </c>
      <c r="F276" t="str">
        <f>"018"</f>
        <v>018</v>
      </c>
      <c r="G276">
        <v>9</v>
      </c>
      <c r="H276" t="str">
        <f t="shared" si="28"/>
        <v>00</v>
      </c>
      <c r="I276" t="str">
        <f t="shared" si="29"/>
        <v>0</v>
      </c>
      <c r="J276" t="str">
        <f t="shared" si="30"/>
        <v>00</v>
      </c>
      <c r="K276">
        <v>20181214</v>
      </c>
      <c r="L276" t="str">
        <f>"027413"</f>
        <v>027413</v>
      </c>
      <c r="M276" t="str">
        <f>"04905"</f>
        <v>04905</v>
      </c>
      <c r="N276" t="s">
        <v>31</v>
      </c>
      <c r="O276" s="1">
        <v>3182.56</v>
      </c>
      <c r="P276">
        <v>20181214</v>
      </c>
      <c r="Q276" t="s">
        <v>32</v>
      </c>
      <c r="R276" t="s">
        <v>189</v>
      </c>
      <c r="S276" t="s">
        <v>23</v>
      </c>
      <c r="T276" t="s">
        <v>34</v>
      </c>
    </row>
    <row r="277" spans="1:20" x14ac:dyDescent="0.25">
      <c r="A277">
        <v>9</v>
      </c>
      <c r="B277">
        <v>163</v>
      </c>
      <c r="C277" t="str">
        <f t="shared" si="26"/>
        <v>00</v>
      </c>
      <c r="D277">
        <v>2153</v>
      </c>
      <c r="E277" t="str">
        <f t="shared" si="27"/>
        <v>00</v>
      </c>
      <c r="F277" t="str">
        <f>"053"</f>
        <v>053</v>
      </c>
      <c r="G277">
        <v>9</v>
      </c>
      <c r="H277" t="str">
        <f t="shared" si="28"/>
        <v>00</v>
      </c>
      <c r="I277" t="str">
        <f t="shared" si="29"/>
        <v>0</v>
      </c>
      <c r="J277" t="str">
        <f t="shared" si="30"/>
        <v>00</v>
      </c>
      <c r="K277">
        <v>20181214</v>
      </c>
      <c r="L277" t="str">
        <f>"027414"</f>
        <v>027414</v>
      </c>
      <c r="M277" t="str">
        <f>"04987"</f>
        <v>04987</v>
      </c>
      <c r="N277" t="s">
        <v>35</v>
      </c>
      <c r="O277">
        <v>888.72</v>
      </c>
      <c r="P277">
        <v>20181214</v>
      </c>
      <c r="Q277" t="s">
        <v>36</v>
      </c>
      <c r="R277" t="s">
        <v>188</v>
      </c>
      <c r="S277" t="s">
        <v>23</v>
      </c>
      <c r="T277" t="s">
        <v>37</v>
      </c>
    </row>
    <row r="278" spans="1:20" x14ac:dyDescent="0.25">
      <c r="A278">
        <v>9</v>
      </c>
      <c r="B278">
        <v>163</v>
      </c>
      <c r="C278" t="str">
        <f t="shared" si="26"/>
        <v>00</v>
      </c>
      <c r="D278">
        <v>2159</v>
      </c>
      <c r="E278" t="str">
        <f t="shared" si="27"/>
        <v>00</v>
      </c>
      <c r="F278" t="str">
        <f>"009"</f>
        <v>009</v>
      </c>
      <c r="G278">
        <v>9</v>
      </c>
      <c r="H278" t="str">
        <f t="shared" si="28"/>
        <v>00</v>
      </c>
      <c r="I278" t="str">
        <f t="shared" si="29"/>
        <v>0</v>
      </c>
      <c r="J278" t="str">
        <f t="shared" si="30"/>
        <v>00</v>
      </c>
      <c r="K278">
        <v>20181214</v>
      </c>
      <c r="L278" t="str">
        <f>"027415"</f>
        <v>027415</v>
      </c>
      <c r="M278" t="str">
        <f>"07710"</f>
        <v>07710</v>
      </c>
      <c r="N278" t="s">
        <v>38</v>
      </c>
      <c r="O278">
        <v>665.97</v>
      </c>
      <c r="P278">
        <v>20181214</v>
      </c>
      <c r="Q278" t="s">
        <v>39</v>
      </c>
      <c r="R278" t="s">
        <v>189</v>
      </c>
      <c r="S278" t="s">
        <v>23</v>
      </c>
      <c r="T278" t="s">
        <v>40</v>
      </c>
    </row>
    <row r="279" spans="1:20" x14ac:dyDescent="0.25">
      <c r="A279">
        <v>9</v>
      </c>
      <c r="B279">
        <v>163</v>
      </c>
      <c r="C279" t="str">
        <f t="shared" si="26"/>
        <v>00</v>
      </c>
      <c r="D279">
        <v>2159</v>
      </c>
      <c r="E279" t="str">
        <f t="shared" si="27"/>
        <v>00</v>
      </c>
      <c r="F279" t="str">
        <f>"068"</f>
        <v>068</v>
      </c>
      <c r="G279">
        <v>9</v>
      </c>
      <c r="H279" t="str">
        <f t="shared" si="28"/>
        <v>00</v>
      </c>
      <c r="I279" t="str">
        <f t="shared" si="29"/>
        <v>0</v>
      </c>
      <c r="J279" t="str">
        <f t="shared" si="30"/>
        <v>00</v>
      </c>
      <c r="K279">
        <v>20181214</v>
      </c>
      <c r="L279" t="str">
        <f>"027416"</f>
        <v>027416</v>
      </c>
      <c r="M279" t="str">
        <f>"10095"</f>
        <v>10095</v>
      </c>
      <c r="N279" t="s">
        <v>83</v>
      </c>
      <c r="O279">
        <v>360.25</v>
      </c>
      <c r="P279">
        <v>20181214</v>
      </c>
      <c r="Q279" t="s">
        <v>84</v>
      </c>
      <c r="R279" t="s">
        <v>189</v>
      </c>
      <c r="S279" t="s">
        <v>23</v>
      </c>
      <c r="T279" t="s">
        <v>85</v>
      </c>
    </row>
    <row r="280" spans="1:20" x14ac:dyDescent="0.25">
      <c r="A280">
        <v>9</v>
      </c>
      <c r="B280">
        <v>163</v>
      </c>
      <c r="C280" t="str">
        <f t="shared" si="26"/>
        <v>00</v>
      </c>
      <c r="D280">
        <v>2153</v>
      </c>
      <c r="E280" t="str">
        <f t="shared" si="27"/>
        <v>00</v>
      </c>
      <c r="F280" t="str">
        <f>"011"</f>
        <v>011</v>
      </c>
      <c r="G280">
        <v>9</v>
      </c>
      <c r="H280" t="str">
        <f t="shared" si="28"/>
        <v>00</v>
      </c>
      <c r="I280" t="str">
        <f t="shared" si="29"/>
        <v>0</v>
      </c>
      <c r="J280" t="str">
        <f t="shared" si="30"/>
        <v>00</v>
      </c>
      <c r="K280">
        <v>20181214</v>
      </c>
      <c r="L280" t="str">
        <f>"027417"</f>
        <v>027417</v>
      </c>
      <c r="M280" t="str">
        <f>"11211"</f>
        <v>11211</v>
      </c>
      <c r="N280" t="s">
        <v>41</v>
      </c>
      <c r="O280" s="1">
        <v>2629.77</v>
      </c>
      <c r="P280">
        <v>20181214</v>
      </c>
      <c r="Q280" t="s">
        <v>42</v>
      </c>
      <c r="R280" t="s">
        <v>188</v>
      </c>
      <c r="S280" t="s">
        <v>23</v>
      </c>
      <c r="T280" t="s">
        <v>43</v>
      </c>
    </row>
    <row r="281" spans="1:20" x14ac:dyDescent="0.25">
      <c r="A281">
        <v>9</v>
      </c>
      <c r="B281">
        <v>163</v>
      </c>
      <c r="C281" t="str">
        <f t="shared" si="26"/>
        <v>00</v>
      </c>
      <c r="D281">
        <v>2159</v>
      </c>
      <c r="E281" t="str">
        <f t="shared" si="27"/>
        <v>00</v>
      </c>
      <c r="F281" t="str">
        <f>"104"</f>
        <v>104</v>
      </c>
      <c r="G281">
        <v>9</v>
      </c>
      <c r="H281" t="str">
        <f t="shared" si="28"/>
        <v>00</v>
      </c>
      <c r="I281" t="str">
        <f t="shared" si="29"/>
        <v>0</v>
      </c>
      <c r="J281" t="str">
        <f t="shared" si="30"/>
        <v>00</v>
      </c>
      <c r="K281">
        <v>20181214</v>
      </c>
      <c r="L281" t="str">
        <f>"027418"</f>
        <v>027418</v>
      </c>
      <c r="M281" t="str">
        <f>"14177"</f>
        <v>14177</v>
      </c>
      <c r="N281" t="s">
        <v>163</v>
      </c>
      <c r="O281">
        <v>69.5</v>
      </c>
      <c r="P281">
        <v>20181214</v>
      </c>
      <c r="Q281" t="s">
        <v>45</v>
      </c>
      <c r="R281" t="s">
        <v>189</v>
      </c>
      <c r="S281" t="s">
        <v>23</v>
      </c>
      <c r="T281" t="s">
        <v>46</v>
      </c>
    </row>
    <row r="282" spans="1:20" x14ac:dyDescent="0.25">
      <c r="A282">
        <v>9</v>
      </c>
      <c r="B282">
        <v>163</v>
      </c>
      <c r="C282" t="str">
        <f t="shared" si="26"/>
        <v>00</v>
      </c>
      <c r="D282">
        <v>2159</v>
      </c>
      <c r="E282" t="str">
        <f t="shared" si="27"/>
        <v>00</v>
      </c>
      <c r="F282" t="str">
        <f>"014"</f>
        <v>014</v>
      </c>
      <c r="G282">
        <v>9</v>
      </c>
      <c r="H282" t="str">
        <f t="shared" si="28"/>
        <v>00</v>
      </c>
      <c r="I282" t="str">
        <f t="shared" si="29"/>
        <v>0</v>
      </c>
      <c r="J282" t="str">
        <f t="shared" si="30"/>
        <v>00</v>
      </c>
      <c r="K282">
        <v>20181214</v>
      </c>
      <c r="L282" t="str">
        <f>"027419"</f>
        <v>027419</v>
      </c>
      <c r="M282" t="str">
        <f>"20682"</f>
        <v>20682</v>
      </c>
      <c r="N282" t="s">
        <v>86</v>
      </c>
      <c r="O282" s="1">
        <v>2211.88</v>
      </c>
      <c r="P282">
        <v>20181214</v>
      </c>
      <c r="Q282" t="s">
        <v>87</v>
      </c>
      <c r="R282" t="s">
        <v>189</v>
      </c>
      <c r="S282" t="s">
        <v>23</v>
      </c>
      <c r="T282" t="s">
        <v>88</v>
      </c>
    </row>
    <row r="283" spans="1:20" x14ac:dyDescent="0.25">
      <c r="A283">
        <v>9</v>
      </c>
      <c r="B283">
        <v>163</v>
      </c>
      <c r="C283" t="str">
        <f t="shared" si="26"/>
        <v>00</v>
      </c>
      <c r="D283">
        <v>2153</v>
      </c>
      <c r="E283" t="str">
        <f t="shared" si="27"/>
        <v>00</v>
      </c>
      <c r="F283" t="str">
        <f>"024"</f>
        <v>024</v>
      </c>
      <c r="G283">
        <v>9</v>
      </c>
      <c r="H283" t="str">
        <f t="shared" si="28"/>
        <v>00</v>
      </c>
      <c r="I283" t="str">
        <f t="shared" si="29"/>
        <v>0</v>
      </c>
      <c r="J283" t="str">
        <f t="shared" si="30"/>
        <v>00</v>
      </c>
      <c r="K283">
        <v>20181214</v>
      </c>
      <c r="L283" t="str">
        <f>"027420"</f>
        <v>027420</v>
      </c>
      <c r="M283" t="str">
        <f>"21504"</f>
        <v>21504</v>
      </c>
      <c r="N283" t="s">
        <v>89</v>
      </c>
      <c r="O283">
        <v>36.6</v>
      </c>
      <c r="P283">
        <v>20181214</v>
      </c>
      <c r="Q283" t="s">
        <v>90</v>
      </c>
      <c r="R283" t="s">
        <v>188</v>
      </c>
      <c r="S283" t="s">
        <v>23</v>
      </c>
      <c r="T283" t="s">
        <v>91</v>
      </c>
    </row>
    <row r="284" spans="1:20" x14ac:dyDescent="0.25">
      <c r="A284">
        <v>9</v>
      </c>
      <c r="B284">
        <v>163</v>
      </c>
      <c r="C284" t="str">
        <f t="shared" si="26"/>
        <v>00</v>
      </c>
      <c r="D284">
        <v>2153</v>
      </c>
      <c r="E284" t="str">
        <f t="shared" si="27"/>
        <v>00</v>
      </c>
      <c r="F284" t="str">
        <f>"026"</f>
        <v>026</v>
      </c>
      <c r="G284">
        <v>9</v>
      </c>
      <c r="H284" t="str">
        <f t="shared" si="28"/>
        <v>00</v>
      </c>
      <c r="I284" t="str">
        <f t="shared" si="29"/>
        <v>0</v>
      </c>
      <c r="J284" t="str">
        <f t="shared" si="30"/>
        <v>00</v>
      </c>
      <c r="K284">
        <v>20181214</v>
      </c>
      <c r="L284" t="str">
        <f>"027421"</f>
        <v>027421</v>
      </c>
      <c r="M284" t="str">
        <f>"21506"</f>
        <v>21506</v>
      </c>
      <c r="N284" t="s">
        <v>92</v>
      </c>
      <c r="O284">
        <v>102.75</v>
      </c>
      <c r="P284">
        <v>20181214</v>
      </c>
      <c r="Q284" t="s">
        <v>93</v>
      </c>
      <c r="R284" t="s">
        <v>188</v>
      </c>
      <c r="S284" t="s">
        <v>23</v>
      </c>
      <c r="T284" t="s">
        <v>94</v>
      </c>
    </row>
    <row r="285" spans="1:20" x14ac:dyDescent="0.25">
      <c r="A285">
        <v>9</v>
      </c>
      <c r="B285">
        <v>163</v>
      </c>
      <c r="C285" t="str">
        <f t="shared" si="26"/>
        <v>00</v>
      </c>
      <c r="D285">
        <v>2159</v>
      </c>
      <c r="E285" t="str">
        <f t="shared" si="27"/>
        <v>00</v>
      </c>
      <c r="F285" t="str">
        <f>"117"</f>
        <v>117</v>
      </c>
      <c r="G285">
        <v>9</v>
      </c>
      <c r="H285" t="str">
        <f t="shared" si="28"/>
        <v>00</v>
      </c>
      <c r="I285" t="str">
        <f t="shared" si="29"/>
        <v>0</v>
      </c>
      <c r="J285" t="str">
        <f t="shared" si="30"/>
        <v>00</v>
      </c>
      <c r="K285">
        <v>20181214</v>
      </c>
      <c r="L285" t="str">
        <f>"027422"</f>
        <v>027422</v>
      </c>
      <c r="M285" t="str">
        <f>"21826"</f>
        <v>21826</v>
      </c>
      <c r="N285" t="s">
        <v>95</v>
      </c>
      <c r="O285">
        <v>709.78</v>
      </c>
      <c r="P285">
        <v>20181214</v>
      </c>
      <c r="Q285" t="s">
        <v>96</v>
      </c>
      <c r="R285" t="s">
        <v>189</v>
      </c>
      <c r="S285" t="s">
        <v>23</v>
      </c>
      <c r="T285" t="s">
        <v>97</v>
      </c>
    </row>
    <row r="286" spans="1:20" x14ac:dyDescent="0.25">
      <c r="A286">
        <v>9</v>
      </c>
      <c r="B286">
        <v>163</v>
      </c>
      <c r="C286" t="str">
        <f t="shared" si="26"/>
        <v>00</v>
      </c>
      <c r="D286">
        <v>2159</v>
      </c>
      <c r="E286" t="str">
        <f t="shared" si="27"/>
        <v>00</v>
      </c>
      <c r="F286" t="str">
        <f>"108"</f>
        <v>108</v>
      </c>
      <c r="G286">
        <v>9</v>
      </c>
      <c r="H286" t="str">
        <f t="shared" si="28"/>
        <v>00</v>
      </c>
      <c r="I286" t="str">
        <f t="shared" si="29"/>
        <v>0</v>
      </c>
      <c r="J286" t="str">
        <f t="shared" si="30"/>
        <v>00</v>
      </c>
      <c r="K286">
        <v>20181214</v>
      </c>
      <c r="L286" t="str">
        <f>"027423"</f>
        <v>027423</v>
      </c>
      <c r="M286" t="str">
        <f>"29572"</f>
        <v>29572</v>
      </c>
      <c r="N286" t="s">
        <v>165</v>
      </c>
      <c r="O286">
        <v>21.87</v>
      </c>
      <c r="P286">
        <v>20181214</v>
      </c>
      <c r="Q286" t="s">
        <v>166</v>
      </c>
      <c r="R286" t="s">
        <v>189</v>
      </c>
      <c r="S286" t="s">
        <v>23</v>
      </c>
      <c r="T286" t="s">
        <v>167</v>
      </c>
    </row>
    <row r="287" spans="1:20" x14ac:dyDescent="0.25">
      <c r="A287">
        <v>9</v>
      </c>
      <c r="B287">
        <v>163</v>
      </c>
      <c r="C287" t="str">
        <f t="shared" si="26"/>
        <v>00</v>
      </c>
      <c r="D287">
        <v>2159</v>
      </c>
      <c r="E287" t="str">
        <f t="shared" si="27"/>
        <v>00</v>
      </c>
      <c r="F287" t="str">
        <f>"140"</f>
        <v>140</v>
      </c>
      <c r="G287">
        <v>9</v>
      </c>
      <c r="H287" t="str">
        <f t="shared" si="28"/>
        <v>00</v>
      </c>
      <c r="I287" t="str">
        <f t="shared" si="29"/>
        <v>0</v>
      </c>
      <c r="J287" t="str">
        <f t="shared" si="30"/>
        <v>00</v>
      </c>
      <c r="K287">
        <v>20181214</v>
      </c>
      <c r="L287" t="str">
        <f>"027424"</f>
        <v>027424</v>
      </c>
      <c r="M287" t="str">
        <f>"47701"</f>
        <v>47701</v>
      </c>
      <c r="N287" t="s">
        <v>98</v>
      </c>
      <c r="O287">
        <v>450.6</v>
      </c>
      <c r="P287">
        <v>20181214</v>
      </c>
      <c r="Q287" t="s">
        <v>99</v>
      </c>
      <c r="R287" t="s">
        <v>189</v>
      </c>
      <c r="S287" t="s">
        <v>23</v>
      </c>
      <c r="T287" t="s">
        <v>100</v>
      </c>
    </row>
    <row r="288" spans="1:20" x14ac:dyDescent="0.25">
      <c r="A288">
        <v>9</v>
      </c>
      <c r="B288">
        <v>163</v>
      </c>
      <c r="C288" t="str">
        <f t="shared" si="26"/>
        <v>00</v>
      </c>
      <c r="D288">
        <v>2153</v>
      </c>
      <c r="E288" t="str">
        <f t="shared" si="27"/>
        <v>00</v>
      </c>
      <c r="F288" t="str">
        <f>"110"</f>
        <v>110</v>
      </c>
      <c r="G288">
        <v>9</v>
      </c>
      <c r="H288" t="str">
        <f t="shared" si="28"/>
        <v>00</v>
      </c>
      <c r="I288" t="str">
        <f t="shared" si="29"/>
        <v>0</v>
      </c>
      <c r="J288" t="str">
        <f t="shared" si="30"/>
        <v>00</v>
      </c>
      <c r="K288">
        <v>20181214</v>
      </c>
      <c r="L288" t="str">
        <f>"027425"</f>
        <v>027425</v>
      </c>
      <c r="M288" t="str">
        <f>"48947"</f>
        <v>48947</v>
      </c>
      <c r="N288" t="s">
        <v>47</v>
      </c>
      <c r="O288" s="1">
        <v>1964.81</v>
      </c>
      <c r="P288">
        <v>20181214</v>
      </c>
      <c r="Q288" t="s">
        <v>48</v>
      </c>
      <c r="R288" t="s">
        <v>187</v>
      </c>
      <c r="S288" t="s">
        <v>23</v>
      </c>
      <c r="T288" t="s">
        <v>49</v>
      </c>
    </row>
    <row r="289" spans="1:20" x14ac:dyDescent="0.25">
      <c r="A289">
        <v>9</v>
      </c>
      <c r="B289">
        <v>163</v>
      </c>
      <c r="C289" t="str">
        <f t="shared" si="26"/>
        <v>00</v>
      </c>
      <c r="D289">
        <v>2159</v>
      </c>
      <c r="E289" t="str">
        <f t="shared" si="27"/>
        <v>00</v>
      </c>
      <c r="F289" t="str">
        <f>"032"</f>
        <v>032</v>
      </c>
      <c r="G289">
        <v>9</v>
      </c>
      <c r="H289" t="str">
        <f t="shared" si="28"/>
        <v>00</v>
      </c>
      <c r="I289" t="str">
        <f t="shared" si="29"/>
        <v>0</v>
      </c>
      <c r="J289" t="str">
        <f t="shared" si="30"/>
        <v>00</v>
      </c>
      <c r="K289">
        <v>20181214</v>
      </c>
      <c r="L289" t="str">
        <f t="shared" ref="L289:L307" si="31">"027426"</f>
        <v>027426</v>
      </c>
      <c r="M289" t="str">
        <f t="shared" ref="M289:M307" si="32">"54196"</f>
        <v>54196</v>
      </c>
      <c r="N289" t="s">
        <v>50</v>
      </c>
      <c r="O289">
        <v>50</v>
      </c>
      <c r="P289">
        <v>20181214</v>
      </c>
      <c r="Q289" t="s">
        <v>101</v>
      </c>
      <c r="R289" t="s">
        <v>190</v>
      </c>
      <c r="S289" t="s">
        <v>23</v>
      </c>
      <c r="T289" t="s">
        <v>102</v>
      </c>
    </row>
    <row r="290" spans="1:20" x14ac:dyDescent="0.25">
      <c r="A290">
        <v>9</v>
      </c>
      <c r="B290">
        <v>163</v>
      </c>
      <c r="C290" t="str">
        <f t="shared" si="26"/>
        <v>00</v>
      </c>
      <c r="D290">
        <v>2159</v>
      </c>
      <c r="E290" t="str">
        <f t="shared" si="27"/>
        <v>00</v>
      </c>
      <c r="F290" t="str">
        <f>"033"</f>
        <v>033</v>
      </c>
      <c r="G290">
        <v>9</v>
      </c>
      <c r="H290" t="str">
        <f t="shared" si="28"/>
        <v>00</v>
      </c>
      <c r="I290" t="str">
        <f t="shared" si="29"/>
        <v>0</v>
      </c>
      <c r="J290" t="str">
        <f t="shared" si="30"/>
        <v>00</v>
      </c>
      <c r="K290">
        <v>20181214</v>
      </c>
      <c r="L290" t="str">
        <f t="shared" si="31"/>
        <v>027426</v>
      </c>
      <c r="M290" t="str">
        <f t="shared" si="32"/>
        <v>54196</v>
      </c>
      <c r="N290" t="s">
        <v>50</v>
      </c>
      <c r="O290">
        <v>283</v>
      </c>
      <c r="P290">
        <v>20181214</v>
      </c>
      <c r="Q290" t="s">
        <v>103</v>
      </c>
      <c r="R290" t="s">
        <v>190</v>
      </c>
      <c r="S290" t="s">
        <v>23</v>
      </c>
      <c r="T290" t="s">
        <v>104</v>
      </c>
    </row>
    <row r="291" spans="1:20" x14ac:dyDescent="0.25">
      <c r="A291">
        <v>9</v>
      </c>
      <c r="B291">
        <v>163</v>
      </c>
      <c r="C291" t="str">
        <f t="shared" si="26"/>
        <v>00</v>
      </c>
      <c r="D291">
        <v>2159</v>
      </c>
      <c r="E291" t="str">
        <f t="shared" si="27"/>
        <v>00</v>
      </c>
      <c r="F291" t="str">
        <f>"041"</f>
        <v>041</v>
      </c>
      <c r="G291">
        <v>9</v>
      </c>
      <c r="H291" t="str">
        <f t="shared" si="28"/>
        <v>00</v>
      </c>
      <c r="I291" t="str">
        <f t="shared" si="29"/>
        <v>0</v>
      </c>
      <c r="J291" t="str">
        <f t="shared" si="30"/>
        <v>00</v>
      </c>
      <c r="K291">
        <v>20181214</v>
      </c>
      <c r="L291" t="str">
        <f t="shared" si="31"/>
        <v>027426</v>
      </c>
      <c r="M291" t="str">
        <f t="shared" si="32"/>
        <v>54196</v>
      </c>
      <c r="N291" t="s">
        <v>50</v>
      </c>
      <c r="O291" s="1">
        <v>1340</v>
      </c>
      <c r="P291">
        <v>20181214</v>
      </c>
      <c r="Q291" t="s">
        <v>105</v>
      </c>
      <c r="R291" t="s">
        <v>190</v>
      </c>
      <c r="S291" t="s">
        <v>23</v>
      </c>
      <c r="T291" t="s">
        <v>106</v>
      </c>
    </row>
    <row r="292" spans="1:20" x14ac:dyDescent="0.25">
      <c r="A292">
        <v>9</v>
      </c>
      <c r="B292">
        <v>163</v>
      </c>
      <c r="C292" t="str">
        <f t="shared" si="26"/>
        <v>00</v>
      </c>
      <c r="D292">
        <v>2159</v>
      </c>
      <c r="E292" t="str">
        <f t="shared" si="27"/>
        <v>00</v>
      </c>
      <c r="F292" t="str">
        <f>"042"</f>
        <v>042</v>
      </c>
      <c r="G292">
        <v>9</v>
      </c>
      <c r="H292" t="str">
        <f t="shared" si="28"/>
        <v>00</v>
      </c>
      <c r="I292" t="str">
        <f t="shared" si="29"/>
        <v>0</v>
      </c>
      <c r="J292" t="str">
        <f t="shared" si="30"/>
        <v>00</v>
      </c>
      <c r="K292">
        <v>20181214</v>
      </c>
      <c r="L292" t="str">
        <f t="shared" si="31"/>
        <v>027426</v>
      </c>
      <c r="M292" t="str">
        <f t="shared" si="32"/>
        <v>54196</v>
      </c>
      <c r="N292" t="s">
        <v>50</v>
      </c>
      <c r="O292" s="1">
        <v>2075</v>
      </c>
      <c r="P292">
        <v>20181214</v>
      </c>
      <c r="Q292" t="s">
        <v>107</v>
      </c>
      <c r="R292" t="s">
        <v>190</v>
      </c>
      <c r="S292" t="s">
        <v>23</v>
      </c>
      <c r="T292" t="s">
        <v>108</v>
      </c>
    </row>
    <row r="293" spans="1:20" x14ac:dyDescent="0.25">
      <c r="A293">
        <v>9</v>
      </c>
      <c r="B293">
        <v>163</v>
      </c>
      <c r="C293" t="str">
        <f t="shared" si="26"/>
        <v>00</v>
      </c>
      <c r="D293">
        <v>2159</v>
      </c>
      <c r="E293" t="str">
        <f t="shared" si="27"/>
        <v>00</v>
      </c>
      <c r="F293" t="str">
        <f>"046"</f>
        <v>046</v>
      </c>
      <c r="G293">
        <v>9</v>
      </c>
      <c r="H293" t="str">
        <f t="shared" si="28"/>
        <v>00</v>
      </c>
      <c r="I293" t="str">
        <f t="shared" si="29"/>
        <v>0</v>
      </c>
      <c r="J293" t="str">
        <f t="shared" si="30"/>
        <v>00</v>
      </c>
      <c r="K293">
        <v>20181214</v>
      </c>
      <c r="L293" t="str">
        <f t="shared" si="31"/>
        <v>027426</v>
      </c>
      <c r="M293" t="str">
        <f t="shared" si="32"/>
        <v>54196</v>
      </c>
      <c r="N293" t="s">
        <v>50</v>
      </c>
      <c r="O293">
        <v>40</v>
      </c>
      <c r="P293">
        <v>20181214</v>
      </c>
      <c r="Q293" t="s">
        <v>109</v>
      </c>
      <c r="R293" t="s">
        <v>190</v>
      </c>
      <c r="S293" t="s">
        <v>23</v>
      </c>
      <c r="T293" t="s">
        <v>110</v>
      </c>
    </row>
    <row r="294" spans="1:20" x14ac:dyDescent="0.25">
      <c r="A294">
        <v>9</v>
      </c>
      <c r="B294">
        <v>163</v>
      </c>
      <c r="C294" t="str">
        <f t="shared" si="26"/>
        <v>00</v>
      </c>
      <c r="D294">
        <v>2159</v>
      </c>
      <c r="E294" t="str">
        <f t="shared" si="27"/>
        <v>00</v>
      </c>
      <c r="F294" t="str">
        <f>"058"</f>
        <v>058</v>
      </c>
      <c r="G294">
        <v>9</v>
      </c>
      <c r="H294" t="str">
        <f t="shared" si="28"/>
        <v>00</v>
      </c>
      <c r="I294" t="str">
        <f t="shared" si="29"/>
        <v>0</v>
      </c>
      <c r="J294" t="str">
        <f t="shared" si="30"/>
        <v>00</v>
      </c>
      <c r="K294">
        <v>20181214</v>
      </c>
      <c r="L294" t="str">
        <f t="shared" si="31"/>
        <v>027426</v>
      </c>
      <c r="M294" t="str">
        <f t="shared" si="32"/>
        <v>54196</v>
      </c>
      <c r="N294" t="s">
        <v>50</v>
      </c>
      <c r="O294" s="1">
        <v>1967</v>
      </c>
      <c r="P294">
        <v>20181214</v>
      </c>
      <c r="Q294" t="s">
        <v>111</v>
      </c>
      <c r="R294" t="s">
        <v>190</v>
      </c>
      <c r="S294" t="s">
        <v>23</v>
      </c>
      <c r="T294" t="s">
        <v>112</v>
      </c>
    </row>
    <row r="295" spans="1:20" x14ac:dyDescent="0.25">
      <c r="A295">
        <v>9</v>
      </c>
      <c r="B295">
        <v>163</v>
      </c>
      <c r="C295" t="str">
        <f t="shared" si="26"/>
        <v>00</v>
      </c>
      <c r="D295">
        <v>2159</v>
      </c>
      <c r="E295" t="str">
        <f t="shared" si="27"/>
        <v>00</v>
      </c>
      <c r="F295" t="str">
        <f>"059"</f>
        <v>059</v>
      </c>
      <c r="G295">
        <v>9</v>
      </c>
      <c r="H295" t="str">
        <f t="shared" si="28"/>
        <v>00</v>
      </c>
      <c r="I295" t="str">
        <f t="shared" si="29"/>
        <v>0</v>
      </c>
      <c r="J295" t="str">
        <f t="shared" si="30"/>
        <v>00</v>
      </c>
      <c r="K295">
        <v>20181214</v>
      </c>
      <c r="L295" t="str">
        <f t="shared" si="31"/>
        <v>027426</v>
      </c>
      <c r="M295" t="str">
        <f t="shared" si="32"/>
        <v>54196</v>
      </c>
      <c r="N295" t="s">
        <v>50</v>
      </c>
      <c r="O295">
        <v>672</v>
      </c>
      <c r="P295">
        <v>20181214</v>
      </c>
      <c r="Q295" t="s">
        <v>113</v>
      </c>
      <c r="R295" t="s">
        <v>190</v>
      </c>
      <c r="S295" t="s">
        <v>23</v>
      </c>
      <c r="T295" t="s">
        <v>114</v>
      </c>
    </row>
    <row r="296" spans="1:20" x14ac:dyDescent="0.25">
      <c r="A296">
        <v>9</v>
      </c>
      <c r="B296">
        <v>163</v>
      </c>
      <c r="C296" t="str">
        <f t="shared" si="26"/>
        <v>00</v>
      </c>
      <c r="D296">
        <v>2159</v>
      </c>
      <c r="E296" t="str">
        <f t="shared" si="27"/>
        <v>00</v>
      </c>
      <c r="F296" t="str">
        <f>"072"</f>
        <v>072</v>
      </c>
      <c r="G296">
        <v>9</v>
      </c>
      <c r="H296" t="str">
        <f t="shared" si="28"/>
        <v>00</v>
      </c>
      <c r="I296" t="str">
        <f t="shared" si="29"/>
        <v>0</v>
      </c>
      <c r="J296" t="str">
        <f t="shared" si="30"/>
        <v>00</v>
      </c>
      <c r="K296">
        <v>20181214</v>
      </c>
      <c r="L296" t="str">
        <f t="shared" si="31"/>
        <v>027426</v>
      </c>
      <c r="M296" t="str">
        <f t="shared" si="32"/>
        <v>54196</v>
      </c>
      <c r="N296" t="s">
        <v>50</v>
      </c>
      <c r="O296">
        <v>50</v>
      </c>
      <c r="P296">
        <v>20181214</v>
      </c>
      <c r="Q296" t="s">
        <v>115</v>
      </c>
      <c r="R296" t="s">
        <v>190</v>
      </c>
      <c r="S296" t="s">
        <v>23</v>
      </c>
      <c r="T296" t="s">
        <v>116</v>
      </c>
    </row>
    <row r="297" spans="1:20" x14ac:dyDescent="0.25">
      <c r="A297">
        <v>9</v>
      </c>
      <c r="B297">
        <v>163</v>
      </c>
      <c r="C297" t="str">
        <f t="shared" si="26"/>
        <v>00</v>
      </c>
      <c r="D297">
        <v>2159</v>
      </c>
      <c r="E297" t="str">
        <f t="shared" si="27"/>
        <v>00</v>
      </c>
      <c r="F297" t="str">
        <f>"075"</f>
        <v>075</v>
      </c>
      <c r="G297">
        <v>9</v>
      </c>
      <c r="H297" t="str">
        <f t="shared" si="28"/>
        <v>00</v>
      </c>
      <c r="I297" t="str">
        <f t="shared" si="29"/>
        <v>0</v>
      </c>
      <c r="J297" t="str">
        <f t="shared" si="30"/>
        <v>00</v>
      </c>
      <c r="K297">
        <v>20181214</v>
      </c>
      <c r="L297" t="str">
        <f t="shared" si="31"/>
        <v>027426</v>
      </c>
      <c r="M297" t="str">
        <f t="shared" si="32"/>
        <v>54196</v>
      </c>
      <c r="N297" t="s">
        <v>50</v>
      </c>
      <c r="O297">
        <v>100</v>
      </c>
      <c r="P297">
        <v>20181214</v>
      </c>
      <c r="Q297" t="s">
        <v>117</v>
      </c>
      <c r="R297" t="s">
        <v>190</v>
      </c>
      <c r="S297" t="s">
        <v>23</v>
      </c>
      <c r="T297" t="s">
        <v>118</v>
      </c>
    </row>
    <row r="298" spans="1:20" x14ac:dyDescent="0.25">
      <c r="A298">
        <v>9</v>
      </c>
      <c r="B298">
        <v>163</v>
      </c>
      <c r="C298" t="str">
        <f t="shared" si="26"/>
        <v>00</v>
      </c>
      <c r="D298">
        <v>2159</v>
      </c>
      <c r="E298" t="str">
        <f t="shared" si="27"/>
        <v>00</v>
      </c>
      <c r="F298" t="str">
        <f>"078"</f>
        <v>078</v>
      </c>
      <c r="G298">
        <v>9</v>
      </c>
      <c r="H298" t="str">
        <f t="shared" si="28"/>
        <v>00</v>
      </c>
      <c r="I298" t="str">
        <f t="shared" si="29"/>
        <v>0</v>
      </c>
      <c r="J298" t="str">
        <f t="shared" si="30"/>
        <v>00</v>
      </c>
      <c r="K298">
        <v>20181214</v>
      </c>
      <c r="L298" t="str">
        <f t="shared" si="31"/>
        <v>027426</v>
      </c>
      <c r="M298" t="str">
        <f t="shared" si="32"/>
        <v>54196</v>
      </c>
      <c r="N298" t="s">
        <v>50</v>
      </c>
      <c r="O298">
        <v>750</v>
      </c>
      <c r="P298">
        <v>20181214</v>
      </c>
      <c r="Q298" t="s">
        <v>119</v>
      </c>
      <c r="R298" t="s">
        <v>190</v>
      </c>
      <c r="S298" t="s">
        <v>23</v>
      </c>
      <c r="T298" t="s">
        <v>120</v>
      </c>
    </row>
    <row r="299" spans="1:20" x14ac:dyDescent="0.25">
      <c r="A299">
        <v>9</v>
      </c>
      <c r="B299">
        <v>163</v>
      </c>
      <c r="C299" t="str">
        <f t="shared" si="26"/>
        <v>00</v>
      </c>
      <c r="D299">
        <v>2159</v>
      </c>
      <c r="E299" t="str">
        <f t="shared" si="27"/>
        <v>00</v>
      </c>
      <c r="F299" t="str">
        <f>"082"</f>
        <v>082</v>
      </c>
      <c r="G299">
        <v>9</v>
      </c>
      <c r="H299" t="str">
        <f t="shared" si="28"/>
        <v>00</v>
      </c>
      <c r="I299" t="str">
        <f t="shared" si="29"/>
        <v>0</v>
      </c>
      <c r="J299" t="str">
        <f t="shared" si="30"/>
        <v>00</v>
      </c>
      <c r="K299">
        <v>20181214</v>
      </c>
      <c r="L299" t="str">
        <f t="shared" si="31"/>
        <v>027426</v>
      </c>
      <c r="M299" t="str">
        <f t="shared" si="32"/>
        <v>54196</v>
      </c>
      <c r="N299" t="s">
        <v>50</v>
      </c>
      <c r="O299">
        <v>300</v>
      </c>
      <c r="P299">
        <v>20181214</v>
      </c>
      <c r="Q299" t="s">
        <v>121</v>
      </c>
      <c r="R299" t="s">
        <v>190</v>
      </c>
      <c r="S299" t="s">
        <v>23</v>
      </c>
      <c r="T299" t="s">
        <v>122</v>
      </c>
    </row>
    <row r="300" spans="1:20" x14ac:dyDescent="0.25">
      <c r="A300">
        <v>9</v>
      </c>
      <c r="B300">
        <v>163</v>
      </c>
      <c r="C300" t="str">
        <f t="shared" si="26"/>
        <v>00</v>
      </c>
      <c r="D300">
        <v>2159</v>
      </c>
      <c r="E300" t="str">
        <f t="shared" si="27"/>
        <v>00</v>
      </c>
      <c r="F300" t="str">
        <f>"091"</f>
        <v>091</v>
      </c>
      <c r="G300">
        <v>9</v>
      </c>
      <c r="H300" t="str">
        <f t="shared" si="28"/>
        <v>00</v>
      </c>
      <c r="I300" t="str">
        <f t="shared" si="29"/>
        <v>0</v>
      </c>
      <c r="J300" t="str">
        <f t="shared" si="30"/>
        <v>00</v>
      </c>
      <c r="K300">
        <v>20181214</v>
      </c>
      <c r="L300" t="str">
        <f t="shared" si="31"/>
        <v>027426</v>
      </c>
      <c r="M300" t="str">
        <f t="shared" si="32"/>
        <v>54196</v>
      </c>
      <c r="N300" t="s">
        <v>50</v>
      </c>
      <c r="O300">
        <v>100</v>
      </c>
      <c r="P300">
        <v>20181214</v>
      </c>
      <c r="Q300" t="s">
        <v>123</v>
      </c>
      <c r="R300" t="s">
        <v>190</v>
      </c>
      <c r="S300" t="s">
        <v>23</v>
      </c>
      <c r="T300" t="s">
        <v>124</v>
      </c>
    </row>
    <row r="301" spans="1:20" x14ac:dyDescent="0.25">
      <c r="A301">
        <v>9</v>
      </c>
      <c r="B301">
        <v>163</v>
      </c>
      <c r="C301" t="str">
        <f t="shared" si="26"/>
        <v>00</v>
      </c>
      <c r="D301">
        <v>2159</v>
      </c>
      <c r="E301" t="str">
        <f t="shared" si="27"/>
        <v>00</v>
      </c>
      <c r="F301" t="str">
        <f>"122"</f>
        <v>122</v>
      </c>
      <c r="G301">
        <v>9</v>
      </c>
      <c r="H301" t="str">
        <f t="shared" si="28"/>
        <v>00</v>
      </c>
      <c r="I301" t="str">
        <f t="shared" si="29"/>
        <v>0</v>
      </c>
      <c r="J301" t="str">
        <f t="shared" si="30"/>
        <v>00</v>
      </c>
      <c r="K301">
        <v>20181214</v>
      </c>
      <c r="L301" t="str">
        <f t="shared" si="31"/>
        <v>027426</v>
      </c>
      <c r="M301" t="str">
        <f t="shared" si="32"/>
        <v>54196</v>
      </c>
      <c r="N301" t="s">
        <v>50</v>
      </c>
      <c r="O301">
        <v>100</v>
      </c>
      <c r="P301">
        <v>20181214</v>
      </c>
      <c r="Q301" t="s">
        <v>125</v>
      </c>
      <c r="R301" t="s">
        <v>191</v>
      </c>
      <c r="S301" t="s">
        <v>23</v>
      </c>
      <c r="T301" t="s">
        <v>127</v>
      </c>
    </row>
    <row r="302" spans="1:20" x14ac:dyDescent="0.25">
      <c r="A302">
        <v>9</v>
      </c>
      <c r="B302">
        <v>163</v>
      </c>
      <c r="C302" t="str">
        <f t="shared" si="26"/>
        <v>00</v>
      </c>
      <c r="D302">
        <v>2159</v>
      </c>
      <c r="E302" t="str">
        <f t="shared" si="27"/>
        <v>00</v>
      </c>
      <c r="F302" t="str">
        <f>"130"</f>
        <v>130</v>
      </c>
      <c r="G302">
        <v>9</v>
      </c>
      <c r="H302" t="str">
        <f t="shared" si="28"/>
        <v>00</v>
      </c>
      <c r="I302" t="str">
        <f t="shared" si="29"/>
        <v>0</v>
      </c>
      <c r="J302" t="str">
        <f t="shared" si="30"/>
        <v>00</v>
      </c>
      <c r="K302">
        <v>20181214</v>
      </c>
      <c r="L302" t="str">
        <f t="shared" si="31"/>
        <v>027426</v>
      </c>
      <c r="M302" t="str">
        <f t="shared" si="32"/>
        <v>54196</v>
      </c>
      <c r="N302" t="s">
        <v>50</v>
      </c>
      <c r="O302" s="1">
        <v>7933</v>
      </c>
      <c r="P302">
        <v>20181214</v>
      </c>
      <c r="Q302" t="s">
        <v>128</v>
      </c>
      <c r="R302" t="s">
        <v>192</v>
      </c>
      <c r="S302" t="s">
        <v>23</v>
      </c>
      <c r="T302" t="s">
        <v>112</v>
      </c>
    </row>
    <row r="303" spans="1:20" x14ac:dyDescent="0.25">
      <c r="A303">
        <v>9</v>
      </c>
      <c r="B303">
        <v>163</v>
      </c>
      <c r="C303" t="str">
        <f t="shared" si="26"/>
        <v>00</v>
      </c>
      <c r="D303">
        <v>2159</v>
      </c>
      <c r="E303" t="str">
        <f t="shared" si="27"/>
        <v>00</v>
      </c>
      <c r="F303" t="str">
        <f>"131"</f>
        <v>131</v>
      </c>
      <c r="G303">
        <v>9</v>
      </c>
      <c r="H303" t="str">
        <f t="shared" si="28"/>
        <v>00</v>
      </c>
      <c r="I303" t="str">
        <f t="shared" si="29"/>
        <v>0</v>
      </c>
      <c r="J303" t="str">
        <f t="shared" si="30"/>
        <v>00</v>
      </c>
      <c r="K303">
        <v>20181214</v>
      </c>
      <c r="L303" t="str">
        <f t="shared" si="31"/>
        <v>027426</v>
      </c>
      <c r="M303" t="str">
        <f t="shared" si="32"/>
        <v>54196</v>
      </c>
      <c r="N303" t="s">
        <v>50</v>
      </c>
      <c r="O303" s="1">
        <v>1825</v>
      </c>
      <c r="P303">
        <v>20181214</v>
      </c>
      <c r="Q303" t="s">
        <v>51</v>
      </c>
      <c r="R303" t="s">
        <v>190</v>
      </c>
      <c r="S303" t="s">
        <v>23</v>
      </c>
      <c r="T303" t="s">
        <v>53</v>
      </c>
    </row>
    <row r="304" spans="1:20" x14ac:dyDescent="0.25">
      <c r="A304">
        <v>9</v>
      </c>
      <c r="B304">
        <v>163</v>
      </c>
      <c r="C304" t="str">
        <f t="shared" si="26"/>
        <v>00</v>
      </c>
      <c r="D304">
        <v>2159</v>
      </c>
      <c r="E304" t="str">
        <f t="shared" si="27"/>
        <v>00</v>
      </c>
      <c r="F304" t="str">
        <f>"136"</f>
        <v>136</v>
      </c>
      <c r="G304">
        <v>9</v>
      </c>
      <c r="H304" t="str">
        <f t="shared" si="28"/>
        <v>00</v>
      </c>
      <c r="I304" t="str">
        <f t="shared" si="29"/>
        <v>0</v>
      </c>
      <c r="J304" t="str">
        <f t="shared" si="30"/>
        <v>00</v>
      </c>
      <c r="K304">
        <v>20181214</v>
      </c>
      <c r="L304" t="str">
        <f t="shared" si="31"/>
        <v>027426</v>
      </c>
      <c r="M304" t="str">
        <f t="shared" si="32"/>
        <v>54196</v>
      </c>
      <c r="N304" t="s">
        <v>50</v>
      </c>
      <c r="O304" s="1">
        <v>1775</v>
      </c>
      <c r="P304">
        <v>20181214</v>
      </c>
      <c r="Q304" t="s">
        <v>130</v>
      </c>
      <c r="R304" t="s">
        <v>193</v>
      </c>
      <c r="S304" t="s">
        <v>23</v>
      </c>
      <c r="T304" t="s">
        <v>132</v>
      </c>
    </row>
    <row r="305" spans="1:20" x14ac:dyDescent="0.25">
      <c r="A305">
        <v>9</v>
      </c>
      <c r="B305">
        <v>163</v>
      </c>
      <c r="C305" t="str">
        <f t="shared" si="26"/>
        <v>00</v>
      </c>
      <c r="D305">
        <v>2159</v>
      </c>
      <c r="E305" t="str">
        <f t="shared" si="27"/>
        <v>00</v>
      </c>
      <c r="F305" t="str">
        <f>"137"</f>
        <v>137</v>
      </c>
      <c r="G305">
        <v>9</v>
      </c>
      <c r="H305" t="str">
        <f t="shared" si="28"/>
        <v>00</v>
      </c>
      <c r="I305" t="str">
        <f t="shared" si="29"/>
        <v>0</v>
      </c>
      <c r="J305" t="str">
        <f t="shared" si="30"/>
        <v>00</v>
      </c>
      <c r="K305">
        <v>20181214</v>
      </c>
      <c r="L305" t="str">
        <f t="shared" si="31"/>
        <v>027426</v>
      </c>
      <c r="M305" t="str">
        <f t="shared" si="32"/>
        <v>54196</v>
      </c>
      <c r="N305" t="s">
        <v>50</v>
      </c>
      <c r="O305" s="1">
        <v>2680</v>
      </c>
      <c r="P305">
        <v>20181214</v>
      </c>
      <c r="Q305" t="s">
        <v>133</v>
      </c>
      <c r="R305" t="s">
        <v>192</v>
      </c>
      <c r="S305" t="s">
        <v>23</v>
      </c>
      <c r="T305" t="s">
        <v>134</v>
      </c>
    </row>
    <row r="306" spans="1:20" x14ac:dyDescent="0.25">
      <c r="A306">
        <v>9</v>
      </c>
      <c r="B306">
        <v>163</v>
      </c>
      <c r="C306" t="str">
        <f t="shared" si="26"/>
        <v>00</v>
      </c>
      <c r="D306">
        <v>2159</v>
      </c>
      <c r="E306" t="str">
        <f t="shared" si="27"/>
        <v>00</v>
      </c>
      <c r="F306" t="str">
        <f>"138"</f>
        <v>138</v>
      </c>
      <c r="G306">
        <v>9</v>
      </c>
      <c r="H306" t="str">
        <f t="shared" si="28"/>
        <v>00</v>
      </c>
      <c r="I306" t="str">
        <f t="shared" si="29"/>
        <v>0</v>
      </c>
      <c r="J306" t="str">
        <f t="shared" si="30"/>
        <v>00</v>
      </c>
      <c r="K306">
        <v>20181214</v>
      </c>
      <c r="L306" t="str">
        <f t="shared" si="31"/>
        <v>027426</v>
      </c>
      <c r="M306" t="str">
        <f t="shared" si="32"/>
        <v>54196</v>
      </c>
      <c r="N306" t="s">
        <v>50</v>
      </c>
      <c r="O306">
        <v>300</v>
      </c>
      <c r="P306">
        <v>20181214</v>
      </c>
      <c r="Q306" t="s">
        <v>135</v>
      </c>
      <c r="R306" t="s">
        <v>193</v>
      </c>
      <c r="S306" t="s">
        <v>23</v>
      </c>
      <c r="T306" t="s">
        <v>134</v>
      </c>
    </row>
    <row r="307" spans="1:20" x14ac:dyDescent="0.25">
      <c r="A307">
        <v>9</v>
      </c>
      <c r="B307">
        <v>163</v>
      </c>
      <c r="C307" t="str">
        <f t="shared" si="26"/>
        <v>00</v>
      </c>
      <c r="D307">
        <v>2159</v>
      </c>
      <c r="E307" t="str">
        <f t="shared" si="27"/>
        <v>00</v>
      </c>
      <c r="F307" t="str">
        <f>"150"</f>
        <v>150</v>
      </c>
      <c r="G307">
        <v>9</v>
      </c>
      <c r="H307" t="str">
        <f t="shared" si="28"/>
        <v>00</v>
      </c>
      <c r="I307" t="str">
        <f t="shared" si="29"/>
        <v>0</v>
      </c>
      <c r="J307" t="str">
        <f t="shared" si="30"/>
        <v>00</v>
      </c>
      <c r="K307">
        <v>20181214</v>
      </c>
      <c r="L307" t="str">
        <f t="shared" si="31"/>
        <v>027426</v>
      </c>
      <c r="M307" t="str">
        <f t="shared" si="32"/>
        <v>54196</v>
      </c>
      <c r="N307" t="s">
        <v>50</v>
      </c>
      <c r="O307">
        <v>200</v>
      </c>
      <c r="P307">
        <v>20181214</v>
      </c>
      <c r="Q307" t="s">
        <v>136</v>
      </c>
      <c r="R307" t="s">
        <v>190</v>
      </c>
      <c r="S307" t="s">
        <v>23</v>
      </c>
      <c r="T307" t="s">
        <v>137</v>
      </c>
    </row>
    <row r="308" spans="1:20" x14ac:dyDescent="0.25">
      <c r="A308">
        <v>9</v>
      </c>
      <c r="B308">
        <v>163</v>
      </c>
      <c r="C308" t="str">
        <f t="shared" si="26"/>
        <v>00</v>
      </c>
      <c r="D308">
        <v>2159</v>
      </c>
      <c r="E308" t="str">
        <f t="shared" si="27"/>
        <v>00</v>
      </c>
      <c r="F308" t="str">
        <f>"111"</f>
        <v>111</v>
      </c>
      <c r="G308">
        <v>9</v>
      </c>
      <c r="H308" t="str">
        <f t="shared" si="28"/>
        <v>00</v>
      </c>
      <c r="I308" t="str">
        <f t="shared" si="29"/>
        <v>0</v>
      </c>
      <c r="J308" t="str">
        <f t="shared" si="30"/>
        <v>00</v>
      </c>
      <c r="K308">
        <v>20181214</v>
      </c>
      <c r="L308" t="str">
        <f>"027427"</f>
        <v>027427</v>
      </c>
      <c r="M308" t="str">
        <f>"72601"</f>
        <v>72601</v>
      </c>
      <c r="N308" t="s">
        <v>54</v>
      </c>
      <c r="O308" s="1">
        <v>9208</v>
      </c>
      <c r="P308">
        <v>20181214</v>
      </c>
      <c r="Q308" t="s">
        <v>55</v>
      </c>
      <c r="R308" t="s">
        <v>189</v>
      </c>
      <c r="S308" t="s">
        <v>23</v>
      </c>
      <c r="T308" t="s">
        <v>56</v>
      </c>
    </row>
    <row r="309" spans="1:20" x14ac:dyDescent="0.25">
      <c r="A309">
        <v>9</v>
      </c>
      <c r="B309">
        <v>163</v>
      </c>
      <c r="C309" t="str">
        <f t="shared" si="26"/>
        <v>00</v>
      </c>
      <c r="D309">
        <v>2153</v>
      </c>
      <c r="E309" t="str">
        <f t="shared" si="27"/>
        <v>00</v>
      </c>
      <c r="F309" t="str">
        <f>"006"</f>
        <v>006</v>
      </c>
      <c r="G309">
        <v>9</v>
      </c>
      <c r="H309" t="str">
        <f t="shared" si="28"/>
        <v>00</v>
      </c>
      <c r="I309" t="str">
        <f t="shared" si="29"/>
        <v>0</v>
      </c>
      <c r="J309" t="str">
        <f t="shared" si="30"/>
        <v>00</v>
      </c>
      <c r="K309">
        <v>20181214</v>
      </c>
      <c r="L309" t="str">
        <f>"027428"</f>
        <v>027428</v>
      </c>
      <c r="M309" t="str">
        <f>"75452"</f>
        <v>75452</v>
      </c>
      <c r="N309" t="s">
        <v>57</v>
      </c>
      <c r="O309" s="1">
        <v>9106.61</v>
      </c>
      <c r="P309">
        <v>20181214</v>
      </c>
      <c r="Q309" t="s">
        <v>58</v>
      </c>
      <c r="R309" t="s">
        <v>188</v>
      </c>
      <c r="S309" t="s">
        <v>23</v>
      </c>
      <c r="T309" t="s">
        <v>59</v>
      </c>
    </row>
    <row r="310" spans="1:20" x14ac:dyDescent="0.25">
      <c r="A310">
        <v>9</v>
      </c>
      <c r="B310">
        <v>163</v>
      </c>
      <c r="C310" t="str">
        <f t="shared" si="26"/>
        <v>00</v>
      </c>
      <c r="D310">
        <v>2159</v>
      </c>
      <c r="E310" t="str">
        <f t="shared" si="27"/>
        <v>00</v>
      </c>
      <c r="F310" t="str">
        <f>"099"</f>
        <v>099</v>
      </c>
      <c r="G310">
        <v>9</v>
      </c>
      <c r="H310" t="str">
        <f t="shared" si="28"/>
        <v>00</v>
      </c>
      <c r="I310" t="str">
        <f t="shared" si="29"/>
        <v>0</v>
      </c>
      <c r="J310" t="str">
        <f t="shared" si="30"/>
        <v>00</v>
      </c>
      <c r="K310">
        <v>20181214</v>
      </c>
      <c r="L310" t="str">
        <f>"027428"</f>
        <v>027428</v>
      </c>
      <c r="M310" t="str">
        <f>"75452"</f>
        <v>75452</v>
      </c>
      <c r="N310" t="s">
        <v>57</v>
      </c>
      <c r="O310">
        <v>300</v>
      </c>
      <c r="P310">
        <v>20181214</v>
      </c>
      <c r="Q310" t="s">
        <v>171</v>
      </c>
      <c r="R310" t="s">
        <v>194</v>
      </c>
      <c r="S310" t="s">
        <v>23</v>
      </c>
      <c r="T310" t="s">
        <v>173</v>
      </c>
    </row>
    <row r="311" spans="1:20" x14ac:dyDescent="0.25">
      <c r="A311">
        <v>9</v>
      </c>
      <c r="B311">
        <v>163</v>
      </c>
      <c r="C311" t="str">
        <f t="shared" si="26"/>
        <v>00</v>
      </c>
      <c r="D311">
        <v>2159</v>
      </c>
      <c r="E311" t="str">
        <f t="shared" si="27"/>
        <v>00</v>
      </c>
      <c r="F311" t="str">
        <f>"048"</f>
        <v>048</v>
      </c>
      <c r="G311">
        <v>9</v>
      </c>
      <c r="H311" t="str">
        <f t="shared" si="28"/>
        <v>00</v>
      </c>
      <c r="I311" t="str">
        <f t="shared" si="29"/>
        <v>0</v>
      </c>
      <c r="J311" t="str">
        <f t="shared" si="30"/>
        <v>00</v>
      </c>
      <c r="K311">
        <v>20181214</v>
      </c>
      <c r="L311" t="str">
        <f>"027429"</f>
        <v>027429</v>
      </c>
      <c r="M311" t="str">
        <f>"77030"</f>
        <v>77030</v>
      </c>
      <c r="N311" t="s">
        <v>139</v>
      </c>
      <c r="O311">
        <v>174.7</v>
      </c>
      <c r="P311">
        <v>20181214</v>
      </c>
      <c r="Q311" t="s">
        <v>140</v>
      </c>
      <c r="R311" t="s">
        <v>189</v>
      </c>
      <c r="S311" t="s">
        <v>23</v>
      </c>
      <c r="T311" t="s">
        <v>141</v>
      </c>
    </row>
    <row r="312" spans="1:20" x14ac:dyDescent="0.25">
      <c r="A312">
        <v>9</v>
      </c>
      <c r="B312">
        <v>163</v>
      </c>
      <c r="C312" t="str">
        <f t="shared" si="26"/>
        <v>00</v>
      </c>
      <c r="D312">
        <v>2159</v>
      </c>
      <c r="E312" t="str">
        <f t="shared" si="27"/>
        <v>00</v>
      </c>
      <c r="F312" t="str">
        <f>"005"</f>
        <v>005</v>
      </c>
      <c r="G312">
        <v>9</v>
      </c>
      <c r="H312" t="str">
        <f t="shared" si="28"/>
        <v>00</v>
      </c>
      <c r="I312" t="str">
        <f t="shared" si="29"/>
        <v>0</v>
      </c>
      <c r="J312" t="str">
        <f t="shared" si="30"/>
        <v>00</v>
      </c>
      <c r="K312">
        <v>20181214</v>
      </c>
      <c r="L312" t="str">
        <f>"027430"</f>
        <v>027430</v>
      </c>
      <c r="M312" t="str">
        <f>"79562"</f>
        <v>79562</v>
      </c>
      <c r="N312" t="s">
        <v>142</v>
      </c>
      <c r="O312">
        <v>156.69999999999999</v>
      </c>
      <c r="P312">
        <v>20181214</v>
      </c>
      <c r="Q312" t="s">
        <v>143</v>
      </c>
      <c r="R312" t="s">
        <v>195</v>
      </c>
      <c r="S312" t="s">
        <v>23</v>
      </c>
      <c r="T312" t="s">
        <v>145</v>
      </c>
    </row>
    <row r="313" spans="1:20" x14ac:dyDescent="0.25">
      <c r="A313">
        <v>9</v>
      </c>
      <c r="B313">
        <v>163</v>
      </c>
      <c r="C313" t="str">
        <f t="shared" si="26"/>
        <v>00</v>
      </c>
      <c r="D313">
        <v>2159</v>
      </c>
      <c r="E313" t="str">
        <f t="shared" si="27"/>
        <v>00</v>
      </c>
      <c r="F313" t="str">
        <f>"034"</f>
        <v>034</v>
      </c>
      <c r="G313">
        <v>9</v>
      </c>
      <c r="H313" t="str">
        <f t="shared" si="28"/>
        <v>00</v>
      </c>
      <c r="I313" t="str">
        <f t="shared" si="29"/>
        <v>0</v>
      </c>
      <c r="J313" t="str">
        <f t="shared" si="30"/>
        <v>00</v>
      </c>
      <c r="K313">
        <v>20181214</v>
      </c>
      <c r="L313" t="str">
        <f>"027431"</f>
        <v>027431</v>
      </c>
      <c r="M313" t="str">
        <f>"79762"</f>
        <v>79762</v>
      </c>
      <c r="N313" t="s">
        <v>146</v>
      </c>
      <c r="O313">
        <v>830</v>
      </c>
      <c r="P313">
        <v>20181214</v>
      </c>
      <c r="Q313" t="s">
        <v>147</v>
      </c>
      <c r="R313" t="s">
        <v>189</v>
      </c>
      <c r="S313" t="s">
        <v>23</v>
      </c>
      <c r="T313" t="s">
        <v>148</v>
      </c>
    </row>
    <row r="314" spans="1:20" x14ac:dyDescent="0.25">
      <c r="A314">
        <v>9</v>
      </c>
      <c r="B314">
        <v>163</v>
      </c>
      <c r="C314" t="str">
        <f t="shared" si="26"/>
        <v>00</v>
      </c>
      <c r="D314">
        <v>2159</v>
      </c>
      <c r="E314" t="str">
        <f t="shared" si="27"/>
        <v>00</v>
      </c>
      <c r="F314" t="str">
        <f>"086"</f>
        <v>086</v>
      </c>
      <c r="G314">
        <v>9</v>
      </c>
      <c r="H314" t="str">
        <f t="shared" si="28"/>
        <v>00</v>
      </c>
      <c r="I314" t="str">
        <f t="shared" si="29"/>
        <v>0</v>
      </c>
      <c r="J314" t="str">
        <f t="shared" si="30"/>
        <v>00</v>
      </c>
      <c r="K314">
        <v>20181214</v>
      </c>
      <c r="L314" t="str">
        <f>"027432"</f>
        <v>027432</v>
      </c>
      <c r="M314" t="str">
        <f>"81155"</f>
        <v>81155</v>
      </c>
      <c r="N314" t="s">
        <v>149</v>
      </c>
      <c r="O314">
        <v>215</v>
      </c>
      <c r="P314">
        <v>20181214</v>
      </c>
      <c r="Q314" t="s">
        <v>150</v>
      </c>
      <c r="R314" t="s">
        <v>189</v>
      </c>
      <c r="S314" t="s">
        <v>23</v>
      </c>
      <c r="T314" t="s">
        <v>151</v>
      </c>
    </row>
    <row r="315" spans="1:20" x14ac:dyDescent="0.25">
      <c r="A315">
        <v>9</v>
      </c>
      <c r="B315">
        <v>163</v>
      </c>
      <c r="C315" t="str">
        <f t="shared" si="26"/>
        <v>00</v>
      </c>
      <c r="D315">
        <v>2159</v>
      </c>
      <c r="E315" t="str">
        <f t="shared" si="27"/>
        <v>00</v>
      </c>
      <c r="F315" t="str">
        <f>"106"</f>
        <v>106</v>
      </c>
      <c r="G315">
        <v>9</v>
      </c>
      <c r="H315" t="str">
        <f t="shared" si="28"/>
        <v>00</v>
      </c>
      <c r="I315" t="str">
        <f t="shared" si="29"/>
        <v>0</v>
      </c>
      <c r="J315" t="str">
        <f t="shared" si="30"/>
        <v>00</v>
      </c>
      <c r="K315">
        <v>20181214</v>
      </c>
      <c r="L315" t="str">
        <f>"027433"</f>
        <v>027433</v>
      </c>
      <c r="M315" t="str">
        <f>"81173"</f>
        <v>81173</v>
      </c>
      <c r="N315" t="s">
        <v>60</v>
      </c>
      <c r="O315">
        <v>832.75</v>
      </c>
      <c r="P315">
        <v>20181214</v>
      </c>
      <c r="Q315" t="s">
        <v>61</v>
      </c>
      <c r="R315" t="s">
        <v>189</v>
      </c>
      <c r="S315" t="s">
        <v>23</v>
      </c>
      <c r="T315" t="s">
        <v>62</v>
      </c>
    </row>
    <row r="316" spans="1:20" x14ac:dyDescent="0.25">
      <c r="A316">
        <v>9</v>
      </c>
      <c r="B316">
        <v>163</v>
      </c>
      <c r="C316" t="str">
        <f t="shared" si="26"/>
        <v>00</v>
      </c>
      <c r="D316">
        <v>2159</v>
      </c>
      <c r="E316" t="str">
        <f t="shared" si="27"/>
        <v>00</v>
      </c>
      <c r="F316" t="str">
        <f>"007"</f>
        <v>007</v>
      </c>
      <c r="G316">
        <v>9</v>
      </c>
      <c r="H316" t="str">
        <f t="shared" si="28"/>
        <v>00</v>
      </c>
      <c r="I316" t="str">
        <f t="shared" si="29"/>
        <v>0</v>
      </c>
      <c r="J316" t="str">
        <f t="shared" si="30"/>
        <v>00</v>
      </c>
      <c r="K316">
        <v>20181214</v>
      </c>
      <c r="L316" t="str">
        <f>"027434"</f>
        <v>027434</v>
      </c>
      <c r="M316" t="str">
        <f>"81174"</f>
        <v>81174</v>
      </c>
      <c r="N316" t="s">
        <v>63</v>
      </c>
      <c r="O316" s="1">
        <v>1733.15</v>
      </c>
      <c r="P316">
        <v>20181214</v>
      </c>
      <c r="Q316" t="s">
        <v>64</v>
      </c>
      <c r="R316" t="s">
        <v>189</v>
      </c>
      <c r="S316" t="s">
        <v>23</v>
      </c>
      <c r="T316" t="s">
        <v>65</v>
      </c>
    </row>
    <row r="317" spans="1:20" x14ac:dyDescent="0.25">
      <c r="A317">
        <v>9</v>
      </c>
      <c r="B317">
        <v>163</v>
      </c>
      <c r="C317" t="str">
        <f t="shared" si="26"/>
        <v>00</v>
      </c>
      <c r="D317">
        <v>2159</v>
      </c>
      <c r="E317" t="str">
        <f t="shared" si="27"/>
        <v>00</v>
      </c>
      <c r="F317" t="str">
        <f>"100"</f>
        <v>100</v>
      </c>
      <c r="G317">
        <v>9</v>
      </c>
      <c r="H317" t="str">
        <f t="shared" si="28"/>
        <v>00</v>
      </c>
      <c r="I317" t="str">
        <f t="shared" si="29"/>
        <v>0</v>
      </c>
      <c r="J317" t="str">
        <f t="shared" si="30"/>
        <v>00</v>
      </c>
      <c r="K317">
        <v>20181214</v>
      </c>
      <c r="L317" t="str">
        <f>"027435"</f>
        <v>027435</v>
      </c>
      <c r="M317" t="str">
        <f>"81177"</f>
        <v>81177</v>
      </c>
      <c r="N317" t="s">
        <v>66</v>
      </c>
      <c r="O317">
        <v>16</v>
      </c>
      <c r="P317">
        <v>20181214</v>
      </c>
      <c r="Q317" t="s">
        <v>67</v>
      </c>
      <c r="R317" t="s">
        <v>189</v>
      </c>
      <c r="S317" t="s">
        <v>23</v>
      </c>
      <c r="T317" t="s">
        <v>68</v>
      </c>
    </row>
    <row r="318" spans="1:20" x14ac:dyDescent="0.25">
      <c r="A318">
        <v>9</v>
      </c>
      <c r="B318">
        <v>163</v>
      </c>
      <c r="C318" t="str">
        <f t="shared" si="26"/>
        <v>00</v>
      </c>
      <c r="D318">
        <v>2159</v>
      </c>
      <c r="E318" t="str">
        <f t="shared" si="27"/>
        <v>00</v>
      </c>
      <c r="F318" t="str">
        <f>"123"</f>
        <v>123</v>
      </c>
      <c r="G318">
        <v>9</v>
      </c>
      <c r="H318" t="str">
        <f t="shared" si="28"/>
        <v>00</v>
      </c>
      <c r="I318" t="str">
        <f t="shared" si="29"/>
        <v>0</v>
      </c>
      <c r="J318" t="str">
        <f t="shared" si="30"/>
        <v>00</v>
      </c>
      <c r="K318">
        <v>20181214</v>
      </c>
      <c r="L318" t="str">
        <f>"027436"</f>
        <v>027436</v>
      </c>
      <c r="M318" t="str">
        <f>"81753"</f>
        <v>81753</v>
      </c>
      <c r="N318" t="s">
        <v>154</v>
      </c>
      <c r="O318" s="1">
        <v>1367.05</v>
      </c>
      <c r="P318">
        <v>20181214</v>
      </c>
      <c r="Q318" t="s">
        <v>155</v>
      </c>
      <c r="R318" t="s">
        <v>189</v>
      </c>
      <c r="S318" t="s">
        <v>23</v>
      </c>
      <c r="T318" t="s">
        <v>154</v>
      </c>
    </row>
    <row r="319" spans="1:20" x14ac:dyDescent="0.25">
      <c r="A319">
        <v>9</v>
      </c>
      <c r="B319">
        <v>163</v>
      </c>
      <c r="C319" t="str">
        <f t="shared" si="26"/>
        <v>00</v>
      </c>
      <c r="D319">
        <v>2153</v>
      </c>
      <c r="E319" t="str">
        <f t="shared" si="27"/>
        <v>00</v>
      </c>
      <c r="F319" t="str">
        <f>"141"</f>
        <v>141</v>
      </c>
      <c r="G319">
        <v>9</v>
      </c>
      <c r="H319" t="str">
        <f t="shared" si="28"/>
        <v>00</v>
      </c>
      <c r="I319" t="str">
        <f t="shared" si="29"/>
        <v>0</v>
      </c>
      <c r="J319" t="str">
        <f t="shared" si="30"/>
        <v>00</v>
      </c>
      <c r="K319">
        <v>20181228</v>
      </c>
      <c r="L319" t="str">
        <f>"027450"</f>
        <v>027450</v>
      </c>
      <c r="M319" t="str">
        <f>"00068"</f>
        <v>00068</v>
      </c>
      <c r="N319" t="s">
        <v>20</v>
      </c>
      <c r="O319">
        <v>444.17</v>
      </c>
      <c r="P319">
        <v>20181228</v>
      </c>
      <c r="Q319" t="s">
        <v>21</v>
      </c>
      <c r="R319" t="s">
        <v>187</v>
      </c>
      <c r="S319" t="s">
        <v>23</v>
      </c>
      <c r="T319" t="s">
        <v>24</v>
      </c>
    </row>
    <row r="320" spans="1:20" x14ac:dyDescent="0.25">
      <c r="A320">
        <v>9</v>
      </c>
      <c r="B320">
        <v>163</v>
      </c>
      <c r="C320" t="str">
        <f t="shared" si="26"/>
        <v>00</v>
      </c>
      <c r="D320">
        <v>2153</v>
      </c>
      <c r="E320" t="str">
        <f t="shared" si="27"/>
        <v>00</v>
      </c>
      <c r="F320" t="str">
        <f>"142"</f>
        <v>142</v>
      </c>
      <c r="G320">
        <v>9</v>
      </c>
      <c r="H320" t="str">
        <f t="shared" si="28"/>
        <v>00</v>
      </c>
      <c r="I320" t="str">
        <f t="shared" si="29"/>
        <v>0</v>
      </c>
      <c r="J320" t="str">
        <f t="shared" si="30"/>
        <v>00</v>
      </c>
      <c r="K320">
        <v>20181228</v>
      </c>
      <c r="L320" t="str">
        <f>"027450"</f>
        <v>027450</v>
      </c>
      <c r="M320" t="str">
        <f>"00068"</f>
        <v>00068</v>
      </c>
      <c r="N320" t="s">
        <v>20</v>
      </c>
      <c r="O320">
        <v>341.54</v>
      </c>
      <c r="P320">
        <v>20181228</v>
      </c>
      <c r="Q320" t="s">
        <v>25</v>
      </c>
      <c r="R320" t="s">
        <v>188</v>
      </c>
      <c r="S320" t="s">
        <v>23</v>
      </c>
      <c r="T320" t="s">
        <v>27</v>
      </c>
    </row>
    <row r="321" spans="1:20" x14ac:dyDescent="0.25">
      <c r="A321">
        <v>9</v>
      </c>
      <c r="B321">
        <v>163</v>
      </c>
      <c r="C321" t="str">
        <f t="shared" si="26"/>
        <v>00</v>
      </c>
      <c r="D321">
        <v>2159</v>
      </c>
      <c r="E321" t="str">
        <f t="shared" si="27"/>
        <v>00</v>
      </c>
      <c r="F321" t="str">
        <f>"148"</f>
        <v>148</v>
      </c>
      <c r="G321">
        <v>9</v>
      </c>
      <c r="H321" t="str">
        <f t="shared" si="28"/>
        <v>00</v>
      </c>
      <c r="I321" t="str">
        <f t="shared" si="29"/>
        <v>0</v>
      </c>
      <c r="J321" t="str">
        <f t="shared" si="30"/>
        <v>00</v>
      </c>
      <c r="K321">
        <v>20181228</v>
      </c>
      <c r="L321" t="str">
        <f>"027451"</f>
        <v>027451</v>
      </c>
      <c r="M321" t="str">
        <f>"00528"</f>
        <v>00528</v>
      </c>
      <c r="N321" t="s">
        <v>159</v>
      </c>
      <c r="O321">
        <v>26.25</v>
      </c>
      <c r="P321">
        <v>20181228</v>
      </c>
      <c r="Q321" t="s">
        <v>160</v>
      </c>
      <c r="R321" t="s">
        <v>189</v>
      </c>
      <c r="S321" t="s">
        <v>23</v>
      </c>
      <c r="T321" t="s">
        <v>162</v>
      </c>
    </row>
    <row r="322" spans="1:20" x14ac:dyDescent="0.25">
      <c r="A322">
        <v>9</v>
      </c>
      <c r="B322">
        <v>163</v>
      </c>
      <c r="C322" t="str">
        <f t="shared" ref="C322:C385" si="33">"00"</f>
        <v>00</v>
      </c>
      <c r="D322">
        <v>2153</v>
      </c>
      <c r="E322" t="str">
        <f t="shared" ref="E322:E385" si="34">"00"</f>
        <v>00</v>
      </c>
      <c r="F322" t="str">
        <f>"022"</f>
        <v>022</v>
      </c>
      <c r="G322">
        <v>9</v>
      </c>
      <c r="H322" t="str">
        <f t="shared" ref="H322:H385" si="35">"00"</f>
        <v>00</v>
      </c>
      <c r="I322" t="str">
        <f t="shared" ref="I322:I385" si="36">"0"</f>
        <v>0</v>
      </c>
      <c r="J322" t="str">
        <f t="shared" ref="J322:J385" si="37">"00"</f>
        <v>00</v>
      </c>
      <c r="K322">
        <v>20181228</v>
      </c>
      <c r="L322" t="str">
        <f>"027452"</f>
        <v>027452</v>
      </c>
      <c r="M322" t="str">
        <f>"04831"</f>
        <v>04831</v>
      </c>
      <c r="N322" t="s">
        <v>28</v>
      </c>
      <c r="O322">
        <v>16.77</v>
      </c>
      <c r="P322">
        <v>20181228</v>
      </c>
      <c r="Q322" t="s">
        <v>29</v>
      </c>
      <c r="R322" t="s">
        <v>188</v>
      </c>
      <c r="S322" t="s">
        <v>23</v>
      </c>
      <c r="T322" t="s">
        <v>30</v>
      </c>
    </row>
    <row r="323" spans="1:20" x14ac:dyDescent="0.25">
      <c r="A323">
        <v>9</v>
      </c>
      <c r="B323">
        <v>163</v>
      </c>
      <c r="C323" t="str">
        <f t="shared" si="33"/>
        <v>00</v>
      </c>
      <c r="D323">
        <v>2159</v>
      </c>
      <c r="E323" t="str">
        <f t="shared" si="34"/>
        <v>00</v>
      </c>
      <c r="F323" t="str">
        <f>"018"</f>
        <v>018</v>
      </c>
      <c r="G323">
        <v>9</v>
      </c>
      <c r="H323" t="str">
        <f t="shared" si="35"/>
        <v>00</v>
      </c>
      <c r="I323" t="str">
        <f t="shared" si="36"/>
        <v>0</v>
      </c>
      <c r="J323" t="str">
        <f t="shared" si="37"/>
        <v>00</v>
      </c>
      <c r="K323">
        <v>20181228</v>
      </c>
      <c r="L323" t="str">
        <f>"027453"</f>
        <v>027453</v>
      </c>
      <c r="M323" t="str">
        <f>"04905"</f>
        <v>04905</v>
      </c>
      <c r="N323" t="s">
        <v>31</v>
      </c>
      <c r="O323">
        <v>73.48</v>
      </c>
      <c r="P323">
        <v>20181228</v>
      </c>
      <c r="Q323" t="s">
        <v>32</v>
      </c>
      <c r="R323" t="s">
        <v>189</v>
      </c>
      <c r="S323" t="s">
        <v>23</v>
      </c>
      <c r="T323" t="s">
        <v>34</v>
      </c>
    </row>
    <row r="324" spans="1:20" x14ac:dyDescent="0.25">
      <c r="A324">
        <v>9</v>
      </c>
      <c r="B324">
        <v>163</v>
      </c>
      <c r="C324" t="str">
        <f t="shared" si="33"/>
        <v>00</v>
      </c>
      <c r="D324">
        <v>2153</v>
      </c>
      <c r="E324" t="str">
        <f t="shared" si="34"/>
        <v>00</v>
      </c>
      <c r="F324" t="str">
        <f>"053"</f>
        <v>053</v>
      </c>
      <c r="G324">
        <v>9</v>
      </c>
      <c r="H324" t="str">
        <f t="shared" si="35"/>
        <v>00</v>
      </c>
      <c r="I324" t="str">
        <f t="shared" si="36"/>
        <v>0</v>
      </c>
      <c r="J324" t="str">
        <f t="shared" si="37"/>
        <v>00</v>
      </c>
      <c r="K324">
        <v>20181228</v>
      </c>
      <c r="L324" t="str">
        <f>"027454"</f>
        <v>027454</v>
      </c>
      <c r="M324" t="str">
        <f>"04987"</f>
        <v>04987</v>
      </c>
      <c r="N324" t="s">
        <v>35</v>
      </c>
      <c r="O324">
        <v>20.64</v>
      </c>
      <c r="P324">
        <v>20181228</v>
      </c>
      <c r="Q324" t="s">
        <v>36</v>
      </c>
      <c r="R324" t="s">
        <v>188</v>
      </c>
      <c r="S324" t="s">
        <v>23</v>
      </c>
      <c r="T324" t="s">
        <v>37</v>
      </c>
    </row>
    <row r="325" spans="1:20" x14ac:dyDescent="0.25">
      <c r="A325">
        <v>9</v>
      </c>
      <c r="B325">
        <v>163</v>
      </c>
      <c r="C325" t="str">
        <f t="shared" si="33"/>
        <v>00</v>
      </c>
      <c r="D325">
        <v>2159</v>
      </c>
      <c r="E325" t="str">
        <f t="shared" si="34"/>
        <v>00</v>
      </c>
      <c r="F325" t="str">
        <f>"068"</f>
        <v>068</v>
      </c>
      <c r="G325">
        <v>9</v>
      </c>
      <c r="H325" t="str">
        <f t="shared" si="35"/>
        <v>00</v>
      </c>
      <c r="I325" t="str">
        <f t="shared" si="36"/>
        <v>0</v>
      </c>
      <c r="J325" t="str">
        <f t="shared" si="37"/>
        <v>00</v>
      </c>
      <c r="K325">
        <v>20181228</v>
      </c>
      <c r="L325" t="str">
        <f>"027455"</f>
        <v>027455</v>
      </c>
      <c r="M325" t="str">
        <f>"10095"</f>
        <v>10095</v>
      </c>
      <c r="N325" t="s">
        <v>83</v>
      </c>
      <c r="O325">
        <v>14.59</v>
      </c>
      <c r="P325">
        <v>20181228</v>
      </c>
      <c r="Q325" t="s">
        <v>84</v>
      </c>
      <c r="R325" t="s">
        <v>189</v>
      </c>
      <c r="S325" t="s">
        <v>23</v>
      </c>
      <c r="T325" t="s">
        <v>85</v>
      </c>
    </row>
    <row r="326" spans="1:20" x14ac:dyDescent="0.25">
      <c r="A326">
        <v>9</v>
      </c>
      <c r="B326">
        <v>163</v>
      </c>
      <c r="C326" t="str">
        <f t="shared" si="33"/>
        <v>00</v>
      </c>
      <c r="D326">
        <v>2153</v>
      </c>
      <c r="E326" t="str">
        <f t="shared" si="34"/>
        <v>00</v>
      </c>
      <c r="F326" t="str">
        <f>"011"</f>
        <v>011</v>
      </c>
      <c r="G326">
        <v>9</v>
      </c>
      <c r="H326" t="str">
        <f t="shared" si="35"/>
        <v>00</v>
      </c>
      <c r="I326" t="str">
        <f t="shared" si="36"/>
        <v>0</v>
      </c>
      <c r="J326" t="str">
        <f t="shared" si="37"/>
        <v>00</v>
      </c>
      <c r="K326">
        <v>20181228</v>
      </c>
      <c r="L326" t="str">
        <f>"027456"</f>
        <v>027456</v>
      </c>
      <c r="M326" t="str">
        <f>"11211"</f>
        <v>11211</v>
      </c>
      <c r="N326" t="s">
        <v>41</v>
      </c>
      <c r="O326">
        <v>180.52</v>
      </c>
      <c r="P326">
        <v>20181228</v>
      </c>
      <c r="Q326" t="s">
        <v>42</v>
      </c>
      <c r="R326" t="s">
        <v>188</v>
      </c>
      <c r="S326" t="s">
        <v>23</v>
      </c>
      <c r="T326" t="s">
        <v>43</v>
      </c>
    </row>
    <row r="327" spans="1:20" x14ac:dyDescent="0.25">
      <c r="A327">
        <v>9</v>
      </c>
      <c r="B327">
        <v>163</v>
      </c>
      <c r="C327" t="str">
        <f t="shared" si="33"/>
        <v>00</v>
      </c>
      <c r="D327">
        <v>2159</v>
      </c>
      <c r="E327" t="str">
        <f t="shared" si="34"/>
        <v>00</v>
      </c>
      <c r="F327" t="str">
        <f>"104"</f>
        <v>104</v>
      </c>
      <c r="G327">
        <v>9</v>
      </c>
      <c r="H327" t="str">
        <f t="shared" si="35"/>
        <v>00</v>
      </c>
      <c r="I327" t="str">
        <f t="shared" si="36"/>
        <v>0</v>
      </c>
      <c r="J327" t="str">
        <f t="shared" si="37"/>
        <v>00</v>
      </c>
      <c r="K327">
        <v>20181228</v>
      </c>
      <c r="L327" t="str">
        <f>"027457"</f>
        <v>027457</v>
      </c>
      <c r="M327" t="str">
        <f>"14177"</f>
        <v>14177</v>
      </c>
      <c r="N327" t="s">
        <v>163</v>
      </c>
      <c r="O327">
        <v>29.5</v>
      </c>
      <c r="P327">
        <v>20181228</v>
      </c>
      <c r="Q327" t="s">
        <v>45</v>
      </c>
      <c r="R327" t="s">
        <v>189</v>
      </c>
      <c r="S327" t="s">
        <v>23</v>
      </c>
      <c r="T327" t="s">
        <v>46</v>
      </c>
    </row>
    <row r="328" spans="1:20" x14ac:dyDescent="0.25">
      <c r="A328">
        <v>9</v>
      </c>
      <c r="B328">
        <v>163</v>
      </c>
      <c r="C328" t="str">
        <f t="shared" si="33"/>
        <v>00</v>
      </c>
      <c r="D328">
        <v>2153</v>
      </c>
      <c r="E328" t="str">
        <f t="shared" si="34"/>
        <v>00</v>
      </c>
      <c r="F328" t="str">
        <f>"110"</f>
        <v>110</v>
      </c>
      <c r="G328">
        <v>9</v>
      </c>
      <c r="H328" t="str">
        <f t="shared" si="35"/>
        <v>00</v>
      </c>
      <c r="I328" t="str">
        <f t="shared" si="36"/>
        <v>0</v>
      </c>
      <c r="J328" t="str">
        <f t="shared" si="37"/>
        <v>00</v>
      </c>
      <c r="K328">
        <v>20181228</v>
      </c>
      <c r="L328" t="str">
        <f>"027458"</f>
        <v>027458</v>
      </c>
      <c r="M328" t="str">
        <f>"48947"</f>
        <v>48947</v>
      </c>
      <c r="N328" t="s">
        <v>47</v>
      </c>
      <c r="O328">
        <v>34.81</v>
      </c>
      <c r="P328">
        <v>20181228</v>
      </c>
      <c r="Q328" t="s">
        <v>48</v>
      </c>
      <c r="R328" t="s">
        <v>187</v>
      </c>
      <c r="S328" t="s">
        <v>23</v>
      </c>
      <c r="T328" t="s">
        <v>49</v>
      </c>
    </row>
    <row r="329" spans="1:20" x14ac:dyDescent="0.25">
      <c r="A329">
        <v>9</v>
      </c>
      <c r="B329">
        <v>163</v>
      </c>
      <c r="C329" t="str">
        <f t="shared" si="33"/>
        <v>00</v>
      </c>
      <c r="D329">
        <v>2159</v>
      </c>
      <c r="E329" t="str">
        <f t="shared" si="34"/>
        <v>00</v>
      </c>
      <c r="F329" t="str">
        <f>"131"</f>
        <v>131</v>
      </c>
      <c r="G329">
        <v>9</v>
      </c>
      <c r="H329" t="str">
        <f t="shared" si="35"/>
        <v>00</v>
      </c>
      <c r="I329" t="str">
        <f t="shared" si="36"/>
        <v>0</v>
      </c>
      <c r="J329" t="str">
        <f t="shared" si="37"/>
        <v>00</v>
      </c>
      <c r="K329">
        <v>20181228</v>
      </c>
      <c r="L329" t="str">
        <f>"027459"</f>
        <v>027459</v>
      </c>
      <c r="M329" t="str">
        <f>"54196"</f>
        <v>54196</v>
      </c>
      <c r="N329" t="s">
        <v>50</v>
      </c>
      <c r="O329">
        <v>50</v>
      </c>
      <c r="P329">
        <v>20181228</v>
      </c>
      <c r="Q329" t="s">
        <v>51</v>
      </c>
      <c r="R329" t="s">
        <v>190</v>
      </c>
      <c r="S329" t="s">
        <v>23</v>
      </c>
      <c r="T329" t="s">
        <v>53</v>
      </c>
    </row>
    <row r="330" spans="1:20" x14ac:dyDescent="0.25">
      <c r="A330">
        <v>9</v>
      </c>
      <c r="B330">
        <v>163</v>
      </c>
      <c r="C330" t="str">
        <f t="shared" si="33"/>
        <v>00</v>
      </c>
      <c r="D330">
        <v>2159</v>
      </c>
      <c r="E330" t="str">
        <f t="shared" si="34"/>
        <v>00</v>
      </c>
      <c r="F330" t="str">
        <f>"111"</f>
        <v>111</v>
      </c>
      <c r="G330">
        <v>9</v>
      </c>
      <c r="H330" t="str">
        <f t="shared" si="35"/>
        <v>00</v>
      </c>
      <c r="I330" t="str">
        <f t="shared" si="36"/>
        <v>0</v>
      </c>
      <c r="J330" t="str">
        <f t="shared" si="37"/>
        <v>00</v>
      </c>
      <c r="K330">
        <v>20181228</v>
      </c>
      <c r="L330" t="str">
        <f>"027460"</f>
        <v>027460</v>
      </c>
      <c r="M330" t="str">
        <f>"72601"</f>
        <v>72601</v>
      </c>
      <c r="N330" t="s">
        <v>54</v>
      </c>
      <c r="O330">
        <v>452.74</v>
      </c>
      <c r="P330">
        <v>20181228</v>
      </c>
      <c r="Q330" t="s">
        <v>55</v>
      </c>
      <c r="R330" t="s">
        <v>189</v>
      </c>
      <c r="S330" t="s">
        <v>23</v>
      </c>
      <c r="T330" t="s">
        <v>56</v>
      </c>
    </row>
    <row r="331" spans="1:20" x14ac:dyDescent="0.25">
      <c r="A331">
        <v>9</v>
      </c>
      <c r="B331">
        <v>163</v>
      </c>
      <c r="C331" t="str">
        <f t="shared" si="33"/>
        <v>00</v>
      </c>
      <c r="D331">
        <v>2153</v>
      </c>
      <c r="E331" t="str">
        <f t="shared" si="34"/>
        <v>00</v>
      </c>
      <c r="F331" t="str">
        <f>"006"</f>
        <v>006</v>
      </c>
      <c r="G331">
        <v>9</v>
      </c>
      <c r="H331" t="str">
        <f t="shared" si="35"/>
        <v>00</v>
      </c>
      <c r="I331" t="str">
        <f t="shared" si="36"/>
        <v>0</v>
      </c>
      <c r="J331" t="str">
        <f t="shared" si="37"/>
        <v>00</v>
      </c>
      <c r="K331">
        <v>20181228</v>
      </c>
      <c r="L331" t="str">
        <f>"027461"</f>
        <v>027461</v>
      </c>
      <c r="M331" t="str">
        <f>"75452"</f>
        <v>75452</v>
      </c>
      <c r="N331" t="s">
        <v>57</v>
      </c>
      <c r="O331">
        <v>473.44</v>
      </c>
      <c r="P331">
        <v>20181228</v>
      </c>
      <c r="Q331" t="s">
        <v>58</v>
      </c>
      <c r="R331" t="s">
        <v>188</v>
      </c>
      <c r="S331" t="s">
        <v>23</v>
      </c>
      <c r="T331" t="s">
        <v>59</v>
      </c>
    </row>
    <row r="332" spans="1:20" x14ac:dyDescent="0.25">
      <c r="A332">
        <v>9</v>
      </c>
      <c r="B332">
        <v>163</v>
      </c>
      <c r="C332" t="str">
        <f t="shared" si="33"/>
        <v>00</v>
      </c>
      <c r="D332">
        <v>2159</v>
      </c>
      <c r="E332" t="str">
        <f t="shared" si="34"/>
        <v>00</v>
      </c>
      <c r="F332" t="str">
        <f>"106"</f>
        <v>106</v>
      </c>
      <c r="G332">
        <v>9</v>
      </c>
      <c r="H332" t="str">
        <f t="shared" si="35"/>
        <v>00</v>
      </c>
      <c r="I332" t="str">
        <f t="shared" si="36"/>
        <v>0</v>
      </c>
      <c r="J332" t="str">
        <f t="shared" si="37"/>
        <v>00</v>
      </c>
      <c r="K332">
        <v>20181228</v>
      </c>
      <c r="L332" t="str">
        <f>"027462"</f>
        <v>027462</v>
      </c>
      <c r="M332" t="str">
        <f>"81173"</f>
        <v>81173</v>
      </c>
      <c r="N332" t="s">
        <v>60</v>
      </c>
      <c r="O332">
        <v>69.88</v>
      </c>
      <c r="P332">
        <v>20181228</v>
      </c>
      <c r="Q332" t="s">
        <v>61</v>
      </c>
      <c r="R332" t="s">
        <v>189</v>
      </c>
      <c r="S332" t="s">
        <v>23</v>
      </c>
      <c r="T332" t="s">
        <v>62</v>
      </c>
    </row>
    <row r="333" spans="1:20" x14ac:dyDescent="0.25">
      <c r="A333">
        <v>9</v>
      </c>
      <c r="B333">
        <v>163</v>
      </c>
      <c r="C333" t="str">
        <f t="shared" si="33"/>
        <v>00</v>
      </c>
      <c r="D333">
        <v>2159</v>
      </c>
      <c r="E333" t="str">
        <f t="shared" si="34"/>
        <v>00</v>
      </c>
      <c r="F333" t="str">
        <f>"007"</f>
        <v>007</v>
      </c>
      <c r="G333">
        <v>9</v>
      </c>
      <c r="H333" t="str">
        <f t="shared" si="35"/>
        <v>00</v>
      </c>
      <c r="I333" t="str">
        <f t="shared" si="36"/>
        <v>0</v>
      </c>
      <c r="J333" t="str">
        <f t="shared" si="37"/>
        <v>00</v>
      </c>
      <c r="K333">
        <v>20181228</v>
      </c>
      <c r="L333" t="str">
        <f>"027463"</f>
        <v>027463</v>
      </c>
      <c r="M333" t="str">
        <f>"81174"</f>
        <v>81174</v>
      </c>
      <c r="N333" t="s">
        <v>63</v>
      </c>
      <c r="O333">
        <v>11.63</v>
      </c>
      <c r="P333">
        <v>20181228</v>
      </c>
      <c r="Q333" t="s">
        <v>64</v>
      </c>
      <c r="R333" t="s">
        <v>189</v>
      </c>
      <c r="S333" t="s">
        <v>23</v>
      </c>
      <c r="T333" t="s">
        <v>65</v>
      </c>
    </row>
    <row r="334" spans="1:20" x14ac:dyDescent="0.25">
      <c r="A334">
        <v>9</v>
      </c>
      <c r="B334">
        <v>163</v>
      </c>
      <c r="C334" t="str">
        <f t="shared" si="33"/>
        <v>00</v>
      </c>
      <c r="D334">
        <v>2159</v>
      </c>
      <c r="E334" t="str">
        <f t="shared" si="34"/>
        <v>00</v>
      </c>
      <c r="F334" t="str">
        <f>"100"</f>
        <v>100</v>
      </c>
      <c r="G334">
        <v>9</v>
      </c>
      <c r="H334" t="str">
        <f t="shared" si="35"/>
        <v>00</v>
      </c>
      <c r="I334" t="str">
        <f t="shared" si="36"/>
        <v>0</v>
      </c>
      <c r="J334" t="str">
        <f t="shared" si="37"/>
        <v>00</v>
      </c>
      <c r="K334">
        <v>20181228</v>
      </c>
      <c r="L334" t="str">
        <f>"027464"</f>
        <v>027464</v>
      </c>
      <c r="M334" t="str">
        <f>"81177"</f>
        <v>81177</v>
      </c>
      <c r="N334" t="s">
        <v>66</v>
      </c>
      <c r="O334">
        <v>32</v>
      </c>
      <c r="P334">
        <v>20181228</v>
      </c>
      <c r="Q334" t="s">
        <v>67</v>
      </c>
      <c r="R334" t="s">
        <v>189</v>
      </c>
      <c r="S334" t="s">
        <v>23</v>
      </c>
      <c r="T334" t="s">
        <v>68</v>
      </c>
    </row>
    <row r="335" spans="1:20" x14ac:dyDescent="0.25">
      <c r="A335">
        <v>9</v>
      </c>
      <c r="B335">
        <v>163</v>
      </c>
      <c r="C335" t="str">
        <f t="shared" si="33"/>
        <v>00</v>
      </c>
      <c r="D335">
        <v>2159</v>
      </c>
      <c r="E335" t="str">
        <f t="shared" si="34"/>
        <v>00</v>
      </c>
      <c r="F335" t="str">
        <f>"143"</f>
        <v>143</v>
      </c>
      <c r="G335">
        <v>9</v>
      </c>
      <c r="H335" t="str">
        <f t="shared" si="35"/>
        <v>00</v>
      </c>
      <c r="I335" t="str">
        <f t="shared" si="36"/>
        <v>0</v>
      </c>
      <c r="J335" t="str">
        <f t="shared" si="37"/>
        <v>00</v>
      </c>
      <c r="K335">
        <v>20190104</v>
      </c>
      <c r="L335" t="str">
        <f>"027465"</f>
        <v>027465</v>
      </c>
      <c r="M335" t="str">
        <f>"00069"</f>
        <v>00069</v>
      </c>
      <c r="N335" t="s">
        <v>72</v>
      </c>
      <c r="O335">
        <v>189.01</v>
      </c>
      <c r="P335">
        <v>20190104</v>
      </c>
      <c r="Q335" t="s">
        <v>73</v>
      </c>
      <c r="R335" t="s">
        <v>196</v>
      </c>
      <c r="S335" t="s">
        <v>23</v>
      </c>
      <c r="T335" t="s">
        <v>74</v>
      </c>
    </row>
    <row r="336" spans="1:20" x14ac:dyDescent="0.25">
      <c r="A336">
        <v>9</v>
      </c>
      <c r="B336">
        <v>163</v>
      </c>
      <c r="C336" t="str">
        <f t="shared" si="33"/>
        <v>00</v>
      </c>
      <c r="D336">
        <v>2153</v>
      </c>
      <c r="E336" t="str">
        <f t="shared" si="34"/>
        <v>00</v>
      </c>
      <c r="F336" t="str">
        <f>"011"</f>
        <v>011</v>
      </c>
      <c r="G336">
        <v>9</v>
      </c>
      <c r="H336" t="str">
        <f t="shared" si="35"/>
        <v>00</v>
      </c>
      <c r="I336" t="str">
        <f t="shared" si="36"/>
        <v>0</v>
      </c>
      <c r="J336" t="str">
        <f t="shared" si="37"/>
        <v>00</v>
      </c>
      <c r="K336">
        <v>20190104</v>
      </c>
      <c r="L336" t="str">
        <f>"027466"</f>
        <v>027466</v>
      </c>
      <c r="M336" t="str">
        <f>"99999"</f>
        <v>99999</v>
      </c>
      <c r="N336" t="s">
        <v>175</v>
      </c>
      <c r="O336">
        <v>3.8</v>
      </c>
      <c r="P336">
        <v>20190104</v>
      </c>
      <c r="Q336" t="s">
        <v>42</v>
      </c>
      <c r="R336" t="s">
        <v>156</v>
      </c>
      <c r="S336" t="s">
        <v>23</v>
      </c>
      <c r="T336" t="s">
        <v>43</v>
      </c>
    </row>
    <row r="337" spans="1:20" x14ac:dyDescent="0.25">
      <c r="A337">
        <v>9</v>
      </c>
      <c r="B337">
        <v>163</v>
      </c>
      <c r="C337" t="str">
        <f t="shared" si="33"/>
        <v>00</v>
      </c>
      <c r="D337">
        <v>2153</v>
      </c>
      <c r="E337" t="str">
        <f t="shared" si="34"/>
        <v>00</v>
      </c>
      <c r="F337" t="str">
        <f>"112"</f>
        <v>112</v>
      </c>
      <c r="G337">
        <v>9</v>
      </c>
      <c r="H337" t="str">
        <f t="shared" si="35"/>
        <v>00</v>
      </c>
      <c r="I337" t="str">
        <f t="shared" si="36"/>
        <v>0</v>
      </c>
      <c r="J337" t="str">
        <f t="shared" si="37"/>
        <v>00</v>
      </c>
      <c r="K337">
        <v>20190104</v>
      </c>
      <c r="L337" t="str">
        <f>"027466"</f>
        <v>027466</v>
      </c>
      <c r="M337" t="str">
        <f>"99999"</f>
        <v>99999</v>
      </c>
      <c r="N337" t="s">
        <v>175</v>
      </c>
      <c r="O337">
        <v>3.81</v>
      </c>
      <c r="P337">
        <v>20190104</v>
      </c>
      <c r="Q337" t="s">
        <v>197</v>
      </c>
      <c r="R337" t="s">
        <v>156</v>
      </c>
      <c r="S337" t="s">
        <v>23</v>
      </c>
      <c r="T337" t="s">
        <v>198</v>
      </c>
    </row>
    <row r="338" spans="1:20" x14ac:dyDescent="0.25">
      <c r="A338">
        <v>9</v>
      </c>
      <c r="B338">
        <v>163</v>
      </c>
      <c r="C338" t="str">
        <f t="shared" si="33"/>
        <v>00</v>
      </c>
      <c r="D338">
        <v>2153</v>
      </c>
      <c r="E338" t="str">
        <f t="shared" si="34"/>
        <v>00</v>
      </c>
      <c r="F338" t="str">
        <f>"141"</f>
        <v>141</v>
      </c>
      <c r="G338">
        <v>9</v>
      </c>
      <c r="H338" t="str">
        <f t="shared" si="35"/>
        <v>00</v>
      </c>
      <c r="I338" t="str">
        <f t="shared" si="36"/>
        <v>0</v>
      </c>
      <c r="J338" t="str">
        <f t="shared" si="37"/>
        <v>00</v>
      </c>
      <c r="K338">
        <v>20190111</v>
      </c>
      <c r="L338" t="str">
        <f>"027474"</f>
        <v>027474</v>
      </c>
      <c r="M338" t="str">
        <f>"00068"</f>
        <v>00068</v>
      </c>
      <c r="N338" t="s">
        <v>20</v>
      </c>
      <c r="O338">
        <v>480.38</v>
      </c>
      <c r="P338">
        <v>20190111</v>
      </c>
      <c r="Q338" t="s">
        <v>21</v>
      </c>
      <c r="R338" t="s">
        <v>199</v>
      </c>
      <c r="S338" t="s">
        <v>23</v>
      </c>
      <c r="T338" t="s">
        <v>24</v>
      </c>
    </row>
    <row r="339" spans="1:20" x14ac:dyDescent="0.25">
      <c r="A339">
        <v>9</v>
      </c>
      <c r="B339">
        <v>163</v>
      </c>
      <c r="C339" t="str">
        <f t="shared" si="33"/>
        <v>00</v>
      </c>
      <c r="D339">
        <v>2153</v>
      </c>
      <c r="E339" t="str">
        <f t="shared" si="34"/>
        <v>00</v>
      </c>
      <c r="F339" t="str">
        <f>"142"</f>
        <v>142</v>
      </c>
      <c r="G339">
        <v>9</v>
      </c>
      <c r="H339" t="str">
        <f t="shared" si="35"/>
        <v>00</v>
      </c>
      <c r="I339" t="str">
        <f t="shared" si="36"/>
        <v>0</v>
      </c>
      <c r="J339" t="str">
        <f t="shared" si="37"/>
        <v>00</v>
      </c>
      <c r="K339">
        <v>20190111</v>
      </c>
      <c r="L339" t="str">
        <f>"027474"</f>
        <v>027474</v>
      </c>
      <c r="M339" t="str">
        <f>"00068"</f>
        <v>00068</v>
      </c>
      <c r="N339" t="s">
        <v>20</v>
      </c>
      <c r="O339">
        <v>434.59</v>
      </c>
      <c r="P339">
        <v>20190111</v>
      </c>
      <c r="Q339" t="s">
        <v>25</v>
      </c>
      <c r="R339" t="s">
        <v>200</v>
      </c>
      <c r="S339" t="s">
        <v>23</v>
      </c>
      <c r="T339" t="s">
        <v>27</v>
      </c>
    </row>
    <row r="340" spans="1:20" x14ac:dyDescent="0.25">
      <c r="A340">
        <v>9</v>
      </c>
      <c r="B340">
        <v>163</v>
      </c>
      <c r="C340" t="str">
        <f t="shared" si="33"/>
        <v>00</v>
      </c>
      <c r="D340">
        <v>2159</v>
      </c>
      <c r="E340" t="str">
        <f t="shared" si="34"/>
        <v>00</v>
      </c>
      <c r="F340" t="str">
        <f>"148"</f>
        <v>148</v>
      </c>
      <c r="G340">
        <v>9</v>
      </c>
      <c r="H340" t="str">
        <f t="shared" si="35"/>
        <v>00</v>
      </c>
      <c r="I340" t="str">
        <f t="shared" si="36"/>
        <v>0</v>
      </c>
      <c r="J340" t="str">
        <f t="shared" si="37"/>
        <v>00</v>
      </c>
      <c r="K340">
        <v>20190111</v>
      </c>
      <c r="L340" t="str">
        <f>"027475"</f>
        <v>027475</v>
      </c>
      <c r="M340" t="str">
        <f>"00528"</f>
        <v>00528</v>
      </c>
      <c r="N340" t="s">
        <v>159</v>
      </c>
      <c r="O340">
        <v>48.75</v>
      </c>
      <c r="P340">
        <v>20190111</v>
      </c>
      <c r="Q340" t="s">
        <v>160</v>
      </c>
      <c r="R340" t="s">
        <v>201</v>
      </c>
      <c r="S340" t="s">
        <v>23</v>
      </c>
      <c r="T340" t="s">
        <v>162</v>
      </c>
    </row>
    <row r="341" spans="1:20" x14ac:dyDescent="0.25">
      <c r="A341">
        <v>9</v>
      </c>
      <c r="B341">
        <v>163</v>
      </c>
      <c r="C341" t="str">
        <f t="shared" si="33"/>
        <v>00</v>
      </c>
      <c r="D341">
        <v>2153</v>
      </c>
      <c r="E341" t="str">
        <f t="shared" si="34"/>
        <v>00</v>
      </c>
      <c r="F341" t="str">
        <f>"022"</f>
        <v>022</v>
      </c>
      <c r="G341">
        <v>9</v>
      </c>
      <c r="H341" t="str">
        <f t="shared" si="35"/>
        <v>00</v>
      </c>
      <c r="I341" t="str">
        <f t="shared" si="36"/>
        <v>0</v>
      </c>
      <c r="J341" t="str">
        <f t="shared" si="37"/>
        <v>00</v>
      </c>
      <c r="K341">
        <v>20190111</v>
      </c>
      <c r="L341" t="str">
        <f>"027476"</f>
        <v>027476</v>
      </c>
      <c r="M341" t="str">
        <f>"04831"</f>
        <v>04831</v>
      </c>
      <c r="N341" t="s">
        <v>28</v>
      </c>
      <c r="O341">
        <v>16.77</v>
      </c>
      <c r="P341">
        <v>20190111</v>
      </c>
      <c r="Q341" t="s">
        <v>29</v>
      </c>
      <c r="R341" t="s">
        <v>200</v>
      </c>
      <c r="S341" t="s">
        <v>23</v>
      </c>
      <c r="T341" t="s">
        <v>30</v>
      </c>
    </row>
    <row r="342" spans="1:20" x14ac:dyDescent="0.25">
      <c r="A342">
        <v>9</v>
      </c>
      <c r="B342">
        <v>163</v>
      </c>
      <c r="C342" t="str">
        <f t="shared" si="33"/>
        <v>00</v>
      </c>
      <c r="D342">
        <v>2159</v>
      </c>
      <c r="E342" t="str">
        <f t="shared" si="34"/>
        <v>00</v>
      </c>
      <c r="F342" t="str">
        <f>"018"</f>
        <v>018</v>
      </c>
      <c r="G342">
        <v>9</v>
      </c>
      <c r="H342" t="str">
        <f t="shared" si="35"/>
        <v>00</v>
      </c>
      <c r="I342" t="str">
        <f t="shared" si="36"/>
        <v>0</v>
      </c>
      <c r="J342" t="str">
        <f t="shared" si="37"/>
        <v>00</v>
      </c>
      <c r="K342">
        <v>20190111</v>
      </c>
      <c r="L342" t="str">
        <f>"027477"</f>
        <v>027477</v>
      </c>
      <c r="M342" t="str">
        <f>"04905"</f>
        <v>04905</v>
      </c>
      <c r="N342" t="s">
        <v>31</v>
      </c>
      <c r="O342">
        <v>55.11</v>
      </c>
      <c r="P342">
        <v>20190111</v>
      </c>
      <c r="Q342" t="s">
        <v>32</v>
      </c>
      <c r="R342" t="s">
        <v>201</v>
      </c>
      <c r="S342" t="s">
        <v>23</v>
      </c>
      <c r="T342" t="s">
        <v>34</v>
      </c>
    </row>
    <row r="343" spans="1:20" x14ac:dyDescent="0.25">
      <c r="A343">
        <v>9</v>
      </c>
      <c r="B343">
        <v>163</v>
      </c>
      <c r="C343" t="str">
        <f t="shared" si="33"/>
        <v>00</v>
      </c>
      <c r="D343">
        <v>2153</v>
      </c>
      <c r="E343" t="str">
        <f t="shared" si="34"/>
        <v>00</v>
      </c>
      <c r="F343" t="str">
        <f>"053"</f>
        <v>053</v>
      </c>
      <c r="G343">
        <v>9</v>
      </c>
      <c r="H343" t="str">
        <f t="shared" si="35"/>
        <v>00</v>
      </c>
      <c r="I343" t="str">
        <f t="shared" si="36"/>
        <v>0</v>
      </c>
      <c r="J343" t="str">
        <f t="shared" si="37"/>
        <v>00</v>
      </c>
      <c r="K343">
        <v>20190111</v>
      </c>
      <c r="L343" t="str">
        <f>"027478"</f>
        <v>027478</v>
      </c>
      <c r="M343" t="str">
        <f>"04987"</f>
        <v>04987</v>
      </c>
      <c r="N343" t="s">
        <v>35</v>
      </c>
      <c r="O343">
        <v>20.64</v>
      </c>
      <c r="P343">
        <v>20190111</v>
      </c>
      <c r="Q343" t="s">
        <v>36</v>
      </c>
      <c r="R343" t="s">
        <v>200</v>
      </c>
      <c r="S343" t="s">
        <v>23</v>
      </c>
      <c r="T343" t="s">
        <v>37</v>
      </c>
    </row>
    <row r="344" spans="1:20" x14ac:dyDescent="0.25">
      <c r="A344">
        <v>9</v>
      </c>
      <c r="B344">
        <v>163</v>
      </c>
      <c r="C344" t="str">
        <f t="shared" si="33"/>
        <v>00</v>
      </c>
      <c r="D344">
        <v>2159</v>
      </c>
      <c r="E344" t="str">
        <f t="shared" si="34"/>
        <v>00</v>
      </c>
      <c r="F344" t="str">
        <f>"068"</f>
        <v>068</v>
      </c>
      <c r="G344">
        <v>9</v>
      </c>
      <c r="H344" t="str">
        <f t="shared" si="35"/>
        <v>00</v>
      </c>
      <c r="I344" t="str">
        <f t="shared" si="36"/>
        <v>0</v>
      </c>
      <c r="J344" t="str">
        <f t="shared" si="37"/>
        <v>00</v>
      </c>
      <c r="K344">
        <v>20190111</v>
      </c>
      <c r="L344" t="str">
        <f>"027479"</f>
        <v>027479</v>
      </c>
      <c r="M344" t="str">
        <f>"10095"</f>
        <v>10095</v>
      </c>
      <c r="N344" t="s">
        <v>83</v>
      </c>
      <c r="O344">
        <v>14.59</v>
      </c>
      <c r="P344">
        <v>20190111</v>
      </c>
      <c r="Q344" t="s">
        <v>84</v>
      </c>
      <c r="R344" t="s">
        <v>201</v>
      </c>
      <c r="S344" t="s">
        <v>23</v>
      </c>
      <c r="T344" t="s">
        <v>85</v>
      </c>
    </row>
    <row r="345" spans="1:20" x14ac:dyDescent="0.25">
      <c r="A345">
        <v>9</v>
      </c>
      <c r="B345">
        <v>163</v>
      </c>
      <c r="C345" t="str">
        <f t="shared" si="33"/>
        <v>00</v>
      </c>
      <c r="D345">
        <v>2153</v>
      </c>
      <c r="E345" t="str">
        <f t="shared" si="34"/>
        <v>00</v>
      </c>
      <c r="F345" t="str">
        <f>"011"</f>
        <v>011</v>
      </c>
      <c r="G345">
        <v>9</v>
      </c>
      <c r="H345" t="str">
        <f t="shared" si="35"/>
        <v>00</v>
      </c>
      <c r="I345" t="str">
        <f t="shared" si="36"/>
        <v>0</v>
      </c>
      <c r="J345" t="str">
        <f t="shared" si="37"/>
        <v>00</v>
      </c>
      <c r="K345">
        <v>20190111</v>
      </c>
      <c r="L345" t="str">
        <f>"027480"</f>
        <v>027480</v>
      </c>
      <c r="M345" t="str">
        <f>"11211"</f>
        <v>11211</v>
      </c>
      <c r="N345" t="s">
        <v>41</v>
      </c>
      <c r="O345">
        <v>191.58</v>
      </c>
      <c r="P345">
        <v>20190111</v>
      </c>
      <c r="Q345" t="s">
        <v>42</v>
      </c>
      <c r="R345" t="s">
        <v>200</v>
      </c>
      <c r="S345" t="s">
        <v>23</v>
      </c>
      <c r="T345" t="s">
        <v>43</v>
      </c>
    </row>
    <row r="346" spans="1:20" x14ac:dyDescent="0.25">
      <c r="A346">
        <v>9</v>
      </c>
      <c r="B346">
        <v>163</v>
      </c>
      <c r="C346" t="str">
        <f t="shared" si="33"/>
        <v>00</v>
      </c>
      <c r="D346">
        <v>2159</v>
      </c>
      <c r="E346" t="str">
        <f t="shared" si="34"/>
        <v>00</v>
      </c>
      <c r="F346" t="str">
        <f>"104"</f>
        <v>104</v>
      </c>
      <c r="G346">
        <v>9</v>
      </c>
      <c r="H346" t="str">
        <f t="shared" si="35"/>
        <v>00</v>
      </c>
      <c r="I346" t="str">
        <f t="shared" si="36"/>
        <v>0</v>
      </c>
      <c r="J346" t="str">
        <f t="shared" si="37"/>
        <v>00</v>
      </c>
      <c r="K346">
        <v>20190111</v>
      </c>
      <c r="L346" t="str">
        <f>"027481"</f>
        <v>027481</v>
      </c>
      <c r="M346" t="str">
        <f>"14177"</f>
        <v>14177</v>
      </c>
      <c r="N346" t="s">
        <v>163</v>
      </c>
      <c r="O346">
        <v>29.5</v>
      </c>
      <c r="P346">
        <v>20190111</v>
      </c>
      <c r="Q346" t="s">
        <v>45</v>
      </c>
      <c r="R346" t="s">
        <v>201</v>
      </c>
      <c r="S346" t="s">
        <v>23</v>
      </c>
      <c r="T346" t="s">
        <v>46</v>
      </c>
    </row>
    <row r="347" spans="1:20" x14ac:dyDescent="0.25">
      <c r="A347">
        <v>9</v>
      </c>
      <c r="B347">
        <v>163</v>
      </c>
      <c r="C347" t="str">
        <f t="shared" si="33"/>
        <v>00</v>
      </c>
      <c r="D347">
        <v>2153</v>
      </c>
      <c r="E347" t="str">
        <f t="shared" si="34"/>
        <v>00</v>
      </c>
      <c r="F347" t="str">
        <f>"110"</f>
        <v>110</v>
      </c>
      <c r="G347">
        <v>9</v>
      </c>
      <c r="H347" t="str">
        <f t="shared" si="35"/>
        <v>00</v>
      </c>
      <c r="I347" t="str">
        <f t="shared" si="36"/>
        <v>0</v>
      </c>
      <c r="J347" t="str">
        <f t="shared" si="37"/>
        <v>00</v>
      </c>
      <c r="K347">
        <v>20190111</v>
      </c>
      <c r="L347" t="str">
        <f>"027482"</f>
        <v>027482</v>
      </c>
      <c r="M347" t="str">
        <f>"48947"</f>
        <v>48947</v>
      </c>
      <c r="N347" t="s">
        <v>47</v>
      </c>
      <c r="O347">
        <v>34.78</v>
      </c>
      <c r="P347">
        <v>20190111</v>
      </c>
      <c r="Q347" t="s">
        <v>48</v>
      </c>
      <c r="R347" t="s">
        <v>199</v>
      </c>
      <c r="S347" t="s">
        <v>23</v>
      </c>
      <c r="T347" t="s">
        <v>49</v>
      </c>
    </row>
    <row r="348" spans="1:20" x14ac:dyDescent="0.25">
      <c r="A348">
        <v>9</v>
      </c>
      <c r="B348">
        <v>163</v>
      </c>
      <c r="C348" t="str">
        <f t="shared" si="33"/>
        <v>00</v>
      </c>
      <c r="D348">
        <v>2159</v>
      </c>
      <c r="E348" t="str">
        <f t="shared" si="34"/>
        <v>00</v>
      </c>
      <c r="F348" t="str">
        <f>"131"</f>
        <v>131</v>
      </c>
      <c r="G348">
        <v>9</v>
      </c>
      <c r="H348" t="str">
        <f t="shared" si="35"/>
        <v>00</v>
      </c>
      <c r="I348" t="str">
        <f t="shared" si="36"/>
        <v>0</v>
      </c>
      <c r="J348" t="str">
        <f t="shared" si="37"/>
        <v>00</v>
      </c>
      <c r="K348">
        <v>20190111</v>
      </c>
      <c r="L348" t="str">
        <f>"027483"</f>
        <v>027483</v>
      </c>
      <c r="M348" t="str">
        <f>"54196"</f>
        <v>54196</v>
      </c>
      <c r="N348" t="s">
        <v>50</v>
      </c>
      <c r="O348">
        <v>50</v>
      </c>
      <c r="P348">
        <v>20190111</v>
      </c>
      <c r="Q348" t="s">
        <v>51</v>
      </c>
      <c r="R348" t="s">
        <v>202</v>
      </c>
      <c r="S348" t="s">
        <v>23</v>
      </c>
      <c r="T348" t="s">
        <v>53</v>
      </c>
    </row>
    <row r="349" spans="1:20" x14ac:dyDescent="0.25">
      <c r="A349">
        <v>9</v>
      </c>
      <c r="B349">
        <v>163</v>
      </c>
      <c r="C349" t="str">
        <f t="shared" si="33"/>
        <v>00</v>
      </c>
      <c r="D349">
        <v>2159</v>
      </c>
      <c r="E349" t="str">
        <f t="shared" si="34"/>
        <v>00</v>
      </c>
      <c r="F349" t="str">
        <f>"111"</f>
        <v>111</v>
      </c>
      <c r="G349">
        <v>9</v>
      </c>
      <c r="H349" t="str">
        <f t="shared" si="35"/>
        <v>00</v>
      </c>
      <c r="I349" t="str">
        <f t="shared" si="36"/>
        <v>0</v>
      </c>
      <c r="J349" t="str">
        <f t="shared" si="37"/>
        <v>00</v>
      </c>
      <c r="K349">
        <v>20190111</v>
      </c>
      <c r="L349" t="str">
        <f>"027484"</f>
        <v>027484</v>
      </c>
      <c r="M349" t="str">
        <f>"72601"</f>
        <v>72601</v>
      </c>
      <c r="N349" t="s">
        <v>54</v>
      </c>
      <c r="O349">
        <v>452.74</v>
      </c>
      <c r="P349">
        <v>20190111</v>
      </c>
      <c r="Q349" t="s">
        <v>55</v>
      </c>
      <c r="R349" t="s">
        <v>201</v>
      </c>
      <c r="S349" t="s">
        <v>23</v>
      </c>
      <c r="T349" t="s">
        <v>56</v>
      </c>
    </row>
    <row r="350" spans="1:20" x14ac:dyDescent="0.25">
      <c r="A350">
        <v>9</v>
      </c>
      <c r="B350">
        <v>163</v>
      </c>
      <c r="C350" t="str">
        <f t="shared" si="33"/>
        <v>00</v>
      </c>
      <c r="D350">
        <v>2153</v>
      </c>
      <c r="E350" t="str">
        <f t="shared" si="34"/>
        <v>00</v>
      </c>
      <c r="F350" t="str">
        <f>"006"</f>
        <v>006</v>
      </c>
      <c r="G350">
        <v>9</v>
      </c>
      <c r="H350" t="str">
        <f t="shared" si="35"/>
        <v>00</v>
      </c>
      <c r="I350" t="str">
        <f t="shared" si="36"/>
        <v>0</v>
      </c>
      <c r="J350" t="str">
        <f t="shared" si="37"/>
        <v>00</v>
      </c>
      <c r="K350">
        <v>20190111</v>
      </c>
      <c r="L350" t="str">
        <f>"027485"</f>
        <v>027485</v>
      </c>
      <c r="M350" t="str">
        <f>"75452"</f>
        <v>75452</v>
      </c>
      <c r="N350" t="s">
        <v>57</v>
      </c>
      <c r="O350">
        <v>473.44</v>
      </c>
      <c r="P350">
        <v>20190111</v>
      </c>
      <c r="Q350" t="s">
        <v>58</v>
      </c>
      <c r="R350" t="s">
        <v>200</v>
      </c>
      <c r="S350" t="s">
        <v>23</v>
      </c>
      <c r="T350" t="s">
        <v>59</v>
      </c>
    </row>
    <row r="351" spans="1:20" x14ac:dyDescent="0.25">
      <c r="A351">
        <v>9</v>
      </c>
      <c r="B351">
        <v>163</v>
      </c>
      <c r="C351" t="str">
        <f t="shared" si="33"/>
        <v>00</v>
      </c>
      <c r="D351">
        <v>2159</v>
      </c>
      <c r="E351" t="str">
        <f t="shared" si="34"/>
        <v>00</v>
      </c>
      <c r="F351" t="str">
        <f>"106"</f>
        <v>106</v>
      </c>
      <c r="G351">
        <v>9</v>
      </c>
      <c r="H351" t="str">
        <f t="shared" si="35"/>
        <v>00</v>
      </c>
      <c r="I351" t="str">
        <f t="shared" si="36"/>
        <v>0</v>
      </c>
      <c r="J351" t="str">
        <f t="shared" si="37"/>
        <v>00</v>
      </c>
      <c r="K351">
        <v>20190111</v>
      </c>
      <c r="L351" t="str">
        <f>"027486"</f>
        <v>027486</v>
      </c>
      <c r="M351" t="str">
        <f>"81173"</f>
        <v>81173</v>
      </c>
      <c r="N351" t="s">
        <v>60</v>
      </c>
      <c r="O351">
        <v>46.63</v>
      </c>
      <c r="P351">
        <v>20190111</v>
      </c>
      <c r="Q351" t="s">
        <v>61</v>
      </c>
      <c r="R351" t="s">
        <v>201</v>
      </c>
      <c r="S351" t="s">
        <v>23</v>
      </c>
      <c r="T351" t="s">
        <v>62</v>
      </c>
    </row>
    <row r="352" spans="1:20" x14ac:dyDescent="0.25">
      <c r="A352">
        <v>9</v>
      </c>
      <c r="B352">
        <v>163</v>
      </c>
      <c r="C352" t="str">
        <f t="shared" si="33"/>
        <v>00</v>
      </c>
      <c r="D352">
        <v>2159</v>
      </c>
      <c r="E352" t="str">
        <f t="shared" si="34"/>
        <v>00</v>
      </c>
      <c r="F352" t="str">
        <f>"007"</f>
        <v>007</v>
      </c>
      <c r="G352">
        <v>9</v>
      </c>
      <c r="H352" t="str">
        <f t="shared" si="35"/>
        <v>00</v>
      </c>
      <c r="I352" t="str">
        <f t="shared" si="36"/>
        <v>0</v>
      </c>
      <c r="J352" t="str">
        <f t="shared" si="37"/>
        <v>00</v>
      </c>
      <c r="K352">
        <v>20190111</v>
      </c>
      <c r="L352" t="str">
        <f>"027487"</f>
        <v>027487</v>
      </c>
      <c r="M352" t="str">
        <f>"81174"</f>
        <v>81174</v>
      </c>
      <c r="N352" t="s">
        <v>63</v>
      </c>
      <c r="O352">
        <v>11.63</v>
      </c>
      <c r="P352">
        <v>20190111</v>
      </c>
      <c r="Q352" t="s">
        <v>64</v>
      </c>
      <c r="R352" t="s">
        <v>201</v>
      </c>
      <c r="S352" t="s">
        <v>23</v>
      </c>
      <c r="T352" t="s">
        <v>65</v>
      </c>
    </row>
    <row r="353" spans="1:20" x14ac:dyDescent="0.25">
      <c r="A353">
        <v>9</v>
      </c>
      <c r="B353">
        <v>163</v>
      </c>
      <c r="C353" t="str">
        <f t="shared" si="33"/>
        <v>00</v>
      </c>
      <c r="D353">
        <v>2159</v>
      </c>
      <c r="E353" t="str">
        <f t="shared" si="34"/>
        <v>00</v>
      </c>
      <c r="F353" t="str">
        <f>"100"</f>
        <v>100</v>
      </c>
      <c r="G353">
        <v>9</v>
      </c>
      <c r="H353" t="str">
        <f t="shared" si="35"/>
        <v>00</v>
      </c>
      <c r="I353" t="str">
        <f t="shared" si="36"/>
        <v>0</v>
      </c>
      <c r="J353" t="str">
        <f t="shared" si="37"/>
        <v>00</v>
      </c>
      <c r="K353">
        <v>20190111</v>
      </c>
      <c r="L353" t="str">
        <f>"027488"</f>
        <v>027488</v>
      </c>
      <c r="M353" t="str">
        <f>"81177"</f>
        <v>81177</v>
      </c>
      <c r="N353" t="s">
        <v>66</v>
      </c>
      <c r="O353">
        <v>64</v>
      </c>
      <c r="P353">
        <v>20190111</v>
      </c>
      <c r="Q353" t="s">
        <v>67</v>
      </c>
      <c r="R353" t="s">
        <v>201</v>
      </c>
      <c r="S353" t="s">
        <v>23</v>
      </c>
      <c r="T353" t="s">
        <v>68</v>
      </c>
    </row>
    <row r="354" spans="1:20" x14ac:dyDescent="0.25">
      <c r="A354">
        <v>9</v>
      </c>
      <c r="B354">
        <v>163</v>
      </c>
      <c r="C354" t="str">
        <f t="shared" si="33"/>
        <v>00</v>
      </c>
      <c r="D354">
        <v>2153</v>
      </c>
      <c r="E354" t="str">
        <f t="shared" si="34"/>
        <v>00</v>
      </c>
      <c r="F354" t="str">
        <f>"141"</f>
        <v>141</v>
      </c>
      <c r="G354">
        <v>9</v>
      </c>
      <c r="H354" t="str">
        <f t="shared" si="35"/>
        <v>00</v>
      </c>
      <c r="I354" t="str">
        <f t="shared" si="36"/>
        <v>0</v>
      </c>
      <c r="J354" t="str">
        <f t="shared" si="37"/>
        <v>00</v>
      </c>
      <c r="K354">
        <v>20190115</v>
      </c>
      <c r="L354" t="str">
        <f>"027490"</f>
        <v>027490</v>
      </c>
      <c r="M354" t="str">
        <f>"00068"</f>
        <v>00068</v>
      </c>
      <c r="N354" t="s">
        <v>20</v>
      </c>
      <c r="O354" s="1">
        <v>5186.6899999999996</v>
      </c>
      <c r="P354">
        <v>20190115</v>
      </c>
      <c r="Q354" t="s">
        <v>21</v>
      </c>
      <c r="R354" t="s">
        <v>199</v>
      </c>
      <c r="S354" t="s">
        <v>23</v>
      </c>
      <c r="T354" t="s">
        <v>24</v>
      </c>
    </row>
    <row r="355" spans="1:20" x14ac:dyDescent="0.25">
      <c r="A355">
        <v>9</v>
      </c>
      <c r="B355">
        <v>163</v>
      </c>
      <c r="C355" t="str">
        <f t="shared" si="33"/>
        <v>00</v>
      </c>
      <c r="D355">
        <v>2153</v>
      </c>
      <c r="E355" t="str">
        <f t="shared" si="34"/>
        <v>00</v>
      </c>
      <c r="F355" t="str">
        <f>"142"</f>
        <v>142</v>
      </c>
      <c r="G355">
        <v>9</v>
      </c>
      <c r="H355" t="str">
        <f t="shared" si="35"/>
        <v>00</v>
      </c>
      <c r="I355" t="str">
        <f t="shared" si="36"/>
        <v>0</v>
      </c>
      <c r="J355" t="str">
        <f t="shared" si="37"/>
        <v>00</v>
      </c>
      <c r="K355">
        <v>20190115</v>
      </c>
      <c r="L355" t="str">
        <f>"027490"</f>
        <v>027490</v>
      </c>
      <c r="M355" t="str">
        <f>"00068"</f>
        <v>00068</v>
      </c>
      <c r="N355" t="s">
        <v>20</v>
      </c>
      <c r="O355" s="1">
        <v>9546.7800000000007</v>
      </c>
      <c r="P355">
        <v>20190115</v>
      </c>
      <c r="Q355" t="s">
        <v>25</v>
      </c>
      <c r="R355" t="s">
        <v>200</v>
      </c>
      <c r="S355" t="s">
        <v>23</v>
      </c>
      <c r="T355" t="s">
        <v>27</v>
      </c>
    </row>
    <row r="356" spans="1:20" x14ac:dyDescent="0.25">
      <c r="A356">
        <v>9</v>
      </c>
      <c r="B356">
        <v>163</v>
      </c>
      <c r="C356" t="str">
        <f t="shared" si="33"/>
        <v>00</v>
      </c>
      <c r="D356">
        <v>2159</v>
      </c>
      <c r="E356" t="str">
        <f t="shared" si="34"/>
        <v>00</v>
      </c>
      <c r="F356" t="str">
        <f>"143"</f>
        <v>143</v>
      </c>
      <c r="G356">
        <v>9</v>
      </c>
      <c r="H356" t="str">
        <f t="shared" si="35"/>
        <v>00</v>
      </c>
      <c r="I356" t="str">
        <f t="shared" si="36"/>
        <v>0</v>
      </c>
      <c r="J356" t="str">
        <f t="shared" si="37"/>
        <v>00</v>
      </c>
      <c r="K356">
        <v>20190115</v>
      </c>
      <c r="L356" t="str">
        <f>"027491"</f>
        <v>027491</v>
      </c>
      <c r="M356" t="str">
        <f>"00069"</f>
        <v>00069</v>
      </c>
      <c r="N356" t="s">
        <v>72</v>
      </c>
      <c r="O356">
        <v>288.95999999999998</v>
      </c>
      <c r="P356">
        <v>20190115</v>
      </c>
      <c r="Q356" t="s">
        <v>73</v>
      </c>
      <c r="R356" t="s">
        <v>201</v>
      </c>
      <c r="S356" t="s">
        <v>23</v>
      </c>
      <c r="T356" t="s">
        <v>74</v>
      </c>
    </row>
    <row r="357" spans="1:20" x14ac:dyDescent="0.25">
      <c r="A357">
        <v>9</v>
      </c>
      <c r="B357">
        <v>163</v>
      </c>
      <c r="C357" t="str">
        <f t="shared" si="33"/>
        <v>00</v>
      </c>
      <c r="D357">
        <v>2159</v>
      </c>
      <c r="E357" t="str">
        <f t="shared" si="34"/>
        <v>00</v>
      </c>
      <c r="F357" t="str">
        <f>"146"</f>
        <v>146</v>
      </c>
      <c r="G357">
        <v>9</v>
      </c>
      <c r="H357" t="str">
        <f t="shared" si="35"/>
        <v>00</v>
      </c>
      <c r="I357" t="str">
        <f t="shared" si="36"/>
        <v>0</v>
      </c>
      <c r="J357" t="str">
        <f t="shared" si="37"/>
        <v>00</v>
      </c>
      <c r="K357">
        <v>20190115</v>
      </c>
      <c r="L357" t="str">
        <f>"027492"</f>
        <v>027492</v>
      </c>
      <c r="M357" t="str">
        <f>"00086"</f>
        <v>00086</v>
      </c>
      <c r="N357" t="s">
        <v>75</v>
      </c>
      <c r="O357">
        <v>263.23</v>
      </c>
      <c r="P357">
        <v>20190115</v>
      </c>
      <c r="Q357" t="s">
        <v>76</v>
      </c>
      <c r="R357" t="s">
        <v>201</v>
      </c>
      <c r="S357" t="s">
        <v>23</v>
      </c>
      <c r="T357" t="s">
        <v>75</v>
      </c>
    </row>
    <row r="358" spans="1:20" x14ac:dyDescent="0.25">
      <c r="A358">
        <v>9</v>
      </c>
      <c r="B358">
        <v>163</v>
      </c>
      <c r="C358" t="str">
        <f t="shared" si="33"/>
        <v>00</v>
      </c>
      <c r="D358">
        <v>2159</v>
      </c>
      <c r="E358" t="str">
        <f t="shared" si="34"/>
        <v>00</v>
      </c>
      <c r="F358" t="str">
        <f>"147"</f>
        <v>147</v>
      </c>
      <c r="G358">
        <v>9</v>
      </c>
      <c r="H358" t="str">
        <f t="shared" si="35"/>
        <v>00</v>
      </c>
      <c r="I358" t="str">
        <f t="shared" si="36"/>
        <v>0</v>
      </c>
      <c r="J358" t="str">
        <f t="shared" si="37"/>
        <v>00</v>
      </c>
      <c r="K358">
        <v>20190115</v>
      </c>
      <c r="L358" t="str">
        <f>"027493"</f>
        <v>027493</v>
      </c>
      <c r="M358" t="str">
        <f>"00248"</f>
        <v>00248</v>
      </c>
      <c r="N358" t="s">
        <v>77</v>
      </c>
      <c r="O358" s="1">
        <v>1952.88</v>
      </c>
      <c r="P358">
        <v>20190115</v>
      </c>
      <c r="Q358" t="s">
        <v>78</v>
      </c>
      <c r="R358" t="s">
        <v>201</v>
      </c>
      <c r="S358" t="s">
        <v>23</v>
      </c>
      <c r="T358" t="s">
        <v>79</v>
      </c>
    </row>
    <row r="359" spans="1:20" x14ac:dyDescent="0.25">
      <c r="A359">
        <v>9</v>
      </c>
      <c r="B359">
        <v>163</v>
      </c>
      <c r="C359" t="str">
        <f t="shared" si="33"/>
        <v>00</v>
      </c>
      <c r="D359">
        <v>2159</v>
      </c>
      <c r="E359" t="str">
        <f t="shared" si="34"/>
        <v>00</v>
      </c>
      <c r="F359" t="str">
        <f>"148"</f>
        <v>148</v>
      </c>
      <c r="G359">
        <v>9</v>
      </c>
      <c r="H359" t="str">
        <f t="shared" si="35"/>
        <v>00</v>
      </c>
      <c r="I359" t="str">
        <f t="shared" si="36"/>
        <v>0</v>
      </c>
      <c r="J359" t="str">
        <f t="shared" si="37"/>
        <v>00</v>
      </c>
      <c r="K359">
        <v>20190115</v>
      </c>
      <c r="L359" t="str">
        <f>"027494"</f>
        <v>027494</v>
      </c>
      <c r="M359" t="str">
        <f>"00528"</f>
        <v>00528</v>
      </c>
      <c r="N359" t="s">
        <v>159</v>
      </c>
      <c r="O359">
        <v>780</v>
      </c>
      <c r="P359">
        <v>20190115</v>
      </c>
      <c r="Q359" t="s">
        <v>160</v>
      </c>
      <c r="R359" t="s">
        <v>201</v>
      </c>
      <c r="S359" t="s">
        <v>23</v>
      </c>
      <c r="T359" t="s">
        <v>162</v>
      </c>
    </row>
    <row r="360" spans="1:20" x14ac:dyDescent="0.25">
      <c r="A360">
        <v>9</v>
      </c>
      <c r="B360">
        <v>163</v>
      </c>
      <c r="C360" t="str">
        <f t="shared" si="33"/>
        <v>00</v>
      </c>
      <c r="D360">
        <v>2153</v>
      </c>
      <c r="E360" t="str">
        <f t="shared" si="34"/>
        <v>00</v>
      </c>
      <c r="F360" t="str">
        <f>"022"</f>
        <v>022</v>
      </c>
      <c r="G360">
        <v>9</v>
      </c>
      <c r="H360" t="str">
        <f t="shared" si="35"/>
        <v>00</v>
      </c>
      <c r="I360" t="str">
        <f t="shared" si="36"/>
        <v>0</v>
      </c>
      <c r="J360" t="str">
        <f t="shared" si="37"/>
        <v>00</v>
      </c>
      <c r="K360">
        <v>20190115</v>
      </c>
      <c r="L360" t="str">
        <f>"027495"</f>
        <v>027495</v>
      </c>
      <c r="M360" t="str">
        <f>"04831"</f>
        <v>04831</v>
      </c>
      <c r="N360" t="s">
        <v>28</v>
      </c>
      <c r="O360" s="1">
        <v>1661.81</v>
      </c>
      <c r="P360">
        <v>20190115</v>
      </c>
      <c r="Q360" t="s">
        <v>29</v>
      </c>
      <c r="R360" t="s">
        <v>200</v>
      </c>
      <c r="S360" t="s">
        <v>23</v>
      </c>
      <c r="T360" t="s">
        <v>30</v>
      </c>
    </row>
    <row r="361" spans="1:20" x14ac:dyDescent="0.25">
      <c r="A361">
        <v>9</v>
      </c>
      <c r="B361">
        <v>163</v>
      </c>
      <c r="C361" t="str">
        <f t="shared" si="33"/>
        <v>00</v>
      </c>
      <c r="D361">
        <v>2159</v>
      </c>
      <c r="E361" t="str">
        <f t="shared" si="34"/>
        <v>00</v>
      </c>
      <c r="F361" t="str">
        <f>"018"</f>
        <v>018</v>
      </c>
      <c r="G361">
        <v>9</v>
      </c>
      <c r="H361" t="str">
        <f t="shared" si="35"/>
        <v>00</v>
      </c>
      <c r="I361" t="str">
        <f t="shared" si="36"/>
        <v>0</v>
      </c>
      <c r="J361" t="str">
        <f t="shared" si="37"/>
        <v>00</v>
      </c>
      <c r="K361">
        <v>20190115</v>
      </c>
      <c r="L361" t="str">
        <f>"027496"</f>
        <v>027496</v>
      </c>
      <c r="M361" t="str">
        <f>"04905"</f>
        <v>04905</v>
      </c>
      <c r="N361" t="s">
        <v>31</v>
      </c>
      <c r="O361" s="1">
        <v>3076.18</v>
      </c>
      <c r="P361">
        <v>20190115</v>
      </c>
      <c r="Q361" t="s">
        <v>32</v>
      </c>
      <c r="R361" t="s">
        <v>201</v>
      </c>
      <c r="S361" t="s">
        <v>23</v>
      </c>
      <c r="T361" t="s">
        <v>34</v>
      </c>
    </row>
    <row r="362" spans="1:20" x14ac:dyDescent="0.25">
      <c r="A362">
        <v>9</v>
      </c>
      <c r="B362">
        <v>163</v>
      </c>
      <c r="C362" t="str">
        <f t="shared" si="33"/>
        <v>00</v>
      </c>
      <c r="D362">
        <v>2153</v>
      </c>
      <c r="E362" t="str">
        <f t="shared" si="34"/>
        <v>00</v>
      </c>
      <c r="F362" t="str">
        <f>"053"</f>
        <v>053</v>
      </c>
      <c r="G362">
        <v>9</v>
      </c>
      <c r="H362" t="str">
        <f t="shared" si="35"/>
        <v>00</v>
      </c>
      <c r="I362" t="str">
        <f t="shared" si="36"/>
        <v>0</v>
      </c>
      <c r="J362" t="str">
        <f t="shared" si="37"/>
        <v>00</v>
      </c>
      <c r="K362">
        <v>20190115</v>
      </c>
      <c r="L362" t="str">
        <f>"027497"</f>
        <v>027497</v>
      </c>
      <c r="M362" t="str">
        <f>"04987"</f>
        <v>04987</v>
      </c>
      <c r="N362" t="s">
        <v>35</v>
      </c>
      <c r="O362">
        <v>888.72</v>
      </c>
      <c r="P362">
        <v>20190115</v>
      </c>
      <c r="Q362" t="s">
        <v>36</v>
      </c>
      <c r="R362" t="s">
        <v>200</v>
      </c>
      <c r="S362" t="s">
        <v>23</v>
      </c>
      <c r="T362" t="s">
        <v>37</v>
      </c>
    </row>
    <row r="363" spans="1:20" x14ac:dyDescent="0.25">
      <c r="A363">
        <v>9</v>
      </c>
      <c r="B363">
        <v>163</v>
      </c>
      <c r="C363" t="str">
        <f t="shared" si="33"/>
        <v>00</v>
      </c>
      <c r="D363">
        <v>2159</v>
      </c>
      <c r="E363" t="str">
        <f t="shared" si="34"/>
        <v>00</v>
      </c>
      <c r="F363" t="str">
        <f>"009"</f>
        <v>009</v>
      </c>
      <c r="G363">
        <v>9</v>
      </c>
      <c r="H363" t="str">
        <f t="shared" si="35"/>
        <v>00</v>
      </c>
      <c r="I363" t="str">
        <f t="shared" si="36"/>
        <v>0</v>
      </c>
      <c r="J363" t="str">
        <f t="shared" si="37"/>
        <v>00</v>
      </c>
      <c r="K363">
        <v>20190115</v>
      </c>
      <c r="L363" t="str">
        <f>"027498"</f>
        <v>027498</v>
      </c>
      <c r="M363" t="str">
        <f>"07710"</f>
        <v>07710</v>
      </c>
      <c r="N363" t="s">
        <v>38</v>
      </c>
      <c r="O363">
        <v>665.97</v>
      </c>
      <c r="P363">
        <v>20190115</v>
      </c>
      <c r="Q363" t="s">
        <v>39</v>
      </c>
      <c r="R363" t="s">
        <v>201</v>
      </c>
      <c r="S363" t="s">
        <v>23</v>
      </c>
      <c r="T363" t="s">
        <v>40</v>
      </c>
    </row>
    <row r="364" spans="1:20" x14ac:dyDescent="0.25">
      <c r="A364">
        <v>9</v>
      </c>
      <c r="B364">
        <v>163</v>
      </c>
      <c r="C364" t="str">
        <f t="shared" si="33"/>
        <v>00</v>
      </c>
      <c r="D364">
        <v>2159</v>
      </c>
      <c r="E364" t="str">
        <f t="shared" si="34"/>
        <v>00</v>
      </c>
      <c r="F364" t="str">
        <f>"068"</f>
        <v>068</v>
      </c>
      <c r="G364">
        <v>9</v>
      </c>
      <c r="H364" t="str">
        <f t="shared" si="35"/>
        <v>00</v>
      </c>
      <c r="I364" t="str">
        <f t="shared" si="36"/>
        <v>0</v>
      </c>
      <c r="J364" t="str">
        <f t="shared" si="37"/>
        <v>00</v>
      </c>
      <c r="K364">
        <v>20190115</v>
      </c>
      <c r="L364" t="str">
        <f>"027499"</f>
        <v>027499</v>
      </c>
      <c r="M364" t="str">
        <f>"10095"</f>
        <v>10095</v>
      </c>
      <c r="N364" t="s">
        <v>83</v>
      </c>
      <c r="O364">
        <v>290.97000000000003</v>
      </c>
      <c r="P364">
        <v>20190115</v>
      </c>
      <c r="Q364" t="s">
        <v>84</v>
      </c>
      <c r="R364" t="s">
        <v>201</v>
      </c>
      <c r="S364" t="s">
        <v>23</v>
      </c>
      <c r="T364" t="s">
        <v>85</v>
      </c>
    </row>
    <row r="365" spans="1:20" x14ac:dyDescent="0.25">
      <c r="A365">
        <v>9</v>
      </c>
      <c r="B365">
        <v>163</v>
      </c>
      <c r="C365" t="str">
        <f t="shared" si="33"/>
        <v>00</v>
      </c>
      <c r="D365">
        <v>2153</v>
      </c>
      <c r="E365" t="str">
        <f t="shared" si="34"/>
        <v>00</v>
      </c>
      <c r="F365" t="str">
        <f>"011"</f>
        <v>011</v>
      </c>
      <c r="G365">
        <v>9</v>
      </c>
      <c r="H365" t="str">
        <f t="shared" si="35"/>
        <v>00</v>
      </c>
      <c r="I365" t="str">
        <f t="shared" si="36"/>
        <v>0</v>
      </c>
      <c r="J365" t="str">
        <f t="shared" si="37"/>
        <v>00</v>
      </c>
      <c r="K365">
        <v>20190115</v>
      </c>
      <c r="L365" t="str">
        <f>"027500"</f>
        <v>027500</v>
      </c>
      <c r="M365" t="str">
        <f>"11211"</f>
        <v>11211</v>
      </c>
      <c r="N365" t="s">
        <v>41</v>
      </c>
      <c r="O365" s="1">
        <v>2601.66</v>
      </c>
      <c r="P365">
        <v>20190115</v>
      </c>
      <c r="Q365" t="s">
        <v>42</v>
      </c>
      <c r="R365" t="s">
        <v>200</v>
      </c>
      <c r="S365" t="s">
        <v>23</v>
      </c>
      <c r="T365" t="s">
        <v>43</v>
      </c>
    </row>
    <row r="366" spans="1:20" x14ac:dyDescent="0.25">
      <c r="A366">
        <v>9</v>
      </c>
      <c r="B366">
        <v>163</v>
      </c>
      <c r="C366" t="str">
        <f t="shared" si="33"/>
        <v>00</v>
      </c>
      <c r="D366">
        <v>2159</v>
      </c>
      <c r="E366" t="str">
        <f t="shared" si="34"/>
        <v>00</v>
      </c>
      <c r="F366" t="str">
        <f>"104"</f>
        <v>104</v>
      </c>
      <c r="G366">
        <v>9</v>
      </c>
      <c r="H366" t="str">
        <f t="shared" si="35"/>
        <v>00</v>
      </c>
      <c r="I366" t="str">
        <f t="shared" si="36"/>
        <v>0</v>
      </c>
      <c r="J366" t="str">
        <f t="shared" si="37"/>
        <v>00</v>
      </c>
      <c r="K366">
        <v>20190115</v>
      </c>
      <c r="L366" t="str">
        <f>"027501"</f>
        <v>027501</v>
      </c>
      <c r="M366" t="str">
        <f>"14177"</f>
        <v>14177</v>
      </c>
      <c r="N366" t="s">
        <v>163</v>
      </c>
      <c r="O366">
        <v>69.5</v>
      </c>
      <c r="P366">
        <v>20190115</v>
      </c>
      <c r="Q366" t="s">
        <v>45</v>
      </c>
      <c r="R366" t="s">
        <v>201</v>
      </c>
      <c r="S366" t="s">
        <v>23</v>
      </c>
      <c r="T366" t="s">
        <v>46</v>
      </c>
    </row>
    <row r="367" spans="1:20" x14ac:dyDescent="0.25">
      <c r="A367">
        <v>9</v>
      </c>
      <c r="B367">
        <v>163</v>
      </c>
      <c r="C367" t="str">
        <f t="shared" si="33"/>
        <v>00</v>
      </c>
      <c r="D367">
        <v>2159</v>
      </c>
      <c r="E367" t="str">
        <f t="shared" si="34"/>
        <v>00</v>
      </c>
      <c r="F367" t="str">
        <f>"014"</f>
        <v>014</v>
      </c>
      <c r="G367">
        <v>9</v>
      </c>
      <c r="H367" t="str">
        <f t="shared" si="35"/>
        <v>00</v>
      </c>
      <c r="I367" t="str">
        <f t="shared" si="36"/>
        <v>0</v>
      </c>
      <c r="J367" t="str">
        <f t="shared" si="37"/>
        <v>00</v>
      </c>
      <c r="K367">
        <v>20190115</v>
      </c>
      <c r="L367" t="str">
        <f>"027502"</f>
        <v>027502</v>
      </c>
      <c r="M367" t="str">
        <f>"20682"</f>
        <v>20682</v>
      </c>
      <c r="N367" t="s">
        <v>86</v>
      </c>
      <c r="O367" s="1">
        <v>2211.88</v>
      </c>
      <c r="P367">
        <v>20190115</v>
      </c>
      <c r="Q367" t="s">
        <v>87</v>
      </c>
      <c r="R367" t="s">
        <v>201</v>
      </c>
      <c r="S367" t="s">
        <v>23</v>
      </c>
      <c r="T367" t="s">
        <v>88</v>
      </c>
    </row>
    <row r="368" spans="1:20" x14ac:dyDescent="0.25">
      <c r="A368">
        <v>9</v>
      </c>
      <c r="B368">
        <v>163</v>
      </c>
      <c r="C368" t="str">
        <f t="shared" si="33"/>
        <v>00</v>
      </c>
      <c r="D368">
        <v>2153</v>
      </c>
      <c r="E368" t="str">
        <f t="shared" si="34"/>
        <v>00</v>
      </c>
      <c r="F368" t="str">
        <f>"024"</f>
        <v>024</v>
      </c>
      <c r="G368">
        <v>9</v>
      </c>
      <c r="H368" t="str">
        <f t="shared" si="35"/>
        <v>00</v>
      </c>
      <c r="I368" t="str">
        <f t="shared" si="36"/>
        <v>0</v>
      </c>
      <c r="J368" t="str">
        <f t="shared" si="37"/>
        <v>00</v>
      </c>
      <c r="K368">
        <v>20190115</v>
      </c>
      <c r="L368" t="str">
        <f>"027503"</f>
        <v>027503</v>
      </c>
      <c r="M368" t="str">
        <f>"21504"</f>
        <v>21504</v>
      </c>
      <c r="N368" t="s">
        <v>89</v>
      </c>
      <c r="O368">
        <v>36.6</v>
      </c>
      <c r="P368">
        <v>20190115</v>
      </c>
      <c r="Q368" t="s">
        <v>90</v>
      </c>
      <c r="R368" t="s">
        <v>200</v>
      </c>
      <c r="S368" t="s">
        <v>23</v>
      </c>
      <c r="T368" t="s">
        <v>91</v>
      </c>
    </row>
    <row r="369" spans="1:20" x14ac:dyDescent="0.25">
      <c r="A369">
        <v>9</v>
      </c>
      <c r="B369">
        <v>163</v>
      </c>
      <c r="C369" t="str">
        <f t="shared" si="33"/>
        <v>00</v>
      </c>
      <c r="D369">
        <v>2153</v>
      </c>
      <c r="E369" t="str">
        <f t="shared" si="34"/>
        <v>00</v>
      </c>
      <c r="F369" t="str">
        <f>"026"</f>
        <v>026</v>
      </c>
      <c r="G369">
        <v>9</v>
      </c>
      <c r="H369" t="str">
        <f t="shared" si="35"/>
        <v>00</v>
      </c>
      <c r="I369" t="str">
        <f t="shared" si="36"/>
        <v>0</v>
      </c>
      <c r="J369" t="str">
        <f t="shared" si="37"/>
        <v>00</v>
      </c>
      <c r="K369">
        <v>20190115</v>
      </c>
      <c r="L369" t="str">
        <f>"027504"</f>
        <v>027504</v>
      </c>
      <c r="M369" t="str">
        <f>"21506"</f>
        <v>21506</v>
      </c>
      <c r="N369" t="s">
        <v>92</v>
      </c>
      <c r="O369">
        <v>102.75</v>
      </c>
      <c r="P369">
        <v>20190115</v>
      </c>
      <c r="Q369" t="s">
        <v>93</v>
      </c>
      <c r="R369" t="s">
        <v>200</v>
      </c>
      <c r="S369" t="s">
        <v>23</v>
      </c>
      <c r="T369" t="s">
        <v>94</v>
      </c>
    </row>
    <row r="370" spans="1:20" x14ac:dyDescent="0.25">
      <c r="A370">
        <v>9</v>
      </c>
      <c r="B370">
        <v>163</v>
      </c>
      <c r="C370" t="str">
        <f t="shared" si="33"/>
        <v>00</v>
      </c>
      <c r="D370">
        <v>2159</v>
      </c>
      <c r="E370" t="str">
        <f t="shared" si="34"/>
        <v>00</v>
      </c>
      <c r="F370" t="str">
        <f>"117"</f>
        <v>117</v>
      </c>
      <c r="G370">
        <v>9</v>
      </c>
      <c r="H370" t="str">
        <f t="shared" si="35"/>
        <v>00</v>
      </c>
      <c r="I370" t="str">
        <f t="shared" si="36"/>
        <v>0</v>
      </c>
      <c r="J370" t="str">
        <f t="shared" si="37"/>
        <v>00</v>
      </c>
      <c r="K370">
        <v>20190115</v>
      </c>
      <c r="L370" t="str">
        <f>"027505"</f>
        <v>027505</v>
      </c>
      <c r="M370" t="str">
        <f>"21826"</f>
        <v>21826</v>
      </c>
      <c r="N370" t="s">
        <v>95</v>
      </c>
      <c r="O370">
        <v>804.78</v>
      </c>
      <c r="P370">
        <v>20190115</v>
      </c>
      <c r="Q370" t="s">
        <v>96</v>
      </c>
      <c r="R370" t="s">
        <v>201</v>
      </c>
      <c r="S370" t="s">
        <v>23</v>
      </c>
      <c r="T370" t="s">
        <v>97</v>
      </c>
    </row>
    <row r="371" spans="1:20" x14ac:dyDescent="0.25">
      <c r="A371">
        <v>9</v>
      </c>
      <c r="B371">
        <v>163</v>
      </c>
      <c r="C371" t="str">
        <f t="shared" si="33"/>
        <v>00</v>
      </c>
      <c r="D371">
        <v>2159</v>
      </c>
      <c r="E371" t="str">
        <f t="shared" si="34"/>
        <v>00</v>
      </c>
      <c r="F371" t="str">
        <f>"108"</f>
        <v>108</v>
      </c>
      <c r="G371">
        <v>9</v>
      </c>
      <c r="H371" t="str">
        <f t="shared" si="35"/>
        <v>00</v>
      </c>
      <c r="I371" t="str">
        <f t="shared" si="36"/>
        <v>0</v>
      </c>
      <c r="J371" t="str">
        <f t="shared" si="37"/>
        <v>00</v>
      </c>
      <c r="K371">
        <v>20190115</v>
      </c>
      <c r="L371" t="str">
        <f>"027506"</f>
        <v>027506</v>
      </c>
      <c r="M371" t="str">
        <f>"29572"</f>
        <v>29572</v>
      </c>
      <c r="N371" t="s">
        <v>165</v>
      </c>
      <c r="O371">
        <v>21.87</v>
      </c>
      <c r="P371">
        <v>20190115</v>
      </c>
      <c r="Q371" t="s">
        <v>166</v>
      </c>
      <c r="R371" t="s">
        <v>201</v>
      </c>
      <c r="S371" t="s">
        <v>23</v>
      </c>
      <c r="T371" t="s">
        <v>167</v>
      </c>
    </row>
    <row r="372" spans="1:20" x14ac:dyDescent="0.25">
      <c r="A372">
        <v>9</v>
      </c>
      <c r="B372">
        <v>163</v>
      </c>
      <c r="C372" t="str">
        <f t="shared" si="33"/>
        <v>00</v>
      </c>
      <c r="D372">
        <v>2159</v>
      </c>
      <c r="E372" t="str">
        <f t="shared" si="34"/>
        <v>00</v>
      </c>
      <c r="F372" t="str">
        <f>"140"</f>
        <v>140</v>
      </c>
      <c r="G372">
        <v>9</v>
      </c>
      <c r="H372" t="str">
        <f t="shared" si="35"/>
        <v>00</v>
      </c>
      <c r="I372" t="str">
        <f t="shared" si="36"/>
        <v>0</v>
      </c>
      <c r="J372" t="str">
        <f t="shared" si="37"/>
        <v>00</v>
      </c>
      <c r="K372">
        <v>20190115</v>
      </c>
      <c r="L372" t="str">
        <f>"027507"</f>
        <v>027507</v>
      </c>
      <c r="M372" t="str">
        <f>"47701"</f>
        <v>47701</v>
      </c>
      <c r="N372" t="s">
        <v>98</v>
      </c>
      <c r="O372">
        <v>416.7</v>
      </c>
      <c r="P372">
        <v>20190115</v>
      </c>
      <c r="Q372" t="s">
        <v>99</v>
      </c>
      <c r="R372" t="s">
        <v>201</v>
      </c>
      <c r="S372" t="s">
        <v>23</v>
      </c>
      <c r="T372" t="s">
        <v>100</v>
      </c>
    </row>
    <row r="373" spans="1:20" x14ac:dyDescent="0.25">
      <c r="A373">
        <v>9</v>
      </c>
      <c r="B373">
        <v>163</v>
      </c>
      <c r="C373" t="str">
        <f t="shared" si="33"/>
        <v>00</v>
      </c>
      <c r="D373">
        <v>2153</v>
      </c>
      <c r="E373" t="str">
        <f t="shared" si="34"/>
        <v>00</v>
      </c>
      <c r="F373" t="str">
        <f>"110"</f>
        <v>110</v>
      </c>
      <c r="G373">
        <v>9</v>
      </c>
      <c r="H373" t="str">
        <f t="shared" si="35"/>
        <v>00</v>
      </c>
      <c r="I373" t="str">
        <f t="shared" si="36"/>
        <v>0</v>
      </c>
      <c r="J373" t="str">
        <f t="shared" si="37"/>
        <v>00</v>
      </c>
      <c r="K373">
        <v>20190115</v>
      </c>
      <c r="L373" t="str">
        <f>"027508"</f>
        <v>027508</v>
      </c>
      <c r="M373" t="str">
        <f>"48947"</f>
        <v>48947</v>
      </c>
      <c r="N373" t="s">
        <v>47</v>
      </c>
      <c r="O373" s="1">
        <v>1964.81</v>
      </c>
      <c r="P373">
        <v>20190115</v>
      </c>
      <c r="Q373" t="s">
        <v>48</v>
      </c>
      <c r="R373" t="s">
        <v>199</v>
      </c>
      <c r="S373" t="s">
        <v>23</v>
      </c>
      <c r="T373" t="s">
        <v>49</v>
      </c>
    </row>
    <row r="374" spans="1:20" x14ac:dyDescent="0.25">
      <c r="A374">
        <v>9</v>
      </c>
      <c r="B374">
        <v>163</v>
      </c>
      <c r="C374" t="str">
        <f t="shared" si="33"/>
        <v>00</v>
      </c>
      <c r="D374">
        <v>2159</v>
      </c>
      <c r="E374" t="str">
        <f t="shared" si="34"/>
        <v>00</v>
      </c>
      <c r="F374" t="str">
        <f>"032"</f>
        <v>032</v>
      </c>
      <c r="G374">
        <v>9</v>
      </c>
      <c r="H374" t="str">
        <f t="shared" si="35"/>
        <v>00</v>
      </c>
      <c r="I374" t="str">
        <f t="shared" si="36"/>
        <v>0</v>
      </c>
      <c r="J374" t="str">
        <f t="shared" si="37"/>
        <v>00</v>
      </c>
      <c r="K374">
        <v>20190115</v>
      </c>
      <c r="L374" t="str">
        <f t="shared" ref="L374:L392" si="38">"027509"</f>
        <v>027509</v>
      </c>
      <c r="M374" t="str">
        <f t="shared" ref="M374:M392" si="39">"54196"</f>
        <v>54196</v>
      </c>
      <c r="N374" t="s">
        <v>50</v>
      </c>
      <c r="O374">
        <v>50</v>
      </c>
      <c r="P374">
        <v>20190115</v>
      </c>
      <c r="Q374" t="s">
        <v>101</v>
      </c>
      <c r="R374" t="s">
        <v>202</v>
      </c>
      <c r="S374" t="s">
        <v>23</v>
      </c>
      <c r="T374" t="s">
        <v>102</v>
      </c>
    </row>
    <row r="375" spans="1:20" x14ac:dyDescent="0.25">
      <c r="A375">
        <v>9</v>
      </c>
      <c r="B375">
        <v>163</v>
      </c>
      <c r="C375" t="str">
        <f t="shared" si="33"/>
        <v>00</v>
      </c>
      <c r="D375">
        <v>2159</v>
      </c>
      <c r="E375" t="str">
        <f t="shared" si="34"/>
        <v>00</v>
      </c>
      <c r="F375" t="str">
        <f>"033"</f>
        <v>033</v>
      </c>
      <c r="G375">
        <v>9</v>
      </c>
      <c r="H375" t="str">
        <f t="shared" si="35"/>
        <v>00</v>
      </c>
      <c r="I375" t="str">
        <f t="shared" si="36"/>
        <v>0</v>
      </c>
      <c r="J375" t="str">
        <f t="shared" si="37"/>
        <v>00</v>
      </c>
      <c r="K375">
        <v>20190115</v>
      </c>
      <c r="L375" t="str">
        <f t="shared" si="38"/>
        <v>027509</v>
      </c>
      <c r="M375" t="str">
        <f t="shared" si="39"/>
        <v>54196</v>
      </c>
      <c r="N375" t="s">
        <v>50</v>
      </c>
      <c r="O375">
        <v>283</v>
      </c>
      <c r="P375">
        <v>20190115</v>
      </c>
      <c r="Q375" t="s">
        <v>103</v>
      </c>
      <c r="R375" t="s">
        <v>202</v>
      </c>
      <c r="S375" t="s">
        <v>23</v>
      </c>
      <c r="T375" t="s">
        <v>104</v>
      </c>
    </row>
    <row r="376" spans="1:20" x14ac:dyDescent="0.25">
      <c r="A376">
        <v>9</v>
      </c>
      <c r="B376">
        <v>163</v>
      </c>
      <c r="C376" t="str">
        <f t="shared" si="33"/>
        <v>00</v>
      </c>
      <c r="D376">
        <v>2159</v>
      </c>
      <c r="E376" t="str">
        <f t="shared" si="34"/>
        <v>00</v>
      </c>
      <c r="F376" t="str">
        <f>"041"</f>
        <v>041</v>
      </c>
      <c r="G376">
        <v>9</v>
      </c>
      <c r="H376" t="str">
        <f t="shared" si="35"/>
        <v>00</v>
      </c>
      <c r="I376" t="str">
        <f t="shared" si="36"/>
        <v>0</v>
      </c>
      <c r="J376" t="str">
        <f t="shared" si="37"/>
        <v>00</v>
      </c>
      <c r="K376">
        <v>20190115</v>
      </c>
      <c r="L376" t="str">
        <f t="shared" si="38"/>
        <v>027509</v>
      </c>
      <c r="M376" t="str">
        <f t="shared" si="39"/>
        <v>54196</v>
      </c>
      <c r="N376" t="s">
        <v>50</v>
      </c>
      <c r="O376" s="1">
        <v>1340</v>
      </c>
      <c r="P376">
        <v>20190115</v>
      </c>
      <c r="Q376" t="s">
        <v>105</v>
      </c>
      <c r="R376" t="s">
        <v>202</v>
      </c>
      <c r="S376" t="s">
        <v>23</v>
      </c>
      <c r="T376" t="s">
        <v>106</v>
      </c>
    </row>
    <row r="377" spans="1:20" x14ac:dyDescent="0.25">
      <c r="A377">
        <v>9</v>
      </c>
      <c r="B377">
        <v>163</v>
      </c>
      <c r="C377" t="str">
        <f t="shared" si="33"/>
        <v>00</v>
      </c>
      <c r="D377">
        <v>2159</v>
      </c>
      <c r="E377" t="str">
        <f t="shared" si="34"/>
        <v>00</v>
      </c>
      <c r="F377" t="str">
        <f>"042"</f>
        <v>042</v>
      </c>
      <c r="G377">
        <v>9</v>
      </c>
      <c r="H377" t="str">
        <f t="shared" si="35"/>
        <v>00</v>
      </c>
      <c r="I377" t="str">
        <f t="shared" si="36"/>
        <v>0</v>
      </c>
      <c r="J377" t="str">
        <f t="shared" si="37"/>
        <v>00</v>
      </c>
      <c r="K377">
        <v>20190115</v>
      </c>
      <c r="L377" t="str">
        <f t="shared" si="38"/>
        <v>027509</v>
      </c>
      <c r="M377" t="str">
        <f t="shared" si="39"/>
        <v>54196</v>
      </c>
      <c r="N377" t="s">
        <v>50</v>
      </c>
      <c r="O377" s="1">
        <v>2075</v>
      </c>
      <c r="P377">
        <v>20190115</v>
      </c>
      <c r="Q377" t="s">
        <v>107</v>
      </c>
      <c r="R377" t="s">
        <v>202</v>
      </c>
      <c r="S377" t="s">
        <v>23</v>
      </c>
      <c r="T377" t="s">
        <v>108</v>
      </c>
    </row>
    <row r="378" spans="1:20" x14ac:dyDescent="0.25">
      <c r="A378">
        <v>9</v>
      </c>
      <c r="B378">
        <v>163</v>
      </c>
      <c r="C378" t="str">
        <f t="shared" si="33"/>
        <v>00</v>
      </c>
      <c r="D378">
        <v>2159</v>
      </c>
      <c r="E378" t="str">
        <f t="shared" si="34"/>
        <v>00</v>
      </c>
      <c r="F378" t="str">
        <f>"046"</f>
        <v>046</v>
      </c>
      <c r="G378">
        <v>9</v>
      </c>
      <c r="H378" t="str">
        <f t="shared" si="35"/>
        <v>00</v>
      </c>
      <c r="I378" t="str">
        <f t="shared" si="36"/>
        <v>0</v>
      </c>
      <c r="J378" t="str">
        <f t="shared" si="37"/>
        <v>00</v>
      </c>
      <c r="K378">
        <v>20190115</v>
      </c>
      <c r="L378" t="str">
        <f t="shared" si="38"/>
        <v>027509</v>
      </c>
      <c r="M378" t="str">
        <f t="shared" si="39"/>
        <v>54196</v>
      </c>
      <c r="N378" t="s">
        <v>50</v>
      </c>
      <c r="O378">
        <v>40</v>
      </c>
      <c r="P378">
        <v>20190115</v>
      </c>
      <c r="Q378" t="s">
        <v>109</v>
      </c>
      <c r="R378" t="s">
        <v>202</v>
      </c>
      <c r="S378" t="s">
        <v>23</v>
      </c>
      <c r="T378" t="s">
        <v>110</v>
      </c>
    </row>
    <row r="379" spans="1:20" x14ac:dyDescent="0.25">
      <c r="A379">
        <v>9</v>
      </c>
      <c r="B379">
        <v>163</v>
      </c>
      <c r="C379" t="str">
        <f t="shared" si="33"/>
        <v>00</v>
      </c>
      <c r="D379">
        <v>2159</v>
      </c>
      <c r="E379" t="str">
        <f t="shared" si="34"/>
        <v>00</v>
      </c>
      <c r="F379" t="str">
        <f>"058"</f>
        <v>058</v>
      </c>
      <c r="G379">
        <v>9</v>
      </c>
      <c r="H379" t="str">
        <f t="shared" si="35"/>
        <v>00</v>
      </c>
      <c r="I379" t="str">
        <f t="shared" si="36"/>
        <v>0</v>
      </c>
      <c r="J379" t="str">
        <f t="shared" si="37"/>
        <v>00</v>
      </c>
      <c r="K379">
        <v>20190115</v>
      </c>
      <c r="L379" t="str">
        <f t="shared" si="38"/>
        <v>027509</v>
      </c>
      <c r="M379" t="str">
        <f t="shared" si="39"/>
        <v>54196</v>
      </c>
      <c r="N379" t="s">
        <v>50</v>
      </c>
      <c r="O379" s="1">
        <v>1967</v>
      </c>
      <c r="P379">
        <v>20190115</v>
      </c>
      <c r="Q379" t="s">
        <v>111</v>
      </c>
      <c r="R379" t="s">
        <v>202</v>
      </c>
      <c r="S379" t="s">
        <v>23</v>
      </c>
      <c r="T379" t="s">
        <v>112</v>
      </c>
    </row>
    <row r="380" spans="1:20" x14ac:dyDescent="0.25">
      <c r="A380">
        <v>9</v>
      </c>
      <c r="B380">
        <v>163</v>
      </c>
      <c r="C380" t="str">
        <f t="shared" si="33"/>
        <v>00</v>
      </c>
      <c r="D380">
        <v>2159</v>
      </c>
      <c r="E380" t="str">
        <f t="shared" si="34"/>
        <v>00</v>
      </c>
      <c r="F380" t="str">
        <f>"059"</f>
        <v>059</v>
      </c>
      <c r="G380">
        <v>9</v>
      </c>
      <c r="H380" t="str">
        <f t="shared" si="35"/>
        <v>00</v>
      </c>
      <c r="I380" t="str">
        <f t="shared" si="36"/>
        <v>0</v>
      </c>
      <c r="J380" t="str">
        <f t="shared" si="37"/>
        <v>00</v>
      </c>
      <c r="K380">
        <v>20190115</v>
      </c>
      <c r="L380" t="str">
        <f t="shared" si="38"/>
        <v>027509</v>
      </c>
      <c r="M380" t="str">
        <f t="shared" si="39"/>
        <v>54196</v>
      </c>
      <c r="N380" t="s">
        <v>50</v>
      </c>
      <c r="O380">
        <v>672</v>
      </c>
      <c r="P380">
        <v>20190115</v>
      </c>
      <c r="Q380" t="s">
        <v>113</v>
      </c>
      <c r="R380" t="s">
        <v>202</v>
      </c>
      <c r="S380" t="s">
        <v>23</v>
      </c>
      <c r="T380" t="s">
        <v>114</v>
      </c>
    </row>
    <row r="381" spans="1:20" x14ac:dyDescent="0.25">
      <c r="A381">
        <v>9</v>
      </c>
      <c r="B381">
        <v>163</v>
      </c>
      <c r="C381" t="str">
        <f t="shared" si="33"/>
        <v>00</v>
      </c>
      <c r="D381">
        <v>2159</v>
      </c>
      <c r="E381" t="str">
        <f t="shared" si="34"/>
        <v>00</v>
      </c>
      <c r="F381" t="str">
        <f>"072"</f>
        <v>072</v>
      </c>
      <c r="G381">
        <v>9</v>
      </c>
      <c r="H381" t="str">
        <f t="shared" si="35"/>
        <v>00</v>
      </c>
      <c r="I381" t="str">
        <f t="shared" si="36"/>
        <v>0</v>
      </c>
      <c r="J381" t="str">
        <f t="shared" si="37"/>
        <v>00</v>
      </c>
      <c r="K381">
        <v>20190115</v>
      </c>
      <c r="L381" t="str">
        <f t="shared" si="38"/>
        <v>027509</v>
      </c>
      <c r="M381" t="str">
        <f t="shared" si="39"/>
        <v>54196</v>
      </c>
      <c r="N381" t="s">
        <v>50</v>
      </c>
      <c r="O381">
        <v>50</v>
      </c>
      <c r="P381">
        <v>20190115</v>
      </c>
      <c r="Q381" t="s">
        <v>115</v>
      </c>
      <c r="R381" t="s">
        <v>202</v>
      </c>
      <c r="S381" t="s">
        <v>23</v>
      </c>
      <c r="T381" t="s">
        <v>116</v>
      </c>
    </row>
    <row r="382" spans="1:20" x14ac:dyDescent="0.25">
      <c r="A382">
        <v>9</v>
      </c>
      <c r="B382">
        <v>163</v>
      </c>
      <c r="C382" t="str">
        <f t="shared" si="33"/>
        <v>00</v>
      </c>
      <c r="D382">
        <v>2159</v>
      </c>
      <c r="E382" t="str">
        <f t="shared" si="34"/>
        <v>00</v>
      </c>
      <c r="F382" t="str">
        <f>"075"</f>
        <v>075</v>
      </c>
      <c r="G382">
        <v>9</v>
      </c>
      <c r="H382" t="str">
        <f t="shared" si="35"/>
        <v>00</v>
      </c>
      <c r="I382" t="str">
        <f t="shared" si="36"/>
        <v>0</v>
      </c>
      <c r="J382" t="str">
        <f t="shared" si="37"/>
        <v>00</v>
      </c>
      <c r="K382">
        <v>20190115</v>
      </c>
      <c r="L382" t="str">
        <f t="shared" si="38"/>
        <v>027509</v>
      </c>
      <c r="M382" t="str">
        <f t="shared" si="39"/>
        <v>54196</v>
      </c>
      <c r="N382" t="s">
        <v>50</v>
      </c>
      <c r="O382">
        <v>100</v>
      </c>
      <c r="P382">
        <v>20190115</v>
      </c>
      <c r="Q382" t="s">
        <v>117</v>
      </c>
      <c r="R382" t="s">
        <v>202</v>
      </c>
      <c r="S382" t="s">
        <v>23</v>
      </c>
      <c r="T382" t="s">
        <v>118</v>
      </c>
    </row>
    <row r="383" spans="1:20" x14ac:dyDescent="0.25">
      <c r="A383">
        <v>9</v>
      </c>
      <c r="B383">
        <v>163</v>
      </c>
      <c r="C383" t="str">
        <f t="shared" si="33"/>
        <v>00</v>
      </c>
      <c r="D383">
        <v>2159</v>
      </c>
      <c r="E383" t="str">
        <f t="shared" si="34"/>
        <v>00</v>
      </c>
      <c r="F383" t="str">
        <f>"078"</f>
        <v>078</v>
      </c>
      <c r="G383">
        <v>9</v>
      </c>
      <c r="H383" t="str">
        <f t="shared" si="35"/>
        <v>00</v>
      </c>
      <c r="I383" t="str">
        <f t="shared" si="36"/>
        <v>0</v>
      </c>
      <c r="J383" t="str">
        <f t="shared" si="37"/>
        <v>00</v>
      </c>
      <c r="K383">
        <v>20190115</v>
      </c>
      <c r="L383" t="str">
        <f t="shared" si="38"/>
        <v>027509</v>
      </c>
      <c r="M383" t="str">
        <f t="shared" si="39"/>
        <v>54196</v>
      </c>
      <c r="N383" t="s">
        <v>50</v>
      </c>
      <c r="O383">
        <v>750</v>
      </c>
      <c r="P383">
        <v>20190115</v>
      </c>
      <c r="Q383" t="s">
        <v>119</v>
      </c>
      <c r="R383" t="s">
        <v>202</v>
      </c>
      <c r="S383" t="s">
        <v>23</v>
      </c>
      <c r="T383" t="s">
        <v>120</v>
      </c>
    </row>
    <row r="384" spans="1:20" x14ac:dyDescent="0.25">
      <c r="A384">
        <v>9</v>
      </c>
      <c r="B384">
        <v>163</v>
      </c>
      <c r="C384" t="str">
        <f t="shared" si="33"/>
        <v>00</v>
      </c>
      <c r="D384">
        <v>2159</v>
      </c>
      <c r="E384" t="str">
        <f t="shared" si="34"/>
        <v>00</v>
      </c>
      <c r="F384" t="str">
        <f>"082"</f>
        <v>082</v>
      </c>
      <c r="G384">
        <v>9</v>
      </c>
      <c r="H384" t="str">
        <f t="shared" si="35"/>
        <v>00</v>
      </c>
      <c r="I384" t="str">
        <f t="shared" si="36"/>
        <v>0</v>
      </c>
      <c r="J384" t="str">
        <f t="shared" si="37"/>
        <v>00</v>
      </c>
      <c r="K384">
        <v>20190115</v>
      </c>
      <c r="L384" t="str">
        <f t="shared" si="38"/>
        <v>027509</v>
      </c>
      <c r="M384" t="str">
        <f t="shared" si="39"/>
        <v>54196</v>
      </c>
      <c r="N384" t="s">
        <v>50</v>
      </c>
      <c r="O384">
        <v>300</v>
      </c>
      <c r="P384">
        <v>20190115</v>
      </c>
      <c r="Q384" t="s">
        <v>121</v>
      </c>
      <c r="R384" t="s">
        <v>202</v>
      </c>
      <c r="S384" t="s">
        <v>23</v>
      </c>
      <c r="T384" t="s">
        <v>122</v>
      </c>
    </row>
    <row r="385" spans="1:20" x14ac:dyDescent="0.25">
      <c r="A385">
        <v>9</v>
      </c>
      <c r="B385">
        <v>163</v>
      </c>
      <c r="C385" t="str">
        <f t="shared" si="33"/>
        <v>00</v>
      </c>
      <c r="D385">
        <v>2159</v>
      </c>
      <c r="E385" t="str">
        <f t="shared" si="34"/>
        <v>00</v>
      </c>
      <c r="F385" t="str">
        <f>"091"</f>
        <v>091</v>
      </c>
      <c r="G385">
        <v>9</v>
      </c>
      <c r="H385" t="str">
        <f t="shared" si="35"/>
        <v>00</v>
      </c>
      <c r="I385" t="str">
        <f t="shared" si="36"/>
        <v>0</v>
      </c>
      <c r="J385" t="str">
        <f t="shared" si="37"/>
        <v>00</v>
      </c>
      <c r="K385">
        <v>20190115</v>
      </c>
      <c r="L385" t="str">
        <f t="shared" si="38"/>
        <v>027509</v>
      </c>
      <c r="M385" t="str">
        <f t="shared" si="39"/>
        <v>54196</v>
      </c>
      <c r="N385" t="s">
        <v>50</v>
      </c>
      <c r="O385">
        <v>100</v>
      </c>
      <c r="P385">
        <v>20190115</v>
      </c>
      <c r="Q385" t="s">
        <v>123</v>
      </c>
      <c r="R385" t="s">
        <v>202</v>
      </c>
      <c r="S385" t="s">
        <v>23</v>
      </c>
      <c r="T385" t="s">
        <v>124</v>
      </c>
    </row>
    <row r="386" spans="1:20" x14ac:dyDescent="0.25">
      <c r="A386">
        <v>9</v>
      </c>
      <c r="B386">
        <v>163</v>
      </c>
      <c r="C386" t="str">
        <f t="shared" ref="C386:C449" si="40">"00"</f>
        <v>00</v>
      </c>
      <c r="D386">
        <v>2159</v>
      </c>
      <c r="E386" t="str">
        <f t="shared" ref="E386:E449" si="41">"00"</f>
        <v>00</v>
      </c>
      <c r="F386" t="str">
        <f>"122"</f>
        <v>122</v>
      </c>
      <c r="G386">
        <v>9</v>
      </c>
      <c r="H386" t="str">
        <f t="shared" ref="H386:H449" si="42">"00"</f>
        <v>00</v>
      </c>
      <c r="I386" t="str">
        <f t="shared" ref="I386:I449" si="43">"0"</f>
        <v>0</v>
      </c>
      <c r="J386" t="str">
        <f t="shared" ref="J386:J449" si="44">"00"</f>
        <v>00</v>
      </c>
      <c r="K386">
        <v>20190115</v>
      </c>
      <c r="L386" t="str">
        <f t="shared" si="38"/>
        <v>027509</v>
      </c>
      <c r="M386" t="str">
        <f t="shared" si="39"/>
        <v>54196</v>
      </c>
      <c r="N386" t="s">
        <v>50</v>
      </c>
      <c r="O386">
        <v>100</v>
      </c>
      <c r="P386">
        <v>20190115</v>
      </c>
      <c r="Q386" t="s">
        <v>125</v>
      </c>
      <c r="R386" t="s">
        <v>203</v>
      </c>
      <c r="S386" t="s">
        <v>23</v>
      </c>
      <c r="T386" t="s">
        <v>127</v>
      </c>
    </row>
    <row r="387" spans="1:20" x14ac:dyDescent="0.25">
      <c r="A387">
        <v>9</v>
      </c>
      <c r="B387">
        <v>163</v>
      </c>
      <c r="C387" t="str">
        <f t="shared" si="40"/>
        <v>00</v>
      </c>
      <c r="D387">
        <v>2159</v>
      </c>
      <c r="E387" t="str">
        <f t="shared" si="41"/>
        <v>00</v>
      </c>
      <c r="F387" t="str">
        <f>"130"</f>
        <v>130</v>
      </c>
      <c r="G387">
        <v>9</v>
      </c>
      <c r="H387" t="str">
        <f t="shared" si="42"/>
        <v>00</v>
      </c>
      <c r="I387" t="str">
        <f t="shared" si="43"/>
        <v>0</v>
      </c>
      <c r="J387" t="str">
        <f t="shared" si="44"/>
        <v>00</v>
      </c>
      <c r="K387">
        <v>20190115</v>
      </c>
      <c r="L387" t="str">
        <f t="shared" si="38"/>
        <v>027509</v>
      </c>
      <c r="M387" t="str">
        <f t="shared" si="39"/>
        <v>54196</v>
      </c>
      <c r="N387" t="s">
        <v>50</v>
      </c>
      <c r="O387" s="1">
        <v>9616</v>
      </c>
      <c r="P387">
        <v>20190115</v>
      </c>
      <c r="Q387" t="s">
        <v>128</v>
      </c>
      <c r="R387" t="s">
        <v>204</v>
      </c>
      <c r="S387" t="s">
        <v>23</v>
      </c>
      <c r="T387" t="s">
        <v>112</v>
      </c>
    </row>
    <row r="388" spans="1:20" x14ac:dyDescent="0.25">
      <c r="A388">
        <v>9</v>
      </c>
      <c r="B388">
        <v>163</v>
      </c>
      <c r="C388" t="str">
        <f t="shared" si="40"/>
        <v>00</v>
      </c>
      <c r="D388">
        <v>2159</v>
      </c>
      <c r="E388" t="str">
        <f t="shared" si="41"/>
        <v>00</v>
      </c>
      <c r="F388" t="str">
        <f>"131"</f>
        <v>131</v>
      </c>
      <c r="G388">
        <v>9</v>
      </c>
      <c r="H388" t="str">
        <f t="shared" si="42"/>
        <v>00</v>
      </c>
      <c r="I388" t="str">
        <f t="shared" si="43"/>
        <v>0</v>
      </c>
      <c r="J388" t="str">
        <f t="shared" si="44"/>
        <v>00</v>
      </c>
      <c r="K388">
        <v>20190115</v>
      </c>
      <c r="L388" t="str">
        <f t="shared" si="38"/>
        <v>027509</v>
      </c>
      <c r="M388" t="str">
        <f t="shared" si="39"/>
        <v>54196</v>
      </c>
      <c r="N388" t="s">
        <v>50</v>
      </c>
      <c r="O388" s="1">
        <v>1825</v>
      </c>
      <c r="P388">
        <v>20190115</v>
      </c>
      <c r="Q388" t="s">
        <v>51</v>
      </c>
      <c r="R388" t="s">
        <v>202</v>
      </c>
      <c r="S388" t="s">
        <v>23</v>
      </c>
      <c r="T388" t="s">
        <v>53</v>
      </c>
    </row>
    <row r="389" spans="1:20" x14ac:dyDescent="0.25">
      <c r="A389">
        <v>9</v>
      </c>
      <c r="B389">
        <v>163</v>
      </c>
      <c r="C389" t="str">
        <f t="shared" si="40"/>
        <v>00</v>
      </c>
      <c r="D389">
        <v>2159</v>
      </c>
      <c r="E389" t="str">
        <f t="shared" si="41"/>
        <v>00</v>
      </c>
      <c r="F389" t="str">
        <f>"136"</f>
        <v>136</v>
      </c>
      <c r="G389">
        <v>9</v>
      </c>
      <c r="H389" t="str">
        <f t="shared" si="42"/>
        <v>00</v>
      </c>
      <c r="I389" t="str">
        <f t="shared" si="43"/>
        <v>0</v>
      </c>
      <c r="J389" t="str">
        <f t="shared" si="44"/>
        <v>00</v>
      </c>
      <c r="K389">
        <v>20190115</v>
      </c>
      <c r="L389" t="str">
        <f t="shared" si="38"/>
        <v>027509</v>
      </c>
      <c r="M389" t="str">
        <f t="shared" si="39"/>
        <v>54196</v>
      </c>
      <c r="N389" t="s">
        <v>50</v>
      </c>
      <c r="O389" s="1">
        <v>1775</v>
      </c>
      <c r="P389">
        <v>20190115</v>
      </c>
      <c r="Q389" t="s">
        <v>130</v>
      </c>
      <c r="R389" t="s">
        <v>205</v>
      </c>
      <c r="S389" t="s">
        <v>23</v>
      </c>
      <c r="T389" t="s">
        <v>132</v>
      </c>
    </row>
    <row r="390" spans="1:20" x14ac:dyDescent="0.25">
      <c r="A390">
        <v>9</v>
      </c>
      <c r="B390">
        <v>163</v>
      </c>
      <c r="C390" t="str">
        <f t="shared" si="40"/>
        <v>00</v>
      </c>
      <c r="D390">
        <v>2159</v>
      </c>
      <c r="E390" t="str">
        <f t="shared" si="41"/>
        <v>00</v>
      </c>
      <c r="F390" t="str">
        <f>"137"</f>
        <v>137</v>
      </c>
      <c r="G390">
        <v>9</v>
      </c>
      <c r="H390" t="str">
        <f t="shared" si="42"/>
        <v>00</v>
      </c>
      <c r="I390" t="str">
        <f t="shared" si="43"/>
        <v>0</v>
      </c>
      <c r="J390" t="str">
        <f t="shared" si="44"/>
        <v>00</v>
      </c>
      <c r="K390">
        <v>20190115</v>
      </c>
      <c r="L390" t="str">
        <f t="shared" si="38"/>
        <v>027509</v>
      </c>
      <c r="M390" t="str">
        <f t="shared" si="39"/>
        <v>54196</v>
      </c>
      <c r="N390" t="s">
        <v>50</v>
      </c>
      <c r="O390" s="1">
        <v>2680</v>
      </c>
      <c r="P390">
        <v>20190115</v>
      </c>
      <c r="Q390" t="s">
        <v>133</v>
      </c>
      <c r="R390" t="s">
        <v>204</v>
      </c>
      <c r="S390" t="s">
        <v>23</v>
      </c>
      <c r="T390" t="s">
        <v>134</v>
      </c>
    </row>
    <row r="391" spans="1:20" x14ac:dyDescent="0.25">
      <c r="A391">
        <v>9</v>
      </c>
      <c r="B391">
        <v>163</v>
      </c>
      <c r="C391" t="str">
        <f t="shared" si="40"/>
        <v>00</v>
      </c>
      <c r="D391">
        <v>2159</v>
      </c>
      <c r="E391" t="str">
        <f t="shared" si="41"/>
        <v>00</v>
      </c>
      <c r="F391" t="str">
        <f>"138"</f>
        <v>138</v>
      </c>
      <c r="G391">
        <v>9</v>
      </c>
      <c r="H391" t="str">
        <f t="shared" si="42"/>
        <v>00</v>
      </c>
      <c r="I391" t="str">
        <f t="shared" si="43"/>
        <v>0</v>
      </c>
      <c r="J391" t="str">
        <f t="shared" si="44"/>
        <v>00</v>
      </c>
      <c r="K391">
        <v>20190115</v>
      </c>
      <c r="L391" t="str">
        <f t="shared" si="38"/>
        <v>027509</v>
      </c>
      <c r="M391" t="str">
        <f t="shared" si="39"/>
        <v>54196</v>
      </c>
      <c r="N391" t="s">
        <v>50</v>
      </c>
      <c r="O391">
        <v>300</v>
      </c>
      <c r="P391">
        <v>20190115</v>
      </c>
      <c r="Q391" t="s">
        <v>135</v>
      </c>
      <c r="R391" t="s">
        <v>205</v>
      </c>
      <c r="S391" t="s">
        <v>23</v>
      </c>
      <c r="T391" t="s">
        <v>134</v>
      </c>
    </row>
    <row r="392" spans="1:20" x14ac:dyDescent="0.25">
      <c r="A392">
        <v>9</v>
      </c>
      <c r="B392">
        <v>163</v>
      </c>
      <c r="C392" t="str">
        <f t="shared" si="40"/>
        <v>00</v>
      </c>
      <c r="D392">
        <v>2159</v>
      </c>
      <c r="E392" t="str">
        <f t="shared" si="41"/>
        <v>00</v>
      </c>
      <c r="F392" t="str">
        <f>"150"</f>
        <v>150</v>
      </c>
      <c r="G392">
        <v>9</v>
      </c>
      <c r="H392" t="str">
        <f t="shared" si="42"/>
        <v>00</v>
      </c>
      <c r="I392" t="str">
        <f t="shared" si="43"/>
        <v>0</v>
      </c>
      <c r="J392" t="str">
        <f t="shared" si="44"/>
        <v>00</v>
      </c>
      <c r="K392">
        <v>20190115</v>
      </c>
      <c r="L392" t="str">
        <f t="shared" si="38"/>
        <v>027509</v>
      </c>
      <c r="M392" t="str">
        <f t="shared" si="39"/>
        <v>54196</v>
      </c>
      <c r="N392" t="s">
        <v>50</v>
      </c>
      <c r="O392">
        <v>200</v>
      </c>
      <c r="P392">
        <v>20190115</v>
      </c>
      <c r="Q392" t="s">
        <v>136</v>
      </c>
      <c r="R392" t="s">
        <v>202</v>
      </c>
      <c r="S392" t="s">
        <v>23</v>
      </c>
      <c r="T392" t="s">
        <v>137</v>
      </c>
    </row>
    <row r="393" spans="1:20" x14ac:dyDescent="0.25">
      <c r="A393">
        <v>9</v>
      </c>
      <c r="B393">
        <v>163</v>
      </c>
      <c r="C393" t="str">
        <f t="shared" si="40"/>
        <v>00</v>
      </c>
      <c r="D393">
        <v>2159</v>
      </c>
      <c r="E393" t="str">
        <f t="shared" si="41"/>
        <v>00</v>
      </c>
      <c r="F393" t="str">
        <f>"111"</f>
        <v>111</v>
      </c>
      <c r="G393">
        <v>9</v>
      </c>
      <c r="H393" t="str">
        <f t="shared" si="42"/>
        <v>00</v>
      </c>
      <c r="I393" t="str">
        <f t="shared" si="43"/>
        <v>0</v>
      </c>
      <c r="J393" t="str">
        <f t="shared" si="44"/>
        <v>00</v>
      </c>
      <c r="K393">
        <v>20190115</v>
      </c>
      <c r="L393" t="str">
        <f>"027510"</f>
        <v>027510</v>
      </c>
      <c r="M393" t="str">
        <f>"72601"</f>
        <v>72601</v>
      </c>
      <c r="N393" t="s">
        <v>54</v>
      </c>
      <c r="O393" s="1">
        <v>9156.6</v>
      </c>
      <c r="P393">
        <v>20190115</v>
      </c>
      <c r="Q393" t="s">
        <v>55</v>
      </c>
      <c r="R393" t="s">
        <v>201</v>
      </c>
      <c r="S393" t="s">
        <v>23</v>
      </c>
      <c r="T393" t="s">
        <v>56</v>
      </c>
    </row>
    <row r="394" spans="1:20" x14ac:dyDescent="0.25">
      <c r="A394">
        <v>9</v>
      </c>
      <c r="B394">
        <v>163</v>
      </c>
      <c r="C394" t="str">
        <f t="shared" si="40"/>
        <v>00</v>
      </c>
      <c r="D394">
        <v>2153</v>
      </c>
      <c r="E394" t="str">
        <f t="shared" si="41"/>
        <v>00</v>
      </c>
      <c r="F394" t="str">
        <f>"006"</f>
        <v>006</v>
      </c>
      <c r="G394">
        <v>9</v>
      </c>
      <c r="H394" t="str">
        <f t="shared" si="42"/>
        <v>00</v>
      </c>
      <c r="I394" t="str">
        <f t="shared" si="43"/>
        <v>0</v>
      </c>
      <c r="J394" t="str">
        <f t="shared" si="44"/>
        <v>00</v>
      </c>
      <c r="K394">
        <v>20190115</v>
      </c>
      <c r="L394" t="str">
        <f>"027511"</f>
        <v>027511</v>
      </c>
      <c r="M394" t="str">
        <f>"75452"</f>
        <v>75452</v>
      </c>
      <c r="N394" t="s">
        <v>57</v>
      </c>
      <c r="O394" s="1">
        <v>9106.61</v>
      </c>
      <c r="P394">
        <v>20190115</v>
      </c>
      <c r="Q394" t="s">
        <v>58</v>
      </c>
      <c r="R394" t="s">
        <v>200</v>
      </c>
      <c r="S394" t="s">
        <v>23</v>
      </c>
      <c r="T394" t="s">
        <v>59</v>
      </c>
    </row>
    <row r="395" spans="1:20" x14ac:dyDescent="0.25">
      <c r="A395">
        <v>9</v>
      </c>
      <c r="B395">
        <v>163</v>
      </c>
      <c r="C395" t="str">
        <f t="shared" si="40"/>
        <v>00</v>
      </c>
      <c r="D395">
        <v>2159</v>
      </c>
      <c r="E395" t="str">
        <f t="shared" si="41"/>
        <v>00</v>
      </c>
      <c r="F395" t="str">
        <f>"099"</f>
        <v>099</v>
      </c>
      <c r="G395">
        <v>9</v>
      </c>
      <c r="H395" t="str">
        <f t="shared" si="42"/>
        <v>00</v>
      </c>
      <c r="I395" t="str">
        <f t="shared" si="43"/>
        <v>0</v>
      </c>
      <c r="J395" t="str">
        <f t="shared" si="44"/>
        <v>00</v>
      </c>
      <c r="K395">
        <v>20190115</v>
      </c>
      <c r="L395" t="str">
        <f>"027511"</f>
        <v>027511</v>
      </c>
      <c r="M395" t="str">
        <f>"75452"</f>
        <v>75452</v>
      </c>
      <c r="N395" t="s">
        <v>57</v>
      </c>
      <c r="O395">
        <v>300</v>
      </c>
      <c r="P395">
        <v>20190115</v>
      </c>
      <c r="Q395" t="s">
        <v>171</v>
      </c>
      <c r="R395" t="s">
        <v>206</v>
      </c>
      <c r="S395" t="s">
        <v>23</v>
      </c>
      <c r="T395" t="s">
        <v>173</v>
      </c>
    </row>
    <row r="396" spans="1:20" x14ac:dyDescent="0.25">
      <c r="A396">
        <v>9</v>
      </c>
      <c r="B396">
        <v>163</v>
      </c>
      <c r="C396" t="str">
        <f t="shared" si="40"/>
        <v>00</v>
      </c>
      <c r="D396">
        <v>2159</v>
      </c>
      <c r="E396" t="str">
        <f t="shared" si="41"/>
        <v>00</v>
      </c>
      <c r="F396" t="str">
        <f>"048"</f>
        <v>048</v>
      </c>
      <c r="G396">
        <v>9</v>
      </c>
      <c r="H396" t="str">
        <f t="shared" si="42"/>
        <v>00</v>
      </c>
      <c r="I396" t="str">
        <f t="shared" si="43"/>
        <v>0</v>
      </c>
      <c r="J396" t="str">
        <f t="shared" si="44"/>
        <v>00</v>
      </c>
      <c r="K396">
        <v>20190115</v>
      </c>
      <c r="L396" t="str">
        <f>"027512"</f>
        <v>027512</v>
      </c>
      <c r="M396" t="str">
        <f>"77030"</f>
        <v>77030</v>
      </c>
      <c r="N396" t="s">
        <v>139</v>
      </c>
      <c r="O396">
        <v>174.7</v>
      </c>
      <c r="P396">
        <v>20190115</v>
      </c>
      <c r="Q396" t="s">
        <v>140</v>
      </c>
      <c r="R396" t="s">
        <v>201</v>
      </c>
      <c r="S396" t="s">
        <v>23</v>
      </c>
      <c r="T396" t="s">
        <v>141</v>
      </c>
    </row>
    <row r="397" spans="1:20" x14ac:dyDescent="0.25">
      <c r="A397">
        <v>9</v>
      </c>
      <c r="B397">
        <v>163</v>
      </c>
      <c r="C397" t="str">
        <f t="shared" si="40"/>
        <v>00</v>
      </c>
      <c r="D397">
        <v>2159</v>
      </c>
      <c r="E397" t="str">
        <f t="shared" si="41"/>
        <v>00</v>
      </c>
      <c r="F397" t="str">
        <f>"005"</f>
        <v>005</v>
      </c>
      <c r="G397">
        <v>9</v>
      </c>
      <c r="H397" t="str">
        <f t="shared" si="42"/>
        <v>00</v>
      </c>
      <c r="I397" t="str">
        <f t="shared" si="43"/>
        <v>0</v>
      </c>
      <c r="J397" t="str">
        <f t="shared" si="44"/>
        <v>00</v>
      </c>
      <c r="K397">
        <v>20190115</v>
      </c>
      <c r="L397" t="str">
        <f>"027513"</f>
        <v>027513</v>
      </c>
      <c r="M397" t="str">
        <f>"79562"</f>
        <v>79562</v>
      </c>
      <c r="N397" t="s">
        <v>142</v>
      </c>
      <c r="O397">
        <v>156.69999999999999</v>
      </c>
      <c r="P397">
        <v>20190115</v>
      </c>
      <c r="Q397" t="s">
        <v>143</v>
      </c>
      <c r="R397" t="s">
        <v>207</v>
      </c>
      <c r="S397" t="s">
        <v>23</v>
      </c>
      <c r="T397" t="s">
        <v>145</v>
      </c>
    </row>
    <row r="398" spans="1:20" x14ac:dyDescent="0.25">
      <c r="A398">
        <v>9</v>
      </c>
      <c r="B398">
        <v>163</v>
      </c>
      <c r="C398" t="str">
        <f t="shared" si="40"/>
        <v>00</v>
      </c>
      <c r="D398">
        <v>2159</v>
      </c>
      <c r="E398" t="str">
        <f t="shared" si="41"/>
        <v>00</v>
      </c>
      <c r="F398" t="str">
        <f>"034"</f>
        <v>034</v>
      </c>
      <c r="G398">
        <v>9</v>
      </c>
      <c r="H398" t="str">
        <f t="shared" si="42"/>
        <v>00</v>
      </c>
      <c r="I398" t="str">
        <f t="shared" si="43"/>
        <v>0</v>
      </c>
      <c r="J398" t="str">
        <f t="shared" si="44"/>
        <v>00</v>
      </c>
      <c r="K398">
        <v>20190115</v>
      </c>
      <c r="L398" t="str">
        <f>"027514"</f>
        <v>027514</v>
      </c>
      <c r="M398" t="str">
        <f>"79762"</f>
        <v>79762</v>
      </c>
      <c r="N398" t="s">
        <v>146</v>
      </c>
      <c r="O398">
        <v>830</v>
      </c>
      <c r="P398">
        <v>20190115</v>
      </c>
      <c r="Q398" t="s">
        <v>147</v>
      </c>
      <c r="R398" t="s">
        <v>201</v>
      </c>
      <c r="S398" t="s">
        <v>23</v>
      </c>
      <c r="T398" t="s">
        <v>148</v>
      </c>
    </row>
    <row r="399" spans="1:20" x14ac:dyDescent="0.25">
      <c r="A399">
        <v>9</v>
      </c>
      <c r="B399">
        <v>163</v>
      </c>
      <c r="C399" t="str">
        <f t="shared" si="40"/>
        <v>00</v>
      </c>
      <c r="D399">
        <v>2159</v>
      </c>
      <c r="E399" t="str">
        <f t="shared" si="41"/>
        <v>00</v>
      </c>
      <c r="F399" t="str">
        <f>"086"</f>
        <v>086</v>
      </c>
      <c r="G399">
        <v>9</v>
      </c>
      <c r="H399" t="str">
        <f t="shared" si="42"/>
        <v>00</v>
      </c>
      <c r="I399" t="str">
        <f t="shared" si="43"/>
        <v>0</v>
      </c>
      <c r="J399" t="str">
        <f t="shared" si="44"/>
        <v>00</v>
      </c>
      <c r="K399">
        <v>20190115</v>
      </c>
      <c r="L399" t="str">
        <f>"027515"</f>
        <v>027515</v>
      </c>
      <c r="M399" t="str">
        <f>"81155"</f>
        <v>81155</v>
      </c>
      <c r="N399" t="s">
        <v>149</v>
      </c>
      <c r="O399">
        <v>215</v>
      </c>
      <c r="P399">
        <v>20190115</v>
      </c>
      <c r="Q399" t="s">
        <v>150</v>
      </c>
      <c r="R399" t="s">
        <v>201</v>
      </c>
      <c r="S399" t="s">
        <v>23</v>
      </c>
      <c r="T399" t="s">
        <v>151</v>
      </c>
    </row>
    <row r="400" spans="1:20" x14ac:dyDescent="0.25">
      <c r="A400">
        <v>9</v>
      </c>
      <c r="B400">
        <v>163</v>
      </c>
      <c r="C400" t="str">
        <f t="shared" si="40"/>
        <v>00</v>
      </c>
      <c r="D400">
        <v>2159</v>
      </c>
      <c r="E400" t="str">
        <f t="shared" si="41"/>
        <v>00</v>
      </c>
      <c r="F400" t="str">
        <f>"106"</f>
        <v>106</v>
      </c>
      <c r="G400">
        <v>9</v>
      </c>
      <c r="H400" t="str">
        <f t="shared" si="42"/>
        <v>00</v>
      </c>
      <c r="I400" t="str">
        <f t="shared" si="43"/>
        <v>0</v>
      </c>
      <c r="J400" t="str">
        <f t="shared" si="44"/>
        <v>00</v>
      </c>
      <c r="K400">
        <v>20190115</v>
      </c>
      <c r="L400" t="str">
        <f>"027516"</f>
        <v>027516</v>
      </c>
      <c r="M400" t="str">
        <f>"81173"</f>
        <v>81173</v>
      </c>
      <c r="N400" t="s">
        <v>60</v>
      </c>
      <c r="O400">
        <v>832.75</v>
      </c>
      <c r="P400">
        <v>20190115</v>
      </c>
      <c r="Q400" t="s">
        <v>61</v>
      </c>
      <c r="R400" t="s">
        <v>201</v>
      </c>
      <c r="S400" t="s">
        <v>23</v>
      </c>
      <c r="T400" t="s">
        <v>62</v>
      </c>
    </row>
    <row r="401" spans="1:20" x14ac:dyDescent="0.25">
      <c r="A401">
        <v>9</v>
      </c>
      <c r="B401">
        <v>163</v>
      </c>
      <c r="C401" t="str">
        <f t="shared" si="40"/>
        <v>00</v>
      </c>
      <c r="D401">
        <v>2159</v>
      </c>
      <c r="E401" t="str">
        <f t="shared" si="41"/>
        <v>00</v>
      </c>
      <c r="F401" t="str">
        <f>"007"</f>
        <v>007</v>
      </c>
      <c r="G401">
        <v>9</v>
      </c>
      <c r="H401" t="str">
        <f t="shared" si="42"/>
        <v>00</v>
      </c>
      <c r="I401" t="str">
        <f t="shared" si="43"/>
        <v>0</v>
      </c>
      <c r="J401" t="str">
        <f t="shared" si="44"/>
        <v>00</v>
      </c>
      <c r="K401">
        <v>20190115</v>
      </c>
      <c r="L401" t="str">
        <f>"027517"</f>
        <v>027517</v>
      </c>
      <c r="M401" t="str">
        <f>"81174"</f>
        <v>81174</v>
      </c>
      <c r="N401" t="s">
        <v>63</v>
      </c>
      <c r="O401" s="1">
        <v>1663.15</v>
      </c>
      <c r="P401">
        <v>20190115</v>
      </c>
      <c r="Q401" t="s">
        <v>64</v>
      </c>
      <c r="R401" t="s">
        <v>201</v>
      </c>
      <c r="S401" t="s">
        <v>23</v>
      </c>
      <c r="T401" t="s">
        <v>65</v>
      </c>
    </row>
    <row r="402" spans="1:20" x14ac:dyDescent="0.25">
      <c r="A402">
        <v>9</v>
      </c>
      <c r="B402">
        <v>163</v>
      </c>
      <c r="C402" t="str">
        <f t="shared" si="40"/>
        <v>00</v>
      </c>
      <c r="D402">
        <v>2159</v>
      </c>
      <c r="E402" t="str">
        <f t="shared" si="41"/>
        <v>00</v>
      </c>
      <c r="F402" t="str">
        <f>"100"</f>
        <v>100</v>
      </c>
      <c r="G402">
        <v>9</v>
      </c>
      <c r="H402" t="str">
        <f t="shared" si="42"/>
        <v>00</v>
      </c>
      <c r="I402" t="str">
        <f t="shared" si="43"/>
        <v>0</v>
      </c>
      <c r="J402" t="str">
        <f t="shared" si="44"/>
        <v>00</v>
      </c>
      <c r="K402">
        <v>20190115</v>
      </c>
      <c r="L402" t="str">
        <f>"027518"</f>
        <v>027518</v>
      </c>
      <c r="M402" t="str">
        <f>"81177"</f>
        <v>81177</v>
      </c>
      <c r="N402" t="s">
        <v>66</v>
      </c>
      <c r="O402">
        <v>16</v>
      </c>
      <c r="P402">
        <v>20190115</v>
      </c>
      <c r="Q402" t="s">
        <v>67</v>
      </c>
      <c r="R402" t="s">
        <v>201</v>
      </c>
      <c r="S402" t="s">
        <v>23</v>
      </c>
      <c r="T402" t="s">
        <v>68</v>
      </c>
    </row>
    <row r="403" spans="1:20" x14ac:dyDescent="0.25">
      <c r="A403">
        <v>9</v>
      </c>
      <c r="B403">
        <v>163</v>
      </c>
      <c r="C403" t="str">
        <f t="shared" si="40"/>
        <v>00</v>
      </c>
      <c r="D403">
        <v>2159</v>
      </c>
      <c r="E403" t="str">
        <f t="shared" si="41"/>
        <v>00</v>
      </c>
      <c r="F403" t="str">
        <f>"103"</f>
        <v>103</v>
      </c>
      <c r="G403">
        <v>9</v>
      </c>
      <c r="H403" t="str">
        <f t="shared" si="42"/>
        <v>00</v>
      </c>
      <c r="I403" t="str">
        <f t="shared" si="43"/>
        <v>0</v>
      </c>
      <c r="J403" t="str">
        <f t="shared" si="44"/>
        <v>00</v>
      </c>
      <c r="K403">
        <v>20190115</v>
      </c>
      <c r="L403" t="str">
        <f>"027518"</f>
        <v>027518</v>
      </c>
      <c r="M403" t="str">
        <f>"81177"</f>
        <v>81177</v>
      </c>
      <c r="N403" t="s">
        <v>66</v>
      </c>
      <c r="O403">
        <v>2.37</v>
      </c>
      <c r="P403">
        <v>20190115</v>
      </c>
      <c r="Q403" t="s">
        <v>152</v>
      </c>
      <c r="R403" t="s">
        <v>201</v>
      </c>
      <c r="S403" t="s">
        <v>23</v>
      </c>
      <c r="T403" t="s">
        <v>153</v>
      </c>
    </row>
    <row r="404" spans="1:20" x14ac:dyDescent="0.25">
      <c r="A404">
        <v>9</v>
      </c>
      <c r="B404">
        <v>163</v>
      </c>
      <c r="C404" t="str">
        <f t="shared" si="40"/>
        <v>00</v>
      </c>
      <c r="D404">
        <v>2159</v>
      </c>
      <c r="E404" t="str">
        <f t="shared" si="41"/>
        <v>00</v>
      </c>
      <c r="F404" t="str">
        <f>"123"</f>
        <v>123</v>
      </c>
      <c r="G404">
        <v>9</v>
      </c>
      <c r="H404" t="str">
        <f t="shared" si="42"/>
        <v>00</v>
      </c>
      <c r="I404" t="str">
        <f t="shared" si="43"/>
        <v>0</v>
      </c>
      <c r="J404" t="str">
        <f t="shared" si="44"/>
        <v>00</v>
      </c>
      <c r="K404">
        <v>20190115</v>
      </c>
      <c r="L404" t="str">
        <f>"027519"</f>
        <v>027519</v>
      </c>
      <c r="M404" t="str">
        <f>"81753"</f>
        <v>81753</v>
      </c>
      <c r="N404" t="s">
        <v>154</v>
      </c>
      <c r="O404" s="1">
        <v>1367.05</v>
      </c>
      <c r="P404">
        <v>20190115</v>
      </c>
      <c r="Q404" t="s">
        <v>155</v>
      </c>
      <c r="R404" t="s">
        <v>201</v>
      </c>
      <c r="S404" t="s">
        <v>23</v>
      </c>
      <c r="T404" t="s">
        <v>154</v>
      </c>
    </row>
    <row r="405" spans="1:20" x14ac:dyDescent="0.25">
      <c r="A405">
        <v>9</v>
      </c>
      <c r="B405">
        <v>163</v>
      </c>
      <c r="C405" t="str">
        <f t="shared" si="40"/>
        <v>00</v>
      </c>
      <c r="D405">
        <v>2153</v>
      </c>
      <c r="E405" t="str">
        <f t="shared" si="41"/>
        <v>00</v>
      </c>
      <c r="F405" t="str">
        <f>"141"</f>
        <v>141</v>
      </c>
      <c r="G405">
        <v>9</v>
      </c>
      <c r="H405" t="str">
        <f t="shared" si="42"/>
        <v>00</v>
      </c>
      <c r="I405" t="str">
        <f t="shared" si="43"/>
        <v>0</v>
      </c>
      <c r="J405" t="str">
        <f t="shared" si="44"/>
        <v>00</v>
      </c>
      <c r="K405">
        <v>20190125</v>
      </c>
      <c r="L405" t="str">
        <f>"027532"</f>
        <v>027532</v>
      </c>
      <c r="M405" t="str">
        <f>"00068"</f>
        <v>00068</v>
      </c>
      <c r="N405" t="s">
        <v>20</v>
      </c>
      <c r="O405">
        <v>455.49</v>
      </c>
      <c r="P405">
        <v>20190125</v>
      </c>
      <c r="Q405" t="s">
        <v>21</v>
      </c>
      <c r="R405" t="s">
        <v>199</v>
      </c>
      <c r="S405" t="s">
        <v>23</v>
      </c>
      <c r="T405" t="s">
        <v>24</v>
      </c>
    </row>
    <row r="406" spans="1:20" x14ac:dyDescent="0.25">
      <c r="A406">
        <v>9</v>
      </c>
      <c r="B406">
        <v>163</v>
      </c>
      <c r="C406" t="str">
        <f t="shared" si="40"/>
        <v>00</v>
      </c>
      <c r="D406">
        <v>2153</v>
      </c>
      <c r="E406" t="str">
        <f t="shared" si="41"/>
        <v>00</v>
      </c>
      <c r="F406" t="str">
        <f>"142"</f>
        <v>142</v>
      </c>
      <c r="G406">
        <v>9</v>
      </c>
      <c r="H406" t="str">
        <f t="shared" si="42"/>
        <v>00</v>
      </c>
      <c r="I406" t="str">
        <f t="shared" si="43"/>
        <v>0</v>
      </c>
      <c r="J406" t="str">
        <f t="shared" si="44"/>
        <v>00</v>
      </c>
      <c r="K406">
        <v>20190125</v>
      </c>
      <c r="L406" t="str">
        <f>"027532"</f>
        <v>027532</v>
      </c>
      <c r="M406" t="str">
        <f>"00068"</f>
        <v>00068</v>
      </c>
      <c r="N406" t="s">
        <v>20</v>
      </c>
      <c r="O406">
        <v>364.74</v>
      </c>
      <c r="P406">
        <v>20190125</v>
      </c>
      <c r="Q406" t="s">
        <v>25</v>
      </c>
      <c r="R406" t="s">
        <v>200</v>
      </c>
      <c r="S406" t="s">
        <v>23</v>
      </c>
      <c r="T406" t="s">
        <v>27</v>
      </c>
    </row>
    <row r="407" spans="1:20" x14ac:dyDescent="0.25">
      <c r="A407">
        <v>9</v>
      </c>
      <c r="B407">
        <v>163</v>
      </c>
      <c r="C407" t="str">
        <f t="shared" si="40"/>
        <v>00</v>
      </c>
      <c r="D407">
        <v>2159</v>
      </c>
      <c r="E407" t="str">
        <f t="shared" si="41"/>
        <v>00</v>
      </c>
      <c r="F407" t="str">
        <f>"148"</f>
        <v>148</v>
      </c>
      <c r="G407">
        <v>9</v>
      </c>
      <c r="H407" t="str">
        <f t="shared" si="42"/>
        <v>00</v>
      </c>
      <c r="I407" t="str">
        <f t="shared" si="43"/>
        <v>0</v>
      </c>
      <c r="J407" t="str">
        <f t="shared" si="44"/>
        <v>00</v>
      </c>
      <c r="K407">
        <v>20190125</v>
      </c>
      <c r="L407" t="str">
        <f>"027533"</f>
        <v>027533</v>
      </c>
      <c r="M407" t="str">
        <f>"00528"</f>
        <v>00528</v>
      </c>
      <c r="N407" t="s">
        <v>159</v>
      </c>
      <c r="O407">
        <v>33.75</v>
      </c>
      <c r="P407">
        <v>20190125</v>
      </c>
      <c r="Q407" t="s">
        <v>160</v>
      </c>
      <c r="R407" t="s">
        <v>201</v>
      </c>
      <c r="S407" t="s">
        <v>23</v>
      </c>
      <c r="T407" t="s">
        <v>162</v>
      </c>
    </row>
    <row r="408" spans="1:20" x14ac:dyDescent="0.25">
      <c r="A408">
        <v>9</v>
      </c>
      <c r="B408">
        <v>163</v>
      </c>
      <c r="C408" t="str">
        <f t="shared" si="40"/>
        <v>00</v>
      </c>
      <c r="D408">
        <v>2153</v>
      </c>
      <c r="E408" t="str">
        <f t="shared" si="41"/>
        <v>00</v>
      </c>
      <c r="F408" t="str">
        <f>"022"</f>
        <v>022</v>
      </c>
      <c r="G408">
        <v>9</v>
      </c>
      <c r="H408" t="str">
        <f t="shared" si="42"/>
        <v>00</v>
      </c>
      <c r="I408" t="str">
        <f t="shared" si="43"/>
        <v>0</v>
      </c>
      <c r="J408" t="str">
        <f t="shared" si="44"/>
        <v>00</v>
      </c>
      <c r="K408">
        <v>20190125</v>
      </c>
      <c r="L408" t="str">
        <f>"027534"</f>
        <v>027534</v>
      </c>
      <c r="M408" t="str">
        <f>"04831"</f>
        <v>04831</v>
      </c>
      <c r="N408" t="s">
        <v>28</v>
      </c>
      <c r="O408">
        <v>16.77</v>
      </c>
      <c r="P408">
        <v>20190125</v>
      </c>
      <c r="Q408" t="s">
        <v>29</v>
      </c>
      <c r="R408" t="s">
        <v>200</v>
      </c>
      <c r="S408" t="s">
        <v>23</v>
      </c>
      <c r="T408" t="s">
        <v>30</v>
      </c>
    </row>
    <row r="409" spans="1:20" x14ac:dyDescent="0.25">
      <c r="A409">
        <v>9</v>
      </c>
      <c r="B409">
        <v>163</v>
      </c>
      <c r="C409" t="str">
        <f t="shared" si="40"/>
        <v>00</v>
      </c>
      <c r="D409">
        <v>2159</v>
      </c>
      <c r="E409" t="str">
        <f t="shared" si="41"/>
        <v>00</v>
      </c>
      <c r="F409" t="str">
        <f>"018"</f>
        <v>018</v>
      </c>
      <c r="G409">
        <v>9</v>
      </c>
      <c r="H409" t="str">
        <f t="shared" si="42"/>
        <v>00</v>
      </c>
      <c r="I409" t="str">
        <f t="shared" si="43"/>
        <v>0</v>
      </c>
      <c r="J409" t="str">
        <f t="shared" si="44"/>
        <v>00</v>
      </c>
      <c r="K409">
        <v>20190125</v>
      </c>
      <c r="L409" t="str">
        <f>"027535"</f>
        <v>027535</v>
      </c>
      <c r="M409" t="str">
        <f>"04905"</f>
        <v>04905</v>
      </c>
      <c r="N409" t="s">
        <v>31</v>
      </c>
      <c r="O409">
        <v>73.48</v>
      </c>
      <c r="P409">
        <v>20190125</v>
      </c>
      <c r="Q409" t="s">
        <v>32</v>
      </c>
      <c r="R409" t="s">
        <v>201</v>
      </c>
      <c r="S409" t="s">
        <v>23</v>
      </c>
      <c r="T409" t="s">
        <v>34</v>
      </c>
    </row>
    <row r="410" spans="1:20" x14ac:dyDescent="0.25">
      <c r="A410">
        <v>9</v>
      </c>
      <c r="B410">
        <v>163</v>
      </c>
      <c r="C410" t="str">
        <f t="shared" si="40"/>
        <v>00</v>
      </c>
      <c r="D410">
        <v>2153</v>
      </c>
      <c r="E410" t="str">
        <f t="shared" si="41"/>
        <v>00</v>
      </c>
      <c r="F410" t="str">
        <f>"053"</f>
        <v>053</v>
      </c>
      <c r="G410">
        <v>9</v>
      </c>
      <c r="H410" t="str">
        <f t="shared" si="42"/>
        <v>00</v>
      </c>
      <c r="I410" t="str">
        <f t="shared" si="43"/>
        <v>0</v>
      </c>
      <c r="J410" t="str">
        <f t="shared" si="44"/>
        <v>00</v>
      </c>
      <c r="K410">
        <v>20190125</v>
      </c>
      <c r="L410" t="str">
        <f>"027536"</f>
        <v>027536</v>
      </c>
      <c r="M410" t="str">
        <f>"04987"</f>
        <v>04987</v>
      </c>
      <c r="N410" t="s">
        <v>35</v>
      </c>
      <c r="O410">
        <v>20.64</v>
      </c>
      <c r="P410">
        <v>20190125</v>
      </c>
      <c r="Q410" t="s">
        <v>36</v>
      </c>
      <c r="R410" t="s">
        <v>200</v>
      </c>
      <c r="S410" t="s">
        <v>23</v>
      </c>
      <c r="T410" t="s">
        <v>37</v>
      </c>
    </row>
    <row r="411" spans="1:20" x14ac:dyDescent="0.25">
      <c r="A411">
        <v>9</v>
      </c>
      <c r="B411">
        <v>163</v>
      </c>
      <c r="C411" t="str">
        <f t="shared" si="40"/>
        <v>00</v>
      </c>
      <c r="D411">
        <v>2159</v>
      </c>
      <c r="E411" t="str">
        <f t="shared" si="41"/>
        <v>00</v>
      </c>
      <c r="F411" t="str">
        <f>"068"</f>
        <v>068</v>
      </c>
      <c r="G411">
        <v>9</v>
      </c>
      <c r="H411" t="str">
        <f t="shared" si="42"/>
        <v>00</v>
      </c>
      <c r="I411" t="str">
        <f t="shared" si="43"/>
        <v>0</v>
      </c>
      <c r="J411" t="str">
        <f t="shared" si="44"/>
        <v>00</v>
      </c>
      <c r="K411">
        <v>20190125</v>
      </c>
      <c r="L411" t="str">
        <f>"027537"</f>
        <v>027537</v>
      </c>
      <c r="M411" t="str">
        <f>"10095"</f>
        <v>10095</v>
      </c>
      <c r="N411" t="s">
        <v>83</v>
      </c>
      <c r="O411">
        <v>14.59</v>
      </c>
      <c r="P411">
        <v>20190125</v>
      </c>
      <c r="Q411" t="s">
        <v>84</v>
      </c>
      <c r="R411" t="s">
        <v>201</v>
      </c>
      <c r="S411" t="s">
        <v>23</v>
      </c>
      <c r="T411" t="s">
        <v>85</v>
      </c>
    </row>
    <row r="412" spans="1:20" x14ac:dyDescent="0.25">
      <c r="A412">
        <v>9</v>
      </c>
      <c r="B412">
        <v>163</v>
      </c>
      <c r="C412" t="str">
        <f t="shared" si="40"/>
        <v>00</v>
      </c>
      <c r="D412">
        <v>2153</v>
      </c>
      <c r="E412" t="str">
        <f t="shared" si="41"/>
        <v>00</v>
      </c>
      <c r="F412" t="str">
        <f>"011"</f>
        <v>011</v>
      </c>
      <c r="G412">
        <v>9</v>
      </c>
      <c r="H412" t="str">
        <f t="shared" si="42"/>
        <v>00</v>
      </c>
      <c r="I412" t="str">
        <f t="shared" si="43"/>
        <v>0</v>
      </c>
      <c r="J412" t="str">
        <f t="shared" si="44"/>
        <v>00</v>
      </c>
      <c r="K412">
        <v>20190125</v>
      </c>
      <c r="L412" t="str">
        <f>"027538"</f>
        <v>027538</v>
      </c>
      <c r="M412" t="str">
        <f>"11211"</f>
        <v>11211</v>
      </c>
      <c r="N412" t="s">
        <v>41</v>
      </c>
      <c r="O412">
        <v>184.32</v>
      </c>
      <c r="P412">
        <v>20190125</v>
      </c>
      <c r="Q412" t="s">
        <v>42</v>
      </c>
      <c r="R412" t="s">
        <v>200</v>
      </c>
      <c r="S412" t="s">
        <v>23</v>
      </c>
      <c r="T412" t="s">
        <v>43</v>
      </c>
    </row>
    <row r="413" spans="1:20" x14ac:dyDescent="0.25">
      <c r="A413">
        <v>9</v>
      </c>
      <c r="B413">
        <v>163</v>
      </c>
      <c r="C413" t="str">
        <f t="shared" si="40"/>
        <v>00</v>
      </c>
      <c r="D413">
        <v>2159</v>
      </c>
      <c r="E413" t="str">
        <f t="shared" si="41"/>
        <v>00</v>
      </c>
      <c r="F413" t="str">
        <f>"104"</f>
        <v>104</v>
      </c>
      <c r="G413">
        <v>9</v>
      </c>
      <c r="H413" t="str">
        <f t="shared" si="42"/>
        <v>00</v>
      </c>
      <c r="I413" t="str">
        <f t="shared" si="43"/>
        <v>0</v>
      </c>
      <c r="J413" t="str">
        <f t="shared" si="44"/>
        <v>00</v>
      </c>
      <c r="K413">
        <v>20190125</v>
      </c>
      <c r="L413" t="str">
        <f>"027539"</f>
        <v>027539</v>
      </c>
      <c r="M413" t="str">
        <f>"14177"</f>
        <v>14177</v>
      </c>
      <c r="N413" t="s">
        <v>163</v>
      </c>
      <c r="O413">
        <v>29.5</v>
      </c>
      <c r="P413">
        <v>20190125</v>
      </c>
      <c r="Q413" t="s">
        <v>45</v>
      </c>
      <c r="R413" t="s">
        <v>201</v>
      </c>
      <c r="S413" t="s">
        <v>23</v>
      </c>
      <c r="T413" t="s">
        <v>46</v>
      </c>
    </row>
    <row r="414" spans="1:20" x14ac:dyDescent="0.25">
      <c r="A414">
        <v>9</v>
      </c>
      <c r="B414">
        <v>163</v>
      </c>
      <c r="C414" t="str">
        <f t="shared" si="40"/>
        <v>00</v>
      </c>
      <c r="D414">
        <v>2153</v>
      </c>
      <c r="E414" t="str">
        <f t="shared" si="41"/>
        <v>00</v>
      </c>
      <c r="F414" t="str">
        <f>"110"</f>
        <v>110</v>
      </c>
      <c r="G414">
        <v>9</v>
      </c>
      <c r="H414" t="str">
        <f t="shared" si="42"/>
        <v>00</v>
      </c>
      <c r="I414" t="str">
        <f t="shared" si="43"/>
        <v>0</v>
      </c>
      <c r="J414" t="str">
        <f t="shared" si="44"/>
        <v>00</v>
      </c>
      <c r="K414">
        <v>20190125</v>
      </c>
      <c r="L414" t="str">
        <f>"027540"</f>
        <v>027540</v>
      </c>
      <c r="M414" t="str">
        <f>"48947"</f>
        <v>48947</v>
      </c>
      <c r="N414" t="s">
        <v>47</v>
      </c>
      <c r="O414">
        <v>34.81</v>
      </c>
      <c r="P414">
        <v>20190125</v>
      </c>
      <c r="Q414" t="s">
        <v>48</v>
      </c>
      <c r="R414" t="s">
        <v>199</v>
      </c>
      <c r="S414" t="s">
        <v>23</v>
      </c>
      <c r="T414" t="s">
        <v>49</v>
      </c>
    </row>
    <row r="415" spans="1:20" x14ac:dyDescent="0.25">
      <c r="A415">
        <v>9</v>
      </c>
      <c r="B415">
        <v>163</v>
      </c>
      <c r="C415" t="str">
        <f t="shared" si="40"/>
        <v>00</v>
      </c>
      <c r="D415">
        <v>2159</v>
      </c>
      <c r="E415" t="str">
        <f t="shared" si="41"/>
        <v>00</v>
      </c>
      <c r="F415" t="str">
        <f>"131"</f>
        <v>131</v>
      </c>
      <c r="G415">
        <v>9</v>
      </c>
      <c r="H415" t="str">
        <f t="shared" si="42"/>
        <v>00</v>
      </c>
      <c r="I415" t="str">
        <f t="shared" si="43"/>
        <v>0</v>
      </c>
      <c r="J415" t="str">
        <f t="shared" si="44"/>
        <v>00</v>
      </c>
      <c r="K415">
        <v>20190125</v>
      </c>
      <c r="L415" t="str">
        <f>"027541"</f>
        <v>027541</v>
      </c>
      <c r="M415" t="str">
        <f>"54196"</f>
        <v>54196</v>
      </c>
      <c r="N415" t="s">
        <v>50</v>
      </c>
      <c r="O415">
        <v>50</v>
      </c>
      <c r="P415">
        <v>20190125</v>
      </c>
      <c r="Q415" t="s">
        <v>51</v>
      </c>
      <c r="R415" t="s">
        <v>202</v>
      </c>
      <c r="S415" t="s">
        <v>23</v>
      </c>
      <c r="T415" t="s">
        <v>53</v>
      </c>
    </row>
    <row r="416" spans="1:20" x14ac:dyDescent="0.25">
      <c r="A416">
        <v>9</v>
      </c>
      <c r="B416">
        <v>163</v>
      </c>
      <c r="C416" t="str">
        <f t="shared" si="40"/>
        <v>00</v>
      </c>
      <c r="D416">
        <v>2159</v>
      </c>
      <c r="E416" t="str">
        <f t="shared" si="41"/>
        <v>00</v>
      </c>
      <c r="F416" t="str">
        <f>"111"</f>
        <v>111</v>
      </c>
      <c r="G416">
        <v>9</v>
      </c>
      <c r="H416" t="str">
        <f t="shared" si="42"/>
        <v>00</v>
      </c>
      <c r="I416" t="str">
        <f t="shared" si="43"/>
        <v>0</v>
      </c>
      <c r="J416" t="str">
        <f t="shared" si="44"/>
        <v>00</v>
      </c>
      <c r="K416">
        <v>20190125</v>
      </c>
      <c r="L416" t="str">
        <f>"027542"</f>
        <v>027542</v>
      </c>
      <c r="M416" t="str">
        <f>"72601"</f>
        <v>72601</v>
      </c>
      <c r="N416" t="s">
        <v>54</v>
      </c>
      <c r="O416">
        <v>452.74</v>
      </c>
      <c r="P416">
        <v>20190125</v>
      </c>
      <c r="Q416" t="s">
        <v>55</v>
      </c>
      <c r="R416" t="s">
        <v>201</v>
      </c>
      <c r="S416" t="s">
        <v>23</v>
      </c>
      <c r="T416" t="s">
        <v>56</v>
      </c>
    </row>
    <row r="417" spans="1:20" x14ac:dyDescent="0.25">
      <c r="A417">
        <v>9</v>
      </c>
      <c r="B417">
        <v>163</v>
      </c>
      <c r="C417" t="str">
        <f t="shared" si="40"/>
        <v>00</v>
      </c>
      <c r="D417">
        <v>2153</v>
      </c>
      <c r="E417" t="str">
        <f t="shared" si="41"/>
        <v>00</v>
      </c>
      <c r="F417" t="str">
        <f>"006"</f>
        <v>006</v>
      </c>
      <c r="G417">
        <v>9</v>
      </c>
      <c r="H417" t="str">
        <f t="shared" si="42"/>
        <v>00</v>
      </c>
      <c r="I417" t="str">
        <f t="shared" si="43"/>
        <v>0</v>
      </c>
      <c r="J417" t="str">
        <f t="shared" si="44"/>
        <v>00</v>
      </c>
      <c r="K417">
        <v>20190125</v>
      </c>
      <c r="L417" t="str">
        <f>"027543"</f>
        <v>027543</v>
      </c>
      <c r="M417" t="str">
        <f>"75452"</f>
        <v>75452</v>
      </c>
      <c r="N417" t="s">
        <v>57</v>
      </c>
      <c r="O417">
        <v>473.44</v>
      </c>
      <c r="P417">
        <v>20190125</v>
      </c>
      <c r="Q417" t="s">
        <v>58</v>
      </c>
      <c r="R417" t="s">
        <v>200</v>
      </c>
      <c r="S417" t="s">
        <v>23</v>
      </c>
      <c r="T417" t="s">
        <v>59</v>
      </c>
    </row>
    <row r="418" spans="1:20" x14ac:dyDescent="0.25">
      <c r="A418">
        <v>9</v>
      </c>
      <c r="B418">
        <v>163</v>
      </c>
      <c r="C418" t="str">
        <f t="shared" si="40"/>
        <v>00</v>
      </c>
      <c r="D418">
        <v>2159</v>
      </c>
      <c r="E418" t="str">
        <f t="shared" si="41"/>
        <v>00</v>
      </c>
      <c r="F418" t="str">
        <f>"106"</f>
        <v>106</v>
      </c>
      <c r="G418">
        <v>9</v>
      </c>
      <c r="H418" t="str">
        <f t="shared" si="42"/>
        <v>00</v>
      </c>
      <c r="I418" t="str">
        <f t="shared" si="43"/>
        <v>0</v>
      </c>
      <c r="J418" t="str">
        <f t="shared" si="44"/>
        <v>00</v>
      </c>
      <c r="K418">
        <v>20190125</v>
      </c>
      <c r="L418" t="str">
        <f>"027544"</f>
        <v>027544</v>
      </c>
      <c r="M418" t="str">
        <f>"81173"</f>
        <v>81173</v>
      </c>
      <c r="N418" t="s">
        <v>60</v>
      </c>
      <c r="O418">
        <v>69.89</v>
      </c>
      <c r="P418">
        <v>20190125</v>
      </c>
      <c r="Q418" t="s">
        <v>61</v>
      </c>
      <c r="R418" t="s">
        <v>201</v>
      </c>
      <c r="S418" t="s">
        <v>23</v>
      </c>
      <c r="T418" t="s">
        <v>62</v>
      </c>
    </row>
    <row r="419" spans="1:20" x14ac:dyDescent="0.25">
      <c r="A419">
        <v>9</v>
      </c>
      <c r="B419">
        <v>163</v>
      </c>
      <c r="C419" t="str">
        <f t="shared" si="40"/>
        <v>00</v>
      </c>
      <c r="D419">
        <v>2159</v>
      </c>
      <c r="E419" t="str">
        <f t="shared" si="41"/>
        <v>00</v>
      </c>
      <c r="F419" t="str">
        <f>"007"</f>
        <v>007</v>
      </c>
      <c r="G419">
        <v>9</v>
      </c>
      <c r="H419" t="str">
        <f t="shared" si="42"/>
        <v>00</v>
      </c>
      <c r="I419" t="str">
        <f t="shared" si="43"/>
        <v>0</v>
      </c>
      <c r="J419" t="str">
        <f t="shared" si="44"/>
        <v>00</v>
      </c>
      <c r="K419">
        <v>20190125</v>
      </c>
      <c r="L419" t="str">
        <f>"027545"</f>
        <v>027545</v>
      </c>
      <c r="M419" t="str">
        <f>"81174"</f>
        <v>81174</v>
      </c>
      <c r="N419" t="s">
        <v>63</v>
      </c>
      <c r="O419">
        <v>34.89</v>
      </c>
      <c r="P419">
        <v>20190125</v>
      </c>
      <c r="Q419" t="s">
        <v>64</v>
      </c>
      <c r="R419" t="s">
        <v>201</v>
      </c>
      <c r="S419" t="s">
        <v>23</v>
      </c>
      <c r="T419" t="s">
        <v>65</v>
      </c>
    </row>
    <row r="420" spans="1:20" x14ac:dyDescent="0.25">
      <c r="A420">
        <v>9</v>
      </c>
      <c r="B420">
        <v>163</v>
      </c>
      <c r="C420" t="str">
        <f t="shared" si="40"/>
        <v>00</v>
      </c>
      <c r="D420">
        <v>2159</v>
      </c>
      <c r="E420" t="str">
        <f t="shared" si="41"/>
        <v>00</v>
      </c>
      <c r="F420" t="str">
        <f>"100"</f>
        <v>100</v>
      </c>
      <c r="G420">
        <v>9</v>
      </c>
      <c r="H420" t="str">
        <f t="shared" si="42"/>
        <v>00</v>
      </c>
      <c r="I420" t="str">
        <f t="shared" si="43"/>
        <v>0</v>
      </c>
      <c r="J420" t="str">
        <f t="shared" si="44"/>
        <v>00</v>
      </c>
      <c r="K420">
        <v>20190125</v>
      </c>
      <c r="L420" t="str">
        <f>"027546"</f>
        <v>027546</v>
      </c>
      <c r="M420" t="str">
        <f>"81177"</f>
        <v>81177</v>
      </c>
      <c r="N420" t="s">
        <v>66</v>
      </c>
      <c r="O420">
        <v>64</v>
      </c>
      <c r="P420">
        <v>20190125</v>
      </c>
      <c r="Q420" t="s">
        <v>67</v>
      </c>
      <c r="R420" t="s">
        <v>201</v>
      </c>
      <c r="S420" t="s">
        <v>23</v>
      </c>
      <c r="T420" t="s">
        <v>68</v>
      </c>
    </row>
    <row r="421" spans="1:20" x14ac:dyDescent="0.25">
      <c r="A421">
        <v>9</v>
      </c>
      <c r="B421">
        <v>163</v>
      </c>
      <c r="C421" t="str">
        <f t="shared" si="40"/>
        <v>00</v>
      </c>
      <c r="D421">
        <v>2153</v>
      </c>
      <c r="E421" t="str">
        <f t="shared" si="41"/>
        <v>00</v>
      </c>
      <c r="F421" t="str">
        <f>"141"</f>
        <v>141</v>
      </c>
      <c r="G421">
        <v>9</v>
      </c>
      <c r="H421" t="str">
        <f t="shared" si="42"/>
        <v>00</v>
      </c>
      <c r="I421" t="str">
        <f t="shared" si="43"/>
        <v>0</v>
      </c>
      <c r="J421" t="str">
        <f t="shared" si="44"/>
        <v>00</v>
      </c>
      <c r="K421">
        <v>20190208</v>
      </c>
      <c r="L421" t="str">
        <f>"027557"</f>
        <v>027557</v>
      </c>
      <c r="M421" t="str">
        <f>"00068"</f>
        <v>00068</v>
      </c>
      <c r="N421" t="s">
        <v>20</v>
      </c>
      <c r="O421">
        <v>454.64</v>
      </c>
      <c r="P421">
        <v>20190208</v>
      </c>
      <c r="Q421" t="s">
        <v>21</v>
      </c>
      <c r="R421" t="s">
        <v>208</v>
      </c>
      <c r="S421" t="s">
        <v>23</v>
      </c>
      <c r="T421" t="s">
        <v>24</v>
      </c>
    </row>
    <row r="422" spans="1:20" x14ac:dyDescent="0.25">
      <c r="A422">
        <v>9</v>
      </c>
      <c r="B422">
        <v>163</v>
      </c>
      <c r="C422" t="str">
        <f t="shared" si="40"/>
        <v>00</v>
      </c>
      <c r="D422">
        <v>2153</v>
      </c>
      <c r="E422" t="str">
        <f t="shared" si="41"/>
        <v>00</v>
      </c>
      <c r="F422" t="str">
        <f>"142"</f>
        <v>142</v>
      </c>
      <c r="G422">
        <v>9</v>
      </c>
      <c r="H422" t="str">
        <f t="shared" si="42"/>
        <v>00</v>
      </c>
      <c r="I422" t="str">
        <f t="shared" si="43"/>
        <v>0</v>
      </c>
      <c r="J422" t="str">
        <f t="shared" si="44"/>
        <v>00</v>
      </c>
      <c r="K422">
        <v>20190208</v>
      </c>
      <c r="L422" t="str">
        <f>"027557"</f>
        <v>027557</v>
      </c>
      <c r="M422" t="str">
        <f>"00068"</f>
        <v>00068</v>
      </c>
      <c r="N422" t="s">
        <v>20</v>
      </c>
      <c r="O422">
        <v>364.56</v>
      </c>
      <c r="P422">
        <v>20190208</v>
      </c>
      <c r="Q422" t="s">
        <v>25</v>
      </c>
      <c r="R422" t="s">
        <v>209</v>
      </c>
      <c r="S422" t="s">
        <v>23</v>
      </c>
      <c r="T422" t="s">
        <v>27</v>
      </c>
    </row>
    <row r="423" spans="1:20" x14ac:dyDescent="0.25">
      <c r="A423">
        <v>9</v>
      </c>
      <c r="B423">
        <v>163</v>
      </c>
      <c r="C423" t="str">
        <f t="shared" si="40"/>
        <v>00</v>
      </c>
      <c r="D423">
        <v>2159</v>
      </c>
      <c r="E423" t="str">
        <f t="shared" si="41"/>
        <v>00</v>
      </c>
      <c r="F423" t="str">
        <f>"148"</f>
        <v>148</v>
      </c>
      <c r="G423">
        <v>9</v>
      </c>
      <c r="H423" t="str">
        <f t="shared" si="42"/>
        <v>00</v>
      </c>
      <c r="I423" t="str">
        <f t="shared" si="43"/>
        <v>0</v>
      </c>
      <c r="J423" t="str">
        <f t="shared" si="44"/>
        <v>00</v>
      </c>
      <c r="K423">
        <v>20190208</v>
      </c>
      <c r="L423" t="str">
        <f>"027558"</f>
        <v>027558</v>
      </c>
      <c r="M423" t="str">
        <f>"00528"</f>
        <v>00528</v>
      </c>
      <c r="N423" t="s">
        <v>159</v>
      </c>
      <c r="O423">
        <v>30</v>
      </c>
      <c r="P423">
        <v>20190208</v>
      </c>
      <c r="Q423" t="s">
        <v>160</v>
      </c>
      <c r="R423" t="s">
        <v>210</v>
      </c>
      <c r="S423" t="s">
        <v>23</v>
      </c>
      <c r="T423" t="s">
        <v>162</v>
      </c>
    </row>
    <row r="424" spans="1:20" x14ac:dyDescent="0.25">
      <c r="A424">
        <v>9</v>
      </c>
      <c r="B424">
        <v>163</v>
      </c>
      <c r="C424" t="str">
        <f t="shared" si="40"/>
        <v>00</v>
      </c>
      <c r="D424">
        <v>2153</v>
      </c>
      <c r="E424" t="str">
        <f t="shared" si="41"/>
        <v>00</v>
      </c>
      <c r="F424" t="str">
        <f>"022"</f>
        <v>022</v>
      </c>
      <c r="G424">
        <v>9</v>
      </c>
      <c r="H424" t="str">
        <f t="shared" si="42"/>
        <v>00</v>
      </c>
      <c r="I424" t="str">
        <f t="shared" si="43"/>
        <v>0</v>
      </c>
      <c r="J424" t="str">
        <f t="shared" si="44"/>
        <v>00</v>
      </c>
      <c r="K424">
        <v>20190208</v>
      </c>
      <c r="L424" t="str">
        <f>"027559"</f>
        <v>027559</v>
      </c>
      <c r="M424" t="str">
        <f>"04831"</f>
        <v>04831</v>
      </c>
      <c r="N424" t="s">
        <v>28</v>
      </c>
      <c r="O424">
        <v>16.77</v>
      </c>
      <c r="P424">
        <v>20190208</v>
      </c>
      <c r="Q424" t="s">
        <v>29</v>
      </c>
      <c r="R424" t="s">
        <v>209</v>
      </c>
      <c r="S424" t="s">
        <v>23</v>
      </c>
      <c r="T424" t="s">
        <v>30</v>
      </c>
    </row>
    <row r="425" spans="1:20" x14ac:dyDescent="0.25">
      <c r="A425">
        <v>9</v>
      </c>
      <c r="B425">
        <v>163</v>
      </c>
      <c r="C425" t="str">
        <f t="shared" si="40"/>
        <v>00</v>
      </c>
      <c r="D425">
        <v>2159</v>
      </c>
      <c r="E425" t="str">
        <f t="shared" si="41"/>
        <v>00</v>
      </c>
      <c r="F425" t="str">
        <f>"018"</f>
        <v>018</v>
      </c>
      <c r="G425">
        <v>9</v>
      </c>
      <c r="H425" t="str">
        <f t="shared" si="42"/>
        <v>00</v>
      </c>
      <c r="I425" t="str">
        <f t="shared" si="43"/>
        <v>0</v>
      </c>
      <c r="J425" t="str">
        <f t="shared" si="44"/>
        <v>00</v>
      </c>
      <c r="K425">
        <v>20190208</v>
      </c>
      <c r="L425" t="str">
        <f>"027560"</f>
        <v>027560</v>
      </c>
      <c r="M425" t="str">
        <f>"04905"</f>
        <v>04905</v>
      </c>
      <c r="N425" t="s">
        <v>31</v>
      </c>
      <c r="O425">
        <v>73.48</v>
      </c>
      <c r="P425">
        <v>20190208</v>
      </c>
      <c r="Q425" t="s">
        <v>32</v>
      </c>
      <c r="R425" t="s">
        <v>210</v>
      </c>
      <c r="S425" t="s">
        <v>23</v>
      </c>
      <c r="T425" t="s">
        <v>34</v>
      </c>
    </row>
    <row r="426" spans="1:20" x14ac:dyDescent="0.25">
      <c r="A426">
        <v>9</v>
      </c>
      <c r="B426">
        <v>163</v>
      </c>
      <c r="C426" t="str">
        <f t="shared" si="40"/>
        <v>00</v>
      </c>
      <c r="D426">
        <v>2153</v>
      </c>
      <c r="E426" t="str">
        <f t="shared" si="41"/>
        <v>00</v>
      </c>
      <c r="F426" t="str">
        <f>"053"</f>
        <v>053</v>
      </c>
      <c r="G426">
        <v>9</v>
      </c>
      <c r="H426" t="str">
        <f t="shared" si="42"/>
        <v>00</v>
      </c>
      <c r="I426" t="str">
        <f t="shared" si="43"/>
        <v>0</v>
      </c>
      <c r="J426" t="str">
        <f t="shared" si="44"/>
        <v>00</v>
      </c>
      <c r="K426">
        <v>20190208</v>
      </c>
      <c r="L426" t="str">
        <f>"027561"</f>
        <v>027561</v>
      </c>
      <c r="M426" t="str">
        <f>"04987"</f>
        <v>04987</v>
      </c>
      <c r="N426" t="s">
        <v>35</v>
      </c>
      <c r="O426">
        <v>20.64</v>
      </c>
      <c r="P426">
        <v>20190208</v>
      </c>
      <c r="Q426" t="s">
        <v>36</v>
      </c>
      <c r="R426" t="s">
        <v>209</v>
      </c>
      <c r="S426" t="s">
        <v>23</v>
      </c>
      <c r="T426" t="s">
        <v>37</v>
      </c>
    </row>
    <row r="427" spans="1:20" x14ac:dyDescent="0.25">
      <c r="A427">
        <v>9</v>
      </c>
      <c r="B427">
        <v>163</v>
      </c>
      <c r="C427" t="str">
        <f t="shared" si="40"/>
        <v>00</v>
      </c>
      <c r="D427">
        <v>2159</v>
      </c>
      <c r="E427" t="str">
        <f t="shared" si="41"/>
        <v>00</v>
      </c>
      <c r="F427" t="str">
        <f>"068"</f>
        <v>068</v>
      </c>
      <c r="G427">
        <v>9</v>
      </c>
      <c r="H427" t="str">
        <f t="shared" si="42"/>
        <v>00</v>
      </c>
      <c r="I427" t="str">
        <f t="shared" si="43"/>
        <v>0</v>
      </c>
      <c r="J427" t="str">
        <f t="shared" si="44"/>
        <v>00</v>
      </c>
      <c r="K427">
        <v>20190208</v>
      </c>
      <c r="L427" t="str">
        <f>"027562"</f>
        <v>027562</v>
      </c>
      <c r="M427" t="str">
        <f>"10095"</f>
        <v>10095</v>
      </c>
      <c r="N427" t="s">
        <v>83</v>
      </c>
      <c r="O427">
        <v>14.59</v>
      </c>
      <c r="P427">
        <v>20190208</v>
      </c>
      <c r="Q427" t="s">
        <v>84</v>
      </c>
      <c r="R427" t="s">
        <v>210</v>
      </c>
      <c r="S427" t="s">
        <v>23</v>
      </c>
      <c r="T427" t="s">
        <v>85</v>
      </c>
    </row>
    <row r="428" spans="1:20" x14ac:dyDescent="0.25">
      <c r="A428">
        <v>9</v>
      </c>
      <c r="B428">
        <v>163</v>
      </c>
      <c r="C428" t="str">
        <f t="shared" si="40"/>
        <v>00</v>
      </c>
      <c r="D428">
        <v>2153</v>
      </c>
      <c r="E428" t="str">
        <f t="shared" si="41"/>
        <v>00</v>
      </c>
      <c r="F428" t="str">
        <f>"011"</f>
        <v>011</v>
      </c>
      <c r="G428">
        <v>9</v>
      </c>
      <c r="H428" t="str">
        <f t="shared" si="42"/>
        <v>00</v>
      </c>
      <c r="I428" t="str">
        <f t="shared" si="43"/>
        <v>0</v>
      </c>
      <c r="J428" t="str">
        <f t="shared" si="44"/>
        <v>00</v>
      </c>
      <c r="K428">
        <v>20190208</v>
      </c>
      <c r="L428" t="str">
        <f>"027563"</f>
        <v>027563</v>
      </c>
      <c r="M428" t="str">
        <f>"11211"</f>
        <v>11211</v>
      </c>
      <c r="N428" t="s">
        <v>41</v>
      </c>
      <c r="O428">
        <v>173.73</v>
      </c>
      <c r="P428">
        <v>20190208</v>
      </c>
      <c r="Q428" t="s">
        <v>42</v>
      </c>
      <c r="R428" t="s">
        <v>209</v>
      </c>
      <c r="S428" t="s">
        <v>23</v>
      </c>
      <c r="T428" t="s">
        <v>43</v>
      </c>
    </row>
    <row r="429" spans="1:20" x14ac:dyDescent="0.25">
      <c r="A429">
        <v>9</v>
      </c>
      <c r="B429">
        <v>163</v>
      </c>
      <c r="C429" t="str">
        <f t="shared" si="40"/>
        <v>00</v>
      </c>
      <c r="D429">
        <v>2159</v>
      </c>
      <c r="E429" t="str">
        <f t="shared" si="41"/>
        <v>00</v>
      </c>
      <c r="F429" t="str">
        <f>"104"</f>
        <v>104</v>
      </c>
      <c r="G429">
        <v>9</v>
      </c>
      <c r="H429" t="str">
        <f t="shared" si="42"/>
        <v>00</v>
      </c>
      <c r="I429" t="str">
        <f t="shared" si="43"/>
        <v>0</v>
      </c>
      <c r="J429" t="str">
        <f t="shared" si="44"/>
        <v>00</v>
      </c>
      <c r="K429">
        <v>20190208</v>
      </c>
      <c r="L429" t="str">
        <f>"027564"</f>
        <v>027564</v>
      </c>
      <c r="M429" t="str">
        <f>"14177"</f>
        <v>14177</v>
      </c>
      <c r="N429" t="s">
        <v>163</v>
      </c>
      <c r="O429">
        <v>29.5</v>
      </c>
      <c r="P429">
        <v>20190208</v>
      </c>
      <c r="Q429" t="s">
        <v>45</v>
      </c>
      <c r="R429" t="s">
        <v>210</v>
      </c>
      <c r="S429" t="s">
        <v>23</v>
      </c>
      <c r="T429" t="s">
        <v>46</v>
      </c>
    </row>
    <row r="430" spans="1:20" x14ac:dyDescent="0.25">
      <c r="A430">
        <v>9</v>
      </c>
      <c r="B430">
        <v>163</v>
      </c>
      <c r="C430" t="str">
        <f t="shared" si="40"/>
        <v>00</v>
      </c>
      <c r="D430">
        <v>2153</v>
      </c>
      <c r="E430" t="str">
        <f t="shared" si="41"/>
        <v>00</v>
      </c>
      <c r="F430" t="str">
        <f>"110"</f>
        <v>110</v>
      </c>
      <c r="G430">
        <v>9</v>
      </c>
      <c r="H430" t="str">
        <f t="shared" si="42"/>
        <v>00</v>
      </c>
      <c r="I430" t="str">
        <f t="shared" si="43"/>
        <v>0</v>
      </c>
      <c r="J430" t="str">
        <f t="shared" si="44"/>
        <v>00</v>
      </c>
      <c r="K430">
        <v>20190208</v>
      </c>
      <c r="L430" t="str">
        <f>"027565"</f>
        <v>027565</v>
      </c>
      <c r="M430" t="str">
        <f>"48947"</f>
        <v>48947</v>
      </c>
      <c r="N430" t="s">
        <v>47</v>
      </c>
      <c r="O430">
        <v>34.78</v>
      </c>
      <c r="P430">
        <v>20190208</v>
      </c>
      <c r="Q430" t="s">
        <v>48</v>
      </c>
      <c r="R430" t="s">
        <v>208</v>
      </c>
      <c r="S430" t="s">
        <v>23</v>
      </c>
      <c r="T430" t="s">
        <v>49</v>
      </c>
    </row>
    <row r="431" spans="1:20" x14ac:dyDescent="0.25">
      <c r="A431">
        <v>9</v>
      </c>
      <c r="B431">
        <v>163</v>
      </c>
      <c r="C431" t="str">
        <f t="shared" si="40"/>
        <v>00</v>
      </c>
      <c r="D431">
        <v>2159</v>
      </c>
      <c r="E431" t="str">
        <f t="shared" si="41"/>
        <v>00</v>
      </c>
      <c r="F431" t="str">
        <f>"131"</f>
        <v>131</v>
      </c>
      <c r="G431">
        <v>9</v>
      </c>
      <c r="H431" t="str">
        <f t="shared" si="42"/>
        <v>00</v>
      </c>
      <c r="I431" t="str">
        <f t="shared" si="43"/>
        <v>0</v>
      </c>
      <c r="J431" t="str">
        <f t="shared" si="44"/>
        <v>00</v>
      </c>
      <c r="K431">
        <v>20190208</v>
      </c>
      <c r="L431" t="str">
        <f>"027566"</f>
        <v>027566</v>
      </c>
      <c r="M431" t="str">
        <f>"54196"</f>
        <v>54196</v>
      </c>
      <c r="N431" t="s">
        <v>50</v>
      </c>
      <c r="O431">
        <v>50</v>
      </c>
      <c r="P431">
        <v>20190208</v>
      </c>
      <c r="Q431" t="s">
        <v>51</v>
      </c>
      <c r="R431" t="s">
        <v>211</v>
      </c>
      <c r="S431" t="s">
        <v>23</v>
      </c>
      <c r="T431" t="s">
        <v>53</v>
      </c>
    </row>
    <row r="432" spans="1:20" x14ac:dyDescent="0.25">
      <c r="A432">
        <v>9</v>
      </c>
      <c r="B432">
        <v>163</v>
      </c>
      <c r="C432" t="str">
        <f t="shared" si="40"/>
        <v>00</v>
      </c>
      <c r="D432">
        <v>2159</v>
      </c>
      <c r="E432" t="str">
        <f t="shared" si="41"/>
        <v>00</v>
      </c>
      <c r="F432" t="str">
        <f>"111"</f>
        <v>111</v>
      </c>
      <c r="G432">
        <v>9</v>
      </c>
      <c r="H432" t="str">
        <f t="shared" si="42"/>
        <v>00</v>
      </c>
      <c r="I432" t="str">
        <f t="shared" si="43"/>
        <v>0</v>
      </c>
      <c r="J432" t="str">
        <f t="shared" si="44"/>
        <v>00</v>
      </c>
      <c r="K432">
        <v>20190208</v>
      </c>
      <c r="L432" t="str">
        <f>"027567"</f>
        <v>027567</v>
      </c>
      <c r="M432" t="str">
        <f>"72601"</f>
        <v>72601</v>
      </c>
      <c r="N432" t="s">
        <v>54</v>
      </c>
      <c r="O432">
        <v>452.74</v>
      </c>
      <c r="P432">
        <v>20190208</v>
      </c>
      <c r="Q432" t="s">
        <v>55</v>
      </c>
      <c r="R432" t="s">
        <v>210</v>
      </c>
      <c r="S432" t="s">
        <v>23</v>
      </c>
      <c r="T432" t="s">
        <v>56</v>
      </c>
    </row>
    <row r="433" spans="1:20" x14ac:dyDescent="0.25">
      <c r="A433">
        <v>9</v>
      </c>
      <c r="B433">
        <v>163</v>
      </c>
      <c r="C433" t="str">
        <f t="shared" si="40"/>
        <v>00</v>
      </c>
      <c r="D433">
        <v>2153</v>
      </c>
      <c r="E433" t="str">
        <f t="shared" si="41"/>
        <v>00</v>
      </c>
      <c r="F433" t="str">
        <f>"006"</f>
        <v>006</v>
      </c>
      <c r="G433">
        <v>9</v>
      </c>
      <c r="H433" t="str">
        <f t="shared" si="42"/>
        <v>00</v>
      </c>
      <c r="I433" t="str">
        <f t="shared" si="43"/>
        <v>0</v>
      </c>
      <c r="J433" t="str">
        <f t="shared" si="44"/>
        <v>00</v>
      </c>
      <c r="K433">
        <v>20190208</v>
      </c>
      <c r="L433" t="str">
        <f>"027568"</f>
        <v>027568</v>
      </c>
      <c r="M433" t="str">
        <f>"75452"</f>
        <v>75452</v>
      </c>
      <c r="N433" t="s">
        <v>57</v>
      </c>
      <c r="O433">
        <v>473.44</v>
      </c>
      <c r="P433">
        <v>20190208</v>
      </c>
      <c r="Q433" t="s">
        <v>58</v>
      </c>
      <c r="R433" t="s">
        <v>209</v>
      </c>
      <c r="S433" t="s">
        <v>23</v>
      </c>
      <c r="T433" t="s">
        <v>59</v>
      </c>
    </row>
    <row r="434" spans="1:20" x14ac:dyDescent="0.25">
      <c r="A434">
        <v>9</v>
      </c>
      <c r="B434">
        <v>163</v>
      </c>
      <c r="C434" t="str">
        <f t="shared" si="40"/>
        <v>00</v>
      </c>
      <c r="D434">
        <v>2159</v>
      </c>
      <c r="E434" t="str">
        <f t="shared" si="41"/>
        <v>00</v>
      </c>
      <c r="F434" t="str">
        <f>"106"</f>
        <v>106</v>
      </c>
      <c r="G434">
        <v>9</v>
      </c>
      <c r="H434" t="str">
        <f t="shared" si="42"/>
        <v>00</v>
      </c>
      <c r="I434" t="str">
        <f t="shared" si="43"/>
        <v>0</v>
      </c>
      <c r="J434" t="str">
        <f t="shared" si="44"/>
        <v>00</v>
      </c>
      <c r="K434">
        <v>20190208</v>
      </c>
      <c r="L434" t="str">
        <f>"027569"</f>
        <v>027569</v>
      </c>
      <c r="M434" t="str">
        <f>"81173"</f>
        <v>81173</v>
      </c>
      <c r="N434" t="s">
        <v>60</v>
      </c>
      <c r="O434">
        <v>87.25</v>
      </c>
      <c r="P434">
        <v>20190208</v>
      </c>
      <c r="Q434" t="s">
        <v>61</v>
      </c>
      <c r="R434" t="s">
        <v>210</v>
      </c>
      <c r="S434" t="s">
        <v>23</v>
      </c>
      <c r="T434" t="s">
        <v>62</v>
      </c>
    </row>
    <row r="435" spans="1:20" x14ac:dyDescent="0.25">
      <c r="A435">
        <v>9</v>
      </c>
      <c r="B435">
        <v>163</v>
      </c>
      <c r="C435" t="str">
        <f t="shared" si="40"/>
        <v>00</v>
      </c>
      <c r="D435">
        <v>2159</v>
      </c>
      <c r="E435" t="str">
        <f t="shared" si="41"/>
        <v>00</v>
      </c>
      <c r="F435" t="str">
        <f>"007"</f>
        <v>007</v>
      </c>
      <c r="G435">
        <v>9</v>
      </c>
      <c r="H435" t="str">
        <f t="shared" si="42"/>
        <v>00</v>
      </c>
      <c r="I435" t="str">
        <f t="shared" si="43"/>
        <v>0</v>
      </c>
      <c r="J435" t="str">
        <f t="shared" si="44"/>
        <v>00</v>
      </c>
      <c r="K435">
        <v>20190208</v>
      </c>
      <c r="L435" t="str">
        <f>"027570"</f>
        <v>027570</v>
      </c>
      <c r="M435" t="str">
        <f>"81174"</f>
        <v>81174</v>
      </c>
      <c r="N435" t="s">
        <v>63</v>
      </c>
      <c r="O435">
        <v>52.25</v>
      </c>
      <c r="P435">
        <v>20190208</v>
      </c>
      <c r="Q435" t="s">
        <v>64</v>
      </c>
      <c r="R435" t="s">
        <v>210</v>
      </c>
      <c r="S435" t="s">
        <v>23</v>
      </c>
      <c r="T435" t="s">
        <v>65</v>
      </c>
    </row>
    <row r="436" spans="1:20" x14ac:dyDescent="0.25">
      <c r="A436">
        <v>9</v>
      </c>
      <c r="B436">
        <v>163</v>
      </c>
      <c r="C436" t="str">
        <f t="shared" si="40"/>
        <v>00</v>
      </c>
      <c r="D436">
        <v>2159</v>
      </c>
      <c r="E436" t="str">
        <f t="shared" si="41"/>
        <v>00</v>
      </c>
      <c r="F436" t="str">
        <f>"100"</f>
        <v>100</v>
      </c>
      <c r="G436">
        <v>9</v>
      </c>
      <c r="H436" t="str">
        <f t="shared" si="42"/>
        <v>00</v>
      </c>
      <c r="I436" t="str">
        <f t="shared" si="43"/>
        <v>0</v>
      </c>
      <c r="J436" t="str">
        <f t="shared" si="44"/>
        <v>00</v>
      </c>
      <c r="K436">
        <v>20190208</v>
      </c>
      <c r="L436" t="str">
        <f>"027571"</f>
        <v>027571</v>
      </c>
      <c r="M436" t="str">
        <f>"81177"</f>
        <v>81177</v>
      </c>
      <c r="N436" t="s">
        <v>66</v>
      </c>
      <c r="O436">
        <v>32</v>
      </c>
      <c r="P436">
        <v>20190208</v>
      </c>
      <c r="Q436" t="s">
        <v>67</v>
      </c>
      <c r="R436" t="s">
        <v>210</v>
      </c>
      <c r="S436" t="s">
        <v>23</v>
      </c>
      <c r="T436" t="s">
        <v>68</v>
      </c>
    </row>
    <row r="437" spans="1:20" x14ac:dyDescent="0.25">
      <c r="A437">
        <v>9</v>
      </c>
      <c r="B437">
        <v>163</v>
      </c>
      <c r="C437" t="str">
        <f t="shared" si="40"/>
        <v>00</v>
      </c>
      <c r="D437">
        <v>2153</v>
      </c>
      <c r="E437" t="str">
        <f t="shared" si="41"/>
        <v>00</v>
      </c>
      <c r="F437" t="str">
        <f>"141"</f>
        <v>141</v>
      </c>
      <c r="G437">
        <v>9</v>
      </c>
      <c r="H437" t="str">
        <f t="shared" si="42"/>
        <v>00</v>
      </c>
      <c r="I437" t="str">
        <f t="shared" si="43"/>
        <v>0</v>
      </c>
      <c r="J437" t="str">
        <f t="shared" si="44"/>
        <v>00</v>
      </c>
      <c r="K437">
        <v>20190215</v>
      </c>
      <c r="L437" t="str">
        <f>"027572"</f>
        <v>027572</v>
      </c>
      <c r="M437" t="str">
        <f>"00068"</f>
        <v>00068</v>
      </c>
      <c r="N437" t="s">
        <v>20</v>
      </c>
      <c r="O437" s="1">
        <v>5227.9399999999996</v>
      </c>
      <c r="P437">
        <v>20190215</v>
      </c>
      <c r="Q437" t="s">
        <v>21</v>
      </c>
      <c r="R437" t="s">
        <v>208</v>
      </c>
      <c r="S437" t="s">
        <v>23</v>
      </c>
      <c r="T437" t="s">
        <v>24</v>
      </c>
    </row>
    <row r="438" spans="1:20" x14ac:dyDescent="0.25">
      <c r="A438">
        <v>9</v>
      </c>
      <c r="B438">
        <v>163</v>
      </c>
      <c r="C438" t="str">
        <f t="shared" si="40"/>
        <v>00</v>
      </c>
      <c r="D438">
        <v>2153</v>
      </c>
      <c r="E438" t="str">
        <f t="shared" si="41"/>
        <v>00</v>
      </c>
      <c r="F438" t="str">
        <f>"142"</f>
        <v>142</v>
      </c>
      <c r="G438">
        <v>9</v>
      </c>
      <c r="H438" t="str">
        <f t="shared" si="42"/>
        <v>00</v>
      </c>
      <c r="I438" t="str">
        <f t="shared" si="43"/>
        <v>0</v>
      </c>
      <c r="J438" t="str">
        <f t="shared" si="44"/>
        <v>00</v>
      </c>
      <c r="K438">
        <v>20190215</v>
      </c>
      <c r="L438" t="str">
        <f>"027572"</f>
        <v>027572</v>
      </c>
      <c r="M438" t="str">
        <f>"00068"</f>
        <v>00068</v>
      </c>
      <c r="N438" t="s">
        <v>20</v>
      </c>
      <c r="O438" s="1">
        <v>9525.5</v>
      </c>
      <c r="P438">
        <v>20190215</v>
      </c>
      <c r="Q438" t="s">
        <v>25</v>
      </c>
      <c r="R438" t="s">
        <v>209</v>
      </c>
      <c r="S438" t="s">
        <v>23</v>
      </c>
      <c r="T438" t="s">
        <v>27</v>
      </c>
    </row>
    <row r="439" spans="1:20" x14ac:dyDescent="0.25">
      <c r="A439">
        <v>9</v>
      </c>
      <c r="B439">
        <v>163</v>
      </c>
      <c r="C439" t="str">
        <f t="shared" si="40"/>
        <v>00</v>
      </c>
      <c r="D439">
        <v>2159</v>
      </c>
      <c r="E439" t="str">
        <f t="shared" si="41"/>
        <v>00</v>
      </c>
      <c r="F439" t="str">
        <f>"143"</f>
        <v>143</v>
      </c>
      <c r="G439">
        <v>9</v>
      </c>
      <c r="H439" t="str">
        <f t="shared" si="42"/>
        <v>00</v>
      </c>
      <c r="I439" t="str">
        <f t="shared" si="43"/>
        <v>0</v>
      </c>
      <c r="J439" t="str">
        <f t="shared" si="44"/>
        <v>00</v>
      </c>
      <c r="K439">
        <v>20190215</v>
      </c>
      <c r="L439" t="str">
        <f>"027573"</f>
        <v>027573</v>
      </c>
      <c r="M439" t="str">
        <f>"00069"</f>
        <v>00069</v>
      </c>
      <c r="N439" t="s">
        <v>72</v>
      </c>
      <c r="O439">
        <v>285.94</v>
      </c>
      <c r="P439">
        <v>20190215</v>
      </c>
      <c r="Q439" t="s">
        <v>73</v>
      </c>
      <c r="R439" t="s">
        <v>210</v>
      </c>
      <c r="S439" t="s">
        <v>23</v>
      </c>
      <c r="T439" t="s">
        <v>74</v>
      </c>
    </row>
    <row r="440" spans="1:20" x14ac:dyDescent="0.25">
      <c r="A440">
        <v>9</v>
      </c>
      <c r="B440">
        <v>163</v>
      </c>
      <c r="C440" t="str">
        <f t="shared" si="40"/>
        <v>00</v>
      </c>
      <c r="D440">
        <v>2159</v>
      </c>
      <c r="E440" t="str">
        <f t="shared" si="41"/>
        <v>00</v>
      </c>
      <c r="F440" t="str">
        <f>"146"</f>
        <v>146</v>
      </c>
      <c r="G440">
        <v>9</v>
      </c>
      <c r="H440" t="str">
        <f t="shared" si="42"/>
        <v>00</v>
      </c>
      <c r="I440" t="str">
        <f t="shared" si="43"/>
        <v>0</v>
      </c>
      <c r="J440" t="str">
        <f t="shared" si="44"/>
        <v>00</v>
      </c>
      <c r="K440">
        <v>20190215</v>
      </c>
      <c r="L440" t="str">
        <f>"027574"</f>
        <v>027574</v>
      </c>
      <c r="M440" t="str">
        <f>"00086"</f>
        <v>00086</v>
      </c>
      <c r="N440" t="s">
        <v>75</v>
      </c>
      <c r="O440">
        <v>263.23</v>
      </c>
      <c r="P440">
        <v>20190215</v>
      </c>
      <c r="Q440" t="s">
        <v>76</v>
      </c>
      <c r="R440" t="s">
        <v>210</v>
      </c>
      <c r="S440" t="s">
        <v>23</v>
      </c>
      <c r="T440" t="s">
        <v>75</v>
      </c>
    </row>
    <row r="441" spans="1:20" x14ac:dyDescent="0.25">
      <c r="A441">
        <v>9</v>
      </c>
      <c r="B441">
        <v>163</v>
      </c>
      <c r="C441" t="str">
        <f t="shared" si="40"/>
        <v>00</v>
      </c>
      <c r="D441">
        <v>2159</v>
      </c>
      <c r="E441" t="str">
        <f t="shared" si="41"/>
        <v>00</v>
      </c>
      <c r="F441" t="str">
        <f>"147"</f>
        <v>147</v>
      </c>
      <c r="G441">
        <v>9</v>
      </c>
      <c r="H441" t="str">
        <f t="shared" si="42"/>
        <v>00</v>
      </c>
      <c r="I441" t="str">
        <f t="shared" si="43"/>
        <v>0</v>
      </c>
      <c r="J441" t="str">
        <f t="shared" si="44"/>
        <v>00</v>
      </c>
      <c r="K441">
        <v>20190215</v>
      </c>
      <c r="L441" t="str">
        <f>"027575"</f>
        <v>027575</v>
      </c>
      <c r="M441" t="str">
        <f>"00248"</f>
        <v>00248</v>
      </c>
      <c r="N441" t="s">
        <v>77</v>
      </c>
      <c r="O441" s="1">
        <v>1952.88</v>
      </c>
      <c r="P441">
        <v>20190215</v>
      </c>
      <c r="Q441" t="s">
        <v>78</v>
      </c>
      <c r="R441" t="s">
        <v>210</v>
      </c>
      <c r="S441" t="s">
        <v>23</v>
      </c>
      <c r="T441" t="s">
        <v>79</v>
      </c>
    </row>
    <row r="442" spans="1:20" x14ac:dyDescent="0.25">
      <c r="A442">
        <v>9</v>
      </c>
      <c r="B442">
        <v>163</v>
      </c>
      <c r="C442" t="str">
        <f t="shared" si="40"/>
        <v>00</v>
      </c>
      <c r="D442">
        <v>2159</v>
      </c>
      <c r="E442" t="str">
        <f t="shared" si="41"/>
        <v>00</v>
      </c>
      <c r="F442" t="str">
        <f>"148"</f>
        <v>148</v>
      </c>
      <c r="G442">
        <v>9</v>
      </c>
      <c r="H442" t="str">
        <f t="shared" si="42"/>
        <v>00</v>
      </c>
      <c r="I442" t="str">
        <f t="shared" si="43"/>
        <v>0</v>
      </c>
      <c r="J442" t="str">
        <f t="shared" si="44"/>
        <v>00</v>
      </c>
      <c r="K442">
        <v>20190215</v>
      </c>
      <c r="L442" t="str">
        <f>"027576"</f>
        <v>027576</v>
      </c>
      <c r="M442" t="str">
        <f>"00528"</f>
        <v>00528</v>
      </c>
      <c r="N442" t="s">
        <v>159</v>
      </c>
      <c r="O442">
        <v>772.5</v>
      </c>
      <c r="P442">
        <v>20190215</v>
      </c>
      <c r="Q442" t="s">
        <v>160</v>
      </c>
      <c r="R442" t="s">
        <v>210</v>
      </c>
      <c r="S442" t="s">
        <v>23</v>
      </c>
      <c r="T442" t="s">
        <v>162</v>
      </c>
    </row>
    <row r="443" spans="1:20" x14ac:dyDescent="0.25">
      <c r="A443">
        <v>9</v>
      </c>
      <c r="B443">
        <v>163</v>
      </c>
      <c r="C443" t="str">
        <f t="shared" si="40"/>
        <v>00</v>
      </c>
      <c r="D443">
        <v>2153</v>
      </c>
      <c r="E443" t="str">
        <f t="shared" si="41"/>
        <v>00</v>
      </c>
      <c r="F443" t="str">
        <f>"022"</f>
        <v>022</v>
      </c>
      <c r="G443">
        <v>9</v>
      </c>
      <c r="H443" t="str">
        <f t="shared" si="42"/>
        <v>00</v>
      </c>
      <c r="I443" t="str">
        <f t="shared" si="43"/>
        <v>0</v>
      </c>
      <c r="J443" t="str">
        <f t="shared" si="44"/>
        <v>00</v>
      </c>
      <c r="K443">
        <v>20190215</v>
      </c>
      <c r="L443" t="str">
        <f>"027577"</f>
        <v>027577</v>
      </c>
      <c r="M443" t="str">
        <f>"04831"</f>
        <v>04831</v>
      </c>
      <c r="N443" t="s">
        <v>28</v>
      </c>
      <c r="O443" s="1">
        <v>1661.81</v>
      </c>
      <c r="P443">
        <v>20190215</v>
      </c>
      <c r="Q443" t="s">
        <v>29</v>
      </c>
      <c r="R443" t="s">
        <v>209</v>
      </c>
      <c r="S443" t="s">
        <v>23</v>
      </c>
      <c r="T443" t="s">
        <v>30</v>
      </c>
    </row>
    <row r="444" spans="1:20" x14ac:dyDescent="0.25">
      <c r="A444">
        <v>9</v>
      </c>
      <c r="B444">
        <v>163</v>
      </c>
      <c r="C444" t="str">
        <f t="shared" si="40"/>
        <v>00</v>
      </c>
      <c r="D444">
        <v>2159</v>
      </c>
      <c r="E444" t="str">
        <f t="shared" si="41"/>
        <v>00</v>
      </c>
      <c r="F444" t="str">
        <f>"018"</f>
        <v>018</v>
      </c>
      <c r="G444">
        <v>9</v>
      </c>
      <c r="H444" t="str">
        <f t="shared" si="42"/>
        <v>00</v>
      </c>
      <c r="I444" t="str">
        <f t="shared" si="43"/>
        <v>0</v>
      </c>
      <c r="J444" t="str">
        <f t="shared" si="44"/>
        <v>00</v>
      </c>
      <c r="K444">
        <v>20190215</v>
      </c>
      <c r="L444" t="str">
        <f>"027578"</f>
        <v>027578</v>
      </c>
      <c r="M444" t="str">
        <f>"04905"</f>
        <v>04905</v>
      </c>
      <c r="N444" t="s">
        <v>31</v>
      </c>
      <c r="O444" s="1">
        <v>3076.18</v>
      </c>
      <c r="P444">
        <v>20190215</v>
      </c>
      <c r="Q444" t="s">
        <v>32</v>
      </c>
      <c r="R444" t="s">
        <v>210</v>
      </c>
      <c r="S444" t="s">
        <v>23</v>
      </c>
      <c r="T444" t="s">
        <v>34</v>
      </c>
    </row>
    <row r="445" spans="1:20" x14ac:dyDescent="0.25">
      <c r="A445">
        <v>9</v>
      </c>
      <c r="B445">
        <v>163</v>
      </c>
      <c r="C445" t="str">
        <f t="shared" si="40"/>
        <v>00</v>
      </c>
      <c r="D445">
        <v>2153</v>
      </c>
      <c r="E445" t="str">
        <f t="shared" si="41"/>
        <v>00</v>
      </c>
      <c r="F445" t="str">
        <f>"053"</f>
        <v>053</v>
      </c>
      <c r="G445">
        <v>9</v>
      </c>
      <c r="H445" t="str">
        <f t="shared" si="42"/>
        <v>00</v>
      </c>
      <c r="I445" t="str">
        <f t="shared" si="43"/>
        <v>0</v>
      </c>
      <c r="J445" t="str">
        <f t="shared" si="44"/>
        <v>00</v>
      </c>
      <c r="K445">
        <v>20190215</v>
      </c>
      <c r="L445" t="str">
        <f>"027579"</f>
        <v>027579</v>
      </c>
      <c r="M445" t="str">
        <f>"04987"</f>
        <v>04987</v>
      </c>
      <c r="N445" t="s">
        <v>35</v>
      </c>
      <c r="O445">
        <v>916.24</v>
      </c>
      <c r="P445">
        <v>20190215</v>
      </c>
      <c r="Q445" t="s">
        <v>36</v>
      </c>
      <c r="R445" t="s">
        <v>209</v>
      </c>
      <c r="S445" t="s">
        <v>23</v>
      </c>
      <c r="T445" t="s">
        <v>37</v>
      </c>
    </row>
    <row r="446" spans="1:20" x14ac:dyDescent="0.25">
      <c r="A446">
        <v>9</v>
      </c>
      <c r="B446">
        <v>163</v>
      </c>
      <c r="C446" t="str">
        <f t="shared" si="40"/>
        <v>00</v>
      </c>
      <c r="D446">
        <v>2159</v>
      </c>
      <c r="E446" t="str">
        <f t="shared" si="41"/>
        <v>00</v>
      </c>
      <c r="F446" t="str">
        <f>"009"</f>
        <v>009</v>
      </c>
      <c r="G446">
        <v>9</v>
      </c>
      <c r="H446" t="str">
        <f t="shared" si="42"/>
        <v>00</v>
      </c>
      <c r="I446" t="str">
        <f t="shared" si="43"/>
        <v>0</v>
      </c>
      <c r="J446" t="str">
        <f t="shared" si="44"/>
        <v>00</v>
      </c>
      <c r="K446">
        <v>20190215</v>
      </c>
      <c r="L446" t="str">
        <f>"027580"</f>
        <v>027580</v>
      </c>
      <c r="M446" t="str">
        <f>"07710"</f>
        <v>07710</v>
      </c>
      <c r="N446" t="s">
        <v>38</v>
      </c>
      <c r="O446">
        <v>665.97</v>
      </c>
      <c r="P446">
        <v>20190215</v>
      </c>
      <c r="Q446" t="s">
        <v>39</v>
      </c>
      <c r="R446" t="s">
        <v>210</v>
      </c>
      <c r="S446" t="s">
        <v>23</v>
      </c>
      <c r="T446" t="s">
        <v>40</v>
      </c>
    </row>
    <row r="447" spans="1:20" x14ac:dyDescent="0.25">
      <c r="A447">
        <v>9</v>
      </c>
      <c r="B447">
        <v>163</v>
      </c>
      <c r="C447" t="str">
        <f t="shared" si="40"/>
        <v>00</v>
      </c>
      <c r="D447">
        <v>2159</v>
      </c>
      <c r="E447" t="str">
        <f t="shared" si="41"/>
        <v>00</v>
      </c>
      <c r="F447" t="str">
        <f>"068"</f>
        <v>068</v>
      </c>
      <c r="G447">
        <v>9</v>
      </c>
      <c r="H447" t="str">
        <f t="shared" si="42"/>
        <v>00</v>
      </c>
      <c r="I447" t="str">
        <f t="shared" si="43"/>
        <v>0</v>
      </c>
      <c r="J447" t="str">
        <f t="shared" si="44"/>
        <v>00</v>
      </c>
      <c r="K447">
        <v>20190215</v>
      </c>
      <c r="L447" t="str">
        <f>"027581"</f>
        <v>027581</v>
      </c>
      <c r="M447" t="str">
        <f>"10095"</f>
        <v>10095</v>
      </c>
      <c r="N447" t="s">
        <v>83</v>
      </c>
      <c r="O447">
        <v>290.97000000000003</v>
      </c>
      <c r="P447">
        <v>20190215</v>
      </c>
      <c r="Q447" t="s">
        <v>84</v>
      </c>
      <c r="R447" t="s">
        <v>210</v>
      </c>
      <c r="S447" t="s">
        <v>23</v>
      </c>
      <c r="T447" t="s">
        <v>85</v>
      </c>
    </row>
    <row r="448" spans="1:20" x14ac:dyDescent="0.25">
      <c r="A448">
        <v>9</v>
      </c>
      <c r="B448">
        <v>163</v>
      </c>
      <c r="C448" t="str">
        <f t="shared" si="40"/>
        <v>00</v>
      </c>
      <c r="D448">
        <v>2153</v>
      </c>
      <c r="E448" t="str">
        <f t="shared" si="41"/>
        <v>00</v>
      </c>
      <c r="F448" t="str">
        <f>"011"</f>
        <v>011</v>
      </c>
      <c r="G448">
        <v>9</v>
      </c>
      <c r="H448" t="str">
        <f t="shared" si="42"/>
        <v>00</v>
      </c>
      <c r="I448" t="str">
        <f t="shared" si="43"/>
        <v>0</v>
      </c>
      <c r="J448" t="str">
        <f t="shared" si="44"/>
        <v>00</v>
      </c>
      <c r="K448">
        <v>20190215</v>
      </c>
      <c r="L448" t="str">
        <f>"027582"</f>
        <v>027582</v>
      </c>
      <c r="M448" t="str">
        <f>"11211"</f>
        <v>11211</v>
      </c>
      <c r="N448" t="s">
        <v>41</v>
      </c>
      <c r="O448" s="1">
        <v>2618.35</v>
      </c>
      <c r="P448">
        <v>20190215</v>
      </c>
      <c r="Q448" t="s">
        <v>42</v>
      </c>
      <c r="R448" t="s">
        <v>209</v>
      </c>
      <c r="S448" t="s">
        <v>23</v>
      </c>
      <c r="T448" t="s">
        <v>43</v>
      </c>
    </row>
    <row r="449" spans="1:20" x14ac:dyDescent="0.25">
      <c r="A449">
        <v>9</v>
      </c>
      <c r="B449">
        <v>163</v>
      </c>
      <c r="C449" t="str">
        <f t="shared" si="40"/>
        <v>00</v>
      </c>
      <c r="D449">
        <v>2159</v>
      </c>
      <c r="E449" t="str">
        <f t="shared" si="41"/>
        <v>00</v>
      </c>
      <c r="F449" t="str">
        <f>"104"</f>
        <v>104</v>
      </c>
      <c r="G449">
        <v>9</v>
      </c>
      <c r="H449" t="str">
        <f t="shared" si="42"/>
        <v>00</v>
      </c>
      <c r="I449" t="str">
        <f t="shared" si="43"/>
        <v>0</v>
      </c>
      <c r="J449" t="str">
        <f t="shared" si="44"/>
        <v>00</v>
      </c>
      <c r="K449">
        <v>20190215</v>
      </c>
      <c r="L449" t="str">
        <f>"027583"</f>
        <v>027583</v>
      </c>
      <c r="M449" t="str">
        <f>"14177"</f>
        <v>14177</v>
      </c>
      <c r="N449" t="s">
        <v>163</v>
      </c>
      <c r="O449">
        <v>69.5</v>
      </c>
      <c r="P449">
        <v>20190215</v>
      </c>
      <c r="Q449" t="s">
        <v>45</v>
      </c>
      <c r="R449" t="s">
        <v>210</v>
      </c>
      <c r="S449" t="s">
        <v>23</v>
      </c>
      <c r="T449" t="s">
        <v>46</v>
      </c>
    </row>
    <row r="450" spans="1:20" x14ac:dyDescent="0.25">
      <c r="A450">
        <v>9</v>
      </c>
      <c r="B450">
        <v>163</v>
      </c>
      <c r="C450" t="str">
        <f t="shared" ref="C450:C513" si="45">"00"</f>
        <v>00</v>
      </c>
      <c r="D450">
        <v>2159</v>
      </c>
      <c r="E450" t="str">
        <f t="shared" ref="E450:E513" si="46">"00"</f>
        <v>00</v>
      </c>
      <c r="F450" t="str">
        <f>"014"</f>
        <v>014</v>
      </c>
      <c r="G450">
        <v>9</v>
      </c>
      <c r="H450" t="str">
        <f t="shared" ref="H450:H513" si="47">"00"</f>
        <v>00</v>
      </c>
      <c r="I450" t="str">
        <f t="shared" ref="I450:I513" si="48">"0"</f>
        <v>0</v>
      </c>
      <c r="J450" t="str">
        <f t="shared" ref="J450:J513" si="49">"00"</f>
        <v>00</v>
      </c>
      <c r="K450">
        <v>20190215</v>
      </c>
      <c r="L450" t="str">
        <f>"027584"</f>
        <v>027584</v>
      </c>
      <c r="M450" t="str">
        <f>"20682"</f>
        <v>20682</v>
      </c>
      <c r="N450" t="s">
        <v>86</v>
      </c>
      <c r="O450" s="1">
        <v>3911.88</v>
      </c>
      <c r="P450">
        <v>20190215</v>
      </c>
      <c r="Q450" t="s">
        <v>87</v>
      </c>
      <c r="R450" t="s">
        <v>210</v>
      </c>
      <c r="S450" t="s">
        <v>23</v>
      </c>
      <c r="T450" t="s">
        <v>88</v>
      </c>
    </row>
    <row r="451" spans="1:20" x14ac:dyDescent="0.25">
      <c r="A451">
        <v>9</v>
      </c>
      <c r="B451">
        <v>163</v>
      </c>
      <c r="C451" t="str">
        <f t="shared" si="45"/>
        <v>00</v>
      </c>
      <c r="D451">
        <v>2153</v>
      </c>
      <c r="E451" t="str">
        <f t="shared" si="46"/>
        <v>00</v>
      </c>
      <c r="F451" t="str">
        <f>"024"</f>
        <v>024</v>
      </c>
      <c r="G451">
        <v>9</v>
      </c>
      <c r="H451" t="str">
        <f t="shared" si="47"/>
        <v>00</v>
      </c>
      <c r="I451" t="str">
        <f t="shared" si="48"/>
        <v>0</v>
      </c>
      <c r="J451" t="str">
        <f t="shared" si="49"/>
        <v>00</v>
      </c>
      <c r="K451">
        <v>20190215</v>
      </c>
      <c r="L451" t="str">
        <f>"027585"</f>
        <v>027585</v>
      </c>
      <c r="M451" t="str">
        <f>"21504"</f>
        <v>21504</v>
      </c>
      <c r="N451" t="s">
        <v>89</v>
      </c>
      <c r="O451">
        <v>36.6</v>
      </c>
      <c r="P451">
        <v>20190215</v>
      </c>
      <c r="Q451" t="s">
        <v>90</v>
      </c>
      <c r="R451" t="s">
        <v>209</v>
      </c>
      <c r="S451" t="s">
        <v>23</v>
      </c>
      <c r="T451" t="s">
        <v>91</v>
      </c>
    </row>
    <row r="452" spans="1:20" x14ac:dyDescent="0.25">
      <c r="A452">
        <v>9</v>
      </c>
      <c r="B452">
        <v>163</v>
      </c>
      <c r="C452" t="str">
        <f t="shared" si="45"/>
        <v>00</v>
      </c>
      <c r="D452">
        <v>2153</v>
      </c>
      <c r="E452" t="str">
        <f t="shared" si="46"/>
        <v>00</v>
      </c>
      <c r="F452" t="str">
        <f>"026"</f>
        <v>026</v>
      </c>
      <c r="G452">
        <v>9</v>
      </c>
      <c r="H452" t="str">
        <f t="shared" si="47"/>
        <v>00</v>
      </c>
      <c r="I452" t="str">
        <f t="shared" si="48"/>
        <v>0</v>
      </c>
      <c r="J452" t="str">
        <f t="shared" si="49"/>
        <v>00</v>
      </c>
      <c r="K452">
        <v>20190215</v>
      </c>
      <c r="L452" t="str">
        <f>"027586"</f>
        <v>027586</v>
      </c>
      <c r="M452" t="str">
        <f>"21506"</f>
        <v>21506</v>
      </c>
      <c r="N452" t="s">
        <v>92</v>
      </c>
      <c r="O452">
        <v>102.75</v>
      </c>
      <c r="P452">
        <v>20190215</v>
      </c>
      <c r="Q452" t="s">
        <v>93</v>
      </c>
      <c r="R452" t="s">
        <v>209</v>
      </c>
      <c r="S452" t="s">
        <v>23</v>
      </c>
      <c r="T452" t="s">
        <v>94</v>
      </c>
    </row>
    <row r="453" spans="1:20" x14ac:dyDescent="0.25">
      <c r="A453">
        <v>9</v>
      </c>
      <c r="B453">
        <v>163</v>
      </c>
      <c r="C453" t="str">
        <f t="shared" si="45"/>
        <v>00</v>
      </c>
      <c r="D453">
        <v>2159</v>
      </c>
      <c r="E453" t="str">
        <f t="shared" si="46"/>
        <v>00</v>
      </c>
      <c r="F453" t="str">
        <f>"117"</f>
        <v>117</v>
      </c>
      <c r="G453">
        <v>9</v>
      </c>
      <c r="H453" t="str">
        <f t="shared" si="47"/>
        <v>00</v>
      </c>
      <c r="I453" t="str">
        <f t="shared" si="48"/>
        <v>0</v>
      </c>
      <c r="J453" t="str">
        <f t="shared" si="49"/>
        <v>00</v>
      </c>
      <c r="K453">
        <v>20190215</v>
      </c>
      <c r="L453" t="str">
        <f>"027587"</f>
        <v>027587</v>
      </c>
      <c r="M453" t="str">
        <f>"21826"</f>
        <v>21826</v>
      </c>
      <c r="N453" t="s">
        <v>95</v>
      </c>
      <c r="O453">
        <v>709.78</v>
      </c>
      <c r="P453">
        <v>20190215</v>
      </c>
      <c r="Q453" t="s">
        <v>96</v>
      </c>
      <c r="R453" t="s">
        <v>210</v>
      </c>
      <c r="S453" t="s">
        <v>23</v>
      </c>
      <c r="T453" t="s">
        <v>97</v>
      </c>
    </row>
    <row r="454" spans="1:20" x14ac:dyDescent="0.25">
      <c r="A454">
        <v>9</v>
      </c>
      <c r="B454">
        <v>163</v>
      </c>
      <c r="C454" t="str">
        <f t="shared" si="45"/>
        <v>00</v>
      </c>
      <c r="D454">
        <v>2159</v>
      </c>
      <c r="E454" t="str">
        <f t="shared" si="46"/>
        <v>00</v>
      </c>
      <c r="F454" t="str">
        <f>"108"</f>
        <v>108</v>
      </c>
      <c r="G454">
        <v>9</v>
      </c>
      <c r="H454" t="str">
        <f t="shared" si="47"/>
        <v>00</v>
      </c>
      <c r="I454" t="str">
        <f t="shared" si="48"/>
        <v>0</v>
      </c>
      <c r="J454" t="str">
        <f t="shared" si="49"/>
        <v>00</v>
      </c>
      <c r="K454">
        <v>20190215</v>
      </c>
      <c r="L454" t="str">
        <f>"027588"</f>
        <v>027588</v>
      </c>
      <c r="M454" t="str">
        <f>"29572"</f>
        <v>29572</v>
      </c>
      <c r="N454" t="s">
        <v>165</v>
      </c>
      <c r="O454">
        <v>21.87</v>
      </c>
      <c r="P454">
        <v>20190215</v>
      </c>
      <c r="Q454" t="s">
        <v>166</v>
      </c>
      <c r="R454" t="s">
        <v>210</v>
      </c>
      <c r="S454" t="s">
        <v>23</v>
      </c>
      <c r="T454" t="s">
        <v>167</v>
      </c>
    </row>
    <row r="455" spans="1:20" x14ac:dyDescent="0.25">
      <c r="A455">
        <v>9</v>
      </c>
      <c r="B455">
        <v>163</v>
      </c>
      <c r="C455" t="str">
        <f t="shared" si="45"/>
        <v>00</v>
      </c>
      <c r="D455">
        <v>2159</v>
      </c>
      <c r="E455" t="str">
        <f t="shared" si="46"/>
        <v>00</v>
      </c>
      <c r="F455" t="str">
        <f>"140"</f>
        <v>140</v>
      </c>
      <c r="G455">
        <v>9</v>
      </c>
      <c r="H455" t="str">
        <f t="shared" si="47"/>
        <v>00</v>
      </c>
      <c r="I455" t="str">
        <f t="shared" si="48"/>
        <v>0</v>
      </c>
      <c r="J455" t="str">
        <f t="shared" si="49"/>
        <v>00</v>
      </c>
      <c r="K455">
        <v>20190215</v>
      </c>
      <c r="L455" t="str">
        <f>"027589"</f>
        <v>027589</v>
      </c>
      <c r="M455" t="str">
        <f>"47701"</f>
        <v>47701</v>
      </c>
      <c r="N455" t="s">
        <v>98</v>
      </c>
      <c r="O455">
        <v>416.7</v>
      </c>
      <c r="P455">
        <v>20190215</v>
      </c>
      <c r="Q455" t="s">
        <v>99</v>
      </c>
      <c r="R455" t="s">
        <v>210</v>
      </c>
      <c r="S455" t="s">
        <v>23</v>
      </c>
      <c r="T455" t="s">
        <v>100</v>
      </c>
    </row>
    <row r="456" spans="1:20" x14ac:dyDescent="0.25">
      <c r="A456">
        <v>9</v>
      </c>
      <c r="B456">
        <v>163</v>
      </c>
      <c r="C456" t="str">
        <f t="shared" si="45"/>
        <v>00</v>
      </c>
      <c r="D456">
        <v>2153</v>
      </c>
      <c r="E456" t="str">
        <f t="shared" si="46"/>
        <v>00</v>
      </c>
      <c r="F456" t="str">
        <f>"110"</f>
        <v>110</v>
      </c>
      <c r="G456">
        <v>9</v>
      </c>
      <c r="H456" t="str">
        <f t="shared" si="47"/>
        <v>00</v>
      </c>
      <c r="I456" t="str">
        <f t="shared" si="48"/>
        <v>0</v>
      </c>
      <c r="J456" t="str">
        <f t="shared" si="49"/>
        <v>00</v>
      </c>
      <c r="K456">
        <v>20190215</v>
      </c>
      <c r="L456" t="str">
        <f>"027590"</f>
        <v>027590</v>
      </c>
      <c r="M456" t="str">
        <f>"48947"</f>
        <v>48947</v>
      </c>
      <c r="N456" t="s">
        <v>47</v>
      </c>
      <c r="O456" s="1">
        <v>1964.81</v>
      </c>
      <c r="P456">
        <v>20190215</v>
      </c>
      <c r="Q456" t="s">
        <v>48</v>
      </c>
      <c r="R456" t="s">
        <v>208</v>
      </c>
      <c r="S456" t="s">
        <v>23</v>
      </c>
      <c r="T456" t="s">
        <v>49</v>
      </c>
    </row>
    <row r="457" spans="1:20" x14ac:dyDescent="0.25">
      <c r="A457">
        <v>9</v>
      </c>
      <c r="B457">
        <v>163</v>
      </c>
      <c r="C457" t="str">
        <f t="shared" si="45"/>
        <v>00</v>
      </c>
      <c r="D457">
        <v>2159</v>
      </c>
      <c r="E457" t="str">
        <f t="shared" si="46"/>
        <v>00</v>
      </c>
      <c r="F457" t="str">
        <f>"032"</f>
        <v>032</v>
      </c>
      <c r="G457">
        <v>9</v>
      </c>
      <c r="H457" t="str">
        <f t="shared" si="47"/>
        <v>00</v>
      </c>
      <c r="I457" t="str">
        <f t="shared" si="48"/>
        <v>0</v>
      </c>
      <c r="J457" t="str">
        <f t="shared" si="49"/>
        <v>00</v>
      </c>
      <c r="K457">
        <v>20190215</v>
      </c>
      <c r="L457" t="str">
        <f t="shared" ref="L457:L475" si="50">"027591"</f>
        <v>027591</v>
      </c>
      <c r="M457" t="str">
        <f t="shared" ref="M457:M475" si="51">"54196"</f>
        <v>54196</v>
      </c>
      <c r="N457" t="s">
        <v>50</v>
      </c>
      <c r="O457">
        <v>50</v>
      </c>
      <c r="P457">
        <v>20190215</v>
      </c>
      <c r="Q457" t="s">
        <v>101</v>
      </c>
      <c r="R457" t="s">
        <v>211</v>
      </c>
      <c r="S457" t="s">
        <v>23</v>
      </c>
      <c r="T457" t="s">
        <v>102</v>
      </c>
    </row>
    <row r="458" spans="1:20" x14ac:dyDescent="0.25">
      <c r="A458">
        <v>9</v>
      </c>
      <c r="B458">
        <v>163</v>
      </c>
      <c r="C458" t="str">
        <f t="shared" si="45"/>
        <v>00</v>
      </c>
      <c r="D458">
        <v>2159</v>
      </c>
      <c r="E458" t="str">
        <f t="shared" si="46"/>
        <v>00</v>
      </c>
      <c r="F458" t="str">
        <f>"033"</f>
        <v>033</v>
      </c>
      <c r="G458">
        <v>9</v>
      </c>
      <c r="H458" t="str">
        <f t="shared" si="47"/>
        <v>00</v>
      </c>
      <c r="I458" t="str">
        <f t="shared" si="48"/>
        <v>0</v>
      </c>
      <c r="J458" t="str">
        <f t="shared" si="49"/>
        <v>00</v>
      </c>
      <c r="K458">
        <v>20190215</v>
      </c>
      <c r="L458" t="str">
        <f t="shared" si="50"/>
        <v>027591</v>
      </c>
      <c r="M458" t="str">
        <f t="shared" si="51"/>
        <v>54196</v>
      </c>
      <c r="N458" t="s">
        <v>50</v>
      </c>
      <c r="O458">
        <v>283</v>
      </c>
      <c r="P458">
        <v>20190215</v>
      </c>
      <c r="Q458" t="s">
        <v>103</v>
      </c>
      <c r="R458" t="s">
        <v>211</v>
      </c>
      <c r="S458" t="s">
        <v>23</v>
      </c>
      <c r="T458" t="s">
        <v>104</v>
      </c>
    </row>
    <row r="459" spans="1:20" x14ac:dyDescent="0.25">
      <c r="A459">
        <v>9</v>
      </c>
      <c r="B459">
        <v>163</v>
      </c>
      <c r="C459" t="str">
        <f t="shared" si="45"/>
        <v>00</v>
      </c>
      <c r="D459">
        <v>2159</v>
      </c>
      <c r="E459" t="str">
        <f t="shared" si="46"/>
        <v>00</v>
      </c>
      <c r="F459" t="str">
        <f>"041"</f>
        <v>041</v>
      </c>
      <c r="G459">
        <v>9</v>
      </c>
      <c r="H459" t="str">
        <f t="shared" si="47"/>
        <v>00</v>
      </c>
      <c r="I459" t="str">
        <f t="shared" si="48"/>
        <v>0</v>
      </c>
      <c r="J459" t="str">
        <f t="shared" si="49"/>
        <v>00</v>
      </c>
      <c r="K459">
        <v>20190215</v>
      </c>
      <c r="L459" t="str">
        <f t="shared" si="50"/>
        <v>027591</v>
      </c>
      <c r="M459" t="str">
        <f t="shared" si="51"/>
        <v>54196</v>
      </c>
      <c r="N459" t="s">
        <v>50</v>
      </c>
      <c r="O459" s="1">
        <v>1340</v>
      </c>
      <c r="P459">
        <v>20190215</v>
      </c>
      <c r="Q459" t="s">
        <v>105</v>
      </c>
      <c r="R459" t="s">
        <v>211</v>
      </c>
      <c r="S459" t="s">
        <v>23</v>
      </c>
      <c r="T459" t="s">
        <v>106</v>
      </c>
    </row>
    <row r="460" spans="1:20" x14ac:dyDescent="0.25">
      <c r="A460">
        <v>9</v>
      </c>
      <c r="B460">
        <v>163</v>
      </c>
      <c r="C460" t="str">
        <f t="shared" si="45"/>
        <v>00</v>
      </c>
      <c r="D460">
        <v>2159</v>
      </c>
      <c r="E460" t="str">
        <f t="shared" si="46"/>
        <v>00</v>
      </c>
      <c r="F460" t="str">
        <f>"042"</f>
        <v>042</v>
      </c>
      <c r="G460">
        <v>9</v>
      </c>
      <c r="H460" t="str">
        <f t="shared" si="47"/>
        <v>00</v>
      </c>
      <c r="I460" t="str">
        <f t="shared" si="48"/>
        <v>0</v>
      </c>
      <c r="J460" t="str">
        <f t="shared" si="49"/>
        <v>00</v>
      </c>
      <c r="K460">
        <v>20190215</v>
      </c>
      <c r="L460" t="str">
        <f t="shared" si="50"/>
        <v>027591</v>
      </c>
      <c r="M460" t="str">
        <f t="shared" si="51"/>
        <v>54196</v>
      </c>
      <c r="N460" t="s">
        <v>50</v>
      </c>
      <c r="O460" s="1">
        <v>2075</v>
      </c>
      <c r="P460">
        <v>20190215</v>
      </c>
      <c r="Q460" t="s">
        <v>107</v>
      </c>
      <c r="R460" t="s">
        <v>211</v>
      </c>
      <c r="S460" t="s">
        <v>23</v>
      </c>
      <c r="T460" t="s">
        <v>108</v>
      </c>
    </row>
    <row r="461" spans="1:20" x14ac:dyDescent="0.25">
      <c r="A461">
        <v>9</v>
      </c>
      <c r="B461">
        <v>163</v>
      </c>
      <c r="C461" t="str">
        <f t="shared" si="45"/>
        <v>00</v>
      </c>
      <c r="D461">
        <v>2159</v>
      </c>
      <c r="E461" t="str">
        <f t="shared" si="46"/>
        <v>00</v>
      </c>
      <c r="F461" t="str">
        <f>"046"</f>
        <v>046</v>
      </c>
      <c r="G461">
        <v>9</v>
      </c>
      <c r="H461" t="str">
        <f t="shared" si="47"/>
        <v>00</v>
      </c>
      <c r="I461" t="str">
        <f t="shared" si="48"/>
        <v>0</v>
      </c>
      <c r="J461" t="str">
        <f t="shared" si="49"/>
        <v>00</v>
      </c>
      <c r="K461">
        <v>20190215</v>
      </c>
      <c r="L461" t="str">
        <f t="shared" si="50"/>
        <v>027591</v>
      </c>
      <c r="M461" t="str">
        <f t="shared" si="51"/>
        <v>54196</v>
      </c>
      <c r="N461" t="s">
        <v>50</v>
      </c>
      <c r="O461">
        <v>40</v>
      </c>
      <c r="P461">
        <v>20190215</v>
      </c>
      <c r="Q461" t="s">
        <v>109</v>
      </c>
      <c r="R461" t="s">
        <v>211</v>
      </c>
      <c r="S461" t="s">
        <v>23</v>
      </c>
      <c r="T461" t="s">
        <v>110</v>
      </c>
    </row>
    <row r="462" spans="1:20" x14ac:dyDescent="0.25">
      <c r="A462">
        <v>9</v>
      </c>
      <c r="B462">
        <v>163</v>
      </c>
      <c r="C462" t="str">
        <f t="shared" si="45"/>
        <v>00</v>
      </c>
      <c r="D462">
        <v>2159</v>
      </c>
      <c r="E462" t="str">
        <f t="shared" si="46"/>
        <v>00</v>
      </c>
      <c r="F462" t="str">
        <f>"058"</f>
        <v>058</v>
      </c>
      <c r="G462">
        <v>9</v>
      </c>
      <c r="H462" t="str">
        <f t="shared" si="47"/>
        <v>00</v>
      </c>
      <c r="I462" t="str">
        <f t="shared" si="48"/>
        <v>0</v>
      </c>
      <c r="J462" t="str">
        <f t="shared" si="49"/>
        <v>00</v>
      </c>
      <c r="K462">
        <v>20190215</v>
      </c>
      <c r="L462" t="str">
        <f t="shared" si="50"/>
        <v>027591</v>
      </c>
      <c r="M462" t="str">
        <f t="shared" si="51"/>
        <v>54196</v>
      </c>
      <c r="N462" t="s">
        <v>50</v>
      </c>
      <c r="O462" s="1">
        <v>1967</v>
      </c>
      <c r="P462">
        <v>20190215</v>
      </c>
      <c r="Q462" t="s">
        <v>111</v>
      </c>
      <c r="R462" t="s">
        <v>211</v>
      </c>
      <c r="S462" t="s">
        <v>23</v>
      </c>
      <c r="T462" t="s">
        <v>112</v>
      </c>
    </row>
    <row r="463" spans="1:20" x14ac:dyDescent="0.25">
      <c r="A463">
        <v>9</v>
      </c>
      <c r="B463">
        <v>163</v>
      </c>
      <c r="C463" t="str">
        <f t="shared" si="45"/>
        <v>00</v>
      </c>
      <c r="D463">
        <v>2159</v>
      </c>
      <c r="E463" t="str">
        <f t="shared" si="46"/>
        <v>00</v>
      </c>
      <c r="F463" t="str">
        <f>"059"</f>
        <v>059</v>
      </c>
      <c r="G463">
        <v>9</v>
      </c>
      <c r="H463" t="str">
        <f t="shared" si="47"/>
        <v>00</v>
      </c>
      <c r="I463" t="str">
        <f t="shared" si="48"/>
        <v>0</v>
      </c>
      <c r="J463" t="str">
        <f t="shared" si="49"/>
        <v>00</v>
      </c>
      <c r="K463">
        <v>20190215</v>
      </c>
      <c r="L463" t="str">
        <f t="shared" si="50"/>
        <v>027591</v>
      </c>
      <c r="M463" t="str">
        <f t="shared" si="51"/>
        <v>54196</v>
      </c>
      <c r="N463" t="s">
        <v>50</v>
      </c>
      <c r="O463">
        <v>672</v>
      </c>
      <c r="P463">
        <v>20190215</v>
      </c>
      <c r="Q463" t="s">
        <v>113</v>
      </c>
      <c r="R463" t="s">
        <v>211</v>
      </c>
      <c r="S463" t="s">
        <v>23</v>
      </c>
      <c r="T463" t="s">
        <v>114</v>
      </c>
    </row>
    <row r="464" spans="1:20" x14ac:dyDescent="0.25">
      <c r="A464">
        <v>9</v>
      </c>
      <c r="B464">
        <v>163</v>
      </c>
      <c r="C464" t="str">
        <f t="shared" si="45"/>
        <v>00</v>
      </c>
      <c r="D464">
        <v>2159</v>
      </c>
      <c r="E464" t="str">
        <f t="shared" si="46"/>
        <v>00</v>
      </c>
      <c r="F464" t="str">
        <f>"072"</f>
        <v>072</v>
      </c>
      <c r="G464">
        <v>9</v>
      </c>
      <c r="H464" t="str">
        <f t="shared" si="47"/>
        <v>00</v>
      </c>
      <c r="I464" t="str">
        <f t="shared" si="48"/>
        <v>0</v>
      </c>
      <c r="J464" t="str">
        <f t="shared" si="49"/>
        <v>00</v>
      </c>
      <c r="K464">
        <v>20190215</v>
      </c>
      <c r="L464" t="str">
        <f t="shared" si="50"/>
        <v>027591</v>
      </c>
      <c r="M464" t="str">
        <f t="shared" si="51"/>
        <v>54196</v>
      </c>
      <c r="N464" t="s">
        <v>50</v>
      </c>
      <c r="O464">
        <v>50</v>
      </c>
      <c r="P464">
        <v>20190215</v>
      </c>
      <c r="Q464" t="s">
        <v>115</v>
      </c>
      <c r="R464" t="s">
        <v>211</v>
      </c>
      <c r="S464" t="s">
        <v>23</v>
      </c>
      <c r="T464" t="s">
        <v>116</v>
      </c>
    </row>
    <row r="465" spans="1:20" x14ac:dyDescent="0.25">
      <c r="A465">
        <v>9</v>
      </c>
      <c r="B465">
        <v>163</v>
      </c>
      <c r="C465" t="str">
        <f t="shared" si="45"/>
        <v>00</v>
      </c>
      <c r="D465">
        <v>2159</v>
      </c>
      <c r="E465" t="str">
        <f t="shared" si="46"/>
        <v>00</v>
      </c>
      <c r="F465" t="str">
        <f>"075"</f>
        <v>075</v>
      </c>
      <c r="G465">
        <v>9</v>
      </c>
      <c r="H465" t="str">
        <f t="shared" si="47"/>
        <v>00</v>
      </c>
      <c r="I465" t="str">
        <f t="shared" si="48"/>
        <v>0</v>
      </c>
      <c r="J465" t="str">
        <f t="shared" si="49"/>
        <v>00</v>
      </c>
      <c r="K465">
        <v>20190215</v>
      </c>
      <c r="L465" t="str">
        <f t="shared" si="50"/>
        <v>027591</v>
      </c>
      <c r="M465" t="str">
        <f t="shared" si="51"/>
        <v>54196</v>
      </c>
      <c r="N465" t="s">
        <v>50</v>
      </c>
      <c r="O465">
        <v>100</v>
      </c>
      <c r="P465">
        <v>20190215</v>
      </c>
      <c r="Q465" t="s">
        <v>117</v>
      </c>
      <c r="R465" t="s">
        <v>211</v>
      </c>
      <c r="S465" t="s">
        <v>23</v>
      </c>
      <c r="T465" t="s">
        <v>118</v>
      </c>
    </row>
    <row r="466" spans="1:20" x14ac:dyDescent="0.25">
      <c r="A466">
        <v>9</v>
      </c>
      <c r="B466">
        <v>163</v>
      </c>
      <c r="C466" t="str">
        <f t="shared" si="45"/>
        <v>00</v>
      </c>
      <c r="D466">
        <v>2159</v>
      </c>
      <c r="E466" t="str">
        <f t="shared" si="46"/>
        <v>00</v>
      </c>
      <c r="F466" t="str">
        <f>"078"</f>
        <v>078</v>
      </c>
      <c r="G466">
        <v>9</v>
      </c>
      <c r="H466" t="str">
        <f t="shared" si="47"/>
        <v>00</v>
      </c>
      <c r="I466" t="str">
        <f t="shared" si="48"/>
        <v>0</v>
      </c>
      <c r="J466" t="str">
        <f t="shared" si="49"/>
        <v>00</v>
      </c>
      <c r="K466">
        <v>20190215</v>
      </c>
      <c r="L466" t="str">
        <f t="shared" si="50"/>
        <v>027591</v>
      </c>
      <c r="M466" t="str">
        <f t="shared" si="51"/>
        <v>54196</v>
      </c>
      <c r="N466" t="s">
        <v>50</v>
      </c>
      <c r="O466">
        <v>750</v>
      </c>
      <c r="P466">
        <v>20190215</v>
      </c>
      <c r="Q466" t="s">
        <v>119</v>
      </c>
      <c r="R466" t="s">
        <v>211</v>
      </c>
      <c r="S466" t="s">
        <v>23</v>
      </c>
      <c r="T466" t="s">
        <v>120</v>
      </c>
    </row>
    <row r="467" spans="1:20" x14ac:dyDescent="0.25">
      <c r="A467">
        <v>9</v>
      </c>
      <c r="B467">
        <v>163</v>
      </c>
      <c r="C467" t="str">
        <f t="shared" si="45"/>
        <v>00</v>
      </c>
      <c r="D467">
        <v>2159</v>
      </c>
      <c r="E467" t="str">
        <f t="shared" si="46"/>
        <v>00</v>
      </c>
      <c r="F467" t="str">
        <f>"082"</f>
        <v>082</v>
      </c>
      <c r="G467">
        <v>9</v>
      </c>
      <c r="H467" t="str">
        <f t="shared" si="47"/>
        <v>00</v>
      </c>
      <c r="I467" t="str">
        <f t="shared" si="48"/>
        <v>0</v>
      </c>
      <c r="J467" t="str">
        <f t="shared" si="49"/>
        <v>00</v>
      </c>
      <c r="K467">
        <v>20190215</v>
      </c>
      <c r="L467" t="str">
        <f t="shared" si="50"/>
        <v>027591</v>
      </c>
      <c r="M467" t="str">
        <f t="shared" si="51"/>
        <v>54196</v>
      </c>
      <c r="N467" t="s">
        <v>50</v>
      </c>
      <c r="O467">
        <v>300</v>
      </c>
      <c r="P467">
        <v>20190215</v>
      </c>
      <c r="Q467" t="s">
        <v>121</v>
      </c>
      <c r="R467" t="s">
        <v>211</v>
      </c>
      <c r="S467" t="s">
        <v>23</v>
      </c>
      <c r="T467" t="s">
        <v>122</v>
      </c>
    </row>
    <row r="468" spans="1:20" x14ac:dyDescent="0.25">
      <c r="A468">
        <v>9</v>
      </c>
      <c r="B468">
        <v>163</v>
      </c>
      <c r="C468" t="str">
        <f t="shared" si="45"/>
        <v>00</v>
      </c>
      <c r="D468">
        <v>2159</v>
      </c>
      <c r="E468" t="str">
        <f t="shared" si="46"/>
        <v>00</v>
      </c>
      <c r="F468" t="str">
        <f>"091"</f>
        <v>091</v>
      </c>
      <c r="G468">
        <v>9</v>
      </c>
      <c r="H468" t="str">
        <f t="shared" si="47"/>
        <v>00</v>
      </c>
      <c r="I468" t="str">
        <f t="shared" si="48"/>
        <v>0</v>
      </c>
      <c r="J468" t="str">
        <f t="shared" si="49"/>
        <v>00</v>
      </c>
      <c r="K468">
        <v>20190215</v>
      </c>
      <c r="L468" t="str">
        <f t="shared" si="50"/>
        <v>027591</v>
      </c>
      <c r="M468" t="str">
        <f t="shared" si="51"/>
        <v>54196</v>
      </c>
      <c r="N468" t="s">
        <v>50</v>
      </c>
      <c r="O468">
        <v>100</v>
      </c>
      <c r="P468">
        <v>20190215</v>
      </c>
      <c r="Q468" t="s">
        <v>123</v>
      </c>
      <c r="R468" t="s">
        <v>211</v>
      </c>
      <c r="S468" t="s">
        <v>23</v>
      </c>
      <c r="T468" t="s">
        <v>124</v>
      </c>
    </row>
    <row r="469" spans="1:20" x14ac:dyDescent="0.25">
      <c r="A469">
        <v>9</v>
      </c>
      <c r="B469">
        <v>163</v>
      </c>
      <c r="C469" t="str">
        <f t="shared" si="45"/>
        <v>00</v>
      </c>
      <c r="D469">
        <v>2159</v>
      </c>
      <c r="E469" t="str">
        <f t="shared" si="46"/>
        <v>00</v>
      </c>
      <c r="F469" t="str">
        <f>"122"</f>
        <v>122</v>
      </c>
      <c r="G469">
        <v>9</v>
      </c>
      <c r="H469" t="str">
        <f t="shared" si="47"/>
        <v>00</v>
      </c>
      <c r="I469" t="str">
        <f t="shared" si="48"/>
        <v>0</v>
      </c>
      <c r="J469" t="str">
        <f t="shared" si="49"/>
        <v>00</v>
      </c>
      <c r="K469">
        <v>20190215</v>
      </c>
      <c r="L469" t="str">
        <f t="shared" si="50"/>
        <v>027591</v>
      </c>
      <c r="M469" t="str">
        <f t="shared" si="51"/>
        <v>54196</v>
      </c>
      <c r="N469" t="s">
        <v>50</v>
      </c>
      <c r="O469">
        <v>100</v>
      </c>
      <c r="P469">
        <v>20190215</v>
      </c>
      <c r="Q469" t="s">
        <v>125</v>
      </c>
      <c r="R469" t="s">
        <v>212</v>
      </c>
      <c r="S469" t="s">
        <v>23</v>
      </c>
      <c r="T469" t="s">
        <v>127</v>
      </c>
    </row>
    <row r="470" spans="1:20" x14ac:dyDescent="0.25">
      <c r="A470">
        <v>9</v>
      </c>
      <c r="B470">
        <v>163</v>
      </c>
      <c r="C470" t="str">
        <f t="shared" si="45"/>
        <v>00</v>
      </c>
      <c r="D470">
        <v>2159</v>
      </c>
      <c r="E470" t="str">
        <f t="shared" si="46"/>
        <v>00</v>
      </c>
      <c r="F470" t="str">
        <f>"130"</f>
        <v>130</v>
      </c>
      <c r="G470">
        <v>9</v>
      </c>
      <c r="H470" t="str">
        <f t="shared" si="47"/>
        <v>00</v>
      </c>
      <c r="I470" t="str">
        <f t="shared" si="48"/>
        <v>0</v>
      </c>
      <c r="J470" t="str">
        <f t="shared" si="49"/>
        <v>00</v>
      </c>
      <c r="K470">
        <v>20190215</v>
      </c>
      <c r="L470" t="str">
        <f t="shared" si="50"/>
        <v>027591</v>
      </c>
      <c r="M470" t="str">
        <f t="shared" si="51"/>
        <v>54196</v>
      </c>
      <c r="N470" t="s">
        <v>50</v>
      </c>
      <c r="O470" s="1">
        <v>7433</v>
      </c>
      <c r="P470">
        <v>20190215</v>
      </c>
      <c r="Q470" t="s">
        <v>128</v>
      </c>
      <c r="R470" t="s">
        <v>213</v>
      </c>
      <c r="S470" t="s">
        <v>23</v>
      </c>
      <c r="T470" t="s">
        <v>112</v>
      </c>
    </row>
    <row r="471" spans="1:20" x14ac:dyDescent="0.25">
      <c r="A471">
        <v>9</v>
      </c>
      <c r="B471">
        <v>163</v>
      </c>
      <c r="C471" t="str">
        <f t="shared" si="45"/>
        <v>00</v>
      </c>
      <c r="D471">
        <v>2159</v>
      </c>
      <c r="E471" t="str">
        <f t="shared" si="46"/>
        <v>00</v>
      </c>
      <c r="F471" t="str">
        <f>"131"</f>
        <v>131</v>
      </c>
      <c r="G471">
        <v>9</v>
      </c>
      <c r="H471" t="str">
        <f t="shared" si="47"/>
        <v>00</v>
      </c>
      <c r="I471" t="str">
        <f t="shared" si="48"/>
        <v>0</v>
      </c>
      <c r="J471" t="str">
        <f t="shared" si="49"/>
        <v>00</v>
      </c>
      <c r="K471">
        <v>20190215</v>
      </c>
      <c r="L471" t="str">
        <f t="shared" si="50"/>
        <v>027591</v>
      </c>
      <c r="M471" t="str">
        <f t="shared" si="51"/>
        <v>54196</v>
      </c>
      <c r="N471" t="s">
        <v>50</v>
      </c>
      <c r="O471" s="1">
        <v>1825</v>
      </c>
      <c r="P471">
        <v>20190215</v>
      </c>
      <c r="Q471" t="s">
        <v>51</v>
      </c>
      <c r="R471" t="s">
        <v>211</v>
      </c>
      <c r="S471" t="s">
        <v>23</v>
      </c>
      <c r="T471" t="s">
        <v>53</v>
      </c>
    </row>
    <row r="472" spans="1:20" x14ac:dyDescent="0.25">
      <c r="A472">
        <v>9</v>
      </c>
      <c r="B472">
        <v>163</v>
      </c>
      <c r="C472" t="str">
        <f t="shared" si="45"/>
        <v>00</v>
      </c>
      <c r="D472">
        <v>2159</v>
      </c>
      <c r="E472" t="str">
        <f t="shared" si="46"/>
        <v>00</v>
      </c>
      <c r="F472" t="str">
        <f>"136"</f>
        <v>136</v>
      </c>
      <c r="G472">
        <v>9</v>
      </c>
      <c r="H472" t="str">
        <f t="shared" si="47"/>
        <v>00</v>
      </c>
      <c r="I472" t="str">
        <f t="shared" si="48"/>
        <v>0</v>
      </c>
      <c r="J472" t="str">
        <f t="shared" si="49"/>
        <v>00</v>
      </c>
      <c r="K472">
        <v>20190215</v>
      </c>
      <c r="L472" t="str">
        <f t="shared" si="50"/>
        <v>027591</v>
      </c>
      <c r="M472" t="str">
        <f t="shared" si="51"/>
        <v>54196</v>
      </c>
      <c r="N472" t="s">
        <v>50</v>
      </c>
      <c r="O472" s="1">
        <v>1775</v>
      </c>
      <c r="P472">
        <v>20190215</v>
      </c>
      <c r="Q472" t="s">
        <v>130</v>
      </c>
      <c r="R472" t="s">
        <v>214</v>
      </c>
      <c r="S472" t="s">
        <v>23</v>
      </c>
      <c r="T472" t="s">
        <v>132</v>
      </c>
    </row>
    <row r="473" spans="1:20" x14ac:dyDescent="0.25">
      <c r="A473">
        <v>9</v>
      </c>
      <c r="B473">
        <v>163</v>
      </c>
      <c r="C473" t="str">
        <f t="shared" si="45"/>
        <v>00</v>
      </c>
      <c r="D473">
        <v>2159</v>
      </c>
      <c r="E473" t="str">
        <f t="shared" si="46"/>
        <v>00</v>
      </c>
      <c r="F473" t="str">
        <f>"137"</f>
        <v>137</v>
      </c>
      <c r="G473">
        <v>9</v>
      </c>
      <c r="H473" t="str">
        <f t="shared" si="47"/>
        <v>00</v>
      </c>
      <c r="I473" t="str">
        <f t="shared" si="48"/>
        <v>0</v>
      </c>
      <c r="J473" t="str">
        <f t="shared" si="49"/>
        <v>00</v>
      </c>
      <c r="K473">
        <v>20190215</v>
      </c>
      <c r="L473" t="str">
        <f t="shared" si="50"/>
        <v>027591</v>
      </c>
      <c r="M473" t="str">
        <f t="shared" si="51"/>
        <v>54196</v>
      </c>
      <c r="N473" t="s">
        <v>50</v>
      </c>
      <c r="O473" s="1">
        <v>2680</v>
      </c>
      <c r="P473">
        <v>20190215</v>
      </c>
      <c r="Q473" t="s">
        <v>133</v>
      </c>
      <c r="R473" t="s">
        <v>213</v>
      </c>
      <c r="S473" t="s">
        <v>23</v>
      </c>
      <c r="T473" t="s">
        <v>134</v>
      </c>
    </row>
    <row r="474" spans="1:20" x14ac:dyDescent="0.25">
      <c r="A474">
        <v>9</v>
      </c>
      <c r="B474">
        <v>163</v>
      </c>
      <c r="C474" t="str">
        <f t="shared" si="45"/>
        <v>00</v>
      </c>
      <c r="D474">
        <v>2159</v>
      </c>
      <c r="E474" t="str">
        <f t="shared" si="46"/>
        <v>00</v>
      </c>
      <c r="F474" t="str">
        <f>"138"</f>
        <v>138</v>
      </c>
      <c r="G474">
        <v>9</v>
      </c>
      <c r="H474" t="str">
        <f t="shared" si="47"/>
        <v>00</v>
      </c>
      <c r="I474" t="str">
        <f t="shared" si="48"/>
        <v>0</v>
      </c>
      <c r="J474" t="str">
        <f t="shared" si="49"/>
        <v>00</v>
      </c>
      <c r="K474">
        <v>20190215</v>
      </c>
      <c r="L474" t="str">
        <f t="shared" si="50"/>
        <v>027591</v>
      </c>
      <c r="M474" t="str">
        <f t="shared" si="51"/>
        <v>54196</v>
      </c>
      <c r="N474" t="s">
        <v>50</v>
      </c>
      <c r="O474">
        <v>300</v>
      </c>
      <c r="P474">
        <v>20190215</v>
      </c>
      <c r="Q474" t="s">
        <v>135</v>
      </c>
      <c r="R474" t="s">
        <v>214</v>
      </c>
      <c r="S474" t="s">
        <v>23</v>
      </c>
      <c r="T474" t="s">
        <v>134</v>
      </c>
    </row>
    <row r="475" spans="1:20" x14ac:dyDescent="0.25">
      <c r="A475">
        <v>9</v>
      </c>
      <c r="B475">
        <v>163</v>
      </c>
      <c r="C475" t="str">
        <f t="shared" si="45"/>
        <v>00</v>
      </c>
      <c r="D475">
        <v>2159</v>
      </c>
      <c r="E475" t="str">
        <f t="shared" si="46"/>
        <v>00</v>
      </c>
      <c r="F475" t="str">
        <f>"150"</f>
        <v>150</v>
      </c>
      <c r="G475">
        <v>9</v>
      </c>
      <c r="H475" t="str">
        <f t="shared" si="47"/>
        <v>00</v>
      </c>
      <c r="I475" t="str">
        <f t="shared" si="48"/>
        <v>0</v>
      </c>
      <c r="J475" t="str">
        <f t="shared" si="49"/>
        <v>00</v>
      </c>
      <c r="K475">
        <v>20190215</v>
      </c>
      <c r="L475" t="str">
        <f t="shared" si="50"/>
        <v>027591</v>
      </c>
      <c r="M475" t="str">
        <f t="shared" si="51"/>
        <v>54196</v>
      </c>
      <c r="N475" t="s">
        <v>50</v>
      </c>
      <c r="O475">
        <v>200</v>
      </c>
      <c r="P475">
        <v>20190215</v>
      </c>
      <c r="Q475" t="s">
        <v>136</v>
      </c>
      <c r="R475" t="s">
        <v>211</v>
      </c>
      <c r="S475" t="s">
        <v>23</v>
      </c>
      <c r="T475" t="s">
        <v>137</v>
      </c>
    </row>
    <row r="476" spans="1:20" x14ac:dyDescent="0.25">
      <c r="A476">
        <v>9</v>
      </c>
      <c r="B476">
        <v>163</v>
      </c>
      <c r="C476" t="str">
        <f t="shared" si="45"/>
        <v>00</v>
      </c>
      <c r="D476">
        <v>2159</v>
      </c>
      <c r="E476" t="str">
        <f t="shared" si="46"/>
        <v>00</v>
      </c>
      <c r="F476" t="str">
        <f>"111"</f>
        <v>111</v>
      </c>
      <c r="G476">
        <v>9</v>
      </c>
      <c r="H476" t="str">
        <f t="shared" si="47"/>
        <v>00</v>
      </c>
      <c r="I476" t="str">
        <f t="shared" si="48"/>
        <v>0</v>
      </c>
      <c r="J476" t="str">
        <f t="shared" si="49"/>
        <v>00</v>
      </c>
      <c r="K476">
        <v>20190215</v>
      </c>
      <c r="L476" t="str">
        <f>"027592"</f>
        <v>027592</v>
      </c>
      <c r="M476" t="str">
        <f>"72601"</f>
        <v>72601</v>
      </c>
      <c r="N476" t="s">
        <v>54</v>
      </c>
      <c r="O476" s="1">
        <v>9040.9500000000007</v>
      </c>
      <c r="P476">
        <v>20190215</v>
      </c>
      <c r="Q476" t="s">
        <v>55</v>
      </c>
      <c r="R476" t="s">
        <v>210</v>
      </c>
      <c r="S476" t="s">
        <v>23</v>
      </c>
      <c r="T476" t="s">
        <v>56</v>
      </c>
    </row>
    <row r="477" spans="1:20" x14ac:dyDescent="0.25">
      <c r="A477">
        <v>9</v>
      </c>
      <c r="B477">
        <v>163</v>
      </c>
      <c r="C477" t="str">
        <f t="shared" si="45"/>
        <v>00</v>
      </c>
      <c r="D477">
        <v>2153</v>
      </c>
      <c r="E477" t="str">
        <f t="shared" si="46"/>
        <v>00</v>
      </c>
      <c r="F477" t="str">
        <f>"006"</f>
        <v>006</v>
      </c>
      <c r="G477">
        <v>9</v>
      </c>
      <c r="H477" t="str">
        <f t="shared" si="47"/>
        <v>00</v>
      </c>
      <c r="I477" t="str">
        <f t="shared" si="48"/>
        <v>0</v>
      </c>
      <c r="J477" t="str">
        <f t="shared" si="49"/>
        <v>00</v>
      </c>
      <c r="K477">
        <v>20190215</v>
      </c>
      <c r="L477" t="str">
        <f>"027593"</f>
        <v>027593</v>
      </c>
      <c r="M477" t="str">
        <f>"75452"</f>
        <v>75452</v>
      </c>
      <c r="N477" t="s">
        <v>57</v>
      </c>
      <c r="O477" s="1">
        <v>9106.61</v>
      </c>
      <c r="P477">
        <v>20190215</v>
      </c>
      <c r="Q477" t="s">
        <v>58</v>
      </c>
      <c r="R477" t="s">
        <v>209</v>
      </c>
      <c r="S477" t="s">
        <v>23</v>
      </c>
      <c r="T477" t="s">
        <v>59</v>
      </c>
    </row>
    <row r="478" spans="1:20" x14ac:dyDescent="0.25">
      <c r="A478">
        <v>9</v>
      </c>
      <c r="B478">
        <v>163</v>
      </c>
      <c r="C478" t="str">
        <f t="shared" si="45"/>
        <v>00</v>
      </c>
      <c r="D478">
        <v>2159</v>
      </c>
      <c r="E478" t="str">
        <f t="shared" si="46"/>
        <v>00</v>
      </c>
      <c r="F478" t="str">
        <f>"099"</f>
        <v>099</v>
      </c>
      <c r="G478">
        <v>9</v>
      </c>
      <c r="H478" t="str">
        <f t="shared" si="47"/>
        <v>00</v>
      </c>
      <c r="I478" t="str">
        <f t="shared" si="48"/>
        <v>0</v>
      </c>
      <c r="J478" t="str">
        <f t="shared" si="49"/>
        <v>00</v>
      </c>
      <c r="K478">
        <v>20190215</v>
      </c>
      <c r="L478" t="str">
        <f>"027593"</f>
        <v>027593</v>
      </c>
      <c r="M478" t="str">
        <f>"75452"</f>
        <v>75452</v>
      </c>
      <c r="N478" t="s">
        <v>57</v>
      </c>
      <c r="O478">
        <v>300</v>
      </c>
      <c r="P478">
        <v>20190215</v>
      </c>
      <c r="Q478" t="s">
        <v>171</v>
      </c>
      <c r="R478" t="s">
        <v>215</v>
      </c>
      <c r="S478" t="s">
        <v>23</v>
      </c>
      <c r="T478" t="s">
        <v>173</v>
      </c>
    </row>
    <row r="479" spans="1:20" x14ac:dyDescent="0.25">
      <c r="A479">
        <v>9</v>
      </c>
      <c r="B479">
        <v>163</v>
      </c>
      <c r="C479" t="str">
        <f t="shared" si="45"/>
        <v>00</v>
      </c>
      <c r="D479">
        <v>2159</v>
      </c>
      <c r="E479" t="str">
        <f t="shared" si="46"/>
        <v>00</v>
      </c>
      <c r="F479" t="str">
        <f>"048"</f>
        <v>048</v>
      </c>
      <c r="G479">
        <v>9</v>
      </c>
      <c r="H479" t="str">
        <f t="shared" si="47"/>
        <v>00</v>
      </c>
      <c r="I479" t="str">
        <f t="shared" si="48"/>
        <v>0</v>
      </c>
      <c r="J479" t="str">
        <f t="shared" si="49"/>
        <v>00</v>
      </c>
      <c r="K479">
        <v>20190215</v>
      </c>
      <c r="L479" t="str">
        <f>"027594"</f>
        <v>027594</v>
      </c>
      <c r="M479" t="str">
        <f>"77030"</f>
        <v>77030</v>
      </c>
      <c r="N479" t="s">
        <v>139</v>
      </c>
      <c r="O479">
        <v>174.7</v>
      </c>
      <c r="P479">
        <v>20190215</v>
      </c>
      <c r="Q479" t="s">
        <v>140</v>
      </c>
      <c r="R479" t="s">
        <v>210</v>
      </c>
      <c r="S479" t="s">
        <v>23</v>
      </c>
      <c r="T479" t="s">
        <v>141</v>
      </c>
    </row>
    <row r="480" spans="1:20" x14ac:dyDescent="0.25">
      <c r="A480">
        <v>9</v>
      </c>
      <c r="B480">
        <v>163</v>
      </c>
      <c r="C480" t="str">
        <f t="shared" si="45"/>
        <v>00</v>
      </c>
      <c r="D480">
        <v>2159</v>
      </c>
      <c r="E480" t="str">
        <f t="shared" si="46"/>
        <v>00</v>
      </c>
      <c r="F480" t="str">
        <f>"005"</f>
        <v>005</v>
      </c>
      <c r="G480">
        <v>9</v>
      </c>
      <c r="H480" t="str">
        <f t="shared" si="47"/>
        <v>00</v>
      </c>
      <c r="I480" t="str">
        <f t="shared" si="48"/>
        <v>0</v>
      </c>
      <c r="J480" t="str">
        <f t="shared" si="49"/>
        <v>00</v>
      </c>
      <c r="K480">
        <v>20190215</v>
      </c>
      <c r="L480" t="str">
        <f>"027595"</f>
        <v>027595</v>
      </c>
      <c r="M480" t="str">
        <f>"79562"</f>
        <v>79562</v>
      </c>
      <c r="N480" t="s">
        <v>142</v>
      </c>
      <c r="O480">
        <v>156.69999999999999</v>
      </c>
      <c r="P480">
        <v>20190215</v>
      </c>
      <c r="Q480" t="s">
        <v>143</v>
      </c>
      <c r="R480" t="s">
        <v>216</v>
      </c>
      <c r="S480" t="s">
        <v>23</v>
      </c>
      <c r="T480" t="s">
        <v>145</v>
      </c>
    </row>
    <row r="481" spans="1:20" x14ac:dyDescent="0.25">
      <c r="A481">
        <v>9</v>
      </c>
      <c r="B481">
        <v>163</v>
      </c>
      <c r="C481" t="str">
        <f t="shared" si="45"/>
        <v>00</v>
      </c>
      <c r="D481">
        <v>2159</v>
      </c>
      <c r="E481" t="str">
        <f t="shared" si="46"/>
        <v>00</v>
      </c>
      <c r="F481" t="str">
        <f>"034"</f>
        <v>034</v>
      </c>
      <c r="G481">
        <v>9</v>
      </c>
      <c r="H481" t="str">
        <f t="shared" si="47"/>
        <v>00</v>
      </c>
      <c r="I481" t="str">
        <f t="shared" si="48"/>
        <v>0</v>
      </c>
      <c r="J481" t="str">
        <f t="shared" si="49"/>
        <v>00</v>
      </c>
      <c r="K481">
        <v>20190215</v>
      </c>
      <c r="L481" t="str">
        <f>"027596"</f>
        <v>027596</v>
      </c>
      <c r="M481" t="str">
        <f>"79762"</f>
        <v>79762</v>
      </c>
      <c r="N481" t="s">
        <v>146</v>
      </c>
      <c r="O481">
        <v>415</v>
      </c>
      <c r="P481">
        <v>20190215</v>
      </c>
      <c r="Q481" t="s">
        <v>147</v>
      </c>
      <c r="R481" t="s">
        <v>210</v>
      </c>
      <c r="S481" t="s">
        <v>23</v>
      </c>
      <c r="T481" t="s">
        <v>148</v>
      </c>
    </row>
    <row r="482" spans="1:20" x14ac:dyDescent="0.25">
      <c r="A482">
        <v>9</v>
      </c>
      <c r="B482">
        <v>163</v>
      </c>
      <c r="C482" t="str">
        <f t="shared" si="45"/>
        <v>00</v>
      </c>
      <c r="D482">
        <v>2159</v>
      </c>
      <c r="E482" t="str">
        <f t="shared" si="46"/>
        <v>00</v>
      </c>
      <c r="F482" t="str">
        <f>"086"</f>
        <v>086</v>
      </c>
      <c r="G482">
        <v>9</v>
      </c>
      <c r="H482" t="str">
        <f t="shared" si="47"/>
        <v>00</v>
      </c>
      <c r="I482" t="str">
        <f t="shared" si="48"/>
        <v>0</v>
      </c>
      <c r="J482" t="str">
        <f t="shared" si="49"/>
        <v>00</v>
      </c>
      <c r="K482">
        <v>20190215</v>
      </c>
      <c r="L482" t="str">
        <f>"027597"</f>
        <v>027597</v>
      </c>
      <c r="M482" t="str">
        <f>"81155"</f>
        <v>81155</v>
      </c>
      <c r="N482" t="s">
        <v>149</v>
      </c>
      <c r="O482">
        <v>215</v>
      </c>
      <c r="P482">
        <v>20190215</v>
      </c>
      <c r="Q482" t="s">
        <v>150</v>
      </c>
      <c r="R482" t="s">
        <v>210</v>
      </c>
      <c r="S482" t="s">
        <v>23</v>
      </c>
      <c r="T482" t="s">
        <v>151</v>
      </c>
    </row>
    <row r="483" spans="1:20" x14ac:dyDescent="0.25">
      <c r="A483">
        <v>9</v>
      </c>
      <c r="B483">
        <v>163</v>
      </c>
      <c r="C483" t="str">
        <f t="shared" si="45"/>
        <v>00</v>
      </c>
      <c r="D483">
        <v>2159</v>
      </c>
      <c r="E483" t="str">
        <f t="shared" si="46"/>
        <v>00</v>
      </c>
      <c r="F483" t="str">
        <f>"106"</f>
        <v>106</v>
      </c>
      <c r="G483">
        <v>9</v>
      </c>
      <c r="H483" t="str">
        <f t="shared" si="47"/>
        <v>00</v>
      </c>
      <c r="I483" t="str">
        <f t="shared" si="48"/>
        <v>0</v>
      </c>
      <c r="J483" t="str">
        <f t="shared" si="49"/>
        <v>00</v>
      </c>
      <c r="K483">
        <v>20190215</v>
      </c>
      <c r="L483" t="str">
        <f>"027598"</f>
        <v>027598</v>
      </c>
      <c r="M483" t="str">
        <f>"81173"</f>
        <v>81173</v>
      </c>
      <c r="N483" t="s">
        <v>60</v>
      </c>
      <c r="O483">
        <v>832.75</v>
      </c>
      <c r="P483">
        <v>20190215</v>
      </c>
      <c r="Q483" t="s">
        <v>61</v>
      </c>
      <c r="R483" t="s">
        <v>210</v>
      </c>
      <c r="S483" t="s">
        <v>23</v>
      </c>
      <c r="T483" t="s">
        <v>62</v>
      </c>
    </row>
    <row r="484" spans="1:20" x14ac:dyDescent="0.25">
      <c r="A484">
        <v>9</v>
      </c>
      <c r="B484">
        <v>163</v>
      </c>
      <c r="C484" t="str">
        <f t="shared" si="45"/>
        <v>00</v>
      </c>
      <c r="D484">
        <v>2159</v>
      </c>
      <c r="E484" t="str">
        <f t="shared" si="46"/>
        <v>00</v>
      </c>
      <c r="F484" t="str">
        <f>"007"</f>
        <v>007</v>
      </c>
      <c r="G484">
        <v>9</v>
      </c>
      <c r="H484" t="str">
        <f t="shared" si="47"/>
        <v>00</v>
      </c>
      <c r="I484" t="str">
        <f t="shared" si="48"/>
        <v>0</v>
      </c>
      <c r="J484" t="str">
        <f t="shared" si="49"/>
        <v>00</v>
      </c>
      <c r="K484">
        <v>20190215</v>
      </c>
      <c r="L484" t="str">
        <f>"027599"</f>
        <v>027599</v>
      </c>
      <c r="M484" t="str">
        <f>"81174"</f>
        <v>81174</v>
      </c>
      <c r="N484" t="s">
        <v>63</v>
      </c>
      <c r="O484" s="1">
        <v>1663.15</v>
      </c>
      <c r="P484">
        <v>20190215</v>
      </c>
      <c r="Q484" t="s">
        <v>64</v>
      </c>
      <c r="R484" t="s">
        <v>210</v>
      </c>
      <c r="S484" t="s">
        <v>23</v>
      </c>
      <c r="T484" t="s">
        <v>65</v>
      </c>
    </row>
    <row r="485" spans="1:20" x14ac:dyDescent="0.25">
      <c r="A485">
        <v>9</v>
      </c>
      <c r="B485">
        <v>163</v>
      </c>
      <c r="C485" t="str">
        <f t="shared" si="45"/>
        <v>00</v>
      </c>
      <c r="D485">
        <v>2159</v>
      </c>
      <c r="E485" t="str">
        <f t="shared" si="46"/>
        <v>00</v>
      </c>
      <c r="F485" t="str">
        <f>"123"</f>
        <v>123</v>
      </c>
      <c r="G485">
        <v>9</v>
      </c>
      <c r="H485" t="str">
        <f t="shared" si="47"/>
        <v>00</v>
      </c>
      <c r="I485" t="str">
        <f t="shared" si="48"/>
        <v>0</v>
      </c>
      <c r="J485" t="str">
        <f t="shared" si="49"/>
        <v>00</v>
      </c>
      <c r="K485">
        <v>20190215</v>
      </c>
      <c r="L485" t="str">
        <f>"027600"</f>
        <v>027600</v>
      </c>
      <c r="M485" t="str">
        <f>"81753"</f>
        <v>81753</v>
      </c>
      <c r="N485" t="s">
        <v>217</v>
      </c>
      <c r="O485" s="1">
        <v>1367.05</v>
      </c>
      <c r="P485">
        <v>20190215</v>
      </c>
      <c r="Q485" t="s">
        <v>155</v>
      </c>
      <c r="R485" t="s">
        <v>210</v>
      </c>
      <c r="S485" t="s">
        <v>23</v>
      </c>
      <c r="T485" t="s">
        <v>154</v>
      </c>
    </row>
    <row r="486" spans="1:20" x14ac:dyDescent="0.25">
      <c r="A486">
        <v>9</v>
      </c>
      <c r="B486">
        <v>163</v>
      </c>
      <c r="C486" t="str">
        <f t="shared" si="45"/>
        <v>00</v>
      </c>
      <c r="D486">
        <v>2153</v>
      </c>
      <c r="E486" t="str">
        <f t="shared" si="46"/>
        <v>00</v>
      </c>
      <c r="F486" t="str">
        <f>"141"</f>
        <v>141</v>
      </c>
      <c r="G486">
        <v>9</v>
      </c>
      <c r="H486" t="str">
        <f t="shared" si="47"/>
        <v>00</v>
      </c>
      <c r="I486" t="str">
        <f t="shared" si="48"/>
        <v>0</v>
      </c>
      <c r="J486" t="str">
        <f t="shared" si="49"/>
        <v>00</v>
      </c>
      <c r="K486">
        <v>20190222</v>
      </c>
      <c r="L486" t="str">
        <f>"027613"</f>
        <v>027613</v>
      </c>
      <c r="M486" t="str">
        <f>"00068"</f>
        <v>00068</v>
      </c>
      <c r="N486" t="s">
        <v>20</v>
      </c>
      <c r="O486">
        <v>446.93</v>
      </c>
      <c r="P486">
        <v>20190222</v>
      </c>
      <c r="Q486" t="s">
        <v>21</v>
      </c>
      <c r="R486" t="s">
        <v>208</v>
      </c>
      <c r="S486" t="s">
        <v>23</v>
      </c>
      <c r="T486" t="s">
        <v>24</v>
      </c>
    </row>
    <row r="487" spans="1:20" x14ac:dyDescent="0.25">
      <c r="A487">
        <v>9</v>
      </c>
      <c r="B487">
        <v>163</v>
      </c>
      <c r="C487" t="str">
        <f t="shared" si="45"/>
        <v>00</v>
      </c>
      <c r="D487">
        <v>2153</v>
      </c>
      <c r="E487" t="str">
        <f t="shared" si="46"/>
        <v>00</v>
      </c>
      <c r="F487" t="str">
        <f>"142"</f>
        <v>142</v>
      </c>
      <c r="G487">
        <v>9</v>
      </c>
      <c r="H487" t="str">
        <f t="shared" si="47"/>
        <v>00</v>
      </c>
      <c r="I487" t="str">
        <f t="shared" si="48"/>
        <v>0</v>
      </c>
      <c r="J487" t="str">
        <f t="shared" si="49"/>
        <v>00</v>
      </c>
      <c r="K487">
        <v>20190222</v>
      </c>
      <c r="L487" t="str">
        <f>"027613"</f>
        <v>027613</v>
      </c>
      <c r="M487" t="str">
        <f>"00068"</f>
        <v>00068</v>
      </c>
      <c r="N487" t="s">
        <v>20</v>
      </c>
      <c r="O487">
        <v>388.39</v>
      </c>
      <c r="P487">
        <v>20190222</v>
      </c>
      <c r="Q487" t="s">
        <v>25</v>
      </c>
      <c r="R487" t="s">
        <v>209</v>
      </c>
      <c r="S487" t="s">
        <v>23</v>
      </c>
      <c r="T487" t="s">
        <v>27</v>
      </c>
    </row>
    <row r="488" spans="1:20" x14ac:dyDescent="0.25">
      <c r="A488">
        <v>9</v>
      </c>
      <c r="B488">
        <v>163</v>
      </c>
      <c r="C488" t="str">
        <f t="shared" si="45"/>
        <v>00</v>
      </c>
      <c r="D488">
        <v>2159</v>
      </c>
      <c r="E488" t="str">
        <f t="shared" si="46"/>
        <v>00</v>
      </c>
      <c r="F488" t="str">
        <f>"148"</f>
        <v>148</v>
      </c>
      <c r="G488">
        <v>9</v>
      </c>
      <c r="H488" t="str">
        <f t="shared" si="47"/>
        <v>00</v>
      </c>
      <c r="I488" t="str">
        <f t="shared" si="48"/>
        <v>0</v>
      </c>
      <c r="J488" t="str">
        <f t="shared" si="49"/>
        <v>00</v>
      </c>
      <c r="K488">
        <v>20190222</v>
      </c>
      <c r="L488" t="str">
        <f>"027614"</f>
        <v>027614</v>
      </c>
      <c r="M488" t="str">
        <f>"00528"</f>
        <v>00528</v>
      </c>
      <c r="N488" t="s">
        <v>159</v>
      </c>
      <c r="O488">
        <v>22.5</v>
      </c>
      <c r="P488">
        <v>20190222</v>
      </c>
      <c r="Q488" t="s">
        <v>160</v>
      </c>
      <c r="R488" t="s">
        <v>210</v>
      </c>
      <c r="S488" t="s">
        <v>23</v>
      </c>
      <c r="T488" t="s">
        <v>162</v>
      </c>
    </row>
    <row r="489" spans="1:20" x14ac:dyDescent="0.25">
      <c r="A489">
        <v>9</v>
      </c>
      <c r="B489">
        <v>163</v>
      </c>
      <c r="C489" t="str">
        <f t="shared" si="45"/>
        <v>00</v>
      </c>
      <c r="D489">
        <v>2153</v>
      </c>
      <c r="E489" t="str">
        <f t="shared" si="46"/>
        <v>00</v>
      </c>
      <c r="F489" t="str">
        <f>"022"</f>
        <v>022</v>
      </c>
      <c r="G489">
        <v>9</v>
      </c>
      <c r="H489" t="str">
        <f t="shared" si="47"/>
        <v>00</v>
      </c>
      <c r="I489" t="str">
        <f t="shared" si="48"/>
        <v>0</v>
      </c>
      <c r="J489" t="str">
        <f t="shared" si="49"/>
        <v>00</v>
      </c>
      <c r="K489">
        <v>20190222</v>
      </c>
      <c r="L489" t="str">
        <f>"027615"</f>
        <v>027615</v>
      </c>
      <c r="M489" t="str">
        <f>"04831"</f>
        <v>04831</v>
      </c>
      <c r="N489" t="s">
        <v>28</v>
      </c>
      <c r="O489">
        <v>16.77</v>
      </c>
      <c r="P489">
        <v>20190222</v>
      </c>
      <c r="Q489" t="s">
        <v>29</v>
      </c>
      <c r="R489" t="s">
        <v>209</v>
      </c>
      <c r="S489" t="s">
        <v>23</v>
      </c>
      <c r="T489" t="s">
        <v>30</v>
      </c>
    </row>
    <row r="490" spans="1:20" x14ac:dyDescent="0.25">
      <c r="A490">
        <v>9</v>
      </c>
      <c r="B490">
        <v>163</v>
      </c>
      <c r="C490" t="str">
        <f t="shared" si="45"/>
        <v>00</v>
      </c>
      <c r="D490">
        <v>2159</v>
      </c>
      <c r="E490" t="str">
        <f t="shared" si="46"/>
        <v>00</v>
      </c>
      <c r="F490" t="str">
        <f>"018"</f>
        <v>018</v>
      </c>
      <c r="G490">
        <v>9</v>
      </c>
      <c r="H490" t="str">
        <f t="shared" si="47"/>
        <v>00</v>
      </c>
      <c r="I490" t="str">
        <f t="shared" si="48"/>
        <v>0</v>
      </c>
      <c r="J490" t="str">
        <f t="shared" si="49"/>
        <v>00</v>
      </c>
      <c r="K490">
        <v>20190222</v>
      </c>
      <c r="L490" t="str">
        <f>"027616"</f>
        <v>027616</v>
      </c>
      <c r="M490" t="str">
        <f>"04905"</f>
        <v>04905</v>
      </c>
      <c r="N490" t="s">
        <v>31</v>
      </c>
      <c r="O490">
        <v>55.11</v>
      </c>
      <c r="P490">
        <v>20190222</v>
      </c>
      <c r="Q490" t="s">
        <v>32</v>
      </c>
      <c r="R490" t="s">
        <v>210</v>
      </c>
      <c r="S490" t="s">
        <v>23</v>
      </c>
      <c r="T490" t="s">
        <v>34</v>
      </c>
    </row>
    <row r="491" spans="1:20" x14ac:dyDescent="0.25">
      <c r="A491">
        <v>9</v>
      </c>
      <c r="B491">
        <v>163</v>
      </c>
      <c r="C491" t="str">
        <f t="shared" si="45"/>
        <v>00</v>
      </c>
      <c r="D491">
        <v>2153</v>
      </c>
      <c r="E491" t="str">
        <f t="shared" si="46"/>
        <v>00</v>
      </c>
      <c r="F491" t="str">
        <f>"053"</f>
        <v>053</v>
      </c>
      <c r="G491">
        <v>9</v>
      </c>
      <c r="H491" t="str">
        <f t="shared" si="47"/>
        <v>00</v>
      </c>
      <c r="I491" t="str">
        <f t="shared" si="48"/>
        <v>0</v>
      </c>
      <c r="J491" t="str">
        <f t="shared" si="49"/>
        <v>00</v>
      </c>
      <c r="K491">
        <v>20190222</v>
      </c>
      <c r="L491" t="str">
        <f>"027617"</f>
        <v>027617</v>
      </c>
      <c r="M491" t="str">
        <f>"04987"</f>
        <v>04987</v>
      </c>
      <c r="N491" t="s">
        <v>35</v>
      </c>
      <c r="O491">
        <v>20.64</v>
      </c>
      <c r="P491">
        <v>20190222</v>
      </c>
      <c r="Q491" t="s">
        <v>36</v>
      </c>
      <c r="R491" t="s">
        <v>209</v>
      </c>
      <c r="S491" t="s">
        <v>23</v>
      </c>
      <c r="T491" t="s">
        <v>37</v>
      </c>
    </row>
    <row r="492" spans="1:20" x14ac:dyDescent="0.25">
      <c r="A492">
        <v>9</v>
      </c>
      <c r="B492">
        <v>163</v>
      </c>
      <c r="C492" t="str">
        <f t="shared" si="45"/>
        <v>00</v>
      </c>
      <c r="D492">
        <v>2159</v>
      </c>
      <c r="E492" t="str">
        <f t="shared" si="46"/>
        <v>00</v>
      </c>
      <c r="F492" t="str">
        <f>"068"</f>
        <v>068</v>
      </c>
      <c r="G492">
        <v>9</v>
      </c>
      <c r="H492" t="str">
        <f t="shared" si="47"/>
        <v>00</v>
      </c>
      <c r="I492" t="str">
        <f t="shared" si="48"/>
        <v>0</v>
      </c>
      <c r="J492" t="str">
        <f t="shared" si="49"/>
        <v>00</v>
      </c>
      <c r="K492">
        <v>20190222</v>
      </c>
      <c r="L492" t="str">
        <f>"027618"</f>
        <v>027618</v>
      </c>
      <c r="M492" t="str">
        <f>"10095"</f>
        <v>10095</v>
      </c>
      <c r="N492" t="s">
        <v>83</v>
      </c>
      <c r="O492">
        <v>14.59</v>
      </c>
      <c r="P492">
        <v>20190222</v>
      </c>
      <c r="Q492" t="s">
        <v>84</v>
      </c>
      <c r="R492" t="s">
        <v>210</v>
      </c>
      <c r="S492" t="s">
        <v>23</v>
      </c>
      <c r="T492" t="s">
        <v>85</v>
      </c>
    </row>
    <row r="493" spans="1:20" x14ac:dyDescent="0.25">
      <c r="A493">
        <v>9</v>
      </c>
      <c r="B493">
        <v>163</v>
      </c>
      <c r="C493" t="str">
        <f t="shared" si="45"/>
        <v>00</v>
      </c>
      <c r="D493">
        <v>2153</v>
      </c>
      <c r="E493" t="str">
        <f t="shared" si="46"/>
        <v>00</v>
      </c>
      <c r="F493" t="str">
        <f>"011"</f>
        <v>011</v>
      </c>
      <c r="G493">
        <v>9</v>
      </c>
      <c r="H493" t="str">
        <f t="shared" si="47"/>
        <v>00</v>
      </c>
      <c r="I493" t="str">
        <f t="shared" si="48"/>
        <v>0</v>
      </c>
      <c r="J493" t="str">
        <f t="shared" si="49"/>
        <v>00</v>
      </c>
      <c r="K493">
        <v>20190222</v>
      </c>
      <c r="L493" t="str">
        <f>"027619"</f>
        <v>027619</v>
      </c>
      <c r="M493" t="str">
        <f>"11211"</f>
        <v>11211</v>
      </c>
      <c r="N493" t="s">
        <v>41</v>
      </c>
      <c r="O493">
        <v>174.06</v>
      </c>
      <c r="P493">
        <v>20190222</v>
      </c>
      <c r="Q493" t="s">
        <v>42</v>
      </c>
      <c r="R493" t="s">
        <v>209</v>
      </c>
      <c r="S493" t="s">
        <v>23</v>
      </c>
      <c r="T493" t="s">
        <v>43</v>
      </c>
    </row>
    <row r="494" spans="1:20" x14ac:dyDescent="0.25">
      <c r="A494">
        <v>9</v>
      </c>
      <c r="B494">
        <v>163</v>
      </c>
      <c r="C494" t="str">
        <f t="shared" si="45"/>
        <v>00</v>
      </c>
      <c r="D494">
        <v>2159</v>
      </c>
      <c r="E494" t="str">
        <f t="shared" si="46"/>
        <v>00</v>
      </c>
      <c r="F494" t="str">
        <f>"104"</f>
        <v>104</v>
      </c>
      <c r="G494">
        <v>9</v>
      </c>
      <c r="H494" t="str">
        <f t="shared" si="47"/>
        <v>00</v>
      </c>
      <c r="I494" t="str">
        <f t="shared" si="48"/>
        <v>0</v>
      </c>
      <c r="J494" t="str">
        <f t="shared" si="49"/>
        <v>00</v>
      </c>
      <c r="K494">
        <v>20190222</v>
      </c>
      <c r="L494" t="str">
        <f>"027620"</f>
        <v>027620</v>
      </c>
      <c r="M494" t="str">
        <f>"14177"</f>
        <v>14177</v>
      </c>
      <c r="N494" t="s">
        <v>163</v>
      </c>
      <c r="O494">
        <v>70.75</v>
      </c>
      <c r="P494">
        <v>20190222</v>
      </c>
      <c r="Q494" t="s">
        <v>45</v>
      </c>
      <c r="R494" t="s">
        <v>210</v>
      </c>
      <c r="S494" t="s">
        <v>23</v>
      </c>
      <c r="T494" t="s">
        <v>46</v>
      </c>
    </row>
    <row r="495" spans="1:20" x14ac:dyDescent="0.25">
      <c r="A495">
        <v>9</v>
      </c>
      <c r="B495">
        <v>163</v>
      </c>
      <c r="C495" t="str">
        <f t="shared" si="45"/>
        <v>00</v>
      </c>
      <c r="D495">
        <v>2153</v>
      </c>
      <c r="E495" t="str">
        <f t="shared" si="46"/>
        <v>00</v>
      </c>
      <c r="F495" t="str">
        <f>"110"</f>
        <v>110</v>
      </c>
      <c r="G495">
        <v>9</v>
      </c>
      <c r="H495" t="str">
        <f t="shared" si="47"/>
        <v>00</v>
      </c>
      <c r="I495" t="str">
        <f t="shared" si="48"/>
        <v>0</v>
      </c>
      <c r="J495" t="str">
        <f t="shared" si="49"/>
        <v>00</v>
      </c>
      <c r="K495">
        <v>20190222</v>
      </c>
      <c r="L495" t="str">
        <f>"027621"</f>
        <v>027621</v>
      </c>
      <c r="M495" t="str">
        <f>"48947"</f>
        <v>48947</v>
      </c>
      <c r="N495" t="s">
        <v>47</v>
      </c>
      <c r="O495">
        <v>34.81</v>
      </c>
      <c r="P495">
        <v>20190222</v>
      </c>
      <c r="Q495" t="s">
        <v>48</v>
      </c>
      <c r="R495" t="s">
        <v>208</v>
      </c>
      <c r="S495" t="s">
        <v>23</v>
      </c>
      <c r="T495" t="s">
        <v>49</v>
      </c>
    </row>
    <row r="496" spans="1:20" x14ac:dyDescent="0.25">
      <c r="A496">
        <v>9</v>
      </c>
      <c r="B496">
        <v>163</v>
      </c>
      <c r="C496" t="str">
        <f t="shared" si="45"/>
        <v>00</v>
      </c>
      <c r="D496">
        <v>2159</v>
      </c>
      <c r="E496" t="str">
        <f t="shared" si="46"/>
        <v>00</v>
      </c>
      <c r="F496" t="str">
        <f>"131"</f>
        <v>131</v>
      </c>
      <c r="G496">
        <v>9</v>
      </c>
      <c r="H496" t="str">
        <f t="shared" si="47"/>
        <v>00</v>
      </c>
      <c r="I496" t="str">
        <f t="shared" si="48"/>
        <v>0</v>
      </c>
      <c r="J496" t="str">
        <f t="shared" si="49"/>
        <v>00</v>
      </c>
      <c r="K496">
        <v>20190222</v>
      </c>
      <c r="L496" t="str">
        <f>"027622"</f>
        <v>027622</v>
      </c>
      <c r="M496" t="str">
        <f>"54196"</f>
        <v>54196</v>
      </c>
      <c r="N496" t="s">
        <v>50</v>
      </c>
      <c r="O496">
        <v>50</v>
      </c>
      <c r="P496">
        <v>20190222</v>
      </c>
      <c r="Q496" t="s">
        <v>51</v>
      </c>
      <c r="R496" t="s">
        <v>211</v>
      </c>
      <c r="S496" t="s">
        <v>23</v>
      </c>
      <c r="T496" t="s">
        <v>53</v>
      </c>
    </row>
    <row r="497" spans="1:20" x14ac:dyDescent="0.25">
      <c r="A497">
        <v>9</v>
      </c>
      <c r="B497">
        <v>163</v>
      </c>
      <c r="C497" t="str">
        <f t="shared" si="45"/>
        <v>00</v>
      </c>
      <c r="D497">
        <v>2159</v>
      </c>
      <c r="E497" t="str">
        <f t="shared" si="46"/>
        <v>00</v>
      </c>
      <c r="F497" t="str">
        <f>"111"</f>
        <v>111</v>
      </c>
      <c r="G497">
        <v>9</v>
      </c>
      <c r="H497" t="str">
        <f t="shared" si="47"/>
        <v>00</v>
      </c>
      <c r="I497" t="str">
        <f t="shared" si="48"/>
        <v>0</v>
      </c>
      <c r="J497" t="str">
        <f t="shared" si="49"/>
        <v>00</v>
      </c>
      <c r="K497">
        <v>20190222</v>
      </c>
      <c r="L497" t="str">
        <f>"027623"</f>
        <v>027623</v>
      </c>
      <c r="M497" t="str">
        <f>"72601"</f>
        <v>72601</v>
      </c>
      <c r="N497" t="s">
        <v>54</v>
      </c>
      <c r="O497">
        <v>452.74</v>
      </c>
      <c r="P497">
        <v>20190222</v>
      </c>
      <c r="Q497" t="s">
        <v>55</v>
      </c>
      <c r="R497" t="s">
        <v>210</v>
      </c>
      <c r="S497" t="s">
        <v>23</v>
      </c>
      <c r="T497" t="s">
        <v>56</v>
      </c>
    </row>
    <row r="498" spans="1:20" x14ac:dyDescent="0.25">
      <c r="A498">
        <v>9</v>
      </c>
      <c r="B498">
        <v>163</v>
      </c>
      <c r="C498" t="str">
        <f t="shared" si="45"/>
        <v>00</v>
      </c>
      <c r="D498">
        <v>2153</v>
      </c>
      <c r="E498" t="str">
        <f t="shared" si="46"/>
        <v>00</v>
      </c>
      <c r="F498" t="str">
        <f>"006"</f>
        <v>006</v>
      </c>
      <c r="G498">
        <v>9</v>
      </c>
      <c r="H498" t="str">
        <f t="shared" si="47"/>
        <v>00</v>
      </c>
      <c r="I498" t="str">
        <f t="shared" si="48"/>
        <v>0</v>
      </c>
      <c r="J498" t="str">
        <f t="shared" si="49"/>
        <v>00</v>
      </c>
      <c r="K498">
        <v>20190222</v>
      </c>
      <c r="L498" t="str">
        <f>"027624"</f>
        <v>027624</v>
      </c>
      <c r="M498" t="str">
        <f>"75452"</f>
        <v>75452</v>
      </c>
      <c r="N498" t="s">
        <v>57</v>
      </c>
      <c r="O498">
        <v>473.44</v>
      </c>
      <c r="P498">
        <v>20190222</v>
      </c>
      <c r="Q498" t="s">
        <v>58</v>
      </c>
      <c r="R498" t="s">
        <v>209</v>
      </c>
      <c r="S498" t="s">
        <v>23</v>
      </c>
      <c r="T498" t="s">
        <v>59</v>
      </c>
    </row>
    <row r="499" spans="1:20" x14ac:dyDescent="0.25">
      <c r="A499">
        <v>9</v>
      </c>
      <c r="B499">
        <v>163</v>
      </c>
      <c r="C499" t="str">
        <f t="shared" si="45"/>
        <v>00</v>
      </c>
      <c r="D499">
        <v>2159</v>
      </c>
      <c r="E499" t="str">
        <f t="shared" si="46"/>
        <v>00</v>
      </c>
      <c r="F499" t="str">
        <f>"106"</f>
        <v>106</v>
      </c>
      <c r="G499">
        <v>9</v>
      </c>
      <c r="H499" t="str">
        <f t="shared" si="47"/>
        <v>00</v>
      </c>
      <c r="I499" t="str">
        <f t="shared" si="48"/>
        <v>0</v>
      </c>
      <c r="J499" t="str">
        <f t="shared" si="49"/>
        <v>00</v>
      </c>
      <c r="K499">
        <v>20190222</v>
      </c>
      <c r="L499" t="str">
        <f>"027625"</f>
        <v>027625</v>
      </c>
      <c r="M499" t="str">
        <f>"81173"</f>
        <v>81173</v>
      </c>
      <c r="N499" t="s">
        <v>60</v>
      </c>
      <c r="O499">
        <v>87.27</v>
      </c>
      <c r="P499">
        <v>20190222</v>
      </c>
      <c r="Q499" t="s">
        <v>61</v>
      </c>
      <c r="R499" t="s">
        <v>210</v>
      </c>
      <c r="S499" t="s">
        <v>23</v>
      </c>
      <c r="T499" t="s">
        <v>62</v>
      </c>
    </row>
    <row r="500" spans="1:20" x14ac:dyDescent="0.25">
      <c r="A500">
        <v>9</v>
      </c>
      <c r="B500">
        <v>163</v>
      </c>
      <c r="C500" t="str">
        <f t="shared" si="45"/>
        <v>00</v>
      </c>
      <c r="D500">
        <v>2159</v>
      </c>
      <c r="E500" t="str">
        <f t="shared" si="46"/>
        <v>00</v>
      </c>
      <c r="F500" t="str">
        <f>"007"</f>
        <v>007</v>
      </c>
      <c r="G500">
        <v>9</v>
      </c>
      <c r="H500" t="str">
        <f t="shared" si="47"/>
        <v>00</v>
      </c>
      <c r="I500" t="str">
        <f t="shared" si="48"/>
        <v>0</v>
      </c>
      <c r="J500" t="str">
        <f t="shared" si="49"/>
        <v>00</v>
      </c>
      <c r="K500">
        <v>20190222</v>
      </c>
      <c r="L500" t="str">
        <f>"027626"</f>
        <v>027626</v>
      </c>
      <c r="M500" t="str">
        <f>"81174"</f>
        <v>81174</v>
      </c>
      <c r="N500" t="s">
        <v>63</v>
      </c>
      <c r="O500">
        <v>52.27</v>
      </c>
      <c r="P500">
        <v>20190222</v>
      </c>
      <c r="Q500" t="s">
        <v>64</v>
      </c>
      <c r="R500" t="s">
        <v>210</v>
      </c>
      <c r="S500" t="s">
        <v>23</v>
      </c>
      <c r="T500" t="s">
        <v>65</v>
      </c>
    </row>
    <row r="501" spans="1:20" x14ac:dyDescent="0.25">
      <c r="A501">
        <v>9</v>
      </c>
      <c r="B501">
        <v>163</v>
      </c>
      <c r="C501" t="str">
        <f t="shared" si="45"/>
        <v>00</v>
      </c>
      <c r="D501">
        <v>2153</v>
      </c>
      <c r="E501" t="str">
        <f t="shared" si="46"/>
        <v>00</v>
      </c>
      <c r="F501" t="str">
        <f>"141"</f>
        <v>141</v>
      </c>
      <c r="G501">
        <v>9</v>
      </c>
      <c r="H501" t="str">
        <f t="shared" si="47"/>
        <v>00</v>
      </c>
      <c r="I501" t="str">
        <f t="shared" si="48"/>
        <v>0</v>
      </c>
      <c r="J501" t="str">
        <f t="shared" si="49"/>
        <v>00</v>
      </c>
      <c r="K501">
        <v>20190308</v>
      </c>
      <c r="L501" t="str">
        <f>"027642"</f>
        <v>027642</v>
      </c>
      <c r="M501" t="str">
        <f>"00068"</f>
        <v>00068</v>
      </c>
      <c r="N501" t="s">
        <v>20</v>
      </c>
      <c r="O501">
        <v>460.11</v>
      </c>
      <c r="P501">
        <v>20190308</v>
      </c>
      <c r="Q501" t="s">
        <v>21</v>
      </c>
      <c r="R501" t="s">
        <v>218</v>
      </c>
      <c r="S501" t="s">
        <v>23</v>
      </c>
      <c r="T501" t="s">
        <v>24</v>
      </c>
    </row>
    <row r="502" spans="1:20" x14ac:dyDescent="0.25">
      <c r="A502">
        <v>9</v>
      </c>
      <c r="B502">
        <v>163</v>
      </c>
      <c r="C502" t="str">
        <f t="shared" si="45"/>
        <v>00</v>
      </c>
      <c r="D502">
        <v>2153</v>
      </c>
      <c r="E502" t="str">
        <f t="shared" si="46"/>
        <v>00</v>
      </c>
      <c r="F502" t="str">
        <f>"142"</f>
        <v>142</v>
      </c>
      <c r="G502">
        <v>9</v>
      </c>
      <c r="H502" t="str">
        <f t="shared" si="47"/>
        <v>00</v>
      </c>
      <c r="I502" t="str">
        <f t="shared" si="48"/>
        <v>0</v>
      </c>
      <c r="J502" t="str">
        <f t="shared" si="49"/>
        <v>00</v>
      </c>
      <c r="K502">
        <v>20190308</v>
      </c>
      <c r="L502" t="str">
        <f>"027642"</f>
        <v>027642</v>
      </c>
      <c r="M502" t="str">
        <f>"00068"</f>
        <v>00068</v>
      </c>
      <c r="N502" t="s">
        <v>20</v>
      </c>
      <c r="O502">
        <v>376.62</v>
      </c>
      <c r="P502">
        <v>20190308</v>
      </c>
      <c r="Q502" t="s">
        <v>25</v>
      </c>
      <c r="R502" t="s">
        <v>219</v>
      </c>
      <c r="S502" t="s">
        <v>23</v>
      </c>
      <c r="T502" t="s">
        <v>27</v>
      </c>
    </row>
    <row r="503" spans="1:20" x14ac:dyDescent="0.25">
      <c r="A503">
        <v>9</v>
      </c>
      <c r="B503">
        <v>163</v>
      </c>
      <c r="C503" t="str">
        <f t="shared" si="45"/>
        <v>00</v>
      </c>
      <c r="D503">
        <v>2159</v>
      </c>
      <c r="E503" t="str">
        <f t="shared" si="46"/>
        <v>00</v>
      </c>
      <c r="F503" t="str">
        <f>"148"</f>
        <v>148</v>
      </c>
      <c r="G503">
        <v>9</v>
      </c>
      <c r="H503" t="str">
        <f t="shared" si="47"/>
        <v>00</v>
      </c>
      <c r="I503" t="str">
        <f t="shared" si="48"/>
        <v>0</v>
      </c>
      <c r="J503" t="str">
        <f t="shared" si="49"/>
        <v>00</v>
      </c>
      <c r="K503">
        <v>20190308</v>
      </c>
      <c r="L503" t="str">
        <f>"027643"</f>
        <v>027643</v>
      </c>
      <c r="M503" t="str">
        <f>"00528"</f>
        <v>00528</v>
      </c>
      <c r="N503" t="s">
        <v>159</v>
      </c>
      <c r="O503">
        <v>30</v>
      </c>
      <c r="P503">
        <v>20190308</v>
      </c>
      <c r="Q503" t="s">
        <v>160</v>
      </c>
      <c r="R503" t="s">
        <v>220</v>
      </c>
      <c r="S503" t="s">
        <v>23</v>
      </c>
      <c r="T503" t="s">
        <v>162</v>
      </c>
    </row>
    <row r="504" spans="1:20" x14ac:dyDescent="0.25">
      <c r="A504">
        <v>9</v>
      </c>
      <c r="B504">
        <v>163</v>
      </c>
      <c r="C504" t="str">
        <f t="shared" si="45"/>
        <v>00</v>
      </c>
      <c r="D504">
        <v>2153</v>
      </c>
      <c r="E504" t="str">
        <f t="shared" si="46"/>
        <v>00</v>
      </c>
      <c r="F504" t="str">
        <f>"022"</f>
        <v>022</v>
      </c>
      <c r="G504">
        <v>9</v>
      </c>
      <c r="H504" t="str">
        <f t="shared" si="47"/>
        <v>00</v>
      </c>
      <c r="I504" t="str">
        <f t="shared" si="48"/>
        <v>0</v>
      </c>
      <c r="J504" t="str">
        <f t="shared" si="49"/>
        <v>00</v>
      </c>
      <c r="K504">
        <v>20190308</v>
      </c>
      <c r="L504" t="str">
        <f>"027644"</f>
        <v>027644</v>
      </c>
      <c r="M504" t="str">
        <f>"04831"</f>
        <v>04831</v>
      </c>
      <c r="N504" t="s">
        <v>28</v>
      </c>
      <c r="O504">
        <v>16.77</v>
      </c>
      <c r="P504">
        <v>20190308</v>
      </c>
      <c r="Q504" t="s">
        <v>29</v>
      </c>
      <c r="R504" t="s">
        <v>219</v>
      </c>
      <c r="S504" t="s">
        <v>23</v>
      </c>
      <c r="T504" t="s">
        <v>30</v>
      </c>
    </row>
    <row r="505" spans="1:20" x14ac:dyDescent="0.25">
      <c r="A505">
        <v>9</v>
      </c>
      <c r="B505">
        <v>163</v>
      </c>
      <c r="C505" t="str">
        <f t="shared" si="45"/>
        <v>00</v>
      </c>
      <c r="D505">
        <v>2159</v>
      </c>
      <c r="E505" t="str">
        <f t="shared" si="46"/>
        <v>00</v>
      </c>
      <c r="F505" t="str">
        <f>"018"</f>
        <v>018</v>
      </c>
      <c r="G505">
        <v>9</v>
      </c>
      <c r="H505" t="str">
        <f t="shared" si="47"/>
        <v>00</v>
      </c>
      <c r="I505" t="str">
        <f t="shared" si="48"/>
        <v>0</v>
      </c>
      <c r="J505" t="str">
        <f t="shared" si="49"/>
        <v>00</v>
      </c>
      <c r="K505">
        <v>20190308</v>
      </c>
      <c r="L505" t="str">
        <f>"027645"</f>
        <v>027645</v>
      </c>
      <c r="M505" t="str">
        <f>"04905"</f>
        <v>04905</v>
      </c>
      <c r="N505" t="s">
        <v>31</v>
      </c>
      <c r="O505">
        <v>55.11</v>
      </c>
      <c r="P505">
        <v>20190308</v>
      </c>
      <c r="Q505" t="s">
        <v>32</v>
      </c>
      <c r="R505" t="s">
        <v>220</v>
      </c>
      <c r="S505" t="s">
        <v>23</v>
      </c>
      <c r="T505" t="s">
        <v>34</v>
      </c>
    </row>
    <row r="506" spans="1:20" x14ac:dyDescent="0.25">
      <c r="A506">
        <v>9</v>
      </c>
      <c r="B506">
        <v>163</v>
      </c>
      <c r="C506" t="str">
        <f t="shared" si="45"/>
        <v>00</v>
      </c>
      <c r="D506">
        <v>2153</v>
      </c>
      <c r="E506" t="str">
        <f t="shared" si="46"/>
        <v>00</v>
      </c>
      <c r="F506" t="str">
        <f>"053"</f>
        <v>053</v>
      </c>
      <c r="G506">
        <v>9</v>
      </c>
      <c r="H506" t="str">
        <f t="shared" si="47"/>
        <v>00</v>
      </c>
      <c r="I506" t="str">
        <f t="shared" si="48"/>
        <v>0</v>
      </c>
      <c r="J506" t="str">
        <f t="shared" si="49"/>
        <v>00</v>
      </c>
      <c r="K506">
        <v>20190308</v>
      </c>
      <c r="L506" t="str">
        <f>"027646"</f>
        <v>027646</v>
      </c>
      <c r="M506" t="str">
        <f>"04987"</f>
        <v>04987</v>
      </c>
      <c r="N506" t="s">
        <v>35</v>
      </c>
      <c r="O506">
        <v>20.64</v>
      </c>
      <c r="P506">
        <v>20190308</v>
      </c>
      <c r="Q506" t="s">
        <v>36</v>
      </c>
      <c r="R506" t="s">
        <v>219</v>
      </c>
      <c r="S506" t="s">
        <v>23</v>
      </c>
      <c r="T506" t="s">
        <v>37</v>
      </c>
    </row>
    <row r="507" spans="1:20" x14ac:dyDescent="0.25">
      <c r="A507">
        <v>9</v>
      </c>
      <c r="B507">
        <v>163</v>
      </c>
      <c r="C507" t="str">
        <f t="shared" si="45"/>
        <v>00</v>
      </c>
      <c r="D507">
        <v>2159</v>
      </c>
      <c r="E507" t="str">
        <f t="shared" si="46"/>
        <v>00</v>
      </c>
      <c r="F507" t="str">
        <f>"068"</f>
        <v>068</v>
      </c>
      <c r="G507">
        <v>9</v>
      </c>
      <c r="H507" t="str">
        <f t="shared" si="47"/>
        <v>00</v>
      </c>
      <c r="I507" t="str">
        <f t="shared" si="48"/>
        <v>0</v>
      </c>
      <c r="J507" t="str">
        <f t="shared" si="49"/>
        <v>00</v>
      </c>
      <c r="K507">
        <v>20190308</v>
      </c>
      <c r="L507" t="str">
        <f>"027647"</f>
        <v>027647</v>
      </c>
      <c r="M507" t="str">
        <f>"10095"</f>
        <v>10095</v>
      </c>
      <c r="N507" t="s">
        <v>83</v>
      </c>
      <c r="O507">
        <v>14.59</v>
      </c>
      <c r="P507">
        <v>20190308</v>
      </c>
      <c r="Q507" t="s">
        <v>84</v>
      </c>
      <c r="R507" t="s">
        <v>220</v>
      </c>
      <c r="S507" t="s">
        <v>23</v>
      </c>
      <c r="T507" t="s">
        <v>85</v>
      </c>
    </row>
    <row r="508" spans="1:20" x14ac:dyDescent="0.25">
      <c r="A508">
        <v>9</v>
      </c>
      <c r="B508">
        <v>163</v>
      </c>
      <c r="C508" t="str">
        <f t="shared" si="45"/>
        <v>00</v>
      </c>
      <c r="D508">
        <v>2153</v>
      </c>
      <c r="E508" t="str">
        <f t="shared" si="46"/>
        <v>00</v>
      </c>
      <c r="F508" t="str">
        <f>"011"</f>
        <v>011</v>
      </c>
      <c r="G508">
        <v>9</v>
      </c>
      <c r="H508" t="str">
        <f t="shared" si="47"/>
        <v>00</v>
      </c>
      <c r="I508" t="str">
        <f t="shared" si="48"/>
        <v>0</v>
      </c>
      <c r="J508" t="str">
        <f t="shared" si="49"/>
        <v>00</v>
      </c>
      <c r="K508">
        <v>20190308</v>
      </c>
      <c r="L508" t="str">
        <f>"027648"</f>
        <v>027648</v>
      </c>
      <c r="M508" t="str">
        <f>"11211"</f>
        <v>11211</v>
      </c>
      <c r="N508" t="s">
        <v>41</v>
      </c>
      <c r="O508">
        <v>166.15</v>
      </c>
      <c r="P508">
        <v>20190308</v>
      </c>
      <c r="Q508" t="s">
        <v>42</v>
      </c>
      <c r="R508" t="s">
        <v>219</v>
      </c>
      <c r="S508" t="s">
        <v>23</v>
      </c>
      <c r="T508" t="s">
        <v>43</v>
      </c>
    </row>
    <row r="509" spans="1:20" x14ac:dyDescent="0.25">
      <c r="A509">
        <v>9</v>
      </c>
      <c r="B509">
        <v>163</v>
      </c>
      <c r="C509" t="str">
        <f t="shared" si="45"/>
        <v>00</v>
      </c>
      <c r="D509">
        <v>2159</v>
      </c>
      <c r="E509" t="str">
        <f t="shared" si="46"/>
        <v>00</v>
      </c>
      <c r="F509" t="str">
        <f>"104"</f>
        <v>104</v>
      </c>
      <c r="G509">
        <v>9</v>
      </c>
      <c r="H509" t="str">
        <f t="shared" si="47"/>
        <v>00</v>
      </c>
      <c r="I509" t="str">
        <f t="shared" si="48"/>
        <v>0</v>
      </c>
      <c r="J509" t="str">
        <f t="shared" si="49"/>
        <v>00</v>
      </c>
      <c r="K509">
        <v>20190308</v>
      </c>
      <c r="L509" t="str">
        <f>"027649"</f>
        <v>027649</v>
      </c>
      <c r="M509" t="str">
        <f>"14177"</f>
        <v>14177</v>
      </c>
      <c r="N509" t="s">
        <v>163</v>
      </c>
      <c r="O509">
        <v>70.75</v>
      </c>
      <c r="P509">
        <v>20190308</v>
      </c>
      <c r="Q509" t="s">
        <v>45</v>
      </c>
      <c r="R509" t="s">
        <v>220</v>
      </c>
      <c r="S509" t="s">
        <v>23</v>
      </c>
      <c r="T509" t="s">
        <v>46</v>
      </c>
    </row>
    <row r="510" spans="1:20" x14ac:dyDescent="0.25">
      <c r="A510">
        <v>9</v>
      </c>
      <c r="B510">
        <v>163</v>
      </c>
      <c r="C510" t="str">
        <f t="shared" si="45"/>
        <v>00</v>
      </c>
      <c r="D510">
        <v>2153</v>
      </c>
      <c r="E510" t="str">
        <f t="shared" si="46"/>
        <v>00</v>
      </c>
      <c r="F510" t="str">
        <f>"110"</f>
        <v>110</v>
      </c>
      <c r="G510">
        <v>9</v>
      </c>
      <c r="H510" t="str">
        <f t="shared" si="47"/>
        <v>00</v>
      </c>
      <c r="I510" t="str">
        <f t="shared" si="48"/>
        <v>0</v>
      </c>
      <c r="J510" t="str">
        <f t="shared" si="49"/>
        <v>00</v>
      </c>
      <c r="K510">
        <v>20190308</v>
      </c>
      <c r="L510" t="str">
        <f>"027650"</f>
        <v>027650</v>
      </c>
      <c r="M510" t="str">
        <f>"48947"</f>
        <v>48947</v>
      </c>
      <c r="N510" t="s">
        <v>47</v>
      </c>
      <c r="O510">
        <v>34.78</v>
      </c>
      <c r="P510">
        <v>20190308</v>
      </c>
      <c r="Q510" t="s">
        <v>48</v>
      </c>
      <c r="R510" t="s">
        <v>218</v>
      </c>
      <c r="S510" t="s">
        <v>23</v>
      </c>
      <c r="T510" t="s">
        <v>49</v>
      </c>
    </row>
    <row r="511" spans="1:20" x14ac:dyDescent="0.25">
      <c r="A511">
        <v>9</v>
      </c>
      <c r="B511">
        <v>163</v>
      </c>
      <c r="C511" t="str">
        <f t="shared" si="45"/>
        <v>00</v>
      </c>
      <c r="D511">
        <v>2159</v>
      </c>
      <c r="E511" t="str">
        <f t="shared" si="46"/>
        <v>00</v>
      </c>
      <c r="F511" t="str">
        <f>"131"</f>
        <v>131</v>
      </c>
      <c r="G511">
        <v>9</v>
      </c>
      <c r="H511" t="str">
        <f t="shared" si="47"/>
        <v>00</v>
      </c>
      <c r="I511" t="str">
        <f t="shared" si="48"/>
        <v>0</v>
      </c>
      <c r="J511" t="str">
        <f t="shared" si="49"/>
        <v>00</v>
      </c>
      <c r="K511">
        <v>20190308</v>
      </c>
      <c r="L511" t="str">
        <f>"027651"</f>
        <v>027651</v>
      </c>
      <c r="M511" t="str">
        <f>"54196"</f>
        <v>54196</v>
      </c>
      <c r="N511" t="s">
        <v>50</v>
      </c>
      <c r="O511">
        <v>50</v>
      </c>
      <c r="P511">
        <v>20190308</v>
      </c>
      <c r="Q511" t="s">
        <v>51</v>
      </c>
      <c r="R511" t="s">
        <v>221</v>
      </c>
      <c r="S511" t="s">
        <v>23</v>
      </c>
      <c r="T511" t="s">
        <v>53</v>
      </c>
    </row>
    <row r="512" spans="1:20" x14ac:dyDescent="0.25">
      <c r="A512">
        <v>9</v>
      </c>
      <c r="B512">
        <v>163</v>
      </c>
      <c r="C512" t="str">
        <f t="shared" si="45"/>
        <v>00</v>
      </c>
      <c r="D512">
        <v>2159</v>
      </c>
      <c r="E512" t="str">
        <f t="shared" si="46"/>
        <v>00</v>
      </c>
      <c r="F512" t="str">
        <f>"111"</f>
        <v>111</v>
      </c>
      <c r="G512">
        <v>9</v>
      </c>
      <c r="H512" t="str">
        <f t="shared" si="47"/>
        <v>00</v>
      </c>
      <c r="I512" t="str">
        <f t="shared" si="48"/>
        <v>0</v>
      </c>
      <c r="J512" t="str">
        <f t="shared" si="49"/>
        <v>00</v>
      </c>
      <c r="K512">
        <v>20190308</v>
      </c>
      <c r="L512" t="str">
        <f>"027652"</f>
        <v>027652</v>
      </c>
      <c r="M512" t="str">
        <f>"72601"</f>
        <v>72601</v>
      </c>
      <c r="N512" t="s">
        <v>54</v>
      </c>
      <c r="O512">
        <v>452.74</v>
      </c>
      <c r="P512">
        <v>20190308</v>
      </c>
      <c r="Q512" t="s">
        <v>55</v>
      </c>
      <c r="R512" t="s">
        <v>220</v>
      </c>
      <c r="S512" t="s">
        <v>23</v>
      </c>
      <c r="T512" t="s">
        <v>56</v>
      </c>
    </row>
    <row r="513" spans="1:20" x14ac:dyDescent="0.25">
      <c r="A513">
        <v>9</v>
      </c>
      <c r="B513">
        <v>163</v>
      </c>
      <c r="C513" t="str">
        <f t="shared" si="45"/>
        <v>00</v>
      </c>
      <c r="D513">
        <v>2153</v>
      </c>
      <c r="E513" t="str">
        <f t="shared" si="46"/>
        <v>00</v>
      </c>
      <c r="F513" t="str">
        <f>"006"</f>
        <v>006</v>
      </c>
      <c r="G513">
        <v>9</v>
      </c>
      <c r="H513" t="str">
        <f t="shared" si="47"/>
        <v>00</v>
      </c>
      <c r="I513" t="str">
        <f t="shared" si="48"/>
        <v>0</v>
      </c>
      <c r="J513" t="str">
        <f t="shared" si="49"/>
        <v>00</v>
      </c>
      <c r="K513">
        <v>20190308</v>
      </c>
      <c r="L513" t="str">
        <f>"027653"</f>
        <v>027653</v>
      </c>
      <c r="M513" t="str">
        <f>"75452"</f>
        <v>75452</v>
      </c>
      <c r="N513" t="s">
        <v>57</v>
      </c>
      <c r="O513">
        <v>473.44</v>
      </c>
      <c r="P513">
        <v>20190308</v>
      </c>
      <c r="Q513" t="s">
        <v>58</v>
      </c>
      <c r="R513" t="s">
        <v>219</v>
      </c>
      <c r="S513" t="s">
        <v>23</v>
      </c>
      <c r="T513" t="s">
        <v>59</v>
      </c>
    </row>
    <row r="514" spans="1:20" x14ac:dyDescent="0.25">
      <c r="A514">
        <v>9</v>
      </c>
      <c r="B514">
        <v>163</v>
      </c>
      <c r="C514" t="str">
        <f t="shared" ref="C514:C577" si="52">"00"</f>
        <v>00</v>
      </c>
      <c r="D514">
        <v>2159</v>
      </c>
      <c r="E514" t="str">
        <f t="shared" ref="E514:E577" si="53">"00"</f>
        <v>00</v>
      </c>
      <c r="F514" t="str">
        <f>"106"</f>
        <v>106</v>
      </c>
      <c r="G514">
        <v>9</v>
      </c>
      <c r="H514" t="str">
        <f t="shared" ref="H514:H577" si="54">"00"</f>
        <v>00</v>
      </c>
      <c r="I514" t="str">
        <f t="shared" ref="I514:I577" si="55">"0"</f>
        <v>0</v>
      </c>
      <c r="J514" t="str">
        <f t="shared" ref="J514:J577" si="56">"00"</f>
        <v>00</v>
      </c>
      <c r="K514">
        <v>20190308</v>
      </c>
      <c r="L514" t="str">
        <f>"027654"</f>
        <v>027654</v>
      </c>
      <c r="M514" t="str">
        <f>"81173"</f>
        <v>81173</v>
      </c>
      <c r="N514" t="s">
        <v>60</v>
      </c>
      <c r="O514">
        <v>69.89</v>
      </c>
      <c r="P514">
        <v>20190308</v>
      </c>
      <c r="Q514" t="s">
        <v>61</v>
      </c>
      <c r="R514" t="s">
        <v>220</v>
      </c>
      <c r="S514" t="s">
        <v>23</v>
      </c>
      <c r="T514" t="s">
        <v>62</v>
      </c>
    </row>
    <row r="515" spans="1:20" x14ac:dyDescent="0.25">
      <c r="A515">
        <v>9</v>
      </c>
      <c r="B515">
        <v>163</v>
      </c>
      <c r="C515" t="str">
        <f t="shared" si="52"/>
        <v>00</v>
      </c>
      <c r="D515">
        <v>2159</v>
      </c>
      <c r="E515" t="str">
        <f t="shared" si="53"/>
        <v>00</v>
      </c>
      <c r="F515" t="str">
        <f>"007"</f>
        <v>007</v>
      </c>
      <c r="G515">
        <v>9</v>
      </c>
      <c r="H515" t="str">
        <f t="shared" si="54"/>
        <v>00</v>
      </c>
      <c r="I515" t="str">
        <f t="shared" si="55"/>
        <v>0</v>
      </c>
      <c r="J515" t="str">
        <f t="shared" si="56"/>
        <v>00</v>
      </c>
      <c r="K515">
        <v>20190308</v>
      </c>
      <c r="L515" t="str">
        <f>"027655"</f>
        <v>027655</v>
      </c>
      <c r="M515" t="str">
        <f>"81174"</f>
        <v>81174</v>
      </c>
      <c r="N515" t="s">
        <v>63</v>
      </c>
      <c r="O515">
        <v>34.89</v>
      </c>
      <c r="P515">
        <v>20190308</v>
      </c>
      <c r="Q515" t="s">
        <v>64</v>
      </c>
      <c r="R515" t="s">
        <v>220</v>
      </c>
      <c r="S515" t="s">
        <v>23</v>
      </c>
      <c r="T515" t="s">
        <v>65</v>
      </c>
    </row>
    <row r="516" spans="1:20" x14ac:dyDescent="0.25">
      <c r="A516">
        <v>9</v>
      </c>
      <c r="B516">
        <v>163</v>
      </c>
      <c r="C516" t="str">
        <f t="shared" si="52"/>
        <v>00</v>
      </c>
      <c r="D516">
        <v>2159</v>
      </c>
      <c r="E516" t="str">
        <f t="shared" si="53"/>
        <v>00</v>
      </c>
      <c r="F516" t="str">
        <f>"100"</f>
        <v>100</v>
      </c>
      <c r="G516">
        <v>9</v>
      </c>
      <c r="H516" t="str">
        <f t="shared" si="54"/>
        <v>00</v>
      </c>
      <c r="I516" t="str">
        <f t="shared" si="55"/>
        <v>0</v>
      </c>
      <c r="J516" t="str">
        <f t="shared" si="56"/>
        <v>00</v>
      </c>
      <c r="K516">
        <v>20190308</v>
      </c>
      <c r="L516" t="str">
        <f>"027656"</f>
        <v>027656</v>
      </c>
      <c r="M516" t="str">
        <f>"81177"</f>
        <v>81177</v>
      </c>
      <c r="N516" t="s">
        <v>66</v>
      </c>
      <c r="O516">
        <v>32</v>
      </c>
      <c r="P516">
        <v>20190308</v>
      </c>
      <c r="Q516" t="s">
        <v>67</v>
      </c>
      <c r="R516" t="s">
        <v>220</v>
      </c>
      <c r="S516" t="s">
        <v>23</v>
      </c>
      <c r="T516" t="s">
        <v>68</v>
      </c>
    </row>
    <row r="517" spans="1:20" x14ac:dyDescent="0.25">
      <c r="A517">
        <v>9</v>
      </c>
      <c r="B517">
        <v>163</v>
      </c>
      <c r="C517" t="str">
        <f t="shared" si="52"/>
        <v>00</v>
      </c>
      <c r="D517">
        <v>2153</v>
      </c>
      <c r="E517" t="str">
        <f t="shared" si="53"/>
        <v>00</v>
      </c>
      <c r="F517" t="str">
        <f>"141"</f>
        <v>141</v>
      </c>
      <c r="G517">
        <v>9</v>
      </c>
      <c r="H517" t="str">
        <f t="shared" si="54"/>
        <v>00</v>
      </c>
      <c r="I517" t="str">
        <f t="shared" si="55"/>
        <v>0</v>
      </c>
      <c r="J517" t="str">
        <f t="shared" si="56"/>
        <v>00</v>
      </c>
      <c r="K517">
        <v>20190315</v>
      </c>
      <c r="L517" t="str">
        <f>"027657"</f>
        <v>027657</v>
      </c>
      <c r="M517" t="str">
        <f>"00068"</f>
        <v>00068</v>
      </c>
      <c r="N517" t="s">
        <v>20</v>
      </c>
      <c r="O517" s="1">
        <v>5200.84</v>
      </c>
      <c r="P517">
        <v>20190315</v>
      </c>
      <c r="Q517" t="s">
        <v>21</v>
      </c>
      <c r="R517" t="s">
        <v>218</v>
      </c>
      <c r="S517" t="s">
        <v>23</v>
      </c>
      <c r="T517" t="s">
        <v>24</v>
      </c>
    </row>
    <row r="518" spans="1:20" x14ac:dyDescent="0.25">
      <c r="A518">
        <v>9</v>
      </c>
      <c r="B518">
        <v>163</v>
      </c>
      <c r="C518" t="str">
        <f t="shared" si="52"/>
        <v>00</v>
      </c>
      <c r="D518">
        <v>2153</v>
      </c>
      <c r="E518" t="str">
        <f t="shared" si="53"/>
        <v>00</v>
      </c>
      <c r="F518" t="str">
        <f>"142"</f>
        <v>142</v>
      </c>
      <c r="G518">
        <v>9</v>
      </c>
      <c r="H518" t="str">
        <f t="shared" si="54"/>
        <v>00</v>
      </c>
      <c r="I518" t="str">
        <f t="shared" si="55"/>
        <v>0</v>
      </c>
      <c r="J518" t="str">
        <f t="shared" si="56"/>
        <v>00</v>
      </c>
      <c r="K518">
        <v>20190315</v>
      </c>
      <c r="L518" t="str">
        <f>"027657"</f>
        <v>027657</v>
      </c>
      <c r="M518" t="str">
        <f>"00068"</f>
        <v>00068</v>
      </c>
      <c r="N518" t="s">
        <v>20</v>
      </c>
      <c r="O518" s="1">
        <v>9422.1</v>
      </c>
      <c r="P518">
        <v>20190315</v>
      </c>
      <c r="Q518" t="s">
        <v>25</v>
      </c>
      <c r="R518" t="s">
        <v>219</v>
      </c>
      <c r="S518" t="s">
        <v>23</v>
      </c>
      <c r="T518" t="s">
        <v>27</v>
      </c>
    </row>
    <row r="519" spans="1:20" x14ac:dyDescent="0.25">
      <c r="A519">
        <v>9</v>
      </c>
      <c r="B519">
        <v>163</v>
      </c>
      <c r="C519" t="str">
        <f t="shared" si="52"/>
        <v>00</v>
      </c>
      <c r="D519">
        <v>2159</v>
      </c>
      <c r="E519" t="str">
        <f t="shared" si="53"/>
        <v>00</v>
      </c>
      <c r="F519" t="str">
        <f>"143"</f>
        <v>143</v>
      </c>
      <c r="G519">
        <v>9</v>
      </c>
      <c r="H519" t="str">
        <f t="shared" si="54"/>
        <v>00</v>
      </c>
      <c r="I519" t="str">
        <f t="shared" si="55"/>
        <v>0</v>
      </c>
      <c r="J519" t="str">
        <f t="shared" si="56"/>
        <v>00</v>
      </c>
      <c r="K519">
        <v>20190315</v>
      </c>
      <c r="L519" t="str">
        <f>"027658"</f>
        <v>027658</v>
      </c>
      <c r="M519" t="str">
        <f>"00069"</f>
        <v>00069</v>
      </c>
      <c r="N519" t="s">
        <v>72</v>
      </c>
      <c r="O519">
        <v>285.94</v>
      </c>
      <c r="P519">
        <v>20190315</v>
      </c>
      <c r="Q519" t="s">
        <v>73</v>
      </c>
      <c r="R519" t="s">
        <v>220</v>
      </c>
      <c r="S519" t="s">
        <v>23</v>
      </c>
      <c r="T519" t="s">
        <v>74</v>
      </c>
    </row>
    <row r="520" spans="1:20" x14ac:dyDescent="0.25">
      <c r="A520">
        <v>9</v>
      </c>
      <c r="B520">
        <v>163</v>
      </c>
      <c r="C520" t="str">
        <f t="shared" si="52"/>
        <v>00</v>
      </c>
      <c r="D520">
        <v>2159</v>
      </c>
      <c r="E520" t="str">
        <f t="shared" si="53"/>
        <v>00</v>
      </c>
      <c r="F520" t="str">
        <f>"146"</f>
        <v>146</v>
      </c>
      <c r="G520">
        <v>9</v>
      </c>
      <c r="H520" t="str">
        <f t="shared" si="54"/>
        <v>00</v>
      </c>
      <c r="I520" t="str">
        <f t="shared" si="55"/>
        <v>0</v>
      </c>
      <c r="J520" t="str">
        <f t="shared" si="56"/>
        <v>00</v>
      </c>
      <c r="K520">
        <v>20190315</v>
      </c>
      <c r="L520" t="str">
        <f>"027659"</f>
        <v>027659</v>
      </c>
      <c r="M520" t="str">
        <f>"00086"</f>
        <v>00086</v>
      </c>
      <c r="N520" t="s">
        <v>75</v>
      </c>
      <c r="O520">
        <v>263.23</v>
      </c>
      <c r="P520">
        <v>20190315</v>
      </c>
      <c r="Q520" t="s">
        <v>76</v>
      </c>
      <c r="R520" t="s">
        <v>220</v>
      </c>
      <c r="S520" t="s">
        <v>23</v>
      </c>
      <c r="T520" t="s">
        <v>75</v>
      </c>
    </row>
    <row r="521" spans="1:20" x14ac:dyDescent="0.25">
      <c r="A521">
        <v>9</v>
      </c>
      <c r="B521">
        <v>163</v>
      </c>
      <c r="C521" t="str">
        <f t="shared" si="52"/>
        <v>00</v>
      </c>
      <c r="D521">
        <v>2159</v>
      </c>
      <c r="E521" t="str">
        <f t="shared" si="53"/>
        <v>00</v>
      </c>
      <c r="F521" t="str">
        <f>"147"</f>
        <v>147</v>
      </c>
      <c r="G521">
        <v>9</v>
      </c>
      <c r="H521" t="str">
        <f t="shared" si="54"/>
        <v>00</v>
      </c>
      <c r="I521" t="str">
        <f t="shared" si="55"/>
        <v>0</v>
      </c>
      <c r="J521" t="str">
        <f t="shared" si="56"/>
        <v>00</v>
      </c>
      <c r="K521">
        <v>20190315</v>
      </c>
      <c r="L521" t="str">
        <f>"027660"</f>
        <v>027660</v>
      </c>
      <c r="M521" t="str">
        <f>"00248"</f>
        <v>00248</v>
      </c>
      <c r="N521" t="s">
        <v>77</v>
      </c>
      <c r="O521" s="1">
        <v>1952.88</v>
      </c>
      <c r="P521">
        <v>20190315</v>
      </c>
      <c r="Q521" t="s">
        <v>78</v>
      </c>
      <c r="R521" t="s">
        <v>220</v>
      </c>
      <c r="S521" t="s">
        <v>23</v>
      </c>
      <c r="T521" t="s">
        <v>79</v>
      </c>
    </row>
    <row r="522" spans="1:20" x14ac:dyDescent="0.25">
      <c r="A522">
        <v>9</v>
      </c>
      <c r="B522">
        <v>163</v>
      </c>
      <c r="C522" t="str">
        <f t="shared" si="52"/>
        <v>00</v>
      </c>
      <c r="D522">
        <v>2159</v>
      </c>
      <c r="E522" t="str">
        <f t="shared" si="53"/>
        <v>00</v>
      </c>
      <c r="F522" t="str">
        <f>"148"</f>
        <v>148</v>
      </c>
      <c r="G522">
        <v>9</v>
      </c>
      <c r="H522" t="str">
        <f t="shared" si="54"/>
        <v>00</v>
      </c>
      <c r="I522" t="str">
        <f t="shared" si="55"/>
        <v>0</v>
      </c>
      <c r="J522" t="str">
        <f t="shared" si="56"/>
        <v>00</v>
      </c>
      <c r="K522">
        <v>20190315</v>
      </c>
      <c r="L522" t="str">
        <f>"027661"</f>
        <v>027661</v>
      </c>
      <c r="M522" t="str">
        <f>"00528"</f>
        <v>00528</v>
      </c>
      <c r="N522" t="s">
        <v>159</v>
      </c>
      <c r="O522">
        <v>765</v>
      </c>
      <c r="P522">
        <v>20190315</v>
      </c>
      <c r="Q522" t="s">
        <v>160</v>
      </c>
      <c r="R522" t="s">
        <v>220</v>
      </c>
      <c r="S522" t="s">
        <v>23</v>
      </c>
      <c r="T522" t="s">
        <v>162</v>
      </c>
    </row>
    <row r="523" spans="1:20" x14ac:dyDescent="0.25">
      <c r="A523">
        <v>9</v>
      </c>
      <c r="B523">
        <v>163</v>
      </c>
      <c r="C523" t="str">
        <f t="shared" si="52"/>
        <v>00</v>
      </c>
      <c r="D523">
        <v>2153</v>
      </c>
      <c r="E523" t="str">
        <f t="shared" si="53"/>
        <v>00</v>
      </c>
      <c r="F523" t="str">
        <f>"022"</f>
        <v>022</v>
      </c>
      <c r="G523">
        <v>9</v>
      </c>
      <c r="H523" t="str">
        <f t="shared" si="54"/>
        <v>00</v>
      </c>
      <c r="I523" t="str">
        <f t="shared" si="55"/>
        <v>0</v>
      </c>
      <c r="J523" t="str">
        <f t="shared" si="56"/>
        <v>00</v>
      </c>
      <c r="K523">
        <v>20190315</v>
      </c>
      <c r="L523" t="str">
        <f>"027662"</f>
        <v>027662</v>
      </c>
      <c r="M523" t="str">
        <f>"04831"</f>
        <v>04831</v>
      </c>
      <c r="N523" t="s">
        <v>28</v>
      </c>
      <c r="O523" s="1">
        <v>1661.81</v>
      </c>
      <c r="P523">
        <v>20190315</v>
      </c>
      <c r="Q523" t="s">
        <v>29</v>
      </c>
      <c r="R523" t="s">
        <v>219</v>
      </c>
      <c r="S523" t="s">
        <v>23</v>
      </c>
      <c r="T523" t="s">
        <v>30</v>
      </c>
    </row>
    <row r="524" spans="1:20" x14ac:dyDescent="0.25">
      <c r="A524">
        <v>9</v>
      </c>
      <c r="B524">
        <v>163</v>
      </c>
      <c r="C524" t="str">
        <f t="shared" si="52"/>
        <v>00</v>
      </c>
      <c r="D524">
        <v>2159</v>
      </c>
      <c r="E524" t="str">
        <f t="shared" si="53"/>
        <v>00</v>
      </c>
      <c r="F524" t="str">
        <f>"018"</f>
        <v>018</v>
      </c>
      <c r="G524">
        <v>9</v>
      </c>
      <c r="H524" t="str">
        <f t="shared" si="54"/>
        <v>00</v>
      </c>
      <c r="I524" t="str">
        <f t="shared" si="55"/>
        <v>0</v>
      </c>
      <c r="J524" t="str">
        <f t="shared" si="56"/>
        <v>00</v>
      </c>
      <c r="K524">
        <v>20190315</v>
      </c>
      <c r="L524" t="str">
        <f>"027663"</f>
        <v>027663</v>
      </c>
      <c r="M524" t="str">
        <f>"04905"</f>
        <v>04905</v>
      </c>
      <c r="N524" t="s">
        <v>31</v>
      </c>
      <c r="O524" s="1">
        <v>3076.18</v>
      </c>
      <c r="P524">
        <v>20190315</v>
      </c>
      <c r="Q524" t="s">
        <v>32</v>
      </c>
      <c r="R524" t="s">
        <v>220</v>
      </c>
      <c r="S524" t="s">
        <v>23</v>
      </c>
      <c r="T524" t="s">
        <v>34</v>
      </c>
    </row>
    <row r="525" spans="1:20" x14ac:dyDescent="0.25">
      <c r="A525">
        <v>9</v>
      </c>
      <c r="B525">
        <v>163</v>
      </c>
      <c r="C525" t="str">
        <f t="shared" si="52"/>
        <v>00</v>
      </c>
      <c r="D525">
        <v>2153</v>
      </c>
      <c r="E525" t="str">
        <f t="shared" si="53"/>
        <v>00</v>
      </c>
      <c r="F525" t="str">
        <f>"053"</f>
        <v>053</v>
      </c>
      <c r="G525">
        <v>9</v>
      </c>
      <c r="H525" t="str">
        <f t="shared" si="54"/>
        <v>00</v>
      </c>
      <c r="I525" t="str">
        <f t="shared" si="55"/>
        <v>0</v>
      </c>
      <c r="J525" t="str">
        <f t="shared" si="56"/>
        <v>00</v>
      </c>
      <c r="K525">
        <v>20190315</v>
      </c>
      <c r="L525" t="str">
        <f>"027664"</f>
        <v>027664</v>
      </c>
      <c r="M525" t="str">
        <f>"04987"</f>
        <v>04987</v>
      </c>
      <c r="N525" t="s">
        <v>35</v>
      </c>
      <c r="O525">
        <v>874.52</v>
      </c>
      <c r="P525">
        <v>20190315</v>
      </c>
      <c r="Q525" t="s">
        <v>36</v>
      </c>
      <c r="R525" t="s">
        <v>219</v>
      </c>
      <c r="S525" t="s">
        <v>23</v>
      </c>
      <c r="T525" t="s">
        <v>37</v>
      </c>
    </row>
    <row r="526" spans="1:20" x14ac:dyDescent="0.25">
      <c r="A526">
        <v>9</v>
      </c>
      <c r="B526">
        <v>163</v>
      </c>
      <c r="C526" t="str">
        <f t="shared" si="52"/>
        <v>00</v>
      </c>
      <c r="D526">
        <v>2159</v>
      </c>
      <c r="E526" t="str">
        <f t="shared" si="53"/>
        <v>00</v>
      </c>
      <c r="F526" t="str">
        <f>"009"</f>
        <v>009</v>
      </c>
      <c r="G526">
        <v>9</v>
      </c>
      <c r="H526" t="str">
        <f t="shared" si="54"/>
        <v>00</v>
      </c>
      <c r="I526" t="str">
        <f t="shared" si="55"/>
        <v>0</v>
      </c>
      <c r="J526" t="str">
        <f t="shared" si="56"/>
        <v>00</v>
      </c>
      <c r="K526">
        <v>20190315</v>
      </c>
      <c r="L526" t="str">
        <f>"027665"</f>
        <v>027665</v>
      </c>
      <c r="M526" t="str">
        <f>"07710"</f>
        <v>07710</v>
      </c>
      <c r="N526" t="s">
        <v>38</v>
      </c>
      <c r="O526">
        <v>665.97</v>
      </c>
      <c r="P526">
        <v>20190315</v>
      </c>
      <c r="Q526" t="s">
        <v>39</v>
      </c>
      <c r="R526" t="s">
        <v>220</v>
      </c>
      <c r="S526" t="s">
        <v>23</v>
      </c>
      <c r="T526" t="s">
        <v>40</v>
      </c>
    </row>
    <row r="527" spans="1:20" x14ac:dyDescent="0.25">
      <c r="A527">
        <v>9</v>
      </c>
      <c r="B527">
        <v>163</v>
      </c>
      <c r="C527" t="str">
        <f t="shared" si="52"/>
        <v>00</v>
      </c>
      <c r="D527">
        <v>2159</v>
      </c>
      <c r="E527" t="str">
        <f t="shared" si="53"/>
        <v>00</v>
      </c>
      <c r="F527" t="str">
        <f>"068"</f>
        <v>068</v>
      </c>
      <c r="G527">
        <v>9</v>
      </c>
      <c r="H527" t="str">
        <f t="shared" si="54"/>
        <v>00</v>
      </c>
      <c r="I527" t="str">
        <f t="shared" si="55"/>
        <v>0</v>
      </c>
      <c r="J527" t="str">
        <f t="shared" si="56"/>
        <v>00</v>
      </c>
      <c r="K527">
        <v>20190315</v>
      </c>
      <c r="L527" t="str">
        <f>"027666"</f>
        <v>027666</v>
      </c>
      <c r="M527" t="str">
        <f>"10095"</f>
        <v>10095</v>
      </c>
      <c r="N527" t="s">
        <v>83</v>
      </c>
      <c r="O527">
        <v>290.97000000000003</v>
      </c>
      <c r="P527">
        <v>20190315</v>
      </c>
      <c r="Q527" t="s">
        <v>84</v>
      </c>
      <c r="R527" t="s">
        <v>220</v>
      </c>
      <c r="S527" t="s">
        <v>23</v>
      </c>
      <c r="T527" t="s">
        <v>85</v>
      </c>
    </row>
    <row r="528" spans="1:20" x14ac:dyDescent="0.25">
      <c r="A528">
        <v>9</v>
      </c>
      <c r="B528">
        <v>163</v>
      </c>
      <c r="C528" t="str">
        <f t="shared" si="52"/>
        <v>00</v>
      </c>
      <c r="D528">
        <v>2153</v>
      </c>
      <c r="E528" t="str">
        <f t="shared" si="53"/>
        <v>00</v>
      </c>
      <c r="F528" t="str">
        <f>"011"</f>
        <v>011</v>
      </c>
      <c r="G528">
        <v>9</v>
      </c>
      <c r="H528" t="str">
        <f t="shared" si="54"/>
        <v>00</v>
      </c>
      <c r="I528" t="str">
        <f t="shared" si="55"/>
        <v>0</v>
      </c>
      <c r="J528" t="str">
        <f t="shared" si="56"/>
        <v>00</v>
      </c>
      <c r="K528">
        <v>20190315</v>
      </c>
      <c r="L528" t="str">
        <f>"027667"</f>
        <v>027667</v>
      </c>
      <c r="M528" t="str">
        <f>"11211"</f>
        <v>11211</v>
      </c>
      <c r="N528" t="s">
        <v>41</v>
      </c>
      <c r="O528" s="1">
        <v>2589.5</v>
      </c>
      <c r="P528">
        <v>20190315</v>
      </c>
      <c r="Q528" t="s">
        <v>42</v>
      </c>
      <c r="R528" t="s">
        <v>219</v>
      </c>
      <c r="S528" t="s">
        <v>23</v>
      </c>
      <c r="T528" t="s">
        <v>43</v>
      </c>
    </row>
    <row r="529" spans="1:20" x14ac:dyDescent="0.25">
      <c r="A529">
        <v>9</v>
      </c>
      <c r="B529">
        <v>163</v>
      </c>
      <c r="C529" t="str">
        <f t="shared" si="52"/>
        <v>00</v>
      </c>
      <c r="D529">
        <v>2159</v>
      </c>
      <c r="E529" t="str">
        <f t="shared" si="53"/>
        <v>00</v>
      </c>
      <c r="F529" t="str">
        <f>"104"</f>
        <v>104</v>
      </c>
      <c r="G529">
        <v>9</v>
      </c>
      <c r="H529" t="str">
        <f t="shared" si="54"/>
        <v>00</v>
      </c>
      <c r="I529" t="str">
        <f t="shared" si="55"/>
        <v>0</v>
      </c>
      <c r="J529" t="str">
        <f t="shared" si="56"/>
        <v>00</v>
      </c>
      <c r="K529">
        <v>20190315</v>
      </c>
      <c r="L529" t="str">
        <f>"027668"</f>
        <v>027668</v>
      </c>
      <c r="M529" t="str">
        <f>"14177"</f>
        <v>14177</v>
      </c>
      <c r="N529" t="s">
        <v>163</v>
      </c>
      <c r="O529">
        <v>69.5</v>
      </c>
      <c r="P529">
        <v>20190315</v>
      </c>
      <c r="Q529" t="s">
        <v>45</v>
      </c>
      <c r="R529" t="s">
        <v>220</v>
      </c>
      <c r="S529" t="s">
        <v>23</v>
      </c>
      <c r="T529" t="s">
        <v>46</v>
      </c>
    </row>
    <row r="530" spans="1:20" x14ac:dyDescent="0.25">
      <c r="A530">
        <v>9</v>
      </c>
      <c r="B530">
        <v>163</v>
      </c>
      <c r="C530" t="str">
        <f t="shared" si="52"/>
        <v>00</v>
      </c>
      <c r="D530">
        <v>2159</v>
      </c>
      <c r="E530" t="str">
        <f t="shared" si="53"/>
        <v>00</v>
      </c>
      <c r="F530" t="str">
        <f>"014"</f>
        <v>014</v>
      </c>
      <c r="G530">
        <v>9</v>
      </c>
      <c r="H530" t="str">
        <f t="shared" si="54"/>
        <v>00</v>
      </c>
      <c r="I530" t="str">
        <f t="shared" si="55"/>
        <v>0</v>
      </c>
      <c r="J530" t="str">
        <f t="shared" si="56"/>
        <v>00</v>
      </c>
      <c r="K530">
        <v>20190315</v>
      </c>
      <c r="L530" t="str">
        <f>"027669"</f>
        <v>027669</v>
      </c>
      <c r="M530" t="str">
        <f>"20682"</f>
        <v>20682</v>
      </c>
      <c r="N530" t="s">
        <v>86</v>
      </c>
      <c r="O530" s="1">
        <v>3911.88</v>
      </c>
      <c r="P530">
        <v>20190315</v>
      </c>
      <c r="Q530" t="s">
        <v>87</v>
      </c>
      <c r="R530" t="s">
        <v>220</v>
      </c>
      <c r="S530" t="s">
        <v>23</v>
      </c>
      <c r="T530" t="s">
        <v>88</v>
      </c>
    </row>
    <row r="531" spans="1:20" x14ac:dyDescent="0.25">
      <c r="A531">
        <v>9</v>
      </c>
      <c r="B531">
        <v>163</v>
      </c>
      <c r="C531" t="str">
        <f t="shared" si="52"/>
        <v>00</v>
      </c>
      <c r="D531">
        <v>2153</v>
      </c>
      <c r="E531" t="str">
        <f t="shared" si="53"/>
        <v>00</v>
      </c>
      <c r="F531" t="str">
        <f>"024"</f>
        <v>024</v>
      </c>
      <c r="G531">
        <v>9</v>
      </c>
      <c r="H531" t="str">
        <f t="shared" si="54"/>
        <v>00</v>
      </c>
      <c r="I531" t="str">
        <f t="shared" si="55"/>
        <v>0</v>
      </c>
      <c r="J531" t="str">
        <f t="shared" si="56"/>
        <v>00</v>
      </c>
      <c r="K531">
        <v>20190315</v>
      </c>
      <c r="L531" t="str">
        <f>"027670"</f>
        <v>027670</v>
      </c>
      <c r="M531" t="str">
        <f>"21504"</f>
        <v>21504</v>
      </c>
      <c r="N531" t="s">
        <v>89</v>
      </c>
      <c r="O531">
        <v>36.6</v>
      </c>
      <c r="P531">
        <v>20190315</v>
      </c>
      <c r="Q531" t="s">
        <v>90</v>
      </c>
      <c r="R531" t="s">
        <v>219</v>
      </c>
      <c r="S531" t="s">
        <v>23</v>
      </c>
      <c r="T531" t="s">
        <v>91</v>
      </c>
    </row>
    <row r="532" spans="1:20" x14ac:dyDescent="0.25">
      <c r="A532">
        <v>9</v>
      </c>
      <c r="B532">
        <v>163</v>
      </c>
      <c r="C532" t="str">
        <f t="shared" si="52"/>
        <v>00</v>
      </c>
      <c r="D532">
        <v>2153</v>
      </c>
      <c r="E532" t="str">
        <f t="shared" si="53"/>
        <v>00</v>
      </c>
      <c r="F532" t="str">
        <f>"026"</f>
        <v>026</v>
      </c>
      <c r="G532">
        <v>9</v>
      </c>
      <c r="H532" t="str">
        <f t="shared" si="54"/>
        <v>00</v>
      </c>
      <c r="I532" t="str">
        <f t="shared" si="55"/>
        <v>0</v>
      </c>
      <c r="J532" t="str">
        <f t="shared" si="56"/>
        <v>00</v>
      </c>
      <c r="K532">
        <v>20190315</v>
      </c>
      <c r="L532" t="str">
        <f>"027671"</f>
        <v>027671</v>
      </c>
      <c r="M532" t="str">
        <f>"21506"</f>
        <v>21506</v>
      </c>
      <c r="N532" t="s">
        <v>92</v>
      </c>
      <c r="O532">
        <v>102.75</v>
      </c>
      <c r="P532">
        <v>20190315</v>
      </c>
      <c r="Q532" t="s">
        <v>93</v>
      </c>
      <c r="R532" t="s">
        <v>219</v>
      </c>
      <c r="S532" t="s">
        <v>23</v>
      </c>
      <c r="T532" t="s">
        <v>94</v>
      </c>
    </row>
    <row r="533" spans="1:20" x14ac:dyDescent="0.25">
      <c r="A533">
        <v>9</v>
      </c>
      <c r="B533">
        <v>163</v>
      </c>
      <c r="C533" t="str">
        <f t="shared" si="52"/>
        <v>00</v>
      </c>
      <c r="D533">
        <v>2159</v>
      </c>
      <c r="E533" t="str">
        <f t="shared" si="53"/>
        <v>00</v>
      </c>
      <c r="F533" t="str">
        <f>"117"</f>
        <v>117</v>
      </c>
      <c r="G533">
        <v>9</v>
      </c>
      <c r="H533" t="str">
        <f t="shared" si="54"/>
        <v>00</v>
      </c>
      <c r="I533" t="str">
        <f t="shared" si="55"/>
        <v>0</v>
      </c>
      <c r="J533" t="str">
        <f t="shared" si="56"/>
        <v>00</v>
      </c>
      <c r="K533">
        <v>20190315</v>
      </c>
      <c r="L533" t="str">
        <f>"027672"</f>
        <v>027672</v>
      </c>
      <c r="M533" t="str">
        <f>"21826"</f>
        <v>21826</v>
      </c>
      <c r="N533" t="s">
        <v>95</v>
      </c>
      <c r="O533">
        <v>709.78</v>
      </c>
      <c r="P533">
        <v>20190315</v>
      </c>
      <c r="Q533" t="s">
        <v>96</v>
      </c>
      <c r="R533" t="s">
        <v>220</v>
      </c>
      <c r="S533" t="s">
        <v>23</v>
      </c>
      <c r="T533" t="s">
        <v>97</v>
      </c>
    </row>
    <row r="534" spans="1:20" x14ac:dyDescent="0.25">
      <c r="A534">
        <v>9</v>
      </c>
      <c r="B534">
        <v>163</v>
      </c>
      <c r="C534" t="str">
        <f t="shared" si="52"/>
        <v>00</v>
      </c>
      <c r="D534">
        <v>2159</v>
      </c>
      <c r="E534" t="str">
        <f t="shared" si="53"/>
        <v>00</v>
      </c>
      <c r="F534" t="str">
        <f>"108"</f>
        <v>108</v>
      </c>
      <c r="G534">
        <v>9</v>
      </c>
      <c r="H534" t="str">
        <f t="shared" si="54"/>
        <v>00</v>
      </c>
      <c r="I534" t="str">
        <f t="shared" si="55"/>
        <v>0</v>
      </c>
      <c r="J534" t="str">
        <f t="shared" si="56"/>
        <v>00</v>
      </c>
      <c r="K534">
        <v>20190315</v>
      </c>
      <c r="L534" t="str">
        <f>"027673"</f>
        <v>027673</v>
      </c>
      <c r="M534" t="str">
        <f>"29572"</f>
        <v>29572</v>
      </c>
      <c r="N534" t="s">
        <v>165</v>
      </c>
      <c r="O534">
        <v>21.87</v>
      </c>
      <c r="P534">
        <v>20190315</v>
      </c>
      <c r="Q534" t="s">
        <v>166</v>
      </c>
      <c r="R534" t="s">
        <v>220</v>
      </c>
      <c r="S534" t="s">
        <v>23</v>
      </c>
      <c r="T534" t="s">
        <v>167</v>
      </c>
    </row>
    <row r="535" spans="1:20" x14ac:dyDescent="0.25">
      <c r="A535">
        <v>9</v>
      </c>
      <c r="B535">
        <v>163</v>
      </c>
      <c r="C535" t="str">
        <f t="shared" si="52"/>
        <v>00</v>
      </c>
      <c r="D535">
        <v>2159</v>
      </c>
      <c r="E535" t="str">
        <f t="shared" si="53"/>
        <v>00</v>
      </c>
      <c r="F535" t="str">
        <f>"140"</f>
        <v>140</v>
      </c>
      <c r="G535">
        <v>9</v>
      </c>
      <c r="H535" t="str">
        <f t="shared" si="54"/>
        <v>00</v>
      </c>
      <c r="I535" t="str">
        <f t="shared" si="55"/>
        <v>0</v>
      </c>
      <c r="J535" t="str">
        <f t="shared" si="56"/>
        <v>00</v>
      </c>
      <c r="K535">
        <v>20190315</v>
      </c>
      <c r="L535" t="str">
        <f>"027674"</f>
        <v>027674</v>
      </c>
      <c r="M535" t="str">
        <f>"47701"</f>
        <v>47701</v>
      </c>
      <c r="N535" t="s">
        <v>98</v>
      </c>
      <c r="O535">
        <v>416.7</v>
      </c>
      <c r="P535">
        <v>20190315</v>
      </c>
      <c r="Q535" t="s">
        <v>99</v>
      </c>
      <c r="R535" t="s">
        <v>220</v>
      </c>
      <c r="S535" t="s">
        <v>23</v>
      </c>
      <c r="T535" t="s">
        <v>100</v>
      </c>
    </row>
    <row r="536" spans="1:20" x14ac:dyDescent="0.25">
      <c r="A536">
        <v>9</v>
      </c>
      <c r="B536">
        <v>163</v>
      </c>
      <c r="C536" t="str">
        <f t="shared" si="52"/>
        <v>00</v>
      </c>
      <c r="D536">
        <v>2153</v>
      </c>
      <c r="E536" t="str">
        <f t="shared" si="53"/>
        <v>00</v>
      </c>
      <c r="F536" t="str">
        <f>"110"</f>
        <v>110</v>
      </c>
      <c r="G536">
        <v>9</v>
      </c>
      <c r="H536" t="str">
        <f t="shared" si="54"/>
        <v>00</v>
      </c>
      <c r="I536" t="str">
        <f t="shared" si="55"/>
        <v>0</v>
      </c>
      <c r="J536" t="str">
        <f t="shared" si="56"/>
        <v>00</v>
      </c>
      <c r="K536">
        <v>20190315</v>
      </c>
      <c r="L536" t="str">
        <f>"027675"</f>
        <v>027675</v>
      </c>
      <c r="M536" t="str">
        <f>"48947"</f>
        <v>48947</v>
      </c>
      <c r="N536" t="s">
        <v>47</v>
      </c>
      <c r="O536" s="1">
        <v>1964.81</v>
      </c>
      <c r="P536">
        <v>20190315</v>
      </c>
      <c r="Q536" t="s">
        <v>48</v>
      </c>
      <c r="R536" t="s">
        <v>218</v>
      </c>
      <c r="S536" t="s">
        <v>23</v>
      </c>
      <c r="T536" t="s">
        <v>49</v>
      </c>
    </row>
    <row r="537" spans="1:20" x14ac:dyDescent="0.25">
      <c r="A537">
        <v>9</v>
      </c>
      <c r="B537">
        <v>163</v>
      </c>
      <c r="C537" t="str">
        <f t="shared" si="52"/>
        <v>00</v>
      </c>
      <c r="D537">
        <v>2159</v>
      </c>
      <c r="E537" t="str">
        <f t="shared" si="53"/>
        <v>00</v>
      </c>
      <c r="F537" t="str">
        <f>"032"</f>
        <v>032</v>
      </c>
      <c r="G537">
        <v>9</v>
      </c>
      <c r="H537" t="str">
        <f t="shared" si="54"/>
        <v>00</v>
      </c>
      <c r="I537" t="str">
        <f t="shared" si="55"/>
        <v>0</v>
      </c>
      <c r="J537" t="str">
        <f t="shared" si="56"/>
        <v>00</v>
      </c>
      <c r="K537">
        <v>20190315</v>
      </c>
      <c r="L537" t="str">
        <f t="shared" ref="L537:L555" si="57">"027676"</f>
        <v>027676</v>
      </c>
      <c r="M537" t="str">
        <f t="shared" ref="M537:M555" si="58">"54196"</f>
        <v>54196</v>
      </c>
      <c r="N537" t="s">
        <v>50</v>
      </c>
      <c r="O537">
        <v>50</v>
      </c>
      <c r="P537">
        <v>20190315</v>
      </c>
      <c r="Q537" t="s">
        <v>101</v>
      </c>
      <c r="R537" t="s">
        <v>221</v>
      </c>
      <c r="S537" t="s">
        <v>23</v>
      </c>
      <c r="T537" t="s">
        <v>102</v>
      </c>
    </row>
    <row r="538" spans="1:20" x14ac:dyDescent="0.25">
      <c r="A538">
        <v>9</v>
      </c>
      <c r="B538">
        <v>163</v>
      </c>
      <c r="C538" t="str">
        <f t="shared" si="52"/>
        <v>00</v>
      </c>
      <c r="D538">
        <v>2159</v>
      </c>
      <c r="E538" t="str">
        <f t="shared" si="53"/>
        <v>00</v>
      </c>
      <c r="F538" t="str">
        <f>"033"</f>
        <v>033</v>
      </c>
      <c r="G538">
        <v>9</v>
      </c>
      <c r="H538" t="str">
        <f t="shared" si="54"/>
        <v>00</v>
      </c>
      <c r="I538" t="str">
        <f t="shared" si="55"/>
        <v>0</v>
      </c>
      <c r="J538" t="str">
        <f t="shared" si="56"/>
        <v>00</v>
      </c>
      <c r="K538">
        <v>20190315</v>
      </c>
      <c r="L538" t="str">
        <f t="shared" si="57"/>
        <v>027676</v>
      </c>
      <c r="M538" t="str">
        <f t="shared" si="58"/>
        <v>54196</v>
      </c>
      <c r="N538" t="s">
        <v>50</v>
      </c>
      <c r="O538">
        <v>283</v>
      </c>
      <c r="P538">
        <v>20190315</v>
      </c>
      <c r="Q538" t="s">
        <v>103</v>
      </c>
      <c r="R538" t="s">
        <v>221</v>
      </c>
      <c r="S538" t="s">
        <v>23</v>
      </c>
      <c r="T538" t="s">
        <v>104</v>
      </c>
    </row>
    <row r="539" spans="1:20" x14ac:dyDescent="0.25">
      <c r="A539">
        <v>9</v>
      </c>
      <c r="B539">
        <v>163</v>
      </c>
      <c r="C539" t="str">
        <f t="shared" si="52"/>
        <v>00</v>
      </c>
      <c r="D539">
        <v>2159</v>
      </c>
      <c r="E539" t="str">
        <f t="shared" si="53"/>
        <v>00</v>
      </c>
      <c r="F539" t="str">
        <f>"041"</f>
        <v>041</v>
      </c>
      <c r="G539">
        <v>9</v>
      </c>
      <c r="H539" t="str">
        <f t="shared" si="54"/>
        <v>00</v>
      </c>
      <c r="I539" t="str">
        <f t="shared" si="55"/>
        <v>0</v>
      </c>
      <c r="J539" t="str">
        <f t="shared" si="56"/>
        <v>00</v>
      </c>
      <c r="K539">
        <v>20190315</v>
      </c>
      <c r="L539" t="str">
        <f t="shared" si="57"/>
        <v>027676</v>
      </c>
      <c r="M539" t="str">
        <f t="shared" si="58"/>
        <v>54196</v>
      </c>
      <c r="N539" t="s">
        <v>50</v>
      </c>
      <c r="O539" s="1">
        <v>1340</v>
      </c>
      <c r="P539">
        <v>20190315</v>
      </c>
      <c r="Q539" t="s">
        <v>105</v>
      </c>
      <c r="R539" t="s">
        <v>221</v>
      </c>
      <c r="S539" t="s">
        <v>23</v>
      </c>
      <c r="T539" t="s">
        <v>106</v>
      </c>
    </row>
    <row r="540" spans="1:20" x14ac:dyDescent="0.25">
      <c r="A540">
        <v>9</v>
      </c>
      <c r="B540">
        <v>163</v>
      </c>
      <c r="C540" t="str">
        <f t="shared" si="52"/>
        <v>00</v>
      </c>
      <c r="D540">
        <v>2159</v>
      </c>
      <c r="E540" t="str">
        <f t="shared" si="53"/>
        <v>00</v>
      </c>
      <c r="F540" t="str">
        <f>"042"</f>
        <v>042</v>
      </c>
      <c r="G540">
        <v>9</v>
      </c>
      <c r="H540" t="str">
        <f t="shared" si="54"/>
        <v>00</v>
      </c>
      <c r="I540" t="str">
        <f t="shared" si="55"/>
        <v>0</v>
      </c>
      <c r="J540" t="str">
        <f t="shared" si="56"/>
        <v>00</v>
      </c>
      <c r="K540">
        <v>20190315</v>
      </c>
      <c r="L540" t="str">
        <f t="shared" si="57"/>
        <v>027676</v>
      </c>
      <c r="M540" t="str">
        <f t="shared" si="58"/>
        <v>54196</v>
      </c>
      <c r="N540" t="s">
        <v>50</v>
      </c>
      <c r="O540" s="1">
        <v>2075</v>
      </c>
      <c r="P540">
        <v>20190315</v>
      </c>
      <c r="Q540" t="s">
        <v>107</v>
      </c>
      <c r="R540" t="s">
        <v>221</v>
      </c>
      <c r="S540" t="s">
        <v>23</v>
      </c>
      <c r="T540" t="s">
        <v>108</v>
      </c>
    </row>
    <row r="541" spans="1:20" x14ac:dyDescent="0.25">
      <c r="A541">
        <v>9</v>
      </c>
      <c r="B541">
        <v>163</v>
      </c>
      <c r="C541" t="str">
        <f t="shared" si="52"/>
        <v>00</v>
      </c>
      <c r="D541">
        <v>2159</v>
      </c>
      <c r="E541" t="str">
        <f t="shared" si="53"/>
        <v>00</v>
      </c>
      <c r="F541" t="str">
        <f>"046"</f>
        <v>046</v>
      </c>
      <c r="G541">
        <v>9</v>
      </c>
      <c r="H541" t="str">
        <f t="shared" si="54"/>
        <v>00</v>
      </c>
      <c r="I541" t="str">
        <f t="shared" si="55"/>
        <v>0</v>
      </c>
      <c r="J541" t="str">
        <f t="shared" si="56"/>
        <v>00</v>
      </c>
      <c r="K541">
        <v>20190315</v>
      </c>
      <c r="L541" t="str">
        <f t="shared" si="57"/>
        <v>027676</v>
      </c>
      <c r="M541" t="str">
        <f t="shared" si="58"/>
        <v>54196</v>
      </c>
      <c r="N541" t="s">
        <v>50</v>
      </c>
      <c r="O541">
        <v>40</v>
      </c>
      <c r="P541">
        <v>20190315</v>
      </c>
      <c r="Q541" t="s">
        <v>109</v>
      </c>
      <c r="R541" t="s">
        <v>221</v>
      </c>
      <c r="S541" t="s">
        <v>23</v>
      </c>
      <c r="T541" t="s">
        <v>110</v>
      </c>
    </row>
    <row r="542" spans="1:20" x14ac:dyDescent="0.25">
      <c r="A542">
        <v>9</v>
      </c>
      <c r="B542">
        <v>163</v>
      </c>
      <c r="C542" t="str">
        <f t="shared" si="52"/>
        <v>00</v>
      </c>
      <c r="D542">
        <v>2159</v>
      </c>
      <c r="E542" t="str">
        <f t="shared" si="53"/>
        <v>00</v>
      </c>
      <c r="F542" t="str">
        <f>"058"</f>
        <v>058</v>
      </c>
      <c r="G542">
        <v>9</v>
      </c>
      <c r="H542" t="str">
        <f t="shared" si="54"/>
        <v>00</v>
      </c>
      <c r="I542" t="str">
        <f t="shared" si="55"/>
        <v>0</v>
      </c>
      <c r="J542" t="str">
        <f t="shared" si="56"/>
        <v>00</v>
      </c>
      <c r="K542">
        <v>20190315</v>
      </c>
      <c r="L542" t="str">
        <f t="shared" si="57"/>
        <v>027676</v>
      </c>
      <c r="M542" t="str">
        <f t="shared" si="58"/>
        <v>54196</v>
      </c>
      <c r="N542" t="s">
        <v>50</v>
      </c>
      <c r="O542" s="1">
        <v>1992</v>
      </c>
      <c r="P542">
        <v>20190315</v>
      </c>
      <c r="Q542" t="s">
        <v>111</v>
      </c>
      <c r="R542" t="s">
        <v>221</v>
      </c>
      <c r="S542" t="s">
        <v>23</v>
      </c>
      <c r="T542" t="s">
        <v>112</v>
      </c>
    </row>
    <row r="543" spans="1:20" x14ac:dyDescent="0.25">
      <c r="A543">
        <v>9</v>
      </c>
      <c r="B543">
        <v>163</v>
      </c>
      <c r="C543" t="str">
        <f t="shared" si="52"/>
        <v>00</v>
      </c>
      <c r="D543">
        <v>2159</v>
      </c>
      <c r="E543" t="str">
        <f t="shared" si="53"/>
        <v>00</v>
      </c>
      <c r="F543" t="str">
        <f>"059"</f>
        <v>059</v>
      </c>
      <c r="G543">
        <v>9</v>
      </c>
      <c r="H543" t="str">
        <f t="shared" si="54"/>
        <v>00</v>
      </c>
      <c r="I543" t="str">
        <f t="shared" si="55"/>
        <v>0</v>
      </c>
      <c r="J543" t="str">
        <f t="shared" si="56"/>
        <v>00</v>
      </c>
      <c r="K543">
        <v>20190315</v>
      </c>
      <c r="L543" t="str">
        <f t="shared" si="57"/>
        <v>027676</v>
      </c>
      <c r="M543" t="str">
        <f t="shared" si="58"/>
        <v>54196</v>
      </c>
      <c r="N543" t="s">
        <v>50</v>
      </c>
      <c r="O543">
        <v>672</v>
      </c>
      <c r="P543">
        <v>20190315</v>
      </c>
      <c r="Q543" t="s">
        <v>113</v>
      </c>
      <c r="R543" t="s">
        <v>221</v>
      </c>
      <c r="S543" t="s">
        <v>23</v>
      </c>
      <c r="T543" t="s">
        <v>114</v>
      </c>
    </row>
    <row r="544" spans="1:20" x14ac:dyDescent="0.25">
      <c r="A544">
        <v>9</v>
      </c>
      <c r="B544">
        <v>163</v>
      </c>
      <c r="C544" t="str">
        <f t="shared" si="52"/>
        <v>00</v>
      </c>
      <c r="D544">
        <v>2159</v>
      </c>
      <c r="E544" t="str">
        <f t="shared" si="53"/>
        <v>00</v>
      </c>
      <c r="F544" t="str">
        <f>"072"</f>
        <v>072</v>
      </c>
      <c r="G544">
        <v>9</v>
      </c>
      <c r="H544" t="str">
        <f t="shared" si="54"/>
        <v>00</v>
      </c>
      <c r="I544" t="str">
        <f t="shared" si="55"/>
        <v>0</v>
      </c>
      <c r="J544" t="str">
        <f t="shared" si="56"/>
        <v>00</v>
      </c>
      <c r="K544">
        <v>20190315</v>
      </c>
      <c r="L544" t="str">
        <f t="shared" si="57"/>
        <v>027676</v>
      </c>
      <c r="M544" t="str">
        <f t="shared" si="58"/>
        <v>54196</v>
      </c>
      <c r="N544" t="s">
        <v>50</v>
      </c>
      <c r="O544">
        <v>50</v>
      </c>
      <c r="P544">
        <v>20190315</v>
      </c>
      <c r="Q544" t="s">
        <v>115</v>
      </c>
      <c r="R544" t="s">
        <v>221</v>
      </c>
      <c r="S544" t="s">
        <v>23</v>
      </c>
      <c r="T544" t="s">
        <v>116</v>
      </c>
    </row>
    <row r="545" spans="1:20" x14ac:dyDescent="0.25">
      <c r="A545">
        <v>9</v>
      </c>
      <c r="B545">
        <v>163</v>
      </c>
      <c r="C545" t="str">
        <f t="shared" si="52"/>
        <v>00</v>
      </c>
      <c r="D545">
        <v>2159</v>
      </c>
      <c r="E545" t="str">
        <f t="shared" si="53"/>
        <v>00</v>
      </c>
      <c r="F545" t="str">
        <f>"075"</f>
        <v>075</v>
      </c>
      <c r="G545">
        <v>9</v>
      </c>
      <c r="H545" t="str">
        <f t="shared" si="54"/>
        <v>00</v>
      </c>
      <c r="I545" t="str">
        <f t="shared" si="55"/>
        <v>0</v>
      </c>
      <c r="J545" t="str">
        <f t="shared" si="56"/>
        <v>00</v>
      </c>
      <c r="K545">
        <v>20190315</v>
      </c>
      <c r="L545" t="str">
        <f t="shared" si="57"/>
        <v>027676</v>
      </c>
      <c r="M545" t="str">
        <f t="shared" si="58"/>
        <v>54196</v>
      </c>
      <c r="N545" t="s">
        <v>50</v>
      </c>
      <c r="O545">
        <v>100</v>
      </c>
      <c r="P545">
        <v>20190315</v>
      </c>
      <c r="Q545" t="s">
        <v>117</v>
      </c>
      <c r="R545" t="s">
        <v>221</v>
      </c>
      <c r="S545" t="s">
        <v>23</v>
      </c>
      <c r="T545" t="s">
        <v>118</v>
      </c>
    </row>
    <row r="546" spans="1:20" x14ac:dyDescent="0.25">
      <c r="A546">
        <v>9</v>
      </c>
      <c r="B546">
        <v>163</v>
      </c>
      <c r="C546" t="str">
        <f t="shared" si="52"/>
        <v>00</v>
      </c>
      <c r="D546">
        <v>2159</v>
      </c>
      <c r="E546" t="str">
        <f t="shared" si="53"/>
        <v>00</v>
      </c>
      <c r="F546" t="str">
        <f>"078"</f>
        <v>078</v>
      </c>
      <c r="G546">
        <v>9</v>
      </c>
      <c r="H546" t="str">
        <f t="shared" si="54"/>
        <v>00</v>
      </c>
      <c r="I546" t="str">
        <f t="shared" si="55"/>
        <v>0</v>
      </c>
      <c r="J546" t="str">
        <f t="shared" si="56"/>
        <v>00</v>
      </c>
      <c r="K546">
        <v>20190315</v>
      </c>
      <c r="L546" t="str">
        <f t="shared" si="57"/>
        <v>027676</v>
      </c>
      <c r="M546" t="str">
        <f t="shared" si="58"/>
        <v>54196</v>
      </c>
      <c r="N546" t="s">
        <v>50</v>
      </c>
      <c r="O546">
        <v>750</v>
      </c>
      <c r="P546">
        <v>20190315</v>
      </c>
      <c r="Q546" t="s">
        <v>119</v>
      </c>
      <c r="R546" t="s">
        <v>221</v>
      </c>
      <c r="S546" t="s">
        <v>23</v>
      </c>
      <c r="T546" t="s">
        <v>120</v>
      </c>
    </row>
    <row r="547" spans="1:20" x14ac:dyDescent="0.25">
      <c r="A547">
        <v>9</v>
      </c>
      <c r="B547">
        <v>163</v>
      </c>
      <c r="C547" t="str">
        <f t="shared" si="52"/>
        <v>00</v>
      </c>
      <c r="D547">
        <v>2159</v>
      </c>
      <c r="E547" t="str">
        <f t="shared" si="53"/>
        <v>00</v>
      </c>
      <c r="F547" t="str">
        <f>"082"</f>
        <v>082</v>
      </c>
      <c r="G547">
        <v>9</v>
      </c>
      <c r="H547" t="str">
        <f t="shared" si="54"/>
        <v>00</v>
      </c>
      <c r="I547" t="str">
        <f t="shared" si="55"/>
        <v>0</v>
      </c>
      <c r="J547" t="str">
        <f t="shared" si="56"/>
        <v>00</v>
      </c>
      <c r="K547">
        <v>20190315</v>
      </c>
      <c r="L547" t="str">
        <f t="shared" si="57"/>
        <v>027676</v>
      </c>
      <c r="M547" t="str">
        <f t="shared" si="58"/>
        <v>54196</v>
      </c>
      <c r="N547" t="s">
        <v>50</v>
      </c>
      <c r="O547">
        <v>300</v>
      </c>
      <c r="P547">
        <v>20190315</v>
      </c>
      <c r="Q547" t="s">
        <v>121</v>
      </c>
      <c r="R547" t="s">
        <v>221</v>
      </c>
      <c r="S547" t="s">
        <v>23</v>
      </c>
      <c r="T547" t="s">
        <v>122</v>
      </c>
    </row>
    <row r="548" spans="1:20" x14ac:dyDescent="0.25">
      <c r="A548">
        <v>9</v>
      </c>
      <c r="B548">
        <v>163</v>
      </c>
      <c r="C548" t="str">
        <f t="shared" si="52"/>
        <v>00</v>
      </c>
      <c r="D548">
        <v>2159</v>
      </c>
      <c r="E548" t="str">
        <f t="shared" si="53"/>
        <v>00</v>
      </c>
      <c r="F548" t="str">
        <f>"091"</f>
        <v>091</v>
      </c>
      <c r="G548">
        <v>9</v>
      </c>
      <c r="H548" t="str">
        <f t="shared" si="54"/>
        <v>00</v>
      </c>
      <c r="I548" t="str">
        <f t="shared" si="55"/>
        <v>0</v>
      </c>
      <c r="J548" t="str">
        <f t="shared" si="56"/>
        <v>00</v>
      </c>
      <c r="K548">
        <v>20190315</v>
      </c>
      <c r="L548" t="str">
        <f t="shared" si="57"/>
        <v>027676</v>
      </c>
      <c r="M548" t="str">
        <f t="shared" si="58"/>
        <v>54196</v>
      </c>
      <c r="N548" t="s">
        <v>50</v>
      </c>
      <c r="O548">
        <v>100</v>
      </c>
      <c r="P548">
        <v>20190315</v>
      </c>
      <c r="Q548" t="s">
        <v>123</v>
      </c>
      <c r="R548" t="s">
        <v>221</v>
      </c>
      <c r="S548" t="s">
        <v>23</v>
      </c>
      <c r="T548" t="s">
        <v>124</v>
      </c>
    </row>
    <row r="549" spans="1:20" x14ac:dyDescent="0.25">
      <c r="A549">
        <v>9</v>
      </c>
      <c r="B549">
        <v>163</v>
      </c>
      <c r="C549" t="str">
        <f t="shared" si="52"/>
        <v>00</v>
      </c>
      <c r="D549">
        <v>2159</v>
      </c>
      <c r="E549" t="str">
        <f t="shared" si="53"/>
        <v>00</v>
      </c>
      <c r="F549" t="str">
        <f>"122"</f>
        <v>122</v>
      </c>
      <c r="G549">
        <v>9</v>
      </c>
      <c r="H549" t="str">
        <f t="shared" si="54"/>
        <v>00</v>
      </c>
      <c r="I549" t="str">
        <f t="shared" si="55"/>
        <v>0</v>
      </c>
      <c r="J549" t="str">
        <f t="shared" si="56"/>
        <v>00</v>
      </c>
      <c r="K549">
        <v>20190315</v>
      </c>
      <c r="L549" t="str">
        <f t="shared" si="57"/>
        <v>027676</v>
      </c>
      <c r="M549" t="str">
        <f t="shared" si="58"/>
        <v>54196</v>
      </c>
      <c r="N549" t="s">
        <v>50</v>
      </c>
      <c r="O549">
        <v>100</v>
      </c>
      <c r="P549">
        <v>20190315</v>
      </c>
      <c r="Q549" t="s">
        <v>125</v>
      </c>
      <c r="R549" t="s">
        <v>222</v>
      </c>
      <c r="S549" t="s">
        <v>23</v>
      </c>
      <c r="T549" t="s">
        <v>127</v>
      </c>
    </row>
    <row r="550" spans="1:20" x14ac:dyDescent="0.25">
      <c r="A550">
        <v>9</v>
      </c>
      <c r="B550">
        <v>163</v>
      </c>
      <c r="C550" t="str">
        <f t="shared" si="52"/>
        <v>00</v>
      </c>
      <c r="D550">
        <v>2159</v>
      </c>
      <c r="E550" t="str">
        <f t="shared" si="53"/>
        <v>00</v>
      </c>
      <c r="F550" t="str">
        <f>"130"</f>
        <v>130</v>
      </c>
      <c r="G550">
        <v>9</v>
      </c>
      <c r="H550" t="str">
        <f t="shared" si="54"/>
        <v>00</v>
      </c>
      <c r="I550" t="str">
        <f t="shared" si="55"/>
        <v>0</v>
      </c>
      <c r="J550" t="str">
        <f t="shared" si="56"/>
        <v>00</v>
      </c>
      <c r="K550">
        <v>20190315</v>
      </c>
      <c r="L550" t="str">
        <f t="shared" si="57"/>
        <v>027676</v>
      </c>
      <c r="M550" t="str">
        <f t="shared" si="58"/>
        <v>54196</v>
      </c>
      <c r="N550" t="s">
        <v>50</v>
      </c>
      <c r="O550" s="1">
        <v>9016</v>
      </c>
      <c r="P550">
        <v>20190315</v>
      </c>
      <c r="Q550" t="s">
        <v>128</v>
      </c>
      <c r="R550" t="s">
        <v>223</v>
      </c>
      <c r="S550" t="s">
        <v>23</v>
      </c>
      <c r="T550" t="s">
        <v>112</v>
      </c>
    </row>
    <row r="551" spans="1:20" x14ac:dyDescent="0.25">
      <c r="A551">
        <v>9</v>
      </c>
      <c r="B551">
        <v>163</v>
      </c>
      <c r="C551" t="str">
        <f t="shared" si="52"/>
        <v>00</v>
      </c>
      <c r="D551">
        <v>2159</v>
      </c>
      <c r="E551" t="str">
        <f t="shared" si="53"/>
        <v>00</v>
      </c>
      <c r="F551" t="str">
        <f>"131"</f>
        <v>131</v>
      </c>
      <c r="G551">
        <v>9</v>
      </c>
      <c r="H551" t="str">
        <f t="shared" si="54"/>
        <v>00</v>
      </c>
      <c r="I551" t="str">
        <f t="shared" si="55"/>
        <v>0</v>
      </c>
      <c r="J551" t="str">
        <f t="shared" si="56"/>
        <v>00</v>
      </c>
      <c r="K551">
        <v>20190315</v>
      </c>
      <c r="L551" t="str">
        <f t="shared" si="57"/>
        <v>027676</v>
      </c>
      <c r="M551" t="str">
        <f t="shared" si="58"/>
        <v>54196</v>
      </c>
      <c r="N551" t="s">
        <v>50</v>
      </c>
      <c r="O551" s="1">
        <v>1825</v>
      </c>
      <c r="P551">
        <v>20190315</v>
      </c>
      <c r="Q551" t="s">
        <v>51</v>
      </c>
      <c r="R551" t="s">
        <v>221</v>
      </c>
      <c r="S551" t="s">
        <v>23</v>
      </c>
      <c r="T551" t="s">
        <v>53</v>
      </c>
    </row>
    <row r="552" spans="1:20" x14ac:dyDescent="0.25">
      <c r="A552">
        <v>9</v>
      </c>
      <c r="B552">
        <v>163</v>
      </c>
      <c r="C552" t="str">
        <f t="shared" si="52"/>
        <v>00</v>
      </c>
      <c r="D552">
        <v>2159</v>
      </c>
      <c r="E552" t="str">
        <f t="shared" si="53"/>
        <v>00</v>
      </c>
      <c r="F552" t="str">
        <f>"136"</f>
        <v>136</v>
      </c>
      <c r="G552">
        <v>9</v>
      </c>
      <c r="H552" t="str">
        <f t="shared" si="54"/>
        <v>00</v>
      </c>
      <c r="I552" t="str">
        <f t="shared" si="55"/>
        <v>0</v>
      </c>
      <c r="J552" t="str">
        <f t="shared" si="56"/>
        <v>00</v>
      </c>
      <c r="K552">
        <v>20190315</v>
      </c>
      <c r="L552" t="str">
        <f t="shared" si="57"/>
        <v>027676</v>
      </c>
      <c r="M552" t="str">
        <f t="shared" si="58"/>
        <v>54196</v>
      </c>
      <c r="N552" t="s">
        <v>50</v>
      </c>
      <c r="O552" s="1">
        <v>1775</v>
      </c>
      <c r="P552">
        <v>20190315</v>
      </c>
      <c r="Q552" t="s">
        <v>130</v>
      </c>
      <c r="R552" t="s">
        <v>224</v>
      </c>
      <c r="S552" t="s">
        <v>23</v>
      </c>
      <c r="T552" t="s">
        <v>132</v>
      </c>
    </row>
    <row r="553" spans="1:20" x14ac:dyDescent="0.25">
      <c r="A553">
        <v>9</v>
      </c>
      <c r="B553">
        <v>163</v>
      </c>
      <c r="C553" t="str">
        <f t="shared" si="52"/>
        <v>00</v>
      </c>
      <c r="D553">
        <v>2159</v>
      </c>
      <c r="E553" t="str">
        <f t="shared" si="53"/>
        <v>00</v>
      </c>
      <c r="F553" t="str">
        <f>"137"</f>
        <v>137</v>
      </c>
      <c r="G553">
        <v>9</v>
      </c>
      <c r="H553" t="str">
        <f t="shared" si="54"/>
        <v>00</v>
      </c>
      <c r="I553" t="str">
        <f t="shared" si="55"/>
        <v>0</v>
      </c>
      <c r="J553" t="str">
        <f t="shared" si="56"/>
        <v>00</v>
      </c>
      <c r="K553">
        <v>20190315</v>
      </c>
      <c r="L553" t="str">
        <f t="shared" si="57"/>
        <v>027676</v>
      </c>
      <c r="M553" t="str">
        <f t="shared" si="58"/>
        <v>54196</v>
      </c>
      <c r="N553" t="s">
        <v>50</v>
      </c>
      <c r="O553" s="1">
        <v>2680</v>
      </c>
      <c r="P553">
        <v>20190315</v>
      </c>
      <c r="Q553" t="s">
        <v>133</v>
      </c>
      <c r="R553" t="s">
        <v>223</v>
      </c>
      <c r="S553" t="s">
        <v>23</v>
      </c>
      <c r="T553" t="s">
        <v>134</v>
      </c>
    </row>
    <row r="554" spans="1:20" x14ac:dyDescent="0.25">
      <c r="A554">
        <v>9</v>
      </c>
      <c r="B554">
        <v>163</v>
      </c>
      <c r="C554" t="str">
        <f t="shared" si="52"/>
        <v>00</v>
      </c>
      <c r="D554">
        <v>2159</v>
      </c>
      <c r="E554" t="str">
        <f t="shared" si="53"/>
        <v>00</v>
      </c>
      <c r="F554" t="str">
        <f>"138"</f>
        <v>138</v>
      </c>
      <c r="G554">
        <v>9</v>
      </c>
      <c r="H554" t="str">
        <f t="shared" si="54"/>
        <v>00</v>
      </c>
      <c r="I554" t="str">
        <f t="shared" si="55"/>
        <v>0</v>
      </c>
      <c r="J554" t="str">
        <f t="shared" si="56"/>
        <v>00</v>
      </c>
      <c r="K554">
        <v>20190315</v>
      </c>
      <c r="L554" t="str">
        <f t="shared" si="57"/>
        <v>027676</v>
      </c>
      <c r="M554" t="str">
        <f t="shared" si="58"/>
        <v>54196</v>
      </c>
      <c r="N554" t="s">
        <v>50</v>
      </c>
      <c r="O554">
        <v>300</v>
      </c>
      <c r="P554">
        <v>20190315</v>
      </c>
      <c r="Q554" t="s">
        <v>135</v>
      </c>
      <c r="R554" t="s">
        <v>224</v>
      </c>
      <c r="S554" t="s">
        <v>23</v>
      </c>
      <c r="T554" t="s">
        <v>134</v>
      </c>
    </row>
    <row r="555" spans="1:20" x14ac:dyDescent="0.25">
      <c r="A555">
        <v>9</v>
      </c>
      <c r="B555">
        <v>163</v>
      </c>
      <c r="C555" t="str">
        <f t="shared" si="52"/>
        <v>00</v>
      </c>
      <c r="D555">
        <v>2159</v>
      </c>
      <c r="E555" t="str">
        <f t="shared" si="53"/>
        <v>00</v>
      </c>
      <c r="F555" t="str">
        <f>"150"</f>
        <v>150</v>
      </c>
      <c r="G555">
        <v>9</v>
      </c>
      <c r="H555" t="str">
        <f t="shared" si="54"/>
        <v>00</v>
      </c>
      <c r="I555" t="str">
        <f t="shared" si="55"/>
        <v>0</v>
      </c>
      <c r="J555" t="str">
        <f t="shared" si="56"/>
        <v>00</v>
      </c>
      <c r="K555">
        <v>20190315</v>
      </c>
      <c r="L555" t="str">
        <f t="shared" si="57"/>
        <v>027676</v>
      </c>
      <c r="M555" t="str">
        <f t="shared" si="58"/>
        <v>54196</v>
      </c>
      <c r="N555" t="s">
        <v>50</v>
      </c>
      <c r="O555">
        <v>200</v>
      </c>
      <c r="P555">
        <v>20190315</v>
      </c>
      <c r="Q555" t="s">
        <v>136</v>
      </c>
      <c r="R555" t="s">
        <v>221</v>
      </c>
      <c r="S555" t="s">
        <v>23</v>
      </c>
      <c r="T555" t="s">
        <v>137</v>
      </c>
    </row>
    <row r="556" spans="1:20" x14ac:dyDescent="0.25">
      <c r="A556">
        <v>9</v>
      </c>
      <c r="B556">
        <v>163</v>
      </c>
      <c r="C556" t="str">
        <f t="shared" si="52"/>
        <v>00</v>
      </c>
      <c r="D556">
        <v>2159</v>
      </c>
      <c r="E556" t="str">
        <f t="shared" si="53"/>
        <v>00</v>
      </c>
      <c r="F556" t="str">
        <f>"111"</f>
        <v>111</v>
      </c>
      <c r="G556">
        <v>9</v>
      </c>
      <c r="H556" t="str">
        <f t="shared" si="54"/>
        <v>00</v>
      </c>
      <c r="I556" t="str">
        <f t="shared" si="55"/>
        <v>0</v>
      </c>
      <c r="J556" t="str">
        <f t="shared" si="56"/>
        <v>00</v>
      </c>
      <c r="K556">
        <v>20190315</v>
      </c>
      <c r="L556" t="str">
        <f>"027677"</f>
        <v>027677</v>
      </c>
      <c r="M556" t="str">
        <f>"72601"</f>
        <v>72601</v>
      </c>
      <c r="N556" t="s">
        <v>54</v>
      </c>
      <c r="O556" s="1">
        <v>9133.4699999999993</v>
      </c>
      <c r="P556">
        <v>20190315</v>
      </c>
      <c r="Q556" t="s">
        <v>55</v>
      </c>
      <c r="R556" t="s">
        <v>220</v>
      </c>
      <c r="S556" t="s">
        <v>23</v>
      </c>
      <c r="T556" t="s">
        <v>56</v>
      </c>
    </row>
    <row r="557" spans="1:20" x14ac:dyDescent="0.25">
      <c r="A557">
        <v>9</v>
      </c>
      <c r="B557">
        <v>163</v>
      </c>
      <c r="C557" t="str">
        <f t="shared" si="52"/>
        <v>00</v>
      </c>
      <c r="D557">
        <v>2153</v>
      </c>
      <c r="E557" t="str">
        <f t="shared" si="53"/>
        <v>00</v>
      </c>
      <c r="F557" t="str">
        <f>"006"</f>
        <v>006</v>
      </c>
      <c r="G557">
        <v>9</v>
      </c>
      <c r="H557" t="str">
        <f t="shared" si="54"/>
        <v>00</v>
      </c>
      <c r="I557" t="str">
        <f t="shared" si="55"/>
        <v>0</v>
      </c>
      <c r="J557" t="str">
        <f t="shared" si="56"/>
        <v>00</v>
      </c>
      <c r="K557">
        <v>20190315</v>
      </c>
      <c r="L557" t="str">
        <f>"027678"</f>
        <v>027678</v>
      </c>
      <c r="M557" t="str">
        <f>"75452"</f>
        <v>75452</v>
      </c>
      <c r="N557" t="s">
        <v>57</v>
      </c>
      <c r="O557" s="1">
        <v>9106.61</v>
      </c>
      <c r="P557">
        <v>20190315</v>
      </c>
      <c r="Q557" t="s">
        <v>58</v>
      </c>
      <c r="R557" t="s">
        <v>219</v>
      </c>
      <c r="S557" t="s">
        <v>23</v>
      </c>
      <c r="T557" t="s">
        <v>59</v>
      </c>
    </row>
    <row r="558" spans="1:20" x14ac:dyDescent="0.25">
      <c r="A558">
        <v>9</v>
      </c>
      <c r="B558">
        <v>163</v>
      </c>
      <c r="C558" t="str">
        <f t="shared" si="52"/>
        <v>00</v>
      </c>
      <c r="D558">
        <v>2159</v>
      </c>
      <c r="E558" t="str">
        <f t="shared" si="53"/>
        <v>00</v>
      </c>
      <c r="F558" t="str">
        <f>"099"</f>
        <v>099</v>
      </c>
      <c r="G558">
        <v>9</v>
      </c>
      <c r="H558" t="str">
        <f t="shared" si="54"/>
        <v>00</v>
      </c>
      <c r="I558" t="str">
        <f t="shared" si="55"/>
        <v>0</v>
      </c>
      <c r="J558" t="str">
        <f t="shared" si="56"/>
        <v>00</v>
      </c>
      <c r="K558">
        <v>20190315</v>
      </c>
      <c r="L558" t="str">
        <f>"027678"</f>
        <v>027678</v>
      </c>
      <c r="M558" t="str">
        <f>"75452"</f>
        <v>75452</v>
      </c>
      <c r="N558" t="s">
        <v>57</v>
      </c>
      <c r="O558">
        <v>300</v>
      </c>
      <c r="P558">
        <v>20190315</v>
      </c>
      <c r="Q558" t="s">
        <v>171</v>
      </c>
      <c r="R558" t="s">
        <v>225</v>
      </c>
      <c r="S558" t="s">
        <v>23</v>
      </c>
      <c r="T558" t="s">
        <v>173</v>
      </c>
    </row>
    <row r="559" spans="1:20" x14ac:dyDescent="0.25">
      <c r="A559">
        <v>9</v>
      </c>
      <c r="B559">
        <v>163</v>
      </c>
      <c r="C559" t="str">
        <f t="shared" si="52"/>
        <v>00</v>
      </c>
      <c r="D559">
        <v>2159</v>
      </c>
      <c r="E559" t="str">
        <f t="shared" si="53"/>
        <v>00</v>
      </c>
      <c r="F559" t="str">
        <f>"048"</f>
        <v>048</v>
      </c>
      <c r="G559">
        <v>9</v>
      </c>
      <c r="H559" t="str">
        <f t="shared" si="54"/>
        <v>00</v>
      </c>
      <c r="I559" t="str">
        <f t="shared" si="55"/>
        <v>0</v>
      </c>
      <c r="J559" t="str">
        <f t="shared" si="56"/>
        <v>00</v>
      </c>
      <c r="K559">
        <v>20190315</v>
      </c>
      <c r="L559" t="str">
        <f>"027679"</f>
        <v>027679</v>
      </c>
      <c r="M559" t="str">
        <f>"77030"</f>
        <v>77030</v>
      </c>
      <c r="N559" t="s">
        <v>139</v>
      </c>
      <c r="O559">
        <v>174.7</v>
      </c>
      <c r="P559">
        <v>20190315</v>
      </c>
      <c r="Q559" t="s">
        <v>140</v>
      </c>
      <c r="R559" t="s">
        <v>220</v>
      </c>
      <c r="S559" t="s">
        <v>23</v>
      </c>
      <c r="T559" t="s">
        <v>141</v>
      </c>
    </row>
    <row r="560" spans="1:20" x14ac:dyDescent="0.25">
      <c r="A560">
        <v>9</v>
      </c>
      <c r="B560">
        <v>163</v>
      </c>
      <c r="C560" t="str">
        <f t="shared" si="52"/>
        <v>00</v>
      </c>
      <c r="D560">
        <v>2159</v>
      </c>
      <c r="E560" t="str">
        <f t="shared" si="53"/>
        <v>00</v>
      </c>
      <c r="F560" t="str">
        <f>"005"</f>
        <v>005</v>
      </c>
      <c r="G560">
        <v>9</v>
      </c>
      <c r="H560" t="str">
        <f t="shared" si="54"/>
        <v>00</v>
      </c>
      <c r="I560" t="str">
        <f t="shared" si="55"/>
        <v>0</v>
      </c>
      <c r="J560" t="str">
        <f t="shared" si="56"/>
        <v>00</v>
      </c>
      <c r="K560">
        <v>20190315</v>
      </c>
      <c r="L560" t="str">
        <f>"027680"</f>
        <v>027680</v>
      </c>
      <c r="M560" t="str">
        <f>"79562"</f>
        <v>79562</v>
      </c>
      <c r="N560" t="s">
        <v>142</v>
      </c>
      <c r="O560">
        <v>156.69999999999999</v>
      </c>
      <c r="P560">
        <v>20190315</v>
      </c>
      <c r="Q560" t="s">
        <v>143</v>
      </c>
      <c r="R560" t="s">
        <v>226</v>
      </c>
      <c r="S560" t="s">
        <v>23</v>
      </c>
      <c r="T560" t="s">
        <v>145</v>
      </c>
    </row>
    <row r="561" spans="1:20" x14ac:dyDescent="0.25">
      <c r="A561">
        <v>9</v>
      </c>
      <c r="B561">
        <v>163</v>
      </c>
      <c r="C561" t="str">
        <f t="shared" si="52"/>
        <v>00</v>
      </c>
      <c r="D561">
        <v>2159</v>
      </c>
      <c r="E561" t="str">
        <f t="shared" si="53"/>
        <v>00</v>
      </c>
      <c r="F561" t="str">
        <f>"034"</f>
        <v>034</v>
      </c>
      <c r="G561">
        <v>9</v>
      </c>
      <c r="H561" t="str">
        <f t="shared" si="54"/>
        <v>00</v>
      </c>
      <c r="I561" t="str">
        <f t="shared" si="55"/>
        <v>0</v>
      </c>
      <c r="J561" t="str">
        <f t="shared" si="56"/>
        <v>00</v>
      </c>
      <c r="K561">
        <v>20190315</v>
      </c>
      <c r="L561" t="str">
        <f>"027681"</f>
        <v>027681</v>
      </c>
      <c r="M561" t="str">
        <f>"79762"</f>
        <v>79762</v>
      </c>
      <c r="N561" t="s">
        <v>146</v>
      </c>
      <c r="O561">
        <v>415</v>
      </c>
      <c r="P561">
        <v>20190315</v>
      </c>
      <c r="Q561" t="s">
        <v>147</v>
      </c>
      <c r="R561" t="s">
        <v>220</v>
      </c>
      <c r="S561" t="s">
        <v>23</v>
      </c>
      <c r="T561" t="s">
        <v>148</v>
      </c>
    </row>
    <row r="562" spans="1:20" x14ac:dyDescent="0.25">
      <c r="A562">
        <v>9</v>
      </c>
      <c r="B562">
        <v>163</v>
      </c>
      <c r="C562" t="str">
        <f t="shared" si="52"/>
        <v>00</v>
      </c>
      <c r="D562">
        <v>2159</v>
      </c>
      <c r="E562" t="str">
        <f t="shared" si="53"/>
        <v>00</v>
      </c>
      <c r="F562" t="str">
        <f>"086"</f>
        <v>086</v>
      </c>
      <c r="G562">
        <v>9</v>
      </c>
      <c r="H562" t="str">
        <f t="shared" si="54"/>
        <v>00</v>
      </c>
      <c r="I562" t="str">
        <f t="shared" si="55"/>
        <v>0</v>
      </c>
      <c r="J562" t="str">
        <f t="shared" si="56"/>
        <v>00</v>
      </c>
      <c r="K562">
        <v>20190315</v>
      </c>
      <c r="L562" t="str">
        <f>"027682"</f>
        <v>027682</v>
      </c>
      <c r="M562" t="str">
        <f>"81155"</f>
        <v>81155</v>
      </c>
      <c r="N562" t="s">
        <v>149</v>
      </c>
      <c r="O562">
        <v>215</v>
      </c>
      <c r="P562">
        <v>20190315</v>
      </c>
      <c r="Q562" t="s">
        <v>150</v>
      </c>
      <c r="R562" t="s">
        <v>220</v>
      </c>
      <c r="S562" t="s">
        <v>23</v>
      </c>
      <c r="T562" t="s">
        <v>151</v>
      </c>
    </row>
    <row r="563" spans="1:20" x14ac:dyDescent="0.25">
      <c r="A563">
        <v>9</v>
      </c>
      <c r="B563">
        <v>163</v>
      </c>
      <c r="C563" t="str">
        <f t="shared" si="52"/>
        <v>00</v>
      </c>
      <c r="D563">
        <v>2159</v>
      </c>
      <c r="E563" t="str">
        <f t="shared" si="53"/>
        <v>00</v>
      </c>
      <c r="F563" t="str">
        <f>"106"</f>
        <v>106</v>
      </c>
      <c r="G563">
        <v>9</v>
      </c>
      <c r="H563" t="str">
        <f t="shared" si="54"/>
        <v>00</v>
      </c>
      <c r="I563" t="str">
        <f t="shared" si="55"/>
        <v>0</v>
      </c>
      <c r="J563" t="str">
        <f t="shared" si="56"/>
        <v>00</v>
      </c>
      <c r="K563">
        <v>20190315</v>
      </c>
      <c r="L563" t="str">
        <f>"027683"</f>
        <v>027683</v>
      </c>
      <c r="M563" t="str">
        <f>"81173"</f>
        <v>81173</v>
      </c>
      <c r="N563" t="s">
        <v>60</v>
      </c>
      <c r="O563">
        <v>832.75</v>
      </c>
      <c r="P563">
        <v>20190315</v>
      </c>
      <c r="Q563" t="s">
        <v>61</v>
      </c>
      <c r="R563" t="s">
        <v>220</v>
      </c>
      <c r="S563" t="s">
        <v>23</v>
      </c>
      <c r="T563" t="s">
        <v>62</v>
      </c>
    </row>
    <row r="564" spans="1:20" x14ac:dyDescent="0.25">
      <c r="A564">
        <v>9</v>
      </c>
      <c r="B564">
        <v>163</v>
      </c>
      <c r="C564" t="str">
        <f t="shared" si="52"/>
        <v>00</v>
      </c>
      <c r="D564">
        <v>2159</v>
      </c>
      <c r="E564" t="str">
        <f t="shared" si="53"/>
        <v>00</v>
      </c>
      <c r="F564" t="str">
        <f>"007"</f>
        <v>007</v>
      </c>
      <c r="G564">
        <v>9</v>
      </c>
      <c r="H564" t="str">
        <f t="shared" si="54"/>
        <v>00</v>
      </c>
      <c r="I564" t="str">
        <f t="shared" si="55"/>
        <v>0</v>
      </c>
      <c r="J564" t="str">
        <f t="shared" si="56"/>
        <v>00</v>
      </c>
      <c r="K564">
        <v>20190315</v>
      </c>
      <c r="L564" t="str">
        <f>"027684"</f>
        <v>027684</v>
      </c>
      <c r="M564" t="str">
        <f>"81174"</f>
        <v>81174</v>
      </c>
      <c r="N564" t="s">
        <v>63</v>
      </c>
      <c r="O564" s="1">
        <v>1593.15</v>
      </c>
      <c r="P564">
        <v>20190315</v>
      </c>
      <c r="Q564" t="s">
        <v>64</v>
      </c>
      <c r="R564" t="s">
        <v>220</v>
      </c>
      <c r="S564" t="s">
        <v>23</v>
      </c>
      <c r="T564" t="s">
        <v>65</v>
      </c>
    </row>
    <row r="565" spans="1:20" x14ac:dyDescent="0.25">
      <c r="A565">
        <v>9</v>
      </c>
      <c r="B565">
        <v>163</v>
      </c>
      <c r="C565" t="str">
        <f t="shared" si="52"/>
        <v>00</v>
      </c>
      <c r="D565">
        <v>2159</v>
      </c>
      <c r="E565" t="str">
        <f t="shared" si="53"/>
        <v>00</v>
      </c>
      <c r="F565" t="str">
        <f>"123"</f>
        <v>123</v>
      </c>
      <c r="G565">
        <v>9</v>
      </c>
      <c r="H565" t="str">
        <f t="shared" si="54"/>
        <v>00</v>
      </c>
      <c r="I565" t="str">
        <f t="shared" si="55"/>
        <v>0</v>
      </c>
      <c r="J565" t="str">
        <f t="shared" si="56"/>
        <v>00</v>
      </c>
      <c r="K565">
        <v>20190315</v>
      </c>
      <c r="L565" t="str">
        <f>"027685"</f>
        <v>027685</v>
      </c>
      <c r="M565" t="str">
        <f>"81753"</f>
        <v>81753</v>
      </c>
      <c r="N565" t="s">
        <v>217</v>
      </c>
      <c r="O565" s="1">
        <v>1848.16</v>
      </c>
      <c r="P565">
        <v>20190315</v>
      </c>
      <c r="Q565" t="s">
        <v>155</v>
      </c>
      <c r="R565" t="s">
        <v>220</v>
      </c>
      <c r="S565" t="s">
        <v>23</v>
      </c>
      <c r="T565" t="s">
        <v>154</v>
      </c>
    </row>
    <row r="566" spans="1:20" x14ac:dyDescent="0.25">
      <c r="A566">
        <v>9</v>
      </c>
      <c r="B566">
        <v>163</v>
      </c>
      <c r="C566" t="str">
        <f t="shared" si="52"/>
        <v>00</v>
      </c>
      <c r="D566">
        <v>2153</v>
      </c>
      <c r="E566" t="str">
        <f t="shared" si="53"/>
        <v>00</v>
      </c>
      <c r="F566" t="str">
        <f>"141"</f>
        <v>141</v>
      </c>
      <c r="G566">
        <v>9</v>
      </c>
      <c r="H566" t="str">
        <f t="shared" si="54"/>
        <v>00</v>
      </c>
      <c r="I566" t="str">
        <f t="shared" si="55"/>
        <v>0</v>
      </c>
      <c r="J566" t="str">
        <f t="shared" si="56"/>
        <v>00</v>
      </c>
      <c r="K566">
        <v>20190322</v>
      </c>
      <c r="L566" t="str">
        <f>"027697"</f>
        <v>027697</v>
      </c>
      <c r="M566" t="str">
        <f>"00068"</f>
        <v>00068</v>
      </c>
      <c r="N566" t="s">
        <v>20</v>
      </c>
      <c r="O566">
        <v>453.78</v>
      </c>
      <c r="P566">
        <v>20190322</v>
      </c>
      <c r="Q566" t="s">
        <v>21</v>
      </c>
      <c r="R566" t="s">
        <v>218</v>
      </c>
      <c r="S566" t="s">
        <v>23</v>
      </c>
      <c r="T566" t="s">
        <v>24</v>
      </c>
    </row>
    <row r="567" spans="1:20" x14ac:dyDescent="0.25">
      <c r="A567">
        <v>9</v>
      </c>
      <c r="B567">
        <v>163</v>
      </c>
      <c r="C567" t="str">
        <f t="shared" si="52"/>
        <v>00</v>
      </c>
      <c r="D567">
        <v>2153</v>
      </c>
      <c r="E567" t="str">
        <f t="shared" si="53"/>
        <v>00</v>
      </c>
      <c r="F567" t="str">
        <f>"142"</f>
        <v>142</v>
      </c>
      <c r="G567">
        <v>9</v>
      </c>
      <c r="H567" t="str">
        <f t="shared" si="54"/>
        <v>00</v>
      </c>
      <c r="I567" t="str">
        <f t="shared" si="55"/>
        <v>0</v>
      </c>
      <c r="J567" t="str">
        <f t="shared" si="56"/>
        <v>00</v>
      </c>
      <c r="K567">
        <v>20190322</v>
      </c>
      <c r="L567" t="str">
        <f>"027697"</f>
        <v>027697</v>
      </c>
      <c r="M567" t="str">
        <f>"00068"</f>
        <v>00068</v>
      </c>
      <c r="N567" t="s">
        <v>20</v>
      </c>
      <c r="O567">
        <v>329.95</v>
      </c>
      <c r="P567">
        <v>20190322</v>
      </c>
      <c r="Q567" t="s">
        <v>25</v>
      </c>
      <c r="R567" t="s">
        <v>219</v>
      </c>
      <c r="S567" t="s">
        <v>23</v>
      </c>
      <c r="T567" t="s">
        <v>27</v>
      </c>
    </row>
    <row r="568" spans="1:20" x14ac:dyDescent="0.25">
      <c r="A568">
        <v>9</v>
      </c>
      <c r="B568">
        <v>163</v>
      </c>
      <c r="C568" t="str">
        <f t="shared" si="52"/>
        <v>00</v>
      </c>
      <c r="D568">
        <v>2159</v>
      </c>
      <c r="E568" t="str">
        <f t="shared" si="53"/>
        <v>00</v>
      </c>
      <c r="F568" t="str">
        <f>"148"</f>
        <v>148</v>
      </c>
      <c r="G568">
        <v>9</v>
      </c>
      <c r="H568" t="str">
        <f t="shared" si="54"/>
        <v>00</v>
      </c>
      <c r="I568" t="str">
        <f t="shared" si="55"/>
        <v>0</v>
      </c>
      <c r="J568" t="str">
        <f t="shared" si="56"/>
        <v>00</v>
      </c>
      <c r="K568">
        <v>20190322</v>
      </c>
      <c r="L568" t="str">
        <f>"027698"</f>
        <v>027698</v>
      </c>
      <c r="M568" t="str">
        <f>"00528"</f>
        <v>00528</v>
      </c>
      <c r="N568" t="s">
        <v>159</v>
      </c>
      <c r="O568">
        <v>15</v>
      </c>
      <c r="P568">
        <v>20190322</v>
      </c>
      <c r="Q568" t="s">
        <v>160</v>
      </c>
      <c r="R568" t="s">
        <v>220</v>
      </c>
      <c r="S568" t="s">
        <v>23</v>
      </c>
      <c r="T568" t="s">
        <v>162</v>
      </c>
    </row>
    <row r="569" spans="1:20" x14ac:dyDescent="0.25">
      <c r="A569">
        <v>9</v>
      </c>
      <c r="B569">
        <v>163</v>
      </c>
      <c r="C569" t="str">
        <f t="shared" si="52"/>
        <v>00</v>
      </c>
      <c r="D569">
        <v>2153</v>
      </c>
      <c r="E569" t="str">
        <f t="shared" si="53"/>
        <v>00</v>
      </c>
      <c r="F569" t="str">
        <f>"022"</f>
        <v>022</v>
      </c>
      <c r="G569">
        <v>9</v>
      </c>
      <c r="H569" t="str">
        <f t="shared" si="54"/>
        <v>00</v>
      </c>
      <c r="I569" t="str">
        <f t="shared" si="55"/>
        <v>0</v>
      </c>
      <c r="J569" t="str">
        <f t="shared" si="56"/>
        <v>00</v>
      </c>
      <c r="K569">
        <v>20190322</v>
      </c>
      <c r="L569" t="str">
        <f>"027699"</f>
        <v>027699</v>
      </c>
      <c r="M569" t="str">
        <f>"04831"</f>
        <v>04831</v>
      </c>
      <c r="N569" t="s">
        <v>28</v>
      </c>
      <c r="O569">
        <v>16.77</v>
      </c>
      <c r="P569">
        <v>20190322</v>
      </c>
      <c r="Q569" t="s">
        <v>29</v>
      </c>
      <c r="R569" t="s">
        <v>219</v>
      </c>
      <c r="S569" t="s">
        <v>23</v>
      </c>
      <c r="T569" t="s">
        <v>30</v>
      </c>
    </row>
    <row r="570" spans="1:20" x14ac:dyDescent="0.25">
      <c r="A570">
        <v>9</v>
      </c>
      <c r="B570">
        <v>163</v>
      </c>
      <c r="C570" t="str">
        <f t="shared" si="52"/>
        <v>00</v>
      </c>
      <c r="D570">
        <v>2159</v>
      </c>
      <c r="E570" t="str">
        <f t="shared" si="53"/>
        <v>00</v>
      </c>
      <c r="F570" t="str">
        <f>"018"</f>
        <v>018</v>
      </c>
      <c r="G570">
        <v>9</v>
      </c>
      <c r="H570" t="str">
        <f t="shared" si="54"/>
        <v>00</v>
      </c>
      <c r="I570" t="str">
        <f t="shared" si="55"/>
        <v>0</v>
      </c>
      <c r="J570" t="str">
        <f t="shared" si="56"/>
        <v>00</v>
      </c>
      <c r="K570">
        <v>20190322</v>
      </c>
      <c r="L570" t="str">
        <f>"027700"</f>
        <v>027700</v>
      </c>
      <c r="M570" t="str">
        <f>"04905"</f>
        <v>04905</v>
      </c>
      <c r="N570" t="s">
        <v>31</v>
      </c>
      <c r="O570">
        <v>55.11</v>
      </c>
      <c r="P570">
        <v>20190322</v>
      </c>
      <c r="Q570" t="s">
        <v>32</v>
      </c>
      <c r="R570" t="s">
        <v>220</v>
      </c>
      <c r="S570" t="s">
        <v>23</v>
      </c>
      <c r="T570" t="s">
        <v>34</v>
      </c>
    </row>
    <row r="571" spans="1:20" x14ac:dyDescent="0.25">
      <c r="A571">
        <v>9</v>
      </c>
      <c r="B571">
        <v>163</v>
      </c>
      <c r="C571" t="str">
        <f t="shared" si="52"/>
        <v>00</v>
      </c>
      <c r="D571">
        <v>2159</v>
      </c>
      <c r="E571" t="str">
        <f t="shared" si="53"/>
        <v>00</v>
      </c>
      <c r="F571" t="str">
        <f>"018"</f>
        <v>018</v>
      </c>
      <c r="G571">
        <v>9</v>
      </c>
      <c r="H571" t="str">
        <f t="shared" si="54"/>
        <v>00</v>
      </c>
      <c r="I571" t="str">
        <f t="shared" si="55"/>
        <v>0</v>
      </c>
      <c r="J571" t="str">
        <f t="shared" si="56"/>
        <v>00</v>
      </c>
      <c r="K571">
        <v>20190325</v>
      </c>
      <c r="L571" t="str">
        <f>"027700"</f>
        <v>027700</v>
      </c>
      <c r="M571" t="str">
        <f>"04905"</f>
        <v>04905</v>
      </c>
      <c r="N571" t="s">
        <v>31</v>
      </c>
      <c r="O571">
        <v>-55.11</v>
      </c>
      <c r="P571">
        <v>20190325</v>
      </c>
      <c r="Q571" t="s">
        <v>32</v>
      </c>
      <c r="R571" t="s">
        <v>227</v>
      </c>
      <c r="S571" t="s">
        <v>23</v>
      </c>
      <c r="T571" t="s">
        <v>34</v>
      </c>
    </row>
    <row r="572" spans="1:20" x14ac:dyDescent="0.25">
      <c r="A572">
        <v>9</v>
      </c>
      <c r="B572">
        <v>163</v>
      </c>
      <c r="C572" t="str">
        <f t="shared" si="52"/>
        <v>00</v>
      </c>
      <c r="D572">
        <v>2153</v>
      </c>
      <c r="E572" t="str">
        <f t="shared" si="53"/>
        <v>00</v>
      </c>
      <c r="F572" t="str">
        <f>"053"</f>
        <v>053</v>
      </c>
      <c r="G572">
        <v>9</v>
      </c>
      <c r="H572" t="str">
        <f t="shared" si="54"/>
        <v>00</v>
      </c>
      <c r="I572" t="str">
        <f t="shared" si="55"/>
        <v>0</v>
      </c>
      <c r="J572" t="str">
        <f t="shared" si="56"/>
        <v>00</v>
      </c>
      <c r="K572">
        <v>20190322</v>
      </c>
      <c r="L572" t="str">
        <f>"027701"</f>
        <v>027701</v>
      </c>
      <c r="M572" t="str">
        <f>"04987"</f>
        <v>04987</v>
      </c>
      <c r="N572" t="s">
        <v>35</v>
      </c>
      <c r="O572">
        <v>20.64</v>
      </c>
      <c r="P572">
        <v>20190322</v>
      </c>
      <c r="Q572" t="s">
        <v>36</v>
      </c>
      <c r="R572" t="s">
        <v>219</v>
      </c>
      <c r="S572" t="s">
        <v>23</v>
      </c>
      <c r="T572" t="s">
        <v>37</v>
      </c>
    </row>
    <row r="573" spans="1:20" x14ac:dyDescent="0.25">
      <c r="A573">
        <v>9</v>
      </c>
      <c r="B573">
        <v>163</v>
      </c>
      <c r="C573" t="str">
        <f t="shared" si="52"/>
        <v>00</v>
      </c>
      <c r="D573">
        <v>2159</v>
      </c>
      <c r="E573" t="str">
        <f t="shared" si="53"/>
        <v>00</v>
      </c>
      <c r="F573" t="str">
        <f>"068"</f>
        <v>068</v>
      </c>
      <c r="G573">
        <v>9</v>
      </c>
      <c r="H573" t="str">
        <f t="shared" si="54"/>
        <v>00</v>
      </c>
      <c r="I573" t="str">
        <f t="shared" si="55"/>
        <v>0</v>
      </c>
      <c r="J573" t="str">
        <f t="shared" si="56"/>
        <v>00</v>
      </c>
      <c r="K573">
        <v>20190322</v>
      </c>
      <c r="L573" t="str">
        <f>"027702"</f>
        <v>027702</v>
      </c>
      <c r="M573" t="str">
        <f>"10095"</f>
        <v>10095</v>
      </c>
      <c r="N573" t="s">
        <v>83</v>
      </c>
      <c r="O573">
        <v>14.59</v>
      </c>
      <c r="P573">
        <v>20190322</v>
      </c>
      <c r="Q573" t="s">
        <v>84</v>
      </c>
      <c r="R573" t="s">
        <v>220</v>
      </c>
      <c r="S573" t="s">
        <v>23</v>
      </c>
      <c r="T573" t="s">
        <v>85</v>
      </c>
    </row>
    <row r="574" spans="1:20" x14ac:dyDescent="0.25">
      <c r="A574">
        <v>9</v>
      </c>
      <c r="B574">
        <v>163</v>
      </c>
      <c r="C574" t="str">
        <f t="shared" si="52"/>
        <v>00</v>
      </c>
      <c r="D574">
        <v>2153</v>
      </c>
      <c r="E574" t="str">
        <f t="shared" si="53"/>
        <v>00</v>
      </c>
      <c r="F574" t="str">
        <f>"011"</f>
        <v>011</v>
      </c>
      <c r="G574">
        <v>9</v>
      </c>
      <c r="H574" t="str">
        <f t="shared" si="54"/>
        <v>00</v>
      </c>
      <c r="I574" t="str">
        <f t="shared" si="55"/>
        <v>0</v>
      </c>
      <c r="J574" t="str">
        <f t="shared" si="56"/>
        <v>00</v>
      </c>
      <c r="K574">
        <v>20190322</v>
      </c>
      <c r="L574" t="str">
        <f>"027703"</f>
        <v>027703</v>
      </c>
      <c r="M574" t="str">
        <f>"11211"</f>
        <v>11211</v>
      </c>
      <c r="N574" t="s">
        <v>41</v>
      </c>
      <c r="O574">
        <v>158.87</v>
      </c>
      <c r="P574">
        <v>20190322</v>
      </c>
      <c r="Q574" t="s">
        <v>42</v>
      </c>
      <c r="R574" t="s">
        <v>219</v>
      </c>
      <c r="S574" t="s">
        <v>23</v>
      </c>
      <c r="T574" t="s">
        <v>43</v>
      </c>
    </row>
    <row r="575" spans="1:20" x14ac:dyDescent="0.25">
      <c r="A575">
        <v>9</v>
      </c>
      <c r="B575">
        <v>163</v>
      </c>
      <c r="C575" t="str">
        <f t="shared" si="52"/>
        <v>00</v>
      </c>
      <c r="D575">
        <v>2159</v>
      </c>
      <c r="E575" t="str">
        <f t="shared" si="53"/>
        <v>00</v>
      </c>
      <c r="F575" t="str">
        <f>"104"</f>
        <v>104</v>
      </c>
      <c r="G575">
        <v>9</v>
      </c>
      <c r="H575" t="str">
        <f t="shared" si="54"/>
        <v>00</v>
      </c>
      <c r="I575" t="str">
        <f t="shared" si="55"/>
        <v>0</v>
      </c>
      <c r="J575" t="str">
        <f t="shared" si="56"/>
        <v>00</v>
      </c>
      <c r="K575">
        <v>20190322</v>
      </c>
      <c r="L575" t="str">
        <f>"027704"</f>
        <v>027704</v>
      </c>
      <c r="M575" t="str">
        <f>"14177"</f>
        <v>14177</v>
      </c>
      <c r="N575" t="s">
        <v>163</v>
      </c>
      <c r="O575">
        <v>70.75</v>
      </c>
      <c r="P575">
        <v>20190322</v>
      </c>
      <c r="Q575" t="s">
        <v>45</v>
      </c>
      <c r="R575" t="s">
        <v>220</v>
      </c>
      <c r="S575" t="s">
        <v>23</v>
      </c>
      <c r="T575" t="s">
        <v>46</v>
      </c>
    </row>
    <row r="576" spans="1:20" x14ac:dyDescent="0.25">
      <c r="A576">
        <v>9</v>
      </c>
      <c r="B576">
        <v>163</v>
      </c>
      <c r="C576" t="str">
        <f t="shared" si="52"/>
        <v>00</v>
      </c>
      <c r="D576">
        <v>2153</v>
      </c>
      <c r="E576" t="str">
        <f t="shared" si="53"/>
        <v>00</v>
      </c>
      <c r="F576" t="str">
        <f>"110"</f>
        <v>110</v>
      </c>
      <c r="G576">
        <v>9</v>
      </c>
      <c r="H576" t="str">
        <f t="shared" si="54"/>
        <v>00</v>
      </c>
      <c r="I576" t="str">
        <f t="shared" si="55"/>
        <v>0</v>
      </c>
      <c r="J576" t="str">
        <f t="shared" si="56"/>
        <v>00</v>
      </c>
      <c r="K576">
        <v>20190322</v>
      </c>
      <c r="L576" t="str">
        <f>"027705"</f>
        <v>027705</v>
      </c>
      <c r="M576" t="str">
        <f>"48947"</f>
        <v>48947</v>
      </c>
      <c r="N576" t="s">
        <v>47</v>
      </c>
      <c r="O576">
        <v>34.81</v>
      </c>
      <c r="P576">
        <v>20190322</v>
      </c>
      <c r="Q576" t="s">
        <v>48</v>
      </c>
      <c r="R576" t="s">
        <v>218</v>
      </c>
      <c r="S576" t="s">
        <v>23</v>
      </c>
      <c r="T576" t="s">
        <v>49</v>
      </c>
    </row>
    <row r="577" spans="1:20" x14ac:dyDescent="0.25">
      <c r="A577">
        <v>9</v>
      </c>
      <c r="B577">
        <v>163</v>
      </c>
      <c r="C577" t="str">
        <f t="shared" si="52"/>
        <v>00</v>
      </c>
      <c r="D577">
        <v>2159</v>
      </c>
      <c r="E577" t="str">
        <f t="shared" si="53"/>
        <v>00</v>
      </c>
      <c r="F577" t="str">
        <f>"131"</f>
        <v>131</v>
      </c>
      <c r="G577">
        <v>9</v>
      </c>
      <c r="H577" t="str">
        <f t="shared" si="54"/>
        <v>00</v>
      </c>
      <c r="I577" t="str">
        <f t="shared" si="55"/>
        <v>0</v>
      </c>
      <c r="J577" t="str">
        <f t="shared" si="56"/>
        <v>00</v>
      </c>
      <c r="K577">
        <v>20190322</v>
      </c>
      <c r="L577" t="str">
        <f>"027706"</f>
        <v>027706</v>
      </c>
      <c r="M577" t="str">
        <f>"54196"</f>
        <v>54196</v>
      </c>
      <c r="N577" t="s">
        <v>50</v>
      </c>
      <c r="O577">
        <v>50</v>
      </c>
      <c r="P577">
        <v>20190322</v>
      </c>
      <c r="Q577" t="s">
        <v>51</v>
      </c>
      <c r="R577" t="s">
        <v>221</v>
      </c>
      <c r="S577" t="s">
        <v>23</v>
      </c>
      <c r="T577" t="s">
        <v>53</v>
      </c>
    </row>
    <row r="578" spans="1:20" x14ac:dyDescent="0.25">
      <c r="A578">
        <v>9</v>
      </c>
      <c r="B578">
        <v>163</v>
      </c>
      <c r="C578" t="str">
        <f t="shared" ref="C578:C641" si="59">"00"</f>
        <v>00</v>
      </c>
      <c r="D578">
        <v>2159</v>
      </c>
      <c r="E578" t="str">
        <f t="shared" ref="E578:E641" si="60">"00"</f>
        <v>00</v>
      </c>
      <c r="F578" t="str">
        <f>"111"</f>
        <v>111</v>
      </c>
      <c r="G578">
        <v>9</v>
      </c>
      <c r="H578" t="str">
        <f t="shared" ref="H578:H641" si="61">"00"</f>
        <v>00</v>
      </c>
      <c r="I578" t="str">
        <f t="shared" ref="I578:I641" si="62">"0"</f>
        <v>0</v>
      </c>
      <c r="J578" t="str">
        <f t="shared" ref="J578:J641" si="63">"00"</f>
        <v>00</v>
      </c>
      <c r="K578">
        <v>20190322</v>
      </c>
      <c r="L578" t="str">
        <f>"027707"</f>
        <v>027707</v>
      </c>
      <c r="M578" t="str">
        <f>"72601"</f>
        <v>72601</v>
      </c>
      <c r="N578" t="s">
        <v>54</v>
      </c>
      <c r="O578">
        <v>452.74</v>
      </c>
      <c r="P578">
        <v>20190322</v>
      </c>
      <c r="Q578" t="s">
        <v>55</v>
      </c>
      <c r="R578" t="s">
        <v>220</v>
      </c>
      <c r="S578" t="s">
        <v>23</v>
      </c>
      <c r="T578" t="s">
        <v>56</v>
      </c>
    </row>
    <row r="579" spans="1:20" x14ac:dyDescent="0.25">
      <c r="A579">
        <v>9</v>
      </c>
      <c r="B579">
        <v>163</v>
      </c>
      <c r="C579" t="str">
        <f t="shared" si="59"/>
        <v>00</v>
      </c>
      <c r="D579">
        <v>2153</v>
      </c>
      <c r="E579" t="str">
        <f t="shared" si="60"/>
        <v>00</v>
      </c>
      <c r="F579" t="str">
        <f>"006"</f>
        <v>006</v>
      </c>
      <c r="G579">
        <v>9</v>
      </c>
      <c r="H579" t="str">
        <f t="shared" si="61"/>
        <v>00</v>
      </c>
      <c r="I579" t="str">
        <f t="shared" si="62"/>
        <v>0</v>
      </c>
      <c r="J579" t="str">
        <f t="shared" si="63"/>
        <v>00</v>
      </c>
      <c r="K579">
        <v>20190322</v>
      </c>
      <c r="L579" t="str">
        <f>"027708"</f>
        <v>027708</v>
      </c>
      <c r="M579" t="str">
        <f>"75452"</f>
        <v>75452</v>
      </c>
      <c r="N579" t="s">
        <v>57</v>
      </c>
      <c r="O579">
        <v>473.44</v>
      </c>
      <c r="P579">
        <v>20190322</v>
      </c>
      <c r="Q579" t="s">
        <v>58</v>
      </c>
      <c r="R579" t="s">
        <v>219</v>
      </c>
      <c r="S579" t="s">
        <v>23</v>
      </c>
      <c r="T579" t="s">
        <v>59</v>
      </c>
    </row>
    <row r="580" spans="1:20" x14ac:dyDescent="0.25">
      <c r="A580">
        <v>9</v>
      </c>
      <c r="B580">
        <v>163</v>
      </c>
      <c r="C580" t="str">
        <f t="shared" si="59"/>
        <v>00</v>
      </c>
      <c r="D580">
        <v>2159</v>
      </c>
      <c r="E580" t="str">
        <f t="shared" si="60"/>
        <v>00</v>
      </c>
      <c r="F580" t="str">
        <f>"106"</f>
        <v>106</v>
      </c>
      <c r="G580">
        <v>9</v>
      </c>
      <c r="H580" t="str">
        <f t="shared" si="61"/>
        <v>00</v>
      </c>
      <c r="I580" t="str">
        <f t="shared" si="62"/>
        <v>0</v>
      </c>
      <c r="J580" t="str">
        <f t="shared" si="63"/>
        <v>00</v>
      </c>
      <c r="K580">
        <v>20190322</v>
      </c>
      <c r="L580" t="str">
        <f>"027709"</f>
        <v>027709</v>
      </c>
      <c r="M580" t="str">
        <f>"81173"</f>
        <v>81173</v>
      </c>
      <c r="N580" t="s">
        <v>60</v>
      </c>
      <c r="O580">
        <v>69.89</v>
      </c>
      <c r="P580">
        <v>20190322</v>
      </c>
      <c r="Q580" t="s">
        <v>61</v>
      </c>
      <c r="R580" t="s">
        <v>220</v>
      </c>
      <c r="S580" t="s">
        <v>23</v>
      </c>
      <c r="T580" t="s">
        <v>62</v>
      </c>
    </row>
    <row r="581" spans="1:20" x14ac:dyDescent="0.25">
      <c r="A581">
        <v>9</v>
      </c>
      <c r="B581">
        <v>163</v>
      </c>
      <c r="C581" t="str">
        <f t="shared" si="59"/>
        <v>00</v>
      </c>
      <c r="D581">
        <v>2159</v>
      </c>
      <c r="E581" t="str">
        <f t="shared" si="60"/>
        <v>00</v>
      </c>
      <c r="F581" t="str">
        <f>"007"</f>
        <v>007</v>
      </c>
      <c r="G581">
        <v>9</v>
      </c>
      <c r="H581" t="str">
        <f t="shared" si="61"/>
        <v>00</v>
      </c>
      <c r="I581" t="str">
        <f t="shared" si="62"/>
        <v>0</v>
      </c>
      <c r="J581" t="str">
        <f t="shared" si="63"/>
        <v>00</v>
      </c>
      <c r="K581">
        <v>20190322</v>
      </c>
      <c r="L581" t="str">
        <f>"027710"</f>
        <v>027710</v>
      </c>
      <c r="M581" t="str">
        <f>"81174"</f>
        <v>81174</v>
      </c>
      <c r="N581" t="s">
        <v>63</v>
      </c>
      <c r="O581">
        <v>34.89</v>
      </c>
      <c r="P581">
        <v>20190322</v>
      </c>
      <c r="Q581" t="s">
        <v>64</v>
      </c>
      <c r="R581" t="s">
        <v>220</v>
      </c>
      <c r="S581" t="s">
        <v>23</v>
      </c>
      <c r="T581" t="s">
        <v>65</v>
      </c>
    </row>
    <row r="582" spans="1:20" x14ac:dyDescent="0.25">
      <c r="A582">
        <v>9</v>
      </c>
      <c r="B582">
        <v>163</v>
      </c>
      <c r="C582" t="str">
        <f t="shared" si="59"/>
        <v>00</v>
      </c>
      <c r="D582">
        <v>2159</v>
      </c>
      <c r="E582" t="str">
        <f t="shared" si="60"/>
        <v>00</v>
      </c>
      <c r="F582" t="str">
        <f>"100"</f>
        <v>100</v>
      </c>
      <c r="G582">
        <v>9</v>
      </c>
      <c r="H582" t="str">
        <f t="shared" si="61"/>
        <v>00</v>
      </c>
      <c r="I582" t="str">
        <f t="shared" si="62"/>
        <v>0</v>
      </c>
      <c r="J582" t="str">
        <f t="shared" si="63"/>
        <v>00</v>
      </c>
      <c r="K582">
        <v>20190322</v>
      </c>
      <c r="L582" t="str">
        <f>"027711"</f>
        <v>027711</v>
      </c>
      <c r="M582" t="str">
        <f>"81177"</f>
        <v>81177</v>
      </c>
      <c r="N582" t="s">
        <v>66</v>
      </c>
      <c r="O582">
        <v>32</v>
      </c>
      <c r="P582">
        <v>20190322</v>
      </c>
      <c r="Q582" t="s">
        <v>67</v>
      </c>
      <c r="R582" t="s">
        <v>220</v>
      </c>
      <c r="S582" t="s">
        <v>23</v>
      </c>
      <c r="T582" t="s">
        <v>68</v>
      </c>
    </row>
    <row r="583" spans="1:20" x14ac:dyDescent="0.25">
      <c r="A583">
        <v>9</v>
      </c>
      <c r="B583">
        <v>163</v>
      </c>
      <c r="C583" t="str">
        <f t="shared" si="59"/>
        <v>00</v>
      </c>
      <c r="D583">
        <v>2153</v>
      </c>
      <c r="E583" t="str">
        <f t="shared" si="60"/>
        <v>00</v>
      </c>
      <c r="F583" t="str">
        <f>"141"</f>
        <v>141</v>
      </c>
      <c r="G583">
        <v>9</v>
      </c>
      <c r="H583" t="str">
        <f t="shared" si="61"/>
        <v>00</v>
      </c>
      <c r="I583" t="str">
        <f t="shared" si="62"/>
        <v>0</v>
      </c>
      <c r="J583" t="str">
        <f t="shared" si="63"/>
        <v>00</v>
      </c>
      <c r="K583">
        <v>20190405</v>
      </c>
      <c r="L583" t="str">
        <f>"027740"</f>
        <v>027740</v>
      </c>
      <c r="M583" t="str">
        <f>"00068"</f>
        <v>00068</v>
      </c>
      <c r="N583" t="s">
        <v>20</v>
      </c>
      <c r="O583">
        <v>425.71</v>
      </c>
      <c r="P583">
        <v>20190405</v>
      </c>
      <c r="Q583" t="s">
        <v>21</v>
      </c>
      <c r="R583" t="s">
        <v>228</v>
      </c>
      <c r="S583" t="s">
        <v>23</v>
      </c>
      <c r="T583" t="s">
        <v>24</v>
      </c>
    </row>
    <row r="584" spans="1:20" x14ac:dyDescent="0.25">
      <c r="A584">
        <v>9</v>
      </c>
      <c r="B584">
        <v>163</v>
      </c>
      <c r="C584" t="str">
        <f t="shared" si="59"/>
        <v>00</v>
      </c>
      <c r="D584">
        <v>2153</v>
      </c>
      <c r="E584" t="str">
        <f t="shared" si="60"/>
        <v>00</v>
      </c>
      <c r="F584" t="str">
        <f>"142"</f>
        <v>142</v>
      </c>
      <c r="G584">
        <v>9</v>
      </c>
      <c r="H584" t="str">
        <f t="shared" si="61"/>
        <v>00</v>
      </c>
      <c r="I584" t="str">
        <f t="shared" si="62"/>
        <v>0</v>
      </c>
      <c r="J584" t="str">
        <f t="shared" si="63"/>
        <v>00</v>
      </c>
      <c r="K584">
        <v>20190405</v>
      </c>
      <c r="L584" t="str">
        <f>"027740"</f>
        <v>027740</v>
      </c>
      <c r="M584" t="str">
        <f>"00068"</f>
        <v>00068</v>
      </c>
      <c r="N584" t="s">
        <v>20</v>
      </c>
      <c r="O584">
        <v>376.62</v>
      </c>
      <c r="P584">
        <v>20190405</v>
      </c>
      <c r="Q584" t="s">
        <v>25</v>
      </c>
      <c r="R584" t="s">
        <v>229</v>
      </c>
      <c r="S584" t="s">
        <v>23</v>
      </c>
      <c r="T584" t="s">
        <v>27</v>
      </c>
    </row>
    <row r="585" spans="1:20" x14ac:dyDescent="0.25">
      <c r="A585">
        <v>9</v>
      </c>
      <c r="B585">
        <v>163</v>
      </c>
      <c r="C585" t="str">
        <f t="shared" si="59"/>
        <v>00</v>
      </c>
      <c r="D585">
        <v>2159</v>
      </c>
      <c r="E585" t="str">
        <f t="shared" si="60"/>
        <v>00</v>
      </c>
      <c r="F585" t="str">
        <f>"148"</f>
        <v>148</v>
      </c>
      <c r="G585">
        <v>9</v>
      </c>
      <c r="H585" t="str">
        <f t="shared" si="61"/>
        <v>00</v>
      </c>
      <c r="I585" t="str">
        <f t="shared" si="62"/>
        <v>0</v>
      </c>
      <c r="J585" t="str">
        <f t="shared" si="63"/>
        <v>00</v>
      </c>
      <c r="K585">
        <v>20190405</v>
      </c>
      <c r="L585" t="str">
        <f>"027741"</f>
        <v>027741</v>
      </c>
      <c r="M585" t="str">
        <f>"00528"</f>
        <v>00528</v>
      </c>
      <c r="N585" t="s">
        <v>159</v>
      </c>
      <c r="O585">
        <v>22.5</v>
      </c>
      <c r="P585">
        <v>20190405</v>
      </c>
      <c r="Q585" t="s">
        <v>160</v>
      </c>
      <c r="R585" t="s">
        <v>230</v>
      </c>
      <c r="S585" t="s">
        <v>23</v>
      </c>
      <c r="T585" t="s">
        <v>162</v>
      </c>
    </row>
    <row r="586" spans="1:20" x14ac:dyDescent="0.25">
      <c r="A586">
        <v>9</v>
      </c>
      <c r="B586">
        <v>163</v>
      </c>
      <c r="C586" t="str">
        <f t="shared" si="59"/>
        <v>00</v>
      </c>
      <c r="D586">
        <v>2153</v>
      </c>
      <c r="E586" t="str">
        <f t="shared" si="60"/>
        <v>00</v>
      </c>
      <c r="F586" t="str">
        <f>"022"</f>
        <v>022</v>
      </c>
      <c r="G586">
        <v>9</v>
      </c>
      <c r="H586" t="str">
        <f t="shared" si="61"/>
        <v>00</v>
      </c>
      <c r="I586" t="str">
        <f t="shared" si="62"/>
        <v>0</v>
      </c>
      <c r="J586" t="str">
        <f t="shared" si="63"/>
        <v>00</v>
      </c>
      <c r="K586">
        <v>20190405</v>
      </c>
      <c r="L586" t="str">
        <f>"027742"</f>
        <v>027742</v>
      </c>
      <c r="M586" t="str">
        <f>"04831"</f>
        <v>04831</v>
      </c>
      <c r="N586" t="s">
        <v>28</v>
      </c>
      <c r="O586">
        <v>16.77</v>
      </c>
      <c r="P586">
        <v>20190405</v>
      </c>
      <c r="Q586" t="s">
        <v>29</v>
      </c>
      <c r="R586" t="s">
        <v>229</v>
      </c>
      <c r="S586" t="s">
        <v>23</v>
      </c>
      <c r="T586" t="s">
        <v>30</v>
      </c>
    </row>
    <row r="587" spans="1:20" x14ac:dyDescent="0.25">
      <c r="A587">
        <v>9</v>
      </c>
      <c r="B587">
        <v>163</v>
      </c>
      <c r="C587" t="str">
        <f t="shared" si="59"/>
        <v>00</v>
      </c>
      <c r="D587">
        <v>2159</v>
      </c>
      <c r="E587" t="str">
        <f t="shared" si="60"/>
        <v>00</v>
      </c>
      <c r="F587" t="str">
        <f>"018"</f>
        <v>018</v>
      </c>
      <c r="G587">
        <v>9</v>
      </c>
      <c r="H587" t="str">
        <f t="shared" si="61"/>
        <v>00</v>
      </c>
      <c r="I587" t="str">
        <f t="shared" si="62"/>
        <v>0</v>
      </c>
      <c r="J587" t="str">
        <f t="shared" si="63"/>
        <v>00</v>
      </c>
      <c r="K587">
        <v>20190405</v>
      </c>
      <c r="L587" t="str">
        <f>"027743"</f>
        <v>027743</v>
      </c>
      <c r="M587" t="str">
        <f>"04905"</f>
        <v>04905</v>
      </c>
      <c r="N587" t="s">
        <v>31</v>
      </c>
      <c r="O587">
        <v>73.48</v>
      </c>
      <c r="P587">
        <v>20190405</v>
      </c>
      <c r="Q587" t="s">
        <v>32</v>
      </c>
      <c r="R587" t="s">
        <v>230</v>
      </c>
      <c r="S587" t="s">
        <v>23</v>
      </c>
      <c r="T587" t="s">
        <v>34</v>
      </c>
    </row>
    <row r="588" spans="1:20" x14ac:dyDescent="0.25">
      <c r="A588">
        <v>9</v>
      </c>
      <c r="B588">
        <v>163</v>
      </c>
      <c r="C588" t="str">
        <f t="shared" si="59"/>
        <v>00</v>
      </c>
      <c r="D588">
        <v>2159</v>
      </c>
      <c r="E588" t="str">
        <f t="shared" si="60"/>
        <v>00</v>
      </c>
      <c r="F588" t="str">
        <f>"068"</f>
        <v>068</v>
      </c>
      <c r="G588">
        <v>9</v>
      </c>
      <c r="H588" t="str">
        <f t="shared" si="61"/>
        <v>00</v>
      </c>
      <c r="I588" t="str">
        <f t="shared" si="62"/>
        <v>0</v>
      </c>
      <c r="J588" t="str">
        <f t="shared" si="63"/>
        <v>00</v>
      </c>
      <c r="K588">
        <v>20190405</v>
      </c>
      <c r="L588" t="str">
        <f>"027744"</f>
        <v>027744</v>
      </c>
      <c r="M588" t="str">
        <f>"10095"</f>
        <v>10095</v>
      </c>
      <c r="N588" t="s">
        <v>83</v>
      </c>
      <c r="O588">
        <v>14.59</v>
      </c>
      <c r="P588">
        <v>20190405</v>
      </c>
      <c r="Q588" t="s">
        <v>84</v>
      </c>
      <c r="R588" t="s">
        <v>230</v>
      </c>
      <c r="S588" t="s">
        <v>23</v>
      </c>
      <c r="T588" t="s">
        <v>85</v>
      </c>
    </row>
    <row r="589" spans="1:20" x14ac:dyDescent="0.25">
      <c r="A589">
        <v>9</v>
      </c>
      <c r="B589">
        <v>163</v>
      </c>
      <c r="C589" t="str">
        <f t="shared" si="59"/>
        <v>00</v>
      </c>
      <c r="D589">
        <v>2153</v>
      </c>
      <c r="E589" t="str">
        <f t="shared" si="60"/>
        <v>00</v>
      </c>
      <c r="F589" t="str">
        <f>"011"</f>
        <v>011</v>
      </c>
      <c r="G589">
        <v>9</v>
      </c>
      <c r="H589" t="str">
        <f t="shared" si="61"/>
        <v>00</v>
      </c>
      <c r="I589" t="str">
        <f t="shared" si="62"/>
        <v>0</v>
      </c>
      <c r="J589" t="str">
        <f t="shared" si="63"/>
        <v>00</v>
      </c>
      <c r="K589">
        <v>20190405</v>
      </c>
      <c r="L589" t="str">
        <f>"027745"</f>
        <v>027745</v>
      </c>
      <c r="M589" t="str">
        <f>"11211"</f>
        <v>11211</v>
      </c>
      <c r="N589" t="s">
        <v>41</v>
      </c>
      <c r="O589">
        <v>166.15</v>
      </c>
      <c r="P589">
        <v>20190405</v>
      </c>
      <c r="Q589" t="s">
        <v>42</v>
      </c>
      <c r="R589" t="s">
        <v>229</v>
      </c>
      <c r="S589" t="s">
        <v>23</v>
      </c>
      <c r="T589" t="s">
        <v>43</v>
      </c>
    </row>
    <row r="590" spans="1:20" x14ac:dyDescent="0.25">
      <c r="A590">
        <v>9</v>
      </c>
      <c r="B590">
        <v>163</v>
      </c>
      <c r="C590" t="str">
        <f t="shared" si="59"/>
        <v>00</v>
      </c>
      <c r="D590">
        <v>2159</v>
      </c>
      <c r="E590" t="str">
        <f t="shared" si="60"/>
        <v>00</v>
      </c>
      <c r="F590" t="str">
        <f>"104"</f>
        <v>104</v>
      </c>
      <c r="G590">
        <v>9</v>
      </c>
      <c r="H590" t="str">
        <f t="shared" si="61"/>
        <v>00</v>
      </c>
      <c r="I590" t="str">
        <f t="shared" si="62"/>
        <v>0</v>
      </c>
      <c r="J590" t="str">
        <f t="shared" si="63"/>
        <v>00</v>
      </c>
      <c r="K590">
        <v>20190405</v>
      </c>
      <c r="L590" t="str">
        <f>"027746"</f>
        <v>027746</v>
      </c>
      <c r="M590" t="str">
        <f>"14177"</f>
        <v>14177</v>
      </c>
      <c r="N590" t="s">
        <v>163</v>
      </c>
      <c r="O590">
        <v>87.25</v>
      </c>
      <c r="P590">
        <v>20190405</v>
      </c>
      <c r="Q590" t="s">
        <v>45</v>
      </c>
      <c r="R590" t="s">
        <v>230</v>
      </c>
      <c r="S590" t="s">
        <v>23</v>
      </c>
      <c r="T590" t="s">
        <v>46</v>
      </c>
    </row>
    <row r="591" spans="1:20" x14ac:dyDescent="0.25">
      <c r="A591">
        <v>9</v>
      </c>
      <c r="B591">
        <v>163</v>
      </c>
      <c r="C591" t="str">
        <f t="shared" si="59"/>
        <v>00</v>
      </c>
      <c r="D591">
        <v>2153</v>
      </c>
      <c r="E591" t="str">
        <f t="shared" si="60"/>
        <v>00</v>
      </c>
      <c r="F591" t="str">
        <f>"110"</f>
        <v>110</v>
      </c>
      <c r="G591">
        <v>9</v>
      </c>
      <c r="H591" t="str">
        <f t="shared" si="61"/>
        <v>00</v>
      </c>
      <c r="I591" t="str">
        <f t="shared" si="62"/>
        <v>0</v>
      </c>
      <c r="J591" t="str">
        <f t="shared" si="63"/>
        <v>00</v>
      </c>
      <c r="K591">
        <v>20190405</v>
      </c>
      <c r="L591" t="str">
        <f>"027747"</f>
        <v>027747</v>
      </c>
      <c r="M591" t="str">
        <f>"48947"</f>
        <v>48947</v>
      </c>
      <c r="N591" t="s">
        <v>47</v>
      </c>
      <c r="O591">
        <v>34.78</v>
      </c>
      <c r="P591">
        <v>20190405</v>
      </c>
      <c r="Q591" t="s">
        <v>48</v>
      </c>
      <c r="R591" t="s">
        <v>228</v>
      </c>
      <c r="S591" t="s">
        <v>23</v>
      </c>
      <c r="T591" t="s">
        <v>49</v>
      </c>
    </row>
    <row r="592" spans="1:20" x14ac:dyDescent="0.25">
      <c r="A592">
        <v>9</v>
      </c>
      <c r="B592">
        <v>163</v>
      </c>
      <c r="C592" t="str">
        <f t="shared" si="59"/>
        <v>00</v>
      </c>
      <c r="D592">
        <v>2159</v>
      </c>
      <c r="E592" t="str">
        <f t="shared" si="60"/>
        <v>00</v>
      </c>
      <c r="F592" t="str">
        <f>"131"</f>
        <v>131</v>
      </c>
      <c r="G592">
        <v>9</v>
      </c>
      <c r="H592" t="str">
        <f t="shared" si="61"/>
        <v>00</v>
      </c>
      <c r="I592" t="str">
        <f t="shared" si="62"/>
        <v>0</v>
      </c>
      <c r="J592" t="str">
        <f t="shared" si="63"/>
        <v>00</v>
      </c>
      <c r="K592">
        <v>20190405</v>
      </c>
      <c r="L592" t="str">
        <f>"027748"</f>
        <v>027748</v>
      </c>
      <c r="M592" t="str">
        <f>"54196"</f>
        <v>54196</v>
      </c>
      <c r="N592" t="s">
        <v>50</v>
      </c>
      <c r="O592">
        <v>50</v>
      </c>
      <c r="P592">
        <v>20190405</v>
      </c>
      <c r="Q592" t="s">
        <v>51</v>
      </c>
      <c r="R592" t="s">
        <v>231</v>
      </c>
      <c r="S592" t="s">
        <v>23</v>
      </c>
      <c r="T592" t="s">
        <v>53</v>
      </c>
    </row>
    <row r="593" spans="1:20" x14ac:dyDescent="0.25">
      <c r="A593">
        <v>9</v>
      </c>
      <c r="B593">
        <v>163</v>
      </c>
      <c r="C593" t="str">
        <f t="shared" si="59"/>
        <v>00</v>
      </c>
      <c r="D593">
        <v>2159</v>
      </c>
      <c r="E593" t="str">
        <f t="shared" si="60"/>
        <v>00</v>
      </c>
      <c r="F593" t="str">
        <f>"111"</f>
        <v>111</v>
      </c>
      <c r="G593">
        <v>9</v>
      </c>
      <c r="H593" t="str">
        <f t="shared" si="61"/>
        <v>00</v>
      </c>
      <c r="I593" t="str">
        <f t="shared" si="62"/>
        <v>0</v>
      </c>
      <c r="J593" t="str">
        <f t="shared" si="63"/>
        <v>00</v>
      </c>
      <c r="K593">
        <v>20190405</v>
      </c>
      <c r="L593" t="str">
        <f>"027749"</f>
        <v>027749</v>
      </c>
      <c r="M593" t="str">
        <f>"72601"</f>
        <v>72601</v>
      </c>
      <c r="N593" t="s">
        <v>54</v>
      </c>
      <c r="O593">
        <v>399.1</v>
      </c>
      <c r="P593">
        <v>20190405</v>
      </c>
      <c r="Q593" t="s">
        <v>55</v>
      </c>
      <c r="R593" t="s">
        <v>230</v>
      </c>
      <c r="S593" t="s">
        <v>23</v>
      </c>
      <c r="T593" t="s">
        <v>56</v>
      </c>
    </row>
    <row r="594" spans="1:20" x14ac:dyDescent="0.25">
      <c r="A594">
        <v>9</v>
      </c>
      <c r="B594">
        <v>163</v>
      </c>
      <c r="C594" t="str">
        <f t="shared" si="59"/>
        <v>00</v>
      </c>
      <c r="D594">
        <v>2153</v>
      </c>
      <c r="E594" t="str">
        <f t="shared" si="60"/>
        <v>00</v>
      </c>
      <c r="F594" t="str">
        <f>"006"</f>
        <v>006</v>
      </c>
      <c r="G594">
        <v>9</v>
      </c>
      <c r="H594" t="str">
        <f t="shared" si="61"/>
        <v>00</v>
      </c>
      <c r="I594" t="str">
        <f t="shared" si="62"/>
        <v>0</v>
      </c>
      <c r="J594" t="str">
        <f t="shared" si="63"/>
        <v>00</v>
      </c>
      <c r="K594">
        <v>20190405</v>
      </c>
      <c r="L594" t="str">
        <f>"027750"</f>
        <v>027750</v>
      </c>
      <c r="M594" t="str">
        <f>"75452"</f>
        <v>75452</v>
      </c>
      <c r="N594" t="s">
        <v>57</v>
      </c>
      <c r="O594">
        <v>423.44</v>
      </c>
      <c r="P594">
        <v>20190405</v>
      </c>
      <c r="Q594" t="s">
        <v>58</v>
      </c>
      <c r="R594" t="s">
        <v>229</v>
      </c>
      <c r="S594" t="s">
        <v>23</v>
      </c>
      <c r="T594" t="s">
        <v>59</v>
      </c>
    </row>
    <row r="595" spans="1:20" x14ac:dyDescent="0.25">
      <c r="A595">
        <v>9</v>
      </c>
      <c r="B595">
        <v>163</v>
      </c>
      <c r="C595" t="str">
        <f t="shared" si="59"/>
        <v>00</v>
      </c>
      <c r="D595">
        <v>2159</v>
      </c>
      <c r="E595" t="str">
        <f t="shared" si="60"/>
        <v>00</v>
      </c>
      <c r="F595" t="str">
        <f>"106"</f>
        <v>106</v>
      </c>
      <c r="G595">
        <v>9</v>
      </c>
      <c r="H595" t="str">
        <f t="shared" si="61"/>
        <v>00</v>
      </c>
      <c r="I595" t="str">
        <f t="shared" si="62"/>
        <v>0</v>
      </c>
      <c r="J595" t="str">
        <f t="shared" si="63"/>
        <v>00</v>
      </c>
      <c r="K595">
        <v>20190405</v>
      </c>
      <c r="L595" t="str">
        <f>"027751"</f>
        <v>027751</v>
      </c>
      <c r="M595" t="str">
        <f>"81173"</f>
        <v>81173</v>
      </c>
      <c r="N595" t="s">
        <v>60</v>
      </c>
      <c r="O595">
        <v>69.89</v>
      </c>
      <c r="P595">
        <v>20190405</v>
      </c>
      <c r="Q595" t="s">
        <v>61</v>
      </c>
      <c r="R595" t="s">
        <v>230</v>
      </c>
      <c r="S595" t="s">
        <v>23</v>
      </c>
      <c r="T595" t="s">
        <v>62</v>
      </c>
    </row>
    <row r="596" spans="1:20" x14ac:dyDescent="0.25">
      <c r="A596">
        <v>9</v>
      </c>
      <c r="B596">
        <v>163</v>
      </c>
      <c r="C596" t="str">
        <f t="shared" si="59"/>
        <v>00</v>
      </c>
      <c r="D596">
        <v>2159</v>
      </c>
      <c r="E596" t="str">
        <f t="shared" si="60"/>
        <v>00</v>
      </c>
      <c r="F596" t="str">
        <f>"007"</f>
        <v>007</v>
      </c>
      <c r="G596">
        <v>9</v>
      </c>
      <c r="H596" t="str">
        <f t="shared" si="61"/>
        <v>00</v>
      </c>
      <c r="I596" t="str">
        <f t="shared" si="62"/>
        <v>0</v>
      </c>
      <c r="J596" t="str">
        <f t="shared" si="63"/>
        <v>00</v>
      </c>
      <c r="K596">
        <v>20190405</v>
      </c>
      <c r="L596" t="str">
        <f>"027752"</f>
        <v>027752</v>
      </c>
      <c r="M596" t="str">
        <f>"81174"</f>
        <v>81174</v>
      </c>
      <c r="N596" t="s">
        <v>63</v>
      </c>
      <c r="O596">
        <v>34.89</v>
      </c>
      <c r="P596">
        <v>20190405</v>
      </c>
      <c r="Q596" t="s">
        <v>64</v>
      </c>
      <c r="R596" t="s">
        <v>230</v>
      </c>
      <c r="S596" t="s">
        <v>23</v>
      </c>
      <c r="T596" t="s">
        <v>65</v>
      </c>
    </row>
    <row r="597" spans="1:20" x14ac:dyDescent="0.25">
      <c r="A597">
        <v>9</v>
      </c>
      <c r="B597">
        <v>163</v>
      </c>
      <c r="C597" t="str">
        <f t="shared" si="59"/>
        <v>00</v>
      </c>
      <c r="D597">
        <v>2159</v>
      </c>
      <c r="E597" t="str">
        <f t="shared" si="60"/>
        <v>00</v>
      </c>
      <c r="F597" t="str">
        <f>"100"</f>
        <v>100</v>
      </c>
      <c r="G597">
        <v>9</v>
      </c>
      <c r="H597" t="str">
        <f t="shared" si="61"/>
        <v>00</v>
      </c>
      <c r="I597" t="str">
        <f t="shared" si="62"/>
        <v>0</v>
      </c>
      <c r="J597" t="str">
        <f t="shared" si="63"/>
        <v>00</v>
      </c>
      <c r="K597">
        <v>20190405</v>
      </c>
      <c r="L597" t="str">
        <f>"027753"</f>
        <v>027753</v>
      </c>
      <c r="M597" t="str">
        <f>"81177"</f>
        <v>81177</v>
      </c>
      <c r="N597" t="s">
        <v>66</v>
      </c>
      <c r="O597">
        <v>32</v>
      </c>
      <c r="P597">
        <v>20190405</v>
      </c>
      <c r="Q597" t="s">
        <v>67</v>
      </c>
      <c r="R597" t="s">
        <v>230</v>
      </c>
      <c r="S597" t="s">
        <v>23</v>
      </c>
      <c r="T597" t="s">
        <v>68</v>
      </c>
    </row>
    <row r="598" spans="1:20" x14ac:dyDescent="0.25">
      <c r="A598">
        <v>9</v>
      </c>
      <c r="B598">
        <v>163</v>
      </c>
      <c r="C598" t="str">
        <f t="shared" si="59"/>
        <v>00</v>
      </c>
      <c r="D598">
        <v>2153</v>
      </c>
      <c r="E598" t="str">
        <f t="shared" si="60"/>
        <v>00</v>
      </c>
      <c r="F598" t="str">
        <f>"141"</f>
        <v>141</v>
      </c>
      <c r="G598">
        <v>9</v>
      </c>
      <c r="H598" t="str">
        <f t="shared" si="61"/>
        <v>00</v>
      </c>
      <c r="I598" t="str">
        <f t="shared" si="62"/>
        <v>0</v>
      </c>
      <c r="J598" t="str">
        <f t="shared" si="63"/>
        <v>00</v>
      </c>
      <c r="K598">
        <v>20190415</v>
      </c>
      <c r="L598" t="str">
        <f>"027770"</f>
        <v>027770</v>
      </c>
      <c r="M598" t="str">
        <f>"00068"</f>
        <v>00068</v>
      </c>
      <c r="N598" t="s">
        <v>20</v>
      </c>
      <c r="O598" s="1">
        <v>5243.89</v>
      </c>
      <c r="P598">
        <v>20190415</v>
      </c>
      <c r="Q598" t="s">
        <v>21</v>
      </c>
      <c r="R598" t="s">
        <v>228</v>
      </c>
      <c r="S598" t="s">
        <v>23</v>
      </c>
      <c r="T598" t="s">
        <v>24</v>
      </c>
    </row>
    <row r="599" spans="1:20" x14ac:dyDescent="0.25">
      <c r="A599">
        <v>9</v>
      </c>
      <c r="B599">
        <v>163</v>
      </c>
      <c r="C599" t="str">
        <f t="shared" si="59"/>
        <v>00</v>
      </c>
      <c r="D599">
        <v>2153</v>
      </c>
      <c r="E599" t="str">
        <f t="shared" si="60"/>
        <v>00</v>
      </c>
      <c r="F599" t="str">
        <f>"142"</f>
        <v>142</v>
      </c>
      <c r="G599">
        <v>9</v>
      </c>
      <c r="H599" t="str">
        <f t="shared" si="61"/>
        <v>00</v>
      </c>
      <c r="I599" t="str">
        <f t="shared" si="62"/>
        <v>0</v>
      </c>
      <c r="J599" t="str">
        <f t="shared" si="63"/>
        <v>00</v>
      </c>
      <c r="K599">
        <v>20190415</v>
      </c>
      <c r="L599" t="str">
        <f>"027770"</f>
        <v>027770</v>
      </c>
      <c r="M599" t="str">
        <f>"00068"</f>
        <v>00068</v>
      </c>
      <c r="N599" t="s">
        <v>20</v>
      </c>
      <c r="O599" s="1">
        <v>9412.58</v>
      </c>
      <c r="P599">
        <v>20190415</v>
      </c>
      <c r="Q599" t="s">
        <v>25</v>
      </c>
      <c r="R599" t="s">
        <v>229</v>
      </c>
      <c r="S599" t="s">
        <v>23</v>
      </c>
      <c r="T599" t="s">
        <v>27</v>
      </c>
    </row>
    <row r="600" spans="1:20" x14ac:dyDescent="0.25">
      <c r="A600">
        <v>9</v>
      </c>
      <c r="B600">
        <v>163</v>
      </c>
      <c r="C600" t="str">
        <f t="shared" si="59"/>
        <v>00</v>
      </c>
      <c r="D600">
        <v>2159</v>
      </c>
      <c r="E600" t="str">
        <f t="shared" si="60"/>
        <v>00</v>
      </c>
      <c r="F600" t="str">
        <f>"143"</f>
        <v>143</v>
      </c>
      <c r="G600">
        <v>9</v>
      </c>
      <c r="H600" t="str">
        <f t="shared" si="61"/>
        <v>00</v>
      </c>
      <c r="I600" t="str">
        <f t="shared" si="62"/>
        <v>0</v>
      </c>
      <c r="J600" t="str">
        <f t="shared" si="63"/>
        <v>00</v>
      </c>
      <c r="K600">
        <v>20190415</v>
      </c>
      <c r="L600" t="str">
        <f>"027771"</f>
        <v>027771</v>
      </c>
      <c r="M600" t="str">
        <f>"00069"</f>
        <v>00069</v>
      </c>
      <c r="N600" t="s">
        <v>72</v>
      </c>
      <c r="O600">
        <v>285.94</v>
      </c>
      <c r="P600">
        <v>20190415</v>
      </c>
      <c r="Q600" t="s">
        <v>73</v>
      </c>
      <c r="R600" t="s">
        <v>230</v>
      </c>
      <c r="S600" t="s">
        <v>23</v>
      </c>
      <c r="T600" t="s">
        <v>74</v>
      </c>
    </row>
    <row r="601" spans="1:20" x14ac:dyDescent="0.25">
      <c r="A601">
        <v>9</v>
      </c>
      <c r="B601">
        <v>163</v>
      </c>
      <c r="C601" t="str">
        <f t="shared" si="59"/>
        <v>00</v>
      </c>
      <c r="D601">
        <v>2159</v>
      </c>
      <c r="E601" t="str">
        <f t="shared" si="60"/>
        <v>00</v>
      </c>
      <c r="F601" t="str">
        <f>"146"</f>
        <v>146</v>
      </c>
      <c r="G601">
        <v>9</v>
      </c>
      <c r="H601" t="str">
        <f t="shared" si="61"/>
        <v>00</v>
      </c>
      <c r="I601" t="str">
        <f t="shared" si="62"/>
        <v>0</v>
      </c>
      <c r="J601" t="str">
        <f t="shared" si="63"/>
        <v>00</v>
      </c>
      <c r="K601">
        <v>20190415</v>
      </c>
      <c r="L601" t="str">
        <f>"027772"</f>
        <v>027772</v>
      </c>
      <c r="M601" t="str">
        <f>"00086"</f>
        <v>00086</v>
      </c>
      <c r="N601" t="s">
        <v>75</v>
      </c>
      <c r="O601">
        <v>263.23</v>
      </c>
      <c r="P601">
        <v>20190415</v>
      </c>
      <c r="Q601" t="s">
        <v>76</v>
      </c>
      <c r="R601" t="s">
        <v>230</v>
      </c>
      <c r="S601" t="s">
        <v>23</v>
      </c>
      <c r="T601" t="s">
        <v>75</v>
      </c>
    </row>
    <row r="602" spans="1:20" x14ac:dyDescent="0.25">
      <c r="A602">
        <v>9</v>
      </c>
      <c r="B602">
        <v>163</v>
      </c>
      <c r="C602" t="str">
        <f t="shared" si="59"/>
        <v>00</v>
      </c>
      <c r="D602">
        <v>2159</v>
      </c>
      <c r="E602" t="str">
        <f t="shared" si="60"/>
        <v>00</v>
      </c>
      <c r="F602" t="str">
        <f>"147"</f>
        <v>147</v>
      </c>
      <c r="G602">
        <v>9</v>
      </c>
      <c r="H602" t="str">
        <f t="shared" si="61"/>
        <v>00</v>
      </c>
      <c r="I602" t="str">
        <f t="shared" si="62"/>
        <v>0</v>
      </c>
      <c r="J602" t="str">
        <f t="shared" si="63"/>
        <v>00</v>
      </c>
      <c r="K602">
        <v>20190415</v>
      </c>
      <c r="L602" t="str">
        <f>"027773"</f>
        <v>027773</v>
      </c>
      <c r="M602" t="str">
        <f>"00248"</f>
        <v>00248</v>
      </c>
      <c r="N602" t="s">
        <v>77</v>
      </c>
      <c r="O602" s="1">
        <v>1952.88</v>
      </c>
      <c r="P602">
        <v>20190415</v>
      </c>
      <c r="Q602" t="s">
        <v>78</v>
      </c>
      <c r="R602" t="s">
        <v>230</v>
      </c>
      <c r="S602" t="s">
        <v>23</v>
      </c>
      <c r="T602" t="s">
        <v>79</v>
      </c>
    </row>
    <row r="603" spans="1:20" x14ac:dyDescent="0.25">
      <c r="A603">
        <v>9</v>
      </c>
      <c r="B603">
        <v>163</v>
      </c>
      <c r="C603" t="str">
        <f t="shared" si="59"/>
        <v>00</v>
      </c>
      <c r="D603">
        <v>2159</v>
      </c>
      <c r="E603" t="str">
        <f t="shared" si="60"/>
        <v>00</v>
      </c>
      <c r="F603" t="str">
        <f>"147"</f>
        <v>147</v>
      </c>
      <c r="G603">
        <v>9</v>
      </c>
      <c r="H603" t="str">
        <f t="shared" si="61"/>
        <v>00</v>
      </c>
      <c r="I603" t="str">
        <f t="shared" si="62"/>
        <v>0</v>
      </c>
      <c r="J603" t="str">
        <f t="shared" si="63"/>
        <v>00</v>
      </c>
      <c r="K603">
        <v>20190423</v>
      </c>
      <c r="L603" t="str">
        <f>"027773"</f>
        <v>027773</v>
      </c>
      <c r="M603" t="str">
        <f>"00248"</f>
        <v>00248</v>
      </c>
      <c r="N603" t="s">
        <v>77</v>
      </c>
      <c r="O603" s="1">
        <v>-1952.88</v>
      </c>
      <c r="P603">
        <v>20190423</v>
      </c>
      <c r="Q603" t="s">
        <v>78</v>
      </c>
      <c r="R603" t="s">
        <v>138</v>
      </c>
      <c r="S603" t="s">
        <v>23</v>
      </c>
      <c r="T603" t="s">
        <v>79</v>
      </c>
    </row>
    <row r="604" spans="1:20" x14ac:dyDescent="0.25">
      <c r="A604">
        <v>9</v>
      </c>
      <c r="B604">
        <v>163</v>
      </c>
      <c r="C604" t="str">
        <f t="shared" si="59"/>
        <v>00</v>
      </c>
      <c r="D604">
        <v>2159</v>
      </c>
      <c r="E604" t="str">
        <f t="shared" si="60"/>
        <v>00</v>
      </c>
      <c r="F604" t="str">
        <f>"148"</f>
        <v>148</v>
      </c>
      <c r="G604">
        <v>9</v>
      </c>
      <c r="H604" t="str">
        <f t="shared" si="61"/>
        <v>00</v>
      </c>
      <c r="I604" t="str">
        <f t="shared" si="62"/>
        <v>0</v>
      </c>
      <c r="J604" t="str">
        <f t="shared" si="63"/>
        <v>00</v>
      </c>
      <c r="K604">
        <v>20190415</v>
      </c>
      <c r="L604" t="str">
        <f>"027774"</f>
        <v>027774</v>
      </c>
      <c r="M604" t="str">
        <f>"00528"</f>
        <v>00528</v>
      </c>
      <c r="N604" t="s">
        <v>159</v>
      </c>
      <c r="O604">
        <v>765</v>
      </c>
      <c r="P604">
        <v>20190415</v>
      </c>
      <c r="Q604" t="s">
        <v>160</v>
      </c>
      <c r="R604" t="s">
        <v>230</v>
      </c>
      <c r="S604" t="s">
        <v>23</v>
      </c>
      <c r="T604" t="s">
        <v>162</v>
      </c>
    </row>
    <row r="605" spans="1:20" x14ac:dyDescent="0.25">
      <c r="A605">
        <v>9</v>
      </c>
      <c r="B605">
        <v>163</v>
      </c>
      <c r="C605" t="str">
        <f t="shared" si="59"/>
        <v>00</v>
      </c>
      <c r="D605">
        <v>2153</v>
      </c>
      <c r="E605" t="str">
        <f t="shared" si="60"/>
        <v>00</v>
      </c>
      <c r="F605" t="str">
        <f>"022"</f>
        <v>022</v>
      </c>
      <c r="G605">
        <v>9</v>
      </c>
      <c r="H605" t="str">
        <f t="shared" si="61"/>
        <v>00</v>
      </c>
      <c r="I605" t="str">
        <f t="shared" si="62"/>
        <v>0</v>
      </c>
      <c r="J605" t="str">
        <f t="shared" si="63"/>
        <v>00</v>
      </c>
      <c r="K605">
        <v>20190415</v>
      </c>
      <c r="L605" t="str">
        <f>"027775"</f>
        <v>027775</v>
      </c>
      <c r="M605" t="str">
        <f>"04831"</f>
        <v>04831</v>
      </c>
      <c r="N605" t="s">
        <v>28</v>
      </c>
      <c r="O605" s="1">
        <v>1661.81</v>
      </c>
      <c r="P605">
        <v>20190415</v>
      </c>
      <c r="Q605" t="s">
        <v>29</v>
      </c>
      <c r="R605" t="s">
        <v>229</v>
      </c>
      <c r="S605" t="s">
        <v>23</v>
      </c>
      <c r="T605" t="s">
        <v>30</v>
      </c>
    </row>
    <row r="606" spans="1:20" x14ac:dyDescent="0.25">
      <c r="A606">
        <v>9</v>
      </c>
      <c r="B606">
        <v>163</v>
      </c>
      <c r="C606" t="str">
        <f t="shared" si="59"/>
        <v>00</v>
      </c>
      <c r="D606">
        <v>2159</v>
      </c>
      <c r="E606" t="str">
        <f t="shared" si="60"/>
        <v>00</v>
      </c>
      <c r="F606" t="str">
        <f>"018"</f>
        <v>018</v>
      </c>
      <c r="G606">
        <v>9</v>
      </c>
      <c r="H606" t="str">
        <f t="shared" si="61"/>
        <v>00</v>
      </c>
      <c r="I606" t="str">
        <f t="shared" si="62"/>
        <v>0</v>
      </c>
      <c r="J606" t="str">
        <f t="shared" si="63"/>
        <v>00</v>
      </c>
      <c r="K606">
        <v>20190415</v>
      </c>
      <c r="L606" t="str">
        <f>"027776"</f>
        <v>027776</v>
      </c>
      <c r="M606" t="str">
        <f>"04905"</f>
        <v>04905</v>
      </c>
      <c r="N606" t="s">
        <v>31</v>
      </c>
      <c r="O606" s="1">
        <v>3022.99</v>
      </c>
      <c r="P606">
        <v>20190415</v>
      </c>
      <c r="Q606" t="s">
        <v>32</v>
      </c>
      <c r="R606" t="s">
        <v>230</v>
      </c>
      <c r="S606" t="s">
        <v>23</v>
      </c>
      <c r="T606" t="s">
        <v>34</v>
      </c>
    </row>
    <row r="607" spans="1:20" x14ac:dyDescent="0.25">
      <c r="A607">
        <v>9</v>
      </c>
      <c r="B607">
        <v>163</v>
      </c>
      <c r="C607" t="str">
        <f t="shared" si="59"/>
        <v>00</v>
      </c>
      <c r="D607">
        <v>2153</v>
      </c>
      <c r="E607" t="str">
        <f t="shared" si="60"/>
        <v>00</v>
      </c>
      <c r="F607" t="str">
        <f>"053"</f>
        <v>053</v>
      </c>
      <c r="G607">
        <v>9</v>
      </c>
      <c r="H607" t="str">
        <f t="shared" si="61"/>
        <v>00</v>
      </c>
      <c r="I607" t="str">
        <f t="shared" si="62"/>
        <v>0</v>
      </c>
      <c r="J607" t="str">
        <f t="shared" si="63"/>
        <v>00</v>
      </c>
      <c r="K607">
        <v>20190415</v>
      </c>
      <c r="L607" t="str">
        <f>"027777"</f>
        <v>027777</v>
      </c>
      <c r="M607" t="str">
        <f>"04987"</f>
        <v>04987</v>
      </c>
      <c r="N607" t="s">
        <v>35</v>
      </c>
      <c r="O607">
        <v>874.52</v>
      </c>
      <c r="P607">
        <v>20190415</v>
      </c>
      <c r="Q607" t="s">
        <v>36</v>
      </c>
      <c r="R607" t="s">
        <v>229</v>
      </c>
      <c r="S607" t="s">
        <v>23</v>
      </c>
      <c r="T607" t="s">
        <v>37</v>
      </c>
    </row>
    <row r="608" spans="1:20" x14ac:dyDescent="0.25">
      <c r="A608">
        <v>9</v>
      </c>
      <c r="B608">
        <v>163</v>
      </c>
      <c r="C608" t="str">
        <f t="shared" si="59"/>
        <v>00</v>
      </c>
      <c r="D608">
        <v>2159</v>
      </c>
      <c r="E608" t="str">
        <f t="shared" si="60"/>
        <v>00</v>
      </c>
      <c r="F608" t="str">
        <f>"009"</f>
        <v>009</v>
      </c>
      <c r="G608">
        <v>9</v>
      </c>
      <c r="H608" t="str">
        <f t="shared" si="61"/>
        <v>00</v>
      </c>
      <c r="I608" t="str">
        <f t="shared" si="62"/>
        <v>0</v>
      </c>
      <c r="J608" t="str">
        <f t="shared" si="63"/>
        <v>00</v>
      </c>
      <c r="K608">
        <v>20190415</v>
      </c>
      <c r="L608" t="str">
        <f>"027778"</f>
        <v>027778</v>
      </c>
      <c r="M608" t="str">
        <f>"07710"</f>
        <v>07710</v>
      </c>
      <c r="N608" t="s">
        <v>38</v>
      </c>
      <c r="O608">
        <v>665.97</v>
      </c>
      <c r="P608">
        <v>20190415</v>
      </c>
      <c r="Q608" t="s">
        <v>39</v>
      </c>
      <c r="R608" t="s">
        <v>230</v>
      </c>
      <c r="S608" t="s">
        <v>23</v>
      </c>
      <c r="T608" t="s">
        <v>40</v>
      </c>
    </row>
    <row r="609" spans="1:20" x14ac:dyDescent="0.25">
      <c r="A609">
        <v>9</v>
      </c>
      <c r="B609">
        <v>163</v>
      </c>
      <c r="C609" t="str">
        <f t="shared" si="59"/>
        <v>00</v>
      </c>
      <c r="D609">
        <v>2159</v>
      </c>
      <c r="E609" t="str">
        <f t="shared" si="60"/>
        <v>00</v>
      </c>
      <c r="F609" t="str">
        <f>"068"</f>
        <v>068</v>
      </c>
      <c r="G609">
        <v>9</v>
      </c>
      <c r="H609" t="str">
        <f t="shared" si="61"/>
        <v>00</v>
      </c>
      <c r="I609" t="str">
        <f t="shared" si="62"/>
        <v>0</v>
      </c>
      <c r="J609" t="str">
        <f t="shared" si="63"/>
        <v>00</v>
      </c>
      <c r="K609">
        <v>20190415</v>
      </c>
      <c r="L609" t="str">
        <f>"027779"</f>
        <v>027779</v>
      </c>
      <c r="M609" t="str">
        <f>"10095"</f>
        <v>10095</v>
      </c>
      <c r="N609" t="s">
        <v>83</v>
      </c>
      <c r="O609">
        <v>347.23</v>
      </c>
      <c r="P609">
        <v>20190415</v>
      </c>
      <c r="Q609" t="s">
        <v>84</v>
      </c>
      <c r="R609" t="s">
        <v>230</v>
      </c>
      <c r="S609" t="s">
        <v>23</v>
      </c>
      <c r="T609" t="s">
        <v>85</v>
      </c>
    </row>
    <row r="610" spans="1:20" x14ac:dyDescent="0.25">
      <c r="A610">
        <v>9</v>
      </c>
      <c r="B610">
        <v>163</v>
      </c>
      <c r="C610" t="str">
        <f t="shared" si="59"/>
        <v>00</v>
      </c>
      <c r="D610">
        <v>2153</v>
      </c>
      <c r="E610" t="str">
        <f t="shared" si="60"/>
        <v>00</v>
      </c>
      <c r="F610" t="str">
        <f>"011"</f>
        <v>011</v>
      </c>
      <c r="G610">
        <v>9</v>
      </c>
      <c r="H610" t="str">
        <f t="shared" si="61"/>
        <v>00</v>
      </c>
      <c r="I610" t="str">
        <f t="shared" si="62"/>
        <v>0</v>
      </c>
      <c r="J610" t="str">
        <f t="shared" si="63"/>
        <v>00</v>
      </c>
      <c r="K610">
        <v>20190415</v>
      </c>
      <c r="L610" t="str">
        <f>"027780"</f>
        <v>027780</v>
      </c>
      <c r="M610" t="str">
        <f>"11211"</f>
        <v>11211</v>
      </c>
      <c r="N610" t="s">
        <v>41</v>
      </c>
      <c r="O610" s="1">
        <v>2601.69</v>
      </c>
      <c r="P610">
        <v>20190415</v>
      </c>
      <c r="Q610" t="s">
        <v>42</v>
      </c>
      <c r="R610" t="s">
        <v>229</v>
      </c>
      <c r="S610" t="s">
        <v>23</v>
      </c>
      <c r="T610" t="s">
        <v>43</v>
      </c>
    </row>
    <row r="611" spans="1:20" x14ac:dyDescent="0.25">
      <c r="A611">
        <v>9</v>
      </c>
      <c r="B611">
        <v>163</v>
      </c>
      <c r="C611" t="str">
        <f t="shared" si="59"/>
        <v>00</v>
      </c>
      <c r="D611">
        <v>2159</v>
      </c>
      <c r="E611" t="str">
        <f t="shared" si="60"/>
        <v>00</v>
      </c>
      <c r="F611" t="str">
        <f>"104"</f>
        <v>104</v>
      </c>
      <c r="G611">
        <v>9</v>
      </c>
      <c r="H611" t="str">
        <f t="shared" si="61"/>
        <v>00</v>
      </c>
      <c r="I611" t="str">
        <f t="shared" si="62"/>
        <v>0</v>
      </c>
      <c r="J611" t="str">
        <f t="shared" si="63"/>
        <v>00</v>
      </c>
      <c r="K611">
        <v>20190415</v>
      </c>
      <c r="L611" t="str">
        <f>"027781"</f>
        <v>027781</v>
      </c>
      <c r="M611" t="str">
        <f>"14177"</f>
        <v>14177</v>
      </c>
      <c r="N611" t="s">
        <v>163</v>
      </c>
      <c r="O611">
        <v>69.5</v>
      </c>
      <c r="P611">
        <v>20190415</v>
      </c>
      <c r="Q611" t="s">
        <v>45</v>
      </c>
      <c r="R611" t="s">
        <v>230</v>
      </c>
      <c r="S611" t="s">
        <v>23</v>
      </c>
      <c r="T611" t="s">
        <v>46</v>
      </c>
    </row>
    <row r="612" spans="1:20" x14ac:dyDescent="0.25">
      <c r="A612">
        <v>9</v>
      </c>
      <c r="B612">
        <v>163</v>
      </c>
      <c r="C612" t="str">
        <f t="shared" si="59"/>
        <v>00</v>
      </c>
      <c r="D612">
        <v>2159</v>
      </c>
      <c r="E612" t="str">
        <f t="shared" si="60"/>
        <v>00</v>
      </c>
      <c r="F612" t="str">
        <f>"014"</f>
        <v>014</v>
      </c>
      <c r="G612">
        <v>9</v>
      </c>
      <c r="H612" t="str">
        <f t="shared" si="61"/>
        <v>00</v>
      </c>
      <c r="I612" t="str">
        <f t="shared" si="62"/>
        <v>0</v>
      </c>
      <c r="J612" t="str">
        <f t="shared" si="63"/>
        <v>00</v>
      </c>
      <c r="K612">
        <v>20190415</v>
      </c>
      <c r="L612" t="str">
        <f>"027782"</f>
        <v>027782</v>
      </c>
      <c r="M612" t="str">
        <f>"20682"</f>
        <v>20682</v>
      </c>
      <c r="N612" t="s">
        <v>86</v>
      </c>
      <c r="O612" s="1">
        <v>3911.88</v>
      </c>
      <c r="P612">
        <v>20190415</v>
      </c>
      <c r="Q612" t="s">
        <v>87</v>
      </c>
      <c r="R612" t="s">
        <v>230</v>
      </c>
      <c r="S612" t="s">
        <v>23</v>
      </c>
      <c r="T612" t="s">
        <v>88</v>
      </c>
    </row>
    <row r="613" spans="1:20" x14ac:dyDescent="0.25">
      <c r="A613">
        <v>9</v>
      </c>
      <c r="B613">
        <v>163</v>
      </c>
      <c r="C613" t="str">
        <f t="shared" si="59"/>
        <v>00</v>
      </c>
      <c r="D613">
        <v>2153</v>
      </c>
      <c r="E613" t="str">
        <f t="shared" si="60"/>
        <v>00</v>
      </c>
      <c r="F613" t="str">
        <f>"024"</f>
        <v>024</v>
      </c>
      <c r="G613">
        <v>9</v>
      </c>
      <c r="H613" t="str">
        <f t="shared" si="61"/>
        <v>00</v>
      </c>
      <c r="I613" t="str">
        <f t="shared" si="62"/>
        <v>0</v>
      </c>
      <c r="J613" t="str">
        <f t="shared" si="63"/>
        <v>00</v>
      </c>
      <c r="K613">
        <v>20190415</v>
      </c>
      <c r="L613" t="str">
        <f>"027783"</f>
        <v>027783</v>
      </c>
      <c r="M613" t="str">
        <f>"21504"</f>
        <v>21504</v>
      </c>
      <c r="N613" t="s">
        <v>89</v>
      </c>
      <c r="O613">
        <v>36.6</v>
      </c>
      <c r="P613">
        <v>20190415</v>
      </c>
      <c r="Q613" t="s">
        <v>90</v>
      </c>
      <c r="R613" t="s">
        <v>229</v>
      </c>
      <c r="S613" t="s">
        <v>23</v>
      </c>
      <c r="T613" t="s">
        <v>91</v>
      </c>
    </row>
    <row r="614" spans="1:20" x14ac:dyDescent="0.25">
      <c r="A614">
        <v>9</v>
      </c>
      <c r="B614">
        <v>163</v>
      </c>
      <c r="C614" t="str">
        <f t="shared" si="59"/>
        <v>00</v>
      </c>
      <c r="D614">
        <v>2153</v>
      </c>
      <c r="E614" t="str">
        <f t="shared" si="60"/>
        <v>00</v>
      </c>
      <c r="F614" t="str">
        <f>"026"</f>
        <v>026</v>
      </c>
      <c r="G614">
        <v>9</v>
      </c>
      <c r="H614" t="str">
        <f t="shared" si="61"/>
        <v>00</v>
      </c>
      <c r="I614" t="str">
        <f t="shared" si="62"/>
        <v>0</v>
      </c>
      <c r="J614" t="str">
        <f t="shared" si="63"/>
        <v>00</v>
      </c>
      <c r="K614">
        <v>20190415</v>
      </c>
      <c r="L614" t="str">
        <f>"027784"</f>
        <v>027784</v>
      </c>
      <c r="M614" t="str">
        <f>"21506"</f>
        <v>21506</v>
      </c>
      <c r="N614" t="s">
        <v>92</v>
      </c>
      <c r="O614">
        <v>102.75</v>
      </c>
      <c r="P614">
        <v>20190415</v>
      </c>
      <c r="Q614" t="s">
        <v>93</v>
      </c>
      <c r="R614" t="s">
        <v>229</v>
      </c>
      <c r="S614" t="s">
        <v>23</v>
      </c>
      <c r="T614" t="s">
        <v>94</v>
      </c>
    </row>
    <row r="615" spans="1:20" x14ac:dyDescent="0.25">
      <c r="A615">
        <v>9</v>
      </c>
      <c r="B615">
        <v>163</v>
      </c>
      <c r="C615" t="str">
        <f t="shared" si="59"/>
        <v>00</v>
      </c>
      <c r="D615">
        <v>2159</v>
      </c>
      <c r="E615" t="str">
        <f t="shared" si="60"/>
        <v>00</v>
      </c>
      <c r="F615" t="str">
        <f>"117"</f>
        <v>117</v>
      </c>
      <c r="G615">
        <v>9</v>
      </c>
      <c r="H615" t="str">
        <f t="shared" si="61"/>
        <v>00</v>
      </c>
      <c r="I615" t="str">
        <f t="shared" si="62"/>
        <v>0</v>
      </c>
      <c r="J615" t="str">
        <f t="shared" si="63"/>
        <v>00</v>
      </c>
      <c r="K615">
        <v>20190415</v>
      </c>
      <c r="L615" t="str">
        <f>"027785"</f>
        <v>027785</v>
      </c>
      <c r="M615" t="str">
        <f>"21826"</f>
        <v>21826</v>
      </c>
      <c r="N615" t="s">
        <v>95</v>
      </c>
      <c r="O615">
        <v>709.78</v>
      </c>
      <c r="P615">
        <v>20190415</v>
      </c>
      <c r="Q615" t="s">
        <v>96</v>
      </c>
      <c r="R615" t="s">
        <v>230</v>
      </c>
      <c r="S615" t="s">
        <v>23</v>
      </c>
      <c r="T615" t="s">
        <v>97</v>
      </c>
    </row>
    <row r="616" spans="1:20" x14ac:dyDescent="0.25">
      <c r="A616">
        <v>9</v>
      </c>
      <c r="B616">
        <v>163</v>
      </c>
      <c r="C616" t="str">
        <f t="shared" si="59"/>
        <v>00</v>
      </c>
      <c r="D616">
        <v>2159</v>
      </c>
      <c r="E616" t="str">
        <f t="shared" si="60"/>
        <v>00</v>
      </c>
      <c r="F616" t="str">
        <f>"108"</f>
        <v>108</v>
      </c>
      <c r="G616">
        <v>9</v>
      </c>
      <c r="H616" t="str">
        <f t="shared" si="61"/>
        <v>00</v>
      </c>
      <c r="I616" t="str">
        <f t="shared" si="62"/>
        <v>0</v>
      </c>
      <c r="J616" t="str">
        <f t="shared" si="63"/>
        <v>00</v>
      </c>
      <c r="K616">
        <v>20190415</v>
      </c>
      <c r="L616" t="str">
        <f>"027786"</f>
        <v>027786</v>
      </c>
      <c r="M616" t="str">
        <f>"29572"</f>
        <v>29572</v>
      </c>
      <c r="N616" t="s">
        <v>165</v>
      </c>
      <c r="O616">
        <v>21.87</v>
      </c>
      <c r="P616">
        <v>20190415</v>
      </c>
      <c r="Q616" t="s">
        <v>166</v>
      </c>
      <c r="R616" t="s">
        <v>230</v>
      </c>
      <c r="S616" t="s">
        <v>23</v>
      </c>
      <c r="T616" t="s">
        <v>167</v>
      </c>
    </row>
    <row r="617" spans="1:20" x14ac:dyDescent="0.25">
      <c r="A617">
        <v>9</v>
      </c>
      <c r="B617">
        <v>163</v>
      </c>
      <c r="C617" t="str">
        <f t="shared" si="59"/>
        <v>00</v>
      </c>
      <c r="D617">
        <v>2159</v>
      </c>
      <c r="E617" t="str">
        <f t="shared" si="60"/>
        <v>00</v>
      </c>
      <c r="F617" t="str">
        <f>"140"</f>
        <v>140</v>
      </c>
      <c r="G617">
        <v>9</v>
      </c>
      <c r="H617" t="str">
        <f t="shared" si="61"/>
        <v>00</v>
      </c>
      <c r="I617" t="str">
        <f t="shared" si="62"/>
        <v>0</v>
      </c>
      <c r="J617" t="str">
        <f t="shared" si="63"/>
        <v>00</v>
      </c>
      <c r="K617">
        <v>20190415</v>
      </c>
      <c r="L617" t="str">
        <f>"027787"</f>
        <v>027787</v>
      </c>
      <c r="M617" t="str">
        <f>"47701"</f>
        <v>47701</v>
      </c>
      <c r="N617" t="s">
        <v>98</v>
      </c>
      <c r="O617">
        <v>416.7</v>
      </c>
      <c r="P617">
        <v>20190415</v>
      </c>
      <c r="Q617" t="s">
        <v>99</v>
      </c>
      <c r="R617" t="s">
        <v>230</v>
      </c>
      <c r="S617" t="s">
        <v>23</v>
      </c>
      <c r="T617" t="s">
        <v>100</v>
      </c>
    </row>
    <row r="618" spans="1:20" x14ac:dyDescent="0.25">
      <c r="A618">
        <v>9</v>
      </c>
      <c r="B618">
        <v>163</v>
      </c>
      <c r="C618" t="str">
        <f t="shared" si="59"/>
        <v>00</v>
      </c>
      <c r="D618">
        <v>2153</v>
      </c>
      <c r="E618" t="str">
        <f t="shared" si="60"/>
        <v>00</v>
      </c>
      <c r="F618" t="str">
        <f>"110"</f>
        <v>110</v>
      </c>
      <c r="G618">
        <v>9</v>
      </c>
      <c r="H618" t="str">
        <f t="shared" si="61"/>
        <v>00</v>
      </c>
      <c r="I618" t="str">
        <f t="shared" si="62"/>
        <v>0</v>
      </c>
      <c r="J618" t="str">
        <f t="shared" si="63"/>
        <v>00</v>
      </c>
      <c r="K618">
        <v>20190415</v>
      </c>
      <c r="L618" t="str">
        <f>"027788"</f>
        <v>027788</v>
      </c>
      <c r="M618" t="str">
        <f>"48947"</f>
        <v>48947</v>
      </c>
      <c r="N618" t="s">
        <v>47</v>
      </c>
      <c r="O618" s="1">
        <v>2052.37</v>
      </c>
      <c r="P618">
        <v>20190415</v>
      </c>
      <c r="Q618" t="s">
        <v>48</v>
      </c>
      <c r="R618" t="s">
        <v>228</v>
      </c>
      <c r="S618" t="s">
        <v>23</v>
      </c>
      <c r="T618" t="s">
        <v>49</v>
      </c>
    </row>
    <row r="619" spans="1:20" x14ac:dyDescent="0.25">
      <c r="A619">
        <v>9</v>
      </c>
      <c r="B619">
        <v>163</v>
      </c>
      <c r="C619" t="str">
        <f t="shared" si="59"/>
        <v>00</v>
      </c>
      <c r="D619">
        <v>2159</v>
      </c>
      <c r="E619" t="str">
        <f t="shared" si="60"/>
        <v>00</v>
      </c>
      <c r="F619" t="str">
        <f>"032"</f>
        <v>032</v>
      </c>
      <c r="G619">
        <v>9</v>
      </c>
      <c r="H619" t="str">
        <f t="shared" si="61"/>
        <v>00</v>
      </c>
      <c r="I619" t="str">
        <f t="shared" si="62"/>
        <v>0</v>
      </c>
      <c r="J619" t="str">
        <f t="shared" si="63"/>
        <v>00</v>
      </c>
      <c r="K619">
        <v>20190415</v>
      </c>
      <c r="L619" t="str">
        <f t="shared" ref="L619:L637" si="64">"027789"</f>
        <v>027789</v>
      </c>
      <c r="M619" t="str">
        <f t="shared" ref="M619:M637" si="65">"54196"</f>
        <v>54196</v>
      </c>
      <c r="N619" t="s">
        <v>50</v>
      </c>
      <c r="O619">
        <v>50</v>
      </c>
      <c r="P619">
        <v>20190415</v>
      </c>
      <c r="Q619" t="s">
        <v>101</v>
      </c>
      <c r="R619" t="s">
        <v>231</v>
      </c>
      <c r="S619" t="s">
        <v>23</v>
      </c>
      <c r="T619" t="s">
        <v>102</v>
      </c>
    </row>
    <row r="620" spans="1:20" x14ac:dyDescent="0.25">
      <c r="A620">
        <v>9</v>
      </c>
      <c r="B620">
        <v>163</v>
      </c>
      <c r="C620" t="str">
        <f t="shared" si="59"/>
        <v>00</v>
      </c>
      <c r="D620">
        <v>2159</v>
      </c>
      <c r="E620" t="str">
        <f t="shared" si="60"/>
        <v>00</v>
      </c>
      <c r="F620" t="str">
        <f>"033"</f>
        <v>033</v>
      </c>
      <c r="G620">
        <v>9</v>
      </c>
      <c r="H620" t="str">
        <f t="shared" si="61"/>
        <v>00</v>
      </c>
      <c r="I620" t="str">
        <f t="shared" si="62"/>
        <v>0</v>
      </c>
      <c r="J620" t="str">
        <f t="shared" si="63"/>
        <v>00</v>
      </c>
      <c r="K620">
        <v>20190415</v>
      </c>
      <c r="L620" t="str">
        <f t="shared" si="64"/>
        <v>027789</v>
      </c>
      <c r="M620" t="str">
        <f t="shared" si="65"/>
        <v>54196</v>
      </c>
      <c r="N620" t="s">
        <v>50</v>
      </c>
      <c r="O620">
        <v>283</v>
      </c>
      <c r="P620">
        <v>20190415</v>
      </c>
      <c r="Q620" t="s">
        <v>103</v>
      </c>
      <c r="R620" t="s">
        <v>231</v>
      </c>
      <c r="S620" t="s">
        <v>23</v>
      </c>
      <c r="T620" t="s">
        <v>104</v>
      </c>
    </row>
    <row r="621" spans="1:20" x14ac:dyDescent="0.25">
      <c r="A621">
        <v>9</v>
      </c>
      <c r="B621">
        <v>163</v>
      </c>
      <c r="C621" t="str">
        <f t="shared" si="59"/>
        <v>00</v>
      </c>
      <c r="D621">
        <v>2159</v>
      </c>
      <c r="E621" t="str">
        <f t="shared" si="60"/>
        <v>00</v>
      </c>
      <c r="F621" t="str">
        <f>"041"</f>
        <v>041</v>
      </c>
      <c r="G621">
        <v>9</v>
      </c>
      <c r="H621" t="str">
        <f t="shared" si="61"/>
        <v>00</v>
      </c>
      <c r="I621" t="str">
        <f t="shared" si="62"/>
        <v>0</v>
      </c>
      <c r="J621" t="str">
        <f t="shared" si="63"/>
        <v>00</v>
      </c>
      <c r="K621">
        <v>20190415</v>
      </c>
      <c r="L621" t="str">
        <f t="shared" si="64"/>
        <v>027789</v>
      </c>
      <c r="M621" t="str">
        <f t="shared" si="65"/>
        <v>54196</v>
      </c>
      <c r="N621" t="s">
        <v>50</v>
      </c>
      <c r="O621" s="1">
        <v>1340</v>
      </c>
      <c r="P621">
        <v>20190415</v>
      </c>
      <c r="Q621" t="s">
        <v>105</v>
      </c>
      <c r="R621" t="s">
        <v>231</v>
      </c>
      <c r="S621" t="s">
        <v>23</v>
      </c>
      <c r="T621" t="s">
        <v>106</v>
      </c>
    </row>
    <row r="622" spans="1:20" x14ac:dyDescent="0.25">
      <c r="A622">
        <v>9</v>
      </c>
      <c r="B622">
        <v>163</v>
      </c>
      <c r="C622" t="str">
        <f t="shared" si="59"/>
        <v>00</v>
      </c>
      <c r="D622">
        <v>2159</v>
      </c>
      <c r="E622" t="str">
        <f t="shared" si="60"/>
        <v>00</v>
      </c>
      <c r="F622" t="str">
        <f>"042"</f>
        <v>042</v>
      </c>
      <c r="G622">
        <v>9</v>
      </c>
      <c r="H622" t="str">
        <f t="shared" si="61"/>
        <v>00</v>
      </c>
      <c r="I622" t="str">
        <f t="shared" si="62"/>
        <v>0</v>
      </c>
      <c r="J622" t="str">
        <f t="shared" si="63"/>
        <v>00</v>
      </c>
      <c r="K622">
        <v>20190415</v>
      </c>
      <c r="L622" t="str">
        <f t="shared" si="64"/>
        <v>027789</v>
      </c>
      <c r="M622" t="str">
        <f t="shared" si="65"/>
        <v>54196</v>
      </c>
      <c r="N622" t="s">
        <v>50</v>
      </c>
      <c r="O622" s="1">
        <v>2075</v>
      </c>
      <c r="P622">
        <v>20190415</v>
      </c>
      <c r="Q622" t="s">
        <v>107</v>
      </c>
      <c r="R622" t="s">
        <v>231</v>
      </c>
      <c r="S622" t="s">
        <v>23</v>
      </c>
      <c r="T622" t="s">
        <v>108</v>
      </c>
    </row>
    <row r="623" spans="1:20" x14ac:dyDescent="0.25">
      <c r="A623">
        <v>9</v>
      </c>
      <c r="B623">
        <v>163</v>
      </c>
      <c r="C623" t="str">
        <f t="shared" si="59"/>
        <v>00</v>
      </c>
      <c r="D623">
        <v>2159</v>
      </c>
      <c r="E623" t="str">
        <f t="shared" si="60"/>
        <v>00</v>
      </c>
      <c r="F623" t="str">
        <f>"046"</f>
        <v>046</v>
      </c>
      <c r="G623">
        <v>9</v>
      </c>
      <c r="H623" t="str">
        <f t="shared" si="61"/>
        <v>00</v>
      </c>
      <c r="I623" t="str">
        <f t="shared" si="62"/>
        <v>0</v>
      </c>
      <c r="J623" t="str">
        <f t="shared" si="63"/>
        <v>00</v>
      </c>
      <c r="K623">
        <v>20190415</v>
      </c>
      <c r="L623" t="str">
        <f t="shared" si="64"/>
        <v>027789</v>
      </c>
      <c r="M623" t="str">
        <f t="shared" si="65"/>
        <v>54196</v>
      </c>
      <c r="N623" t="s">
        <v>50</v>
      </c>
      <c r="O623">
        <v>40</v>
      </c>
      <c r="P623">
        <v>20190415</v>
      </c>
      <c r="Q623" t="s">
        <v>109</v>
      </c>
      <c r="R623" t="s">
        <v>231</v>
      </c>
      <c r="S623" t="s">
        <v>23</v>
      </c>
      <c r="T623" t="s">
        <v>110</v>
      </c>
    </row>
    <row r="624" spans="1:20" x14ac:dyDescent="0.25">
      <c r="A624">
        <v>9</v>
      </c>
      <c r="B624">
        <v>163</v>
      </c>
      <c r="C624" t="str">
        <f t="shared" si="59"/>
        <v>00</v>
      </c>
      <c r="D624">
        <v>2159</v>
      </c>
      <c r="E624" t="str">
        <f t="shared" si="60"/>
        <v>00</v>
      </c>
      <c r="F624" t="str">
        <f>"058"</f>
        <v>058</v>
      </c>
      <c r="G624">
        <v>9</v>
      </c>
      <c r="H624" t="str">
        <f t="shared" si="61"/>
        <v>00</v>
      </c>
      <c r="I624" t="str">
        <f t="shared" si="62"/>
        <v>0</v>
      </c>
      <c r="J624" t="str">
        <f t="shared" si="63"/>
        <v>00</v>
      </c>
      <c r="K624">
        <v>20190415</v>
      </c>
      <c r="L624" t="str">
        <f t="shared" si="64"/>
        <v>027789</v>
      </c>
      <c r="M624" t="str">
        <f t="shared" si="65"/>
        <v>54196</v>
      </c>
      <c r="N624" t="s">
        <v>50</v>
      </c>
      <c r="O624" s="1">
        <v>1992</v>
      </c>
      <c r="P624">
        <v>20190415</v>
      </c>
      <c r="Q624" t="s">
        <v>111</v>
      </c>
      <c r="R624" t="s">
        <v>231</v>
      </c>
      <c r="S624" t="s">
        <v>23</v>
      </c>
      <c r="T624" t="s">
        <v>112</v>
      </c>
    </row>
    <row r="625" spans="1:20" x14ac:dyDescent="0.25">
      <c r="A625">
        <v>9</v>
      </c>
      <c r="B625">
        <v>163</v>
      </c>
      <c r="C625" t="str">
        <f t="shared" si="59"/>
        <v>00</v>
      </c>
      <c r="D625">
        <v>2159</v>
      </c>
      <c r="E625" t="str">
        <f t="shared" si="60"/>
        <v>00</v>
      </c>
      <c r="F625" t="str">
        <f>"059"</f>
        <v>059</v>
      </c>
      <c r="G625">
        <v>9</v>
      </c>
      <c r="H625" t="str">
        <f t="shared" si="61"/>
        <v>00</v>
      </c>
      <c r="I625" t="str">
        <f t="shared" si="62"/>
        <v>0</v>
      </c>
      <c r="J625" t="str">
        <f t="shared" si="63"/>
        <v>00</v>
      </c>
      <c r="K625">
        <v>20190415</v>
      </c>
      <c r="L625" t="str">
        <f t="shared" si="64"/>
        <v>027789</v>
      </c>
      <c r="M625" t="str">
        <f t="shared" si="65"/>
        <v>54196</v>
      </c>
      <c r="N625" t="s">
        <v>50</v>
      </c>
      <c r="O625">
        <v>672</v>
      </c>
      <c r="P625">
        <v>20190415</v>
      </c>
      <c r="Q625" t="s">
        <v>113</v>
      </c>
      <c r="R625" t="s">
        <v>231</v>
      </c>
      <c r="S625" t="s">
        <v>23</v>
      </c>
      <c r="T625" t="s">
        <v>114</v>
      </c>
    </row>
    <row r="626" spans="1:20" x14ac:dyDescent="0.25">
      <c r="A626">
        <v>9</v>
      </c>
      <c r="B626">
        <v>163</v>
      </c>
      <c r="C626" t="str">
        <f t="shared" si="59"/>
        <v>00</v>
      </c>
      <c r="D626">
        <v>2159</v>
      </c>
      <c r="E626" t="str">
        <f t="shared" si="60"/>
        <v>00</v>
      </c>
      <c r="F626" t="str">
        <f>"072"</f>
        <v>072</v>
      </c>
      <c r="G626">
        <v>9</v>
      </c>
      <c r="H626" t="str">
        <f t="shared" si="61"/>
        <v>00</v>
      </c>
      <c r="I626" t="str">
        <f t="shared" si="62"/>
        <v>0</v>
      </c>
      <c r="J626" t="str">
        <f t="shared" si="63"/>
        <v>00</v>
      </c>
      <c r="K626">
        <v>20190415</v>
      </c>
      <c r="L626" t="str">
        <f t="shared" si="64"/>
        <v>027789</v>
      </c>
      <c r="M626" t="str">
        <f t="shared" si="65"/>
        <v>54196</v>
      </c>
      <c r="N626" t="s">
        <v>50</v>
      </c>
      <c r="O626">
        <v>50</v>
      </c>
      <c r="P626">
        <v>20190415</v>
      </c>
      <c r="Q626" t="s">
        <v>115</v>
      </c>
      <c r="R626" t="s">
        <v>231</v>
      </c>
      <c r="S626" t="s">
        <v>23</v>
      </c>
      <c r="T626" t="s">
        <v>116</v>
      </c>
    </row>
    <row r="627" spans="1:20" x14ac:dyDescent="0.25">
      <c r="A627">
        <v>9</v>
      </c>
      <c r="B627">
        <v>163</v>
      </c>
      <c r="C627" t="str">
        <f t="shared" si="59"/>
        <v>00</v>
      </c>
      <c r="D627">
        <v>2159</v>
      </c>
      <c r="E627" t="str">
        <f t="shared" si="60"/>
        <v>00</v>
      </c>
      <c r="F627" t="str">
        <f>"075"</f>
        <v>075</v>
      </c>
      <c r="G627">
        <v>9</v>
      </c>
      <c r="H627" t="str">
        <f t="shared" si="61"/>
        <v>00</v>
      </c>
      <c r="I627" t="str">
        <f t="shared" si="62"/>
        <v>0</v>
      </c>
      <c r="J627" t="str">
        <f t="shared" si="63"/>
        <v>00</v>
      </c>
      <c r="K627">
        <v>20190415</v>
      </c>
      <c r="L627" t="str">
        <f t="shared" si="64"/>
        <v>027789</v>
      </c>
      <c r="M627" t="str">
        <f t="shared" si="65"/>
        <v>54196</v>
      </c>
      <c r="N627" t="s">
        <v>50</v>
      </c>
      <c r="O627">
        <v>100</v>
      </c>
      <c r="P627">
        <v>20190415</v>
      </c>
      <c r="Q627" t="s">
        <v>117</v>
      </c>
      <c r="R627" t="s">
        <v>231</v>
      </c>
      <c r="S627" t="s">
        <v>23</v>
      </c>
      <c r="T627" t="s">
        <v>118</v>
      </c>
    </row>
    <row r="628" spans="1:20" x14ac:dyDescent="0.25">
      <c r="A628">
        <v>9</v>
      </c>
      <c r="B628">
        <v>163</v>
      </c>
      <c r="C628" t="str">
        <f t="shared" si="59"/>
        <v>00</v>
      </c>
      <c r="D628">
        <v>2159</v>
      </c>
      <c r="E628" t="str">
        <f t="shared" si="60"/>
        <v>00</v>
      </c>
      <c r="F628" t="str">
        <f>"078"</f>
        <v>078</v>
      </c>
      <c r="G628">
        <v>9</v>
      </c>
      <c r="H628" t="str">
        <f t="shared" si="61"/>
        <v>00</v>
      </c>
      <c r="I628" t="str">
        <f t="shared" si="62"/>
        <v>0</v>
      </c>
      <c r="J628" t="str">
        <f t="shared" si="63"/>
        <v>00</v>
      </c>
      <c r="K628">
        <v>20190415</v>
      </c>
      <c r="L628" t="str">
        <f t="shared" si="64"/>
        <v>027789</v>
      </c>
      <c r="M628" t="str">
        <f t="shared" si="65"/>
        <v>54196</v>
      </c>
      <c r="N628" t="s">
        <v>50</v>
      </c>
      <c r="O628">
        <v>750</v>
      </c>
      <c r="P628">
        <v>20190415</v>
      </c>
      <c r="Q628" t="s">
        <v>119</v>
      </c>
      <c r="R628" t="s">
        <v>231</v>
      </c>
      <c r="S628" t="s">
        <v>23</v>
      </c>
      <c r="T628" t="s">
        <v>120</v>
      </c>
    </row>
    <row r="629" spans="1:20" x14ac:dyDescent="0.25">
      <c r="A629">
        <v>9</v>
      </c>
      <c r="B629">
        <v>163</v>
      </c>
      <c r="C629" t="str">
        <f t="shared" si="59"/>
        <v>00</v>
      </c>
      <c r="D629">
        <v>2159</v>
      </c>
      <c r="E629" t="str">
        <f t="shared" si="60"/>
        <v>00</v>
      </c>
      <c r="F629" t="str">
        <f>"082"</f>
        <v>082</v>
      </c>
      <c r="G629">
        <v>9</v>
      </c>
      <c r="H629" t="str">
        <f t="shared" si="61"/>
        <v>00</v>
      </c>
      <c r="I629" t="str">
        <f t="shared" si="62"/>
        <v>0</v>
      </c>
      <c r="J629" t="str">
        <f t="shared" si="63"/>
        <v>00</v>
      </c>
      <c r="K629">
        <v>20190415</v>
      </c>
      <c r="L629" t="str">
        <f t="shared" si="64"/>
        <v>027789</v>
      </c>
      <c r="M629" t="str">
        <f t="shared" si="65"/>
        <v>54196</v>
      </c>
      <c r="N629" t="s">
        <v>50</v>
      </c>
      <c r="O629">
        <v>300</v>
      </c>
      <c r="P629">
        <v>20190415</v>
      </c>
      <c r="Q629" t="s">
        <v>121</v>
      </c>
      <c r="R629" t="s">
        <v>231</v>
      </c>
      <c r="S629" t="s">
        <v>23</v>
      </c>
      <c r="T629" t="s">
        <v>122</v>
      </c>
    </row>
    <row r="630" spans="1:20" x14ac:dyDescent="0.25">
      <c r="A630">
        <v>9</v>
      </c>
      <c r="B630">
        <v>163</v>
      </c>
      <c r="C630" t="str">
        <f t="shared" si="59"/>
        <v>00</v>
      </c>
      <c r="D630">
        <v>2159</v>
      </c>
      <c r="E630" t="str">
        <f t="shared" si="60"/>
        <v>00</v>
      </c>
      <c r="F630" t="str">
        <f>"091"</f>
        <v>091</v>
      </c>
      <c r="G630">
        <v>9</v>
      </c>
      <c r="H630" t="str">
        <f t="shared" si="61"/>
        <v>00</v>
      </c>
      <c r="I630" t="str">
        <f t="shared" si="62"/>
        <v>0</v>
      </c>
      <c r="J630" t="str">
        <f t="shared" si="63"/>
        <v>00</v>
      </c>
      <c r="K630">
        <v>20190415</v>
      </c>
      <c r="L630" t="str">
        <f t="shared" si="64"/>
        <v>027789</v>
      </c>
      <c r="M630" t="str">
        <f t="shared" si="65"/>
        <v>54196</v>
      </c>
      <c r="N630" t="s">
        <v>50</v>
      </c>
      <c r="O630">
        <v>100</v>
      </c>
      <c r="P630">
        <v>20190415</v>
      </c>
      <c r="Q630" t="s">
        <v>123</v>
      </c>
      <c r="R630" t="s">
        <v>231</v>
      </c>
      <c r="S630" t="s">
        <v>23</v>
      </c>
      <c r="T630" t="s">
        <v>124</v>
      </c>
    </row>
    <row r="631" spans="1:20" x14ac:dyDescent="0.25">
      <c r="A631">
        <v>9</v>
      </c>
      <c r="B631">
        <v>163</v>
      </c>
      <c r="C631" t="str">
        <f t="shared" si="59"/>
        <v>00</v>
      </c>
      <c r="D631">
        <v>2159</v>
      </c>
      <c r="E631" t="str">
        <f t="shared" si="60"/>
        <v>00</v>
      </c>
      <c r="F631" t="str">
        <f>"122"</f>
        <v>122</v>
      </c>
      <c r="G631">
        <v>9</v>
      </c>
      <c r="H631" t="str">
        <f t="shared" si="61"/>
        <v>00</v>
      </c>
      <c r="I631" t="str">
        <f t="shared" si="62"/>
        <v>0</v>
      </c>
      <c r="J631" t="str">
        <f t="shared" si="63"/>
        <v>00</v>
      </c>
      <c r="K631">
        <v>20190415</v>
      </c>
      <c r="L631" t="str">
        <f t="shared" si="64"/>
        <v>027789</v>
      </c>
      <c r="M631" t="str">
        <f t="shared" si="65"/>
        <v>54196</v>
      </c>
      <c r="N631" t="s">
        <v>50</v>
      </c>
      <c r="O631">
        <v>100</v>
      </c>
      <c r="P631">
        <v>20190415</v>
      </c>
      <c r="Q631" t="s">
        <v>125</v>
      </c>
      <c r="R631" t="s">
        <v>232</v>
      </c>
      <c r="S631" t="s">
        <v>23</v>
      </c>
      <c r="T631" t="s">
        <v>127</v>
      </c>
    </row>
    <row r="632" spans="1:20" x14ac:dyDescent="0.25">
      <c r="A632">
        <v>9</v>
      </c>
      <c r="B632">
        <v>163</v>
      </c>
      <c r="C632" t="str">
        <f t="shared" si="59"/>
        <v>00</v>
      </c>
      <c r="D632">
        <v>2159</v>
      </c>
      <c r="E632" t="str">
        <f t="shared" si="60"/>
        <v>00</v>
      </c>
      <c r="F632" t="str">
        <f>"130"</f>
        <v>130</v>
      </c>
      <c r="G632">
        <v>9</v>
      </c>
      <c r="H632" t="str">
        <f t="shared" si="61"/>
        <v>00</v>
      </c>
      <c r="I632" t="str">
        <f t="shared" si="62"/>
        <v>0</v>
      </c>
      <c r="J632" t="str">
        <f t="shared" si="63"/>
        <v>00</v>
      </c>
      <c r="K632">
        <v>20190415</v>
      </c>
      <c r="L632" t="str">
        <f t="shared" si="64"/>
        <v>027789</v>
      </c>
      <c r="M632" t="str">
        <f t="shared" si="65"/>
        <v>54196</v>
      </c>
      <c r="N632" t="s">
        <v>50</v>
      </c>
      <c r="O632" s="1">
        <v>9016</v>
      </c>
      <c r="P632">
        <v>20190415</v>
      </c>
      <c r="Q632" t="s">
        <v>128</v>
      </c>
      <c r="R632" t="s">
        <v>233</v>
      </c>
      <c r="S632" t="s">
        <v>23</v>
      </c>
      <c r="T632" t="s">
        <v>112</v>
      </c>
    </row>
    <row r="633" spans="1:20" x14ac:dyDescent="0.25">
      <c r="A633">
        <v>9</v>
      </c>
      <c r="B633">
        <v>163</v>
      </c>
      <c r="C633" t="str">
        <f t="shared" si="59"/>
        <v>00</v>
      </c>
      <c r="D633">
        <v>2159</v>
      </c>
      <c r="E633" t="str">
        <f t="shared" si="60"/>
        <v>00</v>
      </c>
      <c r="F633" t="str">
        <f>"131"</f>
        <v>131</v>
      </c>
      <c r="G633">
        <v>9</v>
      </c>
      <c r="H633" t="str">
        <f t="shared" si="61"/>
        <v>00</v>
      </c>
      <c r="I633" t="str">
        <f t="shared" si="62"/>
        <v>0</v>
      </c>
      <c r="J633" t="str">
        <f t="shared" si="63"/>
        <v>00</v>
      </c>
      <c r="K633">
        <v>20190415</v>
      </c>
      <c r="L633" t="str">
        <f t="shared" si="64"/>
        <v>027789</v>
      </c>
      <c r="M633" t="str">
        <f t="shared" si="65"/>
        <v>54196</v>
      </c>
      <c r="N633" t="s">
        <v>50</v>
      </c>
      <c r="O633" s="1">
        <v>1825</v>
      </c>
      <c r="P633">
        <v>20190415</v>
      </c>
      <c r="Q633" t="s">
        <v>51</v>
      </c>
      <c r="R633" t="s">
        <v>231</v>
      </c>
      <c r="S633" t="s">
        <v>23</v>
      </c>
      <c r="T633" t="s">
        <v>53</v>
      </c>
    </row>
    <row r="634" spans="1:20" x14ac:dyDescent="0.25">
      <c r="A634">
        <v>9</v>
      </c>
      <c r="B634">
        <v>163</v>
      </c>
      <c r="C634" t="str">
        <f t="shared" si="59"/>
        <v>00</v>
      </c>
      <c r="D634">
        <v>2159</v>
      </c>
      <c r="E634" t="str">
        <f t="shared" si="60"/>
        <v>00</v>
      </c>
      <c r="F634" t="str">
        <f>"136"</f>
        <v>136</v>
      </c>
      <c r="G634">
        <v>9</v>
      </c>
      <c r="H634" t="str">
        <f t="shared" si="61"/>
        <v>00</v>
      </c>
      <c r="I634" t="str">
        <f t="shared" si="62"/>
        <v>0</v>
      </c>
      <c r="J634" t="str">
        <f t="shared" si="63"/>
        <v>00</v>
      </c>
      <c r="K634">
        <v>20190415</v>
      </c>
      <c r="L634" t="str">
        <f t="shared" si="64"/>
        <v>027789</v>
      </c>
      <c r="M634" t="str">
        <f t="shared" si="65"/>
        <v>54196</v>
      </c>
      <c r="N634" t="s">
        <v>50</v>
      </c>
      <c r="O634" s="1">
        <v>1775</v>
      </c>
      <c r="P634">
        <v>20190415</v>
      </c>
      <c r="Q634" t="s">
        <v>130</v>
      </c>
      <c r="R634" t="s">
        <v>234</v>
      </c>
      <c r="S634" t="s">
        <v>23</v>
      </c>
      <c r="T634" t="s">
        <v>132</v>
      </c>
    </row>
    <row r="635" spans="1:20" x14ac:dyDescent="0.25">
      <c r="A635">
        <v>9</v>
      </c>
      <c r="B635">
        <v>163</v>
      </c>
      <c r="C635" t="str">
        <f t="shared" si="59"/>
        <v>00</v>
      </c>
      <c r="D635">
        <v>2159</v>
      </c>
      <c r="E635" t="str">
        <f t="shared" si="60"/>
        <v>00</v>
      </c>
      <c r="F635" t="str">
        <f>"137"</f>
        <v>137</v>
      </c>
      <c r="G635">
        <v>9</v>
      </c>
      <c r="H635" t="str">
        <f t="shared" si="61"/>
        <v>00</v>
      </c>
      <c r="I635" t="str">
        <f t="shared" si="62"/>
        <v>0</v>
      </c>
      <c r="J635" t="str">
        <f t="shared" si="63"/>
        <v>00</v>
      </c>
      <c r="K635">
        <v>20190415</v>
      </c>
      <c r="L635" t="str">
        <f t="shared" si="64"/>
        <v>027789</v>
      </c>
      <c r="M635" t="str">
        <f t="shared" si="65"/>
        <v>54196</v>
      </c>
      <c r="N635" t="s">
        <v>50</v>
      </c>
      <c r="O635" s="1">
        <v>2680</v>
      </c>
      <c r="P635">
        <v>20190415</v>
      </c>
      <c r="Q635" t="s">
        <v>133</v>
      </c>
      <c r="R635" t="s">
        <v>233</v>
      </c>
      <c r="S635" t="s">
        <v>23</v>
      </c>
      <c r="T635" t="s">
        <v>134</v>
      </c>
    </row>
    <row r="636" spans="1:20" x14ac:dyDescent="0.25">
      <c r="A636">
        <v>9</v>
      </c>
      <c r="B636">
        <v>163</v>
      </c>
      <c r="C636" t="str">
        <f t="shared" si="59"/>
        <v>00</v>
      </c>
      <c r="D636">
        <v>2159</v>
      </c>
      <c r="E636" t="str">
        <f t="shared" si="60"/>
        <v>00</v>
      </c>
      <c r="F636" t="str">
        <f>"138"</f>
        <v>138</v>
      </c>
      <c r="G636">
        <v>9</v>
      </c>
      <c r="H636" t="str">
        <f t="shared" si="61"/>
        <v>00</v>
      </c>
      <c r="I636" t="str">
        <f t="shared" si="62"/>
        <v>0</v>
      </c>
      <c r="J636" t="str">
        <f t="shared" si="63"/>
        <v>00</v>
      </c>
      <c r="K636">
        <v>20190415</v>
      </c>
      <c r="L636" t="str">
        <f t="shared" si="64"/>
        <v>027789</v>
      </c>
      <c r="M636" t="str">
        <f t="shared" si="65"/>
        <v>54196</v>
      </c>
      <c r="N636" t="s">
        <v>50</v>
      </c>
      <c r="O636">
        <v>300</v>
      </c>
      <c r="P636">
        <v>20190415</v>
      </c>
      <c r="Q636" t="s">
        <v>135</v>
      </c>
      <c r="R636" t="s">
        <v>234</v>
      </c>
      <c r="S636" t="s">
        <v>23</v>
      </c>
      <c r="T636" t="s">
        <v>134</v>
      </c>
    </row>
    <row r="637" spans="1:20" x14ac:dyDescent="0.25">
      <c r="A637">
        <v>9</v>
      </c>
      <c r="B637">
        <v>163</v>
      </c>
      <c r="C637" t="str">
        <f t="shared" si="59"/>
        <v>00</v>
      </c>
      <c r="D637">
        <v>2159</v>
      </c>
      <c r="E637" t="str">
        <f t="shared" si="60"/>
        <v>00</v>
      </c>
      <c r="F637" t="str">
        <f>"150"</f>
        <v>150</v>
      </c>
      <c r="G637">
        <v>9</v>
      </c>
      <c r="H637" t="str">
        <f t="shared" si="61"/>
        <v>00</v>
      </c>
      <c r="I637" t="str">
        <f t="shared" si="62"/>
        <v>0</v>
      </c>
      <c r="J637" t="str">
        <f t="shared" si="63"/>
        <v>00</v>
      </c>
      <c r="K637">
        <v>20190415</v>
      </c>
      <c r="L637" t="str">
        <f t="shared" si="64"/>
        <v>027789</v>
      </c>
      <c r="M637" t="str">
        <f t="shared" si="65"/>
        <v>54196</v>
      </c>
      <c r="N637" t="s">
        <v>50</v>
      </c>
      <c r="O637">
        <v>200</v>
      </c>
      <c r="P637">
        <v>20190415</v>
      </c>
      <c r="Q637" t="s">
        <v>136</v>
      </c>
      <c r="R637" t="s">
        <v>231</v>
      </c>
      <c r="S637" t="s">
        <v>23</v>
      </c>
      <c r="T637" t="s">
        <v>137</v>
      </c>
    </row>
    <row r="638" spans="1:20" x14ac:dyDescent="0.25">
      <c r="A638">
        <v>9</v>
      </c>
      <c r="B638">
        <v>163</v>
      </c>
      <c r="C638" t="str">
        <f t="shared" si="59"/>
        <v>00</v>
      </c>
      <c r="D638">
        <v>2159</v>
      </c>
      <c r="E638" t="str">
        <f t="shared" si="60"/>
        <v>00</v>
      </c>
      <c r="F638" t="str">
        <f>"111"</f>
        <v>111</v>
      </c>
      <c r="G638">
        <v>9</v>
      </c>
      <c r="H638" t="str">
        <f t="shared" si="61"/>
        <v>00</v>
      </c>
      <c r="I638" t="str">
        <f t="shared" si="62"/>
        <v>0</v>
      </c>
      <c r="J638" t="str">
        <f t="shared" si="63"/>
        <v>00</v>
      </c>
      <c r="K638">
        <v>20190415</v>
      </c>
      <c r="L638" t="str">
        <f>"027790"</f>
        <v>027790</v>
      </c>
      <c r="M638" t="str">
        <f>"72601"</f>
        <v>72601</v>
      </c>
      <c r="N638" t="s">
        <v>54</v>
      </c>
      <c r="O638" s="1">
        <v>8646.9500000000007</v>
      </c>
      <c r="P638">
        <v>20190415</v>
      </c>
      <c r="Q638" t="s">
        <v>55</v>
      </c>
      <c r="R638" t="s">
        <v>230</v>
      </c>
      <c r="S638" t="s">
        <v>23</v>
      </c>
      <c r="T638" t="s">
        <v>56</v>
      </c>
    </row>
    <row r="639" spans="1:20" x14ac:dyDescent="0.25">
      <c r="A639">
        <v>9</v>
      </c>
      <c r="B639">
        <v>163</v>
      </c>
      <c r="C639" t="str">
        <f t="shared" si="59"/>
        <v>00</v>
      </c>
      <c r="D639">
        <v>2153</v>
      </c>
      <c r="E639" t="str">
        <f t="shared" si="60"/>
        <v>00</v>
      </c>
      <c r="F639" t="str">
        <f>"006"</f>
        <v>006</v>
      </c>
      <c r="G639">
        <v>9</v>
      </c>
      <c r="H639" t="str">
        <f t="shared" si="61"/>
        <v>00</v>
      </c>
      <c r="I639" t="str">
        <f t="shared" si="62"/>
        <v>0</v>
      </c>
      <c r="J639" t="str">
        <f t="shared" si="63"/>
        <v>00</v>
      </c>
      <c r="K639">
        <v>20190415</v>
      </c>
      <c r="L639" t="str">
        <f>"027791"</f>
        <v>027791</v>
      </c>
      <c r="M639" t="str">
        <f>"75452"</f>
        <v>75452</v>
      </c>
      <c r="N639" t="s">
        <v>57</v>
      </c>
      <c r="O639" s="1">
        <v>9106.61</v>
      </c>
      <c r="P639">
        <v>20190415</v>
      </c>
      <c r="Q639" t="s">
        <v>58</v>
      </c>
      <c r="R639" t="s">
        <v>229</v>
      </c>
      <c r="S639" t="s">
        <v>23</v>
      </c>
      <c r="T639" t="s">
        <v>59</v>
      </c>
    </row>
    <row r="640" spans="1:20" x14ac:dyDescent="0.25">
      <c r="A640">
        <v>9</v>
      </c>
      <c r="B640">
        <v>163</v>
      </c>
      <c r="C640" t="str">
        <f t="shared" si="59"/>
        <v>00</v>
      </c>
      <c r="D640">
        <v>2159</v>
      </c>
      <c r="E640" t="str">
        <f t="shared" si="60"/>
        <v>00</v>
      </c>
      <c r="F640" t="str">
        <f>"099"</f>
        <v>099</v>
      </c>
      <c r="G640">
        <v>9</v>
      </c>
      <c r="H640" t="str">
        <f t="shared" si="61"/>
        <v>00</v>
      </c>
      <c r="I640" t="str">
        <f t="shared" si="62"/>
        <v>0</v>
      </c>
      <c r="J640" t="str">
        <f t="shared" si="63"/>
        <v>00</v>
      </c>
      <c r="K640">
        <v>20190415</v>
      </c>
      <c r="L640" t="str">
        <f>"027791"</f>
        <v>027791</v>
      </c>
      <c r="M640" t="str">
        <f>"75452"</f>
        <v>75452</v>
      </c>
      <c r="N640" t="s">
        <v>57</v>
      </c>
      <c r="O640">
        <v>300</v>
      </c>
      <c r="P640">
        <v>20190415</v>
      </c>
      <c r="Q640" t="s">
        <v>171</v>
      </c>
      <c r="R640" t="s">
        <v>235</v>
      </c>
      <c r="S640" t="s">
        <v>23</v>
      </c>
      <c r="T640" t="s">
        <v>173</v>
      </c>
    </row>
    <row r="641" spans="1:20" x14ac:dyDescent="0.25">
      <c r="A641">
        <v>9</v>
      </c>
      <c r="B641">
        <v>163</v>
      </c>
      <c r="C641" t="str">
        <f t="shared" si="59"/>
        <v>00</v>
      </c>
      <c r="D641">
        <v>2159</v>
      </c>
      <c r="E641" t="str">
        <f t="shared" si="60"/>
        <v>00</v>
      </c>
      <c r="F641" t="str">
        <f>"048"</f>
        <v>048</v>
      </c>
      <c r="G641">
        <v>9</v>
      </c>
      <c r="H641" t="str">
        <f t="shared" si="61"/>
        <v>00</v>
      </c>
      <c r="I641" t="str">
        <f t="shared" si="62"/>
        <v>0</v>
      </c>
      <c r="J641" t="str">
        <f t="shared" si="63"/>
        <v>00</v>
      </c>
      <c r="K641">
        <v>20190415</v>
      </c>
      <c r="L641" t="str">
        <f>"027792"</f>
        <v>027792</v>
      </c>
      <c r="M641" t="str">
        <f>"77030"</f>
        <v>77030</v>
      </c>
      <c r="N641" t="s">
        <v>139</v>
      </c>
      <c r="O641">
        <v>174.7</v>
      </c>
      <c r="P641">
        <v>20190415</v>
      </c>
      <c r="Q641" t="s">
        <v>140</v>
      </c>
      <c r="R641" t="s">
        <v>230</v>
      </c>
      <c r="S641" t="s">
        <v>23</v>
      </c>
      <c r="T641" t="s">
        <v>141</v>
      </c>
    </row>
    <row r="642" spans="1:20" x14ac:dyDescent="0.25">
      <c r="A642">
        <v>9</v>
      </c>
      <c r="B642">
        <v>163</v>
      </c>
      <c r="C642" t="str">
        <f t="shared" ref="C642:C705" si="66">"00"</f>
        <v>00</v>
      </c>
      <c r="D642">
        <v>2159</v>
      </c>
      <c r="E642" t="str">
        <f t="shared" ref="E642:E705" si="67">"00"</f>
        <v>00</v>
      </c>
      <c r="F642" t="str">
        <f>"005"</f>
        <v>005</v>
      </c>
      <c r="G642">
        <v>9</v>
      </c>
      <c r="H642" t="str">
        <f t="shared" ref="H642:H705" si="68">"00"</f>
        <v>00</v>
      </c>
      <c r="I642" t="str">
        <f t="shared" ref="I642:I705" si="69">"0"</f>
        <v>0</v>
      </c>
      <c r="J642" t="str">
        <f t="shared" ref="J642:J705" si="70">"00"</f>
        <v>00</v>
      </c>
      <c r="K642">
        <v>20190415</v>
      </c>
      <c r="L642" t="str">
        <f>"027793"</f>
        <v>027793</v>
      </c>
      <c r="M642" t="str">
        <f>"79562"</f>
        <v>79562</v>
      </c>
      <c r="N642" t="s">
        <v>142</v>
      </c>
      <c r="O642">
        <v>156.69999999999999</v>
      </c>
      <c r="P642">
        <v>20190415</v>
      </c>
      <c r="Q642" t="s">
        <v>143</v>
      </c>
      <c r="R642" t="s">
        <v>236</v>
      </c>
      <c r="S642" t="s">
        <v>23</v>
      </c>
      <c r="T642" t="s">
        <v>145</v>
      </c>
    </row>
    <row r="643" spans="1:20" x14ac:dyDescent="0.25">
      <c r="A643">
        <v>9</v>
      </c>
      <c r="B643">
        <v>163</v>
      </c>
      <c r="C643" t="str">
        <f t="shared" si="66"/>
        <v>00</v>
      </c>
      <c r="D643">
        <v>2159</v>
      </c>
      <c r="E643" t="str">
        <f t="shared" si="67"/>
        <v>00</v>
      </c>
      <c r="F643" t="str">
        <f>"086"</f>
        <v>086</v>
      </c>
      <c r="G643">
        <v>9</v>
      </c>
      <c r="H643" t="str">
        <f t="shared" si="68"/>
        <v>00</v>
      </c>
      <c r="I643" t="str">
        <f t="shared" si="69"/>
        <v>0</v>
      </c>
      <c r="J643" t="str">
        <f t="shared" si="70"/>
        <v>00</v>
      </c>
      <c r="K643">
        <v>20190415</v>
      </c>
      <c r="L643" t="str">
        <f>"027794"</f>
        <v>027794</v>
      </c>
      <c r="M643" t="str">
        <f>"81155"</f>
        <v>81155</v>
      </c>
      <c r="N643" t="s">
        <v>149</v>
      </c>
      <c r="O643">
        <v>215</v>
      </c>
      <c r="P643">
        <v>20190415</v>
      </c>
      <c r="Q643" t="s">
        <v>150</v>
      </c>
      <c r="R643" t="s">
        <v>230</v>
      </c>
      <c r="S643" t="s">
        <v>23</v>
      </c>
      <c r="T643" t="s">
        <v>151</v>
      </c>
    </row>
    <row r="644" spans="1:20" x14ac:dyDescent="0.25">
      <c r="A644">
        <v>9</v>
      </c>
      <c r="B644">
        <v>163</v>
      </c>
      <c r="C644" t="str">
        <f t="shared" si="66"/>
        <v>00</v>
      </c>
      <c r="D644">
        <v>2159</v>
      </c>
      <c r="E644" t="str">
        <f t="shared" si="67"/>
        <v>00</v>
      </c>
      <c r="F644" t="str">
        <f>"106"</f>
        <v>106</v>
      </c>
      <c r="G644">
        <v>9</v>
      </c>
      <c r="H644" t="str">
        <f t="shared" si="68"/>
        <v>00</v>
      </c>
      <c r="I644" t="str">
        <f t="shared" si="69"/>
        <v>0</v>
      </c>
      <c r="J644" t="str">
        <f t="shared" si="70"/>
        <v>00</v>
      </c>
      <c r="K644">
        <v>20190415</v>
      </c>
      <c r="L644" t="str">
        <f>"027795"</f>
        <v>027795</v>
      </c>
      <c r="M644" t="str">
        <f>"81173"</f>
        <v>81173</v>
      </c>
      <c r="N644" t="s">
        <v>60</v>
      </c>
      <c r="O644">
        <v>832.75</v>
      </c>
      <c r="P644">
        <v>20190415</v>
      </c>
      <c r="Q644" t="s">
        <v>61</v>
      </c>
      <c r="R644" t="s">
        <v>230</v>
      </c>
      <c r="S644" t="s">
        <v>23</v>
      </c>
      <c r="T644" t="s">
        <v>62</v>
      </c>
    </row>
    <row r="645" spans="1:20" x14ac:dyDescent="0.25">
      <c r="A645">
        <v>9</v>
      </c>
      <c r="B645">
        <v>163</v>
      </c>
      <c r="C645" t="str">
        <f t="shared" si="66"/>
        <v>00</v>
      </c>
      <c r="D645">
        <v>2159</v>
      </c>
      <c r="E645" t="str">
        <f t="shared" si="67"/>
        <v>00</v>
      </c>
      <c r="F645" t="str">
        <f>"007"</f>
        <v>007</v>
      </c>
      <c r="G645">
        <v>9</v>
      </c>
      <c r="H645" t="str">
        <f t="shared" si="68"/>
        <v>00</v>
      </c>
      <c r="I645" t="str">
        <f t="shared" si="69"/>
        <v>0</v>
      </c>
      <c r="J645" t="str">
        <f t="shared" si="70"/>
        <v>00</v>
      </c>
      <c r="K645">
        <v>20190415</v>
      </c>
      <c r="L645" t="str">
        <f>"027796"</f>
        <v>027796</v>
      </c>
      <c r="M645" t="str">
        <f>"81174"</f>
        <v>81174</v>
      </c>
      <c r="N645" t="s">
        <v>63</v>
      </c>
      <c r="O645" s="1">
        <v>1593.15</v>
      </c>
      <c r="P645">
        <v>20190415</v>
      </c>
      <c r="Q645" t="s">
        <v>64</v>
      </c>
      <c r="R645" t="s">
        <v>230</v>
      </c>
      <c r="S645" t="s">
        <v>23</v>
      </c>
      <c r="T645" t="s">
        <v>65</v>
      </c>
    </row>
    <row r="646" spans="1:20" x14ac:dyDescent="0.25">
      <c r="A646">
        <v>9</v>
      </c>
      <c r="B646">
        <v>163</v>
      </c>
      <c r="C646" t="str">
        <f t="shared" si="66"/>
        <v>00</v>
      </c>
      <c r="D646">
        <v>2159</v>
      </c>
      <c r="E646" t="str">
        <f t="shared" si="67"/>
        <v>00</v>
      </c>
      <c r="F646" t="str">
        <f>"123"</f>
        <v>123</v>
      </c>
      <c r="G646">
        <v>9</v>
      </c>
      <c r="H646" t="str">
        <f t="shared" si="68"/>
        <v>00</v>
      </c>
      <c r="I646" t="str">
        <f t="shared" si="69"/>
        <v>0</v>
      </c>
      <c r="J646" t="str">
        <f t="shared" si="70"/>
        <v>00</v>
      </c>
      <c r="K646">
        <v>20190415</v>
      </c>
      <c r="L646" t="str">
        <f>"027797"</f>
        <v>027797</v>
      </c>
      <c r="M646" t="str">
        <f>"81753"</f>
        <v>81753</v>
      </c>
      <c r="N646" t="s">
        <v>217</v>
      </c>
      <c r="O646" s="1">
        <v>1848.16</v>
      </c>
      <c r="P646">
        <v>20190415</v>
      </c>
      <c r="Q646" t="s">
        <v>155</v>
      </c>
      <c r="R646" t="s">
        <v>230</v>
      </c>
      <c r="S646" t="s">
        <v>23</v>
      </c>
      <c r="T646" t="s">
        <v>154</v>
      </c>
    </row>
    <row r="647" spans="1:20" x14ac:dyDescent="0.25">
      <c r="A647">
        <v>9</v>
      </c>
      <c r="B647">
        <v>163</v>
      </c>
      <c r="C647" t="str">
        <f t="shared" si="66"/>
        <v>00</v>
      </c>
      <c r="D647">
        <v>2159</v>
      </c>
      <c r="E647" t="str">
        <f t="shared" si="67"/>
        <v>00</v>
      </c>
      <c r="F647" t="str">
        <f>"123"</f>
        <v>123</v>
      </c>
      <c r="G647">
        <v>9</v>
      </c>
      <c r="H647" t="str">
        <f t="shared" si="68"/>
        <v>00</v>
      </c>
      <c r="I647" t="str">
        <f t="shared" si="69"/>
        <v>0</v>
      </c>
      <c r="J647" t="str">
        <f t="shared" si="70"/>
        <v>00</v>
      </c>
      <c r="K647">
        <v>20190423</v>
      </c>
      <c r="L647" t="str">
        <f>"027797"</f>
        <v>027797</v>
      </c>
      <c r="M647" t="str">
        <f>"81753"</f>
        <v>81753</v>
      </c>
      <c r="N647" t="s">
        <v>217</v>
      </c>
      <c r="O647" s="1">
        <v>-1848.16</v>
      </c>
      <c r="P647">
        <v>20190423</v>
      </c>
      <c r="Q647" t="s">
        <v>155</v>
      </c>
      <c r="R647" t="s">
        <v>138</v>
      </c>
      <c r="S647" t="s">
        <v>23</v>
      </c>
      <c r="T647" t="s">
        <v>154</v>
      </c>
    </row>
    <row r="648" spans="1:20" x14ac:dyDescent="0.25">
      <c r="A648">
        <v>9</v>
      </c>
      <c r="B648">
        <v>163</v>
      </c>
      <c r="C648" t="str">
        <f t="shared" si="66"/>
        <v>00</v>
      </c>
      <c r="D648">
        <v>2159</v>
      </c>
      <c r="E648" t="str">
        <f t="shared" si="67"/>
        <v>00</v>
      </c>
      <c r="F648" t="str">
        <f>"034"</f>
        <v>034</v>
      </c>
      <c r="G648">
        <v>9</v>
      </c>
      <c r="H648" t="str">
        <f t="shared" si="68"/>
        <v>00</v>
      </c>
      <c r="I648" t="str">
        <f t="shared" si="69"/>
        <v>0</v>
      </c>
      <c r="J648" t="str">
        <f t="shared" si="70"/>
        <v>00</v>
      </c>
      <c r="K648">
        <v>20190415</v>
      </c>
      <c r="L648" t="str">
        <f>"027798"</f>
        <v>027798</v>
      </c>
      <c r="M648" t="str">
        <f>"79762"</f>
        <v>79762</v>
      </c>
      <c r="N648" t="s">
        <v>146</v>
      </c>
      <c r="O648">
        <v>415</v>
      </c>
      <c r="P648">
        <v>20190415</v>
      </c>
      <c r="Q648" t="s">
        <v>147</v>
      </c>
      <c r="R648" t="s">
        <v>230</v>
      </c>
      <c r="S648" t="s">
        <v>23</v>
      </c>
      <c r="T648" t="s">
        <v>148</v>
      </c>
    </row>
    <row r="649" spans="1:20" x14ac:dyDescent="0.25">
      <c r="A649">
        <v>9</v>
      </c>
      <c r="B649">
        <v>163</v>
      </c>
      <c r="C649" t="str">
        <f t="shared" si="66"/>
        <v>00</v>
      </c>
      <c r="D649">
        <v>2159</v>
      </c>
      <c r="E649" t="str">
        <f t="shared" si="67"/>
        <v>00</v>
      </c>
      <c r="F649" t="str">
        <f>"123"</f>
        <v>123</v>
      </c>
      <c r="G649">
        <v>9</v>
      </c>
      <c r="H649" t="str">
        <f t="shared" si="68"/>
        <v>00</v>
      </c>
      <c r="I649" t="str">
        <f t="shared" si="69"/>
        <v>0</v>
      </c>
      <c r="J649" t="str">
        <f t="shared" si="70"/>
        <v>00</v>
      </c>
      <c r="K649">
        <v>20190415</v>
      </c>
      <c r="L649" t="str">
        <f>"027799"</f>
        <v>027799</v>
      </c>
      <c r="M649" t="str">
        <f>"81753"</f>
        <v>81753</v>
      </c>
      <c r="N649" t="s">
        <v>217</v>
      </c>
      <c r="O649" s="1">
        <v>1367.05</v>
      </c>
      <c r="P649">
        <v>20190415</v>
      </c>
      <c r="Q649" t="s">
        <v>155</v>
      </c>
      <c r="R649" t="s">
        <v>156</v>
      </c>
      <c r="S649" t="s">
        <v>23</v>
      </c>
      <c r="T649" t="s">
        <v>154</v>
      </c>
    </row>
    <row r="650" spans="1:20" x14ac:dyDescent="0.25">
      <c r="A650">
        <v>9</v>
      </c>
      <c r="B650">
        <v>163</v>
      </c>
      <c r="C650" t="str">
        <f t="shared" si="66"/>
        <v>00</v>
      </c>
      <c r="D650">
        <v>2159</v>
      </c>
      <c r="E650" t="str">
        <f t="shared" si="67"/>
        <v>00</v>
      </c>
      <c r="F650" t="str">
        <f>"147"</f>
        <v>147</v>
      </c>
      <c r="G650">
        <v>9</v>
      </c>
      <c r="H650" t="str">
        <f t="shared" si="68"/>
        <v>00</v>
      </c>
      <c r="I650" t="str">
        <f t="shared" si="69"/>
        <v>0</v>
      </c>
      <c r="J650" t="str">
        <f t="shared" si="70"/>
        <v>00</v>
      </c>
      <c r="K650">
        <v>20190415</v>
      </c>
      <c r="L650" t="str">
        <f>"027800"</f>
        <v>027800</v>
      </c>
      <c r="M650" t="str">
        <f>"00248"</f>
        <v>00248</v>
      </c>
      <c r="N650" t="s">
        <v>77</v>
      </c>
      <c r="O650" s="1">
        <v>2433.9899999999998</v>
      </c>
      <c r="P650">
        <v>20190415</v>
      </c>
      <c r="Q650" t="s">
        <v>78</v>
      </c>
      <c r="R650" t="s">
        <v>156</v>
      </c>
      <c r="S650" t="s">
        <v>23</v>
      </c>
      <c r="T650" t="s">
        <v>79</v>
      </c>
    </row>
    <row r="651" spans="1:20" x14ac:dyDescent="0.25">
      <c r="A651">
        <v>9</v>
      </c>
      <c r="B651">
        <v>163</v>
      </c>
      <c r="C651" t="str">
        <f t="shared" si="66"/>
        <v>00</v>
      </c>
      <c r="D651">
        <v>2153</v>
      </c>
      <c r="E651" t="str">
        <f t="shared" si="67"/>
        <v>00</v>
      </c>
      <c r="F651" t="str">
        <f>"141"</f>
        <v>141</v>
      </c>
      <c r="G651">
        <v>9</v>
      </c>
      <c r="H651" t="str">
        <f t="shared" si="68"/>
        <v>00</v>
      </c>
      <c r="I651" t="str">
        <f t="shared" si="69"/>
        <v>0</v>
      </c>
      <c r="J651" t="str">
        <f t="shared" si="70"/>
        <v>00</v>
      </c>
      <c r="K651">
        <v>20190419</v>
      </c>
      <c r="L651" t="str">
        <f>"027813"</f>
        <v>027813</v>
      </c>
      <c r="M651" t="str">
        <f>"00068"</f>
        <v>00068</v>
      </c>
      <c r="N651" t="s">
        <v>20</v>
      </c>
      <c r="O651">
        <v>389.56</v>
      </c>
      <c r="P651">
        <v>20190419</v>
      </c>
      <c r="Q651" t="s">
        <v>21</v>
      </c>
      <c r="R651" t="s">
        <v>228</v>
      </c>
      <c r="S651" t="s">
        <v>23</v>
      </c>
      <c r="T651" t="s">
        <v>24</v>
      </c>
    </row>
    <row r="652" spans="1:20" x14ac:dyDescent="0.25">
      <c r="A652">
        <v>9</v>
      </c>
      <c r="B652">
        <v>163</v>
      </c>
      <c r="C652" t="str">
        <f t="shared" si="66"/>
        <v>00</v>
      </c>
      <c r="D652">
        <v>2153</v>
      </c>
      <c r="E652" t="str">
        <f t="shared" si="67"/>
        <v>00</v>
      </c>
      <c r="F652" t="str">
        <f>"142"</f>
        <v>142</v>
      </c>
      <c r="G652">
        <v>9</v>
      </c>
      <c r="H652" t="str">
        <f t="shared" si="68"/>
        <v>00</v>
      </c>
      <c r="I652" t="str">
        <f t="shared" si="69"/>
        <v>0</v>
      </c>
      <c r="J652" t="str">
        <f t="shared" si="70"/>
        <v>00</v>
      </c>
      <c r="K652">
        <v>20190419</v>
      </c>
      <c r="L652" t="str">
        <f>"027813"</f>
        <v>027813</v>
      </c>
      <c r="M652" t="str">
        <f>"00068"</f>
        <v>00068</v>
      </c>
      <c r="N652" t="s">
        <v>20</v>
      </c>
      <c r="O652">
        <v>296.12</v>
      </c>
      <c r="P652">
        <v>20190419</v>
      </c>
      <c r="Q652" t="s">
        <v>25</v>
      </c>
      <c r="R652" t="s">
        <v>229</v>
      </c>
      <c r="S652" t="s">
        <v>23</v>
      </c>
      <c r="T652" t="s">
        <v>27</v>
      </c>
    </row>
    <row r="653" spans="1:20" x14ac:dyDescent="0.25">
      <c r="A653">
        <v>9</v>
      </c>
      <c r="B653">
        <v>163</v>
      </c>
      <c r="C653" t="str">
        <f t="shared" si="66"/>
        <v>00</v>
      </c>
      <c r="D653">
        <v>2159</v>
      </c>
      <c r="E653" t="str">
        <f t="shared" si="67"/>
        <v>00</v>
      </c>
      <c r="F653" t="str">
        <f>"148"</f>
        <v>148</v>
      </c>
      <c r="G653">
        <v>9</v>
      </c>
      <c r="H653" t="str">
        <f t="shared" si="68"/>
        <v>00</v>
      </c>
      <c r="I653" t="str">
        <f t="shared" si="69"/>
        <v>0</v>
      </c>
      <c r="J653" t="str">
        <f t="shared" si="70"/>
        <v>00</v>
      </c>
      <c r="K653">
        <v>20190419</v>
      </c>
      <c r="L653" t="str">
        <f>"027814"</f>
        <v>027814</v>
      </c>
      <c r="M653" t="str">
        <f>"00528"</f>
        <v>00528</v>
      </c>
      <c r="N653" t="s">
        <v>159</v>
      </c>
      <c r="O653">
        <v>15</v>
      </c>
      <c r="P653">
        <v>20190419</v>
      </c>
      <c r="Q653" t="s">
        <v>160</v>
      </c>
      <c r="R653" t="s">
        <v>230</v>
      </c>
      <c r="S653" t="s">
        <v>23</v>
      </c>
      <c r="T653" t="s">
        <v>162</v>
      </c>
    </row>
    <row r="654" spans="1:20" x14ac:dyDescent="0.25">
      <c r="A654">
        <v>9</v>
      </c>
      <c r="B654">
        <v>163</v>
      </c>
      <c r="C654" t="str">
        <f t="shared" si="66"/>
        <v>00</v>
      </c>
      <c r="D654">
        <v>2153</v>
      </c>
      <c r="E654" t="str">
        <f t="shared" si="67"/>
        <v>00</v>
      </c>
      <c r="F654" t="str">
        <f>"022"</f>
        <v>022</v>
      </c>
      <c r="G654">
        <v>9</v>
      </c>
      <c r="H654" t="str">
        <f t="shared" si="68"/>
        <v>00</v>
      </c>
      <c r="I654" t="str">
        <f t="shared" si="69"/>
        <v>0</v>
      </c>
      <c r="J654" t="str">
        <f t="shared" si="70"/>
        <v>00</v>
      </c>
      <c r="K654">
        <v>20190419</v>
      </c>
      <c r="L654" t="str">
        <f>"027815"</f>
        <v>027815</v>
      </c>
      <c r="M654" t="str">
        <f>"04831"</f>
        <v>04831</v>
      </c>
      <c r="N654" t="s">
        <v>28</v>
      </c>
      <c r="O654">
        <v>16.77</v>
      </c>
      <c r="P654">
        <v>20190419</v>
      </c>
      <c r="Q654" t="s">
        <v>29</v>
      </c>
      <c r="R654" t="s">
        <v>229</v>
      </c>
      <c r="S654" t="s">
        <v>23</v>
      </c>
      <c r="T654" t="s">
        <v>30</v>
      </c>
    </row>
    <row r="655" spans="1:20" x14ac:dyDescent="0.25">
      <c r="A655">
        <v>9</v>
      </c>
      <c r="B655">
        <v>163</v>
      </c>
      <c r="C655" t="str">
        <f t="shared" si="66"/>
        <v>00</v>
      </c>
      <c r="D655">
        <v>2159</v>
      </c>
      <c r="E655" t="str">
        <f t="shared" si="67"/>
        <v>00</v>
      </c>
      <c r="F655" t="str">
        <f>"018"</f>
        <v>018</v>
      </c>
      <c r="G655">
        <v>9</v>
      </c>
      <c r="H655" t="str">
        <f t="shared" si="68"/>
        <v>00</v>
      </c>
      <c r="I655" t="str">
        <f t="shared" si="69"/>
        <v>0</v>
      </c>
      <c r="J655" t="str">
        <f t="shared" si="70"/>
        <v>00</v>
      </c>
      <c r="K655">
        <v>20190419</v>
      </c>
      <c r="L655" t="str">
        <f>"027816"</f>
        <v>027816</v>
      </c>
      <c r="M655" t="str">
        <f>"04905"</f>
        <v>04905</v>
      </c>
      <c r="N655" t="s">
        <v>31</v>
      </c>
      <c r="O655">
        <v>36.74</v>
      </c>
      <c r="P655">
        <v>20190419</v>
      </c>
      <c r="Q655" t="s">
        <v>32</v>
      </c>
      <c r="R655" t="s">
        <v>230</v>
      </c>
      <c r="S655" t="s">
        <v>23</v>
      </c>
      <c r="T655" t="s">
        <v>34</v>
      </c>
    </row>
    <row r="656" spans="1:20" x14ac:dyDescent="0.25">
      <c r="A656">
        <v>9</v>
      </c>
      <c r="B656">
        <v>163</v>
      </c>
      <c r="C656" t="str">
        <f t="shared" si="66"/>
        <v>00</v>
      </c>
      <c r="D656">
        <v>2153</v>
      </c>
      <c r="E656" t="str">
        <f t="shared" si="67"/>
        <v>00</v>
      </c>
      <c r="F656" t="str">
        <f>"053"</f>
        <v>053</v>
      </c>
      <c r="G656">
        <v>9</v>
      </c>
      <c r="H656" t="str">
        <f t="shared" si="68"/>
        <v>00</v>
      </c>
      <c r="I656" t="str">
        <f t="shared" si="69"/>
        <v>0</v>
      </c>
      <c r="J656" t="str">
        <f t="shared" si="70"/>
        <v>00</v>
      </c>
      <c r="K656">
        <v>20190419</v>
      </c>
      <c r="L656" t="str">
        <f>"027817"</f>
        <v>027817</v>
      </c>
      <c r="M656" t="str">
        <f>"04987"</f>
        <v>04987</v>
      </c>
      <c r="N656" t="s">
        <v>35</v>
      </c>
      <c r="O656">
        <v>13.76</v>
      </c>
      <c r="P656">
        <v>20190419</v>
      </c>
      <c r="Q656" t="s">
        <v>36</v>
      </c>
      <c r="R656" t="s">
        <v>229</v>
      </c>
      <c r="S656" t="s">
        <v>23</v>
      </c>
      <c r="T656" t="s">
        <v>37</v>
      </c>
    </row>
    <row r="657" spans="1:20" x14ac:dyDescent="0.25">
      <c r="A657">
        <v>9</v>
      </c>
      <c r="B657">
        <v>163</v>
      </c>
      <c r="C657" t="str">
        <f t="shared" si="66"/>
        <v>00</v>
      </c>
      <c r="D657">
        <v>2159</v>
      </c>
      <c r="E657" t="str">
        <f t="shared" si="67"/>
        <v>00</v>
      </c>
      <c r="F657" t="str">
        <f>"068"</f>
        <v>068</v>
      </c>
      <c r="G657">
        <v>9</v>
      </c>
      <c r="H657" t="str">
        <f t="shared" si="68"/>
        <v>00</v>
      </c>
      <c r="I657" t="str">
        <f t="shared" si="69"/>
        <v>0</v>
      </c>
      <c r="J657" t="str">
        <f t="shared" si="70"/>
        <v>00</v>
      </c>
      <c r="K657">
        <v>20190419</v>
      </c>
      <c r="L657" t="str">
        <f>"027818"</f>
        <v>027818</v>
      </c>
      <c r="M657" t="str">
        <f>"10095"</f>
        <v>10095</v>
      </c>
      <c r="N657" t="s">
        <v>83</v>
      </c>
      <c r="O657">
        <v>14.59</v>
      </c>
      <c r="P657">
        <v>20190419</v>
      </c>
      <c r="Q657" t="s">
        <v>84</v>
      </c>
      <c r="R657" t="s">
        <v>230</v>
      </c>
      <c r="S657" t="s">
        <v>23</v>
      </c>
      <c r="T657" t="s">
        <v>85</v>
      </c>
    </row>
    <row r="658" spans="1:20" x14ac:dyDescent="0.25">
      <c r="A658">
        <v>9</v>
      </c>
      <c r="B658">
        <v>163</v>
      </c>
      <c r="C658" t="str">
        <f t="shared" si="66"/>
        <v>00</v>
      </c>
      <c r="D658">
        <v>2153</v>
      </c>
      <c r="E658" t="str">
        <f t="shared" si="67"/>
        <v>00</v>
      </c>
      <c r="F658" t="str">
        <f>"011"</f>
        <v>011</v>
      </c>
      <c r="G658">
        <v>9</v>
      </c>
      <c r="H658" t="str">
        <f t="shared" si="68"/>
        <v>00</v>
      </c>
      <c r="I658" t="str">
        <f t="shared" si="69"/>
        <v>0</v>
      </c>
      <c r="J658" t="str">
        <f t="shared" si="70"/>
        <v>00</v>
      </c>
      <c r="K658">
        <v>20190419</v>
      </c>
      <c r="L658" t="str">
        <f>"027819"</f>
        <v>027819</v>
      </c>
      <c r="M658" t="str">
        <f>"11211"</f>
        <v>11211</v>
      </c>
      <c r="N658" t="s">
        <v>41</v>
      </c>
      <c r="O658">
        <v>152.79</v>
      </c>
      <c r="P658">
        <v>20190419</v>
      </c>
      <c r="Q658" t="s">
        <v>42</v>
      </c>
      <c r="R658" t="s">
        <v>229</v>
      </c>
      <c r="S658" t="s">
        <v>23</v>
      </c>
      <c r="T658" t="s">
        <v>43</v>
      </c>
    </row>
    <row r="659" spans="1:20" x14ac:dyDescent="0.25">
      <c r="A659">
        <v>9</v>
      </c>
      <c r="B659">
        <v>163</v>
      </c>
      <c r="C659" t="str">
        <f t="shared" si="66"/>
        <v>00</v>
      </c>
      <c r="D659">
        <v>2159</v>
      </c>
      <c r="E659" t="str">
        <f t="shared" si="67"/>
        <v>00</v>
      </c>
      <c r="F659" t="str">
        <f>"104"</f>
        <v>104</v>
      </c>
      <c r="G659">
        <v>9</v>
      </c>
      <c r="H659" t="str">
        <f t="shared" si="68"/>
        <v>00</v>
      </c>
      <c r="I659" t="str">
        <f t="shared" si="69"/>
        <v>0</v>
      </c>
      <c r="J659" t="str">
        <f t="shared" si="70"/>
        <v>00</v>
      </c>
      <c r="K659">
        <v>20190419</v>
      </c>
      <c r="L659" t="str">
        <f>"027820"</f>
        <v>027820</v>
      </c>
      <c r="M659" t="str">
        <f>"14177"</f>
        <v>14177</v>
      </c>
      <c r="N659" t="s">
        <v>163</v>
      </c>
      <c r="O659">
        <v>87.25</v>
      </c>
      <c r="P659">
        <v>20190419</v>
      </c>
      <c r="Q659" t="s">
        <v>45</v>
      </c>
      <c r="R659" t="s">
        <v>230</v>
      </c>
      <c r="S659" t="s">
        <v>23</v>
      </c>
      <c r="T659" t="s">
        <v>46</v>
      </c>
    </row>
    <row r="660" spans="1:20" x14ac:dyDescent="0.25">
      <c r="A660">
        <v>9</v>
      </c>
      <c r="B660">
        <v>163</v>
      </c>
      <c r="C660" t="str">
        <f t="shared" si="66"/>
        <v>00</v>
      </c>
      <c r="D660">
        <v>2153</v>
      </c>
      <c r="E660" t="str">
        <f t="shared" si="67"/>
        <v>00</v>
      </c>
      <c r="F660" t="str">
        <f>"110"</f>
        <v>110</v>
      </c>
      <c r="G660">
        <v>9</v>
      </c>
      <c r="H660" t="str">
        <f t="shared" si="68"/>
        <v>00</v>
      </c>
      <c r="I660" t="str">
        <f t="shared" si="69"/>
        <v>0</v>
      </c>
      <c r="J660" t="str">
        <f t="shared" si="70"/>
        <v>00</v>
      </c>
      <c r="K660">
        <v>20190419</v>
      </c>
      <c r="L660" t="str">
        <f>"027821"</f>
        <v>027821</v>
      </c>
      <c r="M660" t="str">
        <f>"48947"</f>
        <v>48947</v>
      </c>
      <c r="N660" t="s">
        <v>47</v>
      </c>
      <c r="O660">
        <v>34.81</v>
      </c>
      <c r="P660">
        <v>20190419</v>
      </c>
      <c r="Q660" t="s">
        <v>48</v>
      </c>
      <c r="R660" t="s">
        <v>228</v>
      </c>
      <c r="S660" t="s">
        <v>23</v>
      </c>
      <c r="T660" t="s">
        <v>49</v>
      </c>
    </row>
    <row r="661" spans="1:20" x14ac:dyDescent="0.25">
      <c r="A661">
        <v>9</v>
      </c>
      <c r="B661">
        <v>163</v>
      </c>
      <c r="C661" t="str">
        <f t="shared" si="66"/>
        <v>00</v>
      </c>
      <c r="D661">
        <v>2159</v>
      </c>
      <c r="E661" t="str">
        <f t="shared" si="67"/>
        <v>00</v>
      </c>
      <c r="F661" t="str">
        <f>"131"</f>
        <v>131</v>
      </c>
      <c r="G661">
        <v>9</v>
      </c>
      <c r="H661" t="str">
        <f t="shared" si="68"/>
        <v>00</v>
      </c>
      <c r="I661" t="str">
        <f t="shared" si="69"/>
        <v>0</v>
      </c>
      <c r="J661" t="str">
        <f t="shared" si="70"/>
        <v>00</v>
      </c>
      <c r="K661">
        <v>20190419</v>
      </c>
      <c r="L661" t="str">
        <f>"027822"</f>
        <v>027822</v>
      </c>
      <c r="M661" t="str">
        <f>"54196"</f>
        <v>54196</v>
      </c>
      <c r="N661" t="s">
        <v>50</v>
      </c>
      <c r="O661">
        <v>50</v>
      </c>
      <c r="P661">
        <v>20190419</v>
      </c>
      <c r="Q661" t="s">
        <v>51</v>
      </c>
      <c r="R661" t="s">
        <v>231</v>
      </c>
      <c r="S661" t="s">
        <v>23</v>
      </c>
      <c r="T661" t="s">
        <v>53</v>
      </c>
    </row>
    <row r="662" spans="1:20" x14ac:dyDescent="0.25">
      <c r="A662">
        <v>9</v>
      </c>
      <c r="B662">
        <v>163</v>
      </c>
      <c r="C662" t="str">
        <f t="shared" si="66"/>
        <v>00</v>
      </c>
      <c r="D662">
        <v>2159</v>
      </c>
      <c r="E662" t="str">
        <f t="shared" si="67"/>
        <v>00</v>
      </c>
      <c r="F662" t="str">
        <f>"111"</f>
        <v>111</v>
      </c>
      <c r="G662">
        <v>9</v>
      </c>
      <c r="H662" t="str">
        <f t="shared" si="68"/>
        <v>00</v>
      </c>
      <c r="I662" t="str">
        <f t="shared" si="69"/>
        <v>0</v>
      </c>
      <c r="J662" t="str">
        <f t="shared" si="70"/>
        <v>00</v>
      </c>
      <c r="K662">
        <v>20190419</v>
      </c>
      <c r="L662" t="str">
        <f>"027823"</f>
        <v>027823</v>
      </c>
      <c r="M662" t="str">
        <f>"72601"</f>
        <v>72601</v>
      </c>
      <c r="N662" t="s">
        <v>54</v>
      </c>
      <c r="O662">
        <v>434.86</v>
      </c>
      <c r="P662">
        <v>20190419</v>
      </c>
      <c r="Q662" t="s">
        <v>55</v>
      </c>
      <c r="R662" t="s">
        <v>230</v>
      </c>
      <c r="S662" t="s">
        <v>23</v>
      </c>
      <c r="T662" t="s">
        <v>56</v>
      </c>
    </row>
    <row r="663" spans="1:20" x14ac:dyDescent="0.25">
      <c r="A663">
        <v>9</v>
      </c>
      <c r="B663">
        <v>163</v>
      </c>
      <c r="C663" t="str">
        <f t="shared" si="66"/>
        <v>00</v>
      </c>
      <c r="D663">
        <v>2153</v>
      </c>
      <c r="E663" t="str">
        <f t="shared" si="67"/>
        <v>00</v>
      </c>
      <c r="F663" t="str">
        <f>"006"</f>
        <v>006</v>
      </c>
      <c r="G663">
        <v>9</v>
      </c>
      <c r="H663" t="str">
        <f t="shared" si="68"/>
        <v>00</v>
      </c>
      <c r="I663" t="str">
        <f t="shared" si="69"/>
        <v>0</v>
      </c>
      <c r="J663" t="str">
        <f t="shared" si="70"/>
        <v>00</v>
      </c>
      <c r="K663">
        <v>20190419</v>
      </c>
      <c r="L663" t="str">
        <f>"027824"</f>
        <v>027824</v>
      </c>
      <c r="M663" t="str">
        <f>"75452"</f>
        <v>75452</v>
      </c>
      <c r="N663" t="s">
        <v>57</v>
      </c>
      <c r="O663">
        <v>423.44</v>
      </c>
      <c r="P663">
        <v>20190419</v>
      </c>
      <c r="Q663" t="s">
        <v>58</v>
      </c>
      <c r="R663" t="s">
        <v>229</v>
      </c>
      <c r="S663" t="s">
        <v>23</v>
      </c>
      <c r="T663" t="s">
        <v>59</v>
      </c>
    </row>
    <row r="664" spans="1:20" x14ac:dyDescent="0.25">
      <c r="A664">
        <v>9</v>
      </c>
      <c r="B664">
        <v>163</v>
      </c>
      <c r="C664" t="str">
        <f t="shared" si="66"/>
        <v>00</v>
      </c>
      <c r="D664">
        <v>2159</v>
      </c>
      <c r="E664" t="str">
        <f t="shared" si="67"/>
        <v>00</v>
      </c>
      <c r="F664" t="str">
        <f>"106"</f>
        <v>106</v>
      </c>
      <c r="G664">
        <v>9</v>
      </c>
      <c r="H664" t="str">
        <f t="shared" si="68"/>
        <v>00</v>
      </c>
      <c r="I664" t="str">
        <f t="shared" si="69"/>
        <v>0</v>
      </c>
      <c r="J664" t="str">
        <f t="shared" si="70"/>
        <v>00</v>
      </c>
      <c r="K664">
        <v>20190419</v>
      </c>
      <c r="L664" t="str">
        <f>"027825"</f>
        <v>027825</v>
      </c>
      <c r="M664" t="str">
        <f>"81173"</f>
        <v>81173</v>
      </c>
      <c r="N664" t="s">
        <v>60</v>
      </c>
      <c r="O664">
        <v>69.89</v>
      </c>
      <c r="P664">
        <v>20190419</v>
      </c>
      <c r="Q664" t="s">
        <v>61</v>
      </c>
      <c r="R664" t="s">
        <v>230</v>
      </c>
      <c r="S664" t="s">
        <v>23</v>
      </c>
      <c r="T664" t="s">
        <v>62</v>
      </c>
    </row>
    <row r="665" spans="1:20" x14ac:dyDescent="0.25">
      <c r="A665">
        <v>9</v>
      </c>
      <c r="B665">
        <v>163</v>
      </c>
      <c r="C665" t="str">
        <f t="shared" si="66"/>
        <v>00</v>
      </c>
      <c r="D665">
        <v>2159</v>
      </c>
      <c r="E665" t="str">
        <f t="shared" si="67"/>
        <v>00</v>
      </c>
      <c r="F665" t="str">
        <f>"007"</f>
        <v>007</v>
      </c>
      <c r="G665">
        <v>9</v>
      </c>
      <c r="H665" t="str">
        <f t="shared" si="68"/>
        <v>00</v>
      </c>
      <c r="I665" t="str">
        <f t="shared" si="69"/>
        <v>0</v>
      </c>
      <c r="J665" t="str">
        <f t="shared" si="70"/>
        <v>00</v>
      </c>
      <c r="K665">
        <v>20190419</v>
      </c>
      <c r="L665" t="str">
        <f>"027826"</f>
        <v>027826</v>
      </c>
      <c r="M665" t="str">
        <f>"81174"</f>
        <v>81174</v>
      </c>
      <c r="N665" t="s">
        <v>63</v>
      </c>
      <c r="O665">
        <v>34.89</v>
      </c>
      <c r="P665">
        <v>20190419</v>
      </c>
      <c r="Q665" t="s">
        <v>64</v>
      </c>
      <c r="R665" t="s">
        <v>230</v>
      </c>
      <c r="S665" t="s">
        <v>23</v>
      </c>
      <c r="T665" t="s">
        <v>65</v>
      </c>
    </row>
    <row r="666" spans="1:20" x14ac:dyDescent="0.25">
      <c r="A666">
        <v>9</v>
      </c>
      <c r="B666">
        <v>163</v>
      </c>
      <c r="C666" t="str">
        <f t="shared" si="66"/>
        <v>00</v>
      </c>
      <c r="D666">
        <v>2153</v>
      </c>
      <c r="E666" t="str">
        <f t="shared" si="67"/>
        <v>00</v>
      </c>
      <c r="F666" t="str">
        <f>"011"</f>
        <v>011</v>
      </c>
      <c r="G666">
        <v>9</v>
      </c>
      <c r="H666" t="str">
        <f t="shared" si="68"/>
        <v>00</v>
      </c>
      <c r="I666" t="str">
        <f t="shared" si="69"/>
        <v>0</v>
      </c>
      <c r="J666" t="str">
        <f t="shared" si="70"/>
        <v>00</v>
      </c>
      <c r="K666">
        <v>20190501</v>
      </c>
      <c r="L666" t="str">
        <f t="shared" ref="L666:L673" si="71">"027827"</f>
        <v>027827</v>
      </c>
      <c r="M666" t="str">
        <f t="shared" ref="M666:M673" si="72">"99999"</f>
        <v>99999</v>
      </c>
      <c r="N666" t="s">
        <v>175</v>
      </c>
      <c r="O666">
        <v>13.68</v>
      </c>
      <c r="P666">
        <v>20190501</v>
      </c>
      <c r="Q666" t="s">
        <v>42</v>
      </c>
      <c r="R666" t="s">
        <v>237</v>
      </c>
      <c r="S666" t="s">
        <v>23</v>
      </c>
      <c r="T666" t="s">
        <v>43</v>
      </c>
    </row>
    <row r="667" spans="1:20" x14ac:dyDescent="0.25">
      <c r="A667">
        <v>9</v>
      </c>
      <c r="B667">
        <v>163</v>
      </c>
      <c r="C667" t="str">
        <f t="shared" si="66"/>
        <v>00</v>
      </c>
      <c r="D667">
        <v>2153</v>
      </c>
      <c r="E667" t="str">
        <f t="shared" si="67"/>
        <v>00</v>
      </c>
      <c r="F667" t="str">
        <f>"112"</f>
        <v>112</v>
      </c>
      <c r="G667">
        <v>9</v>
      </c>
      <c r="H667" t="str">
        <f t="shared" si="68"/>
        <v>00</v>
      </c>
      <c r="I667" t="str">
        <f t="shared" si="69"/>
        <v>0</v>
      </c>
      <c r="J667" t="str">
        <f t="shared" si="70"/>
        <v>00</v>
      </c>
      <c r="K667">
        <v>20190501</v>
      </c>
      <c r="L667" t="str">
        <f t="shared" si="71"/>
        <v>027827</v>
      </c>
      <c r="M667" t="str">
        <f t="shared" si="72"/>
        <v>99999</v>
      </c>
      <c r="N667" t="s">
        <v>175</v>
      </c>
      <c r="O667">
        <v>36.479999999999997</v>
      </c>
      <c r="P667">
        <v>20190501</v>
      </c>
      <c r="Q667" t="s">
        <v>197</v>
      </c>
      <c r="R667" t="s">
        <v>237</v>
      </c>
      <c r="S667" t="s">
        <v>23</v>
      </c>
      <c r="T667" t="s">
        <v>198</v>
      </c>
    </row>
    <row r="668" spans="1:20" x14ac:dyDescent="0.25">
      <c r="A668">
        <v>9</v>
      </c>
      <c r="B668">
        <v>163</v>
      </c>
      <c r="C668" t="str">
        <f t="shared" si="66"/>
        <v>00</v>
      </c>
      <c r="D668">
        <v>2153</v>
      </c>
      <c r="E668" t="str">
        <f t="shared" si="67"/>
        <v>00</v>
      </c>
      <c r="F668" t="str">
        <f>"141"</f>
        <v>141</v>
      </c>
      <c r="G668">
        <v>9</v>
      </c>
      <c r="H668" t="str">
        <f t="shared" si="68"/>
        <v>00</v>
      </c>
      <c r="I668" t="str">
        <f t="shared" si="69"/>
        <v>0</v>
      </c>
      <c r="J668" t="str">
        <f t="shared" si="70"/>
        <v>00</v>
      </c>
      <c r="K668">
        <v>20190501</v>
      </c>
      <c r="L668" t="str">
        <f t="shared" si="71"/>
        <v>027827</v>
      </c>
      <c r="M668" t="str">
        <f t="shared" si="72"/>
        <v>99999</v>
      </c>
      <c r="N668" t="s">
        <v>175</v>
      </c>
      <c r="O668">
        <v>51.96</v>
      </c>
      <c r="P668">
        <v>20190501</v>
      </c>
      <c r="Q668" t="s">
        <v>21</v>
      </c>
      <c r="R668" t="s">
        <v>237</v>
      </c>
      <c r="S668" t="s">
        <v>23</v>
      </c>
      <c r="T668" t="s">
        <v>24</v>
      </c>
    </row>
    <row r="669" spans="1:20" x14ac:dyDescent="0.25">
      <c r="A669">
        <v>9</v>
      </c>
      <c r="B669">
        <v>163</v>
      </c>
      <c r="C669" t="str">
        <f t="shared" si="66"/>
        <v>00</v>
      </c>
      <c r="D669">
        <v>2153</v>
      </c>
      <c r="E669" t="str">
        <f t="shared" si="67"/>
        <v>00</v>
      </c>
      <c r="F669" t="str">
        <f>"142"</f>
        <v>142</v>
      </c>
      <c r="G669">
        <v>9</v>
      </c>
      <c r="H669" t="str">
        <f t="shared" si="68"/>
        <v>00</v>
      </c>
      <c r="I669" t="str">
        <f t="shared" si="69"/>
        <v>0</v>
      </c>
      <c r="J669" t="str">
        <f t="shared" si="70"/>
        <v>00</v>
      </c>
      <c r="K669">
        <v>20190501</v>
      </c>
      <c r="L669" t="str">
        <f t="shared" si="71"/>
        <v>027827</v>
      </c>
      <c r="M669" t="str">
        <f t="shared" si="72"/>
        <v>99999</v>
      </c>
      <c r="N669" t="s">
        <v>175</v>
      </c>
      <c r="O669">
        <v>57.02</v>
      </c>
      <c r="P669">
        <v>20190501</v>
      </c>
      <c r="Q669" t="s">
        <v>25</v>
      </c>
      <c r="R669" t="s">
        <v>237</v>
      </c>
      <c r="S669" t="s">
        <v>23</v>
      </c>
      <c r="T669" t="s">
        <v>27</v>
      </c>
    </row>
    <row r="670" spans="1:20" x14ac:dyDescent="0.25">
      <c r="A670">
        <v>9</v>
      </c>
      <c r="B670">
        <v>163</v>
      </c>
      <c r="C670" t="str">
        <f t="shared" si="66"/>
        <v>00</v>
      </c>
      <c r="D670">
        <v>2153</v>
      </c>
      <c r="E670" t="str">
        <f t="shared" si="67"/>
        <v>00</v>
      </c>
      <c r="F670" t="str">
        <f>"144"</f>
        <v>144</v>
      </c>
      <c r="G670">
        <v>9</v>
      </c>
      <c r="H670" t="str">
        <f t="shared" si="68"/>
        <v>00</v>
      </c>
      <c r="I670" t="str">
        <f t="shared" si="69"/>
        <v>0</v>
      </c>
      <c r="J670" t="str">
        <f t="shared" si="70"/>
        <v>00</v>
      </c>
      <c r="K670">
        <v>20190501</v>
      </c>
      <c r="L670" t="str">
        <f t="shared" si="71"/>
        <v>027827</v>
      </c>
      <c r="M670" t="str">
        <f t="shared" si="72"/>
        <v>99999</v>
      </c>
      <c r="N670" t="s">
        <v>175</v>
      </c>
      <c r="O670">
        <v>138.56</v>
      </c>
      <c r="P670">
        <v>20190501</v>
      </c>
      <c r="Q670" t="s">
        <v>238</v>
      </c>
      <c r="R670" t="s">
        <v>237</v>
      </c>
      <c r="S670" t="s">
        <v>23</v>
      </c>
      <c r="T670" t="s">
        <v>239</v>
      </c>
    </row>
    <row r="671" spans="1:20" x14ac:dyDescent="0.25">
      <c r="A671">
        <v>9</v>
      </c>
      <c r="B671">
        <v>163</v>
      </c>
      <c r="C671" t="str">
        <f t="shared" si="66"/>
        <v>00</v>
      </c>
      <c r="D671">
        <v>2153</v>
      </c>
      <c r="E671" t="str">
        <f t="shared" si="67"/>
        <v>00</v>
      </c>
      <c r="F671" t="str">
        <f>"145"</f>
        <v>145</v>
      </c>
      <c r="G671">
        <v>9</v>
      </c>
      <c r="H671" t="str">
        <f t="shared" si="68"/>
        <v>00</v>
      </c>
      <c r="I671" t="str">
        <f t="shared" si="69"/>
        <v>0</v>
      </c>
      <c r="J671" t="str">
        <f t="shared" si="70"/>
        <v>00</v>
      </c>
      <c r="K671">
        <v>20190501</v>
      </c>
      <c r="L671" t="str">
        <f t="shared" si="71"/>
        <v>027827</v>
      </c>
      <c r="M671" t="str">
        <f t="shared" si="72"/>
        <v>99999</v>
      </c>
      <c r="N671" t="s">
        <v>175</v>
      </c>
      <c r="O671">
        <v>152</v>
      </c>
      <c r="P671">
        <v>20190501</v>
      </c>
      <c r="Q671" t="s">
        <v>240</v>
      </c>
      <c r="R671" t="s">
        <v>237</v>
      </c>
      <c r="S671" t="s">
        <v>23</v>
      </c>
      <c r="T671" t="s">
        <v>241</v>
      </c>
    </row>
    <row r="672" spans="1:20" x14ac:dyDescent="0.25">
      <c r="A672">
        <v>9</v>
      </c>
      <c r="B672">
        <v>163</v>
      </c>
      <c r="C672" t="str">
        <f t="shared" si="66"/>
        <v>00</v>
      </c>
      <c r="D672">
        <v>2159</v>
      </c>
      <c r="E672" t="str">
        <f t="shared" si="67"/>
        <v>00</v>
      </c>
      <c r="F672" t="str">
        <f>"148"</f>
        <v>148</v>
      </c>
      <c r="G672">
        <v>9</v>
      </c>
      <c r="H672" t="str">
        <f t="shared" si="68"/>
        <v>00</v>
      </c>
      <c r="I672" t="str">
        <f t="shared" si="69"/>
        <v>0</v>
      </c>
      <c r="J672" t="str">
        <f t="shared" si="70"/>
        <v>00</v>
      </c>
      <c r="K672">
        <v>20190501</v>
      </c>
      <c r="L672" t="str">
        <f t="shared" si="71"/>
        <v>027827</v>
      </c>
      <c r="M672" t="str">
        <f t="shared" si="72"/>
        <v>99999</v>
      </c>
      <c r="N672" t="s">
        <v>175</v>
      </c>
      <c r="O672">
        <v>7.5</v>
      </c>
      <c r="P672">
        <v>20190501</v>
      </c>
      <c r="Q672" t="s">
        <v>160</v>
      </c>
      <c r="R672" t="s">
        <v>237</v>
      </c>
      <c r="S672" t="s">
        <v>23</v>
      </c>
      <c r="T672" t="s">
        <v>162</v>
      </c>
    </row>
    <row r="673" spans="1:20" x14ac:dyDescent="0.25">
      <c r="A673">
        <v>9</v>
      </c>
      <c r="B673">
        <v>163</v>
      </c>
      <c r="C673" t="str">
        <f t="shared" si="66"/>
        <v>00</v>
      </c>
      <c r="D673">
        <v>2159</v>
      </c>
      <c r="E673" t="str">
        <f t="shared" si="67"/>
        <v>00</v>
      </c>
      <c r="F673" t="str">
        <f>"151"</f>
        <v>151</v>
      </c>
      <c r="G673">
        <v>9</v>
      </c>
      <c r="H673" t="str">
        <f t="shared" si="68"/>
        <v>00</v>
      </c>
      <c r="I673" t="str">
        <f t="shared" si="69"/>
        <v>0</v>
      </c>
      <c r="J673" t="str">
        <f t="shared" si="70"/>
        <v>00</v>
      </c>
      <c r="K673">
        <v>20190501</v>
      </c>
      <c r="L673" t="str">
        <f t="shared" si="71"/>
        <v>027827</v>
      </c>
      <c r="M673" t="str">
        <f t="shared" si="72"/>
        <v>99999</v>
      </c>
      <c r="N673" t="s">
        <v>175</v>
      </c>
      <c r="O673">
        <v>17.5</v>
      </c>
      <c r="P673">
        <v>20190501</v>
      </c>
      <c r="Q673" t="s">
        <v>242</v>
      </c>
      <c r="R673" t="s">
        <v>237</v>
      </c>
      <c r="S673" t="s">
        <v>23</v>
      </c>
      <c r="T673" t="s">
        <v>243</v>
      </c>
    </row>
    <row r="674" spans="1:20" x14ac:dyDescent="0.25">
      <c r="A674">
        <v>9</v>
      </c>
      <c r="B674">
        <v>163</v>
      </c>
      <c r="C674" t="str">
        <f t="shared" si="66"/>
        <v>00</v>
      </c>
      <c r="D674">
        <v>2153</v>
      </c>
      <c r="E674" t="str">
        <f t="shared" si="67"/>
        <v>00</v>
      </c>
      <c r="F674" t="str">
        <f>"141"</f>
        <v>141</v>
      </c>
      <c r="G674">
        <v>9</v>
      </c>
      <c r="H674" t="str">
        <f t="shared" si="68"/>
        <v>00</v>
      </c>
      <c r="I674" t="str">
        <f t="shared" si="69"/>
        <v>0</v>
      </c>
      <c r="J674" t="str">
        <f t="shared" si="70"/>
        <v>00</v>
      </c>
      <c r="K674">
        <v>20190503</v>
      </c>
      <c r="L674" t="str">
        <f>"027883"</f>
        <v>027883</v>
      </c>
      <c r="M674" t="str">
        <f>"00068"</f>
        <v>00068</v>
      </c>
      <c r="N674" t="s">
        <v>20</v>
      </c>
      <c r="O674">
        <v>391.85</v>
      </c>
      <c r="P674">
        <v>20190503</v>
      </c>
      <c r="Q674" t="s">
        <v>21</v>
      </c>
      <c r="R674" t="s">
        <v>244</v>
      </c>
      <c r="S674" t="s">
        <v>23</v>
      </c>
      <c r="T674" t="s">
        <v>24</v>
      </c>
    </row>
    <row r="675" spans="1:20" x14ac:dyDescent="0.25">
      <c r="A675">
        <v>9</v>
      </c>
      <c r="B675">
        <v>163</v>
      </c>
      <c r="C675" t="str">
        <f t="shared" si="66"/>
        <v>00</v>
      </c>
      <c r="D675">
        <v>2153</v>
      </c>
      <c r="E675" t="str">
        <f t="shared" si="67"/>
        <v>00</v>
      </c>
      <c r="F675" t="str">
        <f>"142"</f>
        <v>142</v>
      </c>
      <c r="G675">
        <v>9</v>
      </c>
      <c r="H675" t="str">
        <f t="shared" si="68"/>
        <v>00</v>
      </c>
      <c r="I675" t="str">
        <f t="shared" si="69"/>
        <v>0</v>
      </c>
      <c r="J675" t="str">
        <f t="shared" si="70"/>
        <v>00</v>
      </c>
      <c r="K675">
        <v>20190503</v>
      </c>
      <c r="L675" t="str">
        <f>"027883"</f>
        <v>027883</v>
      </c>
      <c r="M675" t="str">
        <f>"00068"</f>
        <v>00068</v>
      </c>
      <c r="N675" t="s">
        <v>20</v>
      </c>
      <c r="O675">
        <v>313.33</v>
      </c>
      <c r="P675">
        <v>20190503</v>
      </c>
      <c r="Q675" t="s">
        <v>25</v>
      </c>
      <c r="R675" t="s">
        <v>245</v>
      </c>
      <c r="S675" t="s">
        <v>23</v>
      </c>
      <c r="T675" t="s">
        <v>27</v>
      </c>
    </row>
    <row r="676" spans="1:20" x14ac:dyDescent="0.25">
      <c r="A676">
        <v>9</v>
      </c>
      <c r="B676">
        <v>163</v>
      </c>
      <c r="C676" t="str">
        <f t="shared" si="66"/>
        <v>00</v>
      </c>
      <c r="D676">
        <v>2159</v>
      </c>
      <c r="E676" t="str">
        <f t="shared" si="67"/>
        <v>00</v>
      </c>
      <c r="F676" t="str">
        <f>"148"</f>
        <v>148</v>
      </c>
      <c r="G676">
        <v>9</v>
      </c>
      <c r="H676" t="str">
        <f t="shared" si="68"/>
        <v>00</v>
      </c>
      <c r="I676" t="str">
        <f t="shared" si="69"/>
        <v>0</v>
      </c>
      <c r="J676" t="str">
        <f t="shared" si="70"/>
        <v>00</v>
      </c>
      <c r="K676">
        <v>20190503</v>
      </c>
      <c r="L676" t="str">
        <f>"027884"</f>
        <v>027884</v>
      </c>
      <c r="M676" t="str">
        <f>"00528"</f>
        <v>00528</v>
      </c>
      <c r="N676" t="s">
        <v>159</v>
      </c>
      <c r="O676">
        <v>7.5</v>
      </c>
      <c r="P676">
        <v>20190503</v>
      </c>
      <c r="Q676" t="s">
        <v>160</v>
      </c>
      <c r="R676" t="s">
        <v>246</v>
      </c>
      <c r="S676" t="s">
        <v>23</v>
      </c>
      <c r="T676" t="s">
        <v>162</v>
      </c>
    </row>
    <row r="677" spans="1:20" x14ac:dyDescent="0.25">
      <c r="A677">
        <v>9</v>
      </c>
      <c r="B677">
        <v>163</v>
      </c>
      <c r="C677" t="str">
        <f t="shared" si="66"/>
        <v>00</v>
      </c>
      <c r="D677">
        <v>2153</v>
      </c>
      <c r="E677" t="str">
        <f t="shared" si="67"/>
        <v>00</v>
      </c>
      <c r="F677" t="str">
        <f>"022"</f>
        <v>022</v>
      </c>
      <c r="G677">
        <v>9</v>
      </c>
      <c r="H677" t="str">
        <f t="shared" si="68"/>
        <v>00</v>
      </c>
      <c r="I677" t="str">
        <f t="shared" si="69"/>
        <v>0</v>
      </c>
      <c r="J677" t="str">
        <f t="shared" si="70"/>
        <v>00</v>
      </c>
      <c r="K677">
        <v>20190503</v>
      </c>
      <c r="L677" t="str">
        <f>"027885"</f>
        <v>027885</v>
      </c>
      <c r="M677" t="str">
        <f>"04831"</f>
        <v>04831</v>
      </c>
      <c r="N677" t="s">
        <v>28</v>
      </c>
      <c r="O677">
        <v>16.77</v>
      </c>
      <c r="P677">
        <v>20190503</v>
      </c>
      <c r="Q677" t="s">
        <v>29</v>
      </c>
      <c r="R677" t="s">
        <v>245</v>
      </c>
      <c r="S677" t="s">
        <v>23</v>
      </c>
      <c r="T677" t="s">
        <v>30</v>
      </c>
    </row>
    <row r="678" spans="1:20" x14ac:dyDescent="0.25">
      <c r="A678">
        <v>9</v>
      </c>
      <c r="B678">
        <v>163</v>
      </c>
      <c r="C678" t="str">
        <f t="shared" si="66"/>
        <v>00</v>
      </c>
      <c r="D678">
        <v>2159</v>
      </c>
      <c r="E678" t="str">
        <f t="shared" si="67"/>
        <v>00</v>
      </c>
      <c r="F678" t="str">
        <f>"018"</f>
        <v>018</v>
      </c>
      <c r="G678">
        <v>9</v>
      </c>
      <c r="H678" t="str">
        <f t="shared" si="68"/>
        <v>00</v>
      </c>
      <c r="I678" t="str">
        <f t="shared" si="69"/>
        <v>0</v>
      </c>
      <c r="J678" t="str">
        <f t="shared" si="70"/>
        <v>00</v>
      </c>
      <c r="K678">
        <v>20190503</v>
      </c>
      <c r="L678" t="str">
        <f>"027886"</f>
        <v>027886</v>
      </c>
      <c r="M678" t="str">
        <f>"04905"</f>
        <v>04905</v>
      </c>
      <c r="N678" t="s">
        <v>31</v>
      </c>
      <c r="O678">
        <v>36.74</v>
      </c>
      <c r="P678">
        <v>20190503</v>
      </c>
      <c r="Q678" t="s">
        <v>32</v>
      </c>
      <c r="R678" t="s">
        <v>246</v>
      </c>
      <c r="S678" t="s">
        <v>23</v>
      </c>
      <c r="T678" t="s">
        <v>34</v>
      </c>
    </row>
    <row r="679" spans="1:20" x14ac:dyDescent="0.25">
      <c r="A679">
        <v>9</v>
      </c>
      <c r="B679">
        <v>163</v>
      </c>
      <c r="C679" t="str">
        <f t="shared" si="66"/>
        <v>00</v>
      </c>
      <c r="D679">
        <v>2153</v>
      </c>
      <c r="E679" t="str">
        <f t="shared" si="67"/>
        <v>00</v>
      </c>
      <c r="F679" t="str">
        <f>"053"</f>
        <v>053</v>
      </c>
      <c r="G679">
        <v>9</v>
      </c>
      <c r="H679" t="str">
        <f t="shared" si="68"/>
        <v>00</v>
      </c>
      <c r="I679" t="str">
        <f t="shared" si="69"/>
        <v>0</v>
      </c>
      <c r="J679" t="str">
        <f t="shared" si="70"/>
        <v>00</v>
      </c>
      <c r="K679">
        <v>20190503</v>
      </c>
      <c r="L679" t="str">
        <f>"027887"</f>
        <v>027887</v>
      </c>
      <c r="M679" t="str">
        <f>"04987"</f>
        <v>04987</v>
      </c>
      <c r="N679" t="s">
        <v>35</v>
      </c>
      <c r="O679">
        <v>13.76</v>
      </c>
      <c r="P679">
        <v>20190503</v>
      </c>
      <c r="Q679" t="s">
        <v>36</v>
      </c>
      <c r="R679" t="s">
        <v>245</v>
      </c>
      <c r="S679" t="s">
        <v>23</v>
      </c>
      <c r="T679" t="s">
        <v>37</v>
      </c>
    </row>
    <row r="680" spans="1:20" x14ac:dyDescent="0.25">
      <c r="A680">
        <v>9</v>
      </c>
      <c r="B680">
        <v>163</v>
      </c>
      <c r="C680" t="str">
        <f t="shared" si="66"/>
        <v>00</v>
      </c>
      <c r="D680">
        <v>2159</v>
      </c>
      <c r="E680" t="str">
        <f t="shared" si="67"/>
        <v>00</v>
      </c>
      <c r="F680" t="str">
        <f>"068"</f>
        <v>068</v>
      </c>
      <c r="G680">
        <v>9</v>
      </c>
      <c r="H680" t="str">
        <f t="shared" si="68"/>
        <v>00</v>
      </c>
      <c r="I680" t="str">
        <f t="shared" si="69"/>
        <v>0</v>
      </c>
      <c r="J680" t="str">
        <f t="shared" si="70"/>
        <v>00</v>
      </c>
      <c r="K680">
        <v>20190503</v>
      </c>
      <c r="L680" t="str">
        <f>"027888"</f>
        <v>027888</v>
      </c>
      <c r="M680" t="str">
        <f>"10095"</f>
        <v>10095</v>
      </c>
      <c r="N680" t="s">
        <v>83</v>
      </c>
      <c r="O680">
        <v>14.59</v>
      </c>
      <c r="P680">
        <v>20190503</v>
      </c>
      <c r="Q680" t="s">
        <v>84</v>
      </c>
      <c r="R680" t="s">
        <v>246</v>
      </c>
      <c r="S680" t="s">
        <v>23</v>
      </c>
      <c r="T680" t="s">
        <v>85</v>
      </c>
    </row>
    <row r="681" spans="1:20" x14ac:dyDescent="0.25">
      <c r="A681">
        <v>9</v>
      </c>
      <c r="B681">
        <v>163</v>
      </c>
      <c r="C681" t="str">
        <f t="shared" si="66"/>
        <v>00</v>
      </c>
      <c r="D681">
        <v>2153</v>
      </c>
      <c r="E681" t="str">
        <f t="shared" si="67"/>
        <v>00</v>
      </c>
      <c r="F681" t="str">
        <f>"011"</f>
        <v>011</v>
      </c>
      <c r="G681">
        <v>9</v>
      </c>
      <c r="H681" t="str">
        <f t="shared" si="68"/>
        <v>00</v>
      </c>
      <c r="I681" t="str">
        <f t="shared" si="69"/>
        <v>0</v>
      </c>
      <c r="J681" t="str">
        <f t="shared" si="70"/>
        <v>00</v>
      </c>
      <c r="K681">
        <v>20190503</v>
      </c>
      <c r="L681" t="str">
        <f>"027889"</f>
        <v>027889</v>
      </c>
      <c r="M681" t="str">
        <f>"11211"</f>
        <v>11211</v>
      </c>
      <c r="N681" t="s">
        <v>41</v>
      </c>
      <c r="O681">
        <v>159.32</v>
      </c>
      <c r="P681">
        <v>20190503</v>
      </c>
      <c r="Q681" t="s">
        <v>42</v>
      </c>
      <c r="R681" t="s">
        <v>245</v>
      </c>
      <c r="S681" t="s">
        <v>23</v>
      </c>
      <c r="T681" t="s">
        <v>43</v>
      </c>
    </row>
    <row r="682" spans="1:20" x14ac:dyDescent="0.25">
      <c r="A682">
        <v>9</v>
      </c>
      <c r="B682">
        <v>163</v>
      </c>
      <c r="C682" t="str">
        <f t="shared" si="66"/>
        <v>00</v>
      </c>
      <c r="D682">
        <v>2159</v>
      </c>
      <c r="E682" t="str">
        <f t="shared" si="67"/>
        <v>00</v>
      </c>
      <c r="F682" t="str">
        <f>"104"</f>
        <v>104</v>
      </c>
      <c r="G682">
        <v>9</v>
      </c>
      <c r="H682" t="str">
        <f t="shared" si="68"/>
        <v>00</v>
      </c>
      <c r="I682" t="str">
        <f t="shared" si="69"/>
        <v>0</v>
      </c>
      <c r="J682" t="str">
        <f t="shared" si="70"/>
        <v>00</v>
      </c>
      <c r="K682">
        <v>20190503</v>
      </c>
      <c r="L682" t="str">
        <f>"027890"</f>
        <v>027890</v>
      </c>
      <c r="M682" t="str">
        <f>"14177"</f>
        <v>14177</v>
      </c>
      <c r="N682" t="s">
        <v>163</v>
      </c>
      <c r="O682">
        <v>87.25</v>
      </c>
      <c r="P682">
        <v>20190503</v>
      </c>
      <c r="Q682" t="s">
        <v>45</v>
      </c>
      <c r="R682" t="s">
        <v>246</v>
      </c>
      <c r="S682" t="s">
        <v>23</v>
      </c>
      <c r="T682" t="s">
        <v>46</v>
      </c>
    </row>
    <row r="683" spans="1:20" x14ac:dyDescent="0.25">
      <c r="A683">
        <v>9</v>
      </c>
      <c r="B683">
        <v>163</v>
      </c>
      <c r="C683" t="str">
        <f t="shared" si="66"/>
        <v>00</v>
      </c>
      <c r="D683">
        <v>2153</v>
      </c>
      <c r="E683" t="str">
        <f t="shared" si="67"/>
        <v>00</v>
      </c>
      <c r="F683" t="str">
        <f>"110"</f>
        <v>110</v>
      </c>
      <c r="G683">
        <v>9</v>
      </c>
      <c r="H683" t="str">
        <f t="shared" si="68"/>
        <v>00</v>
      </c>
      <c r="I683" t="str">
        <f t="shared" si="69"/>
        <v>0</v>
      </c>
      <c r="J683" t="str">
        <f t="shared" si="70"/>
        <v>00</v>
      </c>
      <c r="K683">
        <v>20190503</v>
      </c>
      <c r="L683" t="str">
        <f>"027891"</f>
        <v>027891</v>
      </c>
      <c r="M683" t="str">
        <f>"48947"</f>
        <v>48947</v>
      </c>
      <c r="N683" t="s">
        <v>47</v>
      </c>
      <c r="O683">
        <v>34.78</v>
      </c>
      <c r="P683">
        <v>20190503</v>
      </c>
      <c r="Q683" t="s">
        <v>48</v>
      </c>
      <c r="R683" t="s">
        <v>244</v>
      </c>
      <c r="S683" t="s">
        <v>23</v>
      </c>
      <c r="T683" t="s">
        <v>49</v>
      </c>
    </row>
    <row r="684" spans="1:20" x14ac:dyDescent="0.25">
      <c r="A684">
        <v>9</v>
      </c>
      <c r="B684">
        <v>163</v>
      </c>
      <c r="C684" t="str">
        <f t="shared" si="66"/>
        <v>00</v>
      </c>
      <c r="D684">
        <v>2159</v>
      </c>
      <c r="E684" t="str">
        <f t="shared" si="67"/>
        <v>00</v>
      </c>
      <c r="F684" t="str">
        <f>"131"</f>
        <v>131</v>
      </c>
      <c r="G684">
        <v>9</v>
      </c>
      <c r="H684" t="str">
        <f t="shared" si="68"/>
        <v>00</v>
      </c>
      <c r="I684" t="str">
        <f t="shared" si="69"/>
        <v>0</v>
      </c>
      <c r="J684" t="str">
        <f t="shared" si="70"/>
        <v>00</v>
      </c>
      <c r="K684">
        <v>20190503</v>
      </c>
      <c r="L684" t="str">
        <f>"027892"</f>
        <v>027892</v>
      </c>
      <c r="M684" t="str">
        <f>"54196"</f>
        <v>54196</v>
      </c>
      <c r="N684" t="s">
        <v>50</v>
      </c>
      <c r="O684">
        <v>50</v>
      </c>
      <c r="P684">
        <v>20190503</v>
      </c>
      <c r="Q684" t="s">
        <v>51</v>
      </c>
      <c r="R684" t="s">
        <v>247</v>
      </c>
      <c r="S684" t="s">
        <v>23</v>
      </c>
      <c r="T684" t="s">
        <v>53</v>
      </c>
    </row>
    <row r="685" spans="1:20" x14ac:dyDescent="0.25">
      <c r="A685">
        <v>9</v>
      </c>
      <c r="B685">
        <v>163</v>
      </c>
      <c r="C685" t="str">
        <f t="shared" si="66"/>
        <v>00</v>
      </c>
      <c r="D685">
        <v>2159</v>
      </c>
      <c r="E685" t="str">
        <f t="shared" si="67"/>
        <v>00</v>
      </c>
      <c r="F685" t="str">
        <f>"111"</f>
        <v>111</v>
      </c>
      <c r="G685">
        <v>9</v>
      </c>
      <c r="H685" t="str">
        <f t="shared" si="68"/>
        <v>00</v>
      </c>
      <c r="I685" t="str">
        <f t="shared" si="69"/>
        <v>0</v>
      </c>
      <c r="J685" t="str">
        <f t="shared" si="70"/>
        <v>00</v>
      </c>
      <c r="K685">
        <v>20190503</v>
      </c>
      <c r="L685" t="str">
        <f>"027893"</f>
        <v>027893</v>
      </c>
      <c r="M685" t="str">
        <f>"72601"</f>
        <v>72601</v>
      </c>
      <c r="N685" t="s">
        <v>54</v>
      </c>
      <c r="O685">
        <v>434.86</v>
      </c>
      <c r="P685">
        <v>20190503</v>
      </c>
      <c r="Q685" t="s">
        <v>55</v>
      </c>
      <c r="R685" t="s">
        <v>246</v>
      </c>
      <c r="S685" t="s">
        <v>23</v>
      </c>
      <c r="T685" t="s">
        <v>56</v>
      </c>
    </row>
    <row r="686" spans="1:20" x14ac:dyDescent="0.25">
      <c r="A686">
        <v>9</v>
      </c>
      <c r="B686">
        <v>163</v>
      </c>
      <c r="C686" t="str">
        <f t="shared" si="66"/>
        <v>00</v>
      </c>
      <c r="D686">
        <v>2153</v>
      </c>
      <c r="E686" t="str">
        <f t="shared" si="67"/>
        <v>00</v>
      </c>
      <c r="F686" t="str">
        <f>"006"</f>
        <v>006</v>
      </c>
      <c r="G686">
        <v>9</v>
      </c>
      <c r="H686" t="str">
        <f t="shared" si="68"/>
        <v>00</v>
      </c>
      <c r="I686" t="str">
        <f t="shared" si="69"/>
        <v>0</v>
      </c>
      <c r="J686" t="str">
        <f t="shared" si="70"/>
        <v>00</v>
      </c>
      <c r="K686">
        <v>20190503</v>
      </c>
      <c r="L686" t="str">
        <f>"027894"</f>
        <v>027894</v>
      </c>
      <c r="M686" t="str">
        <f>"75452"</f>
        <v>75452</v>
      </c>
      <c r="N686" t="s">
        <v>57</v>
      </c>
      <c r="O686">
        <v>423.44</v>
      </c>
      <c r="P686">
        <v>20190503</v>
      </c>
      <c r="Q686" t="s">
        <v>58</v>
      </c>
      <c r="R686" t="s">
        <v>245</v>
      </c>
      <c r="S686" t="s">
        <v>23</v>
      </c>
      <c r="T686" t="s">
        <v>59</v>
      </c>
    </row>
    <row r="687" spans="1:20" x14ac:dyDescent="0.25">
      <c r="A687">
        <v>9</v>
      </c>
      <c r="B687">
        <v>163</v>
      </c>
      <c r="C687" t="str">
        <f t="shared" si="66"/>
        <v>00</v>
      </c>
      <c r="D687">
        <v>2159</v>
      </c>
      <c r="E687" t="str">
        <f t="shared" si="67"/>
        <v>00</v>
      </c>
      <c r="F687" t="str">
        <f>"106"</f>
        <v>106</v>
      </c>
      <c r="G687">
        <v>9</v>
      </c>
      <c r="H687" t="str">
        <f t="shared" si="68"/>
        <v>00</v>
      </c>
      <c r="I687" t="str">
        <f t="shared" si="69"/>
        <v>0</v>
      </c>
      <c r="J687" t="str">
        <f t="shared" si="70"/>
        <v>00</v>
      </c>
      <c r="K687">
        <v>20190503</v>
      </c>
      <c r="L687" t="str">
        <f>"027895"</f>
        <v>027895</v>
      </c>
      <c r="M687" t="str">
        <f>"81173"</f>
        <v>81173</v>
      </c>
      <c r="N687" t="s">
        <v>60</v>
      </c>
      <c r="O687">
        <v>69.89</v>
      </c>
      <c r="P687">
        <v>20190503</v>
      </c>
      <c r="Q687" t="s">
        <v>61</v>
      </c>
      <c r="R687" t="s">
        <v>246</v>
      </c>
      <c r="S687" t="s">
        <v>23</v>
      </c>
      <c r="T687" t="s">
        <v>62</v>
      </c>
    </row>
    <row r="688" spans="1:20" x14ac:dyDescent="0.25">
      <c r="A688">
        <v>9</v>
      </c>
      <c r="B688">
        <v>163</v>
      </c>
      <c r="C688" t="str">
        <f t="shared" si="66"/>
        <v>00</v>
      </c>
      <c r="D688">
        <v>2159</v>
      </c>
      <c r="E688" t="str">
        <f t="shared" si="67"/>
        <v>00</v>
      </c>
      <c r="F688" t="str">
        <f>"007"</f>
        <v>007</v>
      </c>
      <c r="G688">
        <v>9</v>
      </c>
      <c r="H688" t="str">
        <f t="shared" si="68"/>
        <v>00</v>
      </c>
      <c r="I688" t="str">
        <f t="shared" si="69"/>
        <v>0</v>
      </c>
      <c r="J688" t="str">
        <f t="shared" si="70"/>
        <v>00</v>
      </c>
      <c r="K688">
        <v>20190503</v>
      </c>
      <c r="L688" t="str">
        <f>"027896"</f>
        <v>027896</v>
      </c>
      <c r="M688" t="str">
        <f>"81174"</f>
        <v>81174</v>
      </c>
      <c r="N688" t="s">
        <v>63</v>
      </c>
      <c r="O688">
        <v>34.89</v>
      </c>
      <c r="P688">
        <v>20190503</v>
      </c>
      <c r="Q688" t="s">
        <v>64</v>
      </c>
      <c r="R688" t="s">
        <v>246</v>
      </c>
      <c r="S688" t="s">
        <v>23</v>
      </c>
      <c r="T688" t="s">
        <v>65</v>
      </c>
    </row>
    <row r="689" spans="1:20" x14ac:dyDescent="0.25">
      <c r="A689">
        <v>9</v>
      </c>
      <c r="B689">
        <v>163</v>
      </c>
      <c r="C689" t="str">
        <f t="shared" si="66"/>
        <v>00</v>
      </c>
      <c r="D689">
        <v>2153</v>
      </c>
      <c r="E689" t="str">
        <f t="shared" si="67"/>
        <v>00</v>
      </c>
      <c r="F689" t="str">
        <f>"141"</f>
        <v>141</v>
      </c>
      <c r="G689">
        <v>9</v>
      </c>
      <c r="H689" t="str">
        <f t="shared" si="68"/>
        <v>00</v>
      </c>
      <c r="I689" t="str">
        <f t="shared" si="69"/>
        <v>0</v>
      </c>
      <c r="J689" t="str">
        <f t="shared" si="70"/>
        <v>00</v>
      </c>
      <c r="K689">
        <v>20190515</v>
      </c>
      <c r="L689" t="str">
        <f>"027913"</f>
        <v>027913</v>
      </c>
      <c r="M689" t="str">
        <f>"00068"</f>
        <v>00068</v>
      </c>
      <c r="N689" t="s">
        <v>20</v>
      </c>
      <c r="O689" s="1">
        <v>5094.17</v>
      </c>
      <c r="P689">
        <v>20190515</v>
      </c>
      <c r="Q689" t="s">
        <v>21</v>
      </c>
      <c r="R689" t="s">
        <v>244</v>
      </c>
      <c r="S689" t="s">
        <v>23</v>
      </c>
      <c r="T689" t="s">
        <v>24</v>
      </c>
    </row>
    <row r="690" spans="1:20" x14ac:dyDescent="0.25">
      <c r="A690">
        <v>9</v>
      </c>
      <c r="B690">
        <v>163</v>
      </c>
      <c r="C690" t="str">
        <f t="shared" si="66"/>
        <v>00</v>
      </c>
      <c r="D690">
        <v>2153</v>
      </c>
      <c r="E690" t="str">
        <f t="shared" si="67"/>
        <v>00</v>
      </c>
      <c r="F690" t="str">
        <f>"142"</f>
        <v>142</v>
      </c>
      <c r="G690">
        <v>9</v>
      </c>
      <c r="H690" t="str">
        <f t="shared" si="68"/>
        <v>00</v>
      </c>
      <c r="I690" t="str">
        <f t="shared" si="69"/>
        <v>0</v>
      </c>
      <c r="J690" t="str">
        <f t="shared" si="70"/>
        <v>00</v>
      </c>
      <c r="K690">
        <v>20190515</v>
      </c>
      <c r="L690" t="str">
        <f>"027913"</f>
        <v>027913</v>
      </c>
      <c r="M690" t="str">
        <f>"00068"</f>
        <v>00068</v>
      </c>
      <c r="N690" t="s">
        <v>20</v>
      </c>
      <c r="O690" s="1">
        <v>9446.02</v>
      </c>
      <c r="P690">
        <v>20190515</v>
      </c>
      <c r="Q690" t="s">
        <v>25</v>
      </c>
      <c r="R690" t="s">
        <v>245</v>
      </c>
      <c r="S690" t="s">
        <v>23</v>
      </c>
      <c r="T690" t="s">
        <v>27</v>
      </c>
    </row>
    <row r="691" spans="1:20" x14ac:dyDescent="0.25">
      <c r="A691">
        <v>9</v>
      </c>
      <c r="B691">
        <v>163</v>
      </c>
      <c r="C691" t="str">
        <f t="shared" si="66"/>
        <v>00</v>
      </c>
      <c r="D691">
        <v>2159</v>
      </c>
      <c r="E691" t="str">
        <f t="shared" si="67"/>
        <v>00</v>
      </c>
      <c r="F691" t="str">
        <f>"143"</f>
        <v>143</v>
      </c>
      <c r="G691">
        <v>9</v>
      </c>
      <c r="H691" t="str">
        <f t="shared" si="68"/>
        <v>00</v>
      </c>
      <c r="I691" t="str">
        <f t="shared" si="69"/>
        <v>0</v>
      </c>
      <c r="J691" t="str">
        <f t="shared" si="70"/>
        <v>00</v>
      </c>
      <c r="K691">
        <v>20190515</v>
      </c>
      <c r="L691" t="str">
        <f>"027914"</f>
        <v>027914</v>
      </c>
      <c r="M691" t="str">
        <f>"00069"</f>
        <v>00069</v>
      </c>
      <c r="N691" t="s">
        <v>72</v>
      </c>
      <c r="O691">
        <v>285.94</v>
      </c>
      <c r="P691">
        <v>20190515</v>
      </c>
      <c r="Q691" t="s">
        <v>73</v>
      </c>
      <c r="R691" t="s">
        <v>246</v>
      </c>
      <c r="S691" t="s">
        <v>23</v>
      </c>
      <c r="T691" t="s">
        <v>74</v>
      </c>
    </row>
    <row r="692" spans="1:20" x14ac:dyDescent="0.25">
      <c r="A692">
        <v>9</v>
      </c>
      <c r="B692">
        <v>163</v>
      </c>
      <c r="C692" t="str">
        <f t="shared" si="66"/>
        <v>00</v>
      </c>
      <c r="D692">
        <v>2159</v>
      </c>
      <c r="E692" t="str">
        <f t="shared" si="67"/>
        <v>00</v>
      </c>
      <c r="F692" t="str">
        <f>"146"</f>
        <v>146</v>
      </c>
      <c r="G692">
        <v>9</v>
      </c>
      <c r="H692" t="str">
        <f t="shared" si="68"/>
        <v>00</v>
      </c>
      <c r="I692" t="str">
        <f t="shared" si="69"/>
        <v>0</v>
      </c>
      <c r="J692" t="str">
        <f t="shared" si="70"/>
        <v>00</v>
      </c>
      <c r="K692">
        <v>20190515</v>
      </c>
      <c r="L692" t="str">
        <f>"027915"</f>
        <v>027915</v>
      </c>
      <c r="M692" t="str">
        <f>"00086"</f>
        <v>00086</v>
      </c>
      <c r="N692" t="s">
        <v>75</v>
      </c>
      <c r="O692">
        <v>263.23</v>
      </c>
      <c r="P692">
        <v>20190515</v>
      </c>
      <c r="Q692" t="s">
        <v>76</v>
      </c>
      <c r="R692" t="s">
        <v>246</v>
      </c>
      <c r="S692" t="s">
        <v>23</v>
      </c>
      <c r="T692" t="s">
        <v>75</v>
      </c>
    </row>
    <row r="693" spans="1:20" x14ac:dyDescent="0.25">
      <c r="A693">
        <v>9</v>
      </c>
      <c r="B693">
        <v>163</v>
      </c>
      <c r="C693" t="str">
        <f t="shared" si="66"/>
        <v>00</v>
      </c>
      <c r="D693">
        <v>2159</v>
      </c>
      <c r="E693" t="str">
        <f t="shared" si="67"/>
        <v>00</v>
      </c>
      <c r="F693" t="str">
        <f>"147"</f>
        <v>147</v>
      </c>
      <c r="G693">
        <v>9</v>
      </c>
      <c r="H693" t="str">
        <f t="shared" si="68"/>
        <v>00</v>
      </c>
      <c r="I693" t="str">
        <f t="shared" si="69"/>
        <v>0</v>
      </c>
      <c r="J693" t="str">
        <f t="shared" si="70"/>
        <v>00</v>
      </c>
      <c r="K693">
        <v>20190515</v>
      </c>
      <c r="L693" t="str">
        <f>"027916"</f>
        <v>027916</v>
      </c>
      <c r="M693" t="str">
        <f>"00248"</f>
        <v>00248</v>
      </c>
      <c r="N693" t="s">
        <v>77</v>
      </c>
      <c r="O693" s="1">
        <v>1985.78</v>
      </c>
      <c r="P693">
        <v>20190515</v>
      </c>
      <c r="Q693" t="s">
        <v>78</v>
      </c>
      <c r="R693" t="s">
        <v>246</v>
      </c>
      <c r="S693" t="s">
        <v>23</v>
      </c>
      <c r="T693" t="s">
        <v>79</v>
      </c>
    </row>
    <row r="694" spans="1:20" x14ac:dyDescent="0.25">
      <c r="A694">
        <v>9</v>
      </c>
      <c r="B694">
        <v>163</v>
      </c>
      <c r="C694" t="str">
        <f t="shared" si="66"/>
        <v>00</v>
      </c>
      <c r="D694">
        <v>2159</v>
      </c>
      <c r="E694" t="str">
        <f t="shared" si="67"/>
        <v>00</v>
      </c>
      <c r="F694" t="str">
        <f>"148"</f>
        <v>148</v>
      </c>
      <c r="G694">
        <v>9</v>
      </c>
      <c r="H694" t="str">
        <f t="shared" si="68"/>
        <v>00</v>
      </c>
      <c r="I694" t="str">
        <f t="shared" si="69"/>
        <v>0</v>
      </c>
      <c r="J694" t="str">
        <f t="shared" si="70"/>
        <v>00</v>
      </c>
      <c r="K694">
        <v>20190515</v>
      </c>
      <c r="L694" t="str">
        <f>"027917"</f>
        <v>027917</v>
      </c>
      <c r="M694" t="str">
        <f>"00528"</f>
        <v>00528</v>
      </c>
      <c r="N694" t="s">
        <v>159</v>
      </c>
      <c r="O694">
        <v>765</v>
      </c>
      <c r="P694">
        <v>20190515</v>
      </c>
      <c r="Q694" t="s">
        <v>160</v>
      </c>
      <c r="R694" t="s">
        <v>246</v>
      </c>
      <c r="S694" t="s">
        <v>23</v>
      </c>
      <c r="T694" t="s">
        <v>162</v>
      </c>
    </row>
    <row r="695" spans="1:20" x14ac:dyDescent="0.25">
      <c r="A695">
        <v>9</v>
      </c>
      <c r="B695">
        <v>163</v>
      </c>
      <c r="C695" t="str">
        <f t="shared" si="66"/>
        <v>00</v>
      </c>
      <c r="D695">
        <v>2153</v>
      </c>
      <c r="E695" t="str">
        <f t="shared" si="67"/>
        <v>00</v>
      </c>
      <c r="F695" t="str">
        <f>"022"</f>
        <v>022</v>
      </c>
      <c r="G695">
        <v>9</v>
      </c>
      <c r="H695" t="str">
        <f t="shared" si="68"/>
        <v>00</v>
      </c>
      <c r="I695" t="str">
        <f t="shared" si="69"/>
        <v>0</v>
      </c>
      <c r="J695" t="str">
        <f t="shared" si="70"/>
        <v>00</v>
      </c>
      <c r="K695">
        <v>20190515</v>
      </c>
      <c r="L695" t="str">
        <f>"027918"</f>
        <v>027918</v>
      </c>
      <c r="M695" t="str">
        <f>"04831"</f>
        <v>04831</v>
      </c>
      <c r="N695" t="s">
        <v>28</v>
      </c>
      <c r="O695" s="1">
        <v>1661.81</v>
      </c>
      <c r="P695">
        <v>20190515</v>
      </c>
      <c r="Q695" t="s">
        <v>29</v>
      </c>
      <c r="R695" t="s">
        <v>245</v>
      </c>
      <c r="S695" t="s">
        <v>23</v>
      </c>
      <c r="T695" t="s">
        <v>30</v>
      </c>
    </row>
    <row r="696" spans="1:20" x14ac:dyDescent="0.25">
      <c r="A696">
        <v>9</v>
      </c>
      <c r="B696">
        <v>163</v>
      </c>
      <c r="C696" t="str">
        <f t="shared" si="66"/>
        <v>00</v>
      </c>
      <c r="D696">
        <v>2159</v>
      </c>
      <c r="E696" t="str">
        <f t="shared" si="67"/>
        <v>00</v>
      </c>
      <c r="F696" t="str">
        <f>"018"</f>
        <v>018</v>
      </c>
      <c r="G696">
        <v>9</v>
      </c>
      <c r="H696" t="str">
        <f t="shared" si="68"/>
        <v>00</v>
      </c>
      <c r="I696" t="str">
        <f t="shared" si="69"/>
        <v>0</v>
      </c>
      <c r="J696" t="str">
        <f t="shared" si="70"/>
        <v>00</v>
      </c>
      <c r="K696">
        <v>20190515</v>
      </c>
      <c r="L696" t="str">
        <f>"027919"</f>
        <v>027919</v>
      </c>
      <c r="M696" t="str">
        <f>"04905"</f>
        <v>04905</v>
      </c>
      <c r="N696" t="s">
        <v>31</v>
      </c>
      <c r="O696" s="1">
        <v>3022.99</v>
      </c>
      <c r="P696">
        <v>20190515</v>
      </c>
      <c r="Q696" t="s">
        <v>32</v>
      </c>
      <c r="R696" t="s">
        <v>246</v>
      </c>
      <c r="S696" t="s">
        <v>23</v>
      </c>
      <c r="T696" t="s">
        <v>34</v>
      </c>
    </row>
    <row r="697" spans="1:20" x14ac:dyDescent="0.25">
      <c r="A697">
        <v>9</v>
      </c>
      <c r="B697">
        <v>163</v>
      </c>
      <c r="C697" t="str">
        <f t="shared" si="66"/>
        <v>00</v>
      </c>
      <c r="D697">
        <v>2153</v>
      </c>
      <c r="E697" t="str">
        <f t="shared" si="67"/>
        <v>00</v>
      </c>
      <c r="F697" t="str">
        <f>"053"</f>
        <v>053</v>
      </c>
      <c r="G697">
        <v>9</v>
      </c>
      <c r="H697" t="str">
        <f t="shared" si="68"/>
        <v>00</v>
      </c>
      <c r="I697" t="str">
        <f t="shared" si="69"/>
        <v>0</v>
      </c>
      <c r="J697" t="str">
        <f t="shared" si="70"/>
        <v>00</v>
      </c>
      <c r="K697">
        <v>20190515</v>
      </c>
      <c r="L697" t="str">
        <f>"027920"</f>
        <v>027920</v>
      </c>
      <c r="M697" t="str">
        <f>"04987"</f>
        <v>04987</v>
      </c>
      <c r="N697" t="s">
        <v>35</v>
      </c>
      <c r="O697">
        <v>874.52</v>
      </c>
      <c r="P697">
        <v>20190515</v>
      </c>
      <c r="Q697" t="s">
        <v>36</v>
      </c>
      <c r="R697" t="s">
        <v>245</v>
      </c>
      <c r="S697" t="s">
        <v>23</v>
      </c>
      <c r="T697" t="s">
        <v>37</v>
      </c>
    </row>
    <row r="698" spans="1:20" x14ac:dyDescent="0.25">
      <c r="A698">
        <v>9</v>
      </c>
      <c r="B698">
        <v>163</v>
      </c>
      <c r="C698" t="str">
        <f t="shared" si="66"/>
        <v>00</v>
      </c>
      <c r="D698">
        <v>2159</v>
      </c>
      <c r="E698" t="str">
        <f t="shared" si="67"/>
        <v>00</v>
      </c>
      <c r="F698" t="str">
        <f>"009"</f>
        <v>009</v>
      </c>
      <c r="G698">
        <v>9</v>
      </c>
      <c r="H698" t="str">
        <f t="shared" si="68"/>
        <v>00</v>
      </c>
      <c r="I698" t="str">
        <f t="shared" si="69"/>
        <v>0</v>
      </c>
      <c r="J698" t="str">
        <f t="shared" si="70"/>
        <v>00</v>
      </c>
      <c r="K698">
        <v>20190515</v>
      </c>
      <c r="L698" t="str">
        <f>"027921"</f>
        <v>027921</v>
      </c>
      <c r="M698" t="str">
        <f>"07710"</f>
        <v>07710</v>
      </c>
      <c r="N698" t="s">
        <v>38</v>
      </c>
      <c r="O698">
        <v>704.13</v>
      </c>
      <c r="P698">
        <v>20190515</v>
      </c>
      <c r="Q698" t="s">
        <v>39</v>
      </c>
      <c r="R698" t="s">
        <v>246</v>
      </c>
      <c r="S698" t="s">
        <v>23</v>
      </c>
      <c r="T698" t="s">
        <v>40</v>
      </c>
    </row>
    <row r="699" spans="1:20" x14ac:dyDescent="0.25">
      <c r="A699">
        <v>9</v>
      </c>
      <c r="B699">
        <v>163</v>
      </c>
      <c r="C699" t="str">
        <f t="shared" si="66"/>
        <v>00</v>
      </c>
      <c r="D699">
        <v>2159</v>
      </c>
      <c r="E699" t="str">
        <f t="shared" si="67"/>
        <v>00</v>
      </c>
      <c r="F699" t="str">
        <f>"068"</f>
        <v>068</v>
      </c>
      <c r="G699">
        <v>9</v>
      </c>
      <c r="H699" t="str">
        <f t="shared" si="68"/>
        <v>00</v>
      </c>
      <c r="I699" t="str">
        <f t="shared" si="69"/>
        <v>0</v>
      </c>
      <c r="J699" t="str">
        <f t="shared" si="70"/>
        <v>00</v>
      </c>
      <c r="K699">
        <v>20190515</v>
      </c>
      <c r="L699" t="str">
        <f>"027922"</f>
        <v>027922</v>
      </c>
      <c r="M699" t="str">
        <f>"10095"</f>
        <v>10095</v>
      </c>
      <c r="N699" t="s">
        <v>83</v>
      </c>
      <c r="O699">
        <v>376.4</v>
      </c>
      <c r="P699">
        <v>20190515</v>
      </c>
      <c r="Q699" t="s">
        <v>84</v>
      </c>
      <c r="R699" t="s">
        <v>246</v>
      </c>
      <c r="S699" t="s">
        <v>23</v>
      </c>
      <c r="T699" t="s">
        <v>85</v>
      </c>
    </row>
    <row r="700" spans="1:20" x14ac:dyDescent="0.25">
      <c r="A700">
        <v>9</v>
      </c>
      <c r="B700">
        <v>163</v>
      </c>
      <c r="C700" t="str">
        <f t="shared" si="66"/>
        <v>00</v>
      </c>
      <c r="D700">
        <v>2153</v>
      </c>
      <c r="E700" t="str">
        <f t="shared" si="67"/>
        <v>00</v>
      </c>
      <c r="F700" t="str">
        <f>"011"</f>
        <v>011</v>
      </c>
      <c r="G700">
        <v>9</v>
      </c>
      <c r="H700" t="str">
        <f t="shared" si="68"/>
        <v>00</v>
      </c>
      <c r="I700" t="str">
        <f t="shared" si="69"/>
        <v>0</v>
      </c>
      <c r="J700" t="str">
        <f t="shared" si="70"/>
        <v>00</v>
      </c>
      <c r="K700">
        <v>20190515</v>
      </c>
      <c r="L700" t="str">
        <f>"027923"</f>
        <v>027923</v>
      </c>
      <c r="M700" t="str">
        <f>"11211"</f>
        <v>11211</v>
      </c>
      <c r="N700" t="s">
        <v>41</v>
      </c>
      <c r="O700" s="1">
        <v>2581.6999999999998</v>
      </c>
      <c r="P700">
        <v>20190515</v>
      </c>
      <c r="Q700" t="s">
        <v>42</v>
      </c>
      <c r="R700" t="s">
        <v>245</v>
      </c>
      <c r="S700" t="s">
        <v>23</v>
      </c>
      <c r="T700" t="s">
        <v>43</v>
      </c>
    </row>
    <row r="701" spans="1:20" x14ac:dyDescent="0.25">
      <c r="A701">
        <v>9</v>
      </c>
      <c r="B701">
        <v>163</v>
      </c>
      <c r="C701" t="str">
        <f t="shared" si="66"/>
        <v>00</v>
      </c>
      <c r="D701">
        <v>2159</v>
      </c>
      <c r="E701" t="str">
        <f t="shared" si="67"/>
        <v>00</v>
      </c>
      <c r="F701" t="str">
        <f>"104"</f>
        <v>104</v>
      </c>
      <c r="G701">
        <v>9</v>
      </c>
      <c r="H701" t="str">
        <f t="shared" si="68"/>
        <v>00</v>
      </c>
      <c r="I701" t="str">
        <f t="shared" si="69"/>
        <v>0</v>
      </c>
      <c r="J701" t="str">
        <f t="shared" si="70"/>
        <v>00</v>
      </c>
      <c r="K701">
        <v>20190515</v>
      </c>
      <c r="L701" t="str">
        <f>"027924"</f>
        <v>027924</v>
      </c>
      <c r="M701" t="str">
        <f>"14177"</f>
        <v>14177</v>
      </c>
      <c r="N701" t="s">
        <v>163</v>
      </c>
      <c r="O701">
        <v>69.5</v>
      </c>
      <c r="P701">
        <v>20190515</v>
      </c>
      <c r="Q701" t="s">
        <v>45</v>
      </c>
      <c r="R701" t="s">
        <v>246</v>
      </c>
      <c r="S701" t="s">
        <v>23</v>
      </c>
      <c r="T701" t="s">
        <v>46</v>
      </c>
    </row>
    <row r="702" spans="1:20" x14ac:dyDescent="0.25">
      <c r="A702">
        <v>9</v>
      </c>
      <c r="B702">
        <v>163</v>
      </c>
      <c r="C702" t="str">
        <f t="shared" si="66"/>
        <v>00</v>
      </c>
      <c r="D702">
        <v>2159</v>
      </c>
      <c r="E702" t="str">
        <f t="shared" si="67"/>
        <v>00</v>
      </c>
      <c r="F702" t="str">
        <f>"014"</f>
        <v>014</v>
      </c>
      <c r="G702">
        <v>9</v>
      </c>
      <c r="H702" t="str">
        <f t="shared" si="68"/>
        <v>00</v>
      </c>
      <c r="I702" t="str">
        <f t="shared" si="69"/>
        <v>0</v>
      </c>
      <c r="J702" t="str">
        <f t="shared" si="70"/>
        <v>00</v>
      </c>
      <c r="K702">
        <v>20190515</v>
      </c>
      <c r="L702" t="str">
        <f>"027925"</f>
        <v>027925</v>
      </c>
      <c r="M702" t="str">
        <f>"20682"</f>
        <v>20682</v>
      </c>
      <c r="N702" t="s">
        <v>86</v>
      </c>
      <c r="O702" s="1">
        <v>3911.88</v>
      </c>
      <c r="P702">
        <v>20190515</v>
      </c>
      <c r="Q702" t="s">
        <v>87</v>
      </c>
      <c r="R702" t="s">
        <v>246</v>
      </c>
      <c r="S702" t="s">
        <v>23</v>
      </c>
      <c r="T702" t="s">
        <v>88</v>
      </c>
    </row>
    <row r="703" spans="1:20" x14ac:dyDescent="0.25">
      <c r="A703">
        <v>9</v>
      </c>
      <c r="B703">
        <v>163</v>
      </c>
      <c r="C703" t="str">
        <f t="shared" si="66"/>
        <v>00</v>
      </c>
      <c r="D703">
        <v>2153</v>
      </c>
      <c r="E703" t="str">
        <f t="shared" si="67"/>
        <v>00</v>
      </c>
      <c r="F703" t="str">
        <f>"024"</f>
        <v>024</v>
      </c>
      <c r="G703">
        <v>9</v>
      </c>
      <c r="H703" t="str">
        <f t="shared" si="68"/>
        <v>00</v>
      </c>
      <c r="I703" t="str">
        <f t="shared" si="69"/>
        <v>0</v>
      </c>
      <c r="J703" t="str">
        <f t="shared" si="70"/>
        <v>00</v>
      </c>
      <c r="K703">
        <v>20190515</v>
      </c>
      <c r="L703" t="str">
        <f>"027926"</f>
        <v>027926</v>
      </c>
      <c r="M703" t="str">
        <f>"21504"</f>
        <v>21504</v>
      </c>
      <c r="N703" t="s">
        <v>89</v>
      </c>
      <c r="O703">
        <v>36.6</v>
      </c>
      <c r="P703">
        <v>20190515</v>
      </c>
      <c r="Q703" t="s">
        <v>90</v>
      </c>
      <c r="R703" t="s">
        <v>245</v>
      </c>
      <c r="S703" t="s">
        <v>23</v>
      </c>
      <c r="T703" t="s">
        <v>91</v>
      </c>
    </row>
    <row r="704" spans="1:20" x14ac:dyDescent="0.25">
      <c r="A704">
        <v>9</v>
      </c>
      <c r="B704">
        <v>163</v>
      </c>
      <c r="C704" t="str">
        <f t="shared" si="66"/>
        <v>00</v>
      </c>
      <c r="D704">
        <v>2153</v>
      </c>
      <c r="E704" t="str">
        <f t="shared" si="67"/>
        <v>00</v>
      </c>
      <c r="F704" t="str">
        <f>"026"</f>
        <v>026</v>
      </c>
      <c r="G704">
        <v>9</v>
      </c>
      <c r="H704" t="str">
        <f t="shared" si="68"/>
        <v>00</v>
      </c>
      <c r="I704" t="str">
        <f t="shared" si="69"/>
        <v>0</v>
      </c>
      <c r="J704" t="str">
        <f t="shared" si="70"/>
        <v>00</v>
      </c>
      <c r="K704">
        <v>20190515</v>
      </c>
      <c r="L704" t="str">
        <f>"027927"</f>
        <v>027927</v>
      </c>
      <c r="M704" t="str">
        <f>"21506"</f>
        <v>21506</v>
      </c>
      <c r="N704" t="s">
        <v>92</v>
      </c>
      <c r="O704">
        <v>87.2</v>
      </c>
      <c r="P704">
        <v>20190515</v>
      </c>
      <c r="Q704" t="s">
        <v>93</v>
      </c>
      <c r="R704" t="s">
        <v>245</v>
      </c>
      <c r="S704" t="s">
        <v>23</v>
      </c>
      <c r="T704" t="s">
        <v>94</v>
      </c>
    </row>
    <row r="705" spans="1:20" x14ac:dyDescent="0.25">
      <c r="A705">
        <v>9</v>
      </c>
      <c r="B705">
        <v>163</v>
      </c>
      <c r="C705" t="str">
        <f t="shared" si="66"/>
        <v>00</v>
      </c>
      <c r="D705">
        <v>2159</v>
      </c>
      <c r="E705" t="str">
        <f t="shared" si="67"/>
        <v>00</v>
      </c>
      <c r="F705" t="str">
        <f>"108"</f>
        <v>108</v>
      </c>
      <c r="G705">
        <v>9</v>
      </c>
      <c r="H705" t="str">
        <f t="shared" si="68"/>
        <v>00</v>
      </c>
      <c r="I705" t="str">
        <f t="shared" si="69"/>
        <v>0</v>
      </c>
      <c r="J705" t="str">
        <f t="shared" si="70"/>
        <v>00</v>
      </c>
      <c r="K705">
        <v>20190515</v>
      </c>
      <c r="L705" t="str">
        <f>"027928"</f>
        <v>027928</v>
      </c>
      <c r="M705" t="str">
        <f>"29572"</f>
        <v>29572</v>
      </c>
      <c r="N705" t="s">
        <v>165</v>
      </c>
      <c r="O705">
        <v>21.87</v>
      </c>
      <c r="P705">
        <v>20190515</v>
      </c>
      <c r="Q705" t="s">
        <v>166</v>
      </c>
      <c r="R705" t="s">
        <v>246</v>
      </c>
      <c r="S705" t="s">
        <v>23</v>
      </c>
      <c r="T705" t="s">
        <v>167</v>
      </c>
    </row>
    <row r="706" spans="1:20" x14ac:dyDescent="0.25">
      <c r="A706">
        <v>9</v>
      </c>
      <c r="B706">
        <v>163</v>
      </c>
      <c r="C706" t="str">
        <f t="shared" ref="C706:C769" si="73">"00"</f>
        <v>00</v>
      </c>
      <c r="D706">
        <v>2159</v>
      </c>
      <c r="E706" t="str">
        <f t="shared" ref="E706:E769" si="74">"00"</f>
        <v>00</v>
      </c>
      <c r="F706" t="str">
        <f>"140"</f>
        <v>140</v>
      </c>
      <c r="G706">
        <v>9</v>
      </c>
      <c r="H706" t="str">
        <f t="shared" ref="H706:H769" si="75">"00"</f>
        <v>00</v>
      </c>
      <c r="I706" t="str">
        <f t="shared" ref="I706:I769" si="76">"0"</f>
        <v>0</v>
      </c>
      <c r="J706" t="str">
        <f t="shared" ref="J706:J769" si="77">"00"</f>
        <v>00</v>
      </c>
      <c r="K706">
        <v>20190515</v>
      </c>
      <c r="L706" t="str">
        <f>"027929"</f>
        <v>027929</v>
      </c>
      <c r="M706" t="str">
        <f>"47701"</f>
        <v>47701</v>
      </c>
      <c r="N706" t="s">
        <v>98</v>
      </c>
      <c r="O706">
        <v>382.8</v>
      </c>
      <c r="P706">
        <v>20190515</v>
      </c>
      <c r="Q706" t="s">
        <v>99</v>
      </c>
      <c r="R706" t="s">
        <v>246</v>
      </c>
      <c r="S706" t="s">
        <v>23</v>
      </c>
      <c r="T706" t="s">
        <v>100</v>
      </c>
    </row>
    <row r="707" spans="1:20" x14ac:dyDescent="0.25">
      <c r="A707">
        <v>9</v>
      </c>
      <c r="B707">
        <v>163</v>
      </c>
      <c r="C707" t="str">
        <f t="shared" si="73"/>
        <v>00</v>
      </c>
      <c r="D707">
        <v>2153</v>
      </c>
      <c r="E707" t="str">
        <f t="shared" si="74"/>
        <v>00</v>
      </c>
      <c r="F707" t="str">
        <f>"110"</f>
        <v>110</v>
      </c>
      <c r="G707">
        <v>9</v>
      </c>
      <c r="H707" t="str">
        <f t="shared" si="75"/>
        <v>00</v>
      </c>
      <c r="I707" t="str">
        <f t="shared" si="76"/>
        <v>0</v>
      </c>
      <c r="J707" t="str">
        <f t="shared" si="77"/>
        <v>00</v>
      </c>
      <c r="K707">
        <v>20190515</v>
      </c>
      <c r="L707" t="str">
        <f>"027930"</f>
        <v>027930</v>
      </c>
      <c r="M707" t="str">
        <f>"48947"</f>
        <v>48947</v>
      </c>
      <c r="N707" t="s">
        <v>47</v>
      </c>
      <c r="O707" s="1">
        <v>1987.42</v>
      </c>
      <c r="P707">
        <v>20190515</v>
      </c>
      <c r="Q707" t="s">
        <v>48</v>
      </c>
      <c r="R707" t="s">
        <v>244</v>
      </c>
      <c r="S707" t="s">
        <v>23</v>
      </c>
      <c r="T707" t="s">
        <v>49</v>
      </c>
    </row>
    <row r="708" spans="1:20" x14ac:dyDescent="0.25">
      <c r="A708">
        <v>9</v>
      </c>
      <c r="B708">
        <v>163</v>
      </c>
      <c r="C708" t="str">
        <f t="shared" si="73"/>
        <v>00</v>
      </c>
      <c r="D708">
        <v>2159</v>
      </c>
      <c r="E708" t="str">
        <f t="shared" si="74"/>
        <v>00</v>
      </c>
      <c r="F708" t="str">
        <f>"032"</f>
        <v>032</v>
      </c>
      <c r="G708">
        <v>9</v>
      </c>
      <c r="H708" t="str">
        <f t="shared" si="75"/>
        <v>00</v>
      </c>
      <c r="I708" t="str">
        <f t="shared" si="76"/>
        <v>0</v>
      </c>
      <c r="J708" t="str">
        <f t="shared" si="77"/>
        <v>00</v>
      </c>
      <c r="K708">
        <v>20190515</v>
      </c>
      <c r="L708" t="str">
        <f t="shared" ref="L708:L726" si="78">"027931"</f>
        <v>027931</v>
      </c>
      <c r="M708" t="str">
        <f t="shared" ref="M708:M726" si="79">"54196"</f>
        <v>54196</v>
      </c>
      <c r="N708" t="s">
        <v>50</v>
      </c>
      <c r="O708">
        <v>50</v>
      </c>
      <c r="P708">
        <v>20190515</v>
      </c>
      <c r="Q708" t="s">
        <v>101</v>
      </c>
      <c r="R708" t="s">
        <v>247</v>
      </c>
      <c r="S708" t="s">
        <v>23</v>
      </c>
      <c r="T708" t="s">
        <v>102</v>
      </c>
    </row>
    <row r="709" spans="1:20" x14ac:dyDescent="0.25">
      <c r="A709">
        <v>9</v>
      </c>
      <c r="B709">
        <v>163</v>
      </c>
      <c r="C709" t="str">
        <f t="shared" si="73"/>
        <v>00</v>
      </c>
      <c r="D709">
        <v>2159</v>
      </c>
      <c r="E709" t="str">
        <f t="shared" si="74"/>
        <v>00</v>
      </c>
      <c r="F709" t="str">
        <f>"033"</f>
        <v>033</v>
      </c>
      <c r="G709">
        <v>9</v>
      </c>
      <c r="H709" t="str">
        <f t="shared" si="75"/>
        <v>00</v>
      </c>
      <c r="I709" t="str">
        <f t="shared" si="76"/>
        <v>0</v>
      </c>
      <c r="J709" t="str">
        <f t="shared" si="77"/>
        <v>00</v>
      </c>
      <c r="K709">
        <v>20190515</v>
      </c>
      <c r="L709" t="str">
        <f t="shared" si="78"/>
        <v>027931</v>
      </c>
      <c r="M709" t="str">
        <f t="shared" si="79"/>
        <v>54196</v>
      </c>
      <c r="N709" t="s">
        <v>50</v>
      </c>
      <c r="O709">
        <v>283</v>
      </c>
      <c r="P709">
        <v>20190515</v>
      </c>
      <c r="Q709" t="s">
        <v>103</v>
      </c>
      <c r="R709" t="s">
        <v>247</v>
      </c>
      <c r="S709" t="s">
        <v>23</v>
      </c>
      <c r="T709" t="s">
        <v>104</v>
      </c>
    </row>
    <row r="710" spans="1:20" x14ac:dyDescent="0.25">
      <c r="A710">
        <v>9</v>
      </c>
      <c r="B710">
        <v>163</v>
      </c>
      <c r="C710" t="str">
        <f t="shared" si="73"/>
        <v>00</v>
      </c>
      <c r="D710">
        <v>2159</v>
      </c>
      <c r="E710" t="str">
        <f t="shared" si="74"/>
        <v>00</v>
      </c>
      <c r="F710" t="str">
        <f>"041"</f>
        <v>041</v>
      </c>
      <c r="G710">
        <v>9</v>
      </c>
      <c r="H710" t="str">
        <f t="shared" si="75"/>
        <v>00</v>
      </c>
      <c r="I710" t="str">
        <f t="shared" si="76"/>
        <v>0</v>
      </c>
      <c r="J710" t="str">
        <f t="shared" si="77"/>
        <v>00</v>
      </c>
      <c r="K710">
        <v>20190515</v>
      </c>
      <c r="L710" t="str">
        <f t="shared" si="78"/>
        <v>027931</v>
      </c>
      <c r="M710" t="str">
        <f t="shared" si="79"/>
        <v>54196</v>
      </c>
      <c r="N710" t="s">
        <v>50</v>
      </c>
      <c r="O710" s="1">
        <v>1340</v>
      </c>
      <c r="P710">
        <v>20190515</v>
      </c>
      <c r="Q710" t="s">
        <v>105</v>
      </c>
      <c r="R710" t="s">
        <v>247</v>
      </c>
      <c r="S710" t="s">
        <v>23</v>
      </c>
      <c r="T710" t="s">
        <v>106</v>
      </c>
    </row>
    <row r="711" spans="1:20" x14ac:dyDescent="0.25">
      <c r="A711">
        <v>9</v>
      </c>
      <c r="B711">
        <v>163</v>
      </c>
      <c r="C711" t="str">
        <f t="shared" si="73"/>
        <v>00</v>
      </c>
      <c r="D711">
        <v>2159</v>
      </c>
      <c r="E711" t="str">
        <f t="shared" si="74"/>
        <v>00</v>
      </c>
      <c r="F711" t="str">
        <f>"042"</f>
        <v>042</v>
      </c>
      <c r="G711">
        <v>9</v>
      </c>
      <c r="H711" t="str">
        <f t="shared" si="75"/>
        <v>00</v>
      </c>
      <c r="I711" t="str">
        <f t="shared" si="76"/>
        <v>0</v>
      </c>
      <c r="J711" t="str">
        <f t="shared" si="77"/>
        <v>00</v>
      </c>
      <c r="K711">
        <v>20190515</v>
      </c>
      <c r="L711" t="str">
        <f t="shared" si="78"/>
        <v>027931</v>
      </c>
      <c r="M711" t="str">
        <f t="shared" si="79"/>
        <v>54196</v>
      </c>
      <c r="N711" t="s">
        <v>50</v>
      </c>
      <c r="O711" s="1">
        <v>2075</v>
      </c>
      <c r="P711">
        <v>20190515</v>
      </c>
      <c r="Q711" t="s">
        <v>107</v>
      </c>
      <c r="R711" t="s">
        <v>247</v>
      </c>
      <c r="S711" t="s">
        <v>23</v>
      </c>
      <c r="T711" t="s">
        <v>108</v>
      </c>
    </row>
    <row r="712" spans="1:20" x14ac:dyDescent="0.25">
      <c r="A712">
        <v>9</v>
      </c>
      <c r="B712">
        <v>163</v>
      </c>
      <c r="C712" t="str">
        <f t="shared" si="73"/>
        <v>00</v>
      </c>
      <c r="D712">
        <v>2159</v>
      </c>
      <c r="E712" t="str">
        <f t="shared" si="74"/>
        <v>00</v>
      </c>
      <c r="F712" t="str">
        <f>"046"</f>
        <v>046</v>
      </c>
      <c r="G712">
        <v>9</v>
      </c>
      <c r="H712" t="str">
        <f t="shared" si="75"/>
        <v>00</v>
      </c>
      <c r="I712" t="str">
        <f t="shared" si="76"/>
        <v>0</v>
      </c>
      <c r="J712" t="str">
        <f t="shared" si="77"/>
        <v>00</v>
      </c>
      <c r="K712">
        <v>20190515</v>
      </c>
      <c r="L712" t="str">
        <f t="shared" si="78"/>
        <v>027931</v>
      </c>
      <c r="M712" t="str">
        <f t="shared" si="79"/>
        <v>54196</v>
      </c>
      <c r="N712" t="s">
        <v>50</v>
      </c>
      <c r="O712">
        <v>40</v>
      </c>
      <c r="P712">
        <v>20190515</v>
      </c>
      <c r="Q712" t="s">
        <v>109</v>
      </c>
      <c r="R712" t="s">
        <v>247</v>
      </c>
      <c r="S712" t="s">
        <v>23</v>
      </c>
      <c r="T712" t="s">
        <v>110</v>
      </c>
    </row>
    <row r="713" spans="1:20" x14ac:dyDescent="0.25">
      <c r="A713">
        <v>9</v>
      </c>
      <c r="B713">
        <v>163</v>
      </c>
      <c r="C713" t="str">
        <f t="shared" si="73"/>
        <v>00</v>
      </c>
      <c r="D713">
        <v>2159</v>
      </c>
      <c r="E713" t="str">
        <f t="shared" si="74"/>
        <v>00</v>
      </c>
      <c r="F713" t="str">
        <f>"058"</f>
        <v>058</v>
      </c>
      <c r="G713">
        <v>9</v>
      </c>
      <c r="H713" t="str">
        <f t="shared" si="75"/>
        <v>00</v>
      </c>
      <c r="I713" t="str">
        <f t="shared" si="76"/>
        <v>0</v>
      </c>
      <c r="J713" t="str">
        <f t="shared" si="77"/>
        <v>00</v>
      </c>
      <c r="K713">
        <v>20190515</v>
      </c>
      <c r="L713" t="str">
        <f t="shared" si="78"/>
        <v>027931</v>
      </c>
      <c r="M713" t="str">
        <f t="shared" si="79"/>
        <v>54196</v>
      </c>
      <c r="N713" t="s">
        <v>50</v>
      </c>
      <c r="O713" s="1">
        <v>1892</v>
      </c>
      <c r="P713">
        <v>20190515</v>
      </c>
      <c r="Q713" t="s">
        <v>111</v>
      </c>
      <c r="R713" t="s">
        <v>247</v>
      </c>
      <c r="S713" t="s">
        <v>23</v>
      </c>
      <c r="T713" t="s">
        <v>112</v>
      </c>
    </row>
    <row r="714" spans="1:20" x14ac:dyDescent="0.25">
      <c r="A714">
        <v>9</v>
      </c>
      <c r="B714">
        <v>163</v>
      </c>
      <c r="C714" t="str">
        <f t="shared" si="73"/>
        <v>00</v>
      </c>
      <c r="D714">
        <v>2159</v>
      </c>
      <c r="E714" t="str">
        <f t="shared" si="74"/>
        <v>00</v>
      </c>
      <c r="F714" t="str">
        <f>"059"</f>
        <v>059</v>
      </c>
      <c r="G714">
        <v>9</v>
      </c>
      <c r="H714" t="str">
        <f t="shared" si="75"/>
        <v>00</v>
      </c>
      <c r="I714" t="str">
        <f t="shared" si="76"/>
        <v>0</v>
      </c>
      <c r="J714" t="str">
        <f t="shared" si="77"/>
        <v>00</v>
      </c>
      <c r="K714">
        <v>20190515</v>
      </c>
      <c r="L714" t="str">
        <f t="shared" si="78"/>
        <v>027931</v>
      </c>
      <c r="M714" t="str">
        <f t="shared" si="79"/>
        <v>54196</v>
      </c>
      <c r="N714" t="s">
        <v>50</v>
      </c>
      <c r="O714">
        <v>672</v>
      </c>
      <c r="P714">
        <v>20190515</v>
      </c>
      <c r="Q714" t="s">
        <v>113</v>
      </c>
      <c r="R714" t="s">
        <v>247</v>
      </c>
      <c r="S714" t="s">
        <v>23</v>
      </c>
      <c r="T714" t="s">
        <v>114</v>
      </c>
    </row>
    <row r="715" spans="1:20" x14ac:dyDescent="0.25">
      <c r="A715">
        <v>9</v>
      </c>
      <c r="B715">
        <v>163</v>
      </c>
      <c r="C715" t="str">
        <f t="shared" si="73"/>
        <v>00</v>
      </c>
      <c r="D715">
        <v>2159</v>
      </c>
      <c r="E715" t="str">
        <f t="shared" si="74"/>
        <v>00</v>
      </c>
      <c r="F715" t="str">
        <f>"072"</f>
        <v>072</v>
      </c>
      <c r="G715">
        <v>9</v>
      </c>
      <c r="H715" t="str">
        <f t="shared" si="75"/>
        <v>00</v>
      </c>
      <c r="I715" t="str">
        <f t="shared" si="76"/>
        <v>0</v>
      </c>
      <c r="J715" t="str">
        <f t="shared" si="77"/>
        <v>00</v>
      </c>
      <c r="K715">
        <v>20190515</v>
      </c>
      <c r="L715" t="str">
        <f t="shared" si="78"/>
        <v>027931</v>
      </c>
      <c r="M715" t="str">
        <f t="shared" si="79"/>
        <v>54196</v>
      </c>
      <c r="N715" t="s">
        <v>50</v>
      </c>
      <c r="O715">
        <v>50</v>
      </c>
      <c r="P715">
        <v>20190515</v>
      </c>
      <c r="Q715" t="s">
        <v>115</v>
      </c>
      <c r="R715" t="s">
        <v>247</v>
      </c>
      <c r="S715" t="s">
        <v>23</v>
      </c>
      <c r="T715" t="s">
        <v>116</v>
      </c>
    </row>
    <row r="716" spans="1:20" x14ac:dyDescent="0.25">
      <c r="A716">
        <v>9</v>
      </c>
      <c r="B716">
        <v>163</v>
      </c>
      <c r="C716" t="str">
        <f t="shared" si="73"/>
        <v>00</v>
      </c>
      <c r="D716">
        <v>2159</v>
      </c>
      <c r="E716" t="str">
        <f t="shared" si="74"/>
        <v>00</v>
      </c>
      <c r="F716" t="str">
        <f>"075"</f>
        <v>075</v>
      </c>
      <c r="G716">
        <v>9</v>
      </c>
      <c r="H716" t="str">
        <f t="shared" si="75"/>
        <v>00</v>
      </c>
      <c r="I716" t="str">
        <f t="shared" si="76"/>
        <v>0</v>
      </c>
      <c r="J716" t="str">
        <f t="shared" si="77"/>
        <v>00</v>
      </c>
      <c r="K716">
        <v>20190515</v>
      </c>
      <c r="L716" t="str">
        <f t="shared" si="78"/>
        <v>027931</v>
      </c>
      <c r="M716" t="str">
        <f t="shared" si="79"/>
        <v>54196</v>
      </c>
      <c r="N716" t="s">
        <v>50</v>
      </c>
      <c r="O716">
        <v>100</v>
      </c>
      <c r="P716">
        <v>20190515</v>
      </c>
      <c r="Q716" t="s">
        <v>117</v>
      </c>
      <c r="R716" t="s">
        <v>247</v>
      </c>
      <c r="S716" t="s">
        <v>23</v>
      </c>
      <c r="T716" t="s">
        <v>118</v>
      </c>
    </row>
    <row r="717" spans="1:20" x14ac:dyDescent="0.25">
      <c r="A717">
        <v>9</v>
      </c>
      <c r="B717">
        <v>163</v>
      </c>
      <c r="C717" t="str">
        <f t="shared" si="73"/>
        <v>00</v>
      </c>
      <c r="D717">
        <v>2159</v>
      </c>
      <c r="E717" t="str">
        <f t="shared" si="74"/>
        <v>00</v>
      </c>
      <c r="F717" t="str">
        <f>"078"</f>
        <v>078</v>
      </c>
      <c r="G717">
        <v>9</v>
      </c>
      <c r="H717" t="str">
        <f t="shared" si="75"/>
        <v>00</v>
      </c>
      <c r="I717" t="str">
        <f t="shared" si="76"/>
        <v>0</v>
      </c>
      <c r="J717" t="str">
        <f t="shared" si="77"/>
        <v>00</v>
      </c>
      <c r="K717">
        <v>20190515</v>
      </c>
      <c r="L717" t="str">
        <f t="shared" si="78"/>
        <v>027931</v>
      </c>
      <c r="M717" t="str">
        <f t="shared" si="79"/>
        <v>54196</v>
      </c>
      <c r="N717" t="s">
        <v>50</v>
      </c>
      <c r="O717">
        <v>750</v>
      </c>
      <c r="P717">
        <v>20190515</v>
      </c>
      <c r="Q717" t="s">
        <v>119</v>
      </c>
      <c r="R717" t="s">
        <v>247</v>
      </c>
      <c r="S717" t="s">
        <v>23</v>
      </c>
      <c r="T717" t="s">
        <v>120</v>
      </c>
    </row>
    <row r="718" spans="1:20" x14ac:dyDescent="0.25">
      <c r="A718">
        <v>9</v>
      </c>
      <c r="B718">
        <v>163</v>
      </c>
      <c r="C718" t="str">
        <f t="shared" si="73"/>
        <v>00</v>
      </c>
      <c r="D718">
        <v>2159</v>
      </c>
      <c r="E718" t="str">
        <f t="shared" si="74"/>
        <v>00</v>
      </c>
      <c r="F718" t="str">
        <f>"082"</f>
        <v>082</v>
      </c>
      <c r="G718">
        <v>9</v>
      </c>
      <c r="H718" t="str">
        <f t="shared" si="75"/>
        <v>00</v>
      </c>
      <c r="I718" t="str">
        <f t="shared" si="76"/>
        <v>0</v>
      </c>
      <c r="J718" t="str">
        <f t="shared" si="77"/>
        <v>00</v>
      </c>
      <c r="K718">
        <v>20190515</v>
      </c>
      <c r="L718" t="str">
        <f t="shared" si="78"/>
        <v>027931</v>
      </c>
      <c r="M718" t="str">
        <f t="shared" si="79"/>
        <v>54196</v>
      </c>
      <c r="N718" t="s">
        <v>50</v>
      </c>
      <c r="O718">
        <v>300</v>
      </c>
      <c r="P718">
        <v>20190515</v>
      </c>
      <c r="Q718" t="s">
        <v>121</v>
      </c>
      <c r="R718" t="s">
        <v>247</v>
      </c>
      <c r="S718" t="s">
        <v>23</v>
      </c>
      <c r="T718" t="s">
        <v>122</v>
      </c>
    </row>
    <row r="719" spans="1:20" x14ac:dyDescent="0.25">
      <c r="A719">
        <v>9</v>
      </c>
      <c r="B719">
        <v>163</v>
      </c>
      <c r="C719" t="str">
        <f t="shared" si="73"/>
        <v>00</v>
      </c>
      <c r="D719">
        <v>2159</v>
      </c>
      <c r="E719" t="str">
        <f t="shared" si="74"/>
        <v>00</v>
      </c>
      <c r="F719" t="str">
        <f>"091"</f>
        <v>091</v>
      </c>
      <c r="G719">
        <v>9</v>
      </c>
      <c r="H719" t="str">
        <f t="shared" si="75"/>
        <v>00</v>
      </c>
      <c r="I719" t="str">
        <f t="shared" si="76"/>
        <v>0</v>
      </c>
      <c r="J719" t="str">
        <f t="shared" si="77"/>
        <v>00</v>
      </c>
      <c r="K719">
        <v>20190515</v>
      </c>
      <c r="L719" t="str">
        <f t="shared" si="78"/>
        <v>027931</v>
      </c>
      <c r="M719" t="str">
        <f t="shared" si="79"/>
        <v>54196</v>
      </c>
      <c r="N719" t="s">
        <v>50</v>
      </c>
      <c r="O719">
        <v>100</v>
      </c>
      <c r="P719">
        <v>20190515</v>
      </c>
      <c r="Q719" t="s">
        <v>123</v>
      </c>
      <c r="R719" t="s">
        <v>247</v>
      </c>
      <c r="S719" t="s">
        <v>23</v>
      </c>
      <c r="T719" t="s">
        <v>124</v>
      </c>
    </row>
    <row r="720" spans="1:20" x14ac:dyDescent="0.25">
      <c r="A720">
        <v>9</v>
      </c>
      <c r="B720">
        <v>163</v>
      </c>
      <c r="C720" t="str">
        <f t="shared" si="73"/>
        <v>00</v>
      </c>
      <c r="D720">
        <v>2159</v>
      </c>
      <c r="E720" t="str">
        <f t="shared" si="74"/>
        <v>00</v>
      </c>
      <c r="F720" t="str">
        <f>"122"</f>
        <v>122</v>
      </c>
      <c r="G720">
        <v>9</v>
      </c>
      <c r="H720" t="str">
        <f t="shared" si="75"/>
        <v>00</v>
      </c>
      <c r="I720" t="str">
        <f t="shared" si="76"/>
        <v>0</v>
      </c>
      <c r="J720" t="str">
        <f t="shared" si="77"/>
        <v>00</v>
      </c>
      <c r="K720">
        <v>20190515</v>
      </c>
      <c r="L720" t="str">
        <f t="shared" si="78"/>
        <v>027931</v>
      </c>
      <c r="M720" t="str">
        <f t="shared" si="79"/>
        <v>54196</v>
      </c>
      <c r="N720" t="s">
        <v>50</v>
      </c>
      <c r="O720">
        <v>100</v>
      </c>
      <c r="P720">
        <v>20190515</v>
      </c>
      <c r="Q720" t="s">
        <v>125</v>
      </c>
      <c r="R720" t="s">
        <v>248</v>
      </c>
      <c r="S720" t="s">
        <v>23</v>
      </c>
      <c r="T720" t="s">
        <v>127</v>
      </c>
    </row>
    <row r="721" spans="1:20" x14ac:dyDescent="0.25">
      <c r="A721">
        <v>9</v>
      </c>
      <c r="B721">
        <v>163</v>
      </c>
      <c r="C721" t="str">
        <f t="shared" si="73"/>
        <v>00</v>
      </c>
      <c r="D721">
        <v>2159</v>
      </c>
      <c r="E721" t="str">
        <f t="shared" si="74"/>
        <v>00</v>
      </c>
      <c r="F721" t="str">
        <f>"130"</f>
        <v>130</v>
      </c>
      <c r="G721">
        <v>9</v>
      </c>
      <c r="H721" t="str">
        <f t="shared" si="75"/>
        <v>00</v>
      </c>
      <c r="I721" t="str">
        <f t="shared" si="76"/>
        <v>0</v>
      </c>
      <c r="J721" t="str">
        <f t="shared" si="77"/>
        <v>00</v>
      </c>
      <c r="K721">
        <v>20190515</v>
      </c>
      <c r="L721" t="str">
        <f t="shared" si="78"/>
        <v>027931</v>
      </c>
      <c r="M721" t="str">
        <f t="shared" si="79"/>
        <v>54196</v>
      </c>
      <c r="N721" t="s">
        <v>50</v>
      </c>
      <c r="O721" s="1">
        <v>9016</v>
      </c>
      <c r="P721">
        <v>20190515</v>
      </c>
      <c r="Q721" t="s">
        <v>128</v>
      </c>
      <c r="R721" t="s">
        <v>249</v>
      </c>
      <c r="S721" t="s">
        <v>23</v>
      </c>
      <c r="T721" t="s">
        <v>112</v>
      </c>
    </row>
    <row r="722" spans="1:20" x14ac:dyDescent="0.25">
      <c r="A722">
        <v>9</v>
      </c>
      <c r="B722">
        <v>163</v>
      </c>
      <c r="C722" t="str">
        <f t="shared" si="73"/>
        <v>00</v>
      </c>
      <c r="D722">
        <v>2159</v>
      </c>
      <c r="E722" t="str">
        <f t="shared" si="74"/>
        <v>00</v>
      </c>
      <c r="F722" t="str">
        <f>"131"</f>
        <v>131</v>
      </c>
      <c r="G722">
        <v>9</v>
      </c>
      <c r="H722" t="str">
        <f t="shared" si="75"/>
        <v>00</v>
      </c>
      <c r="I722" t="str">
        <f t="shared" si="76"/>
        <v>0</v>
      </c>
      <c r="J722" t="str">
        <f t="shared" si="77"/>
        <v>00</v>
      </c>
      <c r="K722">
        <v>20190515</v>
      </c>
      <c r="L722" t="str">
        <f t="shared" si="78"/>
        <v>027931</v>
      </c>
      <c r="M722" t="str">
        <f t="shared" si="79"/>
        <v>54196</v>
      </c>
      <c r="N722" t="s">
        <v>50</v>
      </c>
      <c r="O722" s="1">
        <v>1725</v>
      </c>
      <c r="P722">
        <v>20190515</v>
      </c>
      <c r="Q722" t="s">
        <v>51</v>
      </c>
      <c r="R722" t="s">
        <v>247</v>
      </c>
      <c r="S722" t="s">
        <v>23</v>
      </c>
      <c r="T722" t="s">
        <v>53</v>
      </c>
    </row>
    <row r="723" spans="1:20" x14ac:dyDescent="0.25">
      <c r="A723">
        <v>9</v>
      </c>
      <c r="B723">
        <v>163</v>
      </c>
      <c r="C723" t="str">
        <f t="shared" si="73"/>
        <v>00</v>
      </c>
      <c r="D723">
        <v>2159</v>
      </c>
      <c r="E723" t="str">
        <f t="shared" si="74"/>
        <v>00</v>
      </c>
      <c r="F723" t="str">
        <f>"136"</f>
        <v>136</v>
      </c>
      <c r="G723">
        <v>9</v>
      </c>
      <c r="H723" t="str">
        <f t="shared" si="75"/>
        <v>00</v>
      </c>
      <c r="I723" t="str">
        <f t="shared" si="76"/>
        <v>0</v>
      </c>
      <c r="J723" t="str">
        <f t="shared" si="77"/>
        <v>00</v>
      </c>
      <c r="K723">
        <v>20190515</v>
      </c>
      <c r="L723" t="str">
        <f t="shared" si="78"/>
        <v>027931</v>
      </c>
      <c r="M723" t="str">
        <f t="shared" si="79"/>
        <v>54196</v>
      </c>
      <c r="N723" t="s">
        <v>50</v>
      </c>
      <c r="O723" s="1">
        <v>1775</v>
      </c>
      <c r="P723">
        <v>20190515</v>
      </c>
      <c r="Q723" t="s">
        <v>130</v>
      </c>
      <c r="R723" t="s">
        <v>250</v>
      </c>
      <c r="S723" t="s">
        <v>23</v>
      </c>
      <c r="T723" t="s">
        <v>132</v>
      </c>
    </row>
    <row r="724" spans="1:20" x14ac:dyDescent="0.25">
      <c r="A724">
        <v>9</v>
      </c>
      <c r="B724">
        <v>163</v>
      </c>
      <c r="C724" t="str">
        <f t="shared" si="73"/>
        <v>00</v>
      </c>
      <c r="D724">
        <v>2159</v>
      </c>
      <c r="E724" t="str">
        <f t="shared" si="74"/>
        <v>00</v>
      </c>
      <c r="F724" t="str">
        <f>"137"</f>
        <v>137</v>
      </c>
      <c r="G724">
        <v>9</v>
      </c>
      <c r="H724" t="str">
        <f t="shared" si="75"/>
        <v>00</v>
      </c>
      <c r="I724" t="str">
        <f t="shared" si="76"/>
        <v>0</v>
      </c>
      <c r="J724" t="str">
        <f t="shared" si="77"/>
        <v>00</v>
      </c>
      <c r="K724">
        <v>20190515</v>
      </c>
      <c r="L724" t="str">
        <f t="shared" si="78"/>
        <v>027931</v>
      </c>
      <c r="M724" t="str">
        <f t="shared" si="79"/>
        <v>54196</v>
      </c>
      <c r="N724" t="s">
        <v>50</v>
      </c>
      <c r="O724" s="1">
        <v>2680</v>
      </c>
      <c r="P724">
        <v>20190515</v>
      </c>
      <c r="Q724" t="s">
        <v>133</v>
      </c>
      <c r="R724" t="s">
        <v>249</v>
      </c>
      <c r="S724" t="s">
        <v>23</v>
      </c>
      <c r="T724" t="s">
        <v>134</v>
      </c>
    </row>
    <row r="725" spans="1:20" x14ac:dyDescent="0.25">
      <c r="A725">
        <v>9</v>
      </c>
      <c r="B725">
        <v>163</v>
      </c>
      <c r="C725" t="str">
        <f t="shared" si="73"/>
        <v>00</v>
      </c>
      <c r="D725">
        <v>2159</v>
      </c>
      <c r="E725" t="str">
        <f t="shared" si="74"/>
        <v>00</v>
      </c>
      <c r="F725" t="str">
        <f>"138"</f>
        <v>138</v>
      </c>
      <c r="G725">
        <v>9</v>
      </c>
      <c r="H725" t="str">
        <f t="shared" si="75"/>
        <v>00</v>
      </c>
      <c r="I725" t="str">
        <f t="shared" si="76"/>
        <v>0</v>
      </c>
      <c r="J725" t="str">
        <f t="shared" si="77"/>
        <v>00</v>
      </c>
      <c r="K725">
        <v>20190515</v>
      </c>
      <c r="L725" t="str">
        <f t="shared" si="78"/>
        <v>027931</v>
      </c>
      <c r="M725" t="str">
        <f t="shared" si="79"/>
        <v>54196</v>
      </c>
      <c r="N725" t="s">
        <v>50</v>
      </c>
      <c r="O725">
        <v>300</v>
      </c>
      <c r="P725">
        <v>20190515</v>
      </c>
      <c r="Q725" t="s">
        <v>135</v>
      </c>
      <c r="R725" t="s">
        <v>250</v>
      </c>
      <c r="S725" t="s">
        <v>23</v>
      </c>
      <c r="T725" t="s">
        <v>134</v>
      </c>
    </row>
    <row r="726" spans="1:20" x14ac:dyDescent="0.25">
      <c r="A726">
        <v>9</v>
      </c>
      <c r="B726">
        <v>163</v>
      </c>
      <c r="C726" t="str">
        <f t="shared" si="73"/>
        <v>00</v>
      </c>
      <c r="D726">
        <v>2159</v>
      </c>
      <c r="E726" t="str">
        <f t="shared" si="74"/>
        <v>00</v>
      </c>
      <c r="F726" t="str">
        <f>"150"</f>
        <v>150</v>
      </c>
      <c r="G726">
        <v>9</v>
      </c>
      <c r="H726" t="str">
        <f t="shared" si="75"/>
        <v>00</v>
      </c>
      <c r="I726" t="str">
        <f t="shared" si="76"/>
        <v>0</v>
      </c>
      <c r="J726" t="str">
        <f t="shared" si="77"/>
        <v>00</v>
      </c>
      <c r="K726">
        <v>20190515</v>
      </c>
      <c r="L726" t="str">
        <f t="shared" si="78"/>
        <v>027931</v>
      </c>
      <c r="M726" t="str">
        <f t="shared" si="79"/>
        <v>54196</v>
      </c>
      <c r="N726" t="s">
        <v>50</v>
      </c>
      <c r="O726">
        <v>200</v>
      </c>
      <c r="P726">
        <v>20190515</v>
      </c>
      <c r="Q726" t="s">
        <v>136</v>
      </c>
      <c r="R726" t="s">
        <v>247</v>
      </c>
      <c r="S726" t="s">
        <v>23</v>
      </c>
      <c r="T726" t="s">
        <v>137</v>
      </c>
    </row>
    <row r="727" spans="1:20" x14ac:dyDescent="0.25">
      <c r="A727">
        <v>9</v>
      </c>
      <c r="B727">
        <v>163</v>
      </c>
      <c r="C727" t="str">
        <f t="shared" si="73"/>
        <v>00</v>
      </c>
      <c r="D727">
        <v>2159</v>
      </c>
      <c r="E727" t="str">
        <f t="shared" si="74"/>
        <v>00</v>
      </c>
      <c r="F727" t="str">
        <f>"111"</f>
        <v>111</v>
      </c>
      <c r="G727">
        <v>9</v>
      </c>
      <c r="H727" t="str">
        <f t="shared" si="75"/>
        <v>00</v>
      </c>
      <c r="I727" t="str">
        <f t="shared" si="76"/>
        <v>0</v>
      </c>
      <c r="J727" t="str">
        <f t="shared" si="77"/>
        <v>00</v>
      </c>
      <c r="K727">
        <v>20190515</v>
      </c>
      <c r="L727" t="str">
        <f>"027932"</f>
        <v>027932</v>
      </c>
      <c r="M727" t="str">
        <f>"72601"</f>
        <v>72601</v>
      </c>
      <c r="N727" t="s">
        <v>54</v>
      </c>
      <c r="O727" s="1">
        <v>8870.02</v>
      </c>
      <c r="P727">
        <v>20190515</v>
      </c>
      <c r="Q727" t="s">
        <v>55</v>
      </c>
      <c r="R727" t="s">
        <v>246</v>
      </c>
      <c r="S727" t="s">
        <v>23</v>
      </c>
      <c r="T727" t="s">
        <v>56</v>
      </c>
    </row>
    <row r="728" spans="1:20" x14ac:dyDescent="0.25">
      <c r="A728">
        <v>9</v>
      </c>
      <c r="B728">
        <v>163</v>
      </c>
      <c r="C728" t="str">
        <f t="shared" si="73"/>
        <v>00</v>
      </c>
      <c r="D728">
        <v>2153</v>
      </c>
      <c r="E728" t="str">
        <f t="shared" si="74"/>
        <v>00</v>
      </c>
      <c r="F728" t="str">
        <f>"006"</f>
        <v>006</v>
      </c>
      <c r="G728">
        <v>9</v>
      </c>
      <c r="H728" t="str">
        <f t="shared" si="75"/>
        <v>00</v>
      </c>
      <c r="I728" t="str">
        <f t="shared" si="76"/>
        <v>0</v>
      </c>
      <c r="J728" t="str">
        <f t="shared" si="77"/>
        <v>00</v>
      </c>
      <c r="K728">
        <v>20190515</v>
      </c>
      <c r="L728" t="str">
        <f>"027933"</f>
        <v>027933</v>
      </c>
      <c r="M728" t="str">
        <f>"75452"</f>
        <v>75452</v>
      </c>
      <c r="N728" t="s">
        <v>57</v>
      </c>
      <c r="O728" s="1">
        <v>9106.61</v>
      </c>
      <c r="P728">
        <v>20190515</v>
      </c>
      <c r="Q728" t="s">
        <v>58</v>
      </c>
      <c r="R728" t="s">
        <v>245</v>
      </c>
      <c r="S728" t="s">
        <v>23</v>
      </c>
      <c r="T728" t="s">
        <v>59</v>
      </c>
    </row>
    <row r="729" spans="1:20" x14ac:dyDescent="0.25">
      <c r="A729">
        <v>9</v>
      </c>
      <c r="B729">
        <v>163</v>
      </c>
      <c r="C729" t="str">
        <f t="shared" si="73"/>
        <v>00</v>
      </c>
      <c r="D729">
        <v>2159</v>
      </c>
      <c r="E729" t="str">
        <f t="shared" si="74"/>
        <v>00</v>
      </c>
      <c r="F729" t="str">
        <f>"099"</f>
        <v>099</v>
      </c>
      <c r="G729">
        <v>9</v>
      </c>
      <c r="H729" t="str">
        <f t="shared" si="75"/>
        <v>00</v>
      </c>
      <c r="I729" t="str">
        <f t="shared" si="76"/>
        <v>0</v>
      </c>
      <c r="J729" t="str">
        <f t="shared" si="77"/>
        <v>00</v>
      </c>
      <c r="K729">
        <v>20190515</v>
      </c>
      <c r="L729" t="str">
        <f>"027933"</f>
        <v>027933</v>
      </c>
      <c r="M729" t="str">
        <f>"75452"</f>
        <v>75452</v>
      </c>
      <c r="N729" t="s">
        <v>57</v>
      </c>
      <c r="O729">
        <v>300</v>
      </c>
      <c r="P729">
        <v>20190515</v>
      </c>
      <c r="Q729" t="s">
        <v>171</v>
      </c>
      <c r="R729" t="s">
        <v>251</v>
      </c>
      <c r="S729" t="s">
        <v>23</v>
      </c>
      <c r="T729" t="s">
        <v>173</v>
      </c>
    </row>
    <row r="730" spans="1:20" x14ac:dyDescent="0.25">
      <c r="A730">
        <v>9</v>
      </c>
      <c r="B730">
        <v>163</v>
      </c>
      <c r="C730" t="str">
        <f t="shared" si="73"/>
        <v>00</v>
      </c>
      <c r="D730">
        <v>2159</v>
      </c>
      <c r="E730" t="str">
        <f t="shared" si="74"/>
        <v>00</v>
      </c>
      <c r="F730" t="str">
        <f>"048"</f>
        <v>048</v>
      </c>
      <c r="G730">
        <v>9</v>
      </c>
      <c r="H730" t="str">
        <f t="shared" si="75"/>
        <v>00</v>
      </c>
      <c r="I730" t="str">
        <f t="shared" si="76"/>
        <v>0</v>
      </c>
      <c r="J730" t="str">
        <f t="shared" si="77"/>
        <v>00</v>
      </c>
      <c r="K730">
        <v>20190515</v>
      </c>
      <c r="L730" t="str">
        <f>"027934"</f>
        <v>027934</v>
      </c>
      <c r="M730" t="str">
        <f>"77030"</f>
        <v>77030</v>
      </c>
      <c r="N730" t="s">
        <v>139</v>
      </c>
      <c r="O730">
        <v>174.7</v>
      </c>
      <c r="P730">
        <v>20190515</v>
      </c>
      <c r="Q730" t="s">
        <v>140</v>
      </c>
      <c r="R730" t="s">
        <v>246</v>
      </c>
      <c r="S730" t="s">
        <v>23</v>
      </c>
      <c r="T730" t="s">
        <v>141</v>
      </c>
    </row>
    <row r="731" spans="1:20" x14ac:dyDescent="0.25">
      <c r="A731">
        <v>9</v>
      </c>
      <c r="B731">
        <v>163</v>
      </c>
      <c r="C731" t="str">
        <f t="shared" si="73"/>
        <v>00</v>
      </c>
      <c r="D731">
        <v>2159</v>
      </c>
      <c r="E731" t="str">
        <f t="shared" si="74"/>
        <v>00</v>
      </c>
      <c r="F731" t="str">
        <f>"005"</f>
        <v>005</v>
      </c>
      <c r="G731">
        <v>9</v>
      </c>
      <c r="H731" t="str">
        <f t="shared" si="75"/>
        <v>00</v>
      </c>
      <c r="I731" t="str">
        <f t="shared" si="76"/>
        <v>0</v>
      </c>
      <c r="J731" t="str">
        <f t="shared" si="77"/>
        <v>00</v>
      </c>
      <c r="K731">
        <v>20190515</v>
      </c>
      <c r="L731" t="str">
        <f>"027935"</f>
        <v>027935</v>
      </c>
      <c r="M731" t="str">
        <f>"79562"</f>
        <v>79562</v>
      </c>
      <c r="N731" t="s">
        <v>142</v>
      </c>
      <c r="O731">
        <v>156.69999999999999</v>
      </c>
      <c r="P731">
        <v>20190515</v>
      </c>
      <c r="Q731" t="s">
        <v>143</v>
      </c>
      <c r="R731" t="s">
        <v>252</v>
      </c>
      <c r="S731" t="s">
        <v>23</v>
      </c>
      <c r="T731" t="s">
        <v>145</v>
      </c>
    </row>
    <row r="732" spans="1:20" x14ac:dyDescent="0.25">
      <c r="A732">
        <v>9</v>
      </c>
      <c r="B732">
        <v>163</v>
      </c>
      <c r="C732" t="str">
        <f t="shared" si="73"/>
        <v>00</v>
      </c>
      <c r="D732">
        <v>2159</v>
      </c>
      <c r="E732" t="str">
        <f t="shared" si="74"/>
        <v>00</v>
      </c>
      <c r="F732" t="str">
        <f>"034"</f>
        <v>034</v>
      </c>
      <c r="G732">
        <v>9</v>
      </c>
      <c r="H732" t="str">
        <f t="shared" si="75"/>
        <v>00</v>
      </c>
      <c r="I732" t="str">
        <f t="shared" si="76"/>
        <v>0</v>
      </c>
      <c r="J732" t="str">
        <f t="shared" si="77"/>
        <v>00</v>
      </c>
      <c r="K732">
        <v>20190515</v>
      </c>
      <c r="L732" t="str">
        <f>"027936"</f>
        <v>027936</v>
      </c>
      <c r="M732" t="str">
        <f>"79762"</f>
        <v>79762</v>
      </c>
      <c r="N732" t="s">
        <v>146</v>
      </c>
      <c r="O732">
        <v>415</v>
      </c>
      <c r="P732">
        <v>20190515</v>
      </c>
      <c r="Q732" t="s">
        <v>147</v>
      </c>
      <c r="R732" t="s">
        <v>246</v>
      </c>
      <c r="S732" t="s">
        <v>23</v>
      </c>
      <c r="T732" t="s">
        <v>148</v>
      </c>
    </row>
    <row r="733" spans="1:20" x14ac:dyDescent="0.25">
      <c r="A733">
        <v>9</v>
      </c>
      <c r="B733">
        <v>163</v>
      </c>
      <c r="C733" t="str">
        <f t="shared" si="73"/>
        <v>00</v>
      </c>
      <c r="D733">
        <v>2159</v>
      </c>
      <c r="E733" t="str">
        <f t="shared" si="74"/>
        <v>00</v>
      </c>
      <c r="F733" t="str">
        <f>"086"</f>
        <v>086</v>
      </c>
      <c r="G733">
        <v>9</v>
      </c>
      <c r="H733" t="str">
        <f t="shared" si="75"/>
        <v>00</v>
      </c>
      <c r="I733" t="str">
        <f t="shared" si="76"/>
        <v>0</v>
      </c>
      <c r="J733" t="str">
        <f t="shared" si="77"/>
        <v>00</v>
      </c>
      <c r="K733">
        <v>20190515</v>
      </c>
      <c r="L733" t="str">
        <f>"027937"</f>
        <v>027937</v>
      </c>
      <c r="M733" t="str">
        <f>"81155"</f>
        <v>81155</v>
      </c>
      <c r="N733" t="s">
        <v>149</v>
      </c>
      <c r="O733">
        <v>215</v>
      </c>
      <c r="P733">
        <v>20190515</v>
      </c>
      <c r="Q733" t="s">
        <v>150</v>
      </c>
      <c r="R733" t="s">
        <v>246</v>
      </c>
      <c r="S733" t="s">
        <v>23</v>
      </c>
      <c r="T733" t="s">
        <v>151</v>
      </c>
    </row>
    <row r="734" spans="1:20" x14ac:dyDescent="0.25">
      <c r="A734">
        <v>9</v>
      </c>
      <c r="B734">
        <v>163</v>
      </c>
      <c r="C734" t="str">
        <f t="shared" si="73"/>
        <v>00</v>
      </c>
      <c r="D734">
        <v>2159</v>
      </c>
      <c r="E734" t="str">
        <f t="shared" si="74"/>
        <v>00</v>
      </c>
      <c r="F734" t="str">
        <f>"106"</f>
        <v>106</v>
      </c>
      <c r="G734">
        <v>9</v>
      </c>
      <c r="H734" t="str">
        <f t="shared" si="75"/>
        <v>00</v>
      </c>
      <c r="I734" t="str">
        <f t="shared" si="76"/>
        <v>0</v>
      </c>
      <c r="J734" t="str">
        <f t="shared" si="77"/>
        <v>00</v>
      </c>
      <c r="K734">
        <v>20190515</v>
      </c>
      <c r="L734" t="str">
        <f>"027938"</f>
        <v>027938</v>
      </c>
      <c r="M734" t="str">
        <f>"81173"</f>
        <v>81173</v>
      </c>
      <c r="N734" t="s">
        <v>60</v>
      </c>
      <c r="O734">
        <v>832.75</v>
      </c>
      <c r="P734">
        <v>20190515</v>
      </c>
      <c r="Q734" t="s">
        <v>61</v>
      </c>
      <c r="R734" t="s">
        <v>246</v>
      </c>
      <c r="S734" t="s">
        <v>23</v>
      </c>
      <c r="T734" t="s">
        <v>62</v>
      </c>
    </row>
    <row r="735" spans="1:20" x14ac:dyDescent="0.25">
      <c r="A735">
        <v>9</v>
      </c>
      <c r="B735">
        <v>163</v>
      </c>
      <c r="C735" t="str">
        <f t="shared" si="73"/>
        <v>00</v>
      </c>
      <c r="D735">
        <v>2159</v>
      </c>
      <c r="E735" t="str">
        <f t="shared" si="74"/>
        <v>00</v>
      </c>
      <c r="F735" t="str">
        <f>"007"</f>
        <v>007</v>
      </c>
      <c r="G735">
        <v>9</v>
      </c>
      <c r="H735" t="str">
        <f t="shared" si="75"/>
        <v>00</v>
      </c>
      <c r="I735" t="str">
        <f t="shared" si="76"/>
        <v>0</v>
      </c>
      <c r="J735" t="str">
        <f t="shared" si="77"/>
        <v>00</v>
      </c>
      <c r="K735">
        <v>20190515</v>
      </c>
      <c r="L735" t="str">
        <f>"027939"</f>
        <v>027939</v>
      </c>
      <c r="M735" t="str">
        <f>"81174"</f>
        <v>81174</v>
      </c>
      <c r="N735" t="s">
        <v>63</v>
      </c>
      <c r="O735" s="1">
        <v>1593.15</v>
      </c>
      <c r="P735">
        <v>20190515</v>
      </c>
      <c r="Q735" t="s">
        <v>64</v>
      </c>
      <c r="R735" t="s">
        <v>246</v>
      </c>
      <c r="S735" t="s">
        <v>23</v>
      </c>
      <c r="T735" t="s">
        <v>65</v>
      </c>
    </row>
    <row r="736" spans="1:20" x14ac:dyDescent="0.25">
      <c r="A736">
        <v>9</v>
      </c>
      <c r="B736">
        <v>163</v>
      </c>
      <c r="C736" t="str">
        <f t="shared" si="73"/>
        <v>00</v>
      </c>
      <c r="D736">
        <v>2159</v>
      </c>
      <c r="E736" t="str">
        <f t="shared" si="74"/>
        <v>00</v>
      </c>
      <c r="F736" t="str">
        <f>"123"</f>
        <v>123</v>
      </c>
      <c r="G736">
        <v>9</v>
      </c>
      <c r="H736" t="str">
        <f t="shared" si="75"/>
        <v>00</v>
      </c>
      <c r="I736" t="str">
        <f t="shared" si="76"/>
        <v>0</v>
      </c>
      <c r="J736" t="str">
        <f t="shared" si="77"/>
        <v>00</v>
      </c>
      <c r="K736">
        <v>20190515</v>
      </c>
      <c r="L736" t="str">
        <f>"027940"</f>
        <v>027940</v>
      </c>
      <c r="M736" t="str">
        <f>"81753"</f>
        <v>81753</v>
      </c>
      <c r="N736" t="s">
        <v>217</v>
      </c>
      <c r="O736" s="1">
        <v>1185.98</v>
      </c>
      <c r="P736">
        <v>20190515</v>
      </c>
      <c r="Q736" t="s">
        <v>155</v>
      </c>
      <c r="R736" t="s">
        <v>246</v>
      </c>
      <c r="S736" t="s">
        <v>23</v>
      </c>
      <c r="T736" t="s">
        <v>154</v>
      </c>
    </row>
    <row r="737" spans="1:20" x14ac:dyDescent="0.25">
      <c r="A737">
        <v>9</v>
      </c>
      <c r="B737">
        <v>163</v>
      </c>
      <c r="C737" t="str">
        <f t="shared" si="73"/>
        <v>00</v>
      </c>
      <c r="D737">
        <v>2159</v>
      </c>
      <c r="E737" t="str">
        <f t="shared" si="74"/>
        <v>00</v>
      </c>
      <c r="F737" t="str">
        <f>"117"</f>
        <v>117</v>
      </c>
      <c r="G737">
        <v>9</v>
      </c>
      <c r="H737" t="str">
        <f t="shared" si="75"/>
        <v>00</v>
      </c>
      <c r="I737" t="str">
        <f t="shared" si="76"/>
        <v>0</v>
      </c>
      <c r="J737" t="str">
        <f t="shared" si="77"/>
        <v>00</v>
      </c>
      <c r="K737">
        <v>20190515</v>
      </c>
      <c r="L737" t="str">
        <f>"027941"</f>
        <v>027941</v>
      </c>
      <c r="M737" t="str">
        <f>"21826"</f>
        <v>21826</v>
      </c>
      <c r="N737" t="s">
        <v>95</v>
      </c>
      <c r="O737">
        <v>799.55</v>
      </c>
      <c r="P737">
        <v>20190515</v>
      </c>
      <c r="Q737" t="s">
        <v>96</v>
      </c>
      <c r="R737" t="s">
        <v>246</v>
      </c>
      <c r="S737" t="s">
        <v>23</v>
      </c>
      <c r="T737" t="s">
        <v>97</v>
      </c>
    </row>
    <row r="738" spans="1:20" x14ac:dyDescent="0.25">
      <c r="A738">
        <v>9</v>
      </c>
      <c r="B738">
        <v>163</v>
      </c>
      <c r="C738" t="str">
        <f t="shared" si="73"/>
        <v>00</v>
      </c>
      <c r="D738">
        <v>2153</v>
      </c>
      <c r="E738" t="str">
        <f t="shared" si="74"/>
        <v>00</v>
      </c>
      <c r="F738" t="str">
        <f>"141"</f>
        <v>141</v>
      </c>
      <c r="G738">
        <v>9</v>
      </c>
      <c r="H738" t="str">
        <f t="shared" si="75"/>
        <v>00</v>
      </c>
      <c r="I738" t="str">
        <f t="shared" si="76"/>
        <v>0</v>
      </c>
      <c r="J738" t="str">
        <f t="shared" si="77"/>
        <v>00</v>
      </c>
      <c r="K738">
        <v>20190517</v>
      </c>
      <c r="L738" t="str">
        <f>"027942"</f>
        <v>027942</v>
      </c>
      <c r="M738" t="str">
        <f>"00068"</f>
        <v>00068</v>
      </c>
      <c r="N738" t="s">
        <v>20</v>
      </c>
      <c r="O738">
        <v>328.91</v>
      </c>
      <c r="P738">
        <v>20190517</v>
      </c>
      <c r="Q738" t="s">
        <v>21</v>
      </c>
      <c r="R738" t="s">
        <v>244</v>
      </c>
      <c r="S738" t="s">
        <v>23</v>
      </c>
      <c r="T738" t="s">
        <v>24</v>
      </c>
    </row>
    <row r="739" spans="1:20" x14ac:dyDescent="0.25">
      <c r="A739">
        <v>9</v>
      </c>
      <c r="B739">
        <v>163</v>
      </c>
      <c r="C739" t="str">
        <f t="shared" si="73"/>
        <v>00</v>
      </c>
      <c r="D739">
        <v>2153</v>
      </c>
      <c r="E739" t="str">
        <f t="shared" si="74"/>
        <v>00</v>
      </c>
      <c r="F739" t="str">
        <f>"142"</f>
        <v>142</v>
      </c>
      <c r="G739">
        <v>9</v>
      </c>
      <c r="H739" t="str">
        <f t="shared" si="75"/>
        <v>00</v>
      </c>
      <c r="I739" t="str">
        <f t="shared" si="76"/>
        <v>0</v>
      </c>
      <c r="J739" t="str">
        <f t="shared" si="77"/>
        <v>00</v>
      </c>
      <c r="K739">
        <v>20190517</v>
      </c>
      <c r="L739" t="str">
        <f>"027942"</f>
        <v>027942</v>
      </c>
      <c r="M739" t="str">
        <f>"00068"</f>
        <v>00068</v>
      </c>
      <c r="N739" t="s">
        <v>20</v>
      </c>
      <c r="O739">
        <v>336.78</v>
      </c>
      <c r="P739">
        <v>20190517</v>
      </c>
      <c r="Q739" t="s">
        <v>25</v>
      </c>
      <c r="R739" t="s">
        <v>245</v>
      </c>
      <c r="S739" t="s">
        <v>23</v>
      </c>
      <c r="T739" t="s">
        <v>27</v>
      </c>
    </row>
    <row r="740" spans="1:20" x14ac:dyDescent="0.25">
      <c r="A740">
        <v>9</v>
      </c>
      <c r="B740">
        <v>163</v>
      </c>
      <c r="C740" t="str">
        <f t="shared" si="73"/>
        <v>00</v>
      </c>
      <c r="D740">
        <v>2159</v>
      </c>
      <c r="E740" t="str">
        <f t="shared" si="74"/>
        <v>00</v>
      </c>
      <c r="F740" t="str">
        <f>"148"</f>
        <v>148</v>
      </c>
      <c r="G740">
        <v>9</v>
      </c>
      <c r="H740" t="str">
        <f t="shared" si="75"/>
        <v>00</v>
      </c>
      <c r="I740" t="str">
        <f t="shared" si="76"/>
        <v>0</v>
      </c>
      <c r="J740" t="str">
        <f t="shared" si="77"/>
        <v>00</v>
      </c>
      <c r="K740">
        <v>20190517</v>
      </c>
      <c r="L740" t="str">
        <f>"027943"</f>
        <v>027943</v>
      </c>
      <c r="M740" t="str">
        <f>"00528"</f>
        <v>00528</v>
      </c>
      <c r="N740" t="s">
        <v>159</v>
      </c>
      <c r="O740">
        <v>15</v>
      </c>
      <c r="P740">
        <v>20190517</v>
      </c>
      <c r="Q740" t="s">
        <v>160</v>
      </c>
      <c r="R740" t="s">
        <v>246</v>
      </c>
      <c r="S740" t="s">
        <v>23</v>
      </c>
      <c r="T740" t="s">
        <v>162</v>
      </c>
    </row>
    <row r="741" spans="1:20" x14ac:dyDescent="0.25">
      <c r="A741">
        <v>9</v>
      </c>
      <c r="B741">
        <v>163</v>
      </c>
      <c r="C741" t="str">
        <f t="shared" si="73"/>
        <v>00</v>
      </c>
      <c r="D741">
        <v>2153</v>
      </c>
      <c r="E741" t="str">
        <f t="shared" si="74"/>
        <v>00</v>
      </c>
      <c r="F741" t="str">
        <f>"022"</f>
        <v>022</v>
      </c>
      <c r="G741">
        <v>9</v>
      </c>
      <c r="H741" t="str">
        <f t="shared" si="75"/>
        <v>00</v>
      </c>
      <c r="I741" t="str">
        <f t="shared" si="76"/>
        <v>0</v>
      </c>
      <c r="J741" t="str">
        <f t="shared" si="77"/>
        <v>00</v>
      </c>
      <c r="K741">
        <v>20190517</v>
      </c>
      <c r="L741" t="str">
        <f>"027944"</f>
        <v>027944</v>
      </c>
      <c r="M741" t="str">
        <f>"04831"</f>
        <v>04831</v>
      </c>
      <c r="N741" t="s">
        <v>28</v>
      </c>
      <c r="O741">
        <v>16.77</v>
      </c>
      <c r="P741">
        <v>20190517</v>
      </c>
      <c r="Q741" t="s">
        <v>29</v>
      </c>
      <c r="R741" t="s">
        <v>245</v>
      </c>
      <c r="S741" t="s">
        <v>23</v>
      </c>
      <c r="T741" t="s">
        <v>30</v>
      </c>
    </row>
    <row r="742" spans="1:20" x14ac:dyDescent="0.25">
      <c r="A742">
        <v>9</v>
      </c>
      <c r="B742">
        <v>163</v>
      </c>
      <c r="C742" t="str">
        <f t="shared" si="73"/>
        <v>00</v>
      </c>
      <c r="D742">
        <v>2159</v>
      </c>
      <c r="E742" t="str">
        <f t="shared" si="74"/>
        <v>00</v>
      </c>
      <c r="F742" t="str">
        <f>"018"</f>
        <v>018</v>
      </c>
      <c r="G742">
        <v>9</v>
      </c>
      <c r="H742" t="str">
        <f t="shared" si="75"/>
        <v>00</v>
      </c>
      <c r="I742" t="str">
        <f t="shared" si="76"/>
        <v>0</v>
      </c>
      <c r="J742" t="str">
        <f t="shared" si="77"/>
        <v>00</v>
      </c>
      <c r="K742">
        <v>20190517</v>
      </c>
      <c r="L742" t="str">
        <f>"027945"</f>
        <v>027945</v>
      </c>
      <c r="M742" t="str">
        <f>"04905"</f>
        <v>04905</v>
      </c>
      <c r="N742" t="s">
        <v>31</v>
      </c>
      <c r="O742">
        <v>18.37</v>
      </c>
      <c r="P742">
        <v>20190517</v>
      </c>
      <c r="Q742" t="s">
        <v>32</v>
      </c>
      <c r="R742" t="s">
        <v>246</v>
      </c>
      <c r="S742" t="s">
        <v>23</v>
      </c>
      <c r="T742" t="s">
        <v>34</v>
      </c>
    </row>
    <row r="743" spans="1:20" x14ac:dyDescent="0.25">
      <c r="A743">
        <v>9</v>
      </c>
      <c r="B743">
        <v>163</v>
      </c>
      <c r="C743" t="str">
        <f t="shared" si="73"/>
        <v>00</v>
      </c>
      <c r="D743">
        <v>2153</v>
      </c>
      <c r="E743" t="str">
        <f t="shared" si="74"/>
        <v>00</v>
      </c>
      <c r="F743" t="str">
        <f>"053"</f>
        <v>053</v>
      </c>
      <c r="G743">
        <v>9</v>
      </c>
      <c r="H743" t="str">
        <f t="shared" si="75"/>
        <v>00</v>
      </c>
      <c r="I743" t="str">
        <f t="shared" si="76"/>
        <v>0</v>
      </c>
      <c r="J743" t="str">
        <f t="shared" si="77"/>
        <v>00</v>
      </c>
      <c r="K743">
        <v>20190517</v>
      </c>
      <c r="L743" t="str">
        <f>"027946"</f>
        <v>027946</v>
      </c>
      <c r="M743" t="str">
        <f>"04987"</f>
        <v>04987</v>
      </c>
      <c r="N743" t="s">
        <v>35</v>
      </c>
      <c r="O743">
        <v>13.76</v>
      </c>
      <c r="P743">
        <v>20190517</v>
      </c>
      <c r="Q743" t="s">
        <v>36</v>
      </c>
      <c r="R743" t="s">
        <v>245</v>
      </c>
      <c r="S743" t="s">
        <v>23</v>
      </c>
      <c r="T743" t="s">
        <v>37</v>
      </c>
    </row>
    <row r="744" spans="1:20" x14ac:dyDescent="0.25">
      <c r="A744">
        <v>9</v>
      </c>
      <c r="B744">
        <v>163</v>
      </c>
      <c r="C744" t="str">
        <f t="shared" si="73"/>
        <v>00</v>
      </c>
      <c r="D744">
        <v>2159</v>
      </c>
      <c r="E744" t="str">
        <f t="shared" si="74"/>
        <v>00</v>
      </c>
      <c r="F744" t="str">
        <f>"068"</f>
        <v>068</v>
      </c>
      <c r="G744">
        <v>9</v>
      </c>
      <c r="H744" t="str">
        <f t="shared" si="75"/>
        <v>00</v>
      </c>
      <c r="I744" t="str">
        <f t="shared" si="76"/>
        <v>0</v>
      </c>
      <c r="J744" t="str">
        <f t="shared" si="77"/>
        <v>00</v>
      </c>
      <c r="K744">
        <v>20190517</v>
      </c>
      <c r="L744" t="str">
        <f>"027947"</f>
        <v>027947</v>
      </c>
      <c r="M744" t="str">
        <f>"10095"</f>
        <v>10095</v>
      </c>
      <c r="N744" t="s">
        <v>83</v>
      </c>
      <c r="O744">
        <v>14.59</v>
      </c>
      <c r="P744">
        <v>20190517</v>
      </c>
      <c r="Q744" t="s">
        <v>84</v>
      </c>
      <c r="R744" t="s">
        <v>246</v>
      </c>
      <c r="S744" t="s">
        <v>23</v>
      </c>
      <c r="T744" t="s">
        <v>85</v>
      </c>
    </row>
    <row r="745" spans="1:20" x14ac:dyDescent="0.25">
      <c r="A745">
        <v>9</v>
      </c>
      <c r="B745">
        <v>163</v>
      </c>
      <c r="C745" t="str">
        <f t="shared" si="73"/>
        <v>00</v>
      </c>
      <c r="D745">
        <v>2153</v>
      </c>
      <c r="E745" t="str">
        <f t="shared" si="74"/>
        <v>00</v>
      </c>
      <c r="F745" t="str">
        <f>"011"</f>
        <v>011</v>
      </c>
      <c r="G745">
        <v>9</v>
      </c>
      <c r="H745" t="str">
        <f t="shared" si="75"/>
        <v>00</v>
      </c>
      <c r="I745" t="str">
        <f t="shared" si="76"/>
        <v>0</v>
      </c>
      <c r="J745" t="str">
        <f t="shared" si="77"/>
        <v>00</v>
      </c>
      <c r="K745">
        <v>20190517</v>
      </c>
      <c r="L745" t="str">
        <f>"027948"</f>
        <v>027948</v>
      </c>
      <c r="M745" t="str">
        <f>"11211"</f>
        <v>11211</v>
      </c>
      <c r="N745" t="s">
        <v>41</v>
      </c>
      <c r="O745">
        <v>159.62</v>
      </c>
      <c r="P745">
        <v>20190517</v>
      </c>
      <c r="Q745" t="s">
        <v>42</v>
      </c>
      <c r="R745" t="s">
        <v>245</v>
      </c>
      <c r="S745" t="s">
        <v>23</v>
      </c>
      <c r="T745" t="s">
        <v>43</v>
      </c>
    </row>
    <row r="746" spans="1:20" x14ac:dyDescent="0.25">
      <c r="A746">
        <v>9</v>
      </c>
      <c r="B746">
        <v>163</v>
      </c>
      <c r="C746" t="str">
        <f t="shared" si="73"/>
        <v>00</v>
      </c>
      <c r="D746">
        <v>2159</v>
      </c>
      <c r="E746" t="str">
        <f t="shared" si="74"/>
        <v>00</v>
      </c>
      <c r="F746" t="str">
        <f>"104"</f>
        <v>104</v>
      </c>
      <c r="G746">
        <v>9</v>
      </c>
      <c r="H746" t="str">
        <f t="shared" si="75"/>
        <v>00</v>
      </c>
      <c r="I746" t="str">
        <f t="shared" si="76"/>
        <v>0</v>
      </c>
      <c r="J746" t="str">
        <f t="shared" si="77"/>
        <v>00</v>
      </c>
      <c r="K746">
        <v>20190517</v>
      </c>
      <c r="L746" t="str">
        <f>"027949"</f>
        <v>027949</v>
      </c>
      <c r="M746" t="str">
        <f>"14177"</f>
        <v>14177</v>
      </c>
      <c r="N746" t="s">
        <v>163</v>
      </c>
      <c r="O746">
        <v>87.25</v>
      </c>
      <c r="P746">
        <v>20190517</v>
      </c>
      <c r="Q746" t="s">
        <v>45</v>
      </c>
      <c r="R746" t="s">
        <v>246</v>
      </c>
      <c r="S746" t="s">
        <v>23</v>
      </c>
      <c r="T746" t="s">
        <v>46</v>
      </c>
    </row>
    <row r="747" spans="1:20" x14ac:dyDescent="0.25">
      <c r="A747">
        <v>9</v>
      </c>
      <c r="B747">
        <v>163</v>
      </c>
      <c r="C747" t="str">
        <f t="shared" si="73"/>
        <v>00</v>
      </c>
      <c r="D747">
        <v>2153</v>
      </c>
      <c r="E747" t="str">
        <f t="shared" si="74"/>
        <v>00</v>
      </c>
      <c r="F747" t="str">
        <f>"110"</f>
        <v>110</v>
      </c>
      <c r="G747">
        <v>9</v>
      </c>
      <c r="H747" t="str">
        <f t="shared" si="75"/>
        <v>00</v>
      </c>
      <c r="I747" t="str">
        <f t="shared" si="76"/>
        <v>0</v>
      </c>
      <c r="J747" t="str">
        <f t="shared" si="77"/>
        <v>00</v>
      </c>
      <c r="K747">
        <v>20190517</v>
      </c>
      <c r="L747" t="str">
        <f>"027950"</f>
        <v>027950</v>
      </c>
      <c r="M747" t="str">
        <f>"48947"</f>
        <v>48947</v>
      </c>
      <c r="N747" t="s">
        <v>47</v>
      </c>
      <c r="O747">
        <v>34.81</v>
      </c>
      <c r="P747">
        <v>20190517</v>
      </c>
      <c r="Q747" t="s">
        <v>48</v>
      </c>
      <c r="R747" t="s">
        <v>244</v>
      </c>
      <c r="S747" t="s">
        <v>23</v>
      </c>
      <c r="T747" t="s">
        <v>49</v>
      </c>
    </row>
    <row r="748" spans="1:20" x14ac:dyDescent="0.25">
      <c r="A748">
        <v>9</v>
      </c>
      <c r="B748">
        <v>163</v>
      </c>
      <c r="C748" t="str">
        <f t="shared" si="73"/>
        <v>00</v>
      </c>
      <c r="D748">
        <v>2159</v>
      </c>
      <c r="E748" t="str">
        <f t="shared" si="74"/>
        <v>00</v>
      </c>
      <c r="F748" t="str">
        <f>"131"</f>
        <v>131</v>
      </c>
      <c r="G748">
        <v>9</v>
      </c>
      <c r="H748" t="str">
        <f t="shared" si="75"/>
        <v>00</v>
      </c>
      <c r="I748" t="str">
        <f t="shared" si="76"/>
        <v>0</v>
      </c>
      <c r="J748" t="str">
        <f t="shared" si="77"/>
        <v>00</v>
      </c>
      <c r="K748">
        <v>20190517</v>
      </c>
      <c r="L748" t="str">
        <f>"027951"</f>
        <v>027951</v>
      </c>
      <c r="M748" t="str">
        <f>"54196"</f>
        <v>54196</v>
      </c>
      <c r="N748" t="s">
        <v>50</v>
      </c>
      <c r="O748">
        <v>50</v>
      </c>
      <c r="P748">
        <v>20190517</v>
      </c>
      <c r="Q748" t="s">
        <v>51</v>
      </c>
      <c r="R748" t="s">
        <v>247</v>
      </c>
      <c r="S748" t="s">
        <v>23</v>
      </c>
      <c r="T748" t="s">
        <v>53</v>
      </c>
    </row>
    <row r="749" spans="1:20" x14ac:dyDescent="0.25">
      <c r="A749">
        <v>9</v>
      </c>
      <c r="B749">
        <v>163</v>
      </c>
      <c r="C749" t="str">
        <f t="shared" si="73"/>
        <v>00</v>
      </c>
      <c r="D749">
        <v>2159</v>
      </c>
      <c r="E749" t="str">
        <f t="shared" si="74"/>
        <v>00</v>
      </c>
      <c r="F749" t="str">
        <f>"111"</f>
        <v>111</v>
      </c>
      <c r="G749">
        <v>9</v>
      </c>
      <c r="H749" t="str">
        <f t="shared" si="75"/>
        <v>00</v>
      </c>
      <c r="I749" t="str">
        <f t="shared" si="76"/>
        <v>0</v>
      </c>
      <c r="J749" t="str">
        <f t="shared" si="77"/>
        <v>00</v>
      </c>
      <c r="K749">
        <v>20190517</v>
      </c>
      <c r="L749" t="str">
        <f>"027952"</f>
        <v>027952</v>
      </c>
      <c r="M749" t="str">
        <f>"72601"</f>
        <v>72601</v>
      </c>
      <c r="N749" t="s">
        <v>54</v>
      </c>
      <c r="O749">
        <v>396.7</v>
      </c>
      <c r="P749">
        <v>20190517</v>
      </c>
      <c r="Q749" t="s">
        <v>55</v>
      </c>
      <c r="R749" t="s">
        <v>246</v>
      </c>
      <c r="S749" t="s">
        <v>23</v>
      </c>
      <c r="T749" t="s">
        <v>56</v>
      </c>
    </row>
    <row r="750" spans="1:20" x14ac:dyDescent="0.25">
      <c r="A750">
        <v>9</v>
      </c>
      <c r="B750">
        <v>163</v>
      </c>
      <c r="C750" t="str">
        <f t="shared" si="73"/>
        <v>00</v>
      </c>
      <c r="D750">
        <v>2153</v>
      </c>
      <c r="E750" t="str">
        <f t="shared" si="74"/>
        <v>00</v>
      </c>
      <c r="F750" t="str">
        <f>"006"</f>
        <v>006</v>
      </c>
      <c r="G750">
        <v>9</v>
      </c>
      <c r="H750" t="str">
        <f t="shared" si="75"/>
        <v>00</v>
      </c>
      <c r="I750" t="str">
        <f t="shared" si="76"/>
        <v>0</v>
      </c>
      <c r="J750" t="str">
        <f t="shared" si="77"/>
        <v>00</v>
      </c>
      <c r="K750">
        <v>20190517</v>
      </c>
      <c r="L750" t="str">
        <f>"027953"</f>
        <v>027953</v>
      </c>
      <c r="M750" t="str">
        <f>"75452"</f>
        <v>75452</v>
      </c>
      <c r="N750" t="s">
        <v>57</v>
      </c>
      <c r="O750">
        <v>423.44</v>
      </c>
      <c r="P750">
        <v>20190517</v>
      </c>
      <c r="Q750" t="s">
        <v>58</v>
      </c>
      <c r="R750" t="s">
        <v>245</v>
      </c>
      <c r="S750" t="s">
        <v>23</v>
      </c>
      <c r="T750" t="s">
        <v>59</v>
      </c>
    </row>
    <row r="751" spans="1:20" x14ac:dyDescent="0.25">
      <c r="A751">
        <v>9</v>
      </c>
      <c r="B751">
        <v>163</v>
      </c>
      <c r="C751" t="str">
        <f t="shared" si="73"/>
        <v>00</v>
      </c>
      <c r="D751">
        <v>2159</v>
      </c>
      <c r="E751" t="str">
        <f t="shared" si="74"/>
        <v>00</v>
      </c>
      <c r="F751" t="str">
        <f>"106"</f>
        <v>106</v>
      </c>
      <c r="G751">
        <v>9</v>
      </c>
      <c r="H751" t="str">
        <f t="shared" si="75"/>
        <v>00</v>
      </c>
      <c r="I751" t="str">
        <f t="shared" si="76"/>
        <v>0</v>
      </c>
      <c r="J751" t="str">
        <f t="shared" si="77"/>
        <v>00</v>
      </c>
      <c r="K751">
        <v>20190517</v>
      </c>
      <c r="L751" t="str">
        <f>"027954"</f>
        <v>027954</v>
      </c>
      <c r="M751" t="str">
        <f>"81173"</f>
        <v>81173</v>
      </c>
      <c r="N751" t="s">
        <v>60</v>
      </c>
      <c r="O751">
        <v>69.89</v>
      </c>
      <c r="P751">
        <v>20190517</v>
      </c>
      <c r="Q751" t="s">
        <v>61</v>
      </c>
      <c r="R751" t="s">
        <v>246</v>
      </c>
      <c r="S751" t="s">
        <v>23</v>
      </c>
      <c r="T751" t="s">
        <v>62</v>
      </c>
    </row>
    <row r="752" spans="1:20" x14ac:dyDescent="0.25">
      <c r="A752">
        <v>9</v>
      </c>
      <c r="B752">
        <v>163</v>
      </c>
      <c r="C752" t="str">
        <f t="shared" si="73"/>
        <v>00</v>
      </c>
      <c r="D752">
        <v>2159</v>
      </c>
      <c r="E752" t="str">
        <f t="shared" si="74"/>
        <v>00</v>
      </c>
      <c r="F752" t="str">
        <f>"007"</f>
        <v>007</v>
      </c>
      <c r="G752">
        <v>9</v>
      </c>
      <c r="H752" t="str">
        <f t="shared" si="75"/>
        <v>00</v>
      </c>
      <c r="I752" t="str">
        <f t="shared" si="76"/>
        <v>0</v>
      </c>
      <c r="J752" t="str">
        <f t="shared" si="77"/>
        <v>00</v>
      </c>
      <c r="K752">
        <v>20190517</v>
      </c>
      <c r="L752" t="str">
        <f>"027955"</f>
        <v>027955</v>
      </c>
      <c r="M752" t="str">
        <f>"81174"</f>
        <v>81174</v>
      </c>
      <c r="N752" t="s">
        <v>63</v>
      </c>
      <c r="O752">
        <v>34.89</v>
      </c>
      <c r="P752">
        <v>20190517</v>
      </c>
      <c r="Q752" t="s">
        <v>64</v>
      </c>
      <c r="R752" t="s">
        <v>246</v>
      </c>
      <c r="S752" t="s">
        <v>23</v>
      </c>
      <c r="T752" t="s">
        <v>65</v>
      </c>
    </row>
    <row r="753" spans="1:20" x14ac:dyDescent="0.25">
      <c r="A753">
        <v>9</v>
      </c>
      <c r="B753">
        <v>163</v>
      </c>
      <c r="C753" t="str">
        <f t="shared" si="73"/>
        <v>00</v>
      </c>
      <c r="D753">
        <v>2159</v>
      </c>
      <c r="E753" t="str">
        <f t="shared" si="74"/>
        <v>00</v>
      </c>
      <c r="F753" t="str">
        <f>"100"</f>
        <v>100</v>
      </c>
      <c r="G753">
        <v>9</v>
      </c>
      <c r="H753" t="str">
        <f t="shared" si="75"/>
        <v>00</v>
      </c>
      <c r="I753" t="str">
        <f t="shared" si="76"/>
        <v>0</v>
      </c>
      <c r="J753" t="str">
        <f t="shared" si="77"/>
        <v>00</v>
      </c>
      <c r="K753">
        <v>20190517</v>
      </c>
      <c r="L753" t="str">
        <f>"027956"</f>
        <v>027956</v>
      </c>
      <c r="M753" t="str">
        <f>"81177"</f>
        <v>81177</v>
      </c>
      <c r="N753" t="s">
        <v>66</v>
      </c>
      <c r="O753">
        <v>96</v>
      </c>
      <c r="P753">
        <v>20190517</v>
      </c>
      <c r="Q753" t="s">
        <v>67</v>
      </c>
      <c r="R753" t="s">
        <v>246</v>
      </c>
      <c r="S753" t="s">
        <v>23</v>
      </c>
      <c r="T753" t="s">
        <v>68</v>
      </c>
    </row>
    <row r="754" spans="1:20" x14ac:dyDescent="0.25">
      <c r="A754">
        <v>9</v>
      </c>
      <c r="B754">
        <v>163</v>
      </c>
      <c r="C754" t="str">
        <f t="shared" si="73"/>
        <v>00</v>
      </c>
      <c r="D754">
        <v>2159</v>
      </c>
      <c r="E754" t="str">
        <f t="shared" si="74"/>
        <v>00</v>
      </c>
      <c r="F754" t="str">
        <f>"048"</f>
        <v>048</v>
      </c>
      <c r="G754">
        <v>9</v>
      </c>
      <c r="H754" t="str">
        <f t="shared" si="75"/>
        <v>00</v>
      </c>
      <c r="I754" t="str">
        <f t="shared" si="76"/>
        <v>0</v>
      </c>
      <c r="J754" t="str">
        <f t="shared" si="77"/>
        <v>00</v>
      </c>
      <c r="K754">
        <v>20190531</v>
      </c>
      <c r="L754" t="str">
        <f>"028593"</f>
        <v>028593</v>
      </c>
      <c r="M754" t="str">
        <f>"77030"</f>
        <v>77030</v>
      </c>
      <c r="N754" t="s">
        <v>139</v>
      </c>
      <c r="O754">
        <v>18.5</v>
      </c>
      <c r="P754">
        <v>20190531</v>
      </c>
      <c r="Q754" t="s">
        <v>140</v>
      </c>
      <c r="R754" t="s">
        <v>246</v>
      </c>
      <c r="S754" t="s">
        <v>23</v>
      </c>
      <c r="T754" t="s">
        <v>141</v>
      </c>
    </row>
    <row r="755" spans="1:20" x14ac:dyDescent="0.25">
      <c r="A755">
        <v>9</v>
      </c>
      <c r="B755">
        <v>163</v>
      </c>
      <c r="C755" t="str">
        <f t="shared" si="73"/>
        <v>00</v>
      </c>
      <c r="D755">
        <v>2153</v>
      </c>
      <c r="E755" t="str">
        <f t="shared" si="74"/>
        <v>00</v>
      </c>
      <c r="F755" t="str">
        <f>"141"</f>
        <v>141</v>
      </c>
      <c r="G755">
        <v>9</v>
      </c>
      <c r="H755" t="str">
        <f t="shared" si="75"/>
        <v>00</v>
      </c>
      <c r="I755" t="str">
        <f t="shared" si="76"/>
        <v>0</v>
      </c>
      <c r="J755" t="str">
        <f t="shared" si="77"/>
        <v>00</v>
      </c>
      <c r="K755">
        <v>20190614</v>
      </c>
      <c r="L755" t="str">
        <f>"028614"</f>
        <v>028614</v>
      </c>
      <c r="M755" t="str">
        <f>"00068"</f>
        <v>00068</v>
      </c>
      <c r="N755" t="s">
        <v>20</v>
      </c>
      <c r="O755">
        <v>360.11</v>
      </c>
      <c r="P755">
        <v>20190614</v>
      </c>
      <c r="Q755" t="s">
        <v>21</v>
      </c>
      <c r="R755" t="s">
        <v>253</v>
      </c>
      <c r="S755" t="s">
        <v>23</v>
      </c>
      <c r="T755" t="s">
        <v>24</v>
      </c>
    </row>
    <row r="756" spans="1:20" x14ac:dyDescent="0.25">
      <c r="A756">
        <v>9</v>
      </c>
      <c r="B756">
        <v>163</v>
      </c>
      <c r="C756" t="str">
        <f t="shared" si="73"/>
        <v>00</v>
      </c>
      <c r="D756">
        <v>2153</v>
      </c>
      <c r="E756" t="str">
        <f t="shared" si="74"/>
        <v>00</v>
      </c>
      <c r="F756" t="str">
        <f>"142"</f>
        <v>142</v>
      </c>
      <c r="G756">
        <v>9</v>
      </c>
      <c r="H756" t="str">
        <f t="shared" si="75"/>
        <v>00</v>
      </c>
      <c r="I756" t="str">
        <f t="shared" si="76"/>
        <v>0</v>
      </c>
      <c r="J756" t="str">
        <f t="shared" si="77"/>
        <v>00</v>
      </c>
      <c r="K756">
        <v>20190614</v>
      </c>
      <c r="L756" t="str">
        <f>"028614"</f>
        <v>028614</v>
      </c>
      <c r="M756" t="str">
        <f>"00068"</f>
        <v>00068</v>
      </c>
      <c r="N756" t="s">
        <v>20</v>
      </c>
      <c r="O756">
        <v>336.8</v>
      </c>
      <c r="P756">
        <v>20190614</v>
      </c>
      <c r="Q756" t="s">
        <v>25</v>
      </c>
      <c r="R756" t="s">
        <v>254</v>
      </c>
      <c r="S756" t="s">
        <v>23</v>
      </c>
      <c r="T756" t="s">
        <v>27</v>
      </c>
    </row>
    <row r="757" spans="1:20" x14ac:dyDescent="0.25">
      <c r="A757">
        <v>9</v>
      </c>
      <c r="B757">
        <v>163</v>
      </c>
      <c r="C757" t="str">
        <f t="shared" si="73"/>
        <v>00</v>
      </c>
      <c r="D757">
        <v>2153</v>
      </c>
      <c r="E757" t="str">
        <f t="shared" si="74"/>
        <v>00</v>
      </c>
      <c r="F757" t="str">
        <f>"144"</f>
        <v>144</v>
      </c>
      <c r="G757">
        <v>9</v>
      </c>
      <c r="H757" t="str">
        <f t="shared" si="75"/>
        <v>00</v>
      </c>
      <c r="I757" t="str">
        <f t="shared" si="76"/>
        <v>0</v>
      </c>
      <c r="J757" t="str">
        <f t="shared" si="77"/>
        <v>00</v>
      </c>
      <c r="K757">
        <v>20190614</v>
      </c>
      <c r="L757" t="str">
        <f>"028614"</f>
        <v>028614</v>
      </c>
      <c r="M757" t="str">
        <f>"00068"</f>
        <v>00068</v>
      </c>
      <c r="N757" t="s">
        <v>20</v>
      </c>
      <c r="O757">
        <v>-3.87</v>
      </c>
      <c r="P757">
        <v>20190614</v>
      </c>
      <c r="Q757" t="s">
        <v>238</v>
      </c>
      <c r="R757" t="s">
        <v>253</v>
      </c>
      <c r="S757" t="s">
        <v>23</v>
      </c>
      <c r="T757" t="s">
        <v>239</v>
      </c>
    </row>
    <row r="758" spans="1:20" x14ac:dyDescent="0.25">
      <c r="A758">
        <v>9</v>
      </c>
      <c r="B758">
        <v>163</v>
      </c>
      <c r="C758" t="str">
        <f t="shared" si="73"/>
        <v>00</v>
      </c>
      <c r="D758">
        <v>2153</v>
      </c>
      <c r="E758" t="str">
        <f t="shared" si="74"/>
        <v>00</v>
      </c>
      <c r="F758" t="str">
        <f>"145"</f>
        <v>145</v>
      </c>
      <c r="G758">
        <v>9</v>
      </c>
      <c r="H758" t="str">
        <f t="shared" si="75"/>
        <v>00</v>
      </c>
      <c r="I758" t="str">
        <f t="shared" si="76"/>
        <v>0</v>
      </c>
      <c r="J758" t="str">
        <f t="shared" si="77"/>
        <v>00</v>
      </c>
      <c r="K758">
        <v>20190614</v>
      </c>
      <c r="L758" t="str">
        <f>"028614"</f>
        <v>028614</v>
      </c>
      <c r="M758" t="str">
        <f>"00068"</f>
        <v>00068</v>
      </c>
      <c r="N758" t="s">
        <v>20</v>
      </c>
      <c r="O758">
        <v>3.87</v>
      </c>
      <c r="P758">
        <v>20190614</v>
      </c>
      <c r="Q758" t="s">
        <v>240</v>
      </c>
      <c r="R758" t="s">
        <v>254</v>
      </c>
      <c r="S758" t="s">
        <v>23</v>
      </c>
      <c r="T758" t="s">
        <v>241</v>
      </c>
    </row>
    <row r="759" spans="1:20" x14ac:dyDescent="0.25">
      <c r="A759">
        <v>9</v>
      </c>
      <c r="B759">
        <v>163</v>
      </c>
      <c r="C759" t="str">
        <f t="shared" si="73"/>
        <v>00</v>
      </c>
      <c r="D759">
        <v>2159</v>
      </c>
      <c r="E759" t="str">
        <f t="shared" si="74"/>
        <v>00</v>
      </c>
      <c r="F759" t="str">
        <f>"148"</f>
        <v>148</v>
      </c>
      <c r="G759">
        <v>9</v>
      </c>
      <c r="H759" t="str">
        <f t="shared" si="75"/>
        <v>00</v>
      </c>
      <c r="I759" t="str">
        <f t="shared" si="76"/>
        <v>0</v>
      </c>
      <c r="J759" t="str">
        <f t="shared" si="77"/>
        <v>00</v>
      </c>
      <c r="K759">
        <v>20190614</v>
      </c>
      <c r="L759" t="str">
        <f>"028615"</f>
        <v>028615</v>
      </c>
      <c r="M759" t="str">
        <f>"00528"</f>
        <v>00528</v>
      </c>
      <c r="N759" t="s">
        <v>159</v>
      </c>
      <c r="O759">
        <v>11.25</v>
      </c>
      <c r="P759">
        <v>20190614</v>
      </c>
      <c r="Q759" t="s">
        <v>160</v>
      </c>
      <c r="R759" t="s">
        <v>255</v>
      </c>
      <c r="S759" t="s">
        <v>23</v>
      </c>
      <c r="T759" t="s">
        <v>162</v>
      </c>
    </row>
    <row r="760" spans="1:20" x14ac:dyDescent="0.25">
      <c r="A760">
        <v>9</v>
      </c>
      <c r="B760">
        <v>163</v>
      </c>
      <c r="C760" t="str">
        <f t="shared" si="73"/>
        <v>00</v>
      </c>
      <c r="D760">
        <v>2153</v>
      </c>
      <c r="E760" t="str">
        <f t="shared" si="74"/>
        <v>00</v>
      </c>
      <c r="F760" t="str">
        <f>"022"</f>
        <v>022</v>
      </c>
      <c r="G760">
        <v>9</v>
      </c>
      <c r="H760" t="str">
        <f t="shared" si="75"/>
        <v>00</v>
      </c>
      <c r="I760" t="str">
        <f t="shared" si="76"/>
        <v>0</v>
      </c>
      <c r="J760" t="str">
        <f t="shared" si="77"/>
        <v>00</v>
      </c>
      <c r="K760">
        <v>20190614</v>
      </c>
      <c r="L760" t="str">
        <f>"028616"</f>
        <v>028616</v>
      </c>
      <c r="M760" t="str">
        <f>"04831"</f>
        <v>04831</v>
      </c>
      <c r="N760" t="s">
        <v>28</v>
      </c>
      <c r="O760">
        <v>16.77</v>
      </c>
      <c r="P760">
        <v>20190614</v>
      </c>
      <c r="Q760" t="s">
        <v>29</v>
      </c>
      <c r="R760" t="s">
        <v>254</v>
      </c>
      <c r="S760" t="s">
        <v>23</v>
      </c>
      <c r="T760" t="s">
        <v>30</v>
      </c>
    </row>
    <row r="761" spans="1:20" x14ac:dyDescent="0.25">
      <c r="A761">
        <v>9</v>
      </c>
      <c r="B761">
        <v>163</v>
      </c>
      <c r="C761" t="str">
        <f t="shared" si="73"/>
        <v>00</v>
      </c>
      <c r="D761">
        <v>2159</v>
      </c>
      <c r="E761" t="str">
        <f t="shared" si="74"/>
        <v>00</v>
      </c>
      <c r="F761" t="str">
        <f>"018"</f>
        <v>018</v>
      </c>
      <c r="G761">
        <v>9</v>
      </c>
      <c r="H761" t="str">
        <f t="shared" si="75"/>
        <v>00</v>
      </c>
      <c r="I761" t="str">
        <f t="shared" si="76"/>
        <v>0</v>
      </c>
      <c r="J761" t="str">
        <f t="shared" si="77"/>
        <v>00</v>
      </c>
      <c r="K761">
        <v>20190614</v>
      </c>
      <c r="L761" t="str">
        <f>"028617"</f>
        <v>028617</v>
      </c>
      <c r="M761" t="str">
        <f>"04905"</f>
        <v>04905</v>
      </c>
      <c r="N761" t="s">
        <v>31</v>
      </c>
      <c r="O761">
        <v>18.37</v>
      </c>
      <c r="P761">
        <v>20190614</v>
      </c>
      <c r="Q761" t="s">
        <v>32</v>
      </c>
      <c r="R761" t="s">
        <v>255</v>
      </c>
      <c r="S761" t="s">
        <v>23</v>
      </c>
      <c r="T761" t="s">
        <v>34</v>
      </c>
    </row>
    <row r="762" spans="1:20" x14ac:dyDescent="0.25">
      <c r="A762">
        <v>9</v>
      </c>
      <c r="B762">
        <v>163</v>
      </c>
      <c r="C762" t="str">
        <f t="shared" si="73"/>
        <v>00</v>
      </c>
      <c r="D762">
        <v>2153</v>
      </c>
      <c r="E762" t="str">
        <f t="shared" si="74"/>
        <v>00</v>
      </c>
      <c r="F762" t="str">
        <f>"053"</f>
        <v>053</v>
      </c>
      <c r="G762">
        <v>9</v>
      </c>
      <c r="H762" t="str">
        <f t="shared" si="75"/>
        <v>00</v>
      </c>
      <c r="I762" t="str">
        <f t="shared" si="76"/>
        <v>0</v>
      </c>
      <c r="J762" t="str">
        <f t="shared" si="77"/>
        <v>00</v>
      </c>
      <c r="K762">
        <v>20190614</v>
      </c>
      <c r="L762" t="str">
        <f>"028618"</f>
        <v>028618</v>
      </c>
      <c r="M762" t="str">
        <f>"04987"</f>
        <v>04987</v>
      </c>
      <c r="N762" t="s">
        <v>35</v>
      </c>
      <c r="O762">
        <v>13.76</v>
      </c>
      <c r="P762">
        <v>20190614</v>
      </c>
      <c r="Q762" t="s">
        <v>36</v>
      </c>
      <c r="R762" t="s">
        <v>254</v>
      </c>
      <c r="S762" t="s">
        <v>23</v>
      </c>
      <c r="T762" t="s">
        <v>37</v>
      </c>
    </row>
    <row r="763" spans="1:20" x14ac:dyDescent="0.25">
      <c r="A763">
        <v>9</v>
      </c>
      <c r="B763">
        <v>163</v>
      </c>
      <c r="C763" t="str">
        <f t="shared" si="73"/>
        <v>00</v>
      </c>
      <c r="D763">
        <v>2159</v>
      </c>
      <c r="E763" t="str">
        <f t="shared" si="74"/>
        <v>00</v>
      </c>
      <c r="F763" t="str">
        <f>"068"</f>
        <v>068</v>
      </c>
      <c r="G763">
        <v>9</v>
      </c>
      <c r="H763" t="str">
        <f t="shared" si="75"/>
        <v>00</v>
      </c>
      <c r="I763" t="str">
        <f t="shared" si="76"/>
        <v>0</v>
      </c>
      <c r="J763" t="str">
        <f t="shared" si="77"/>
        <v>00</v>
      </c>
      <c r="K763">
        <v>20190614</v>
      </c>
      <c r="L763" t="str">
        <f>"028619"</f>
        <v>028619</v>
      </c>
      <c r="M763" t="str">
        <f>"10095"</f>
        <v>10095</v>
      </c>
      <c r="N763" t="s">
        <v>83</v>
      </c>
      <c r="O763">
        <v>14.59</v>
      </c>
      <c r="P763">
        <v>20190614</v>
      </c>
      <c r="Q763" t="s">
        <v>84</v>
      </c>
      <c r="R763" t="s">
        <v>255</v>
      </c>
      <c r="S763" t="s">
        <v>23</v>
      </c>
      <c r="T763" t="s">
        <v>85</v>
      </c>
    </row>
    <row r="764" spans="1:20" x14ac:dyDescent="0.25">
      <c r="A764">
        <v>9</v>
      </c>
      <c r="B764">
        <v>163</v>
      </c>
      <c r="C764" t="str">
        <f t="shared" si="73"/>
        <v>00</v>
      </c>
      <c r="D764">
        <v>2153</v>
      </c>
      <c r="E764" t="str">
        <f t="shared" si="74"/>
        <v>00</v>
      </c>
      <c r="F764" t="str">
        <f>"011"</f>
        <v>011</v>
      </c>
      <c r="G764">
        <v>9</v>
      </c>
      <c r="H764" t="str">
        <f t="shared" si="75"/>
        <v>00</v>
      </c>
      <c r="I764" t="str">
        <f t="shared" si="76"/>
        <v>0</v>
      </c>
      <c r="J764" t="str">
        <f t="shared" si="77"/>
        <v>00</v>
      </c>
      <c r="K764">
        <v>20190614</v>
      </c>
      <c r="L764" t="str">
        <f>"028620"</f>
        <v>028620</v>
      </c>
      <c r="M764" t="str">
        <f>"11211"</f>
        <v>11211</v>
      </c>
      <c r="N764" t="s">
        <v>41</v>
      </c>
      <c r="O764">
        <v>159.32</v>
      </c>
      <c r="P764">
        <v>20190614</v>
      </c>
      <c r="Q764" t="s">
        <v>42</v>
      </c>
      <c r="R764" t="s">
        <v>254</v>
      </c>
      <c r="S764" t="s">
        <v>23</v>
      </c>
      <c r="T764" t="s">
        <v>43</v>
      </c>
    </row>
    <row r="765" spans="1:20" x14ac:dyDescent="0.25">
      <c r="A765">
        <v>9</v>
      </c>
      <c r="B765">
        <v>163</v>
      </c>
      <c r="C765" t="str">
        <f t="shared" si="73"/>
        <v>00</v>
      </c>
      <c r="D765">
        <v>2159</v>
      </c>
      <c r="E765" t="str">
        <f t="shared" si="74"/>
        <v>00</v>
      </c>
      <c r="F765" t="str">
        <f>"104"</f>
        <v>104</v>
      </c>
      <c r="G765">
        <v>9</v>
      </c>
      <c r="H765" t="str">
        <f t="shared" si="75"/>
        <v>00</v>
      </c>
      <c r="I765" t="str">
        <f t="shared" si="76"/>
        <v>0</v>
      </c>
      <c r="J765" t="str">
        <f t="shared" si="77"/>
        <v>00</v>
      </c>
      <c r="K765">
        <v>20190614</v>
      </c>
      <c r="L765" t="str">
        <f>"028621"</f>
        <v>028621</v>
      </c>
      <c r="M765" t="str">
        <f>"14177"</f>
        <v>14177</v>
      </c>
      <c r="N765" t="s">
        <v>163</v>
      </c>
      <c r="O765">
        <v>79.5</v>
      </c>
      <c r="P765">
        <v>20190614</v>
      </c>
      <c r="Q765" t="s">
        <v>45</v>
      </c>
      <c r="R765" t="s">
        <v>255</v>
      </c>
      <c r="S765" t="s">
        <v>23</v>
      </c>
      <c r="T765" t="s">
        <v>46</v>
      </c>
    </row>
    <row r="766" spans="1:20" x14ac:dyDescent="0.25">
      <c r="A766">
        <v>9</v>
      </c>
      <c r="B766">
        <v>163</v>
      </c>
      <c r="C766" t="str">
        <f t="shared" si="73"/>
        <v>00</v>
      </c>
      <c r="D766">
        <v>2153</v>
      </c>
      <c r="E766" t="str">
        <f t="shared" si="74"/>
        <v>00</v>
      </c>
      <c r="F766" t="str">
        <f>"110"</f>
        <v>110</v>
      </c>
      <c r="G766">
        <v>9</v>
      </c>
      <c r="H766" t="str">
        <f t="shared" si="75"/>
        <v>00</v>
      </c>
      <c r="I766" t="str">
        <f t="shared" si="76"/>
        <v>0</v>
      </c>
      <c r="J766" t="str">
        <f t="shared" si="77"/>
        <v>00</v>
      </c>
      <c r="K766">
        <v>20190614</v>
      </c>
      <c r="L766" t="str">
        <f>"028622"</f>
        <v>028622</v>
      </c>
      <c r="M766" t="str">
        <f>"48947"</f>
        <v>48947</v>
      </c>
      <c r="N766" t="s">
        <v>47</v>
      </c>
      <c r="O766">
        <v>34.81</v>
      </c>
      <c r="P766">
        <v>20190614</v>
      </c>
      <c r="Q766" t="s">
        <v>48</v>
      </c>
      <c r="R766" t="s">
        <v>253</v>
      </c>
      <c r="S766" t="s">
        <v>23</v>
      </c>
      <c r="T766" t="s">
        <v>49</v>
      </c>
    </row>
    <row r="767" spans="1:20" x14ac:dyDescent="0.25">
      <c r="A767">
        <v>9</v>
      </c>
      <c r="B767">
        <v>163</v>
      </c>
      <c r="C767" t="str">
        <f t="shared" si="73"/>
        <v>00</v>
      </c>
      <c r="D767">
        <v>2159</v>
      </c>
      <c r="E767" t="str">
        <f t="shared" si="74"/>
        <v>00</v>
      </c>
      <c r="F767" t="str">
        <f>"131"</f>
        <v>131</v>
      </c>
      <c r="G767">
        <v>9</v>
      </c>
      <c r="H767" t="str">
        <f t="shared" si="75"/>
        <v>00</v>
      </c>
      <c r="I767" t="str">
        <f t="shared" si="76"/>
        <v>0</v>
      </c>
      <c r="J767" t="str">
        <f t="shared" si="77"/>
        <v>00</v>
      </c>
      <c r="K767">
        <v>20190614</v>
      </c>
      <c r="L767" t="str">
        <f>"028623"</f>
        <v>028623</v>
      </c>
      <c r="M767" t="str">
        <f>"54196"</f>
        <v>54196</v>
      </c>
      <c r="N767" t="s">
        <v>50</v>
      </c>
      <c r="O767">
        <v>50</v>
      </c>
      <c r="P767">
        <v>20190614</v>
      </c>
      <c r="Q767" t="s">
        <v>51</v>
      </c>
      <c r="R767" t="s">
        <v>256</v>
      </c>
      <c r="S767" t="s">
        <v>23</v>
      </c>
      <c r="T767" t="s">
        <v>53</v>
      </c>
    </row>
    <row r="768" spans="1:20" x14ac:dyDescent="0.25">
      <c r="A768">
        <v>9</v>
      </c>
      <c r="B768">
        <v>163</v>
      </c>
      <c r="C768" t="str">
        <f t="shared" si="73"/>
        <v>00</v>
      </c>
      <c r="D768">
        <v>2159</v>
      </c>
      <c r="E768" t="str">
        <f t="shared" si="74"/>
        <v>00</v>
      </c>
      <c r="F768" t="str">
        <f>"111"</f>
        <v>111</v>
      </c>
      <c r="G768">
        <v>9</v>
      </c>
      <c r="H768" t="str">
        <f t="shared" si="75"/>
        <v>00</v>
      </c>
      <c r="I768" t="str">
        <f t="shared" si="76"/>
        <v>0</v>
      </c>
      <c r="J768" t="str">
        <f t="shared" si="77"/>
        <v>00</v>
      </c>
      <c r="K768">
        <v>20190614</v>
      </c>
      <c r="L768" t="str">
        <f>"028624"</f>
        <v>028624</v>
      </c>
      <c r="M768" t="str">
        <f>"72601"</f>
        <v>72601</v>
      </c>
      <c r="N768" t="s">
        <v>54</v>
      </c>
      <c r="O768">
        <v>382.59</v>
      </c>
      <c r="P768">
        <v>20190614</v>
      </c>
      <c r="Q768" t="s">
        <v>55</v>
      </c>
      <c r="R768" t="s">
        <v>255</v>
      </c>
      <c r="S768" t="s">
        <v>23</v>
      </c>
      <c r="T768" t="s">
        <v>56</v>
      </c>
    </row>
    <row r="769" spans="1:20" x14ac:dyDescent="0.25">
      <c r="A769">
        <v>9</v>
      </c>
      <c r="B769">
        <v>163</v>
      </c>
      <c r="C769" t="str">
        <f t="shared" si="73"/>
        <v>00</v>
      </c>
      <c r="D769">
        <v>2153</v>
      </c>
      <c r="E769" t="str">
        <f t="shared" si="74"/>
        <v>00</v>
      </c>
      <c r="F769" t="str">
        <f>"006"</f>
        <v>006</v>
      </c>
      <c r="G769">
        <v>9</v>
      </c>
      <c r="H769" t="str">
        <f t="shared" si="75"/>
        <v>00</v>
      </c>
      <c r="I769" t="str">
        <f t="shared" si="76"/>
        <v>0</v>
      </c>
      <c r="J769" t="str">
        <f t="shared" si="77"/>
        <v>00</v>
      </c>
      <c r="K769">
        <v>20190614</v>
      </c>
      <c r="L769" t="str">
        <f>"028625"</f>
        <v>028625</v>
      </c>
      <c r="M769" t="str">
        <f>"75452"</f>
        <v>75452</v>
      </c>
      <c r="N769" t="s">
        <v>57</v>
      </c>
      <c r="O769">
        <v>423.44</v>
      </c>
      <c r="P769">
        <v>20190614</v>
      </c>
      <c r="Q769" t="s">
        <v>58</v>
      </c>
      <c r="R769" t="s">
        <v>254</v>
      </c>
      <c r="S769" t="s">
        <v>23</v>
      </c>
      <c r="T769" t="s">
        <v>59</v>
      </c>
    </row>
    <row r="770" spans="1:20" x14ac:dyDescent="0.25">
      <c r="A770">
        <v>9</v>
      </c>
      <c r="B770">
        <v>163</v>
      </c>
      <c r="C770" t="str">
        <f t="shared" ref="C770:C833" si="80">"00"</f>
        <v>00</v>
      </c>
      <c r="D770">
        <v>2159</v>
      </c>
      <c r="E770" t="str">
        <f t="shared" ref="E770:E833" si="81">"00"</f>
        <v>00</v>
      </c>
      <c r="F770" t="str">
        <f>"100"</f>
        <v>100</v>
      </c>
      <c r="G770">
        <v>9</v>
      </c>
      <c r="H770" t="str">
        <f t="shared" ref="H770:H833" si="82">"00"</f>
        <v>00</v>
      </c>
      <c r="I770" t="str">
        <f t="shared" ref="I770:I833" si="83">"0"</f>
        <v>0</v>
      </c>
      <c r="J770" t="str">
        <f t="shared" ref="J770:J833" si="84">"00"</f>
        <v>00</v>
      </c>
      <c r="K770">
        <v>20190614</v>
      </c>
      <c r="L770" t="str">
        <f>"028626"</f>
        <v>028626</v>
      </c>
      <c r="M770" t="str">
        <f>"81177"</f>
        <v>81177</v>
      </c>
      <c r="N770" t="s">
        <v>66</v>
      </c>
      <c r="O770">
        <v>112</v>
      </c>
      <c r="P770">
        <v>20190614</v>
      </c>
      <c r="Q770" t="s">
        <v>67</v>
      </c>
      <c r="R770" t="s">
        <v>255</v>
      </c>
      <c r="S770" t="s">
        <v>23</v>
      </c>
      <c r="T770" t="s">
        <v>68</v>
      </c>
    </row>
    <row r="771" spans="1:20" x14ac:dyDescent="0.25">
      <c r="A771">
        <v>9</v>
      </c>
      <c r="B771">
        <v>163</v>
      </c>
      <c r="C771" t="str">
        <f t="shared" si="80"/>
        <v>00</v>
      </c>
      <c r="D771">
        <v>2153</v>
      </c>
      <c r="E771" t="str">
        <f t="shared" si="81"/>
        <v>00</v>
      </c>
      <c r="F771" t="str">
        <f>"141"</f>
        <v>141</v>
      </c>
      <c r="G771">
        <v>9</v>
      </c>
      <c r="H771" t="str">
        <f t="shared" si="82"/>
        <v>00</v>
      </c>
      <c r="I771" t="str">
        <f t="shared" si="83"/>
        <v>0</v>
      </c>
      <c r="J771" t="str">
        <f t="shared" si="84"/>
        <v>00</v>
      </c>
      <c r="K771">
        <v>20190614</v>
      </c>
      <c r="L771" t="str">
        <f>"028627"</f>
        <v>028627</v>
      </c>
      <c r="M771" t="str">
        <f>"00068"</f>
        <v>00068</v>
      </c>
      <c r="N771" t="s">
        <v>20</v>
      </c>
      <c r="O771" s="1">
        <v>5070.74</v>
      </c>
      <c r="P771">
        <v>20190614</v>
      </c>
      <c r="Q771" t="s">
        <v>21</v>
      </c>
      <c r="R771" t="s">
        <v>253</v>
      </c>
      <c r="S771" t="s">
        <v>23</v>
      </c>
      <c r="T771" t="s">
        <v>24</v>
      </c>
    </row>
    <row r="772" spans="1:20" x14ac:dyDescent="0.25">
      <c r="A772">
        <v>9</v>
      </c>
      <c r="B772">
        <v>163</v>
      </c>
      <c r="C772" t="str">
        <f t="shared" si="80"/>
        <v>00</v>
      </c>
      <c r="D772">
        <v>2153</v>
      </c>
      <c r="E772" t="str">
        <f t="shared" si="81"/>
        <v>00</v>
      </c>
      <c r="F772" t="str">
        <f>"142"</f>
        <v>142</v>
      </c>
      <c r="G772">
        <v>9</v>
      </c>
      <c r="H772" t="str">
        <f t="shared" si="82"/>
        <v>00</v>
      </c>
      <c r="I772" t="str">
        <f t="shared" si="83"/>
        <v>0</v>
      </c>
      <c r="J772" t="str">
        <f t="shared" si="84"/>
        <v>00</v>
      </c>
      <c r="K772">
        <v>20190614</v>
      </c>
      <c r="L772" t="str">
        <f>"028627"</f>
        <v>028627</v>
      </c>
      <c r="M772" t="str">
        <f>"00068"</f>
        <v>00068</v>
      </c>
      <c r="N772" t="s">
        <v>20</v>
      </c>
      <c r="O772" s="1">
        <v>9392.5400000000009</v>
      </c>
      <c r="P772">
        <v>20190614</v>
      </c>
      <c r="Q772" t="s">
        <v>25</v>
      </c>
      <c r="R772" t="s">
        <v>254</v>
      </c>
      <c r="S772" t="s">
        <v>23</v>
      </c>
      <c r="T772" t="s">
        <v>27</v>
      </c>
    </row>
    <row r="773" spans="1:20" x14ac:dyDescent="0.25">
      <c r="A773">
        <v>9</v>
      </c>
      <c r="B773">
        <v>163</v>
      </c>
      <c r="C773" t="str">
        <f t="shared" si="80"/>
        <v>00</v>
      </c>
      <c r="D773">
        <v>2159</v>
      </c>
      <c r="E773" t="str">
        <f t="shared" si="81"/>
        <v>00</v>
      </c>
      <c r="F773" t="str">
        <f>"143"</f>
        <v>143</v>
      </c>
      <c r="G773">
        <v>9</v>
      </c>
      <c r="H773" t="str">
        <f t="shared" si="82"/>
        <v>00</v>
      </c>
      <c r="I773" t="str">
        <f t="shared" si="83"/>
        <v>0</v>
      </c>
      <c r="J773" t="str">
        <f t="shared" si="84"/>
        <v>00</v>
      </c>
      <c r="K773">
        <v>20190614</v>
      </c>
      <c r="L773" t="str">
        <f>"028628"</f>
        <v>028628</v>
      </c>
      <c r="M773" t="str">
        <f>"00069"</f>
        <v>00069</v>
      </c>
      <c r="N773" t="s">
        <v>72</v>
      </c>
      <c r="O773">
        <v>285.94</v>
      </c>
      <c r="P773">
        <v>20190614</v>
      </c>
      <c r="Q773" t="s">
        <v>73</v>
      </c>
      <c r="R773" t="s">
        <v>255</v>
      </c>
      <c r="S773" t="s">
        <v>23</v>
      </c>
      <c r="T773" t="s">
        <v>74</v>
      </c>
    </row>
    <row r="774" spans="1:20" x14ac:dyDescent="0.25">
      <c r="A774">
        <v>9</v>
      </c>
      <c r="B774">
        <v>163</v>
      </c>
      <c r="C774" t="str">
        <f t="shared" si="80"/>
        <v>00</v>
      </c>
      <c r="D774">
        <v>2159</v>
      </c>
      <c r="E774" t="str">
        <f t="shared" si="81"/>
        <v>00</v>
      </c>
      <c r="F774" t="str">
        <f>"146"</f>
        <v>146</v>
      </c>
      <c r="G774">
        <v>9</v>
      </c>
      <c r="H774" t="str">
        <f t="shared" si="82"/>
        <v>00</v>
      </c>
      <c r="I774" t="str">
        <f t="shared" si="83"/>
        <v>0</v>
      </c>
      <c r="J774" t="str">
        <f t="shared" si="84"/>
        <v>00</v>
      </c>
      <c r="K774">
        <v>20190614</v>
      </c>
      <c r="L774" t="str">
        <f>"028629"</f>
        <v>028629</v>
      </c>
      <c r="M774" t="str">
        <f>"00086"</f>
        <v>00086</v>
      </c>
      <c r="N774" t="s">
        <v>75</v>
      </c>
      <c r="O774">
        <v>263.23</v>
      </c>
      <c r="P774">
        <v>20190614</v>
      </c>
      <c r="Q774" t="s">
        <v>76</v>
      </c>
      <c r="R774" t="s">
        <v>255</v>
      </c>
      <c r="S774" t="s">
        <v>23</v>
      </c>
      <c r="T774" t="s">
        <v>75</v>
      </c>
    </row>
    <row r="775" spans="1:20" x14ac:dyDescent="0.25">
      <c r="A775">
        <v>9</v>
      </c>
      <c r="B775">
        <v>163</v>
      </c>
      <c r="C775" t="str">
        <f t="shared" si="80"/>
        <v>00</v>
      </c>
      <c r="D775">
        <v>2159</v>
      </c>
      <c r="E775" t="str">
        <f t="shared" si="81"/>
        <v>00</v>
      </c>
      <c r="F775" t="str">
        <f>"147"</f>
        <v>147</v>
      </c>
      <c r="G775">
        <v>9</v>
      </c>
      <c r="H775" t="str">
        <f t="shared" si="82"/>
        <v>00</v>
      </c>
      <c r="I775" t="str">
        <f t="shared" si="83"/>
        <v>0</v>
      </c>
      <c r="J775" t="str">
        <f t="shared" si="84"/>
        <v>00</v>
      </c>
      <c r="K775">
        <v>20190614</v>
      </c>
      <c r="L775" t="str">
        <f>"028630"</f>
        <v>028630</v>
      </c>
      <c r="M775" t="str">
        <f>"00248"</f>
        <v>00248</v>
      </c>
      <c r="N775" t="s">
        <v>77</v>
      </c>
      <c r="O775" s="1">
        <v>1985.78</v>
      </c>
      <c r="P775">
        <v>20190614</v>
      </c>
      <c r="Q775" t="s">
        <v>78</v>
      </c>
      <c r="R775" t="s">
        <v>255</v>
      </c>
      <c r="S775" t="s">
        <v>23</v>
      </c>
      <c r="T775" t="s">
        <v>79</v>
      </c>
    </row>
    <row r="776" spans="1:20" x14ac:dyDescent="0.25">
      <c r="A776">
        <v>9</v>
      </c>
      <c r="B776">
        <v>163</v>
      </c>
      <c r="C776" t="str">
        <f t="shared" si="80"/>
        <v>00</v>
      </c>
      <c r="D776">
        <v>2159</v>
      </c>
      <c r="E776" t="str">
        <f t="shared" si="81"/>
        <v>00</v>
      </c>
      <c r="F776" t="str">
        <f>"148"</f>
        <v>148</v>
      </c>
      <c r="G776">
        <v>9</v>
      </c>
      <c r="H776" t="str">
        <f t="shared" si="82"/>
        <v>00</v>
      </c>
      <c r="I776" t="str">
        <f t="shared" si="83"/>
        <v>0</v>
      </c>
      <c r="J776" t="str">
        <f t="shared" si="84"/>
        <v>00</v>
      </c>
      <c r="K776">
        <v>20190614</v>
      </c>
      <c r="L776" t="str">
        <f>"028631"</f>
        <v>028631</v>
      </c>
      <c r="M776" t="str">
        <f>"00528"</f>
        <v>00528</v>
      </c>
      <c r="N776" t="s">
        <v>159</v>
      </c>
      <c r="O776">
        <v>765</v>
      </c>
      <c r="P776">
        <v>20190614</v>
      </c>
      <c r="Q776" t="s">
        <v>160</v>
      </c>
      <c r="R776" t="s">
        <v>255</v>
      </c>
      <c r="S776" t="s">
        <v>23</v>
      </c>
      <c r="T776" t="s">
        <v>162</v>
      </c>
    </row>
    <row r="777" spans="1:20" x14ac:dyDescent="0.25">
      <c r="A777">
        <v>9</v>
      </c>
      <c r="B777">
        <v>163</v>
      </c>
      <c r="C777" t="str">
        <f t="shared" si="80"/>
        <v>00</v>
      </c>
      <c r="D777">
        <v>2153</v>
      </c>
      <c r="E777" t="str">
        <f t="shared" si="81"/>
        <v>00</v>
      </c>
      <c r="F777" t="str">
        <f>"022"</f>
        <v>022</v>
      </c>
      <c r="G777">
        <v>9</v>
      </c>
      <c r="H777" t="str">
        <f t="shared" si="82"/>
        <v>00</v>
      </c>
      <c r="I777" t="str">
        <f t="shared" si="83"/>
        <v>0</v>
      </c>
      <c r="J777" t="str">
        <f t="shared" si="84"/>
        <v>00</v>
      </c>
      <c r="K777">
        <v>20190614</v>
      </c>
      <c r="L777" t="str">
        <f>"028632"</f>
        <v>028632</v>
      </c>
      <c r="M777" t="str">
        <f>"04831"</f>
        <v>04831</v>
      </c>
      <c r="N777" t="s">
        <v>28</v>
      </c>
      <c r="O777" s="1">
        <v>1616.93</v>
      </c>
      <c r="P777">
        <v>20190614</v>
      </c>
      <c r="Q777" t="s">
        <v>29</v>
      </c>
      <c r="R777" t="s">
        <v>254</v>
      </c>
      <c r="S777" t="s">
        <v>23</v>
      </c>
      <c r="T777" t="s">
        <v>30</v>
      </c>
    </row>
    <row r="778" spans="1:20" x14ac:dyDescent="0.25">
      <c r="A778">
        <v>9</v>
      </c>
      <c r="B778">
        <v>163</v>
      </c>
      <c r="C778" t="str">
        <f t="shared" si="80"/>
        <v>00</v>
      </c>
      <c r="D778">
        <v>2159</v>
      </c>
      <c r="E778" t="str">
        <f t="shared" si="81"/>
        <v>00</v>
      </c>
      <c r="F778" t="str">
        <f>"018"</f>
        <v>018</v>
      </c>
      <c r="G778">
        <v>9</v>
      </c>
      <c r="H778" t="str">
        <f t="shared" si="82"/>
        <v>00</v>
      </c>
      <c r="I778" t="str">
        <f t="shared" si="83"/>
        <v>0</v>
      </c>
      <c r="J778" t="str">
        <f t="shared" si="84"/>
        <v>00</v>
      </c>
      <c r="K778">
        <v>20190614</v>
      </c>
      <c r="L778" t="str">
        <f>"028633"</f>
        <v>028633</v>
      </c>
      <c r="M778" t="str">
        <f>"04905"</f>
        <v>04905</v>
      </c>
      <c r="N778" t="s">
        <v>31</v>
      </c>
      <c r="O778" s="1">
        <v>3022.99</v>
      </c>
      <c r="P778">
        <v>20190614</v>
      </c>
      <c r="Q778" t="s">
        <v>32</v>
      </c>
      <c r="R778" t="s">
        <v>255</v>
      </c>
      <c r="S778" t="s">
        <v>23</v>
      </c>
      <c r="T778" t="s">
        <v>34</v>
      </c>
    </row>
    <row r="779" spans="1:20" x14ac:dyDescent="0.25">
      <c r="A779">
        <v>9</v>
      </c>
      <c r="B779">
        <v>163</v>
      </c>
      <c r="C779" t="str">
        <f t="shared" si="80"/>
        <v>00</v>
      </c>
      <c r="D779">
        <v>2153</v>
      </c>
      <c r="E779" t="str">
        <f t="shared" si="81"/>
        <v>00</v>
      </c>
      <c r="F779" t="str">
        <f>"053"</f>
        <v>053</v>
      </c>
      <c r="G779">
        <v>9</v>
      </c>
      <c r="H779" t="str">
        <f t="shared" si="82"/>
        <v>00</v>
      </c>
      <c r="I779" t="str">
        <f t="shared" si="83"/>
        <v>0</v>
      </c>
      <c r="J779" t="str">
        <f t="shared" si="84"/>
        <v>00</v>
      </c>
      <c r="K779">
        <v>20190614</v>
      </c>
      <c r="L779" t="str">
        <f>"028634"</f>
        <v>028634</v>
      </c>
      <c r="M779" t="str">
        <f>"04987"</f>
        <v>04987</v>
      </c>
      <c r="N779" t="s">
        <v>35</v>
      </c>
      <c r="O779">
        <v>874.52</v>
      </c>
      <c r="P779">
        <v>20190614</v>
      </c>
      <c r="Q779" t="s">
        <v>36</v>
      </c>
      <c r="R779" t="s">
        <v>254</v>
      </c>
      <c r="S779" t="s">
        <v>23</v>
      </c>
      <c r="T779" t="s">
        <v>37</v>
      </c>
    </row>
    <row r="780" spans="1:20" x14ac:dyDescent="0.25">
      <c r="A780">
        <v>9</v>
      </c>
      <c r="B780">
        <v>163</v>
      </c>
      <c r="C780" t="str">
        <f t="shared" si="80"/>
        <v>00</v>
      </c>
      <c r="D780">
        <v>2159</v>
      </c>
      <c r="E780" t="str">
        <f t="shared" si="81"/>
        <v>00</v>
      </c>
      <c r="F780" t="str">
        <f>"009"</f>
        <v>009</v>
      </c>
      <c r="G780">
        <v>9</v>
      </c>
      <c r="H780" t="str">
        <f t="shared" si="82"/>
        <v>00</v>
      </c>
      <c r="I780" t="str">
        <f t="shared" si="83"/>
        <v>0</v>
      </c>
      <c r="J780" t="str">
        <f t="shared" si="84"/>
        <v>00</v>
      </c>
      <c r="K780">
        <v>20190614</v>
      </c>
      <c r="L780" t="str">
        <f>"028635"</f>
        <v>028635</v>
      </c>
      <c r="M780" t="str">
        <f>"07710"</f>
        <v>07710</v>
      </c>
      <c r="N780" t="s">
        <v>38</v>
      </c>
      <c r="O780">
        <v>642.39</v>
      </c>
      <c r="P780">
        <v>20190614</v>
      </c>
      <c r="Q780" t="s">
        <v>39</v>
      </c>
      <c r="R780" t="s">
        <v>255</v>
      </c>
      <c r="S780" t="s">
        <v>23</v>
      </c>
      <c r="T780" t="s">
        <v>40</v>
      </c>
    </row>
    <row r="781" spans="1:20" x14ac:dyDescent="0.25">
      <c r="A781">
        <v>9</v>
      </c>
      <c r="B781">
        <v>163</v>
      </c>
      <c r="C781" t="str">
        <f t="shared" si="80"/>
        <v>00</v>
      </c>
      <c r="D781">
        <v>2159</v>
      </c>
      <c r="E781" t="str">
        <f t="shared" si="81"/>
        <v>00</v>
      </c>
      <c r="F781" t="str">
        <f>"068"</f>
        <v>068</v>
      </c>
      <c r="G781">
        <v>9</v>
      </c>
      <c r="H781" t="str">
        <f t="shared" si="82"/>
        <v>00</v>
      </c>
      <c r="I781" t="str">
        <f t="shared" si="83"/>
        <v>0</v>
      </c>
      <c r="J781" t="str">
        <f t="shared" si="84"/>
        <v>00</v>
      </c>
      <c r="K781">
        <v>20190614</v>
      </c>
      <c r="L781" t="str">
        <f>"028636"</f>
        <v>028636</v>
      </c>
      <c r="M781" t="str">
        <f>"10095"</f>
        <v>10095</v>
      </c>
      <c r="N781" t="s">
        <v>83</v>
      </c>
      <c r="O781">
        <v>376.4</v>
      </c>
      <c r="P781">
        <v>20190614</v>
      </c>
      <c r="Q781" t="s">
        <v>84</v>
      </c>
      <c r="R781" t="s">
        <v>255</v>
      </c>
      <c r="S781" t="s">
        <v>23</v>
      </c>
      <c r="T781" t="s">
        <v>85</v>
      </c>
    </row>
    <row r="782" spans="1:20" x14ac:dyDescent="0.25">
      <c r="A782">
        <v>9</v>
      </c>
      <c r="B782">
        <v>163</v>
      </c>
      <c r="C782" t="str">
        <f t="shared" si="80"/>
        <v>00</v>
      </c>
      <c r="D782">
        <v>2153</v>
      </c>
      <c r="E782" t="str">
        <f t="shared" si="81"/>
        <v>00</v>
      </c>
      <c r="F782" t="str">
        <f>"011"</f>
        <v>011</v>
      </c>
      <c r="G782">
        <v>9</v>
      </c>
      <c r="H782" t="str">
        <f t="shared" si="82"/>
        <v>00</v>
      </c>
      <c r="I782" t="str">
        <f t="shared" si="83"/>
        <v>0</v>
      </c>
      <c r="J782" t="str">
        <f t="shared" si="84"/>
        <v>00</v>
      </c>
      <c r="K782">
        <v>20190614</v>
      </c>
      <c r="L782" t="str">
        <f>"028637"</f>
        <v>028637</v>
      </c>
      <c r="M782" t="str">
        <f>"11211"</f>
        <v>11211</v>
      </c>
      <c r="N782" t="s">
        <v>41</v>
      </c>
      <c r="O782" s="1">
        <v>2581.6999999999998</v>
      </c>
      <c r="P782">
        <v>20190614</v>
      </c>
      <c r="Q782" t="s">
        <v>42</v>
      </c>
      <c r="R782" t="s">
        <v>254</v>
      </c>
      <c r="S782" t="s">
        <v>23</v>
      </c>
      <c r="T782" t="s">
        <v>43</v>
      </c>
    </row>
    <row r="783" spans="1:20" x14ac:dyDescent="0.25">
      <c r="A783">
        <v>9</v>
      </c>
      <c r="B783">
        <v>163</v>
      </c>
      <c r="C783" t="str">
        <f t="shared" si="80"/>
        <v>00</v>
      </c>
      <c r="D783">
        <v>2159</v>
      </c>
      <c r="E783" t="str">
        <f t="shared" si="81"/>
        <v>00</v>
      </c>
      <c r="F783" t="str">
        <f>"104"</f>
        <v>104</v>
      </c>
      <c r="G783">
        <v>9</v>
      </c>
      <c r="H783" t="str">
        <f t="shared" si="82"/>
        <v>00</v>
      </c>
      <c r="I783" t="str">
        <f t="shared" si="83"/>
        <v>0</v>
      </c>
      <c r="J783" t="str">
        <f t="shared" si="84"/>
        <v>00</v>
      </c>
      <c r="K783">
        <v>20190614</v>
      </c>
      <c r="L783" t="str">
        <f>"028638"</f>
        <v>028638</v>
      </c>
      <c r="M783" t="str">
        <f>"14177"</f>
        <v>14177</v>
      </c>
      <c r="N783" t="s">
        <v>163</v>
      </c>
      <c r="O783">
        <v>69.5</v>
      </c>
      <c r="P783">
        <v>20190614</v>
      </c>
      <c r="Q783" t="s">
        <v>45</v>
      </c>
      <c r="R783" t="s">
        <v>255</v>
      </c>
      <c r="S783" t="s">
        <v>23</v>
      </c>
      <c r="T783" t="s">
        <v>46</v>
      </c>
    </row>
    <row r="784" spans="1:20" x14ac:dyDescent="0.25">
      <c r="A784">
        <v>9</v>
      </c>
      <c r="B784">
        <v>163</v>
      </c>
      <c r="C784" t="str">
        <f t="shared" si="80"/>
        <v>00</v>
      </c>
      <c r="D784">
        <v>2159</v>
      </c>
      <c r="E784" t="str">
        <f t="shared" si="81"/>
        <v>00</v>
      </c>
      <c r="F784" t="str">
        <f>"014"</f>
        <v>014</v>
      </c>
      <c r="G784">
        <v>9</v>
      </c>
      <c r="H784" t="str">
        <f t="shared" si="82"/>
        <v>00</v>
      </c>
      <c r="I784" t="str">
        <f t="shared" si="83"/>
        <v>0</v>
      </c>
      <c r="J784" t="str">
        <f t="shared" si="84"/>
        <v>00</v>
      </c>
      <c r="K784">
        <v>20190614</v>
      </c>
      <c r="L784" t="str">
        <f>"028639"</f>
        <v>028639</v>
      </c>
      <c r="M784" t="str">
        <f>"20682"</f>
        <v>20682</v>
      </c>
      <c r="N784" t="s">
        <v>86</v>
      </c>
      <c r="O784" s="1">
        <v>1700</v>
      </c>
      <c r="P784">
        <v>20190614</v>
      </c>
      <c r="Q784" t="s">
        <v>87</v>
      </c>
      <c r="R784" t="s">
        <v>255</v>
      </c>
      <c r="S784" t="s">
        <v>23</v>
      </c>
      <c r="T784" t="s">
        <v>88</v>
      </c>
    </row>
    <row r="785" spans="1:20" x14ac:dyDescent="0.25">
      <c r="A785">
        <v>9</v>
      </c>
      <c r="B785">
        <v>163</v>
      </c>
      <c r="C785" t="str">
        <f t="shared" si="80"/>
        <v>00</v>
      </c>
      <c r="D785">
        <v>2153</v>
      </c>
      <c r="E785" t="str">
        <f t="shared" si="81"/>
        <v>00</v>
      </c>
      <c r="F785" t="str">
        <f>"024"</f>
        <v>024</v>
      </c>
      <c r="G785">
        <v>9</v>
      </c>
      <c r="H785" t="str">
        <f t="shared" si="82"/>
        <v>00</v>
      </c>
      <c r="I785" t="str">
        <f t="shared" si="83"/>
        <v>0</v>
      </c>
      <c r="J785" t="str">
        <f t="shared" si="84"/>
        <v>00</v>
      </c>
      <c r="K785">
        <v>20190614</v>
      </c>
      <c r="L785" t="str">
        <f>"028640"</f>
        <v>028640</v>
      </c>
      <c r="M785" t="str">
        <f>"21504"</f>
        <v>21504</v>
      </c>
      <c r="N785" t="s">
        <v>89</v>
      </c>
      <c r="O785">
        <v>36.6</v>
      </c>
      <c r="P785">
        <v>20190614</v>
      </c>
      <c r="Q785" t="s">
        <v>90</v>
      </c>
      <c r="R785" t="s">
        <v>254</v>
      </c>
      <c r="S785" t="s">
        <v>23</v>
      </c>
      <c r="T785" t="s">
        <v>91</v>
      </c>
    </row>
    <row r="786" spans="1:20" x14ac:dyDescent="0.25">
      <c r="A786">
        <v>9</v>
      </c>
      <c r="B786">
        <v>163</v>
      </c>
      <c r="C786" t="str">
        <f t="shared" si="80"/>
        <v>00</v>
      </c>
      <c r="D786">
        <v>2153</v>
      </c>
      <c r="E786" t="str">
        <f t="shared" si="81"/>
        <v>00</v>
      </c>
      <c r="F786" t="str">
        <f>"026"</f>
        <v>026</v>
      </c>
      <c r="G786">
        <v>9</v>
      </c>
      <c r="H786" t="str">
        <f t="shared" si="82"/>
        <v>00</v>
      </c>
      <c r="I786" t="str">
        <f t="shared" si="83"/>
        <v>0</v>
      </c>
      <c r="J786" t="str">
        <f t="shared" si="84"/>
        <v>00</v>
      </c>
      <c r="K786">
        <v>20190614</v>
      </c>
      <c r="L786" t="str">
        <f>"028641"</f>
        <v>028641</v>
      </c>
      <c r="M786" t="str">
        <f>"21506"</f>
        <v>21506</v>
      </c>
      <c r="N786" t="s">
        <v>92</v>
      </c>
      <c r="O786">
        <v>87.2</v>
      </c>
      <c r="P786">
        <v>20190614</v>
      </c>
      <c r="Q786" t="s">
        <v>93</v>
      </c>
      <c r="R786" t="s">
        <v>254</v>
      </c>
      <c r="S786" t="s">
        <v>23</v>
      </c>
      <c r="T786" t="s">
        <v>94</v>
      </c>
    </row>
    <row r="787" spans="1:20" x14ac:dyDescent="0.25">
      <c r="A787">
        <v>9</v>
      </c>
      <c r="B787">
        <v>163</v>
      </c>
      <c r="C787" t="str">
        <f t="shared" si="80"/>
        <v>00</v>
      </c>
      <c r="D787">
        <v>2159</v>
      </c>
      <c r="E787" t="str">
        <f t="shared" si="81"/>
        <v>00</v>
      </c>
      <c r="F787" t="str">
        <f>"117"</f>
        <v>117</v>
      </c>
      <c r="G787">
        <v>9</v>
      </c>
      <c r="H787" t="str">
        <f t="shared" si="82"/>
        <v>00</v>
      </c>
      <c r="I787" t="str">
        <f t="shared" si="83"/>
        <v>0</v>
      </c>
      <c r="J787" t="str">
        <f t="shared" si="84"/>
        <v>00</v>
      </c>
      <c r="K787">
        <v>20190614</v>
      </c>
      <c r="L787" t="str">
        <f>"028642"</f>
        <v>028642</v>
      </c>
      <c r="M787" t="str">
        <f>"21826"</f>
        <v>21826</v>
      </c>
      <c r="N787" t="s">
        <v>95</v>
      </c>
      <c r="O787">
        <v>799.55</v>
      </c>
      <c r="P787">
        <v>20190614</v>
      </c>
      <c r="Q787" t="s">
        <v>96</v>
      </c>
      <c r="R787" t="s">
        <v>255</v>
      </c>
      <c r="S787" t="s">
        <v>23</v>
      </c>
      <c r="T787" t="s">
        <v>97</v>
      </c>
    </row>
    <row r="788" spans="1:20" x14ac:dyDescent="0.25">
      <c r="A788">
        <v>9</v>
      </c>
      <c r="B788">
        <v>163</v>
      </c>
      <c r="C788" t="str">
        <f t="shared" si="80"/>
        <v>00</v>
      </c>
      <c r="D788">
        <v>2159</v>
      </c>
      <c r="E788" t="str">
        <f t="shared" si="81"/>
        <v>00</v>
      </c>
      <c r="F788" t="str">
        <f>"140"</f>
        <v>140</v>
      </c>
      <c r="G788">
        <v>9</v>
      </c>
      <c r="H788" t="str">
        <f t="shared" si="82"/>
        <v>00</v>
      </c>
      <c r="I788" t="str">
        <f t="shared" si="83"/>
        <v>0</v>
      </c>
      <c r="J788" t="str">
        <f t="shared" si="84"/>
        <v>00</v>
      </c>
      <c r="K788">
        <v>20190614</v>
      </c>
      <c r="L788" t="str">
        <f>"028643"</f>
        <v>028643</v>
      </c>
      <c r="M788" t="str">
        <f>"47701"</f>
        <v>47701</v>
      </c>
      <c r="N788" t="s">
        <v>98</v>
      </c>
      <c r="O788">
        <v>382.8</v>
      </c>
      <c r="P788">
        <v>20190614</v>
      </c>
      <c r="Q788" t="s">
        <v>99</v>
      </c>
      <c r="R788" t="s">
        <v>255</v>
      </c>
      <c r="S788" t="s">
        <v>23</v>
      </c>
      <c r="T788" t="s">
        <v>100</v>
      </c>
    </row>
    <row r="789" spans="1:20" x14ac:dyDescent="0.25">
      <c r="A789">
        <v>9</v>
      </c>
      <c r="B789">
        <v>163</v>
      </c>
      <c r="C789" t="str">
        <f t="shared" si="80"/>
        <v>00</v>
      </c>
      <c r="D789">
        <v>2153</v>
      </c>
      <c r="E789" t="str">
        <f t="shared" si="81"/>
        <v>00</v>
      </c>
      <c r="F789" t="str">
        <f>"110"</f>
        <v>110</v>
      </c>
      <c r="G789">
        <v>9</v>
      </c>
      <c r="H789" t="str">
        <f t="shared" si="82"/>
        <v>00</v>
      </c>
      <c r="I789" t="str">
        <f t="shared" si="83"/>
        <v>0</v>
      </c>
      <c r="J789" t="str">
        <f t="shared" si="84"/>
        <v>00</v>
      </c>
      <c r="K789">
        <v>20190614</v>
      </c>
      <c r="L789" t="str">
        <f>"028644"</f>
        <v>028644</v>
      </c>
      <c r="M789" t="str">
        <f>"48947"</f>
        <v>48947</v>
      </c>
      <c r="N789" t="s">
        <v>47</v>
      </c>
      <c r="O789" s="1">
        <v>1987.42</v>
      </c>
      <c r="P789">
        <v>20190614</v>
      </c>
      <c r="Q789" t="s">
        <v>48</v>
      </c>
      <c r="R789" t="s">
        <v>253</v>
      </c>
      <c r="S789" t="s">
        <v>23</v>
      </c>
      <c r="T789" t="s">
        <v>49</v>
      </c>
    </row>
    <row r="790" spans="1:20" x14ac:dyDescent="0.25">
      <c r="A790">
        <v>9</v>
      </c>
      <c r="B790">
        <v>163</v>
      </c>
      <c r="C790" t="str">
        <f t="shared" si="80"/>
        <v>00</v>
      </c>
      <c r="D790">
        <v>2159</v>
      </c>
      <c r="E790" t="str">
        <f t="shared" si="81"/>
        <v>00</v>
      </c>
      <c r="F790" t="str">
        <f>"032"</f>
        <v>032</v>
      </c>
      <c r="G790">
        <v>9</v>
      </c>
      <c r="H790" t="str">
        <f t="shared" si="82"/>
        <v>00</v>
      </c>
      <c r="I790" t="str">
        <f t="shared" si="83"/>
        <v>0</v>
      </c>
      <c r="J790" t="str">
        <f t="shared" si="84"/>
        <v>00</v>
      </c>
      <c r="K790">
        <v>20190614</v>
      </c>
      <c r="L790" t="str">
        <f t="shared" ref="L790:L808" si="85">"028645"</f>
        <v>028645</v>
      </c>
      <c r="M790" t="str">
        <f t="shared" ref="M790:M808" si="86">"54196"</f>
        <v>54196</v>
      </c>
      <c r="N790" t="s">
        <v>50</v>
      </c>
      <c r="O790">
        <v>50</v>
      </c>
      <c r="P790">
        <v>20190614</v>
      </c>
      <c r="Q790" t="s">
        <v>101</v>
      </c>
      <c r="R790" t="s">
        <v>256</v>
      </c>
      <c r="S790" t="s">
        <v>23</v>
      </c>
      <c r="T790" t="s">
        <v>102</v>
      </c>
    </row>
    <row r="791" spans="1:20" x14ac:dyDescent="0.25">
      <c r="A791">
        <v>9</v>
      </c>
      <c r="B791">
        <v>163</v>
      </c>
      <c r="C791" t="str">
        <f t="shared" si="80"/>
        <v>00</v>
      </c>
      <c r="D791">
        <v>2159</v>
      </c>
      <c r="E791" t="str">
        <f t="shared" si="81"/>
        <v>00</v>
      </c>
      <c r="F791" t="str">
        <f>"033"</f>
        <v>033</v>
      </c>
      <c r="G791">
        <v>9</v>
      </c>
      <c r="H791" t="str">
        <f t="shared" si="82"/>
        <v>00</v>
      </c>
      <c r="I791" t="str">
        <f t="shared" si="83"/>
        <v>0</v>
      </c>
      <c r="J791" t="str">
        <f t="shared" si="84"/>
        <v>00</v>
      </c>
      <c r="K791">
        <v>20190614</v>
      </c>
      <c r="L791" t="str">
        <f t="shared" si="85"/>
        <v>028645</v>
      </c>
      <c r="M791" t="str">
        <f t="shared" si="86"/>
        <v>54196</v>
      </c>
      <c r="N791" t="s">
        <v>50</v>
      </c>
      <c r="O791">
        <v>283</v>
      </c>
      <c r="P791">
        <v>20190614</v>
      </c>
      <c r="Q791" t="s">
        <v>103</v>
      </c>
      <c r="R791" t="s">
        <v>256</v>
      </c>
      <c r="S791" t="s">
        <v>23</v>
      </c>
      <c r="T791" t="s">
        <v>104</v>
      </c>
    </row>
    <row r="792" spans="1:20" x14ac:dyDescent="0.25">
      <c r="A792">
        <v>9</v>
      </c>
      <c r="B792">
        <v>163</v>
      </c>
      <c r="C792" t="str">
        <f t="shared" si="80"/>
        <v>00</v>
      </c>
      <c r="D792">
        <v>2159</v>
      </c>
      <c r="E792" t="str">
        <f t="shared" si="81"/>
        <v>00</v>
      </c>
      <c r="F792" t="str">
        <f>"041"</f>
        <v>041</v>
      </c>
      <c r="G792">
        <v>9</v>
      </c>
      <c r="H792" t="str">
        <f t="shared" si="82"/>
        <v>00</v>
      </c>
      <c r="I792" t="str">
        <f t="shared" si="83"/>
        <v>0</v>
      </c>
      <c r="J792" t="str">
        <f t="shared" si="84"/>
        <v>00</v>
      </c>
      <c r="K792">
        <v>20190614</v>
      </c>
      <c r="L792" t="str">
        <f t="shared" si="85"/>
        <v>028645</v>
      </c>
      <c r="M792" t="str">
        <f t="shared" si="86"/>
        <v>54196</v>
      </c>
      <c r="N792" t="s">
        <v>50</v>
      </c>
      <c r="O792" s="1">
        <v>1340</v>
      </c>
      <c r="P792">
        <v>20190614</v>
      </c>
      <c r="Q792" t="s">
        <v>105</v>
      </c>
      <c r="R792" t="s">
        <v>256</v>
      </c>
      <c r="S792" t="s">
        <v>23</v>
      </c>
      <c r="T792" t="s">
        <v>106</v>
      </c>
    </row>
    <row r="793" spans="1:20" x14ac:dyDescent="0.25">
      <c r="A793">
        <v>9</v>
      </c>
      <c r="B793">
        <v>163</v>
      </c>
      <c r="C793" t="str">
        <f t="shared" si="80"/>
        <v>00</v>
      </c>
      <c r="D793">
        <v>2159</v>
      </c>
      <c r="E793" t="str">
        <f t="shared" si="81"/>
        <v>00</v>
      </c>
      <c r="F793" t="str">
        <f>"042"</f>
        <v>042</v>
      </c>
      <c r="G793">
        <v>9</v>
      </c>
      <c r="H793" t="str">
        <f t="shared" si="82"/>
        <v>00</v>
      </c>
      <c r="I793" t="str">
        <f t="shared" si="83"/>
        <v>0</v>
      </c>
      <c r="J793" t="str">
        <f t="shared" si="84"/>
        <v>00</v>
      </c>
      <c r="K793">
        <v>20190614</v>
      </c>
      <c r="L793" t="str">
        <f t="shared" si="85"/>
        <v>028645</v>
      </c>
      <c r="M793" t="str">
        <f t="shared" si="86"/>
        <v>54196</v>
      </c>
      <c r="N793" t="s">
        <v>50</v>
      </c>
      <c r="O793" s="1">
        <v>2075</v>
      </c>
      <c r="P793">
        <v>20190614</v>
      </c>
      <c r="Q793" t="s">
        <v>107</v>
      </c>
      <c r="R793" t="s">
        <v>256</v>
      </c>
      <c r="S793" t="s">
        <v>23</v>
      </c>
      <c r="T793" t="s">
        <v>108</v>
      </c>
    </row>
    <row r="794" spans="1:20" x14ac:dyDescent="0.25">
      <c r="A794">
        <v>9</v>
      </c>
      <c r="B794">
        <v>163</v>
      </c>
      <c r="C794" t="str">
        <f t="shared" si="80"/>
        <v>00</v>
      </c>
      <c r="D794">
        <v>2159</v>
      </c>
      <c r="E794" t="str">
        <f t="shared" si="81"/>
        <v>00</v>
      </c>
      <c r="F794" t="str">
        <f>"046"</f>
        <v>046</v>
      </c>
      <c r="G794">
        <v>9</v>
      </c>
      <c r="H794" t="str">
        <f t="shared" si="82"/>
        <v>00</v>
      </c>
      <c r="I794" t="str">
        <f t="shared" si="83"/>
        <v>0</v>
      </c>
      <c r="J794" t="str">
        <f t="shared" si="84"/>
        <v>00</v>
      </c>
      <c r="K794">
        <v>20190614</v>
      </c>
      <c r="L794" t="str">
        <f t="shared" si="85"/>
        <v>028645</v>
      </c>
      <c r="M794" t="str">
        <f t="shared" si="86"/>
        <v>54196</v>
      </c>
      <c r="N794" t="s">
        <v>50</v>
      </c>
      <c r="O794">
        <v>40</v>
      </c>
      <c r="P794">
        <v>20190614</v>
      </c>
      <c r="Q794" t="s">
        <v>109</v>
      </c>
      <c r="R794" t="s">
        <v>256</v>
      </c>
      <c r="S794" t="s">
        <v>23</v>
      </c>
      <c r="T794" t="s">
        <v>110</v>
      </c>
    </row>
    <row r="795" spans="1:20" x14ac:dyDescent="0.25">
      <c r="A795">
        <v>9</v>
      </c>
      <c r="B795">
        <v>163</v>
      </c>
      <c r="C795" t="str">
        <f t="shared" si="80"/>
        <v>00</v>
      </c>
      <c r="D795">
        <v>2159</v>
      </c>
      <c r="E795" t="str">
        <f t="shared" si="81"/>
        <v>00</v>
      </c>
      <c r="F795" t="str">
        <f>"058"</f>
        <v>058</v>
      </c>
      <c r="G795">
        <v>9</v>
      </c>
      <c r="H795" t="str">
        <f t="shared" si="82"/>
        <v>00</v>
      </c>
      <c r="I795" t="str">
        <f t="shared" si="83"/>
        <v>0</v>
      </c>
      <c r="J795" t="str">
        <f t="shared" si="84"/>
        <v>00</v>
      </c>
      <c r="K795">
        <v>20190614</v>
      </c>
      <c r="L795" t="str">
        <f t="shared" si="85"/>
        <v>028645</v>
      </c>
      <c r="M795" t="str">
        <f t="shared" si="86"/>
        <v>54196</v>
      </c>
      <c r="N795" t="s">
        <v>50</v>
      </c>
      <c r="O795" s="1">
        <v>1892</v>
      </c>
      <c r="P795">
        <v>20190614</v>
      </c>
      <c r="Q795" t="s">
        <v>111</v>
      </c>
      <c r="R795" t="s">
        <v>256</v>
      </c>
      <c r="S795" t="s">
        <v>23</v>
      </c>
      <c r="T795" t="s">
        <v>112</v>
      </c>
    </row>
    <row r="796" spans="1:20" x14ac:dyDescent="0.25">
      <c r="A796">
        <v>9</v>
      </c>
      <c r="B796">
        <v>163</v>
      </c>
      <c r="C796" t="str">
        <f t="shared" si="80"/>
        <v>00</v>
      </c>
      <c r="D796">
        <v>2159</v>
      </c>
      <c r="E796" t="str">
        <f t="shared" si="81"/>
        <v>00</v>
      </c>
      <c r="F796" t="str">
        <f>"059"</f>
        <v>059</v>
      </c>
      <c r="G796">
        <v>9</v>
      </c>
      <c r="H796" t="str">
        <f t="shared" si="82"/>
        <v>00</v>
      </c>
      <c r="I796" t="str">
        <f t="shared" si="83"/>
        <v>0</v>
      </c>
      <c r="J796" t="str">
        <f t="shared" si="84"/>
        <v>00</v>
      </c>
      <c r="K796">
        <v>20190614</v>
      </c>
      <c r="L796" t="str">
        <f t="shared" si="85"/>
        <v>028645</v>
      </c>
      <c r="M796" t="str">
        <f t="shared" si="86"/>
        <v>54196</v>
      </c>
      <c r="N796" t="s">
        <v>50</v>
      </c>
      <c r="O796">
        <v>672</v>
      </c>
      <c r="P796">
        <v>20190614</v>
      </c>
      <c r="Q796" t="s">
        <v>113</v>
      </c>
      <c r="R796" t="s">
        <v>256</v>
      </c>
      <c r="S796" t="s">
        <v>23</v>
      </c>
      <c r="T796" t="s">
        <v>114</v>
      </c>
    </row>
    <row r="797" spans="1:20" x14ac:dyDescent="0.25">
      <c r="A797">
        <v>9</v>
      </c>
      <c r="B797">
        <v>163</v>
      </c>
      <c r="C797" t="str">
        <f t="shared" si="80"/>
        <v>00</v>
      </c>
      <c r="D797">
        <v>2159</v>
      </c>
      <c r="E797" t="str">
        <f t="shared" si="81"/>
        <v>00</v>
      </c>
      <c r="F797" t="str">
        <f>"072"</f>
        <v>072</v>
      </c>
      <c r="G797">
        <v>9</v>
      </c>
      <c r="H797" t="str">
        <f t="shared" si="82"/>
        <v>00</v>
      </c>
      <c r="I797" t="str">
        <f t="shared" si="83"/>
        <v>0</v>
      </c>
      <c r="J797" t="str">
        <f t="shared" si="84"/>
        <v>00</v>
      </c>
      <c r="K797">
        <v>20190614</v>
      </c>
      <c r="L797" t="str">
        <f t="shared" si="85"/>
        <v>028645</v>
      </c>
      <c r="M797" t="str">
        <f t="shared" si="86"/>
        <v>54196</v>
      </c>
      <c r="N797" t="s">
        <v>50</v>
      </c>
      <c r="O797">
        <v>50</v>
      </c>
      <c r="P797">
        <v>20190614</v>
      </c>
      <c r="Q797" t="s">
        <v>115</v>
      </c>
      <c r="R797" t="s">
        <v>256</v>
      </c>
      <c r="S797" t="s">
        <v>23</v>
      </c>
      <c r="T797" t="s">
        <v>116</v>
      </c>
    </row>
    <row r="798" spans="1:20" x14ac:dyDescent="0.25">
      <c r="A798">
        <v>9</v>
      </c>
      <c r="B798">
        <v>163</v>
      </c>
      <c r="C798" t="str">
        <f t="shared" si="80"/>
        <v>00</v>
      </c>
      <c r="D798">
        <v>2159</v>
      </c>
      <c r="E798" t="str">
        <f t="shared" si="81"/>
        <v>00</v>
      </c>
      <c r="F798" t="str">
        <f>"075"</f>
        <v>075</v>
      </c>
      <c r="G798">
        <v>9</v>
      </c>
      <c r="H798" t="str">
        <f t="shared" si="82"/>
        <v>00</v>
      </c>
      <c r="I798" t="str">
        <f t="shared" si="83"/>
        <v>0</v>
      </c>
      <c r="J798" t="str">
        <f t="shared" si="84"/>
        <v>00</v>
      </c>
      <c r="K798">
        <v>20190614</v>
      </c>
      <c r="L798" t="str">
        <f t="shared" si="85"/>
        <v>028645</v>
      </c>
      <c r="M798" t="str">
        <f t="shared" si="86"/>
        <v>54196</v>
      </c>
      <c r="N798" t="s">
        <v>50</v>
      </c>
      <c r="O798">
        <v>100</v>
      </c>
      <c r="P798">
        <v>20190614</v>
      </c>
      <c r="Q798" t="s">
        <v>117</v>
      </c>
      <c r="R798" t="s">
        <v>256</v>
      </c>
      <c r="S798" t="s">
        <v>23</v>
      </c>
      <c r="T798" t="s">
        <v>118</v>
      </c>
    </row>
    <row r="799" spans="1:20" x14ac:dyDescent="0.25">
      <c r="A799">
        <v>9</v>
      </c>
      <c r="B799">
        <v>163</v>
      </c>
      <c r="C799" t="str">
        <f t="shared" si="80"/>
        <v>00</v>
      </c>
      <c r="D799">
        <v>2159</v>
      </c>
      <c r="E799" t="str">
        <f t="shared" si="81"/>
        <v>00</v>
      </c>
      <c r="F799" t="str">
        <f>"078"</f>
        <v>078</v>
      </c>
      <c r="G799">
        <v>9</v>
      </c>
      <c r="H799" t="str">
        <f t="shared" si="82"/>
        <v>00</v>
      </c>
      <c r="I799" t="str">
        <f t="shared" si="83"/>
        <v>0</v>
      </c>
      <c r="J799" t="str">
        <f t="shared" si="84"/>
        <v>00</v>
      </c>
      <c r="K799">
        <v>20190614</v>
      </c>
      <c r="L799" t="str">
        <f t="shared" si="85"/>
        <v>028645</v>
      </c>
      <c r="M799" t="str">
        <f t="shared" si="86"/>
        <v>54196</v>
      </c>
      <c r="N799" t="s">
        <v>50</v>
      </c>
      <c r="O799">
        <v>750</v>
      </c>
      <c r="P799">
        <v>20190614</v>
      </c>
      <c r="Q799" t="s">
        <v>119</v>
      </c>
      <c r="R799" t="s">
        <v>256</v>
      </c>
      <c r="S799" t="s">
        <v>23</v>
      </c>
      <c r="T799" t="s">
        <v>120</v>
      </c>
    </row>
    <row r="800" spans="1:20" x14ac:dyDescent="0.25">
      <c r="A800">
        <v>9</v>
      </c>
      <c r="B800">
        <v>163</v>
      </c>
      <c r="C800" t="str">
        <f t="shared" si="80"/>
        <v>00</v>
      </c>
      <c r="D800">
        <v>2159</v>
      </c>
      <c r="E800" t="str">
        <f t="shared" si="81"/>
        <v>00</v>
      </c>
      <c r="F800" t="str">
        <f>"082"</f>
        <v>082</v>
      </c>
      <c r="G800">
        <v>9</v>
      </c>
      <c r="H800" t="str">
        <f t="shared" si="82"/>
        <v>00</v>
      </c>
      <c r="I800" t="str">
        <f t="shared" si="83"/>
        <v>0</v>
      </c>
      <c r="J800" t="str">
        <f t="shared" si="84"/>
        <v>00</v>
      </c>
      <c r="K800">
        <v>20190614</v>
      </c>
      <c r="L800" t="str">
        <f t="shared" si="85"/>
        <v>028645</v>
      </c>
      <c r="M800" t="str">
        <f t="shared" si="86"/>
        <v>54196</v>
      </c>
      <c r="N800" t="s">
        <v>50</v>
      </c>
      <c r="O800">
        <v>300</v>
      </c>
      <c r="P800">
        <v>20190614</v>
      </c>
      <c r="Q800" t="s">
        <v>121</v>
      </c>
      <c r="R800" t="s">
        <v>256</v>
      </c>
      <c r="S800" t="s">
        <v>23</v>
      </c>
      <c r="T800" t="s">
        <v>122</v>
      </c>
    </row>
    <row r="801" spans="1:20" x14ac:dyDescent="0.25">
      <c r="A801">
        <v>9</v>
      </c>
      <c r="B801">
        <v>163</v>
      </c>
      <c r="C801" t="str">
        <f t="shared" si="80"/>
        <v>00</v>
      </c>
      <c r="D801">
        <v>2159</v>
      </c>
      <c r="E801" t="str">
        <f t="shared" si="81"/>
        <v>00</v>
      </c>
      <c r="F801" t="str">
        <f>"091"</f>
        <v>091</v>
      </c>
      <c r="G801">
        <v>9</v>
      </c>
      <c r="H801" t="str">
        <f t="shared" si="82"/>
        <v>00</v>
      </c>
      <c r="I801" t="str">
        <f t="shared" si="83"/>
        <v>0</v>
      </c>
      <c r="J801" t="str">
        <f t="shared" si="84"/>
        <v>00</v>
      </c>
      <c r="K801">
        <v>20190614</v>
      </c>
      <c r="L801" t="str">
        <f t="shared" si="85"/>
        <v>028645</v>
      </c>
      <c r="M801" t="str">
        <f t="shared" si="86"/>
        <v>54196</v>
      </c>
      <c r="N801" t="s">
        <v>50</v>
      </c>
      <c r="O801">
        <v>100</v>
      </c>
      <c r="P801">
        <v>20190614</v>
      </c>
      <c r="Q801" t="s">
        <v>123</v>
      </c>
      <c r="R801" t="s">
        <v>256</v>
      </c>
      <c r="S801" t="s">
        <v>23</v>
      </c>
      <c r="T801" t="s">
        <v>124</v>
      </c>
    </row>
    <row r="802" spans="1:20" x14ac:dyDescent="0.25">
      <c r="A802">
        <v>9</v>
      </c>
      <c r="B802">
        <v>163</v>
      </c>
      <c r="C802" t="str">
        <f t="shared" si="80"/>
        <v>00</v>
      </c>
      <c r="D802">
        <v>2159</v>
      </c>
      <c r="E802" t="str">
        <f t="shared" si="81"/>
        <v>00</v>
      </c>
      <c r="F802" t="str">
        <f>"122"</f>
        <v>122</v>
      </c>
      <c r="G802">
        <v>9</v>
      </c>
      <c r="H802" t="str">
        <f t="shared" si="82"/>
        <v>00</v>
      </c>
      <c r="I802" t="str">
        <f t="shared" si="83"/>
        <v>0</v>
      </c>
      <c r="J802" t="str">
        <f t="shared" si="84"/>
        <v>00</v>
      </c>
      <c r="K802">
        <v>20190614</v>
      </c>
      <c r="L802" t="str">
        <f t="shared" si="85"/>
        <v>028645</v>
      </c>
      <c r="M802" t="str">
        <f t="shared" si="86"/>
        <v>54196</v>
      </c>
      <c r="N802" t="s">
        <v>50</v>
      </c>
      <c r="O802">
        <v>100</v>
      </c>
      <c r="P802">
        <v>20190614</v>
      </c>
      <c r="Q802" t="s">
        <v>125</v>
      </c>
      <c r="R802" t="s">
        <v>257</v>
      </c>
      <c r="S802" t="s">
        <v>23</v>
      </c>
      <c r="T802" t="s">
        <v>127</v>
      </c>
    </row>
    <row r="803" spans="1:20" x14ac:dyDescent="0.25">
      <c r="A803">
        <v>9</v>
      </c>
      <c r="B803">
        <v>163</v>
      </c>
      <c r="C803" t="str">
        <f t="shared" si="80"/>
        <v>00</v>
      </c>
      <c r="D803">
        <v>2159</v>
      </c>
      <c r="E803" t="str">
        <f t="shared" si="81"/>
        <v>00</v>
      </c>
      <c r="F803" t="str">
        <f>"130"</f>
        <v>130</v>
      </c>
      <c r="G803">
        <v>9</v>
      </c>
      <c r="H803" t="str">
        <f t="shared" si="82"/>
        <v>00</v>
      </c>
      <c r="I803" t="str">
        <f t="shared" si="83"/>
        <v>0</v>
      </c>
      <c r="J803" t="str">
        <f t="shared" si="84"/>
        <v>00</v>
      </c>
      <c r="K803">
        <v>20190614</v>
      </c>
      <c r="L803" t="str">
        <f t="shared" si="85"/>
        <v>028645</v>
      </c>
      <c r="M803" t="str">
        <f t="shared" si="86"/>
        <v>54196</v>
      </c>
      <c r="N803" t="s">
        <v>50</v>
      </c>
      <c r="O803" s="1">
        <v>9016</v>
      </c>
      <c r="P803">
        <v>20190614</v>
      </c>
      <c r="Q803" t="s">
        <v>128</v>
      </c>
      <c r="R803" t="s">
        <v>258</v>
      </c>
      <c r="S803" t="s">
        <v>23</v>
      </c>
      <c r="T803" t="s">
        <v>112</v>
      </c>
    </row>
    <row r="804" spans="1:20" x14ac:dyDescent="0.25">
      <c r="A804">
        <v>9</v>
      </c>
      <c r="B804">
        <v>163</v>
      </c>
      <c r="C804" t="str">
        <f t="shared" si="80"/>
        <v>00</v>
      </c>
      <c r="D804">
        <v>2159</v>
      </c>
      <c r="E804" t="str">
        <f t="shared" si="81"/>
        <v>00</v>
      </c>
      <c r="F804" t="str">
        <f>"131"</f>
        <v>131</v>
      </c>
      <c r="G804">
        <v>9</v>
      </c>
      <c r="H804" t="str">
        <f t="shared" si="82"/>
        <v>00</v>
      </c>
      <c r="I804" t="str">
        <f t="shared" si="83"/>
        <v>0</v>
      </c>
      <c r="J804" t="str">
        <f t="shared" si="84"/>
        <v>00</v>
      </c>
      <c r="K804">
        <v>20190614</v>
      </c>
      <c r="L804" t="str">
        <f t="shared" si="85"/>
        <v>028645</v>
      </c>
      <c r="M804" t="str">
        <f t="shared" si="86"/>
        <v>54196</v>
      </c>
      <c r="N804" t="s">
        <v>50</v>
      </c>
      <c r="O804" s="1">
        <v>1300</v>
      </c>
      <c r="P804">
        <v>20190614</v>
      </c>
      <c r="Q804" t="s">
        <v>51</v>
      </c>
      <c r="R804" t="s">
        <v>256</v>
      </c>
      <c r="S804" t="s">
        <v>23</v>
      </c>
      <c r="T804" t="s">
        <v>53</v>
      </c>
    </row>
    <row r="805" spans="1:20" x14ac:dyDescent="0.25">
      <c r="A805">
        <v>9</v>
      </c>
      <c r="B805">
        <v>163</v>
      </c>
      <c r="C805" t="str">
        <f t="shared" si="80"/>
        <v>00</v>
      </c>
      <c r="D805">
        <v>2159</v>
      </c>
      <c r="E805" t="str">
        <f t="shared" si="81"/>
        <v>00</v>
      </c>
      <c r="F805" t="str">
        <f>"136"</f>
        <v>136</v>
      </c>
      <c r="G805">
        <v>9</v>
      </c>
      <c r="H805" t="str">
        <f t="shared" si="82"/>
        <v>00</v>
      </c>
      <c r="I805" t="str">
        <f t="shared" si="83"/>
        <v>0</v>
      </c>
      <c r="J805" t="str">
        <f t="shared" si="84"/>
        <v>00</v>
      </c>
      <c r="K805">
        <v>20190614</v>
      </c>
      <c r="L805" t="str">
        <f t="shared" si="85"/>
        <v>028645</v>
      </c>
      <c r="M805" t="str">
        <f t="shared" si="86"/>
        <v>54196</v>
      </c>
      <c r="N805" t="s">
        <v>50</v>
      </c>
      <c r="O805" s="1">
        <v>1775</v>
      </c>
      <c r="P805">
        <v>20190614</v>
      </c>
      <c r="Q805" t="s">
        <v>130</v>
      </c>
      <c r="R805" t="s">
        <v>259</v>
      </c>
      <c r="S805" t="s">
        <v>23</v>
      </c>
      <c r="T805" t="s">
        <v>132</v>
      </c>
    </row>
    <row r="806" spans="1:20" x14ac:dyDescent="0.25">
      <c r="A806">
        <v>9</v>
      </c>
      <c r="B806">
        <v>163</v>
      </c>
      <c r="C806" t="str">
        <f t="shared" si="80"/>
        <v>00</v>
      </c>
      <c r="D806">
        <v>2159</v>
      </c>
      <c r="E806" t="str">
        <f t="shared" si="81"/>
        <v>00</v>
      </c>
      <c r="F806" t="str">
        <f>"137"</f>
        <v>137</v>
      </c>
      <c r="G806">
        <v>9</v>
      </c>
      <c r="H806" t="str">
        <f t="shared" si="82"/>
        <v>00</v>
      </c>
      <c r="I806" t="str">
        <f t="shared" si="83"/>
        <v>0</v>
      </c>
      <c r="J806" t="str">
        <f t="shared" si="84"/>
        <v>00</v>
      </c>
      <c r="K806">
        <v>20190614</v>
      </c>
      <c r="L806" t="str">
        <f t="shared" si="85"/>
        <v>028645</v>
      </c>
      <c r="M806" t="str">
        <f t="shared" si="86"/>
        <v>54196</v>
      </c>
      <c r="N806" t="s">
        <v>50</v>
      </c>
      <c r="O806" s="1">
        <v>2230</v>
      </c>
      <c r="P806">
        <v>20190614</v>
      </c>
      <c r="Q806" t="s">
        <v>133</v>
      </c>
      <c r="R806" t="s">
        <v>258</v>
      </c>
      <c r="S806" t="s">
        <v>23</v>
      </c>
      <c r="T806" t="s">
        <v>134</v>
      </c>
    </row>
    <row r="807" spans="1:20" x14ac:dyDescent="0.25">
      <c r="A807">
        <v>9</v>
      </c>
      <c r="B807">
        <v>163</v>
      </c>
      <c r="C807" t="str">
        <f t="shared" si="80"/>
        <v>00</v>
      </c>
      <c r="D807">
        <v>2159</v>
      </c>
      <c r="E807" t="str">
        <f t="shared" si="81"/>
        <v>00</v>
      </c>
      <c r="F807" t="str">
        <f>"138"</f>
        <v>138</v>
      </c>
      <c r="G807">
        <v>9</v>
      </c>
      <c r="H807" t="str">
        <f t="shared" si="82"/>
        <v>00</v>
      </c>
      <c r="I807" t="str">
        <f t="shared" si="83"/>
        <v>0</v>
      </c>
      <c r="J807" t="str">
        <f t="shared" si="84"/>
        <v>00</v>
      </c>
      <c r="K807">
        <v>20190614</v>
      </c>
      <c r="L807" t="str">
        <f t="shared" si="85"/>
        <v>028645</v>
      </c>
      <c r="M807" t="str">
        <f t="shared" si="86"/>
        <v>54196</v>
      </c>
      <c r="N807" t="s">
        <v>50</v>
      </c>
      <c r="O807">
        <v>300</v>
      </c>
      <c r="P807">
        <v>20190614</v>
      </c>
      <c r="Q807" t="s">
        <v>135</v>
      </c>
      <c r="R807" t="s">
        <v>259</v>
      </c>
      <c r="S807" t="s">
        <v>23</v>
      </c>
      <c r="T807" t="s">
        <v>134</v>
      </c>
    </row>
    <row r="808" spans="1:20" x14ac:dyDescent="0.25">
      <c r="A808">
        <v>9</v>
      </c>
      <c r="B808">
        <v>163</v>
      </c>
      <c r="C808" t="str">
        <f t="shared" si="80"/>
        <v>00</v>
      </c>
      <c r="D808">
        <v>2159</v>
      </c>
      <c r="E808" t="str">
        <f t="shared" si="81"/>
        <v>00</v>
      </c>
      <c r="F808" t="str">
        <f>"150"</f>
        <v>150</v>
      </c>
      <c r="G808">
        <v>9</v>
      </c>
      <c r="H808" t="str">
        <f t="shared" si="82"/>
        <v>00</v>
      </c>
      <c r="I808" t="str">
        <f t="shared" si="83"/>
        <v>0</v>
      </c>
      <c r="J808" t="str">
        <f t="shared" si="84"/>
        <v>00</v>
      </c>
      <c r="K808">
        <v>20190614</v>
      </c>
      <c r="L808" t="str">
        <f t="shared" si="85"/>
        <v>028645</v>
      </c>
      <c r="M808" t="str">
        <f t="shared" si="86"/>
        <v>54196</v>
      </c>
      <c r="N808" t="s">
        <v>50</v>
      </c>
      <c r="O808">
        <v>200</v>
      </c>
      <c r="P808">
        <v>20190614</v>
      </c>
      <c r="Q808" t="s">
        <v>136</v>
      </c>
      <c r="R808" t="s">
        <v>256</v>
      </c>
      <c r="S808" t="s">
        <v>23</v>
      </c>
      <c r="T808" t="s">
        <v>137</v>
      </c>
    </row>
    <row r="809" spans="1:20" x14ac:dyDescent="0.25">
      <c r="A809">
        <v>9</v>
      </c>
      <c r="B809">
        <v>163</v>
      </c>
      <c r="C809" t="str">
        <f t="shared" si="80"/>
        <v>00</v>
      </c>
      <c r="D809">
        <v>2159</v>
      </c>
      <c r="E809" t="str">
        <f t="shared" si="81"/>
        <v>00</v>
      </c>
      <c r="F809" t="str">
        <f>"111"</f>
        <v>111</v>
      </c>
      <c r="G809">
        <v>9</v>
      </c>
      <c r="H809" t="str">
        <f t="shared" si="82"/>
        <v>00</v>
      </c>
      <c r="I809" t="str">
        <f t="shared" si="83"/>
        <v>0</v>
      </c>
      <c r="J809" t="str">
        <f t="shared" si="84"/>
        <v>00</v>
      </c>
      <c r="K809">
        <v>20190614</v>
      </c>
      <c r="L809" t="str">
        <f>"028646"</f>
        <v>028646</v>
      </c>
      <c r="M809" t="str">
        <f>"72601"</f>
        <v>72601</v>
      </c>
      <c r="N809" t="s">
        <v>54</v>
      </c>
      <c r="O809" s="1">
        <v>9019.02</v>
      </c>
      <c r="P809">
        <v>20190614</v>
      </c>
      <c r="Q809" t="s">
        <v>55</v>
      </c>
      <c r="R809" t="s">
        <v>255</v>
      </c>
      <c r="S809" t="s">
        <v>23</v>
      </c>
      <c r="T809" t="s">
        <v>56</v>
      </c>
    </row>
    <row r="810" spans="1:20" x14ac:dyDescent="0.25">
      <c r="A810">
        <v>9</v>
      </c>
      <c r="B810">
        <v>163</v>
      </c>
      <c r="C810" t="str">
        <f t="shared" si="80"/>
        <v>00</v>
      </c>
      <c r="D810">
        <v>2153</v>
      </c>
      <c r="E810" t="str">
        <f t="shared" si="81"/>
        <v>00</v>
      </c>
      <c r="F810" t="str">
        <f>"006"</f>
        <v>006</v>
      </c>
      <c r="G810">
        <v>9</v>
      </c>
      <c r="H810" t="str">
        <f t="shared" si="82"/>
        <v>00</v>
      </c>
      <c r="I810" t="str">
        <f t="shared" si="83"/>
        <v>0</v>
      </c>
      <c r="J810" t="str">
        <f t="shared" si="84"/>
        <v>00</v>
      </c>
      <c r="K810">
        <v>20190614</v>
      </c>
      <c r="L810" t="str">
        <f>"028647"</f>
        <v>028647</v>
      </c>
      <c r="M810" t="str">
        <f>"75452"</f>
        <v>75452</v>
      </c>
      <c r="N810" t="s">
        <v>57</v>
      </c>
      <c r="O810" s="1">
        <v>9006.61</v>
      </c>
      <c r="P810">
        <v>20190614</v>
      </c>
      <c r="Q810" t="s">
        <v>58</v>
      </c>
      <c r="R810" t="s">
        <v>254</v>
      </c>
      <c r="S810" t="s">
        <v>23</v>
      </c>
      <c r="T810" t="s">
        <v>59</v>
      </c>
    </row>
    <row r="811" spans="1:20" x14ac:dyDescent="0.25">
      <c r="A811">
        <v>9</v>
      </c>
      <c r="B811">
        <v>163</v>
      </c>
      <c r="C811" t="str">
        <f t="shared" si="80"/>
        <v>00</v>
      </c>
      <c r="D811">
        <v>2159</v>
      </c>
      <c r="E811" t="str">
        <f t="shared" si="81"/>
        <v>00</v>
      </c>
      <c r="F811" t="str">
        <f>"099"</f>
        <v>099</v>
      </c>
      <c r="G811">
        <v>9</v>
      </c>
      <c r="H811" t="str">
        <f t="shared" si="82"/>
        <v>00</v>
      </c>
      <c r="I811" t="str">
        <f t="shared" si="83"/>
        <v>0</v>
      </c>
      <c r="J811" t="str">
        <f t="shared" si="84"/>
        <v>00</v>
      </c>
      <c r="K811">
        <v>20190614</v>
      </c>
      <c r="L811" t="str">
        <f>"028647"</f>
        <v>028647</v>
      </c>
      <c r="M811" t="str">
        <f>"75452"</f>
        <v>75452</v>
      </c>
      <c r="N811" t="s">
        <v>57</v>
      </c>
      <c r="O811">
        <v>300</v>
      </c>
      <c r="P811">
        <v>20190614</v>
      </c>
      <c r="Q811" t="s">
        <v>171</v>
      </c>
      <c r="R811" t="s">
        <v>260</v>
      </c>
      <c r="S811" t="s">
        <v>23</v>
      </c>
      <c r="T811" t="s">
        <v>173</v>
      </c>
    </row>
    <row r="812" spans="1:20" x14ac:dyDescent="0.25">
      <c r="A812">
        <v>9</v>
      </c>
      <c r="B812">
        <v>163</v>
      </c>
      <c r="C812" t="str">
        <f t="shared" si="80"/>
        <v>00</v>
      </c>
      <c r="D812">
        <v>2159</v>
      </c>
      <c r="E812" t="str">
        <f t="shared" si="81"/>
        <v>00</v>
      </c>
      <c r="F812" t="str">
        <f>"048"</f>
        <v>048</v>
      </c>
      <c r="G812">
        <v>9</v>
      </c>
      <c r="H812" t="str">
        <f t="shared" si="82"/>
        <v>00</v>
      </c>
      <c r="I812" t="str">
        <f t="shared" si="83"/>
        <v>0</v>
      </c>
      <c r="J812" t="str">
        <f t="shared" si="84"/>
        <v>00</v>
      </c>
      <c r="K812">
        <v>20190614</v>
      </c>
      <c r="L812" t="str">
        <f>"028648"</f>
        <v>028648</v>
      </c>
      <c r="M812" t="str">
        <f>"77030"</f>
        <v>77030</v>
      </c>
      <c r="N812" t="s">
        <v>139</v>
      </c>
      <c r="O812">
        <v>174.95</v>
      </c>
      <c r="P812">
        <v>20190614</v>
      </c>
      <c r="Q812" t="s">
        <v>140</v>
      </c>
      <c r="R812" t="s">
        <v>255</v>
      </c>
      <c r="S812" t="s">
        <v>23</v>
      </c>
      <c r="T812" t="s">
        <v>141</v>
      </c>
    </row>
    <row r="813" spans="1:20" x14ac:dyDescent="0.25">
      <c r="A813">
        <v>9</v>
      </c>
      <c r="B813">
        <v>163</v>
      </c>
      <c r="C813" t="str">
        <f t="shared" si="80"/>
        <v>00</v>
      </c>
      <c r="D813">
        <v>2159</v>
      </c>
      <c r="E813" t="str">
        <f t="shared" si="81"/>
        <v>00</v>
      </c>
      <c r="F813" t="str">
        <f>"005"</f>
        <v>005</v>
      </c>
      <c r="G813">
        <v>9</v>
      </c>
      <c r="H813" t="str">
        <f t="shared" si="82"/>
        <v>00</v>
      </c>
      <c r="I813" t="str">
        <f t="shared" si="83"/>
        <v>0</v>
      </c>
      <c r="J813" t="str">
        <f t="shared" si="84"/>
        <v>00</v>
      </c>
      <c r="K813">
        <v>20190614</v>
      </c>
      <c r="L813" t="str">
        <f>"028649"</f>
        <v>028649</v>
      </c>
      <c r="M813" t="str">
        <f>"79562"</f>
        <v>79562</v>
      </c>
      <c r="N813" t="s">
        <v>142</v>
      </c>
      <c r="O813">
        <v>156.69999999999999</v>
      </c>
      <c r="P813">
        <v>20190614</v>
      </c>
      <c r="Q813" t="s">
        <v>143</v>
      </c>
      <c r="R813" t="s">
        <v>261</v>
      </c>
      <c r="S813" t="s">
        <v>23</v>
      </c>
      <c r="T813" t="s">
        <v>145</v>
      </c>
    </row>
    <row r="814" spans="1:20" x14ac:dyDescent="0.25">
      <c r="A814">
        <v>9</v>
      </c>
      <c r="B814">
        <v>163</v>
      </c>
      <c r="C814" t="str">
        <f t="shared" si="80"/>
        <v>00</v>
      </c>
      <c r="D814">
        <v>2159</v>
      </c>
      <c r="E814" t="str">
        <f t="shared" si="81"/>
        <v>00</v>
      </c>
      <c r="F814" t="str">
        <f>"086"</f>
        <v>086</v>
      </c>
      <c r="G814">
        <v>9</v>
      </c>
      <c r="H814" t="str">
        <f t="shared" si="82"/>
        <v>00</v>
      </c>
      <c r="I814" t="str">
        <f t="shared" si="83"/>
        <v>0</v>
      </c>
      <c r="J814" t="str">
        <f t="shared" si="84"/>
        <v>00</v>
      </c>
      <c r="K814">
        <v>20190614</v>
      </c>
      <c r="L814" t="str">
        <f>"028650"</f>
        <v>028650</v>
      </c>
      <c r="M814" t="str">
        <f>"81155"</f>
        <v>81155</v>
      </c>
      <c r="N814" t="s">
        <v>149</v>
      </c>
      <c r="O814">
        <v>215</v>
      </c>
      <c r="P814">
        <v>20190614</v>
      </c>
      <c r="Q814" t="s">
        <v>150</v>
      </c>
      <c r="R814" t="s">
        <v>255</v>
      </c>
      <c r="S814" t="s">
        <v>23</v>
      </c>
      <c r="T814" t="s">
        <v>151</v>
      </c>
    </row>
    <row r="815" spans="1:20" x14ac:dyDescent="0.25">
      <c r="A815">
        <v>9</v>
      </c>
      <c r="B815">
        <v>163</v>
      </c>
      <c r="C815" t="str">
        <f t="shared" si="80"/>
        <v>00</v>
      </c>
      <c r="D815">
        <v>2159</v>
      </c>
      <c r="E815" t="str">
        <f t="shared" si="81"/>
        <v>00</v>
      </c>
      <c r="F815" t="str">
        <f>"103"</f>
        <v>103</v>
      </c>
      <c r="G815">
        <v>9</v>
      </c>
      <c r="H815" t="str">
        <f t="shared" si="82"/>
        <v>00</v>
      </c>
      <c r="I815" t="str">
        <f t="shared" si="83"/>
        <v>0</v>
      </c>
      <c r="J815" t="str">
        <f t="shared" si="84"/>
        <v>00</v>
      </c>
      <c r="K815">
        <v>20190614</v>
      </c>
      <c r="L815" t="str">
        <f>"028651"</f>
        <v>028651</v>
      </c>
      <c r="M815" t="str">
        <f>"81177"</f>
        <v>81177</v>
      </c>
      <c r="N815" t="s">
        <v>66</v>
      </c>
      <c r="O815" s="1">
        <v>1859.35</v>
      </c>
      <c r="P815">
        <v>20190614</v>
      </c>
      <c r="Q815" t="s">
        <v>152</v>
      </c>
      <c r="R815" t="s">
        <v>255</v>
      </c>
      <c r="S815" t="s">
        <v>23</v>
      </c>
      <c r="T815" t="s">
        <v>153</v>
      </c>
    </row>
    <row r="816" spans="1:20" x14ac:dyDescent="0.25">
      <c r="A816">
        <v>9</v>
      </c>
      <c r="B816">
        <v>163</v>
      </c>
      <c r="C816" t="str">
        <f t="shared" si="80"/>
        <v>00</v>
      </c>
      <c r="D816">
        <v>2159</v>
      </c>
      <c r="E816" t="str">
        <f t="shared" si="81"/>
        <v>00</v>
      </c>
      <c r="F816" t="str">
        <f>"123"</f>
        <v>123</v>
      </c>
      <c r="G816">
        <v>9</v>
      </c>
      <c r="H816" t="str">
        <f t="shared" si="82"/>
        <v>00</v>
      </c>
      <c r="I816" t="str">
        <f t="shared" si="83"/>
        <v>0</v>
      </c>
      <c r="J816" t="str">
        <f t="shared" si="84"/>
        <v>00</v>
      </c>
      <c r="K816">
        <v>20190614</v>
      </c>
      <c r="L816" t="str">
        <f>"028652"</f>
        <v>028652</v>
      </c>
      <c r="M816" t="str">
        <f>"81753"</f>
        <v>81753</v>
      </c>
      <c r="N816" t="s">
        <v>217</v>
      </c>
      <c r="O816" s="1">
        <v>1185.98</v>
      </c>
      <c r="P816">
        <v>20190614</v>
      </c>
      <c r="Q816" t="s">
        <v>155</v>
      </c>
      <c r="R816" t="s">
        <v>255</v>
      </c>
      <c r="S816" t="s">
        <v>23</v>
      </c>
      <c r="T816" t="s">
        <v>154</v>
      </c>
    </row>
    <row r="817" spans="1:20" x14ac:dyDescent="0.25">
      <c r="A817">
        <v>9</v>
      </c>
      <c r="B817">
        <v>163</v>
      </c>
      <c r="C817" t="str">
        <f t="shared" si="80"/>
        <v>00</v>
      </c>
      <c r="D817">
        <v>2153</v>
      </c>
      <c r="E817" t="str">
        <f t="shared" si="81"/>
        <v>00</v>
      </c>
      <c r="F817" t="str">
        <f>"141"</f>
        <v>141</v>
      </c>
      <c r="G817">
        <v>9</v>
      </c>
      <c r="H817" t="str">
        <f t="shared" si="82"/>
        <v>00</v>
      </c>
      <c r="I817" t="str">
        <f t="shared" si="83"/>
        <v>0</v>
      </c>
      <c r="J817" t="str">
        <f t="shared" si="84"/>
        <v>00</v>
      </c>
      <c r="K817">
        <v>20190628</v>
      </c>
      <c r="L817" t="str">
        <f>"028663"</f>
        <v>028663</v>
      </c>
      <c r="M817" t="str">
        <f>"00068"</f>
        <v>00068</v>
      </c>
      <c r="N817" t="s">
        <v>20</v>
      </c>
      <c r="O817">
        <v>312.29000000000002</v>
      </c>
      <c r="P817">
        <v>20190628</v>
      </c>
      <c r="Q817" t="s">
        <v>21</v>
      </c>
      <c r="R817" t="s">
        <v>253</v>
      </c>
      <c r="S817" t="s">
        <v>23</v>
      </c>
      <c r="T817" t="s">
        <v>24</v>
      </c>
    </row>
    <row r="818" spans="1:20" x14ac:dyDescent="0.25">
      <c r="A818">
        <v>9</v>
      </c>
      <c r="B818">
        <v>163</v>
      </c>
      <c r="C818" t="str">
        <f t="shared" si="80"/>
        <v>00</v>
      </c>
      <c r="D818">
        <v>2153</v>
      </c>
      <c r="E818" t="str">
        <f t="shared" si="81"/>
        <v>00</v>
      </c>
      <c r="F818" t="str">
        <f>"142"</f>
        <v>142</v>
      </c>
      <c r="G818">
        <v>9</v>
      </c>
      <c r="H818" t="str">
        <f t="shared" si="82"/>
        <v>00</v>
      </c>
      <c r="I818" t="str">
        <f t="shared" si="83"/>
        <v>0</v>
      </c>
      <c r="J818" t="str">
        <f t="shared" si="84"/>
        <v>00</v>
      </c>
      <c r="K818">
        <v>20190628</v>
      </c>
      <c r="L818" t="str">
        <f>"028663"</f>
        <v>028663</v>
      </c>
      <c r="M818" t="str">
        <f>"00068"</f>
        <v>00068</v>
      </c>
      <c r="N818" t="s">
        <v>20</v>
      </c>
      <c r="O818">
        <v>214.93</v>
      </c>
      <c r="P818">
        <v>20190628</v>
      </c>
      <c r="Q818" t="s">
        <v>25</v>
      </c>
      <c r="R818" t="s">
        <v>254</v>
      </c>
      <c r="S818" t="s">
        <v>23</v>
      </c>
      <c r="T818" t="s">
        <v>27</v>
      </c>
    </row>
    <row r="819" spans="1:20" x14ac:dyDescent="0.25">
      <c r="A819">
        <v>9</v>
      </c>
      <c r="B819">
        <v>163</v>
      </c>
      <c r="C819" t="str">
        <f t="shared" si="80"/>
        <v>00</v>
      </c>
      <c r="D819">
        <v>2153</v>
      </c>
      <c r="E819" t="str">
        <f t="shared" si="81"/>
        <v>00</v>
      </c>
      <c r="F819" t="str">
        <f>"144"</f>
        <v>144</v>
      </c>
      <c r="G819">
        <v>9</v>
      </c>
      <c r="H819" t="str">
        <f t="shared" si="82"/>
        <v>00</v>
      </c>
      <c r="I819" t="str">
        <f t="shared" si="83"/>
        <v>0</v>
      </c>
      <c r="J819" t="str">
        <f t="shared" si="84"/>
        <v>00</v>
      </c>
      <c r="K819">
        <v>20190628</v>
      </c>
      <c r="L819" t="str">
        <f>"028663"</f>
        <v>028663</v>
      </c>
      <c r="M819" t="str">
        <f>"00068"</f>
        <v>00068</v>
      </c>
      <c r="N819" t="s">
        <v>20</v>
      </c>
      <c r="O819">
        <v>52.56</v>
      </c>
      <c r="P819">
        <v>20190628</v>
      </c>
      <c r="Q819" t="s">
        <v>238</v>
      </c>
      <c r="R819" t="s">
        <v>253</v>
      </c>
      <c r="S819" t="s">
        <v>23</v>
      </c>
      <c r="T819" t="s">
        <v>239</v>
      </c>
    </row>
    <row r="820" spans="1:20" x14ac:dyDescent="0.25">
      <c r="A820">
        <v>9</v>
      </c>
      <c r="B820">
        <v>163</v>
      </c>
      <c r="C820" t="str">
        <f t="shared" si="80"/>
        <v>00</v>
      </c>
      <c r="D820">
        <v>2153</v>
      </c>
      <c r="E820" t="str">
        <f t="shared" si="81"/>
        <v>00</v>
      </c>
      <c r="F820" t="str">
        <f>"145"</f>
        <v>145</v>
      </c>
      <c r="G820">
        <v>9</v>
      </c>
      <c r="H820" t="str">
        <f t="shared" si="82"/>
        <v>00</v>
      </c>
      <c r="I820" t="str">
        <f t="shared" si="83"/>
        <v>0</v>
      </c>
      <c r="J820" t="str">
        <f t="shared" si="84"/>
        <v>00</v>
      </c>
      <c r="K820">
        <v>20190628</v>
      </c>
      <c r="L820" t="str">
        <f>"028663"</f>
        <v>028663</v>
      </c>
      <c r="M820" t="str">
        <f>"00068"</f>
        <v>00068</v>
      </c>
      <c r="N820" t="s">
        <v>20</v>
      </c>
      <c r="O820">
        <v>98.38</v>
      </c>
      <c r="P820">
        <v>20190628</v>
      </c>
      <c r="Q820" t="s">
        <v>240</v>
      </c>
      <c r="R820" t="s">
        <v>254</v>
      </c>
      <c r="S820" t="s">
        <v>23</v>
      </c>
      <c r="T820" t="s">
        <v>241</v>
      </c>
    </row>
    <row r="821" spans="1:20" x14ac:dyDescent="0.25">
      <c r="A821">
        <v>9</v>
      </c>
      <c r="B821">
        <v>163</v>
      </c>
      <c r="C821" t="str">
        <f t="shared" si="80"/>
        <v>00</v>
      </c>
      <c r="D821">
        <v>2159</v>
      </c>
      <c r="E821" t="str">
        <f t="shared" si="81"/>
        <v>00</v>
      </c>
      <c r="F821" t="str">
        <f>"148"</f>
        <v>148</v>
      </c>
      <c r="G821">
        <v>9</v>
      </c>
      <c r="H821" t="str">
        <f t="shared" si="82"/>
        <v>00</v>
      </c>
      <c r="I821" t="str">
        <f t="shared" si="83"/>
        <v>0</v>
      </c>
      <c r="J821" t="str">
        <f t="shared" si="84"/>
        <v>00</v>
      </c>
      <c r="K821">
        <v>20190628</v>
      </c>
      <c r="L821" t="str">
        <f>"028664"</f>
        <v>028664</v>
      </c>
      <c r="M821" t="str">
        <f>"00528"</f>
        <v>00528</v>
      </c>
      <c r="N821" t="s">
        <v>159</v>
      </c>
      <c r="O821">
        <v>7.5</v>
      </c>
      <c r="P821">
        <v>20190628</v>
      </c>
      <c r="Q821" t="s">
        <v>160</v>
      </c>
      <c r="R821" t="s">
        <v>255</v>
      </c>
      <c r="S821" t="s">
        <v>23</v>
      </c>
      <c r="T821" t="s">
        <v>162</v>
      </c>
    </row>
    <row r="822" spans="1:20" x14ac:dyDescent="0.25">
      <c r="A822">
        <v>9</v>
      </c>
      <c r="B822">
        <v>163</v>
      </c>
      <c r="C822" t="str">
        <f t="shared" si="80"/>
        <v>00</v>
      </c>
      <c r="D822">
        <v>2159</v>
      </c>
      <c r="E822" t="str">
        <f t="shared" si="81"/>
        <v>00</v>
      </c>
      <c r="F822" t="str">
        <f>"151"</f>
        <v>151</v>
      </c>
      <c r="G822">
        <v>9</v>
      </c>
      <c r="H822" t="str">
        <f t="shared" si="82"/>
        <v>00</v>
      </c>
      <c r="I822" t="str">
        <f t="shared" si="83"/>
        <v>0</v>
      </c>
      <c r="J822" t="str">
        <f t="shared" si="84"/>
        <v>00</v>
      </c>
      <c r="K822">
        <v>20190628</v>
      </c>
      <c r="L822" t="str">
        <f>"028664"</f>
        <v>028664</v>
      </c>
      <c r="M822" t="str">
        <f>"00528"</f>
        <v>00528</v>
      </c>
      <c r="N822" t="s">
        <v>159</v>
      </c>
      <c r="O822">
        <v>3.75</v>
      </c>
      <c r="P822">
        <v>20190628</v>
      </c>
      <c r="Q822" t="s">
        <v>242</v>
      </c>
      <c r="R822" t="s">
        <v>255</v>
      </c>
      <c r="S822" t="s">
        <v>23</v>
      </c>
      <c r="T822" t="s">
        <v>243</v>
      </c>
    </row>
    <row r="823" spans="1:20" x14ac:dyDescent="0.25">
      <c r="A823">
        <v>9</v>
      </c>
      <c r="B823">
        <v>163</v>
      </c>
      <c r="C823" t="str">
        <f t="shared" si="80"/>
        <v>00</v>
      </c>
      <c r="D823">
        <v>2153</v>
      </c>
      <c r="E823" t="str">
        <f t="shared" si="81"/>
        <v>00</v>
      </c>
      <c r="F823" t="str">
        <f>"022"</f>
        <v>022</v>
      </c>
      <c r="G823">
        <v>9</v>
      </c>
      <c r="H823" t="str">
        <f t="shared" si="82"/>
        <v>00</v>
      </c>
      <c r="I823" t="str">
        <f t="shared" si="83"/>
        <v>0</v>
      </c>
      <c r="J823" t="str">
        <f t="shared" si="84"/>
        <v>00</v>
      </c>
      <c r="K823">
        <v>20190628</v>
      </c>
      <c r="L823" t="str">
        <f>"028665"</f>
        <v>028665</v>
      </c>
      <c r="M823" t="str">
        <f>"04831"</f>
        <v>04831</v>
      </c>
      <c r="N823" t="s">
        <v>28</v>
      </c>
      <c r="O823">
        <v>16.77</v>
      </c>
      <c r="P823">
        <v>20190628</v>
      </c>
      <c r="Q823" t="s">
        <v>29</v>
      </c>
      <c r="R823" t="s">
        <v>254</v>
      </c>
      <c r="S823" t="s">
        <v>23</v>
      </c>
      <c r="T823" t="s">
        <v>30</v>
      </c>
    </row>
    <row r="824" spans="1:20" x14ac:dyDescent="0.25">
      <c r="A824">
        <v>9</v>
      </c>
      <c r="B824">
        <v>163</v>
      </c>
      <c r="C824" t="str">
        <f t="shared" si="80"/>
        <v>00</v>
      </c>
      <c r="D824">
        <v>2159</v>
      </c>
      <c r="E824" t="str">
        <f t="shared" si="81"/>
        <v>00</v>
      </c>
      <c r="F824" t="str">
        <f>"018"</f>
        <v>018</v>
      </c>
      <c r="G824">
        <v>9</v>
      </c>
      <c r="H824" t="str">
        <f t="shared" si="82"/>
        <v>00</v>
      </c>
      <c r="I824" t="str">
        <f t="shared" si="83"/>
        <v>0</v>
      </c>
      <c r="J824" t="str">
        <f t="shared" si="84"/>
        <v>00</v>
      </c>
      <c r="K824">
        <v>20190628</v>
      </c>
      <c r="L824" t="str">
        <f>"028666"</f>
        <v>028666</v>
      </c>
      <c r="M824" t="str">
        <f>"04905"</f>
        <v>04905</v>
      </c>
      <c r="N824" t="s">
        <v>31</v>
      </c>
      <c r="O824">
        <v>18.37</v>
      </c>
      <c r="P824">
        <v>20190628</v>
      </c>
      <c r="Q824" t="s">
        <v>32</v>
      </c>
      <c r="R824" t="s">
        <v>255</v>
      </c>
      <c r="S824" t="s">
        <v>23</v>
      </c>
      <c r="T824" t="s">
        <v>34</v>
      </c>
    </row>
    <row r="825" spans="1:20" x14ac:dyDescent="0.25">
      <c r="A825">
        <v>9</v>
      </c>
      <c r="B825">
        <v>163</v>
      </c>
      <c r="C825" t="str">
        <f t="shared" si="80"/>
        <v>00</v>
      </c>
      <c r="D825">
        <v>2153</v>
      </c>
      <c r="E825" t="str">
        <f t="shared" si="81"/>
        <v>00</v>
      </c>
      <c r="F825" t="str">
        <f>"053"</f>
        <v>053</v>
      </c>
      <c r="G825">
        <v>9</v>
      </c>
      <c r="H825" t="str">
        <f t="shared" si="82"/>
        <v>00</v>
      </c>
      <c r="I825" t="str">
        <f t="shared" si="83"/>
        <v>0</v>
      </c>
      <c r="J825" t="str">
        <f t="shared" si="84"/>
        <v>00</v>
      </c>
      <c r="K825">
        <v>20190628</v>
      </c>
      <c r="L825" t="str">
        <f>"028667"</f>
        <v>028667</v>
      </c>
      <c r="M825" t="str">
        <f>"04987"</f>
        <v>04987</v>
      </c>
      <c r="N825" t="s">
        <v>35</v>
      </c>
      <c r="O825">
        <v>13.76</v>
      </c>
      <c r="P825">
        <v>20190628</v>
      </c>
      <c r="Q825" t="s">
        <v>36</v>
      </c>
      <c r="R825" t="s">
        <v>254</v>
      </c>
      <c r="S825" t="s">
        <v>23</v>
      </c>
      <c r="T825" t="s">
        <v>37</v>
      </c>
    </row>
    <row r="826" spans="1:20" x14ac:dyDescent="0.25">
      <c r="A826">
        <v>9</v>
      </c>
      <c r="B826">
        <v>163</v>
      </c>
      <c r="C826" t="str">
        <f t="shared" si="80"/>
        <v>00</v>
      </c>
      <c r="D826">
        <v>2159</v>
      </c>
      <c r="E826" t="str">
        <f t="shared" si="81"/>
        <v>00</v>
      </c>
      <c r="F826" t="str">
        <f>"068"</f>
        <v>068</v>
      </c>
      <c r="G826">
        <v>9</v>
      </c>
      <c r="H826" t="str">
        <f t="shared" si="82"/>
        <v>00</v>
      </c>
      <c r="I826" t="str">
        <f t="shared" si="83"/>
        <v>0</v>
      </c>
      <c r="J826" t="str">
        <f t="shared" si="84"/>
        <v>00</v>
      </c>
      <c r="K826">
        <v>20190628</v>
      </c>
      <c r="L826" t="str">
        <f>"028668"</f>
        <v>028668</v>
      </c>
      <c r="M826" t="str">
        <f>"10095"</f>
        <v>10095</v>
      </c>
      <c r="N826" t="s">
        <v>83</v>
      </c>
      <c r="O826">
        <v>14.59</v>
      </c>
      <c r="P826">
        <v>20190628</v>
      </c>
      <c r="Q826" t="s">
        <v>84</v>
      </c>
      <c r="R826" t="s">
        <v>255</v>
      </c>
      <c r="S826" t="s">
        <v>23</v>
      </c>
      <c r="T826" t="s">
        <v>85</v>
      </c>
    </row>
    <row r="827" spans="1:20" x14ac:dyDescent="0.25">
      <c r="A827">
        <v>9</v>
      </c>
      <c r="B827">
        <v>163</v>
      </c>
      <c r="C827" t="str">
        <f t="shared" si="80"/>
        <v>00</v>
      </c>
      <c r="D827">
        <v>2153</v>
      </c>
      <c r="E827" t="str">
        <f t="shared" si="81"/>
        <v>00</v>
      </c>
      <c r="F827" t="str">
        <f>"011"</f>
        <v>011</v>
      </c>
      <c r="G827">
        <v>9</v>
      </c>
      <c r="H827" t="str">
        <f t="shared" si="82"/>
        <v>00</v>
      </c>
      <c r="I827" t="str">
        <f t="shared" si="83"/>
        <v>0</v>
      </c>
      <c r="J827" t="str">
        <f t="shared" si="84"/>
        <v>00</v>
      </c>
      <c r="K827">
        <v>20190628</v>
      </c>
      <c r="L827" t="str">
        <f>"028669"</f>
        <v>028669</v>
      </c>
      <c r="M827" t="str">
        <f>"11211"</f>
        <v>11211</v>
      </c>
      <c r="N827" t="s">
        <v>41</v>
      </c>
      <c r="O827">
        <v>120.1</v>
      </c>
      <c r="P827">
        <v>20190628</v>
      </c>
      <c r="Q827" t="s">
        <v>42</v>
      </c>
      <c r="R827" t="s">
        <v>254</v>
      </c>
      <c r="S827" t="s">
        <v>23</v>
      </c>
      <c r="T827" t="s">
        <v>43</v>
      </c>
    </row>
    <row r="828" spans="1:20" x14ac:dyDescent="0.25">
      <c r="A828">
        <v>9</v>
      </c>
      <c r="B828">
        <v>163</v>
      </c>
      <c r="C828" t="str">
        <f t="shared" si="80"/>
        <v>00</v>
      </c>
      <c r="D828">
        <v>2153</v>
      </c>
      <c r="E828" t="str">
        <f t="shared" si="81"/>
        <v>00</v>
      </c>
      <c r="F828" t="str">
        <f>"112"</f>
        <v>112</v>
      </c>
      <c r="G828">
        <v>9</v>
      </c>
      <c r="H828" t="str">
        <f t="shared" si="82"/>
        <v>00</v>
      </c>
      <c r="I828" t="str">
        <f t="shared" si="83"/>
        <v>0</v>
      </c>
      <c r="J828" t="str">
        <f t="shared" si="84"/>
        <v>00</v>
      </c>
      <c r="K828">
        <v>20190628</v>
      </c>
      <c r="L828" t="str">
        <f>"028669"</f>
        <v>028669</v>
      </c>
      <c r="M828" t="str">
        <f>"11211"</f>
        <v>11211</v>
      </c>
      <c r="N828" t="s">
        <v>41</v>
      </c>
      <c r="O828">
        <v>39.520000000000003</v>
      </c>
      <c r="P828">
        <v>20190628</v>
      </c>
      <c r="Q828" t="s">
        <v>197</v>
      </c>
      <c r="R828" t="s">
        <v>254</v>
      </c>
      <c r="S828" t="s">
        <v>23</v>
      </c>
      <c r="T828" t="s">
        <v>198</v>
      </c>
    </row>
    <row r="829" spans="1:20" x14ac:dyDescent="0.25">
      <c r="A829">
        <v>9</v>
      </c>
      <c r="B829">
        <v>163</v>
      </c>
      <c r="C829" t="str">
        <f t="shared" si="80"/>
        <v>00</v>
      </c>
      <c r="D829">
        <v>2159</v>
      </c>
      <c r="E829" t="str">
        <f t="shared" si="81"/>
        <v>00</v>
      </c>
      <c r="F829" t="str">
        <f>"104"</f>
        <v>104</v>
      </c>
      <c r="G829">
        <v>9</v>
      </c>
      <c r="H829" t="str">
        <f t="shared" si="82"/>
        <v>00</v>
      </c>
      <c r="I829" t="str">
        <f t="shared" si="83"/>
        <v>0</v>
      </c>
      <c r="J829" t="str">
        <f t="shared" si="84"/>
        <v>00</v>
      </c>
      <c r="K829">
        <v>20190628</v>
      </c>
      <c r="L829" t="str">
        <f>"028670"</f>
        <v>028670</v>
      </c>
      <c r="M829" t="str">
        <f>"14177"</f>
        <v>14177</v>
      </c>
      <c r="N829" t="s">
        <v>163</v>
      </c>
      <c r="O829">
        <v>96</v>
      </c>
      <c r="P829">
        <v>20190628</v>
      </c>
      <c r="Q829" t="s">
        <v>45</v>
      </c>
      <c r="R829" t="s">
        <v>255</v>
      </c>
      <c r="S829" t="s">
        <v>23</v>
      </c>
      <c r="T829" t="s">
        <v>46</v>
      </c>
    </row>
    <row r="830" spans="1:20" x14ac:dyDescent="0.25">
      <c r="A830">
        <v>9</v>
      </c>
      <c r="B830">
        <v>163</v>
      </c>
      <c r="C830" t="str">
        <f t="shared" si="80"/>
        <v>00</v>
      </c>
      <c r="D830">
        <v>2153</v>
      </c>
      <c r="E830" t="str">
        <f t="shared" si="81"/>
        <v>00</v>
      </c>
      <c r="F830" t="str">
        <f>"110"</f>
        <v>110</v>
      </c>
      <c r="G830">
        <v>9</v>
      </c>
      <c r="H830" t="str">
        <f t="shared" si="82"/>
        <v>00</v>
      </c>
      <c r="I830" t="str">
        <f t="shared" si="83"/>
        <v>0</v>
      </c>
      <c r="J830" t="str">
        <f t="shared" si="84"/>
        <v>00</v>
      </c>
      <c r="K830">
        <v>20190628</v>
      </c>
      <c r="L830" t="str">
        <f>"028671"</f>
        <v>028671</v>
      </c>
      <c r="M830" t="str">
        <f>"48947"</f>
        <v>48947</v>
      </c>
      <c r="N830" t="s">
        <v>47</v>
      </c>
      <c r="O830">
        <v>34.81</v>
      </c>
      <c r="P830">
        <v>20190628</v>
      </c>
      <c r="Q830" t="s">
        <v>48</v>
      </c>
      <c r="R830" t="s">
        <v>253</v>
      </c>
      <c r="S830" t="s">
        <v>23</v>
      </c>
      <c r="T830" t="s">
        <v>49</v>
      </c>
    </row>
    <row r="831" spans="1:20" x14ac:dyDescent="0.25">
      <c r="A831">
        <v>9</v>
      </c>
      <c r="B831">
        <v>163</v>
      </c>
      <c r="C831" t="str">
        <f t="shared" si="80"/>
        <v>00</v>
      </c>
      <c r="D831">
        <v>2159</v>
      </c>
      <c r="E831" t="str">
        <f t="shared" si="81"/>
        <v>00</v>
      </c>
      <c r="F831" t="str">
        <f>"131"</f>
        <v>131</v>
      </c>
      <c r="G831">
        <v>9</v>
      </c>
      <c r="H831" t="str">
        <f t="shared" si="82"/>
        <v>00</v>
      </c>
      <c r="I831" t="str">
        <f t="shared" si="83"/>
        <v>0</v>
      </c>
      <c r="J831" t="str">
        <f t="shared" si="84"/>
        <v>00</v>
      </c>
      <c r="K831">
        <v>20190628</v>
      </c>
      <c r="L831" t="str">
        <f>"028672"</f>
        <v>028672</v>
      </c>
      <c r="M831" t="str">
        <f>"54196"</f>
        <v>54196</v>
      </c>
      <c r="N831" t="s">
        <v>50</v>
      </c>
      <c r="O831">
        <v>50</v>
      </c>
      <c r="P831">
        <v>20190628</v>
      </c>
      <c r="Q831" t="s">
        <v>51</v>
      </c>
      <c r="R831" t="s">
        <v>256</v>
      </c>
      <c r="S831" t="s">
        <v>23</v>
      </c>
      <c r="T831" t="s">
        <v>53</v>
      </c>
    </row>
    <row r="832" spans="1:20" x14ac:dyDescent="0.25">
      <c r="A832">
        <v>9</v>
      </c>
      <c r="B832">
        <v>163</v>
      </c>
      <c r="C832" t="str">
        <f t="shared" si="80"/>
        <v>00</v>
      </c>
      <c r="D832">
        <v>2159</v>
      </c>
      <c r="E832" t="str">
        <f t="shared" si="81"/>
        <v>00</v>
      </c>
      <c r="F832" t="str">
        <f>"111"</f>
        <v>111</v>
      </c>
      <c r="G832">
        <v>9</v>
      </c>
      <c r="H832" t="str">
        <f t="shared" si="82"/>
        <v>00</v>
      </c>
      <c r="I832" t="str">
        <f t="shared" si="83"/>
        <v>0</v>
      </c>
      <c r="J832" t="str">
        <f t="shared" si="84"/>
        <v>00</v>
      </c>
      <c r="K832">
        <v>20190628</v>
      </c>
      <c r="L832" t="str">
        <f>"028673"</f>
        <v>028673</v>
      </c>
      <c r="M832" t="str">
        <f>"72601"</f>
        <v>72601</v>
      </c>
      <c r="N832" t="s">
        <v>54</v>
      </c>
      <c r="O832">
        <v>256.14999999999998</v>
      </c>
      <c r="P832">
        <v>20190628</v>
      </c>
      <c r="Q832" t="s">
        <v>55</v>
      </c>
      <c r="R832" t="s">
        <v>255</v>
      </c>
      <c r="S832" t="s">
        <v>23</v>
      </c>
      <c r="T832" t="s">
        <v>56</v>
      </c>
    </row>
    <row r="833" spans="1:20" x14ac:dyDescent="0.25">
      <c r="A833">
        <v>9</v>
      </c>
      <c r="B833">
        <v>163</v>
      </c>
      <c r="C833" t="str">
        <f t="shared" si="80"/>
        <v>00</v>
      </c>
      <c r="D833">
        <v>2159</v>
      </c>
      <c r="E833" t="str">
        <f t="shared" si="81"/>
        <v>00</v>
      </c>
      <c r="F833" t="str">
        <f>"113"</f>
        <v>113</v>
      </c>
      <c r="G833">
        <v>9</v>
      </c>
      <c r="H833" t="str">
        <f t="shared" si="82"/>
        <v>00</v>
      </c>
      <c r="I833" t="str">
        <f t="shared" si="83"/>
        <v>0</v>
      </c>
      <c r="J833" t="str">
        <f t="shared" si="84"/>
        <v>00</v>
      </c>
      <c r="K833">
        <v>20190628</v>
      </c>
      <c r="L833" t="str">
        <f>"028673"</f>
        <v>028673</v>
      </c>
      <c r="M833" t="str">
        <f>"72601"</f>
        <v>72601</v>
      </c>
      <c r="N833" t="s">
        <v>54</v>
      </c>
      <c r="O833">
        <v>94.64</v>
      </c>
      <c r="P833">
        <v>20190628</v>
      </c>
      <c r="Q833" t="s">
        <v>262</v>
      </c>
      <c r="R833" t="s">
        <v>255</v>
      </c>
      <c r="S833" t="s">
        <v>23</v>
      </c>
      <c r="T833" t="s">
        <v>263</v>
      </c>
    </row>
    <row r="834" spans="1:20" x14ac:dyDescent="0.25">
      <c r="A834">
        <v>9</v>
      </c>
      <c r="B834">
        <v>163</v>
      </c>
      <c r="C834" t="str">
        <f t="shared" ref="C834:C897" si="87">"00"</f>
        <v>00</v>
      </c>
      <c r="D834">
        <v>2153</v>
      </c>
      <c r="E834" t="str">
        <f t="shared" ref="E834:E897" si="88">"00"</f>
        <v>00</v>
      </c>
      <c r="F834" t="str">
        <f>"006"</f>
        <v>006</v>
      </c>
      <c r="G834">
        <v>9</v>
      </c>
      <c r="H834" t="str">
        <f t="shared" ref="H834:H897" si="89">"00"</f>
        <v>00</v>
      </c>
      <c r="I834" t="str">
        <f t="shared" ref="I834:I897" si="90">"0"</f>
        <v>0</v>
      </c>
      <c r="J834" t="str">
        <f t="shared" ref="J834:J897" si="91">"00"</f>
        <v>00</v>
      </c>
      <c r="K834">
        <v>20190628</v>
      </c>
      <c r="L834" t="str">
        <f>"028674"</f>
        <v>028674</v>
      </c>
      <c r="M834" t="str">
        <f>"75452"</f>
        <v>75452</v>
      </c>
      <c r="N834" t="s">
        <v>57</v>
      </c>
      <c r="O834">
        <v>235.11</v>
      </c>
      <c r="P834">
        <v>20190628</v>
      </c>
      <c r="Q834" t="s">
        <v>58</v>
      </c>
      <c r="R834" t="s">
        <v>254</v>
      </c>
      <c r="S834" t="s">
        <v>23</v>
      </c>
      <c r="T834" t="s">
        <v>59</v>
      </c>
    </row>
    <row r="835" spans="1:20" x14ac:dyDescent="0.25">
      <c r="A835">
        <v>9</v>
      </c>
      <c r="B835">
        <v>163</v>
      </c>
      <c r="C835" t="str">
        <f t="shared" si="87"/>
        <v>00</v>
      </c>
      <c r="D835">
        <v>2153</v>
      </c>
      <c r="E835" t="str">
        <f t="shared" si="88"/>
        <v>00</v>
      </c>
      <c r="F835" t="str">
        <f>"128"</f>
        <v>128</v>
      </c>
      <c r="G835">
        <v>9</v>
      </c>
      <c r="H835" t="str">
        <f t="shared" si="89"/>
        <v>00</v>
      </c>
      <c r="I835" t="str">
        <f t="shared" si="90"/>
        <v>0</v>
      </c>
      <c r="J835" t="str">
        <f t="shared" si="91"/>
        <v>00</v>
      </c>
      <c r="K835">
        <v>20190628</v>
      </c>
      <c r="L835" t="str">
        <f>"028674"</f>
        <v>028674</v>
      </c>
      <c r="M835" t="str">
        <f>"75452"</f>
        <v>75452</v>
      </c>
      <c r="N835" t="s">
        <v>57</v>
      </c>
      <c r="O835">
        <v>188.33</v>
      </c>
      <c r="P835">
        <v>20190628</v>
      </c>
      <c r="Q835" t="s">
        <v>264</v>
      </c>
      <c r="R835" t="s">
        <v>254</v>
      </c>
      <c r="S835" t="s">
        <v>23</v>
      </c>
      <c r="T835" t="s">
        <v>265</v>
      </c>
    </row>
    <row r="836" spans="1:20" x14ac:dyDescent="0.25">
      <c r="A836">
        <v>9</v>
      </c>
      <c r="B836">
        <v>163</v>
      </c>
      <c r="C836" t="str">
        <f t="shared" si="87"/>
        <v>00</v>
      </c>
      <c r="D836">
        <v>2159</v>
      </c>
      <c r="E836" t="str">
        <f t="shared" si="88"/>
        <v>00</v>
      </c>
      <c r="F836" t="str">
        <f>"100"</f>
        <v>100</v>
      </c>
      <c r="G836">
        <v>9</v>
      </c>
      <c r="H836" t="str">
        <f t="shared" si="89"/>
        <v>00</v>
      </c>
      <c r="I836" t="str">
        <f t="shared" si="90"/>
        <v>0</v>
      </c>
      <c r="J836" t="str">
        <f t="shared" si="91"/>
        <v>00</v>
      </c>
      <c r="K836">
        <v>20190628</v>
      </c>
      <c r="L836" t="str">
        <f>"028675"</f>
        <v>028675</v>
      </c>
      <c r="M836" t="str">
        <f>"81177"</f>
        <v>81177</v>
      </c>
      <c r="N836" t="s">
        <v>66</v>
      </c>
      <c r="O836">
        <v>112</v>
      </c>
      <c r="P836">
        <v>20190628</v>
      </c>
      <c r="Q836" t="s">
        <v>67</v>
      </c>
      <c r="R836" t="s">
        <v>255</v>
      </c>
      <c r="S836" t="s">
        <v>23</v>
      </c>
      <c r="T836" t="s">
        <v>68</v>
      </c>
    </row>
    <row r="837" spans="1:20" x14ac:dyDescent="0.25">
      <c r="A837">
        <v>9</v>
      </c>
      <c r="B837">
        <v>163</v>
      </c>
      <c r="C837" t="str">
        <f t="shared" si="87"/>
        <v>00</v>
      </c>
      <c r="D837">
        <v>2159</v>
      </c>
      <c r="E837" t="str">
        <f t="shared" si="88"/>
        <v>00</v>
      </c>
      <c r="F837" t="str">
        <f>"103"</f>
        <v>103</v>
      </c>
      <c r="G837">
        <v>9</v>
      </c>
      <c r="H837" t="str">
        <f t="shared" si="89"/>
        <v>00</v>
      </c>
      <c r="I837" t="str">
        <f t="shared" si="90"/>
        <v>0</v>
      </c>
      <c r="J837" t="str">
        <f t="shared" si="91"/>
        <v>00</v>
      </c>
      <c r="K837">
        <v>20190628</v>
      </c>
      <c r="L837" t="str">
        <f>"028675"</f>
        <v>028675</v>
      </c>
      <c r="M837" t="str">
        <f>"81177"</f>
        <v>81177</v>
      </c>
      <c r="N837" t="s">
        <v>66</v>
      </c>
      <c r="O837">
        <v>20</v>
      </c>
      <c r="P837">
        <v>20190628</v>
      </c>
      <c r="Q837" t="s">
        <v>152</v>
      </c>
      <c r="R837" t="s">
        <v>255</v>
      </c>
      <c r="S837" t="s">
        <v>23</v>
      </c>
      <c r="T837" t="s">
        <v>153</v>
      </c>
    </row>
    <row r="838" spans="1:20" x14ac:dyDescent="0.25">
      <c r="A838">
        <v>9</v>
      </c>
      <c r="B838">
        <v>163</v>
      </c>
      <c r="C838" t="str">
        <f t="shared" si="87"/>
        <v>00</v>
      </c>
      <c r="D838">
        <v>2153</v>
      </c>
      <c r="E838" t="str">
        <f t="shared" si="88"/>
        <v>00</v>
      </c>
      <c r="F838" t="str">
        <f>"141"</f>
        <v>141</v>
      </c>
      <c r="G838">
        <v>9</v>
      </c>
      <c r="H838" t="str">
        <f t="shared" si="89"/>
        <v>00</v>
      </c>
      <c r="I838" t="str">
        <f t="shared" si="90"/>
        <v>0</v>
      </c>
      <c r="J838" t="str">
        <f t="shared" si="91"/>
        <v>00</v>
      </c>
      <c r="K838">
        <v>20190712</v>
      </c>
      <c r="L838" t="str">
        <f>"028682"</f>
        <v>028682</v>
      </c>
      <c r="M838" t="str">
        <f>"00068"</f>
        <v>00068</v>
      </c>
      <c r="N838" t="s">
        <v>20</v>
      </c>
      <c r="O838">
        <v>317.83999999999997</v>
      </c>
      <c r="P838">
        <v>20190712</v>
      </c>
      <c r="Q838" t="s">
        <v>21</v>
      </c>
      <c r="R838" t="s">
        <v>266</v>
      </c>
      <c r="S838" t="s">
        <v>23</v>
      </c>
      <c r="T838" t="s">
        <v>24</v>
      </c>
    </row>
    <row r="839" spans="1:20" x14ac:dyDescent="0.25">
      <c r="A839">
        <v>9</v>
      </c>
      <c r="B839">
        <v>163</v>
      </c>
      <c r="C839" t="str">
        <f t="shared" si="87"/>
        <v>00</v>
      </c>
      <c r="D839">
        <v>2153</v>
      </c>
      <c r="E839" t="str">
        <f t="shared" si="88"/>
        <v>00</v>
      </c>
      <c r="F839" t="str">
        <f>"142"</f>
        <v>142</v>
      </c>
      <c r="G839">
        <v>9</v>
      </c>
      <c r="H839" t="str">
        <f t="shared" si="89"/>
        <v>00</v>
      </c>
      <c r="I839" t="str">
        <f t="shared" si="90"/>
        <v>0</v>
      </c>
      <c r="J839" t="str">
        <f t="shared" si="91"/>
        <v>00</v>
      </c>
      <c r="K839">
        <v>20190712</v>
      </c>
      <c r="L839" t="str">
        <f>"028682"</f>
        <v>028682</v>
      </c>
      <c r="M839" t="str">
        <f>"00068"</f>
        <v>00068</v>
      </c>
      <c r="N839" t="s">
        <v>20</v>
      </c>
      <c r="O839">
        <v>273.25</v>
      </c>
      <c r="P839">
        <v>20190712</v>
      </c>
      <c r="Q839" t="s">
        <v>25</v>
      </c>
      <c r="R839" t="s">
        <v>267</v>
      </c>
      <c r="S839" t="s">
        <v>23</v>
      </c>
      <c r="T839" t="s">
        <v>27</v>
      </c>
    </row>
    <row r="840" spans="1:20" x14ac:dyDescent="0.25">
      <c r="A840">
        <v>9</v>
      </c>
      <c r="B840">
        <v>163</v>
      </c>
      <c r="C840" t="str">
        <f t="shared" si="87"/>
        <v>00</v>
      </c>
      <c r="D840">
        <v>2153</v>
      </c>
      <c r="E840" t="str">
        <f t="shared" si="88"/>
        <v>00</v>
      </c>
      <c r="F840" t="str">
        <f>"144"</f>
        <v>144</v>
      </c>
      <c r="G840">
        <v>9</v>
      </c>
      <c r="H840" t="str">
        <f t="shared" si="89"/>
        <v>00</v>
      </c>
      <c r="I840" t="str">
        <f t="shared" si="90"/>
        <v>0</v>
      </c>
      <c r="J840" t="str">
        <f t="shared" si="91"/>
        <v>00</v>
      </c>
      <c r="K840">
        <v>20190712</v>
      </c>
      <c r="L840" t="str">
        <f>"028682"</f>
        <v>028682</v>
      </c>
      <c r="M840" t="str">
        <f>"00068"</f>
        <v>00068</v>
      </c>
      <c r="N840" t="s">
        <v>20</v>
      </c>
      <c r="O840">
        <v>55.74</v>
      </c>
      <c r="P840">
        <v>20190712</v>
      </c>
      <c r="Q840" t="s">
        <v>238</v>
      </c>
      <c r="R840" t="s">
        <v>266</v>
      </c>
      <c r="S840" t="s">
        <v>23</v>
      </c>
      <c r="T840" t="s">
        <v>239</v>
      </c>
    </row>
    <row r="841" spans="1:20" x14ac:dyDescent="0.25">
      <c r="A841">
        <v>9</v>
      </c>
      <c r="B841">
        <v>163</v>
      </c>
      <c r="C841" t="str">
        <f t="shared" si="87"/>
        <v>00</v>
      </c>
      <c r="D841">
        <v>2153</v>
      </c>
      <c r="E841" t="str">
        <f t="shared" si="88"/>
        <v>00</v>
      </c>
      <c r="F841" t="str">
        <f>"145"</f>
        <v>145</v>
      </c>
      <c r="G841">
        <v>9</v>
      </c>
      <c r="H841" t="str">
        <f t="shared" si="89"/>
        <v>00</v>
      </c>
      <c r="I841" t="str">
        <f t="shared" si="90"/>
        <v>0</v>
      </c>
      <c r="J841" t="str">
        <f t="shared" si="91"/>
        <v>00</v>
      </c>
      <c r="K841">
        <v>20190712</v>
      </c>
      <c r="L841" t="str">
        <f>"028682"</f>
        <v>028682</v>
      </c>
      <c r="M841" t="str">
        <f>"00068"</f>
        <v>00068</v>
      </c>
      <c r="N841" t="s">
        <v>20</v>
      </c>
      <c r="O841">
        <v>98.34</v>
      </c>
      <c r="P841">
        <v>20190712</v>
      </c>
      <c r="Q841" t="s">
        <v>240</v>
      </c>
      <c r="R841" t="s">
        <v>267</v>
      </c>
      <c r="S841" t="s">
        <v>23</v>
      </c>
      <c r="T841" t="s">
        <v>241</v>
      </c>
    </row>
    <row r="842" spans="1:20" x14ac:dyDescent="0.25">
      <c r="A842">
        <v>9</v>
      </c>
      <c r="B842">
        <v>163</v>
      </c>
      <c r="C842" t="str">
        <f t="shared" si="87"/>
        <v>00</v>
      </c>
      <c r="D842">
        <v>2159</v>
      </c>
      <c r="E842" t="str">
        <f t="shared" si="88"/>
        <v>00</v>
      </c>
      <c r="F842" t="str">
        <f>"148"</f>
        <v>148</v>
      </c>
      <c r="G842">
        <v>9</v>
      </c>
      <c r="H842" t="str">
        <f t="shared" si="89"/>
        <v>00</v>
      </c>
      <c r="I842" t="str">
        <f t="shared" si="90"/>
        <v>0</v>
      </c>
      <c r="J842" t="str">
        <f t="shared" si="91"/>
        <v>00</v>
      </c>
      <c r="K842">
        <v>20190712</v>
      </c>
      <c r="L842" t="str">
        <f>"028683"</f>
        <v>028683</v>
      </c>
      <c r="M842" t="str">
        <f>"00528"</f>
        <v>00528</v>
      </c>
      <c r="N842" t="s">
        <v>159</v>
      </c>
      <c r="O842">
        <v>7.5</v>
      </c>
      <c r="P842">
        <v>20190712</v>
      </c>
      <c r="Q842" t="s">
        <v>160</v>
      </c>
      <c r="R842" t="s">
        <v>268</v>
      </c>
      <c r="S842" t="s">
        <v>23</v>
      </c>
      <c r="T842" t="s">
        <v>162</v>
      </c>
    </row>
    <row r="843" spans="1:20" x14ac:dyDescent="0.25">
      <c r="A843">
        <v>9</v>
      </c>
      <c r="B843">
        <v>163</v>
      </c>
      <c r="C843" t="str">
        <f t="shared" si="87"/>
        <v>00</v>
      </c>
      <c r="D843">
        <v>2159</v>
      </c>
      <c r="E843" t="str">
        <f t="shared" si="88"/>
        <v>00</v>
      </c>
      <c r="F843" t="str">
        <f>"151"</f>
        <v>151</v>
      </c>
      <c r="G843">
        <v>9</v>
      </c>
      <c r="H843" t="str">
        <f t="shared" si="89"/>
        <v>00</v>
      </c>
      <c r="I843" t="str">
        <f t="shared" si="90"/>
        <v>0</v>
      </c>
      <c r="J843" t="str">
        <f t="shared" si="91"/>
        <v>00</v>
      </c>
      <c r="K843">
        <v>20190712</v>
      </c>
      <c r="L843" t="str">
        <f>"028683"</f>
        <v>028683</v>
      </c>
      <c r="M843" t="str">
        <f>"00528"</f>
        <v>00528</v>
      </c>
      <c r="N843" t="s">
        <v>159</v>
      </c>
      <c r="O843">
        <v>3.75</v>
      </c>
      <c r="P843">
        <v>20190712</v>
      </c>
      <c r="Q843" t="s">
        <v>242</v>
      </c>
      <c r="R843" t="s">
        <v>268</v>
      </c>
      <c r="S843" t="s">
        <v>23</v>
      </c>
      <c r="T843" t="s">
        <v>243</v>
      </c>
    </row>
    <row r="844" spans="1:20" x14ac:dyDescent="0.25">
      <c r="A844">
        <v>9</v>
      </c>
      <c r="B844">
        <v>163</v>
      </c>
      <c r="C844" t="str">
        <f t="shared" si="87"/>
        <v>00</v>
      </c>
      <c r="D844">
        <v>2153</v>
      </c>
      <c r="E844" t="str">
        <f t="shared" si="88"/>
        <v>00</v>
      </c>
      <c r="F844" t="str">
        <f>"022"</f>
        <v>022</v>
      </c>
      <c r="G844">
        <v>9</v>
      </c>
      <c r="H844" t="str">
        <f t="shared" si="89"/>
        <v>00</v>
      </c>
      <c r="I844" t="str">
        <f t="shared" si="90"/>
        <v>0</v>
      </c>
      <c r="J844" t="str">
        <f t="shared" si="91"/>
        <v>00</v>
      </c>
      <c r="K844">
        <v>20190712</v>
      </c>
      <c r="L844" t="str">
        <f>"028684"</f>
        <v>028684</v>
      </c>
      <c r="M844" t="str">
        <f>"04831"</f>
        <v>04831</v>
      </c>
      <c r="N844" t="s">
        <v>28</v>
      </c>
      <c r="O844">
        <v>16.77</v>
      </c>
      <c r="P844">
        <v>20190712</v>
      </c>
      <c r="Q844" t="s">
        <v>29</v>
      </c>
      <c r="R844" t="s">
        <v>267</v>
      </c>
      <c r="S844" t="s">
        <v>23</v>
      </c>
      <c r="T844" t="s">
        <v>30</v>
      </c>
    </row>
    <row r="845" spans="1:20" x14ac:dyDescent="0.25">
      <c r="A845">
        <v>9</v>
      </c>
      <c r="B845">
        <v>163</v>
      </c>
      <c r="C845" t="str">
        <f t="shared" si="87"/>
        <v>00</v>
      </c>
      <c r="D845">
        <v>2159</v>
      </c>
      <c r="E845" t="str">
        <f t="shared" si="88"/>
        <v>00</v>
      </c>
      <c r="F845" t="str">
        <f>"018"</f>
        <v>018</v>
      </c>
      <c r="G845">
        <v>9</v>
      </c>
      <c r="H845" t="str">
        <f t="shared" si="89"/>
        <v>00</v>
      </c>
      <c r="I845" t="str">
        <f t="shared" si="90"/>
        <v>0</v>
      </c>
      <c r="J845" t="str">
        <f t="shared" si="91"/>
        <v>00</v>
      </c>
      <c r="K845">
        <v>20190712</v>
      </c>
      <c r="L845" t="str">
        <f>"028685"</f>
        <v>028685</v>
      </c>
      <c r="M845" t="str">
        <f>"04905"</f>
        <v>04905</v>
      </c>
      <c r="N845" t="s">
        <v>31</v>
      </c>
      <c r="O845">
        <v>18.37</v>
      </c>
      <c r="P845">
        <v>20190712</v>
      </c>
      <c r="Q845" t="s">
        <v>32</v>
      </c>
      <c r="R845" t="s">
        <v>268</v>
      </c>
      <c r="S845" t="s">
        <v>23</v>
      </c>
      <c r="T845" t="s">
        <v>34</v>
      </c>
    </row>
    <row r="846" spans="1:20" x14ac:dyDescent="0.25">
      <c r="A846">
        <v>9</v>
      </c>
      <c r="B846">
        <v>163</v>
      </c>
      <c r="C846" t="str">
        <f t="shared" si="87"/>
        <v>00</v>
      </c>
      <c r="D846">
        <v>2153</v>
      </c>
      <c r="E846" t="str">
        <f t="shared" si="88"/>
        <v>00</v>
      </c>
      <c r="F846" t="str">
        <f>"053"</f>
        <v>053</v>
      </c>
      <c r="G846">
        <v>9</v>
      </c>
      <c r="H846" t="str">
        <f t="shared" si="89"/>
        <v>00</v>
      </c>
      <c r="I846" t="str">
        <f t="shared" si="90"/>
        <v>0</v>
      </c>
      <c r="J846" t="str">
        <f t="shared" si="91"/>
        <v>00</v>
      </c>
      <c r="K846">
        <v>20190712</v>
      </c>
      <c r="L846" t="str">
        <f>"028686"</f>
        <v>028686</v>
      </c>
      <c r="M846" t="str">
        <f>"04987"</f>
        <v>04987</v>
      </c>
      <c r="N846" t="s">
        <v>35</v>
      </c>
      <c r="O846">
        <v>13.76</v>
      </c>
      <c r="P846">
        <v>20190712</v>
      </c>
      <c r="Q846" t="s">
        <v>36</v>
      </c>
      <c r="R846" t="s">
        <v>267</v>
      </c>
      <c r="S846" t="s">
        <v>23</v>
      </c>
      <c r="T846" t="s">
        <v>37</v>
      </c>
    </row>
    <row r="847" spans="1:20" x14ac:dyDescent="0.25">
      <c r="A847">
        <v>9</v>
      </c>
      <c r="B847">
        <v>163</v>
      </c>
      <c r="C847" t="str">
        <f t="shared" si="87"/>
        <v>00</v>
      </c>
      <c r="D847">
        <v>2159</v>
      </c>
      <c r="E847" t="str">
        <f t="shared" si="88"/>
        <v>00</v>
      </c>
      <c r="F847" t="str">
        <f>"068"</f>
        <v>068</v>
      </c>
      <c r="G847">
        <v>9</v>
      </c>
      <c r="H847" t="str">
        <f t="shared" si="89"/>
        <v>00</v>
      </c>
      <c r="I847" t="str">
        <f t="shared" si="90"/>
        <v>0</v>
      </c>
      <c r="J847" t="str">
        <f t="shared" si="91"/>
        <v>00</v>
      </c>
      <c r="K847">
        <v>20190712</v>
      </c>
      <c r="L847" t="str">
        <f>"028687"</f>
        <v>028687</v>
      </c>
      <c r="M847" t="str">
        <f>"10095"</f>
        <v>10095</v>
      </c>
      <c r="N847" t="s">
        <v>83</v>
      </c>
      <c r="O847">
        <v>14.59</v>
      </c>
      <c r="P847">
        <v>20190712</v>
      </c>
      <c r="Q847" t="s">
        <v>84</v>
      </c>
      <c r="R847" t="s">
        <v>268</v>
      </c>
      <c r="S847" t="s">
        <v>23</v>
      </c>
      <c r="T847" t="s">
        <v>85</v>
      </c>
    </row>
    <row r="848" spans="1:20" x14ac:dyDescent="0.25">
      <c r="A848">
        <v>9</v>
      </c>
      <c r="B848">
        <v>163</v>
      </c>
      <c r="C848" t="str">
        <f t="shared" si="87"/>
        <v>00</v>
      </c>
      <c r="D848">
        <v>2153</v>
      </c>
      <c r="E848" t="str">
        <f t="shared" si="88"/>
        <v>00</v>
      </c>
      <c r="F848" t="str">
        <f>"011"</f>
        <v>011</v>
      </c>
      <c r="G848">
        <v>9</v>
      </c>
      <c r="H848" t="str">
        <f t="shared" si="89"/>
        <v>00</v>
      </c>
      <c r="I848" t="str">
        <f t="shared" si="90"/>
        <v>0</v>
      </c>
      <c r="J848" t="str">
        <f t="shared" si="91"/>
        <v>00</v>
      </c>
      <c r="K848">
        <v>20190712</v>
      </c>
      <c r="L848" t="str">
        <f>"028688"</f>
        <v>028688</v>
      </c>
      <c r="M848" t="str">
        <f>"11211"</f>
        <v>11211</v>
      </c>
      <c r="N848" t="s">
        <v>41</v>
      </c>
      <c r="O848">
        <v>126.71</v>
      </c>
      <c r="P848">
        <v>20190712</v>
      </c>
      <c r="Q848" t="s">
        <v>42</v>
      </c>
      <c r="R848" t="s">
        <v>267</v>
      </c>
      <c r="S848" t="s">
        <v>23</v>
      </c>
      <c r="T848" t="s">
        <v>43</v>
      </c>
    </row>
    <row r="849" spans="1:20" x14ac:dyDescent="0.25">
      <c r="A849">
        <v>9</v>
      </c>
      <c r="B849">
        <v>163</v>
      </c>
      <c r="C849" t="str">
        <f t="shared" si="87"/>
        <v>00</v>
      </c>
      <c r="D849">
        <v>2153</v>
      </c>
      <c r="E849" t="str">
        <f t="shared" si="88"/>
        <v>00</v>
      </c>
      <c r="F849" t="str">
        <f>"112"</f>
        <v>112</v>
      </c>
      <c r="G849">
        <v>9</v>
      </c>
      <c r="H849" t="str">
        <f t="shared" si="89"/>
        <v>00</v>
      </c>
      <c r="I849" t="str">
        <f t="shared" si="90"/>
        <v>0</v>
      </c>
      <c r="J849" t="str">
        <f t="shared" si="91"/>
        <v>00</v>
      </c>
      <c r="K849">
        <v>20190712</v>
      </c>
      <c r="L849" t="str">
        <f>"028688"</f>
        <v>028688</v>
      </c>
      <c r="M849" t="str">
        <f>"11211"</f>
        <v>11211</v>
      </c>
      <c r="N849" t="s">
        <v>41</v>
      </c>
      <c r="O849">
        <v>32.61</v>
      </c>
      <c r="P849">
        <v>20190712</v>
      </c>
      <c r="Q849" t="s">
        <v>197</v>
      </c>
      <c r="R849" t="s">
        <v>267</v>
      </c>
      <c r="S849" t="s">
        <v>23</v>
      </c>
      <c r="T849" t="s">
        <v>198</v>
      </c>
    </row>
    <row r="850" spans="1:20" x14ac:dyDescent="0.25">
      <c r="A850">
        <v>9</v>
      </c>
      <c r="B850">
        <v>163</v>
      </c>
      <c r="C850" t="str">
        <f t="shared" si="87"/>
        <v>00</v>
      </c>
      <c r="D850">
        <v>2159</v>
      </c>
      <c r="E850" t="str">
        <f t="shared" si="88"/>
        <v>00</v>
      </c>
      <c r="F850" t="str">
        <f>"104"</f>
        <v>104</v>
      </c>
      <c r="G850">
        <v>9</v>
      </c>
      <c r="H850" t="str">
        <f t="shared" si="89"/>
        <v>00</v>
      </c>
      <c r="I850" t="str">
        <f t="shared" si="90"/>
        <v>0</v>
      </c>
      <c r="J850" t="str">
        <f t="shared" si="91"/>
        <v>00</v>
      </c>
      <c r="K850">
        <v>20190712</v>
      </c>
      <c r="L850" t="str">
        <f>"028689"</f>
        <v>028689</v>
      </c>
      <c r="M850" t="str">
        <f>"14177"</f>
        <v>14177</v>
      </c>
      <c r="N850" t="s">
        <v>163</v>
      </c>
      <c r="O850">
        <v>79.5</v>
      </c>
      <c r="P850">
        <v>20190712</v>
      </c>
      <c r="Q850" t="s">
        <v>45</v>
      </c>
      <c r="R850" t="s">
        <v>268</v>
      </c>
      <c r="S850" t="s">
        <v>23</v>
      </c>
      <c r="T850" t="s">
        <v>46</v>
      </c>
    </row>
    <row r="851" spans="1:20" x14ac:dyDescent="0.25">
      <c r="A851">
        <v>9</v>
      </c>
      <c r="B851">
        <v>163</v>
      </c>
      <c r="C851" t="str">
        <f t="shared" si="87"/>
        <v>00</v>
      </c>
      <c r="D851">
        <v>2153</v>
      </c>
      <c r="E851" t="str">
        <f t="shared" si="88"/>
        <v>00</v>
      </c>
      <c r="F851" t="str">
        <f>"110"</f>
        <v>110</v>
      </c>
      <c r="G851">
        <v>9</v>
      </c>
      <c r="H851" t="str">
        <f t="shared" si="89"/>
        <v>00</v>
      </c>
      <c r="I851" t="str">
        <f t="shared" si="90"/>
        <v>0</v>
      </c>
      <c r="J851" t="str">
        <f t="shared" si="91"/>
        <v>00</v>
      </c>
      <c r="K851">
        <v>20190712</v>
      </c>
      <c r="L851" t="str">
        <f>"028690"</f>
        <v>028690</v>
      </c>
      <c r="M851" t="str">
        <f>"48947"</f>
        <v>48947</v>
      </c>
      <c r="N851" t="s">
        <v>47</v>
      </c>
      <c r="O851">
        <v>34.78</v>
      </c>
      <c r="P851">
        <v>20190712</v>
      </c>
      <c r="Q851" t="s">
        <v>48</v>
      </c>
      <c r="R851" t="s">
        <v>266</v>
      </c>
      <c r="S851" t="s">
        <v>23</v>
      </c>
      <c r="T851" t="s">
        <v>49</v>
      </c>
    </row>
    <row r="852" spans="1:20" x14ac:dyDescent="0.25">
      <c r="A852">
        <v>9</v>
      </c>
      <c r="B852">
        <v>163</v>
      </c>
      <c r="C852" t="str">
        <f t="shared" si="87"/>
        <v>00</v>
      </c>
      <c r="D852">
        <v>2159</v>
      </c>
      <c r="E852" t="str">
        <f t="shared" si="88"/>
        <v>00</v>
      </c>
      <c r="F852" t="str">
        <f>"131"</f>
        <v>131</v>
      </c>
      <c r="G852">
        <v>9</v>
      </c>
      <c r="H852" t="str">
        <f t="shared" si="89"/>
        <v>00</v>
      </c>
      <c r="I852" t="str">
        <f t="shared" si="90"/>
        <v>0</v>
      </c>
      <c r="J852" t="str">
        <f t="shared" si="91"/>
        <v>00</v>
      </c>
      <c r="K852">
        <v>20190712</v>
      </c>
      <c r="L852" t="str">
        <f>"028691"</f>
        <v>028691</v>
      </c>
      <c r="M852" t="str">
        <f>"54196"</f>
        <v>54196</v>
      </c>
      <c r="N852" t="s">
        <v>50</v>
      </c>
      <c r="O852">
        <v>50</v>
      </c>
      <c r="P852">
        <v>20190712</v>
      </c>
      <c r="Q852" t="s">
        <v>51</v>
      </c>
      <c r="R852" t="s">
        <v>269</v>
      </c>
      <c r="S852" t="s">
        <v>23</v>
      </c>
      <c r="T852" t="s">
        <v>53</v>
      </c>
    </row>
    <row r="853" spans="1:20" x14ac:dyDescent="0.25">
      <c r="A853">
        <v>9</v>
      </c>
      <c r="B853">
        <v>163</v>
      </c>
      <c r="C853" t="str">
        <f t="shared" si="87"/>
        <v>00</v>
      </c>
      <c r="D853">
        <v>2159</v>
      </c>
      <c r="E853" t="str">
        <f t="shared" si="88"/>
        <v>00</v>
      </c>
      <c r="F853" t="str">
        <f>"111"</f>
        <v>111</v>
      </c>
      <c r="G853">
        <v>9</v>
      </c>
      <c r="H853" t="str">
        <f t="shared" si="89"/>
        <v>00</v>
      </c>
      <c r="I853" t="str">
        <f t="shared" si="90"/>
        <v>0</v>
      </c>
      <c r="J853" t="str">
        <f t="shared" si="91"/>
        <v>00</v>
      </c>
      <c r="K853">
        <v>20190712</v>
      </c>
      <c r="L853" t="str">
        <f>"028692"</f>
        <v>028692</v>
      </c>
      <c r="M853" t="str">
        <f>"72601"</f>
        <v>72601</v>
      </c>
      <c r="N853" t="s">
        <v>54</v>
      </c>
      <c r="O853">
        <v>322.45</v>
      </c>
      <c r="P853">
        <v>20190712</v>
      </c>
      <c r="Q853" t="s">
        <v>55</v>
      </c>
      <c r="R853" t="s">
        <v>268</v>
      </c>
      <c r="S853" t="s">
        <v>23</v>
      </c>
      <c r="T853" t="s">
        <v>56</v>
      </c>
    </row>
    <row r="854" spans="1:20" x14ac:dyDescent="0.25">
      <c r="A854">
        <v>9</v>
      </c>
      <c r="B854">
        <v>163</v>
      </c>
      <c r="C854" t="str">
        <f t="shared" si="87"/>
        <v>00</v>
      </c>
      <c r="D854">
        <v>2159</v>
      </c>
      <c r="E854" t="str">
        <f t="shared" si="88"/>
        <v>00</v>
      </c>
      <c r="F854" t="str">
        <f>"113"</f>
        <v>113</v>
      </c>
      <c r="G854">
        <v>9</v>
      </c>
      <c r="H854" t="str">
        <f t="shared" si="89"/>
        <v>00</v>
      </c>
      <c r="I854" t="str">
        <f t="shared" si="90"/>
        <v>0</v>
      </c>
      <c r="J854" t="str">
        <f t="shared" si="91"/>
        <v>00</v>
      </c>
      <c r="K854">
        <v>20190712</v>
      </c>
      <c r="L854" t="str">
        <f>"028692"</f>
        <v>028692</v>
      </c>
      <c r="M854" t="str">
        <f>"72601"</f>
        <v>72601</v>
      </c>
      <c r="N854" t="s">
        <v>54</v>
      </c>
      <c r="O854">
        <v>94.64</v>
      </c>
      <c r="P854">
        <v>20190712</v>
      </c>
      <c r="Q854" t="s">
        <v>262</v>
      </c>
      <c r="R854" t="s">
        <v>268</v>
      </c>
      <c r="S854" t="s">
        <v>23</v>
      </c>
      <c r="T854" t="s">
        <v>263</v>
      </c>
    </row>
    <row r="855" spans="1:20" x14ac:dyDescent="0.25">
      <c r="A855">
        <v>9</v>
      </c>
      <c r="B855">
        <v>163</v>
      </c>
      <c r="C855" t="str">
        <f t="shared" si="87"/>
        <v>00</v>
      </c>
      <c r="D855">
        <v>2153</v>
      </c>
      <c r="E855" t="str">
        <f t="shared" si="88"/>
        <v>00</v>
      </c>
      <c r="F855" t="str">
        <f>"006"</f>
        <v>006</v>
      </c>
      <c r="G855">
        <v>9</v>
      </c>
      <c r="H855" t="str">
        <f t="shared" si="89"/>
        <v>00</v>
      </c>
      <c r="I855" t="str">
        <f t="shared" si="90"/>
        <v>0</v>
      </c>
      <c r="J855" t="str">
        <f t="shared" si="91"/>
        <v>00</v>
      </c>
      <c r="K855">
        <v>20190712</v>
      </c>
      <c r="L855" t="str">
        <f>"028693"</f>
        <v>028693</v>
      </c>
      <c r="M855" t="str">
        <f>"75452"</f>
        <v>75452</v>
      </c>
      <c r="N855" t="s">
        <v>57</v>
      </c>
      <c r="O855">
        <v>235.11</v>
      </c>
      <c r="P855">
        <v>20190712</v>
      </c>
      <c r="Q855" t="s">
        <v>58</v>
      </c>
      <c r="R855" t="s">
        <v>267</v>
      </c>
      <c r="S855" t="s">
        <v>23</v>
      </c>
      <c r="T855" t="s">
        <v>59</v>
      </c>
    </row>
    <row r="856" spans="1:20" x14ac:dyDescent="0.25">
      <c r="A856">
        <v>9</v>
      </c>
      <c r="B856">
        <v>163</v>
      </c>
      <c r="C856" t="str">
        <f t="shared" si="87"/>
        <v>00</v>
      </c>
      <c r="D856">
        <v>2153</v>
      </c>
      <c r="E856" t="str">
        <f t="shared" si="88"/>
        <v>00</v>
      </c>
      <c r="F856" t="str">
        <f>"128"</f>
        <v>128</v>
      </c>
      <c r="G856">
        <v>9</v>
      </c>
      <c r="H856" t="str">
        <f t="shared" si="89"/>
        <v>00</v>
      </c>
      <c r="I856" t="str">
        <f t="shared" si="90"/>
        <v>0</v>
      </c>
      <c r="J856" t="str">
        <f t="shared" si="91"/>
        <v>00</v>
      </c>
      <c r="K856">
        <v>20190712</v>
      </c>
      <c r="L856" t="str">
        <f>"028693"</f>
        <v>028693</v>
      </c>
      <c r="M856" t="str">
        <f>"75452"</f>
        <v>75452</v>
      </c>
      <c r="N856" t="s">
        <v>57</v>
      </c>
      <c r="O856">
        <v>188.33</v>
      </c>
      <c r="P856">
        <v>20190712</v>
      </c>
      <c r="Q856" t="s">
        <v>264</v>
      </c>
      <c r="R856" t="s">
        <v>267</v>
      </c>
      <c r="S856" t="s">
        <v>23</v>
      </c>
      <c r="T856" t="s">
        <v>265</v>
      </c>
    </row>
    <row r="857" spans="1:20" x14ac:dyDescent="0.25">
      <c r="A857">
        <v>9</v>
      </c>
      <c r="B857">
        <v>163</v>
      </c>
      <c r="C857" t="str">
        <f t="shared" si="87"/>
        <v>00</v>
      </c>
      <c r="D857">
        <v>2159</v>
      </c>
      <c r="E857" t="str">
        <f t="shared" si="88"/>
        <v>00</v>
      </c>
      <c r="F857" t="str">
        <f>"100"</f>
        <v>100</v>
      </c>
      <c r="G857">
        <v>9</v>
      </c>
      <c r="H857" t="str">
        <f t="shared" si="89"/>
        <v>00</v>
      </c>
      <c r="I857" t="str">
        <f t="shared" si="90"/>
        <v>0</v>
      </c>
      <c r="J857" t="str">
        <f t="shared" si="91"/>
        <v>00</v>
      </c>
      <c r="K857">
        <v>20190712</v>
      </c>
      <c r="L857" t="str">
        <f>"028694"</f>
        <v>028694</v>
      </c>
      <c r="M857" t="str">
        <f>"81177"</f>
        <v>81177</v>
      </c>
      <c r="N857" t="s">
        <v>66</v>
      </c>
      <c r="O857">
        <v>64</v>
      </c>
      <c r="P857">
        <v>20190712</v>
      </c>
      <c r="Q857" t="s">
        <v>67</v>
      </c>
      <c r="R857" t="s">
        <v>268</v>
      </c>
      <c r="S857" t="s">
        <v>23</v>
      </c>
      <c r="T857" t="s">
        <v>68</v>
      </c>
    </row>
    <row r="858" spans="1:20" x14ac:dyDescent="0.25">
      <c r="A858">
        <v>9</v>
      </c>
      <c r="B858">
        <v>163</v>
      </c>
      <c r="C858" t="str">
        <f t="shared" si="87"/>
        <v>00</v>
      </c>
      <c r="D858">
        <v>2153</v>
      </c>
      <c r="E858" t="str">
        <f t="shared" si="88"/>
        <v>00</v>
      </c>
      <c r="F858" t="str">
        <f>"141"</f>
        <v>141</v>
      </c>
      <c r="G858">
        <v>9</v>
      </c>
      <c r="H858" t="str">
        <f t="shared" si="89"/>
        <v>00</v>
      </c>
      <c r="I858" t="str">
        <f t="shared" si="90"/>
        <v>0</v>
      </c>
      <c r="J858" t="str">
        <f t="shared" si="91"/>
        <v>00</v>
      </c>
      <c r="K858">
        <v>20190715</v>
      </c>
      <c r="L858" t="str">
        <f>"028761"</f>
        <v>028761</v>
      </c>
      <c r="M858" t="str">
        <f>"00068"</f>
        <v>00068</v>
      </c>
      <c r="N858" t="s">
        <v>20</v>
      </c>
      <c r="O858" s="1">
        <v>5045.3</v>
      </c>
      <c r="P858">
        <v>20190715</v>
      </c>
      <c r="Q858" t="s">
        <v>21</v>
      </c>
      <c r="R858" t="s">
        <v>266</v>
      </c>
      <c r="S858" t="s">
        <v>23</v>
      </c>
      <c r="T858" t="s">
        <v>24</v>
      </c>
    </row>
    <row r="859" spans="1:20" x14ac:dyDescent="0.25">
      <c r="A859">
        <v>9</v>
      </c>
      <c r="B859">
        <v>163</v>
      </c>
      <c r="C859" t="str">
        <f t="shared" si="87"/>
        <v>00</v>
      </c>
      <c r="D859">
        <v>2153</v>
      </c>
      <c r="E859" t="str">
        <f t="shared" si="88"/>
        <v>00</v>
      </c>
      <c r="F859" t="str">
        <f>"142"</f>
        <v>142</v>
      </c>
      <c r="G859">
        <v>9</v>
      </c>
      <c r="H859" t="str">
        <f t="shared" si="89"/>
        <v>00</v>
      </c>
      <c r="I859" t="str">
        <f t="shared" si="90"/>
        <v>0</v>
      </c>
      <c r="J859" t="str">
        <f t="shared" si="91"/>
        <v>00</v>
      </c>
      <c r="K859">
        <v>20190715</v>
      </c>
      <c r="L859" t="str">
        <f>"028761"</f>
        <v>028761</v>
      </c>
      <c r="M859" t="str">
        <f>"00068"</f>
        <v>00068</v>
      </c>
      <c r="N859" t="s">
        <v>20</v>
      </c>
      <c r="O859" s="1">
        <v>9411.4</v>
      </c>
      <c r="P859">
        <v>20190715</v>
      </c>
      <c r="Q859" t="s">
        <v>25</v>
      </c>
      <c r="R859" t="s">
        <v>267</v>
      </c>
      <c r="S859" t="s">
        <v>23</v>
      </c>
      <c r="T859" t="s">
        <v>27</v>
      </c>
    </row>
    <row r="860" spans="1:20" x14ac:dyDescent="0.25">
      <c r="A860">
        <v>9</v>
      </c>
      <c r="B860">
        <v>163</v>
      </c>
      <c r="C860" t="str">
        <f t="shared" si="87"/>
        <v>00</v>
      </c>
      <c r="D860">
        <v>2159</v>
      </c>
      <c r="E860" t="str">
        <f t="shared" si="88"/>
        <v>00</v>
      </c>
      <c r="F860" t="str">
        <f>"143"</f>
        <v>143</v>
      </c>
      <c r="G860">
        <v>9</v>
      </c>
      <c r="H860" t="str">
        <f t="shared" si="89"/>
        <v>00</v>
      </c>
      <c r="I860" t="str">
        <f t="shared" si="90"/>
        <v>0</v>
      </c>
      <c r="J860" t="str">
        <f t="shared" si="91"/>
        <v>00</v>
      </c>
      <c r="K860">
        <v>20190715</v>
      </c>
      <c r="L860" t="str">
        <f>"028762"</f>
        <v>028762</v>
      </c>
      <c r="M860" t="str">
        <f>"00069"</f>
        <v>00069</v>
      </c>
      <c r="N860" t="s">
        <v>72</v>
      </c>
      <c r="O860">
        <v>312.83</v>
      </c>
      <c r="P860">
        <v>20190715</v>
      </c>
      <c r="Q860" t="s">
        <v>73</v>
      </c>
      <c r="R860" t="s">
        <v>268</v>
      </c>
      <c r="S860" t="s">
        <v>23</v>
      </c>
      <c r="T860" t="s">
        <v>74</v>
      </c>
    </row>
    <row r="861" spans="1:20" x14ac:dyDescent="0.25">
      <c r="A861">
        <v>9</v>
      </c>
      <c r="B861">
        <v>163</v>
      </c>
      <c r="C861" t="str">
        <f t="shared" si="87"/>
        <v>00</v>
      </c>
      <c r="D861">
        <v>2159</v>
      </c>
      <c r="E861" t="str">
        <f t="shared" si="88"/>
        <v>00</v>
      </c>
      <c r="F861" t="str">
        <f>"146"</f>
        <v>146</v>
      </c>
      <c r="G861">
        <v>9</v>
      </c>
      <c r="H861" t="str">
        <f t="shared" si="89"/>
        <v>00</v>
      </c>
      <c r="I861" t="str">
        <f t="shared" si="90"/>
        <v>0</v>
      </c>
      <c r="J861" t="str">
        <f t="shared" si="91"/>
        <v>00</v>
      </c>
      <c r="K861">
        <v>20190715</v>
      </c>
      <c r="L861" t="str">
        <f>"028763"</f>
        <v>028763</v>
      </c>
      <c r="M861" t="str">
        <f>"00086"</f>
        <v>00086</v>
      </c>
      <c r="N861" t="s">
        <v>75</v>
      </c>
      <c r="O861">
        <v>305.68</v>
      </c>
      <c r="P861">
        <v>20190715</v>
      </c>
      <c r="Q861" t="s">
        <v>76</v>
      </c>
      <c r="R861" t="s">
        <v>268</v>
      </c>
      <c r="S861" t="s">
        <v>23</v>
      </c>
      <c r="T861" t="s">
        <v>75</v>
      </c>
    </row>
    <row r="862" spans="1:20" x14ac:dyDescent="0.25">
      <c r="A862">
        <v>9</v>
      </c>
      <c r="B862">
        <v>163</v>
      </c>
      <c r="C862" t="str">
        <f t="shared" si="87"/>
        <v>00</v>
      </c>
      <c r="D862">
        <v>2159</v>
      </c>
      <c r="E862" t="str">
        <f t="shared" si="88"/>
        <v>00</v>
      </c>
      <c r="F862" t="str">
        <f>"147"</f>
        <v>147</v>
      </c>
      <c r="G862">
        <v>9</v>
      </c>
      <c r="H862" t="str">
        <f t="shared" si="89"/>
        <v>00</v>
      </c>
      <c r="I862" t="str">
        <f t="shared" si="90"/>
        <v>0</v>
      </c>
      <c r="J862" t="str">
        <f t="shared" si="91"/>
        <v>00</v>
      </c>
      <c r="K862">
        <v>20190715</v>
      </c>
      <c r="L862" t="str">
        <f>"028764"</f>
        <v>028764</v>
      </c>
      <c r="M862" t="str">
        <f>"00248"</f>
        <v>00248</v>
      </c>
      <c r="N862" t="s">
        <v>77</v>
      </c>
      <c r="O862" s="1">
        <v>1985.78</v>
      </c>
      <c r="P862">
        <v>20190715</v>
      </c>
      <c r="Q862" t="s">
        <v>78</v>
      </c>
      <c r="R862" t="s">
        <v>268</v>
      </c>
      <c r="S862" t="s">
        <v>23</v>
      </c>
      <c r="T862" t="s">
        <v>79</v>
      </c>
    </row>
    <row r="863" spans="1:20" x14ac:dyDescent="0.25">
      <c r="A863">
        <v>9</v>
      </c>
      <c r="B863">
        <v>163</v>
      </c>
      <c r="C863" t="str">
        <f t="shared" si="87"/>
        <v>00</v>
      </c>
      <c r="D863">
        <v>2159</v>
      </c>
      <c r="E863" t="str">
        <f t="shared" si="88"/>
        <v>00</v>
      </c>
      <c r="F863" t="str">
        <f>"148"</f>
        <v>148</v>
      </c>
      <c r="G863">
        <v>9</v>
      </c>
      <c r="H863" t="str">
        <f t="shared" si="89"/>
        <v>00</v>
      </c>
      <c r="I863" t="str">
        <f t="shared" si="90"/>
        <v>0</v>
      </c>
      <c r="J863" t="str">
        <f t="shared" si="91"/>
        <v>00</v>
      </c>
      <c r="K863">
        <v>20190715</v>
      </c>
      <c r="L863" t="str">
        <f>"028765"</f>
        <v>028765</v>
      </c>
      <c r="M863" t="str">
        <f>"00528"</f>
        <v>00528</v>
      </c>
      <c r="N863" t="s">
        <v>159</v>
      </c>
      <c r="O863">
        <v>780</v>
      </c>
      <c r="P863">
        <v>20190715</v>
      </c>
      <c r="Q863" t="s">
        <v>160</v>
      </c>
      <c r="R863" t="s">
        <v>268</v>
      </c>
      <c r="S863" t="s">
        <v>23</v>
      </c>
      <c r="T863" t="s">
        <v>162</v>
      </c>
    </row>
    <row r="864" spans="1:20" x14ac:dyDescent="0.25">
      <c r="A864">
        <v>9</v>
      </c>
      <c r="B864">
        <v>163</v>
      </c>
      <c r="C864" t="str">
        <f t="shared" si="87"/>
        <v>00</v>
      </c>
      <c r="D864">
        <v>2153</v>
      </c>
      <c r="E864" t="str">
        <f t="shared" si="88"/>
        <v>00</v>
      </c>
      <c r="F864" t="str">
        <f>"022"</f>
        <v>022</v>
      </c>
      <c r="G864">
        <v>9</v>
      </c>
      <c r="H864" t="str">
        <f t="shared" si="89"/>
        <v>00</v>
      </c>
      <c r="I864" t="str">
        <f t="shared" si="90"/>
        <v>0</v>
      </c>
      <c r="J864" t="str">
        <f t="shared" si="91"/>
        <v>00</v>
      </c>
      <c r="K864">
        <v>20190715</v>
      </c>
      <c r="L864" t="str">
        <f>"028766"</f>
        <v>028766</v>
      </c>
      <c r="M864" t="str">
        <f>"04831"</f>
        <v>04831</v>
      </c>
      <c r="N864" t="s">
        <v>28</v>
      </c>
      <c r="O864" s="1">
        <v>1616.93</v>
      </c>
      <c r="P864">
        <v>20190715</v>
      </c>
      <c r="Q864" t="s">
        <v>29</v>
      </c>
      <c r="R864" t="s">
        <v>267</v>
      </c>
      <c r="S864" t="s">
        <v>23</v>
      </c>
      <c r="T864" t="s">
        <v>30</v>
      </c>
    </row>
    <row r="865" spans="1:20" x14ac:dyDescent="0.25">
      <c r="A865">
        <v>9</v>
      </c>
      <c r="B865">
        <v>163</v>
      </c>
      <c r="C865" t="str">
        <f t="shared" si="87"/>
        <v>00</v>
      </c>
      <c r="D865">
        <v>2159</v>
      </c>
      <c r="E865" t="str">
        <f t="shared" si="88"/>
        <v>00</v>
      </c>
      <c r="F865" t="str">
        <f>"018"</f>
        <v>018</v>
      </c>
      <c r="G865">
        <v>9</v>
      </c>
      <c r="H865" t="str">
        <f t="shared" si="89"/>
        <v>00</v>
      </c>
      <c r="I865" t="str">
        <f t="shared" si="90"/>
        <v>0</v>
      </c>
      <c r="J865" t="str">
        <f t="shared" si="91"/>
        <v>00</v>
      </c>
      <c r="K865">
        <v>20190715</v>
      </c>
      <c r="L865" t="str">
        <f>"028767"</f>
        <v>028767</v>
      </c>
      <c r="M865" t="str">
        <f>"04905"</f>
        <v>04905</v>
      </c>
      <c r="N865" t="s">
        <v>31</v>
      </c>
      <c r="O865" s="1">
        <v>3022.99</v>
      </c>
      <c r="P865">
        <v>20190715</v>
      </c>
      <c r="Q865" t="s">
        <v>32</v>
      </c>
      <c r="R865" t="s">
        <v>268</v>
      </c>
      <c r="S865" t="s">
        <v>23</v>
      </c>
      <c r="T865" t="s">
        <v>34</v>
      </c>
    </row>
    <row r="866" spans="1:20" x14ac:dyDescent="0.25">
      <c r="A866">
        <v>9</v>
      </c>
      <c r="B866">
        <v>163</v>
      </c>
      <c r="C866" t="str">
        <f t="shared" si="87"/>
        <v>00</v>
      </c>
      <c r="D866">
        <v>2153</v>
      </c>
      <c r="E866" t="str">
        <f t="shared" si="88"/>
        <v>00</v>
      </c>
      <c r="F866" t="str">
        <f>"053"</f>
        <v>053</v>
      </c>
      <c r="G866">
        <v>9</v>
      </c>
      <c r="H866" t="str">
        <f t="shared" si="89"/>
        <v>00</v>
      </c>
      <c r="I866" t="str">
        <f t="shared" si="90"/>
        <v>0</v>
      </c>
      <c r="J866" t="str">
        <f t="shared" si="91"/>
        <v>00</v>
      </c>
      <c r="K866">
        <v>20190715</v>
      </c>
      <c r="L866" t="str">
        <f>"028768"</f>
        <v>028768</v>
      </c>
      <c r="M866" t="str">
        <f>"04987"</f>
        <v>04987</v>
      </c>
      <c r="N866" t="s">
        <v>35</v>
      </c>
      <c r="O866">
        <v>895.28</v>
      </c>
      <c r="P866">
        <v>20190715</v>
      </c>
      <c r="Q866" t="s">
        <v>36</v>
      </c>
      <c r="R866" t="s">
        <v>267</v>
      </c>
      <c r="S866" t="s">
        <v>23</v>
      </c>
      <c r="T866" t="s">
        <v>37</v>
      </c>
    </row>
    <row r="867" spans="1:20" x14ac:dyDescent="0.25">
      <c r="A867">
        <v>9</v>
      </c>
      <c r="B867">
        <v>163</v>
      </c>
      <c r="C867" t="str">
        <f t="shared" si="87"/>
        <v>00</v>
      </c>
      <c r="D867">
        <v>2159</v>
      </c>
      <c r="E867" t="str">
        <f t="shared" si="88"/>
        <v>00</v>
      </c>
      <c r="F867" t="str">
        <f>"009"</f>
        <v>009</v>
      </c>
      <c r="G867">
        <v>9</v>
      </c>
      <c r="H867" t="str">
        <f t="shared" si="89"/>
        <v>00</v>
      </c>
      <c r="I867" t="str">
        <f t="shared" si="90"/>
        <v>0</v>
      </c>
      <c r="J867" t="str">
        <f t="shared" si="91"/>
        <v>00</v>
      </c>
      <c r="K867">
        <v>20190715</v>
      </c>
      <c r="L867" t="str">
        <f>"028769"</f>
        <v>028769</v>
      </c>
      <c r="M867" t="str">
        <f>"07710"</f>
        <v>07710</v>
      </c>
      <c r="N867" t="s">
        <v>38</v>
      </c>
      <c r="O867">
        <v>611.45000000000005</v>
      </c>
      <c r="P867">
        <v>20190715</v>
      </c>
      <c r="Q867" t="s">
        <v>39</v>
      </c>
      <c r="R867" t="s">
        <v>268</v>
      </c>
      <c r="S867" t="s">
        <v>23</v>
      </c>
      <c r="T867" t="s">
        <v>40</v>
      </c>
    </row>
    <row r="868" spans="1:20" x14ac:dyDescent="0.25">
      <c r="A868">
        <v>9</v>
      </c>
      <c r="B868">
        <v>163</v>
      </c>
      <c r="C868" t="str">
        <f t="shared" si="87"/>
        <v>00</v>
      </c>
      <c r="D868">
        <v>2159</v>
      </c>
      <c r="E868" t="str">
        <f t="shared" si="88"/>
        <v>00</v>
      </c>
      <c r="F868" t="str">
        <f>"068"</f>
        <v>068</v>
      </c>
      <c r="G868">
        <v>9</v>
      </c>
      <c r="H868" t="str">
        <f t="shared" si="89"/>
        <v>00</v>
      </c>
      <c r="I868" t="str">
        <f t="shared" si="90"/>
        <v>0</v>
      </c>
      <c r="J868" t="str">
        <f t="shared" si="91"/>
        <v>00</v>
      </c>
      <c r="K868">
        <v>20190715</v>
      </c>
      <c r="L868" t="str">
        <f>"028770"</f>
        <v>028770</v>
      </c>
      <c r="M868" t="str">
        <f>"10095"</f>
        <v>10095</v>
      </c>
      <c r="N868" t="s">
        <v>83</v>
      </c>
      <c r="O868">
        <v>245.47</v>
      </c>
      <c r="P868">
        <v>20190715</v>
      </c>
      <c r="Q868" t="s">
        <v>84</v>
      </c>
      <c r="R868" t="s">
        <v>268</v>
      </c>
      <c r="S868" t="s">
        <v>23</v>
      </c>
      <c r="T868" t="s">
        <v>85</v>
      </c>
    </row>
    <row r="869" spans="1:20" x14ac:dyDescent="0.25">
      <c r="A869">
        <v>9</v>
      </c>
      <c r="B869">
        <v>163</v>
      </c>
      <c r="C869" t="str">
        <f t="shared" si="87"/>
        <v>00</v>
      </c>
      <c r="D869">
        <v>2153</v>
      </c>
      <c r="E869" t="str">
        <f t="shared" si="88"/>
        <v>00</v>
      </c>
      <c r="F869" t="str">
        <f>"011"</f>
        <v>011</v>
      </c>
      <c r="G869">
        <v>9</v>
      </c>
      <c r="H869" t="str">
        <f t="shared" si="89"/>
        <v>00</v>
      </c>
      <c r="I869" t="str">
        <f t="shared" si="90"/>
        <v>0</v>
      </c>
      <c r="J869" t="str">
        <f t="shared" si="91"/>
        <v>00</v>
      </c>
      <c r="K869">
        <v>20190715</v>
      </c>
      <c r="L869" t="str">
        <f>"028771"</f>
        <v>028771</v>
      </c>
      <c r="M869" t="str">
        <f>"11211"</f>
        <v>11211</v>
      </c>
      <c r="N869" t="s">
        <v>41</v>
      </c>
      <c r="O869" s="1">
        <v>2584.75</v>
      </c>
      <c r="P869">
        <v>20190715</v>
      </c>
      <c r="Q869" t="s">
        <v>42</v>
      </c>
      <c r="R869" t="s">
        <v>267</v>
      </c>
      <c r="S869" t="s">
        <v>23</v>
      </c>
      <c r="T869" t="s">
        <v>43</v>
      </c>
    </row>
    <row r="870" spans="1:20" x14ac:dyDescent="0.25">
      <c r="A870">
        <v>9</v>
      </c>
      <c r="B870">
        <v>163</v>
      </c>
      <c r="C870" t="str">
        <f t="shared" si="87"/>
        <v>00</v>
      </c>
      <c r="D870">
        <v>2159</v>
      </c>
      <c r="E870" t="str">
        <f t="shared" si="88"/>
        <v>00</v>
      </c>
      <c r="F870" t="str">
        <f>"104"</f>
        <v>104</v>
      </c>
      <c r="G870">
        <v>9</v>
      </c>
      <c r="H870" t="str">
        <f t="shared" si="89"/>
        <v>00</v>
      </c>
      <c r="I870" t="str">
        <f t="shared" si="90"/>
        <v>0</v>
      </c>
      <c r="J870" t="str">
        <f t="shared" si="91"/>
        <v>00</v>
      </c>
      <c r="K870">
        <v>20190715</v>
      </c>
      <c r="L870" t="str">
        <f>"028772"</f>
        <v>028772</v>
      </c>
      <c r="M870" t="str">
        <f>"14177"</f>
        <v>14177</v>
      </c>
      <c r="N870" t="s">
        <v>163</v>
      </c>
      <c r="O870">
        <v>69.5</v>
      </c>
      <c r="P870">
        <v>20190715</v>
      </c>
      <c r="Q870" t="s">
        <v>45</v>
      </c>
      <c r="R870" t="s">
        <v>268</v>
      </c>
      <c r="S870" t="s">
        <v>23</v>
      </c>
      <c r="T870" t="s">
        <v>46</v>
      </c>
    </row>
    <row r="871" spans="1:20" x14ac:dyDescent="0.25">
      <c r="A871">
        <v>9</v>
      </c>
      <c r="B871">
        <v>163</v>
      </c>
      <c r="C871" t="str">
        <f t="shared" si="87"/>
        <v>00</v>
      </c>
      <c r="D871">
        <v>2159</v>
      </c>
      <c r="E871" t="str">
        <f t="shared" si="88"/>
        <v>00</v>
      </c>
      <c r="F871" t="str">
        <f>"014"</f>
        <v>014</v>
      </c>
      <c r="G871">
        <v>9</v>
      </c>
      <c r="H871" t="str">
        <f t="shared" si="89"/>
        <v>00</v>
      </c>
      <c r="I871" t="str">
        <f t="shared" si="90"/>
        <v>0</v>
      </c>
      <c r="J871" t="str">
        <f t="shared" si="91"/>
        <v>00</v>
      </c>
      <c r="K871">
        <v>20190715</v>
      </c>
      <c r="L871" t="str">
        <f>"028773"</f>
        <v>028773</v>
      </c>
      <c r="M871" t="str">
        <f>"20682"</f>
        <v>20682</v>
      </c>
      <c r="N871" t="s">
        <v>86</v>
      </c>
      <c r="O871" s="1">
        <v>1700</v>
      </c>
      <c r="P871">
        <v>20190715</v>
      </c>
      <c r="Q871" t="s">
        <v>87</v>
      </c>
      <c r="R871" t="s">
        <v>268</v>
      </c>
      <c r="S871" t="s">
        <v>23</v>
      </c>
      <c r="T871" t="s">
        <v>88</v>
      </c>
    </row>
    <row r="872" spans="1:20" x14ac:dyDescent="0.25">
      <c r="A872">
        <v>9</v>
      </c>
      <c r="B872">
        <v>163</v>
      </c>
      <c r="C872" t="str">
        <f t="shared" si="87"/>
        <v>00</v>
      </c>
      <c r="D872">
        <v>2153</v>
      </c>
      <c r="E872" t="str">
        <f t="shared" si="88"/>
        <v>00</v>
      </c>
      <c r="F872" t="str">
        <f>"024"</f>
        <v>024</v>
      </c>
      <c r="G872">
        <v>9</v>
      </c>
      <c r="H872" t="str">
        <f t="shared" si="89"/>
        <v>00</v>
      </c>
      <c r="I872" t="str">
        <f t="shared" si="90"/>
        <v>0</v>
      </c>
      <c r="J872" t="str">
        <f t="shared" si="91"/>
        <v>00</v>
      </c>
      <c r="K872">
        <v>20190715</v>
      </c>
      <c r="L872" t="str">
        <f>"028774"</f>
        <v>028774</v>
      </c>
      <c r="M872" t="str">
        <f>"21504"</f>
        <v>21504</v>
      </c>
      <c r="N872" t="s">
        <v>89</v>
      </c>
      <c r="O872">
        <v>36.6</v>
      </c>
      <c r="P872">
        <v>20190715</v>
      </c>
      <c r="Q872" t="s">
        <v>90</v>
      </c>
      <c r="R872" t="s">
        <v>267</v>
      </c>
      <c r="S872" t="s">
        <v>23</v>
      </c>
      <c r="T872" t="s">
        <v>91</v>
      </c>
    </row>
    <row r="873" spans="1:20" x14ac:dyDescent="0.25">
      <c r="A873">
        <v>9</v>
      </c>
      <c r="B873">
        <v>163</v>
      </c>
      <c r="C873" t="str">
        <f t="shared" si="87"/>
        <v>00</v>
      </c>
      <c r="D873">
        <v>2153</v>
      </c>
      <c r="E873" t="str">
        <f t="shared" si="88"/>
        <v>00</v>
      </c>
      <c r="F873" t="str">
        <f>"026"</f>
        <v>026</v>
      </c>
      <c r="G873">
        <v>9</v>
      </c>
      <c r="H873" t="str">
        <f t="shared" si="89"/>
        <v>00</v>
      </c>
      <c r="I873" t="str">
        <f t="shared" si="90"/>
        <v>0</v>
      </c>
      <c r="J873" t="str">
        <f t="shared" si="91"/>
        <v>00</v>
      </c>
      <c r="K873">
        <v>20190715</v>
      </c>
      <c r="L873" t="str">
        <f>"028775"</f>
        <v>028775</v>
      </c>
      <c r="M873" t="str">
        <f>"21506"</f>
        <v>21506</v>
      </c>
      <c r="N873" t="s">
        <v>92</v>
      </c>
      <c r="O873">
        <v>87.2</v>
      </c>
      <c r="P873">
        <v>20190715</v>
      </c>
      <c r="Q873" t="s">
        <v>93</v>
      </c>
      <c r="R873" t="s">
        <v>267</v>
      </c>
      <c r="S873" t="s">
        <v>23</v>
      </c>
      <c r="T873" t="s">
        <v>94</v>
      </c>
    </row>
    <row r="874" spans="1:20" x14ac:dyDescent="0.25">
      <c r="A874">
        <v>9</v>
      </c>
      <c r="B874">
        <v>163</v>
      </c>
      <c r="C874" t="str">
        <f t="shared" si="87"/>
        <v>00</v>
      </c>
      <c r="D874">
        <v>2159</v>
      </c>
      <c r="E874" t="str">
        <f t="shared" si="88"/>
        <v>00</v>
      </c>
      <c r="F874" t="str">
        <f>"117"</f>
        <v>117</v>
      </c>
      <c r="G874">
        <v>9</v>
      </c>
      <c r="H874" t="str">
        <f t="shared" si="89"/>
        <v>00</v>
      </c>
      <c r="I874" t="str">
        <f t="shared" si="90"/>
        <v>0</v>
      </c>
      <c r="J874" t="str">
        <f t="shared" si="91"/>
        <v>00</v>
      </c>
      <c r="K874">
        <v>20190715</v>
      </c>
      <c r="L874" t="str">
        <f>"028776"</f>
        <v>028776</v>
      </c>
      <c r="M874" t="str">
        <f>"21826"</f>
        <v>21826</v>
      </c>
      <c r="N874" t="s">
        <v>95</v>
      </c>
      <c r="O874">
        <v>799.55</v>
      </c>
      <c r="P874">
        <v>20190715</v>
      </c>
      <c r="Q874" t="s">
        <v>96</v>
      </c>
      <c r="R874" t="s">
        <v>268</v>
      </c>
      <c r="S874" t="s">
        <v>23</v>
      </c>
      <c r="T874" t="s">
        <v>97</v>
      </c>
    </row>
    <row r="875" spans="1:20" x14ac:dyDescent="0.25">
      <c r="A875">
        <v>9</v>
      </c>
      <c r="B875">
        <v>163</v>
      </c>
      <c r="C875" t="str">
        <f t="shared" si="87"/>
        <v>00</v>
      </c>
      <c r="D875">
        <v>2159</v>
      </c>
      <c r="E875" t="str">
        <f t="shared" si="88"/>
        <v>00</v>
      </c>
      <c r="F875" t="str">
        <f>"140"</f>
        <v>140</v>
      </c>
      <c r="G875">
        <v>9</v>
      </c>
      <c r="H875" t="str">
        <f t="shared" si="89"/>
        <v>00</v>
      </c>
      <c r="I875" t="str">
        <f t="shared" si="90"/>
        <v>0</v>
      </c>
      <c r="J875" t="str">
        <f t="shared" si="91"/>
        <v>00</v>
      </c>
      <c r="K875">
        <v>20190715</v>
      </c>
      <c r="L875" t="str">
        <f>"028777"</f>
        <v>028777</v>
      </c>
      <c r="M875" t="str">
        <f>"47701"</f>
        <v>47701</v>
      </c>
      <c r="N875" t="s">
        <v>98</v>
      </c>
      <c r="O875">
        <v>382.8</v>
      </c>
      <c r="P875">
        <v>20190715</v>
      </c>
      <c r="Q875" t="s">
        <v>99</v>
      </c>
      <c r="R875" t="s">
        <v>268</v>
      </c>
      <c r="S875" t="s">
        <v>23</v>
      </c>
      <c r="T875" t="s">
        <v>100</v>
      </c>
    </row>
    <row r="876" spans="1:20" x14ac:dyDescent="0.25">
      <c r="A876">
        <v>9</v>
      </c>
      <c r="B876">
        <v>163</v>
      </c>
      <c r="C876" t="str">
        <f t="shared" si="87"/>
        <v>00</v>
      </c>
      <c r="D876">
        <v>2153</v>
      </c>
      <c r="E876" t="str">
        <f t="shared" si="88"/>
        <v>00</v>
      </c>
      <c r="F876" t="str">
        <f>"110"</f>
        <v>110</v>
      </c>
      <c r="G876">
        <v>9</v>
      </c>
      <c r="H876" t="str">
        <f t="shared" si="89"/>
        <v>00</v>
      </c>
      <c r="I876" t="str">
        <f t="shared" si="90"/>
        <v>0</v>
      </c>
      <c r="J876" t="str">
        <f t="shared" si="91"/>
        <v>00</v>
      </c>
      <c r="K876">
        <v>20190715</v>
      </c>
      <c r="L876" t="str">
        <f>"028778"</f>
        <v>028778</v>
      </c>
      <c r="M876" t="str">
        <f>"48947"</f>
        <v>48947</v>
      </c>
      <c r="N876" t="s">
        <v>47</v>
      </c>
      <c r="O876" s="1">
        <v>2036.28</v>
      </c>
      <c r="P876">
        <v>20190715</v>
      </c>
      <c r="Q876" t="s">
        <v>48</v>
      </c>
      <c r="R876" t="s">
        <v>266</v>
      </c>
      <c r="S876" t="s">
        <v>23</v>
      </c>
      <c r="T876" t="s">
        <v>49</v>
      </c>
    </row>
    <row r="877" spans="1:20" x14ac:dyDescent="0.25">
      <c r="A877">
        <v>9</v>
      </c>
      <c r="B877">
        <v>163</v>
      </c>
      <c r="C877" t="str">
        <f t="shared" si="87"/>
        <v>00</v>
      </c>
      <c r="D877">
        <v>2159</v>
      </c>
      <c r="E877" t="str">
        <f t="shared" si="88"/>
        <v>00</v>
      </c>
      <c r="F877" t="str">
        <f>"032"</f>
        <v>032</v>
      </c>
      <c r="G877">
        <v>9</v>
      </c>
      <c r="H877" t="str">
        <f t="shared" si="89"/>
        <v>00</v>
      </c>
      <c r="I877" t="str">
        <f t="shared" si="90"/>
        <v>0</v>
      </c>
      <c r="J877" t="str">
        <f t="shared" si="91"/>
        <v>00</v>
      </c>
      <c r="K877">
        <v>20190715</v>
      </c>
      <c r="L877" t="str">
        <f t="shared" ref="L877:L895" si="92">"028779"</f>
        <v>028779</v>
      </c>
      <c r="M877" t="str">
        <f t="shared" ref="M877:M895" si="93">"54196"</f>
        <v>54196</v>
      </c>
      <c r="N877" t="s">
        <v>50</v>
      </c>
      <c r="O877">
        <v>50</v>
      </c>
      <c r="P877">
        <v>20190715</v>
      </c>
      <c r="Q877" t="s">
        <v>101</v>
      </c>
      <c r="R877" t="s">
        <v>269</v>
      </c>
      <c r="S877" t="s">
        <v>23</v>
      </c>
      <c r="T877" t="s">
        <v>102</v>
      </c>
    </row>
    <row r="878" spans="1:20" x14ac:dyDescent="0.25">
      <c r="A878">
        <v>9</v>
      </c>
      <c r="B878">
        <v>163</v>
      </c>
      <c r="C878" t="str">
        <f t="shared" si="87"/>
        <v>00</v>
      </c>
      <c r="D878">
        <v>2159</v>
      </c>
      <c r="E878" t="str">
        <f t="shared" si="88"/>
        <v>00</v>
      </c>
      <c r="F878" t="str">
        <f>"033"</f>
        <v>033</v>
      </c>
      <c r="G878">
        <v>9</v>
      </c>
      <c r="H878" t="str">
        <f t="shared" si="89"/>
        <v>00</v>
      </c>
      <c r="I878" t="str">
        <f t="shared" si="90"/>
        <v>0</v>
      </c>
      <c r="J878" t="str">
        <f t="shared" si="91"/>
        <v>00</v>
      </c>
      <c r="K878">
        <v>20190715</v>
      </c>
      <c r="L878" t="str">
        <f t="shared" si="92"/>
        <v>028779</v>
      </c>
      <c r="M878" t="str">
        <f t="shared" si="93"/>
        <v>54196</v>
      </c>
      <c r="N878" t="s">
        <v>50</v>
      </c>
      <c r="O878">
        <v>283</v>
      </c>
      <c r="P878">
        <v>20190715</v>
      </c>
      <c r="Q878" t="s">
        <v>103</v>
      </c>
      <c r="R878" t="s">
        <v>269</v>
      </c>
      <c r="S878" t="s">
        <v>23</v>
      </c>
      <c r="T878" t="s">
        <v>104</v>
      </c>
    </row>
    <row r="879" spans="1:20" x14ac:dyDescent="0.25">
      <c r="A879">
        <v>9</v>
      </c>
      <c r="B879">
        <v>163</v>
      </c>
      <c r="C879" t="str">
        <f t="shared" si="87"/>
        <v>00</v>
      </c>
      <c r="D879">
        <v>2159</v>
      </c>
      <c r="E879" t="str">
        <f t="shared" si="88"/>
        <v>00</v>
      </c>
      <c r="F879" t="str">
        <f>"041"</f>
        <v>041</v>
      </c>
      <c r="G879">
        <v>9</v>
      </c>
      <c r="H879" t="str">
        <f t="shared" si="89"/>
        <v>00</v>
      </c>
      <c r="I879" t="str">
        <f t="shared" si="90"/>
        <v>0</v>
      </c>
      <c r="J879" t="str">
        <f t="shared" si="91"/>
        <v>00</v>
      </c>
      <c r="K879">
        <v>20190715</v>
      </c>
      <c r="L879" t="str">
        <f t="shared" si="92"/>
        <v>028779</v>
      </c>
      <c r="M879" t="str">
        <f t="shared" si="93"/>
        <v>54196</v>
      </c>
      <c r="N879" t="s">
        <v>50</v>
      </c>
      <c r="O879" s="1">
        <v>1340</v>
      </c>
      <c r="P879">
        <v>20190715</v>
      </c>
      <c r="Q879" t="s">
        <v>105</v>
      </c>
      <c r="R879" t="s">
        <v>269</v>
      </c>
      <c r="S879" t="s">
        <v>23</v>
      </c>
      <c r="T879" t="s">
        <v>106</v>
      </c>
    </row>
    <row r="880" spans="1:20" x14ac:dyDescent="0.25">
      <c r="A880">
        <v>9</v>
      </c>
      <c r="B880">
        <v>163</v>
      </c>
      <c r="C880" t="str">
        <f t="shared" si="87"/>
        <v>00</v>
      </c>
      <c r="D880">
        <v>2159</v>
      </c>
      <c r="E880" t="str">
        <f t="shared" si="88"/>
        <v>00</v>
      </c>
      <c r="F880" t="str">
        <f>"042"</f>
        <v>042</v>
      </c>
      <c r="G880">
        <v>9</v>
      </c>
      <c r="H880" t="str">
        <f t="shared" si="89"/>
        <v>00</v>
      </c>
      <c r="I880" t="str">
        <f t="shared" si="90"/>
        <v>0</v>
      </c>
      <c r="J880" t="str">
        <f t="shared" si="91"/>
        <v>00</v>
      </c>
      <c r="K880">
        <v>20190715</v>
      </c>
      <c r="L880" t="str">
        <f t="shared" si="92"/>
        <v>028779</v>
      </c>
      <c r="M880" t="str">
        <f t="shared" si="93"/>
        <v>54196</v>
      </c>
      <c r="N880" t="s">
        <v>50</v>
      </c>
      <c r="O880" s="1">
        <v>2075</v>
      </c>
      <c r="P880">
        <v>20190715</v>
      </c>
      <c r="Q880" t="s">
        <v>107</v>
      </c>
      <c r="R880" t="s">
        <v>269</v>
      </c>
      <c r="S880" t="s">
        <v>23</v>
      </c>
      <c r="T880" t="s">
        <v>108</v>
      </c>
    </row>
    <row r="881" spans="1:20" x14ac:dyDescent="0.25">
      <c r="A881">
        <v>9</v>
      </c>
      <c r="B881">
        <v>163</v>
      </c>
      <c r="C881" t="str">
        <f t="shared" si="87"/>
        <v>00</v>
      </c>
      <c r="D881">
        <v>2159</v>
      </c>
      <c r="E881" t="str">
        <f t="shared" si="88"/>
        <v>00</v>
      </c>
      <c r="F881" t="str">
        <f>"046"</f>
        <v>046</v>
      </c>
      <c r="G881">
        <v>9</v>
      </c>
      <c r="H881" t="str">
        <f t="shared" si="89"/>
        <v>00</v>
      </c>
      <c r="I881" t="str">
        <f t="shared" si="90"/>
        <v>0</v>
      </c>
      <c r="J881" t="str">
        <f t="shared" si="91"/>
        <v>00</v>
      </c>
      <c r="K881">
        <v>20190715</v>
      </c>
      <c r="L881" t="str">
        <f t="shared" si="92"/>
        <v>028779</v>
      </c>
      <c r="M881" t="str">
        <f t="shared" si="93"/>
        <v>54196</v>
      </c>
      <c r="N881" t="s">
        <v>50</v>
      </c>
      <c r="O881">
        <v>40</v>
      </c>
      <c r="P881">
        <v>20190715</v>
      </c>
      <c r="Q881" t="s">
        <v>109</v>
      </c>
      <c r="R881" t="s">
        <v>269</v>
      </c>
      <c r="S881" t="s">
        <v>23</v>
      </c>
      <c r="T881" t="s">
        <v>110</v>
      </c>
    </row>
    <row r="882" spans="1:20" x14ac:dyDescent="0.25">
      <c r="A882">
        <v>9</v>
      </c>
      <c r="B882">
        <v>163</v>
      </c>
      <c r="C882" t="str">
        <f t="shared" si="87"/>
        <v>00</v>
      </c>
      <c r="D882">
        <v>2159</v>
      </c>
      <c r="E882" t="str">
        <f t="shared" si="88"/>
        <v>00</v>
      </c>
      <c r="F882" t="str">
        <f>"058"</f>
        <v>058</v>
      </c>
      <c r="G882">
        <v>9</v>
      </c>
      <c r="H882" t="str">
        <f t="shared" si="89"/>
        <v>00</v>
      </c>
      <c r="I882" t="str">
        <f t="shared" si="90"/>
        <v>0</v>
      </c>
      <c r="J882" t="str">
        <f t="shared" si="91"/>
        <v>00</v>
      </c>
      <c r="K882">
        <v>20190715</v>
      </c>
      <c r="L882" t="str">
        <f t="shared" si="92"/>
        <v>028779</v>
      </c>
      <c r="M882" t="str">
        <f t="shared" si="93"/>
        <v>54196</v>
      </c>
      <c r="N882" t="s">
        <v>50</v>
      </c>
      <c r="O882" s="1">
        <v>1892</v>
      </c>
      <c r="P882">
        <v>20190715</v>
      </c>
      <c r="Q882" t="s">
        <v>111</v>
      </c>
      <c r="R882" t="s">
        <v>269</v>
      </c>
      <c r="S882" t="s">
        <v>23</v>
      </c>
      <c r="T882" t="s">
        <v>112</v>
      </c>
    </row>
    <row r="883" spans="1:20" x14ac:dyDescent="0.25">
      <c r="A883">
        <v>9</v>
      </c>
      <c r="B883">
        <v>163</v>
      </c>
      <c r="C883" t="str">
        <f t="shared" si="87"/>
        <v>00</v>
      </c>
      <c r="D883">
        <v>2159</v>
      </c>
      <c r="E883" t="str">
        <f t="shared" si="88"/>
        <v>00</v>
      </c>
      <c r="F883" t="str">
        <f>"059"</f>
        <v>059</v>
      </c>
      <c r="G883">
        <v>9</v>
      </c>
      <c r="H883" t="str">
        <f t="shared" si="89"/>
        <v>00</v>
      </c>
      <c r="I883" t="str">
        <f t="shared" si="90"/>
        <v>0</v>
      </c>
      <c r="J883" t="str">
        <f t="shared" si="91"/>
        <v>00</v>
      </c>
      <c r="K883">
        <v>20190715</v>
      </c>
      <c r="L883" t="str">
        <f t="shared" si="92"/>
        <v>028779</v>
      </c>
      <c r="M883" t="str">
        <f t="shared" si="93"/>
        <v>54196</v>
      </c>
      <c r="N883" t="s">
        <v>50</v>
      </c>
      <c r="O883">
        <v>672</v>
      </c>
      <c r="P883">
        <v>20190715</v>
      </c>
      <c r="Q883" t="s">
        <v>113</v>
      </c>
      <c r="R883" t="s">
        <v>269</v>
      </c>
      <c r="S883" t="s">
        <v>23</v>
      </c>
      <c r="T883" t="s">
        <v>114</v>
      </c>
    </row>
    <row r="884" spans="1:20" x14ac:dyDescent="0.25">
      <c r="A884">
        <v>9</v>
      </c>
      <c r="B884">
        <v>163</v>
      </c>
      <c r="C884" t="str">
        <f t="shared" si="87"/>
        <v>00</v>
      </c>
      <c r="D884">
        <v>2159</v>
      </c>
      <c r="E884" t="str">
        <f t="shared" si="88"/>
        <v>00</v>
      </c>
      <c r="F884" t="str">
        <f>"072"</f>
        <v>072</v>
      </c>
      <c r="G884">
        <v>9</v>
      </c>
      <c r="H884" t="str">
        <f t="shared" si="89"/>
        <v>00</v>
      </c>
      <c r="I884" t="str">
        <f t="shared" si="90"/>
        <v>0</v>
      </c>
      <c r="J884" t="str">
        <f t="shared" si="91"/>
        <v>00</v>
      </c>
      <c r="K884">
        <v>20190715</v>
      </c>
      <c r="L884" t="str">
        <f t="shared" si="92"/>
        <v>028779</v>
      </c>
      <c r="M884" t="str">
        <f t="shared" si="93"/>
        <v>54196</v>
      </c>
      <c r="N884" t="s">
        <v>50</v>
      </c>
      <c r="O884">
        <v>50</v>
      </c>
      <c r="P884">
        <v>20190715</v>
      </c>
      <c r="Q884" t="s">
        <v>115</v>
      </c>
      <c r="R884" t="s">
        <v>269</v>
      </c>
      <c r="S884" t="s">
        <v>23</v>
      </c>
      <c r="T884" t="s">
        <v>116</v>
      </c>
    </row>
    <row r="885" spans="1:20" x14ac:dyDescent="0.25">
      <c r="A885">
        <v>9</v>
      </c>
      <c r="B885">
        <v>163</v>
      </c>
      <c r="C885" t="str">
        <f t="shared" si="87"/>
        <v>00</v>
      </c>
      <c r="D885">
        <v>2159</v>
      </c>
      <c r="E885" t="str">
        <f t="shared" si="88"/>
        <v>00</v>
      </c>
      <c r="F885" t="str">
        <f>"075"</f>
        <v>075</v>
      </c>
      <c r="G885">
        <v>9</v>
      </c>
      <c r="H885" t="str">
        <f t="shared" si="89"/>
        <v>00</v>
      </c>
      <c r="I885" t="str">
        <f t="shared" si="90"/>
        <v>0</v>
      </c>
      <c r="J885" t="str">
        <f t="shared" si="91"/>
        <v>00</v>
      </c>
      <c r="K885">
        <v>20190715</v>
      </c>
      <c r="L885" t="str">
        <f t="shared" si="92"/>
        <v>028779</v>
      </c>
      <c r="M885" t="str">
        <f t="shared" si="93"/>
        <v>54196</v>
      </c>
      <c r="N885" t="s">
        <v>50</v>
      </c>
      <c r="O885">
        <v>100</v>
      </c>
      <c r="P885">
        <v>20190715</v>
      </c>
      <c r="Q885" t="s">
        <v>117</v>
      </c>
      <c r="R885" t="s">
        <v>269</v>
      </c>
      <c r="S885" t="s">
        <v>23</v>
      </c>
      <c r="T885" t="s">
        <v>118</v>
      </c>
    </row>
    <row r="886" spans="1:20" x14ac:dyDescent="0.25">
      <c r="A886">
        <v>9</v>
      </c>
      <c r="B886">
        <v>163</v>
      </c>
      <c r="C886" t="str">
        <f t="shared" si="87"/>
        <v>00</v>
      </c>
      <c r="D886">
        <v>2159</v>
      </c>
      <c r="E886" t="str">
        <f t="shared" si="88"/>
        <v>00</v>
      </c>
      <c r="F886" t="str">
        <f>"078"</f>
        <v>078</v>
      </c>
      <c r="G886">
        <v>9</v>
      </c>
      <c r="H886" t="str">
        <f t="shared" si="89"/>
        <v>00</v>
      </c>
      <c r="I886" t="str">
        <f t="shared" si="90"/>
        <v>0</v>
      </c>
      <c r="J886" t="str">
        <f t="shared" si="91"/>
        <v>00</v>
      </c>
      <c r="K886">
        <v>20190715</v>
      </c>
      <c r="L886" t="str">
        <f t="shared" si="92"/>
        <v>028779</v>
      </c>
      <c r="M886" t="str">
        <f t="shared" si="93"/>
        <v>54196</v>
      </c>
      <c r="N886" t="s">
        <v>50</v>
      </c>
      <c r="O886">
        <v>750</v>
      </c>
      <c r="P886">
        <v>20190715</v>
      </c>
      <c r="Q886" t="s">
        <v>119</v>
      </c>
      <c r="R886" t="s">
        <v>269</v>
      </c>
      <c r="S886" t="s">
        <v>23</v>
      </c>
      <c r="T886" t="s">
        <v>120</v>
      </c>
    </row>
    <row r="887" spans="1:20" x14ac:dyDescent="0.25">
      <c r="A887">
        <v>9</v>
      </c>
      <c r="B887">
        <v>163</v>
      </c>
      <c r="C887" t="str">
        <f t="shared" si="87"/>
        <v>00</v>
      </c>
      <c r="D887">
        <v>2159</v>
      </c>
      <c r="E887" t="str">
        <f t="shared" si="88"/>
        <v>00</v>
      </c>
      <c r="F887" t="str">
        <f>"082"</f>
        <v>082</v>
      </c>
      <c r="G887">
        <v>9</v>
      </c>
      <c r="H887" t="str">
        <f t="shared" si="89"/>
        <v>00</v>
      </c>
      <c r="I887" t="str">
        <f t="shared" si="90"/>
        <v>0</v>
      </c>
      <c r="J887" t="str">
        <f t="shared" si="91"/>
        <v>00</v>
      </c>
      <c r="K887">
        <v>20190715</v>
      </c>
      <c r="L887" t="str">
        <f t="shared" si="92"/>
        <v>028779</v>
      </c>
      <c r="M887" t="str">
        <f t="shared" si="93"/>
        <v>54196</v>
      </c>
      <c r="N887" t="s">
        <v>50</v>
      </c>
      <c r="O887">
        <v>300</v>
      </c>
      <c r="P887">
        <v>20190715</v>
      </c>
      <c r="Q887" t="s">
        <v>121</v>
      </c>
      <c r="R887" t="s">
        <v>269</v>
      </c>
      <c r="S887" t="s">
        <v>23</v>
      </c>
      <c r="T887" t="s">
        <v>122</v>
      </c>
    </row>
    <row r="888" spans="1:20" x14ac:dyDescent="0.25">
      <c r="A888">
        <v>9</v>
      </c>
      <c r="B888">
        <v>163</v>
      </c>
      <c r="C888" t="str">
        <f t="shared" si="87"/>
        <v>00</v>
      </c>
      <c r="D888">
        <v>2159</v>
      </c>
      <c r="E888" t="str">
        <f t="shared" si="88"/>
        <v>00</v>
      </c>
      <c r="F888" t="str">
        <f>"091"</f>
        <v>091</v>
      </c>
      <c r="G888">
        <v>9</v>
      </c>
      <c r="H888" t="str">
        <f t="shared" si="89"/>
        <v>00</v>
      </c>
      <c r="I888" t="str">
        <f t="shared" si="90"/>
        <v>0</v>
      </c>
      <c r="J888" t="str">
        <f t="shared" si="91"/>
        <v>00</v>
      </c>
      <c r="K888">
        <v>20190715</v>
      </c>
      <c r="L888" t="str">
        <f t="shared" si="92"/>
        <v>028779</v>
      </c>
      <c r="M888" t="str">
        <f t="shared" si="93"/>
        <v>54196</v>
      </c>
      <c r="N888" t="s">
        <v>50</v>
      </c>
      <c r="O888">
        <v>100</v>
      </c>
      <c r="P888">
        <v>20190715</v>
      </c>
      <c r="Q888" t="s">
        <v>123</v>
      </c>
      <c r="R888" t="s">
        <v>269</v>
      </c>
      <c r="S888" t="s">
        <v>23</v>
      </c>
      <c r="T888" t="s">
        <v>124</v>
      </c>
    </row>
    <row r="889" spans="1:20" x14ac:dyDescent="0.25">
      <c r="A889">
        <v>9</v>
      </c>
      <c r="B889">
        <v>163</v>
      </c>
      <c r="C889" t="str">
        <f t="shared" si="87"/>
        <v>00</v>
      </c>
      <c r="D889">
        <v>2159</v>
      </c>
      <c r="E889" t="str">
        <f t="shared" si="88"/>
        <v>00</v>
      </c>
      <c r="F889" t="str">
        <f>"122"</f>
        <v>122</v>
      </c>
      <c r="G889">
        <v>9</v>
      </c>
      <c r="H889" t="str">
        <f t="shared" si="89"/>
        <v>00</v>
      </c>
      <c r="I889" t="str">
        <f t="shared" si="90"/>
        <v>0</v>
      </c>
      <c r="J889" t="str">
        <f t="shared" si="91"/>
        <v>00</v>
      </c>
      <c r="K889">
        <v>20190715</v>
      </c>
      <c r="L889" t="str">
        <f t="shared" si="92"/>
        <v>028779</v>
      </c>
      <c r="M889" t="str">
        <f t="shared" si="93"/>
        <v>54196</v>
      </c>
      <c r="N889" t="s">
        <v>50</v>
      </c>
      <c r="O889">
        <v>100</v>
      </c>
      <c r="P889">
        <v>20190715</v>
      </c>
      <c r="Q889" t="s">
        <v>125</v>
      </c>
      <c r="R889" t="s">
        <v>270</v>
      </c>
      <c r="S889" t="s">
        <v>23</v>
      </c>
      <c r="T889" t="s">
        <v>127</v>
      </c>
    </row>
    <row r="890" spans="1:20" x14ac:dyDescent="0.25">
      <c r="A890">
        <v>9</v>
      </c>
      <c r="B890">
        <v>163</v>
      </c>
      <c r="C890" t="str">
        <f t="shared" si="87"/>
        <v>00</v>
      </c>
      <c r="D890">
        <v>2159</v>
      </c>
      <c r="E890" t="str">
        <f t="shared" si="88"/>
        <v>00</v>
      </c>
      <c r="F890" t="str">
        <f>"130"</f>
        <v>130</v>
      </c>
      <c r="G890">
        <v>9</v>
      </c>
      <c r="H890" t="str">
        <f t="shared" si="89"/>
        <v>00</v>
      </c>
      <c r="I890" t="str">
        <f t="shared" si="90"/>
        <v>0</v>
      </c>
      <c r="J890" t="str">
        <f t="shared" si="91"/>
        <v>00</v>
      </c>
      <c r="K890">
        <v>20190715</v>
      </c>
      <c r="L890" t="str">
        <f t="shared" si="92"/>
        <v>028779</v>
      </c>
      <c r="M890" t="str">
        <f t="shared" si="93"/>
        <v>54196</v>
      </c>
      <c r="N890" t="s">
        <v>50</v>
      </c>
      <c r="O890" s="1">
        <v>9751</v>
      </c>
      <c r="P890">
        <v>20190715</v>
      </c>
      <c r="Q890" t="s">
        <v>128</v>
      </c>
      <c r="R890" t="s">
        <v>271</v>
      </c>
      <c r="S890" t="s">
        <v>23</v>
      </c>
      <c r="T890" t="s">
        <v>112</v>
      </c>
    </row>
    <row r="891" spans="1:20" x14ac:dyDescent="0.25">
      <c r="A891">
        <v>9</v>
      </c>
      <c r="B891">
        <v>163</v>
      </c>
      <c r="C891" t="str">
        <f t="shared" si="87"/>
        <v>00</v>
      </c>
      <c r="D891">
        <v>2159</v>
      </c>
      <c r="E891" t="str">
        <f t="shared" si="88"/>
        <v>00</v>
      </c>
      <c r="F891" t="str">
        <f>"131"</f>
        <v>131</v>
      </c>
      <c r="G891">
        <v>9</v>
      </c>
      <c r="H891" t="str">
        <f t="shared" si="89"/>
        <v>00</v>
      </c>
      <c r="I891" t="str">
        <f t="shared" si="90"/>
        <v>0</v>
      </c>
      <c r="J891" t="str">
        <f t="shared" si="91"/>
        <v>00</v>
      </c>
      <c r="K891">
        <v>20190715</v>
      </c>
      <c r="L891" t="str">
        <f t="shared" si="92"/>
        <v>028779</v>
      </c>
      <c r="M891" t="str">
        <f t="shared" si="93"/>
        <v>54196</v>
      </c>
      <c r="N891" t="s">
        <v>50</v>
      </c>
      <c r="O891" s="1">
        <v>2133</v>
      </c>
      <c r="P891">
        <v>20190715</v>
      </c>
      <c r="Q891" t="s">
        <v>51</v>
      </c>
      <c r="R891" t="s">
        <v>269</v>
      </c>
      <c r="S891" t="s">
        <v>23</v>
      </c>
      <c r="T891" t="s">
        <v>53</v>
      </c>
    </row>
    <row r="892" spans="1:20" x14ac:dyDescent="0.25">
      <c r="A892">
        <v>9</v>
      </c>
      <c r="B892">
        <v>163</v>
      </c>
      <c r="C892" t="str">
        <f t="shared" si="87"/>
        <v>00</v>
      </c>
      <c r="D892">
        <v>2159</v>
      </c>
      <c r="E892" t="str">
        <f t="shared" si="88"/>
        <v>00</v>
      </c>
      <c r="F892" t="str">
        <f>"136"</f>
        <v>136</v>
      </c>
      <c r="G892">
        <v>9</v>
      </c>
      <c r="H892" t="str">
        <f t="shared" si="89"/>
        <v>00</v>
      </c>
      <c r="I892" t="str">
        <f t="shared" si="90"/>
        <v>0</v>
      </c>
      <c r="J892" t="str">
        <f t="shared" si="91"/>
        <v>00</v>
      </c>
      <c r="K892">
        <v>20190715</v>
      </c>
      <c r="L892" t="str">
        <f t="shared" si="92"/>
        <v>028779</v>
      </c>
      <c r="M892" t="str">
        <f t="shared" si="93"/>
        <v>54196</v>
      </c>
      <c r="N892" t="s">
        <v>50</v>
      </c>
      <c r="O892" s="1">
        <v>1775</v>
      </c>
      <c r="P892">
        <v>20190715</v>
      </c>
      <c r="Q892" t="s">
        <v>130</v>
      </c>
      <c r="R892" t="s">
        <v>272</v>
      </c>
      <c r="S892" t="s">
        <v>23</v>
      </c>
      <c r="T892" t="s">
        <v>132</v>
      </c>
    </row>
    <row r="893" spans="1:20" x14ac:dyDescent="0.25">
      <c r="A893">
        <v>9</v>
      </c>
      <c r="B893">
        <v>163</v>
      </c>
      <c r="C893" t="str">
        <f t="shared" si="87"/>
        <v>00</v>
      </c>
      <c r="D893">
        <v>2159</v>
      </c>
      <c r="E893" t="str">
        <f t="shared" si="88"/>
        <v>00</v>
      </c>
      <c r="F893" t="str">
        <f>"137"</f>
        <v>137</v>
      </c>
      <c r="G893">
        <v>9</v>
      </c>
      <c r="H893" t="str">
        <f t="shared" si="89"/>
        <v>00</v>
      </c>
      <c r="I893" t="str">
        <f t="shared" si="90"/>
        <v>0</v>
      </c>
      <c r="J893" t="str">
        <f t="shared" si="91"/>
        <v>00</v>
      </c>
      <c r="K893">
        <v>20190715</v>
      </c>
      <c r="L893" t="str">
        <f t="shared" si="92"/>
        <v>028779</v>
      </c>
      <c r="M893" t="str">
        <f t="shared" si="93"/>
        <v>54196</v>
      </c>
      <c r="N893" t="s">
        <v>50</v>
      </c>
      <c r="O893" s="1">
        <v>2230</v>
      </c>
      <c r="P893">
        <v>20190715</v>
      </c>
      <c r="Q893" t="s">
        <v>133</v>
      </c>
      <c r="R893" t="s">
        <v>271</v>
      </c>
      <c r="S893" t="s">
        <v>23</v>
      </c>
      <c r="T893" t="s">
        <v>134</v>
      </c>
    </row>
    <row r="894" spans="1:20" x14ac:dyDescent="0.25">
      <c r="A894">
        <v>9</v>
      </c>
      <c r="B894">
        <v>163</v>
      </c>
      <c r="C894" t="str">
        <f t="shared" si="87"/>
        <v>00</v>
      </c>
      <c r="D894">
        <v>2159</v>
      </c>
      <c r="E894" t="str">
        <f t="shared" si="88"/>
        <v>00</v>
      </c>
      <c r="F894" t="str">
        <f>"138"</f>
        <v>138</v>
      </c>
      <c r="G894">
        <v>9</v>
      </c>
      <c r="H894" t="str">
        <f t="shared" si="89"/>
        <v>00</v>
      </c>
      <c r="I894" t="str">
        <f t="shared" si="90"/>
        <v>0</v>
      </c>
      <c r="J894" t="str">
        <f t="shared" si="91"/>
        <v>00</v>
      </c>
      <c r="K894">
        <v>20190715</v>
      </c>
      <c r="L894" t="str">
        <f t="shared" si="92"/>
        <v>028779</v>
      </c>
      <c r="M894" t="str">
        <f t="shared" si="93"/>
        <v>54196</v>
      </c>
      <c r="N894" t="s">
        <v>50</v>
      </c>
      <c r="O894">
        <v>300</v>
      </c>
      <c r="P894">
        <v>20190715</v>
      </c>
      <c r="Q894" t="s">
        <v>135</v>
      </c>
      <c r="R894" t="s">
        <v>272</v>
      </c>
      <c r="S894" t="s">
        <v>23</v>
      </c>
      <c r="T894" t="s">
        <v>134</v>
      </c>
    </row>
    <row r="895" spans="1:20" x14ac:dyDescent="0.25">
      <c r="A895">
        <v>9</v>
      </c>
      <c r="B895">
        <v>163</v>
      </c>
      <c r="C895" t="str">
        <f t="shared" si="87"/>
        <v>00</v>
      </c>
      <c r="D895">
        <v>2159</v>
      </c>
      <c r="E895" t="str">
        <f t="shared" si="88"/>
        <v>00</v>
      </c>
      <c r="F895" t="str">
        <f>"150"</f>
        <v>150</v>
      </c>
      <c r="G895">
        <v>9</v>
      </c>
      <c r="H895" t="str">
        <f t="shared" si="89"/>
        <v>00</v>
      </c>
      <c r="I895" t="str">
        <f t="shared" si="90"/>
        <v>0</v>
      </c>
      <c r="J895" t="str">
        <f t="shared" si="91"/>
        <v>00</v>
      </c>
      <c r="K895">
        <v>20190715</v>
      </c>
      <c r="L895" t="str">
        <f t="shared" si="92"/>
        <v>028779</v>
      </c>
      <c r="M895" t="str">
        <f t="shared" si="93"/>
        <v>54196</v>
      </c>
      <c r="N895" t="s">
        <v>50</v>
      </c>
      <c r="O895">
        <v>200</v>
      </c>
      <c r="P895">
        <v>20190715</v>
      </c>
      <c r="Q895" t="s">
        <v>136</v>
      </c>
      <c r="R895" t="s">
        <v>269</v>
      </c>
      <c r="S895" t="s">
        <v>23</v>
      </c>
      <c r="T895" t="s">
        <v>137</v>
      </c>
    </row>
    <row r="896" spans="1:20" x14ac:dyDescent="0.25">
      <c r="A896">
        <v>9</v>
      </c>
      <c r="B896">
        <v>163</v>
      </c>
      <c r="C896" t="str">
        <f t="shared" si="87"/>
        <v>00</v>
      </c>
      <c r="D896">
        <v>2159</v>
      </c>
      <c r="E896" t="str">
        <f t="shared" si="88"/>
        <v>00</v>
      </c>
      <c r="F896" t="str">
        <f>"111"</f>
        <v>111</v>
      </c>
      <c r="G896">
        <v>9</v>
      </c>
      <c r="H896" t="str">
        <f t="shared" si="89"/>
        <v>00</v>
      </c>
      <c r="I896" t="str">
        <f t="shared" si="90"/>
        <v>0</v>
      </c>
      <c r="J896" t="str">
        <f t="shared" si="91"/>
        <v>00</v>
      </c>
      <c r="K896">
        <v>20190715</v>
      </c>
      <c r="L896" t="str">
        <f>"028780"</f>
        <v>028780</v>
      </c>
      <c r="M896" t="str">
        <f>"72601"</f>
        <v>72601</v>
      </c>
      <c r="N896" t="s">
        <v>54</v>
      </c>
      <c r="O896" s="1">
        <v>8947.7199999999993</v>
      </c>
      <c r="P896">
        <v>20190715</v>
      </c>
      <c r="Q896" t="s">
        <v>55</v>
      </c>
      <c r="R896" t="s">
        <v>268</v>
      </c>
      <c r="S896" t="s">
        <v>23</v>
      </c>
      <c r="T896" t="s">
        <v>56</v>
      </c>
    </row>
    <row r="897" spans="1:20" x14ac:dyDescent="0.25">
      <c r="A897">
        <v>9</v>
      </c>
      <c r="B897">
        <v>163</v>
      </c>
      <c r="C897" t="str">
        <f t="shared" si="87"/>
        <v>00</v>
      </c>
      <c r="D897">
        <v>2153</v>
      </c>
      <c r="E897" t="str">
        <f t="shared" si="88"/>
        <v>00</v>
      </c>
      <c r="F897" t="str">
        <f>"006"</f>
        <v>006</v>
      </c>
      <c r="G897">
        <v>9</v>
      </c>
      <c r="H897" t="str">
        <f t="shared" si="89"/>
        <v>00</v>
      </c>
      <c r="I897" t="str">
        <f t="shared" si="90"/>
        <v>0</v>
      </c>
      <c r="J897" t="str">
        <f t="shared" si="91"/>
        <v>00</v>
      </c>
      <c r="K897">
        <v>20190715</v>
      </c>
      <c r="L897" t="str">
        <f>"028781"</f>
        <v>028781</v>
      </c>
      <c r="M897" t="str">
        <f>"75452"</f>
        <v>75452</v>
      </c>
      <c r="N897" t="s">
        <v>57</v>
      </c>
      <c r="O897" s="1">
        <v>9006.61</v>
      </c>
      <c r="P897">
        <v>20190715</v>
      </c>
      <c r="Q897" t="s">
        <v>58</v>
      </c>
      <c r="R897" t="s">
        <v>267</v>
      </c>
      <c r="S897" t="s">
        <v>23</v>
      </c>
      <c r="T897" t="s">
        <v>59</v>
      </c>
    </row>
    <row r="898" spans="1:20" x14ac:dyDescent="0.25">
      <c r="A898">
        <v>9</v>
      </c>
      <c r="B898">
        <v>163</v>
      </c>
      <c r="C898" t="str">
        <f t="shared" ref="C898:C961" si="94">"00"</f>
        <v>00</v>
      </c>
      <c r="D898">
        <v>2159</v>
      </c>
      <c r="E898" t="str">
        <f t="shared" ref="E898:E961" si="95">"00"</f>
        <v>00</v>
      </c>
      <c r="F898" t="str">
        <f>"099"</f>
        <v>099</v>
      </c>
      <c r="G898">
        <v>9</v>
      </c>
      <c r="H898" t="str">
        <f t="shared" ref="H898:H961" si="96">"00"</f>
        <v>00</v>
      </c>
      <c r="I898" t="str">
        <f t="shared" ref="I898:I961" si="97">"0"</f>
        <v>0</v>
      </c>
      <c r="J898" t="str">
        <f t="shared" ref="J898:J961" si="98">"00"</f>
        <v>00</v>
      </c>
      <c r="K898">
        <v>20190715</v>
      </c>
      <c r="L898" t="str">
        <f>"028781"</f>
        <v>028781</v>
      </c>
      <c r="M898" t="str">
        <f>"75452"</f>
        <v>75452</v>
      </c>
      <c r="N898" t="s">
        <v>57</v>
      </c>
      <c r="O898">
        <v>300</v>
      </c>
      <c r="P898">
        <v>20190715</v>
      </c>
      <c r="Q898" t="s">
        <v>171</v>
      </c>
      <c r="R898" t="s">
        <v>273</v>
      </c>
      <c r="S898" t="s">
        <v>23</v>
      </c>
      <c r="T898" t="s">
        <v>173</v>
      </c>
    </row>
    <row r="899" spans="1:20" x14ac:dyDescent="0.25">
      <c r="A899">
        <v>9</v>
      </c>
      <c r="B899">
        <v>163</v>
      </c>
      <c r="C899" t="str">
        <f t="shared" si="94"/>
        <v>00</v>
      </c>
      <c r="D899">
        <v>2159</v>
      </c>
      <c r="E899" t="str">
        <f t="shared" si="95"/>
        <v>00</v>
      </c>
      <c r="F899" t="str">
        <f>"048"</f>
        <v>048</v>
      </c>
      <c r="G899">
        <v>9</v>
      </c>
      <c r="H899" t="str">
        <f t="shared" si="96"/>
        <v>00</v>
      </c>
      <c r="I899" t="str">
        <f t="shared" si="97"/>
        <v>0</v>
      </c>
      <c r="J899" t="str">
        <f t="shared" si="98"/>
        <v>00</v>
      </c>
      <c r="K899">
        <v>20190715</v>
      </c>
      <c r="L899" t="str">
        <f>"028782"</f>
        <v>028782</v>
      </c>
      <c r="M899" t="str">
        <f>"77030"</f>
        <v>77030</v>
      </c>
      <c r="N899" t="s">
        <v>139</v>
      </c>
      <c r="O899">
        <v>51.95</v>
      </c>
      <c r="P899">
        <v>20190715</v>
      </c>
      <c r="Q899" t="s">
        <v>140</v>
      </c>
      <c r="R899" t="s">
        <v>268</v>
      </c>
      <c r="S899" t="s">
        <v>23</v>
      </c>
      <c r="T899" t="s">
        <v>141</v>
      </c>
    </row>
    <row r="900" spans="1:20" x14ac:dyDescent="0.25">
      <c r="A900">
        <v>9</v>
      </c>
      <c r="B900">
        <v>163</v>
      </c>
      <c r="C900" t="str">
        <f t="shared" si="94"/>
        <v>00</v>
      </c>
      <c r="D900">
        <v>2159</v>
      </c>
      <c r="E900" t="str">
        <f t="shared" si="95"/>
        <v>00</v>
      </c>
      <c r="F900" t="str">
        <f>"005"</f>
        <v>005</v>
      </c>
      <c r="G900">
        <v>9</v>
      </c>
      <c r="H900" t="str">
        <f t="shared" si="96"/>
        <v>00</v>
      </c>
      <c r="I900" t="str">
        <f t="shared" si="97"/>
        <v>0</v>
      </c>
      <c r="J900" t="str">
        <f t="shared" si="98"/>
        <v>00</v>
      </c>
      <c r="K900">
        <v>20190715</v>
      </c>
      <c r="L900" t="str">
        <f>"028783"</f>
        <v>028783</v>
      </c>
      <c r="M900" t="str">
        <f>"79562"</f>
        <v>79562</v>
      </c>
      <c r="N900" t="s">
        <v>142</v>
      </c>
      <c r="O900">
        <v>156.69999999999999</v>
      </c>
      <c r="P900">
        <v>20190715</v>
      </c>
      <c r="Q900" t="s">
        <v>143</v>
      </c>
      <c r="R900" t="s">
        <v>274</v>
      </c>
      <c r="S900" t="s">
        <v>23</v>
      </c>
      <c r="T900" t="s">
        <v>145</v>
      </c>
    </row>
    <row r="901" spans="1:20" x14ac:dyDescent="0.25">
      <c r="A901">
        <v>9</v>
      </c>
      <c r="B901">
        <v>163</v>
      </c>
      <c r="C901" t="str">
        <f t="shared" si="94"/>
        <v>00</v>
      </c>
      <c r="D901">
        <v>2159</v>
      </c>
      <c r="E901" t="str">
        <f t="shared" si="95"/>
        <v>00</v>
      </c>
      <c r="F901" t="str">
        <f>"086"</f>
        <v>086</v>
      </c>
      <c r="G901">
        <v>9</v>
      </c>
      <c r="H901" t="str">
        <f t="shared" si="96"/>
        <v>00</v>
      </c>
      <c r="I901" t="str">
        <f t="shared" si="97"/>
        <v>0</v>
      </c>
      <c r="J901" t="str">
        <f t="shared" si="98"/>
        <v>00</v>
      </c>
      <c r="K901">
        <v>20190715</v>
      </c>
      <c r="L901" t="str">
        <f>"028784"</f>
        <v>028784</v>
      </c>
      <c r="M901" t="str">
        <f>"81155"</f>
        <v>81155</v>
      </c>
      <c r="N901" t="s">
        <v>149</v>
      </c>
      <c r="O901">
        <v>215</v>
      </c>
      <c r="P901">
        <v>20190715</v>
      </c>
      <c r="Q901" t="s">
        <v>150</v>
      </c>
      <c r="R901" t="s">
        <v>268</v>
      </c>
      <c r="S901" t="s">
        <v>23</v>
      </c>
      <c r="T901" t="s">
        <v>151</v>
      </c>
    </row>
    <row r="902" spans="1:20" x14ac:dyDescent="0.25">
      <c r="A902">
        <v>9</v>
      </c>
      <c r="B902">
        <v>163</v>
      </c>
      <c r="C902" t="str">
        <f t="shared" si="94"/>
        <v>00</v>
      </c>
      <c r="D902">
        <v>2159</v>
      </c>
      <c r="E902" t="str">
        <f t="shared" si="95"/>
        <v>00</v>
      </c>
      <c r="F902" t="str">
        <f>"100"</f>
        <v>100</v>
      </c>
      <c r="G902">
        <v>9</v>
      </c>
      <c r="H902" t="str">
        <f t="shared" si="96"/>
        <v>00</v>
      </c>
      <c r="I902" t="str">
        <f t="shared" si="97"/>
        <v>0</v>
      </c>
      <c r="J902" t="str">
        <f t="shared" si="98"/>
        <v>00</v>
      </c>
      <c r="K902">
        <v>20190715</v>
      </c>
      <c r="L902" t="str">
        <f>"028785"</f>
        <v>028785</v>
      </c>
      <c r="M902" t="str">
        <f>"81177"</f>
        <v>81177</v>
      </c>
      <c r="N902" t="s">
        <v>66</v>
      </c>
      <c r="O902">
        <v>16</v>
      </c>
      <c r="P902">
        <v>20190715</v>
      </c>
      <c r="Q902" t="s">
        <v>67</v>
      </c>
      <c r="R902" t="s">
        <v>268</v>
      </c>
      <c r="S902" t="s">
        <v>23</v>
      </c>
      <c r="T902" t="s">
        <v>68</v>
      </c>
    </row>
    <row r="903" spans="1:20" x14ac:dyDescent="0.25">
      <c r="A903">
        <v>9</v>
      </c>
      <c r="B903">
        <v>163</v>
      </c>
      <c r="C903" t="str">
        <f t="shared" si="94"/>
        <v>00</v>
      </c>
      <c r="D903">
        <v>2159</v>
      </c>
      <c r="E903" t="str">
        <f t="shared" si="95"/>
        <v>00</v>
      </c>
      <c r="F903" t="str">
        <f>"103"</f>
        <v>103</v>
      </c>
      <c r="G903">
        <v>9</v>
      </c>
      <c r="H903" t="str">
        <f t="shared" si="96"/>
        <v>00</v>
      </c>
      <c r="I903" t="str">
        <f t="shared" si="97"/>
        <v>0</v>
      </c>
      <c r="J903" t="str">
        <f t="shared" si="98"/>
        <v>00</v>
      </c>
      <c r="K903">
        <v>20190715</v>
      </c>
      <c r="L903" t="str">
        <f>"028785"</f>
        <v>028785</v>
      </c>
      <c r="M903" t="str">
        <f>"81177"</f>
        <v>81177</v>
      </c>
      <c r="N903" t="s">
        <v>66</v>
      </c>
      <c r="O903">
        <v>830.27</v>
      </c>
      <c r="P903">
        <v>20190715</v>
      </c>
      <c r="Q903" t="s">
        <v>152</v>
      </c>
      <c r="R903" t="s">
        <v>268</v>
      </c>
      <c r="S903" t="s">
        <v>23</v>
      </c>
      <c r="T903" t="s">
        <v>153</v>
      </c>
    </row>
    <row r="904" spans="1:20" x14ac:dyDescent="0.25">
      <c r="A904">
        <v>9</v>
      </c>
      <c r="B904">
        <v>163</v>
      </c>
      <c r="C904" t="str">
        <f t="shared" si="94"/>
        <v>00</v>
      </c>
      <c r="D904">
        <v>2159</v>
      </c>
      <c r="E904" t="str">
        <f t="shared" si="95"/>
        <v>00</v>
      </c>
      <c r="F904" t="str">
        <f>"123"</f>
        <v>123</v>
      </c>
      <c r="G904">
        <v>9</v>
      </c>
      <c r="H904" t="str">
        <f t="shared" si="96"/>
        <v>00</v>
      </c>
      <c r="I904" t="str">
        <f t="shared" si="97"/>
        <v>0</v>
      </c>
      <c r="J904" t="str">
        <f t="shared" si="98"/>
        <v>00</v>
      </c>
      <c r="K904">
        <v>20190715</v>
      </c>
      <c r="L904" t="str">
        <f>"028786"</f>
        <v>028786</v>
      </c>
      <c r="M904" t="str">
        <f>"81753"</f>
        <v>81753</v>
      </c>
      <c r="N904" t="s">
        <v>217</v>
      </c>
      <c r="O904" s="1">
        <v>1185.98</v>
      </c>
      <c r="P904">
        <v>20190715</v>
      </c>
      <c r="Q904" t="s">
        <v>155</v>
      </c>
      <c r="R904" t="s">
        <v>268</v>
      </c>
      <c r="S904" t="s">
        <v>23</v>
      </c>
      <c r="T904" t="s">
        <v>154</v>
      </c>
    </row>
    <row r="905" spans="1:20" x14ac:dyDescent="0.25">
      <c r="A905">
        <v>9</v>
      </c>
      <c r="B905">
        <v>163</v>
      </c>
      <c r="C905" t="str">
        <f t="shared" si="94"/>
        <v>00</v>
      </c>
      <c r="D905">
        <v>2153</v>
      </c>
      <c r="E905" t="str">
        <f t="shared" si="95"/>
        <v>00</v>
      </c>
      <c r="F905" t="str">
        <f>"141"</f>
        <v>141</v>
      </c>
      <c r="G905">
        <v>9</v>
      </c>
      <c r="H905" t="str">
        <f t="shared" si="96"/>
        <v>00</v>
      </c>
      <c r="I905" t="str">
        <f t="shared" si="97"/>
        <v>0</v>
      </c>
      <c r="J905" t="str">
        <f t="shared" si="98"/>
        <v>00</v>
      </c>
      <c r="K905">
        <v>20190726</v>
      </c>
      <c r="L905" t="str">
        <f>"028794"</f>
        <v>028794</v>
      </c>
      <c r="M905" t="str">
        <f>"00068"</f>
        <v>00068</v>
      </c>
      <c r="N905" t="s">
        <v>20</v>
      </c>
      <c r="O905">
        <v>310.89</v>
      </c>
      <c r="P905">
        <v>20190726</v>
      </c>
      <c r="Q905" t="s">
        <v>21</v>
      </c>
      <c r="R905" t="s">
        <v>266</v>
      </c>
      <c r="S905" t="s">
        <v>23</v>
      </c>
      <c r="T905" t="s">
        <v>24</v>
      </c>
    </row>
    <row r="906" spans="1:20" x14ac:dyDescent="0.25">
      <c r="A906">
        <v>9</v>
      </c>
      <c r="B906">
        <v>163</v>
      </c>
      <c r="C906" t="str">
        <f t="shared" si="94"/>
        <v>00</v>
      </c>
      <c r="D906">
        <v>2153</v>
      </c>
      <c r="E906" t="str">
        <f t="shared" si="95"/>
        <v>00</v>
      </c>
      <c r="F906" t="str">
        <f>"142"</f>
        <v>142</v>
      </c>
      <c r="G906">
        <v>9</v>
      </c>
      <c r="H906" t="str">
        <f t="shared" si="96"/>
        <v>00</v>
      </c>
      <c r="I906" t="str">
        <f t="shared" si="97"/>
        <v>0</v>
      </c>
      <c r="J906" t="str">
        <f t="shared" si="98"/>
        <v>00</v>
      </c>
      <c r="K906">
        <v>20190726</v>
      </c>
      <c r="L906" t="str">
        <f>"028794"</f>
        <v>028794</v>
      </c>
      <c r="M906" t="str">
        <f>"00068"</f>
        <v>00068</v>
      </c>
      <c r="N906" t="s">
        <v>20</v>
      </c>
      <c r="O906">
        <v>226.52</v>
      </c>
      <c r="P906">
        <v>20190726</v>
      </c>
      <c r="Q906" t="s">
        <v>25</v>
      </c>
      <c r="R906" t="s">
        <v>267</v>
      </c>
      <c r="S906" t="s">
        <v>23</v>
      </c>
      <c r="T906" t="s">
        <v>27</v>
      </c>
    </row>
    <row r="907" spans="1:20" x14ac:dyDescent="0.25">
      <c r="A907">
        <v>9</v>
      </c>
      <c r="B907">
        <v>163</v>
      </c>
      <c r="C907" t="str">
        <f t="shared" si="94"/>
        <v>00</v>
      </c>
      <c r="D907">
        <v>2153</v>
      </c>
      <c r="E907" t="str">
        <f t="shared" si="95"/>
        <v>00</v>
      </c>
      <c r="F907" t="str">
        <f>"144"</f>
        <v>144</v>
      </c>
      <c r="G907">
        <v>9</v>
      </c>
      <c r="H907" t="str">
        <f t="shared" si="96"/>
        <v>00</v>
      </c>
      <c r="I907" t="str">
        <f t="shared" si="97"/>
        <v>0</v>
      </c>
      <c r="J907" t="str">
        <f t="shared" si="98"/>
        <v>00</v>
      </c>
      <c r="K907">
        <v>20190726</v>
      </c>
      <c r="L907" t="str">
        <f>"028794"</f>
        <v>028794</v>
      </c>
      <c r="M907" t="str">
        <f>"00068"</f>
        <v>00068</v>
      </c>
      <c r="N907" t="s">
        <v>20</v>
      </c>
      <c r="O907">
        <v>55.74</v>
      </c>
      <c r="P907">
        <v>20190726</v>
      </c>
      <c r="Q907" t="s">
        <v>238</v>
      </c>
      <c r="R907" t="s">
        <v>266</v>
      </c>
      <c r="S907" t="s">
        <v>23</v>
      </c>
      <c r="T907" t="s">
        <v>239</v>
      </c>
    </row>
    <row r="908" spans="1:20" x14ac:dyDescent="0.25">
      <c r="A908">
        <v>9</v>
      </c>
      <c r="B908">
        <v>163</v>
      </c>
      <c r="C908" t="str">
        <f t="shared" si="94"/>
        <v>00</v>
      </c>
      <c r="D908">
        <v>2153</v>
      </c>
      <c r="E908" t="str">
        <f t="shared" si="95"/>
        <v>00</v>
      </c>
      <c r="F908" t="str">
        <f>"145"</f>
        <v>145</v>
      </c>
      <c r="G908">
        <v>9</v>
      </c>
      <c r="H908" t="str">
        <f t="shared" si="96"/>
        <v>00</v>
      </c>
      <c r="I908" t="str">
        <f t="shared" si="97"/>
        <v>0</v>
      </c>
      <c r="J908" t="str">
        <f t="shared" si="98"/>
        <v>00</v>
      </c>
      <c r="K908">
        <v>20190726</v>
      </c>
      <c r="L908" t="str">
        <f>"028794"</f>
        <v>028794</v>
      </c>
      <c r="M908" t="str">
        <f>"00068"</f>
        <v>00068</v>
      </c>
      <c r="N908" t="s">
        <v>20</v>
      </c>
      <c r="O908">
        <v>98.38</v>
      </c>
      <c r="P908">
        <v>20190726</v>
      </c>
      <c r="Q908" t="s">
        <v>240</v>
      </c>
      <c r="R908" t="s">
        <v>267</v>
      </c>
      <c r="S908" t="s">
        <v>23</v>
      </c>
      <c r="T908" t="s">
        <v>241</v>
      </c>
    </row>
    <row r="909" spans="1:20" x14ac:dyDescent="0.25">
      <c r="A909">
        <v>9</v>
      </c>
      <c r="B909">
        <v>163</v>
      </c>
      <c r="C909" t="str">
        <f t="shared" si="94"/>
        <v>00</v>
      </c>
      <c r="D909">
        <v>2159</v>
      </c>
      <c r="E909" t="str">
        <f t="shared" si="95"/>
        <v>00</v>
      </c>
      <c r="F909" t="str">
        <f>"148"</f>
        <v>148</v>
      </c>
      <c r="G909">
        <v>9</v>
      </c>
      <c r="H909" t="str">
        <f t="shared" si="96"/>
        <v>00</v>
      </c>
      <c r="I909" t="str">
        <f t="shared" si="97"/>
        <v>0</v>
      </c>
      <c r="J909" t="str">
        <f t="shared" si="98"/>
        <v>00</v>
      </c>
      <c r="K909">
        <v>20190726</v>
      </c>
      <c r="L909" t="str">
        <f>"028795"</f>
        <v>028795</v>
      </c>
      <c r="M909" t="str">
        <f>"00528"</f>
        <v>00528</v>
      </c>
      <c r="N909" t="s">
        <v>159</v>
      </c>
      <c r="O909">
        <v>7.5</v>
      </c>
      <c r="P909">
        <v>20190726</v>
      </c>
      <c r="Q909" t="s">
        <v>160</v>
      </c>
      <c r="R909" t="s">
        <v>268</v>
      </c>
      <c r="S909" t="s">
        <v>23</v>
      </c>
      <c r="T909" t="s">
        <v>162</v>
      </c>
    </row>
    <row r="910" spans="1:20" x14ac:dyDescent="0.25">
      <c r="A910">
        <v>9</v>
      </c>
      <c r="B910">
        <v>163</v>
      </c>
      <c r="C910" t="str">
        <f t="shared" si="94"/>
        <v>00</v>
      </c>
      <c r="D910">
        <v>2159</v>
      </c>
      <c r="E910" t="str">
        <f t="shared" si="95"/>
        <v>00</v>
      </c>
      <c r="F910" t="str">
        <f>"151"</f>
        <v>151</v>
      </c>
      <c r="G910">
        <v>9</v>
      </c>
      <c r="H910" t="str">
        <f t="shared" si="96"/>
        <v>00</v>
      </c>
      <c r="I910" t="str">
        <f t="shared" si="97"/>
        <v>0</v>
      </c>
      <c r="J910" t="str">
        <f t="shared" si="98"/>
        <v>00</v>
      </c>
      <c r="K910">
        <v>20190726</v>
      </c>
      <c r="L910" t="str">
        <f>"028795"</f>
        <v>028795</v>
      </c>
      <c r="M910" t="str">
        <f>"00528"</f>
        <v>00528</v>
      </c>
      <c r="N910" t="s">
        <v>159</v>
      </c>
      <c r="O910">
        <v>3.75</v>
      </c>
      <c r="P910">
        <v>20190726</v>
      </c>
      <c r="Q910" t="s">
        <v>242</v>
      </c>
      <c r="R910" t="s">
        <v>268</v>
      </c>
      <c r="S910" t="s">
        <v>23</v>
      </c>
      <c r="T910" t="s">
        <v>243</v>
      </c>
    </row>
    <row r="911" spans="1:20" x14ac:dyDescent="0.25">
      <c r="A911">
        <v>9</v>
      </c>
      <c r="B911">
        <v>163</v>
      </c>
      <c r="C911" t="str">
        <f t="shared" si="94"/>
        <v>00</v>
      </c>
      <c r="D911">
        <v>2153</v>
      </c>
      <c r="E911" t="str">
        <f t="shared" si="95"/>
        <v>00</v>
      </c>
      <c r="F911" t="str">
        <f>"022"</f>
        <v>022</v>
      </c>
      <c r="G911">
        <v>9</v>
      </c>
      <c r="H911" t="str">
        <f t="shared" si="96"/>
        <v>00</v>
      </c>
      <c r="I911" t="str">
        <f t="shared" si="97"/>
        <v>0</v>
      </c>
      <c r="J911" t="str">
        <f t="shared" si="98"/>
        <v>00</v>
      </c>
      <c r="K911">
        <v>20190726</v>
      </c>
      <c r="L911" t="str">
        <f>"028796"</f>
        <v>028796</v>
      </c>
      <c r="M911" t="str">
        <f>"04831"</f>
        <v>04831</v>
      </c>
      <c r="N911" t="s">
        <v>28</v>
      </c>
      <c r="O911">
        <v>16.77</v>
      </c>
      <c r="P911">
        <v>20190726</v>
      </c>
      <c r="Q911" t="s">
        <v>29</v>
      </c>
      <c r="R911" t="s">
        <v>267</v>
      </c>
      <c r="S911" t="s">
        <v>23</v>
      </c>
      <c r="T911" t="s">
        <v>30</v>
      </c>
    </row>
    <row r="912" spans="1:20" x14ac:dyDescent="0.25">
      <c r="A912">
        <v>9</v>
      </c>
      <c r="B912">
        <v>163</v>
      </c>
      <c r="C912" t="str">
        <f t="shared" si="94"/>
        <v>00</v>
      </c>
      <c r="D912">
        <v>2159</v>
      </c>
      <c r="E912" t="str">
        <f t="shared" si="95"/>
        <v>00</v>
      </c>
      <c r="F912" t="str">
        <f>"018"</f>
        <v>018</v>
      </c>
      <c r="G912">
        <v>9</v>
      </c>
      <c r="H912" t="str">
        <f t="shared" si="96"/>
        <v>00</v>
      </c>
      <c r="I912" t="str">
        <f t="shared" si="97"/>
        <v>0</v>
      </c>
      <c r="J912" t="str">
        <f t="shared" si="98"/>
        <v>00</v>
      </c>
      <c r="K912">
        <v>20190726</v>
      </c>
      <c r="L912" t="str">
        <f>"028797"</f>
        <v>028797</v>
      </c>
      <c r="M912" t="str">
        <f>"04905"</f>
        <v>04905</v>
      </c>
      <c r="N912" t="s">
        <v>31</v>
      </c>
      <c r="O912">
        <v>18.37</v>
      </c>
      <c r="P912">
        <v>20190726</v>
      </c>
      <c r="Q912" t="s">
        <v>32</v>
      </c>
      <c r="R912" t="s">
        <v>268</v>
      </c>
      <c r="S912" t="s">
        <v>23</v>
      </c>
      <c r="T912" t="s">
        <v>34</v>
      </c>
    </row>
    <row r="913" spans="1:20" x14ac:dyDescent="0.25">
      <c r="A913">
        <v>9</v>
      </c>
      <c r="B913">
        <v>163</v>
      </c>
      <c r="C913" t="str">
        <f t="shared" si="94"/>
        <v>00</v>
      </c>
      <c r="D913">
        <v>2153</v>
      </c>
      <c r="E913" t="str">
        <f t="shared" si="95"/>
        <v>00</v>
      </c>
      <c r="F913" t="str">
        <f>"053"</f>
        <v>053</v>
      </c>
      <c r="G913">
        <v>9</v>
      </c>
      <c r="H913" t="str">
        <f t="shared" si="96"/>
        <v>00</v>
      </c>
      <c r="I913" t="str">
        <f t="shared" si="97"/>
        <v>0</v>
      </c>
      <c r="J913" t="str">
        <f t="shared" si="98"/>
        <v>00</v>
      </c>
      <c r="K913">
        <v>20190726</v>
      </c>
      <c r="L913" t="str">
        <f>"028798"</f>
        <v>028798</v>
      </c>
      <c r="M913" t="str">
        <f>"04987"</f>
        <v>04987</v>
      </c>
      <c r="N913" t="s">
        <v>35</v>
      </c>
      <c r="O913">
        <v>13.76</v>
      </c>
      <c r="P913">
        <v>20190726</v>
      </c>
      <c r="Q913" t="s">
        <v>36</v>
      </c>
      <c r="R913" t="s">
        <v>267</v>
      </c>
      <c r="S913" t="s">
        <v>23</v>
      </c>
      <c r="T913" t="s">
        <v>37</v>
      </c>
    </row>
    <row r="914" spans="1:20" x14ac:dyDescent="0.25">
      <c r="A914">
        <v>9</v>
      </c>
      <c r="B914">
        <v>163</v>
      </c>
      <c r="C914" t="str">
        <f t="shared" si="94"/>
        <v>00</v>
      </c>
      <c r="D914">
        <v>2159</v>
      </c>
      <c r="E914" t="str">
        <f t="shared" si="95"/>
        <v>00</v>
      </c>
      <c r="F914" t="str">
        <f>"068"</f>
        <v>068</v>
      </c>
      <c r="G914">
        <v>9</v>
      </c>
      <c r="H914" t="str">
        <f t="shared" si="96"/>
        <v>00</v>
      </c>
      <c r="I914" t="str">
        <f t="shared" si="97"/>
        <v>0</v>
      </c>
      <c r="J914" t="str">
        <f t="shared" si="98"/>
        <v>00</v>
      </c>
      <c r="K914">
        <v>20190726</v>
      </c>
      <c r="L914" t="str">
        <f>"028799"</f>
        <v>028799</v>
      </c>
      <c r="M914" t="str">
        <f>"10095"</f>
        <v>10095</v>
      </c>
      <c r="N914" t="s">
        <v>83</v>
      </c>
      <c r="O914">
        <v>14.59</v>
      </c>
      <c r="P914">
        <v>20190726</v>
      </c>
      <c r="Q914" t="s">
        <v>84</v>
      </c>
      <c r="R914" t="s">
        <v>268</v>
      </c>
      <c r="S914" t="s">
        <v>23</v>
      </c>
      <c r="T914" t="s">
        <v>85</v>
      </c>
    </row>
    <row r="915" spans="1:20" x14ac:dyDescent="0.25">
      <c r="A915">
        <v>9</v>
      </c>
      <c r="B915">
        <v>163</v>
      </c>
      <c r="C915" t="str">
        <f t="shared" si="94"/>
        <v>00</v>
      </c>
      <c r="D915">
        <v>2153</v>
      </c>
      <c r="E915" t="str">
        <f t="shared" si="95"/>
        <v>00</v>
      </c>
      <c r="F915" t="str">
        <f>"011"</f>
        <v>011</v>
      </c>
      <c r="G915">
        <v>9</v>
      </c>
      <c r="H915" t="str">
        <f t="shared" si="96"/>
        <v>00</v>
      </c>
      <c r="I915" t="str">
        <f t="shared" si="97"/>
        <v>0</v>
      </c>
      <c r="J915" t="str">
        <f t="shared" si="98"/>
        <v>00</v>
      </c>
      <c r="K915">
        <v>20190726</v>
      </c>
      <c r="L915" t="str">
        <f>"028800"</f>
        <v>028800</v>
      </c>
      <c r="M915" t="str">
        <f>"11211"</f>
        <v>11211</v>
      </c>
      <c r="N915" t="s">
        <v>41</v>
      </c>
      <c r="O915">
        <v>119.35</v>
      </c>
      <c r="P915">
        <v>20190726</v>
      </c>
      <c r="Q915" t="s">
        <v>42</v>
      </c>
      <c r="R915" t="s">
        <v>267</v>
      </c>
      <c r="S915" t="s">
        <v>23</v>
      </c>
      <c r="T915" t="s">
        <v>43</v>
      </c>
    </row>
    <row r="916" spans="1:20" x14ac:dyDescent="0.25">
      <c r="A916">
        <v>9</v>
      </c>
      <c r="B916">
        <v>163</v>
      </c>
      <c r="C916" t="str">
        <f t="shared" si="94"/>
        <v>00</v>
      </c>
      <c r="D916">
        <v>2153</v>
      </c>
      <c r="E916" t="str">
        <f t="shared" si="95"/>
        <v>00</v>
      </c>
      <c r="F916" t="str">
        <f>"112"</f>
        <v>112</v>
      </c>
      <c r="G916">
        <v>9</v>
      </c>
      <c r="H916" t="str">
        <f t="shared" si="96"/>
        <v>00</v>
      </c>
      <c r="I916" t="str">
        <f t="shared" si="97"/>
        <v>0</v>
      </c>
      <c r="J916" t="str">
        <f t="shared" si="98"/>
        <v>00</v>
      </c>
      <c r="K916">
        <v>20190726</v>
      </c>
      <c r="L916" t="str">
        <f>"028800"</f>
        <v>028800</v>
      </c>
      <c r="M916" t="str">
        <f>"11211"</f>
        <v>11211</v>
      </c>
      <c r="N916" t="s">
        <v>41</v>
      </c>
      <c r="O916">
        <v>32.68</v>
      </c>
      <c r="P916">
        <v>20190726</v>
      </c>
      <c r="Q916" t="s">
        <v>197</v>
      </c>
      <c r="R916" t="s">
        <v>267</v>
      </c>
      <c r="S916" t="s">
        <v>23</v>
      </c>
      <c r="T916" t="s">
        <v>198</v>
      </c>
    </row>
    <row r="917" spans="1:20" x14ac:dyDescent="0.25">
      <c r="A917">
        <v>9</v>
      </c>
      <c r="B917">
        <v>163</v>
      </c>
      <c r="C917" t="str">
        <f t="shared" si="94"/>
        <v>00</v>
      </c>
      <c r="D917">
        <v>2159</v>
      </c>
      <c r="E917" t="str">
        <f t="shared" si="95"/>
        <v>00</v>
      </c>
      <c r="F917" t="str">
        <f>"104"</f>
        <v>104</v>
      </c>
      <c r="G917">
        <v>9</v>
      </c>
      <c r="H917" t="str">
        <f t="shared" si="96"/>
        <v>00</v>
      </c>
      <c r="I917" t="str">
        <f t="shared" si="97"/>
        <v>0</v>
      </c>
      <c r="J917" t="str">
        <f t="shared" si="98"/>
        <v>00</v>
      </c>
      <c r="K917">
        <v>20190726</v>
      </c>
      <c r="L917" t="str">
        <f>"028801"</f>
        <v>028801</v>
      </c>
      <c r="M917" t="str">
        <f>"14177"</f>
        <v>14177</v>
      </c>
      <c r="N917" t="s">
        <v>163</v>
      </c>
      <c r="O917">
        <v>129</v>
      </c>
      <c r="P917">
        <v>20190726</v>
      </c>
      <c r="Q917" t="s">
        <v>45</v>
      </c>
      <c r="R917" t="s">
        <v>268</v>
      </c>
      <c r="S917" t="s">
        <v>23</v>
      </c>
      <c r="T917" t="s">
        <v>46</v>
      </c>
    </row>
    <row r="918" spans="1:20" x14ac:dyDescent="0.25">
      <c r="A918">
        <v>9</v>
      </c>
      <c r="B918">
        <v>163</v>
      </c>
      <c r="C918" t="str">
        <f t="shared" si="94"/>
        <v>00</v>
      </c>
      <c r="D918">
        <v>2153</v>
      </c>
      <c r="E918" t="str">
        <f t="shared" si="95"/>
        <v>00</v>
      </c>
      <c r="F918" t="str">
        <f>"110"</f>
        <v>110</v>
      </c>
      <c r="G918">
        <v>9</v>
      </c>
      <c r="H918" t="str">
        <f t="shared" si="96"/>
        <v>00</v>
      </c>
      <c r="I918" t="str">
        <f t="shared" si="97"/>
        <v>0</v>
      </c>
      <c r="J918" t="str">
        <f t="shared" si="98"/>
        <v>00</v>
      </c>
      <c r="K918">
        <v>20190726</v>
      </c>
      <c r="L918" t="str">
        <f>"028802"</f>
        <v>028802</v>
      </c>
      <c r="M918" t="str">
        <f>"48947"</f>
        <v>48947</v>
      </c>
      <c r="N918" t="s">
        <v>47</v>
      </c>
      <c r="O918">
        <v>34.81</v>
      </c>
      <c r="P918">
        <v>20190726</v>
      </c>
      <c r="Q918" t="s">
        <v>48</v>
      </c>
      <c r="R918" t="s">
        <v>266</v>
      </c>
      <c r="S918" t="s">
        <v>23</v>
      </c>
      <c r="T918" t="s">
        <v>49</v>
      </c>
    </row>
    <row r="919" spans="1:20" x14ac:dyDescent="0.25">
      <c r="A919">
        <v>9</v>
      </c>
      <c r="B919">
        <v>163</v>
      </c>
      <c r="C919" t="str">
        <f t="shared" si="94"/>
        <v>00</v>
      </c>
      <c r="D919">
        <v>2159</v>
      </c>
      <c r="E919" t="str">
        <f t="shared" si="95"/>
        <v>00</v>
      </c>
      <c r="F919" t="str">
        <f>"131"</f>
        <v>131</v>
      </c>
      <c r="G919">
        <v>9</v>
      </c>
      <c r="H919" t="str">
        <f t="shared" si="96"/>
        <v>00</v>
      </c>
      <c r="I919" t="str">
        <f t="shared" si="97"/>
        <v>0</v>
      </c>
      <c r="J919" t="str">
        <f t="shared" si="98"/>
        <v>00</v>
      </c>
      <c r="K919">
        <v>20190726</v>
      </c>
      <c r="L919" t="str">
        <f>"028803"</f>
        <v>028803</v>
      </c>
      <c r="M919" t="str">
        <f>"54196"</f>
        <v>54196</v>
      </c>
      <c r="N919" t="s">
        <v>50</v>
      </c>
      <c r="O919">
        <v>50</v>
      </c>
      <c r="P919">
        <v>20190726</v>
      </c>
      <c r="Q919" t="s">
        <v>51</v>
      </c>
      <c r="R919" t="s">
        <v>269</v>
      </c>
      <c r="S919" t="s">
        <v>23</v>
      </c>
      <c r="T919" t="s">
        <v>53</v>
      </c>
    </row>
    <row r="920" spans="1:20" x14ac:dyDescent="0.25">
      <c r="A920">
        <v>9</v>
      </c>
      <c r="B920">
        <v>163</v>
      </c>
      <c r="C920" t="str">
        <f t="shared" si="94"/>
        <v>00</v>
      </c>
      <c r="D920">
        <v>2159</v>
      </c>
      <c r="E920" t="str">
        <f t="shared" si="95"/>
        <v>00</v>
      </c>
      <c r="F920" t="str">
        <f>"111"</f>
        <v>111</v>
      </c>
      <c r="G920">
        <v>9</v>
      </c>
      <c r="H920" t="str">
        <f t="shared" si="96"/>
        <v>00</v>
      </c>
      <c r="I920" t="str">
        <f t="shared" si="97"/>
        <v>0</v>
      </c>
      <c r="J920" t="str">
        <f t="shared" si="98"/>
        <v>00</v>
      </c>
      <c r="K920">
        <v>20190726</v>
      </c>
      <c r="L920" t="str">
        <f>"028804"</f>
        <v>028804</v>
      </c>
      <c r="M920" t="str">
        <f>"72601"</f>
        <v>72601</v>
      </c>
      <c r="N920" t="s">
        <v>54</v>
      </c>
      <c r="O920">
        <v>299.45</v>
      </c>
      <c r="P920">
        <v>20190726</v>
      </c>
      <c r="Q920" t="s">
        <v>55</v>
      </c>
      <c r="R920" t="s">
        <v>268</v>
      </c>
      <c r="S920" t="s">
        <v>23</v>
      </c>
      <c r="T920" t="s">
        <v>56</v>
      </c>
    </row>
    <row r="921" spans="1:20" x14ac:dyDescent="0.25">
      <c r="A921">
        <v>9</v>
      </c>
      <c r="B921">
        <v>163</v>
      </c>
      <c r="C921" t="str">
        <f t="shared" si="94"/>
        <v>00</v>
      </c>
      <c r="D921">
        <v>2159</v>
      </c>
      <c r="E921" t="str">
        <f t="shared" si="95"/>
        <v>00</v>
      </c>
      <c r="F921" t="str">
        <f>"113"</f>
        <v>113</v>
      </c>
      <c r="G921">
        <v>9</v>
      </c>
      <c r="H921" t="str">
        <f t="shared" si="96"/>
        <v>00</v>
      </c>
      <c r="I921" t="str">
        <f t="shared" si="97"/>
        <v>0</v>
      </c>
      <c r="J921" t="str">
        <f t="shared" si="98"/>
        <v>00</v>
      </c>
      <c r="K921">
        <v>20190726</v>
      </c>
      <c r="L921" t="str">
        <f>"028804"</f>
        <v>028804</v>
      </c>
      <c r="M921" t="str">
        <f>"72601"</f>
        <v>72601</v>
      </c>
      <c r="N921" t="s">
        <v>54</v>
      </c>
      <c r="O921">
        <v>94.64</v>
      </c>
      <c r="P921">
        <v>20190726</v>
      </c>
      <c r="Q921" t="s">
        <v>262</v>
      </c>
      <c r="R921" t="s">
        <v>268</v>
      </c>
      <c r="S921" t="s">
        <v>23</v>
      </c>
      <c r="T921" t="s">
        <v>263</v>
      </c>
    </row>
    <row r="922" spans="1:20" x14ac:dyDescent="0.25">
      <c r="A922">
        <v>9</v>
      </c>
      <c r="B922">
        <v>163</v>
      </c>
      <c r="C922" t="str">
        <f t="shared" si="94"/>
        <v>00</v>
      </c>
      <c r="D922">
        <v>2153</v>
      </c>
      <c r="E922" t="str">
        <f t="shared" si="95"/>
        <v>00</v>
      </c>
      <c r="F922" t="str">
        <f>"006"</f>
        <v>006</v>
      </c>
      <c r="G922">
        <v>9</v>
      </c>
      <c r="H922" t="str">
        <f t="shared" si="96"/>
        <v>00</v>
      </c>
      <c r="I922" t="str">
        <f t="shared" si="97"/>
        <v>0</v>
      </c>
      <c r="J922" t="str">
        <f t="shared" si="98"/>
        <v>00</v>
      </c>
      <c r="K922">
        <v>20190726</v>
      </c>
      <c r="L922" t="str">
        <f>"028805"</f>
        <v>028805</v>
      </c>
      <c r="M922" t="str">
        <f>"75452"</f>
        <v>75452</v>
      </c>
      <c r="N922" t="s">
        <v>57</v>
      </c>
      <c r="O922">
        <v>235.11</v>
      </c>
      <c r="P922">
        <v>20190726</v>
      </c>
      <c r="Q922" t="s">
        <v>58</v>
      </c>
      <c r="R922" t="s">
        <v>267</v>
      </c>
      <c r="S922" t="s">
        <v>23</v>
      </c>
      <c r="T922" t="s">
        <v>59</v>
      </c>
    </row>
    <row r="923" spans="1:20" x14ac:dyDescent="0.25">
      <c r="A923">
        <v>9</v>
      </c>
      <c r="B923">
        <v>163</v>
      </c>
      <c r="C923" t="str">
        <f t="shared" si="94"/>
        <v>00</v>
      </c>
      <c r="D923">
        <v>2153</v>
      </c>
      <c r="E923" t="str">
        <f t="shared" si="95"/>
        <v>00</v>
      </c>
      <c r="F923" t="str">
        <f>"128"</f>
        <v>128</v>
      </c>
      <c r="G923">
        <v>9</v>
      </c>
      <c r="H923" t="str">
        <f t="shared" si="96"/>
        <v>00</v>
      </c>
      <c r="I923" t="str">
        <f t="shared" si="97"/>
        <v>0</v>
      </c>
      <c r="J923" t="str">
        <f t="shared" si="98"/>
        <v>00</v>
      </c>
      <c r="K923">
        <v>20190726</v>
      </c>
      <c r="L923" t="str">
        <f>"028805"</f>
        <v>028805</v>
      </c>
      <c r="M923" t="str">
        <f>"75452"</f>
        <v>75452</v>
      </c>
      <c r="N923" t="s">
        <v>57</v>
      </c>
      <c r="O923">
        <v>188.33</v>
      </c>
      <c r="P923">
        <v>20190726</v>
      </c>
      <c r="Q923" t="s">
        <v>264</v>
      </c>
      <c r="R923" t="s">
        <v>267</v>
      </c>
      <c r="S923" t="s">
        <v>23</v>
      </c>
      <c r="T923" t="s">
        <v>265</v>
      </c>
    </row>
    <row r="924" spans="1:20" x14ac:dyDescent="0.25">
      <c r="A924">
        <v>9</v>
      </c>
      <c r="B924">
        <v>163</v>
      </c>
      <c r="C924" t="str">
        <f t="shared" si="94"/>
        <v>00</v>
      </c>
      <c r="D924">
        <v>2159</v>
      </c>
      <c r="E924" t="str">
        <f t="shared" si="95"/>
        <v>00</v>
      </c>
      <c r="F924" t="str">
        <f>"100"</f>
        <v>100</v>
      </c>
      <c r="G924">
        <v>9</v>
      </c>
      <c r="H924" t="str">
        <f t="shared" si="96"/>
        <v>00</v>
      </c>
      <c r="I924" t="str">
        <f t="shared" si="97"/>
        <v>0</v>
      </c>
      <c r="J924" t="str">
        <f t="shared" si="98"/>
        <v>00</v>
      </c>
      <c r="K924">
        <v>20190726</v>
      </c>
      <c r="L924" t="str">
        <f>"028806"</f>
        <v>028806</v>
      </c>
      <c r="M924" t="str">
        <f>"81177"</f>
        <v>81177</v>
      </c>
      <c r="N924" t="s">
        <v>66</v>
      </c>
      <c r="O924">
        <v>32</v>
      </c>
      <c r="P924">
        <v>20190726</v>
      </c>
      <c r="Q924" t="s">
        <v>67</v>
      </c>
      <c r="R924" t="s">
        <v>268</v>
      </c>
      <c r="S924" t="s">
        <v>23</v>
      </c>
      <c r="T924" t="s">
        <v>68</v>
      </c>
    </row>
    <row r="925" spans="1:20" x14ac:dyDescent="0.25">
      <c r="A925">
        <v>9</v>
      </c>
      <c r="B925">
        <v>163</v>
      </c>
      <c r="C925" t="str">
        <f t="shared" si="94"/>
        <v>00</v>
      </c>
      <c r="D925">
        <v>2153</v>
      </c>
      <c r="E925" t="str">
        <f t="shared" si="95"/>
        <v>00</v>
      </c>
      <c r="F925" t="str">
        <f>"011"</f>
        <v>011</v>
      </c>
      <c r="G925">
        <v>9</v>
      </c>
      <c r="H925" t="str">
        <f t="shared" si="96"/>
        <v>00</v>
      </c>
      <c r="I925" t="str">
        <f t="shared" si="97"/>
        <v>0</v>
      </c>
      <c r="J925" t="str">
        <f t="shared" si="98"/>
        <v>00</v>
      </c>
      <c r="K925">
        <v>20190816</v>
      </c>
      <c r="L925" t="str">
        <f>"028840"</f>
        <v>028840</v>
      </c>
      <c r="M925" t="str">
        <f>"00237"</f>
        <v>00237</v>
      </c>
      <c r="N925" t="s">
        <v>275</v>
      </c>
      <c r="O925">
        <v>12.94</v>
      </c>
      <c r="P925">
        <v>20190829</v>
      </c>
      <c r="Q925" t="s">
        <v>42</v>
      </c>
      <c r="R925" t="s">
        <v>276</v>
      </c>
      <c r="S925" t="s">
        <v>23</v>
      </c>
      <c r="T925" t="s">
        <v>43</v>
      </c>
    </row>
    <row r="926" spans="1:20" x14ac:dyDescent="0.25">
      <c r="A926">
        <v>9</v>
      </c>
      <c r="B926">
        <v>163</v>
      </c>
      <c r="C926" t="str">
        <f t="shared" si="94"/>
        <v>00</v>
      </c>
      <c r="D926">
        <v>2153</v>
      </c>
      <c r="E926" t="str">
        <f t="shared" si="95"/>
        <v>00</v>
      </c>
      <c r="F926" t="str">
        <f>"141"</f>
        <v>141</v>
      </c>
      <c r="G926">
        <v>9</v>
      </c>
      <c r="H926" t="str">
        <f t="shared" si="96"/>
        <v>00</v>
      </c>
      <c r="I926" t="str">
        <f t="shared" si="97"/>
        <v>0</v>
      </c>
      <c r="J926" t="str">
        <f t="shared" si="98"/>
        <v>00</v>
      </c>
      <c r="K926">
        <v>20190816</v>
      </c>
      <c r="L926" t="str">
        <f>"028840"</f>
        <v>028840</v>
      </c>
      <c r="M926" t="str">
        <f>"00237"</f>
        <v>00237</v>
      </c>
      <c r="N926" t="s">
        <v>275</v>
      </c>
      <c r="O926">
        <v>11.2</v>
      </c>
      <c r="P926">
        <v>20190829</v>
      </c>
      <c r="Q926" t="s">
        <v>21</v>
      </c>
      <c r="R926" t="s">
        <v>276</v>
      </c>
      <c r="S926" t="s">
        <v>23</v>
      </c>
      <c r="T926" t="s">
        <v>24</v>
      </c>
    </row>
    <row r="927" spans="1:20" x14ac:dyDescent="0.25">
      <c r="A927">
        <v>9</v>
      </c>
      <c r="B927">
        <v>163</v>
      </c>
      <c r="C927" t="str">
        <f t="shared" si="94"/>
        <v>00</v>
      </c>
      <c r="D927">
        <v>2159</v>
      </c>
      <c r="E927" t="str">
        <f t="shared" si="95"/>
        <v>00</v>
      </c>
      <c r="F927" t="str">
        <f>"148"</f>
        <v>148</v>
      </c>
      <c r="G927">
        <v>9</v>
      </c>
      <c r="H927" t="str">
        <f t="shared" si="96"/>
        <v>00</v>
      </c>
      <c r="I927" t="str">
        <f t="shared" si="97"/>
        <v>0</v>
      </c>
      <c r="J927" t="str">
        <f t="shared" si="98"/>
        <v>00</v>
      </c>
      <c r="K927">
        <v>20190816</v>
      </c>
      <c r="L927" t="str">
        <f>"028840"</f>
        <v>028840</v>
      </c>
      <c r="M927" t="str">
        <f>"00237"</f>
        <v>00237</v>
      </c>
      <c r="N927" t="s">
        <v>275</v>
      </c>
      <c r="O927">
        <v>7.5</v>
      </c>
      <c r="P927">
        <v>20190829</v>
      </c>
      <c r="Q927" t="s">
        <v>160</v>
      </c>
      <c r="R927" t="s">
        <v>276</v>
      </c>
      <c r="S927" t="s">
        <v>23</v>
      </c>
      <c r="T927" t="s">
        <v>162</v>
      </c>
    </row>
    <row r="928" spans="1:20" x14ac:dyDescent="0.25">
      <c r="A928">
        <v>9</v>
      </c>
      <c r="B928">
        <v>163</v>
      </c>
      <c r="C928" t="str">
        <f t="shared" si="94"/>
        <v>00</v>
      </c>
      <c r="D928">
        <v>2153</v>
      </c>
      <c r="E928" t="str">
        <f t="shared" si="95"/>
        <v>00</v>
      </c>
      <c r="F928" t="str">
        <f>"011"</f>
        <v>011</v>
      </c>
      <c r="G928">
        <v>9</v>
      </c>
      <c r="H928" t="str">
        <f t="shared" si="96"/>
        <v>00</v>
      </c>
      <c r="I928" t="str">
        <f t="shared" si="97"/>
        <v>0</v>
      </c>
      <c r="J928" t="str">
        <f t="shared" si="98"/>
        <v>00</v>
      </c>
      <c r="K928">
        <v>20190816</v>
      </c>
      <c r="L928" t="str">
        <f>"028841"</f>
        <v>028841</v>
      </c>
      <c r="M928" t="str">
        <f>"99999"</f>
        <v>99999</v>
      </c>
      <c r="N928" t="s">
        <v>175</v>
      </c>
      <c r="O928">
        <v>7.59</v>
      </c>
      <c r="P928">
        <v>20190829</v>
      </c>
      <c r="Q928" t="s">
        <v>42</v>
      </c>
      <c r="R928" t="s">
        <v>277</v>
      </c>
      <c r="S928" t="s">
        <v>23</v>
      </c>
      <c r="T928" t="s">
        <v>43</v>
      </c>
    </row>
    <row r="929" spans="1:20" x14ac:dyDescent="0.25">
      <c r="A929">
        <v>9</v>
      </c>
      <c r="B929">
        <v>163</v>
      </c>
      <c r="C929" t="str">
        <f t="shared" si="94"/>
        <v>00</v>
      </c>
      <c r="D929">
        <v>2153</v>
      </c>
      <c r="E929" t="str">
        <f t="shared" si="95"/>
        <v>00</v>
      </c>
      <c r="F929" t="str">
        <f>"141"</f>
        <v>141</v>
      </c>
      <c r="G929">
        <v>9</v>
      </c>
      <c r="H929" t="str">
        <f t="shared" si="96"/>
        <v>00</v>
      </c>
      <c r="I929" t="str">
        <f t="shared" si="97"/>
        <v>0</v>
      </c>
      <c r="J929" t="str">
        <f t="shared" si="98"/>
        <v>00</v>
      </c>
      <c r="K929">
        <v>20190816</v>
      </c>
      <c r="L929" t="str">
        <f>"028841"</f>
        <v>028841</v>
      </c>
      <c r="M929" t="str">
        <f>"99999"</f>
        <v>99999</v>
      </c>
      <c r="N929" t="s">
        <v>175</v>
      </c>
      <c r="O929">
        <v>15</v>
      </c>
      <c r="P929">
        <v>20190829</v>
      </c>
      <c r="Q929" t="s">
        <v>21</v>
      </c>
      <c r="R929" t="s">
        <v>277</v>
      </c>
      <c r="S929" t="s">
        <v>23</v>
      </c>
      <c r="T929" t="s">
        <v>24</v>
      </c>
    </row>
    <row r="930" spans="1:20" x14ac:dyDescent="0.25">
      <c r="A930">
        <v>9</v>
      </c>
      <c r="B930">
        <v>163</v>
      </c>
      <c r="C930" t="str">
        <f t="shared" si="94"/>
        <v>00</v>
      </c>
      <c r="D930">
        <v>2153</v>
      </c>
      <c r="E930" t="str">
        <f t="shared" si="95"/>
        <v>00</v>
      </c>
      <c r="F930" t="str">
        <f>"142"</f>
        <v>142</v>
      </c>
      <c r="G930">
        <v>9</v>
      </c>
      <c r="H930" t="str">
        <f t="shared" si="96"/>
        <v>00</v>
      </c>
      <c r="I930" t="str">
        <f t="shared" si="97"/>
        <v>0</v>
      </c>
      <c r="J930" t="str">
        <f t="shared" si="98"/>
        <v>00</v>
      </c>
      <c r="K930">
        <v>20190816</v>
      </c>
      <c r="L930" t="str">
        <f>"028841"</f>
        <v>028841</v>
      </c>
      <c r="M930" t="str">
        <f>"99999"</f>
        <v>99999</v>
      </c>
      <c r="N930" t="s">
        <v>175</v>
      </c>
      <c r="O930">
        <v>23.19</v>
      </c>
      <c r="P930">
        <v>20190829</v>
      </c>
      <c r="Q930" t="s">
        <v>25</v>
      </c>
      <c r="R930" t="s">
        <v>277</v>
      </c>
      <c r="S930" t="s">
        <v>23</v>
      </c>
      <c r="T930" t="s">
        <v>27</v>
      </c>
    </row>
    <row r="931" spans="1:20" x14ac:dyDescent="0.25">
      <c r="A931">
        <v>9</v>
      </c>
      <c r="B931">
        <v>163</v>
      </c>
      <c r="C931" t="str">
        <f t="shared" si="94"/>
        <v>00</v>
      </c>
      <c r="D931">
        <v>2153</v>
      </c>
      <c r="E931" t="str">
        <f t="shared" si="95"/>
        <v>00</v>
      </c>
      <c r="F931" t="str">
        <f>"020"</f>
        <v>020</v>
      </c>
      <c r="G931">
        <v>9</v>
      </c>
      <c r="H931" t="str">
        <f t="shared" si="96"/>
        <v>00</v>
      </c>
      <c r="I931" t="str">
        <f t="shared" si="97"/>
        <v>0</v>
      </c>
      <c r="J931" t="str">
        <f t="shared" si="98"/>
        <v>00</v>
      </c>
      <c r="K931">
        <v>20190816</v>
      </c>
      <c r="L931" t="str">
        <f>"028842"</f>
        <v>028842</v>
      </c>
      <c r="M931" t="str">
        <f>"19419"</f>
        <v>19419</v>
      </c>
      <c r="N931" t="s">
        <v>278</v>
      </c>
      <c r="O931">
        <v>336</v>
      </c>
      <c r="P931">
        <v>20190829</v>
      </c>
      <c r="Q931" t="s">
        <v>279</v>
      </c>
      <c r="R931" t="s">
        <v>276</v>
      </c>
      <c r="S931" t="s">
        <v>23</v>
      </c>
      <c r="T931" t="s">
        <v>280</v>
      </c>
    </row>
    <row r="932" spans="1:20" x14ac:dyDescent="0.25">
      <c r="A932">
        <v>9</v>
      </c>
      <c r="B932">
        <v>163</v>
      </c>
      <c r="C932" t="str">
        <f t="shared" si="94"/>
        <v>00</v>
      </c>
      <c r="D932">
        <v>2153</v>
      </c>
      <c r="E932" t="str">
        <f t="shared" si="95"/>
        <v>00</v>
      </c>
      <c r="F932" t="str">
        <f>"142"</f>
        <v>142</v>
      </c>
      <c r="G932">
        <v>9</v>
      </c>
      <c r="H932" t="str">
        <f t="shared" si="96"/>
        <v>00</v>
      </c>
      <c r="I932" t="str">
        <f t="shared" si="97"/>
        <v>0</v>
      </c>
      <c r="J932" t="str">
        <f t="shared" si="98"/>
        <v>00</v>
      </c>
      <c r="K932">
        <v>20190816</v>
      </c>
      <c r="L932" t="str">
        <f>"028842"</f>
        <v>028842</v>
      </c>
      <c r="M932" t="str">
        <f>"19419"</f>
        <v>19419</v>
      </c>
      <c r="N932" t="s">
        <v>278</v>
      </c>
      <c r="O932">
        <v>67.66</v>
      </c>
      <c r="P932">
        <v>20190829</v>
      </c>
      <c r="Q932" t="s">
        <v>25</v>
      </c>
      <c r="R932" t="s">
        <v>276</v>
      </c>
      <c r="S932" t="s">
        <v>23</v>
      </c>
      <c r="T932" t="s">
        <v>27</v>
      </c>
    </row>
    <row r="933" spans="1:20" x14ac:dyDescent="0.25">
      <c r="A933">
        <v>9</v>
      </c>
      <c r="B933">
        <v>163</v>
      </c>
      <c r="C933" t="str">
        <f t="shared" si="94"/>
        <v>00</v>
      </c>
      <c r="D933">
        <v>2153</v>
      </c>
      <c r="E933" t="str">
        <f t="shared" si="95"/>
        <v>00</v>
      </c>
      <c r="F933" t="str">
        <f>"141"</f>
        <v>141</v>
      </c>
      <c r="G933">
        <v>9</v>
      </c>
      <c r="H933" t="str">
        <f t="shared" si="96"/>
        <v>00</v>
      </c>
      <c r="I933" t="str">
        <f t="shared" si="97"/>
        <v>0</v>
      </c>
      <c r="J933" t="str">
        <f t="shared" si="98"/>
        <v>00</v>
      </c>
      <c r="K933">
        <v>20190816</v>
      </c>
      <c r="L933" t="str">
        <f>"028843"</f>
        <v>028843</v>
      </c>
      <c r="M933" t="str">
        <f>"99999"</f>
        <v>99999</v>
      </c>
      <c r="N933" t="s">
        <v>175</v>
      </c>
      <c r="O933">
        <v>3.3</v>
      </c>
      <c r="P933">
        <v>20190829</v>
      </c>
      <c r="Q933" t="s">
        <v>21</v>
      </c>
      <c r="R933" t="s">
        <v>281</v>
      </c>
      <c r="S933" t="s">
        <v>23</v>
      </c>
      <c r="T933" t="s">
        <v>24</v>
      </c>
    </row>
    <row r="934" spans="1:20" x14ac:dyDescent="0.25">
      <c r="A934">
        <v>9</v>
      </c>
      <c r="B934">
        <v>163</v>
      </c>
      <c r="C934" t="str">
        <f t="shared" si="94"/>
        <v>00</v>
      </c>
      <c r="D934">
        <v>2153</v>
      </c>
      <c r="E934" t="str">
        <f t="shared" si="95"/>
        <v>00</v>
      </c>
      <c r="F934" t="str">
        <f>"142"</f>
        <v>142</v>
      </c>
      <c r="G934">
        <v>9</v>
      </c>
      <c r="H934" t="str">
        <f t="shared" si="96"/>
        <v>00</v>
      </c>
      <c r="I934" t="str">
        <f t="shared" si="97"/>
        <v>0</v>
      </c>
      <c r="J934" t="str">
        <f t="shared" si="98"/>
        <v>00</v>
      </c>
      <c r="K934">
        <v>20190816</v>
      </c>
      <c r="L934" t="str">
        <f>"028843"</f>
        <v>028843</v>
      </c>
      <c r="M934" t="str">
        <f>"99999"</f>
        <v>99999</v>
      </c>
      <c r="N934" t="s">
        <v>175</v>
      </c>
      <c r="O934">
        <v>23.19</v>
      </c>
      <c r="P934">
        <v>20190829</v>
      </c>
      <c r="Q934" t="s">
        <v>25</v>
      </c>
      <c r="R934" t="s">
        <v>281</v>
      </c>
      <c r="S934" t="s">
        <v>23</v>
      </c>
      <c r="T934" t="s">
        <v>27</v>
      </c>
    </row>
    <row r="935" spans="1:20" x14ac:dyDescent="0.25">
      <c r="A935">
        <v>9</v>
      </c>
      <c r="B935">
        <v>163</v>
      </c>
      <c r="C935" t="str">
        <f t="shared" si="94"/>
        <v>00</v>
      </c>
      <c r="D935">
        <v>2153</v>
      </c>
      <c r="E935" t="str">
        <f t="shared" si="95"/>
        <v>00</v>
      </c>
      <c r="F935" t="str">
        <f>"011"</f>
        <v>011</v>
      </c>
      <c r="G935">
        <v>9</v>
      </c>
      <c r="H935" t="str">
        <f t="shared" si="96"/>
        <v>00</v>
      </c>
      <c r="I935" t="str">
        <f t="shared" si="97"/>
        <v>0</v>
      </c>
      <c r="J935" t="str">
        <f t="shared" si="98"/>
        <v>00</v>
      </c>
      <c r="K935">
        <v>20190816</v>
      </c>
      <c r="L935" t="str">
        <f>"028844"</f>
        <v>028844</v>
      </c>
      <c r="M935" t="str">
        <f>"49955"</f>
        <v>49955</v>
      </c>
      <c r="N935" t="s">
        <v>282</v>
      </c>
      <c r="O935">
        <v>13.67</v>
      </c>
      <c r="P935">
        <v>20190829</v>
      </c>
      <c r="Q935" t="s">
        <v>42</v>
      </c>
      <c r="R935" t="s">
        <v>276</v>
      </c>
      <c r="S935" t="s">
        <v>23</v>
      </c>
      <c r="T935" t="s">
        <v>43</v>
      </c>
    </row>
    <row r="936" spans="1:20" x14ac:dyDescent="0.25">
      <c r="A936">
        <v>9</v>
      </c>
      <c r="B936">
        <v>163</v>
      </c>
      <c r="C936" t="str">
        <f t="shared" si="94"/>
        <v>00</v>
      </c>
      <c r="D936">
        <v>2153</v>
      </c>
      <c r="E936" t="str">
        <f t="shared" si="95"/>
        <v>00</v>
      </c>
      <c r="F936" t="str">
        <f>"142"</f>
        <v>142</v>
      </c>
      <c r="G936">
        <v>9</v>
      </c>
      <c r="H936" t="str">
        <f t="shared" si="96"/>
        <v>00</v>
      </c>
      <c r="I936" t="str">
        <f t="shared" si="97"/>
        <v>0</v>
      </c>
      <c r="J936" t="str">
        <f t="shared" si="98"/>
        <v>00</v>
      </c>
      <c r="K936">
        <v>20190816</v>
      </c>
      <c r="L936" t="str">
        <f>"028844"</f>
        <v>028844</v>
      </c>
      <c r="M936" t="str">
        <f>"49955"</f>
        <v>49955</v>
      </c>
      <c r="N936" t="s">
        <v>282</v>
      </c>
      <c r="O936">
        <v>57.02</v>
      </c>
      <c r="P936">
        <v>20190829</v>
      </c>
      <c r="Q936" t="s">
        <v>25</v>
      </c>
      <c r="R936" t="s">
        <v>276</v>
      </c>
      <c r="S936" t="s">
        <v>23</v>
      </c>
      <c r="T936" t="s">
        <v>27</v>
      </c>
    </row>
    <row r="937" spans="1:20" x14ac:dyDescent="0.25">
      <c r="A937">
        <v>9</v>
      </c>
      <c r="B937">
        <v>163</v>
      </c>
      <c r="C937" t="str">
        <f t="shared" si="94"/>
        <v>00</v>
      </c>
      <c r="D937">
        <v>2153</v>
      </c>
      <c r="E937" t="str">
        <f t="shared" si="95"/>
        <v>00</v>
      </c>
      <c r="F937" t="str">
        <f>"141"</f>
        <v>141</v>
      </c>
      <c r="G937">
        <v>9</v>
      </c>
      <c r="H937" t="str">
        <f t="shared" si="96"/>
        <v>00</v>
      </c>
      <c r="I937" t="str">
        <f t="shared" si="97"/>
        <v>0</v>
      </c>
      <c r="J937" t="str">
        <f t="shared" si="98"/>
        <v>00</v>
      </c>
      <c r="K937">
        <v>20190809</v>
      </c>
      <c r="L937" t="str">
        <f>"028845"</f>
        <v>028845</v>
      </c>
      <c r="M937" t="str">
        <f>"00068"</f>
        <v>00068</v>
      </c>
      <c r="N937" t="s">
        <v>20</v>
      </c>
      <c r="O937">
        <v>312.23</v>
      </c>
      <c r="P937">
        <v>20190809</v>
      </c>
      <c r="Q937" t="s">
        <v>21</v>
      </c>
      <c r="R937" t="s">
        <v>283</v>
      </c>
      <c r="S937" t="s">
        <v>23</v>
      </c>
      <c r="T937" t="s">
        <v>24</v>
      </c>
    </row>
    <row r="938" spans="1:20" x14ac:dyDescent="0.25">
      <c r="A938">
        <v>9</v>
      </c>
      <c r="B938">
        <v>163</v>
      </c>
      <c r="C938" t="str">
        <f t="shared" si="94"/>
        <v>00</v>
      </c>
      <c r="D938">
        <v>2153</v>
      </c>
      <c r="E938" t="str">
        <f t="shared" si="95"/>
        <v>00</v>
      </c>
      <c r="F938" t="str">
        <f>"142"</f>
        <v>142</v>
      </c>
      <c r="G938">
        <v>9</v>
      </c>
      <c r="H938" t="str">
        <f t="shared" si="96"/>
        <v>00</v>
      </c>
      <c r="I938" t="str">
        <f t="shared" si="97"/>
        <v>0</v>
      </c>
      <c r="J938" t="str">
        <f t="shared" si="98"/>
        <v>00</v>
      </c>
      <c r="K938">
        <v>20190809</v>
      </c>
      <c r="L938" t="str">
        <f>"028845"</f>
        <v>028845</v>
      </c>
      <c r="M938" t="str">
        <f>"00068"</f>
        <v>00068</v>
      </c>
      <c r="N938" t="s">
        <v>20</v>
      </c>
      <c r="O938">
        <v>250.06</v>
      </c>
      <c r="P938">
        <v>20190809</v>
      </c>
      <c r="Q938" t="s">
        <v>25</v>
      </c>
      <c r="R938" t="s">
        <v>284</v>
      </c>
      <c r="S938" t="s">
        <v>23</v>
      </c>
      <c r="T938" t="s">
        <v>27</v>
      </c>
    </row>
    <row r="939" spans="1:20" x14ac:dyDescent="0.25">
      <c r="A939">
        <v>9</v>
      </c>
      <c r="B939">
        <v>163</v>
      </c>
      <c r="C939" t="str">
        <f t="shared" si="94"/>
        <v>00</v>
      </c>
      <c r="D939">
        <v>2153</v>
      </c>
      <c r="E939" t="str">
        <f t="shared" si="95"/>
        <v>00</v>
      </c>
      <c r="F939" t="str">
        <f>"144"</f>
        <v>144</v>
      </c>
      <c r="G939">
        <v>9</v>
      </c>
      <c r="H939" t="str">
        <f t="shared" si="96"/>
        <v>00</v>
      </c>
      <c r="I939" t="str">
        <f t="shared" si="97"/>
        <v>0</v>
      </c>
      <c r="J939" t="str">
        <f t="shared" si="98"/>
        <v>00</v>
      </c>
      <c r="K939">
        <v>20190809</v>
      </c>
      <c r="L939" t="str">
        <f>"028845"</f>
        <v>028845</v>
      </c>
      <c r="M939" t="str">
        <f>"00068"</f>
        <v>00068</v>
      </c>
      <c r="N939" t="s">
        <v>20</v>
      </c>
      <c r="O939">
        <v>55.68</v>
      </c>
      <c r="P939">
        <v>20190809</v>
      </c>
      <c r="Q939" t="s">
        <v>238</v>
      </c>
      <c r="R939" t="s">
        <v>283</v>
      </c>
      <c r="S939" t="s">
        <v>23</v>
      </c>
      <c r="T939" t="s">
        <v>239</v>
      </c>
    </row>
    <row r="940" spans="1:20" x14ac:dyDescent="0.25">
      <c r="A940">
        <v>9</v>
      </c>
      <c r="B940">
        <v>163</v>
      </c>
      <c r="C940" t="str">
        <f t="shared" si="94"/>
        <v>00</v>
      </c>
      <c r="D940">
        <v>2153</v>
      </c>
      <c r="E940" t="str">
        <f t="shared" si="95"/>
        <v>00</v>
      </c>
      <c r="F940" t="str">
        <f>"145"</f>
        <v>145</v>
      </c>
      <c r="G940">
        <v>9</v>
      </c>
      <c r="H940" t="str">
        <f t="shared" si="96"/>
        <v>00</v>
      </c>
      <c r="I940" t="str">
        <f t="shared" si="97"/>
        <v>0</v>
      </c>
      <c r="J940" t="str">
        <f t="shared" si="98"/>
        <v>00</v>
      </c>
      <c r="K940">
        <v>20190809</v>
      </c>
      <c r="L940" t="str">
        <f>"028845"</f>
        <v>028845</v>
      </c>
      <c r="M940" t="str">
        <f>"00068"</f>
        <v>00068</v>
      </c>
      <c r="N940" t="s">
        <v>20</v>
      </c>
      <c r="O940">
        <v>98.34</v>
      </c>
      <c r="P940">
        <v>20190809</v>
      </c>
      <c r="Q940" t="s">
        <v>240</v>
      </c>
      <c r="R940" t="s">
        <v>284</v>
      </c>
      <c r="S940" t="s">
        <v>23</v>
      </c>
      <c r="T940" t="s">
        <v>241</v>
      </c>
    </row>
    <row r="941" spans="1:20" x14ac:dyDescent="0.25">
      <c r="A941">
        <v>9</v>
      </c>
      <c r="B941">
        <v>163</v>
      </c>
      <c r="C941" t="str">
        <f t="shared" si="94"/>
        <v>00</v>
      </c>
      <c r="D941">
        <v>2159</v>
      </c>
      <c r="E941" t="str">
        <f t="shared" si="95"/>
        <v>00</v>
      </c>
      <c r="F941" t="str">
        <f>"148"</f>
        <v>148</v>
      </c>
      <c r="G941">
        <v>9</v>
      </c>
      <c r="H941" t="str">
        <f t="shared" si="96"/>
        <v>00</v>
      </c>
      <c r="I941" t="str">
        <f t="shared" si="97"/>
        <v>0</v>
      </c>
      <c r="J941" t="str">
        <f t="shared" si="98"/>
        <v>00</v>
      </c>
      <c r="K941">
        <v>20190809</v>
      </c>
      <c r="L941" t="str">
        <f>"028846"</f>
        <v>028846</v>
      </c>
      <c r="M941" t="str">
        <f>"00528"</f>
        <v>00528</v>
      </c>
      <c r="N941" t="s">
        <v>159</v>
      </c>
      <c r="O941">
        <v>7.5</v>
      </c>
      <c r="P941">
        <v>20190809</v>
      </c>
      <c r="Q941" t="s">
        <v>160</v>
      </c>
      <c r="R941" t="s">
        <v>285</v>
      </c>
      <c r="S941" t="s">
        <v>23</v>
      </c>
      <c r="T941" t="s">
        <v>162</v>
      </c>
    </row>
    <row r="942" spans="1:20" x14ac:dyDescent="0.25">
      <c r="A942">
        <v>9</v>
      </c>
      <c r="B942">
        <v>163</v>
      </c>
      <c r="C942" t="str">
        <f t="shared" si="94"/>
        <v>00</v>
      </c>
      <c r="D942">
        <v>2159</v>
      </c>
      <c r="E942" t="str">
        <f t="shared" si="95"/>
        <v>00</v>
      </c>
      <c r="F942" t="str">
        <f>"151"</f>
        <v>151</v>
      </c>
      <c r="G942">
        <v>9</v>
      </c>
      <c r="H942" t="str">
        <f t="shared" si="96"/>
        <v>00</v>
      </c>
      <c r="I942" t="str">
        <f t="shared" si="97"/>
        <v>0</v>
      </c>
      <c r="J942" t="str">
        <f t="shared" si="98"/>
        <v>00</v>
      </c>
      <c r="K942">
        <v>20190809</v>
      </c>
      <c r="L942" t="str">
        <f>"028846"</f>
        <v>028846</v>
      </c>
      <c r="M942" t="str">
        <f>"00528"</f>
        <v>00528</v>
      </c>
      <c r="N942" t="s">
        <v>159</v>
      </c>
      <c r="O942">
        <v>3.75</v>
      </c>
      <c r="P942">
        <v>20190809</v>
      </c>
      <c r="Q942" t="s">
        <v>242</v>
      </c>
      <c r="R942" t="s">
        <v>285</v>
      </c>
      <c r="S942" t="s">
        <v>23</v>
      </c>
      <c r="T942" t="s">
        <v>243</v>
      </c>
    </row>
    <row r="943" spans="1:20" x14ac:dyDescent="0.25">
      <c r="A943">
        <v>9</v>
      </c>
      <c r="B943">
        <v>163</v>
      </c>
      <c r="C943" t="str">
        <f t="shared" si="94"/>
        <v>00</v>
      </c>
      <c r="D943">
        <v>2153</v>
      </c>
      <c r="E943" t="str">
        <f t="shared" si="95"/>
        <v>00</v>
      </c>
      <c r="F943" t="str">
        <f>"022"</f>
        <v>022</v>
      </c>
      <c r="G943">
        <v>9</v>
      </c>
      <c r="H943" t="str">
        <f t="shared" si="96"/>
        <v>00</v>
      </c>
      <c r="I943" t="str">
        <f t="shared" si="97"/>
        <v>0</v>
      </c>
      <c r="J943" t="str">
        <f t="shared" si="98"/>
        <v>00</v>
      </c>
      <c r="K943">
        <v>20190809</v>
      </c>
      <c r="L943" t="str">
        <f>"028847"</f>
        <v>028847</v>
      </c>
      <c r="M943" t="str">
        <f>"04831"</f>
        <v>04831</v>
      </c>
      <c r="N943" t="s">
        <v>28</v>
      </c>
      <c r="O943">
        <v>16.77</v>
      </c>
      <c r="P943">
        <v>20190809</v>
      </c>
      <c r="Q943" t="s">
        <v>29</v>
      </c>
      <c r="R943" t="s">
        <v>284</v>
      </c>
      <c r="S943" t="s">
        <v>23</v>
      </c>
      <c r="T943" t="s">
        <v>30</v>
      </c>
    </row>
    <row r="944" spans="1:20" x14ac:dyDescent="0.25">
      <c r="A944">
        <v>9</v>
      </c>
      <c r="B944">
        <v>163</v>
      </c>
      <c r="C944" t="str">
        <f t="shared" si="94"/>
        <v>00</v>
      </c>
      <c r="D944">
        <v>2159</v>
      </c>
      <c r="E944" t="str">
        <f t="shared" si="95"/>
        <v>00</v>
      </c>
      <c r="F944" t="str">
        <f>"018"</f>
        <v>018</v>
      </c>
      <c r="G944">
        <v>9</v>
      </c>
      <c r="H944" t="str">
        <f t="shared" si="96"/>
        <v>00</v>
      </c>
      <c r="I944" t="str">
        <f t="shared" si="97"/>
        <v>0</v>
      </c>
      <c r="J944" t="str">
        <f t="shared" si="98"/>
        <v>00</v>
      </c>
      <c r="K944">
        <v>20190809</v>
      </c>
      <c r="L944" t="str">
        <f>"028848"</f>
        <v>028848</v>
      </c>
      <c r="M944" t="str">
        <f>"04905"</f>
        <v>04905</v>
      </c>
      <c r="N944" t="s">
        <v>31</v>
      </c>
      <c r="O944">
        <v>31.76</v>
      </c>
      <c r="P944">
        <v>20190809</v>
      </c>
      <c r="Q944" t="s">
        <v>32</v>
      </c>
      <c r="R944" t="s">
        <v>285</v>
      </c>
      <c r="S944" t="s">
        <v>23</v>
      </c>
      <c r="T944" t="s">
        <v>34</v>
      </c>
    </row>
    <row r="945" spans="1:20" x14ac:dyDescent="0.25">
      <c r="A945">
        <v>9</v>
      </c>
      <c r="B945">
        <v>163</v>
      </c>
      <c r="C945" t="str">
        <f t="shared" si="94"/>
        <v>00</v>
      </c>
      <c r="D945">
        <v>2153</v>
      </c>
      <c r="E945" t="str">
        <f t="shared" si="95"/>
        <v>00</v>
      </c>
      <c r="F945" t="str">
        <f>"053"</f>
        <v>053</v>
      </c>
      <c r="G945">
        <v>9</v>
      </c>
      <c r="H945" t="str">
        <f t="shared" si="96"/>
        <v>00</v>
      </c>
      <c r="I945" t="str">
        <f t="shared" si="97"/>
        <v>0</v>
      </c>
      <c r="J945" t="str">
        <f t="shared" si="98"/>
        <v>00</v>
      </c>
      <c r="K945">
        <v>20190809</v>
      </c>
      <c r="L945" t="str">
        <f>"028849"</f>
        <v>028849</v>
      </c>
      <c r="M945" t="str">
        <f>"04987"</f>
        <v>04987</v>
      </c>
      <c r="N945" t="s">
        <v>35</v>
      </c>
      <c r="O945">
        <v>13.76</v>
      </c>
      <c r="P945">
        <v>20190809</v>
      </c>
      <c r="Q945" t="s">
        <v>36</v>
      </c>
      <c r="R945" t="s">
        <v>284</v>
      </c>
      <c r="S945" t="s">
        <v>23</v>
      </c>
      <c r="T945" t="s">
        <v>37</v>
      </c>
    </row>
    <row r="946" spans="1:20" x14ac:dyDescent="0.25">
      <c r="A946">
        <v>9</v>
      </c>
      <c r="B946">
        <v>163</v>
      </c>
      <c r="C946" t="str">
        <f t="shared" si="94"/>
        <v>00</v>
      </c>
      <c r="D946">
        <v>2159</v>
      </c>
      <c r="E946" t="str">
        <f t="shared" si="95"/>
        <v>00</v>
      </c>
      <c r="F946" t="str">
        <f>"009"</f>
        <v>009</v>
      </c>
      <c r="G946">
        <v>9</v>
      </c>
      <c r="H946" t="str">
        <f t="shared" si="96"/>
        <v>00</v>
      </c>
      <c r="I946" t="str">
        <f t="shared" si="97"/>
        <v>0</v>
      </c>
      <c r="J946" t="str">
        <f t="shared" si="98"/>
        <v>00</v>
      </c>
      <c r="K946">
        <v>20190809</v>
      </c>
      <c r="L946" t="str">
        <f>"028850"</f>
        <v>028850</v>
      </c>
      <c r="M946" t="str">
        <f>"07710"</f>
        <v>07710</v>
      </c>
      <c r="N946" t="s">
        <v>38</v>
      </c>
      <c r="O946">
        <v>4.0999999999999996</v>
      </c>
      <c r="P946">
        <v>20190809</v>
      </c>
      <c r="Q946" t="s">
        <v>39</v>
      </c>
      <c r="R946" t="s">
        <v>285</v>
      </c>
      <c r="S946" t="s">
        <v>23</v>
      </c>
      <c r="T946" t="s">
        <v>40</v>
      </c>
    </row>
    <row r="947" spans="1:20" x14ac:dyDescent="0.25">
      <c r="A947">
        <v>9</v>
      </c>
      <c r="B947">
        <v>163</v>
      </c>
      <c r="C947" t="str">
        <f t="shared" si="94"/>
        <v>00</v>
      </c>
      <c r="D947">
        <v>2159</v>
      </c>
      <c r="E947" t="str">
        <f t="shared" si="95"/>
        <v>00</v>
      </c>
      <c r="F947" t="str">
        <f>"068"</f>
        <v>068</v>
      </c>
      <c r="G947">
        <v>9</v>
      </c>
      <c r="H947" t="str">
        <f t="shared" si="96"/>
        <v>00</v>
      </c>
      <c r="I947" t="str">
        <f t="shared" si="97"/>
        <v>0</v>
      </c>
      <c r="J947" t="str">
        <f t="shared" si="98"/>
        <v>00</v>
      </c>
      <c r="K947">
        <v>20190809</v>
      </c>
      <c r="L947" t="str">
        <f>"028851"</f>
        <v>028851</v>
      </c>
      <c r="M947" t="str">
        <f>"10095"</f>
        <v>10095</v>
      </c>
      <c r="N947" t="s">
        <v>83</v>
      </c>
      <c r="O947">
        <v>14.59</v>
      </c>
      <c r="P947">
        <v>20190809</v>
      </c>
      <c r="Q947" t="s">
        <v>84</v>
      </c>
      <c r="R947" t="s">
        <v>285</v>
      </c>
      <c r="S947" t="s">
        <v>23</v>
      </c>
      <c r="T947" t="s">
        <v>85</v>
      </c>
    </row>
    <row r="948" spans="1:20" x14ac:dyDescent="0.25">
      <c r="A948">
        <v>9</v>
      </c>
      <c r="B948">
        <v>163</v>
      </c>
      <c r="C948" t="str">
        <f t="shared" si="94"/>
        <v>00</v>
      </c>
      <c r="D948">
        <v>2153</v>
      </c>
      <c r="E948" t="str">
        <f t="shared" si="95"/>
        <v>00</v>
      </c>
      <c r="F948" t="str">
        <f>"011"</f>
        <v>011</v>
      </c>
      <c r="G948">
        <v>9</v>
      </c>
      <c r="H948" t="str">
        <f t="shared" si="96"/>
        <v>00</v>
      </c>
      <c r="I948" t="str">
        <f t="shared" si="97"/>
        <v>0</v>
      </c>
      <c r="J948" t="str">
        <f t="shared" si="98"/>
        <v>00</v>
      </c>
      <c r="K948">
        <v>20190809</v>
      </c>
      <c r="L948" t="str">
        <f>"028852"</f>
        <v>028852</v>
      </c>
      <c r="M948" t="str">
        <f>"11211"</f>
        <v>11211</v>
      </c>
      <c r="N948" t="s">
        <v>41</v>
      </c>
      <c r="O948">
        <v>122.92</v>
      </c>
      <c r="P948">
        <v>20190809</v>
      </c>
      <c r="Q948" t="s">
        <v>42</v>
      </c>
      <c r="R948" t="s">
        <v>284</v>
      </c>
      <c r="S948" t="s">
        <v>23</v>
      </c>
      <c r="T948" t="s">
        <v>43</v>
      </c>
    </row>
    <row r="949" spans="1:20" x14ac:dyDescent="0.25">
      <c r="A949">
        <v>9</v>
      </c>
      <c r="B949">
        <v>163</v>
      </c>
      <c r="C949" t="str">
        <f t="shared" si="94"/>
        <v>00</v>
      </c>
      <c r="D949">
        <v>2153</v>
      </c>
      <c r="E949" t="str">
        <f t="shared" si="95"/>
        <v>00</v>
      </c>
      <c r="F949" t="str">
        <f>"112"</f>
        <v>112</v>
      </c>
      <c r="G949">
        <v>9</v>
      </c>
      <c r="H949" t="str">
        <f t="shared" si="96"/>
        <v>00</v>
      </c>
      <c r="I949" t="str">
        <f t="shared" si="97"/>
        <v>0</v>
      </c>
      <c r="J949" t="str">
        <f t="shared" si="98"/>
        <v>00</v>
      </c>
      <c r="K949">
        <v>20190809</v>
      </c>
      <c r="L949" t="str">
        <f>"028852"</f>
        <v>028852</v>
      </c>
      <c r="M949" t="str">
        <f>"11211"</f>
        <v>11211</v>
      </c>
      <c r="N949" t="s">
        <v>41</v>
      </c>
      <c r="O949">
        <v>32.61</v>
      </c>
      <c r="P949">
        <v>20190809</v>
      </c>
      <c r="Q949" t="s">
        <v>197</v>
      </c>
      <c r="R949" t="s">
        <v>284</v>
      </c>
      <c r="S949" t="s">
        <v>23</v>
      </c>
      <c r="T949" t="s">
        <v>198</v>
      </c>
    </row>
    <row r="950" spans="1:20" x14ac:dyDescent="0.25">
      <c r="A950">
        <v>9</v>
      </c>
      <c r="B950">
        <v>163</v>
      </c>
      <c r="C950" t="str">
        <f t="shared" si="94"/>
        <v>00</v>
      </c>
      <c r="D950">
        <v>2159</v>
      </c>
      <c r="E950" t="str">
        <f t="shared" si="95"/>
        <v>00</v>
      </c>
      <c r="F950" t="str">
        <f>"104"</f>
        <v>104</v>
      </c>
      <c r="G950">
        <v>9</v>
      </c>
      <c r="H950" t="str">
        <f t="shared" si="96"/>
        <v>00</v>
      </c>
      <c r="I950" t="str">
        <f t="shared" si="97"/>
        <v>0</v>
      </c>
      <c r="J950" t="str">
        <f t="shared" si="98"/>
        <v>00</v>
      </c>
      <c r="K950">
        <v>20190809</v>
      </c>
      <c r="L950" t="str">
        <f>"028853"</f>
        <v>028853</v>
      </c>
      <c r="M950" t="str">
        <f>"14177"</f>
        <v>14177</v>
      </c>
      <c r="N950" t="s">
        <v>163</v>
      </c>
      <c r="O950">
        <v>104.75</v>
      </c>
      <c r="P950">
        <v>20190809</v>
      </c>
      <c r="Q950" t="s">
        <v>45</v>
      </c>
      <c r="R950" t="s">
        <v>285</v>
      </c>
      <c r="S950" t="s">
        <v>23</v>
      </c>
      <c r="T950" t="s">
        <v>46</v>
      </c>
    </row>
    <row r="951" spans="1:20" x14ac:dyDescent="0.25">
      <c r="A951">
        <v>9</v>
      </c>
      <c r="B951">
        <v>163</v>
      </c>
      <c r="C951" t="str">
        <f t="shared" si="94"/>
        <v>00</v>
      </c>
      <c r="D951">
        <v>2153</v>
      </c>
      <c r="E951" t="str">
        <f t="shared" si="95"/>
        <v>00</v>
      </c>
      <c r="F951" t="str">
        <f>"110"</f>
        <v>110</v>
      </c>
      <c r="G951">
        <v>9</v>
      </c>
      <c r="H951" t="str">
        <f t="shared" si="96"/>
        <v>00</v>
      </c>
      <c r="I951" t="str">
        <f t="shared" si="97"/>
        <v>0</v>
      </c>
      <c r="J951" t="str">
        <f t="shared" si="98"/>
        <v>00</v>
      </c>
      <c r="K951">
        <v>20190809</v>
      </c>
      <c r="L951" t="str">
        <f>"028854"</f>
        <v>028854</v>
      </c>
      <c r="M951" t="str">
        <f>"48947"</f>
        <v>48947</v>
      </c>
      <c r="N951" t="s">
        <v>47</v>
      </c>
      <c r="O951">
        <v>34.78</v>
      </c>
      <c r="P951">
        <v>20190809</v>
      </c>
      <c r="Q951" t="s">
        <v>48</v>
      </c>
      <c r="R951" t="s">
        <v>283</v>
      </c>
      <c r="S951" t="s">
        <v>23</v>
      </c>
      <c r="T951" t="s">
        <v>49</v>
      </c>
    </row>
    <row r="952" spans="1:20" x14ac:dyDescent="0.25">
      <c r="A952">
        <v>9</v>
      </c>
      <c r="B952">
        <v>163</v>
      </c>
      <c r="C952" t="str">
        <f t="shared" si="94"/>
        <v>00</v>
      </c>
      <c r="D952">
        <v>2159</v>
      </c>
      <c r="E952" t="str">
        <f t="shared" si="95"/>
        <v>00</v>
      </c>
      <c r="F952" t="str">
        <f>"111"</f>
        <v>111</v>
      </c>
      <c r="G952">
        <v>9</v>
      </c>
      <c r="H952" t="str">
        <f t="shared" si="96"/>
        <v>00</v>
      </c>
      <c r="I952" t="str">
        <f t="shared" si="97"/>
        <v>0</v>
      </c>
      <c r="J952" t="str">
        <f t="shared" si="98"/>
        <v>00</v>
      </c>
      <c r="K952">
        <v>20190809</v>
      </c>
      <c r="L952" t="str">
        <f>"028855"</f>
        <v>028855</v>
      </c>
      <c r="M952" t="str">
        <f>"72601"</f>
        <v>72601</v>
      </c>
      <c r="N952" t="s">
        <v>54</v>
      </c>
      <c r="O952">
        <v>299.45</v>
      </c>
      <c r="P952">
        <v>20190809</v>
      </c>
      <c r="Q952" t="s">
        <v>55</v>
      </c>
      <c r="R952" t="s">
        <v>285</v>
      </c>
      <c r="S952" t="s">
        <v>23</v>
      </c>
      <c r="T952" t="s">
        <v>56</v>
      </c>
    </row>
    <row r="953" spans="1:20" x14ac:dyDescent="0.25">
      <c r="A953">
        <v>9</v>
      </c>
      <c r="B953">
        <v>163</v>
      </c>
      <c r="C953" t="str">
        <f t="shared" si="94"/>
        <v>00</v>
      </c>
      <c r="D953">
        <v>2159</v>
      </c>
      <c r="E953" t="str">
        <f t="shared" si="95"/>
        <v>00</v>
      </c>
      <c r="F953" t="str">
        <f>"113"</f>
        <v>113</v>
      </c>
      <c r="G953">
        <v>9</v>
      </c>
      <c r="H953" t="str">
        <f t="shared" si="96"/>
        <v>00</v>
      </c>
      <c r="I953" t="str">
        <f t="shared" si="97"/>
        <v>0</v>
      </c>
      <c r="J953" t="str">
        <f t="shared" si="98"/>
        <v>00</v>
      </c>
      <c r="K953">
        <v>20190809</v>
      </c>
      <c r="L953" t="str">
        <f>"028855"</f>
        <v>028855</v>
      </c>
      <c r="M953" t="str">
        <f>"72601"</f>
        <v>72601</v>
      </c>
      <c r="N953" t="s">
        <v>54</v>
      </c>
      <c r="O953">
        <v>94.64</v>
      </c>
      <c r="P953">
        <v>20190809</v>
      </c>
      <c r="Q953" t="s">
        <v>262</v>
      </c>
      <c r="R953" t="s">
        <v>285</v>
      </c>
      <c r="S953" t="s">
        <v>23</v>
      </c>
      <c r="T953" t="s">
        <v>263</v>
      </c>
    </row>
    <row r="954" spans="1:20" x14ac:dyDescent="0.25">
      <c r="A954">
        <v>9</v>
      </c>
      <c r="B954">
        <v>163</v>
      </c>
      <c r="C954" t="str">
        <f t="shared" si="94"/>
        <v>00</v>
      </c>
      <c r="D954">
        <v>2153</v>
      </c>
      <c r="E954" t="str">
        <f t="shared" si="95"/>
        <v>00</v>
      </c>
      <c r="F954" t="str">
        <f>"006"</f>
        <v>006</v>
      </c>
      <c r="G954">
        <v>9</v>
      </c>
      <c r="H954" t="str">
        <f t="shared" si="96"/>
        <v>00</v>
      </c>
      <c r="I954" t="str">
        <f t="shared" si="97"/>
        <v>0</v>
      </c>
      <c r="J954" t="str">
        <f t="shared" si="98"/>
        <v>00</v>
      </c>
      <c r="K954">
        <v>20190809</v>
      </c>
      <c r="L954" t="str">
        <f>"028856"</f>
        <v>028856</v>
      </c>
      <c r="M954" t="str">
        <f>"75452"</f>
        <v>75452</v>
      </c>
      <c r="N954" t="s">
        <v>57</v>
      </c>
      <c r="O954">
        <v>235.11</v>
      </c>
      <c r="P954">
        <v>20190809</v>
      </c>
      <c r="Q954" t="s">
        <v>58</v>
      </c>
      <c r="R954" t="s">
        <v>284</v>
      </c>
      <c r="S954" t="s">
        <v>23</v>
      </c>
      <c r="T954" t="s">
        <v>59</v>
      </c>
    </row>
    <row r="955" spans="1:20" x14ac:dyDescent="0.25">
      <c r="A955">
        <v>9</v>
      </c>
      <c r="B955">
        <v>163</v>
      </c>
      <c r="C955" t="str">
        <f t="shared" si="94"/>
        <v>00</v>
      </c>
      <c r="D955">
        <v>2153</v>
      </c>
      <c r="E955" t="str">
        <f t="shared" si="95"/>
        <v>00</v>
      </c>
      <c r="F955" t="str">
        <f>"128"</f>
        <v>128</v>
      </c>
      <c r="G955">
        <v>9</v>
      </c>
      <c r="H955" t="str">
        <f t="shared" si="96"/>
        <v>00</v>
      </c>
      <c r="I955" t="str">
        <f t="shared" si="97"/>
        <v>0</v>
      </c>
      <c r="J955" t="str">
        <f t="shared" si="98"/>
        <v>00</v>
      </c>
      <c r="K955">
        <v>20190809</v>
      </c>
      <c r="L955" t="str">
        <f>"028856"</f>
        <v>028856</v>
      </c>
      <c r="M955" t="str">
        <f>"75452"</f>
        <v>75452</v>
      </c>
      <c r="N955" t="s">
        <v>57</v>
      </c>
      <c r="O955">
        <v>188.33</v>
      </c>
      <c r="P955">
        <v>20190809</v>
      </c>
      <c r="Q955" t="s">
        <v>264</v>
      </c>
      <c r="R955" t="s">
        <v>284</v>
      </c>
      <c r="S955" t="s">
        <v>23</v>
      </c>
      <c r="T955" t="s">
        <v>265</v>
      </c>
    </row>
    <row r="956" spans="1:20" x14ac:dyDescent="0.25">
      <c r="A956">
        <v>9</v>
      </c>
      <c r="B956">
        <v>163</v>
      </c>
      <c r="C956" t="str">
        <f t="shared" si="94"/>
        <v>00</v>
      </c>
      <c r="D956">
        <v>2159</v>
      </c>
      <c r="E956" t="str">
        <f t="shared" si="95"/>
        <v>00</v>
      </c>
      <c r="F956" t="str">
        <f>"106"</f>
        <v>106</v>
      </c>
      <c r="G956">
        <v>9</v>
      </c>
      <c r="H956" t="str">
        <f t="shared" si="96"/>
        <v>00</v>
      </c>
      <c r="I956" t="str">
        <f t="shared" si="97"/>
        <v>0</v>
      </c>
      <c r="J956" t="str">
        <f t="shared" si="98"/>
        <v>00</v>
      </c>
      <c r="K956">
        <v>20190809</v>
      </c>
      <c r="L956" t="str">
        <f>"028857"</f>
        <v>028857</v>
      </c>
      <c r="M956" t="str">
        <f>"81173"</f>
        <v>81173</v>
      </c>
      <c r="N956" t="s">
        <v>60</v>
      </c>
      <c r="O956">
        <v>58.26</v>
      </c>
      <c r="P956">
        <v>20190809</v>
      </c>
      <c r="Q956" t="s">
        <v>61</v>
      </c>
      <c r="R956" t="s">
        <v>285</v>
      </c>
      <c r="S956" t="s">
        <v>23</v>
      </c>
      <c r="T956" t="s">
        <v>62</v>
      </c>
    </row>
    <row r="957" spans="1:20" x14ac:dyDescent="0.25">
      <c r="A957">
        <v>9</v>
      </c>
      <c r="B957">
        <v>163</v>
      </c>
      <c r="C957" t="str">
        <f t="shared" si="94"/>
        <v>00</v>
      </c>
      <c r="D957">
        <v>2159</v>
      </c>
      <c r="E957" t="str">
        <f t="shared" si="95"/>
        <v>00</v>
      </c>
      <c r="F957" t="str">
        <f>"007"</f>
        <v>007</v>
      </c>
      <c r="G957">
        <v>9</v>
      </c>
      <c r="H957" t="str">
        <f t="shared" si="96"/>
        <v>00</v>
      </c>
      <c r="I957" t="str">
        <f t="shared" si="97"/>
        <v>0</v>
      </c>
      <c r="J957" t="str">
        <f t="shared" si="98"/>
        <v>00</v>
      </c>
      <c r="K957">
        <v>20190809</v>
      </c>
      <c r="L957" t="str">
        <f>"028858"</f>
        <v>028858</v>
      </c>
      <c r="M957" t="str">
        <f>"81174"</f>
        <v>81174</v>
      </c>
      <c r="N957" t="s">
        <v>63</v>
      </c>
      <c r="O957">
        <v>39.51</v>
      </c>
      <c r="P957">
        <v>20190809</v>
      </c>
      <c r="Q957" t="s">
        <v>64</v>
      </c>
      <c r="R957" t="s">
        <v>285</v>
      </c>
      <c r="S957" t="s">
        <v>23</v>
      </c>
      <c r="T957" t="s">
        <v>65</v>
      </c>
    </row>
    <row r="958" spans="1:20" x14ac:dyDescent="0.25">
      <c r="A958">
        <v>9</v>
      </c>
      <c r="B958">
        <v>163</v>
      </c>
      <c r="C958" t="str">
        <f t="shared" si="94"/>
        <v>00</v>
      </c>
      <c r="D958">
        <v>2159</v>
      </c>
      <c r="E958" t="str">
        <f t="shared" si="95"/>
        <v>00</v>
      </c>
      <c r="F958" t="str">
        <f>"100"</f>
        <v>100</v>
      </c>
      <c r="G958">
        <v>9</v>
      </c>
      <c r="H958" t="str">
        <f t="shared" si="96"/>
        <v>00</v>
      </c>
      <c r="I958" t="str">
        <f t="shared" si="97"/>
        <v>0</v>
      </c>
      <c r="J958" t="str">
        <f t="shared" si="98"/>
        <v>00</v>
      </c>
      <c r="K958">
        <v>20190809</v>
      </c>
      <c r="L958" t="str">
        <f>"028859"</f>
        <v>028859</v>
      </c>
      <c r="M958" t="str">
        <f>"81177"</f>
        <v>81177</v>
      </c>
      <c r="N958" t="s">
        <v>66</v>
      </c>
      <c r="O958">
        <v>32</v>
      </c>
      <c r="P958">
        <v>20190809</v>
      </c>
      <c r="Q958" t="s">
        <v>67</v>
      </c>
      <c r="R958" t="s">
        <v>285</v>
      </c>
      <c r="S958" t="s">
        <v>23</v>
      </c>
      <c r="T958" t="s">
        <v>68</v>
      </c>
    </row>
    <row r="959" spans="1:20" x14ac:dyDescent="0.25">
      <c r="A959">
        <v>9</v>
      </c>
      <c r="B959">
        <v>163</v>
      </c>
      <c r="C959" t="str">
        <f t="shared" si="94"/>
        <v>00</v>
      </c>
      <c r="D959">
        <v>2153</v>
      </c>
      <c r="E959" t="str">
        <f t="shared" si="95"/>
        <v>00</v>
      </c>
      <c r="F959" t="str">
        <f>"141"</f>
        <v>141</v>
      </c>
      <c r="G959">
        <v>9</v>
      </c>
      <c r="H959" t="str">
        <f t="shared" si="96"/>
        <v>00</v>
      </c>
      <c r="I959" t="str">
        <f t="shared" si="97"/>
        <v>0</v>
      </c>
      <c r="J959" t="str">
        <f t="shared" si="98"/>
        <v>00</v>
      </c>
      <c r="K959">
        <v>20190815</v>
      </c>
      <c r="L959" t="str">
        <f>"028874"</f>
        <v>028874</v>
      </c>
      <c r="M959" t="str">
        <f>"00068"</f>
        <v>00068</v>
      </c>
      <c r="N959" t="s">
        <v>20</v>
      </c>
      <c r="O959" s="1">
        <v>5108.58</v>
      </c>
      <c r="P959">
        <v>20190815</v>
      </c>
      <c r="Q959" t="s">
        <v>21</v>
      </c>
      <c r="R959" t="s">
        <v>283</v>
      </c>
      <c r="S959" t="s">
        <v>23</v>
      </c>
      <c r="T959" t="s">
        <v>24</v>
      </c>
    </row>
    <row r="960" spans="1:20" x14ac:dyDescent="0.25">
      <c r="A960">
        <v>9</v>
      </c>
      <c r="B960">
        <v>163</v>
      </c>
      <c r="C960" t="str">
        <f t="shared" si="94"/>
        <v>00</v>
      </c>
      <c r="D960">
        <v>2153</v>
      </c>
      <c r="E960" t="str">
        <f t="shared" si="95"/>
        <v>00</v>
      </c>
      <c r="F960" t="str">
        <f>"142"</f>
        <v>142</v>
      </c>
      <c r="G960">
        <v>9</v>
      </c>
      <c r="H960" t="str">
        <f t="shared" si="96"/>
        <v>00</v>
      </c>
      <c r="I960" t="str">
        <f t="shared" si="97"/>
        <v>0</v>
      </c>
      <c r="J960" t="str">
        <f t="shared" si="98"/>
        <v>00</v>
      </c>
      <c r="K960">
        <v>20190815</v>
      </c>
      <c r="L960" t="str">
        <f>"028874"</f>
        <v>028874</v>
      </c>
      <c r="M960" t="str">
        <f>"00068"</f>
        <v>00068</v>
      </c>
      <c r="N960" t="s">
        <v>20</v>
      </c>
      <c r="O960" s="1">
        <v>9480.9699999999993</v>
      </c>
      <c r="P960">
        <v>20190815</v>
      </c>
      <c r="Q960" t="s">
        <v>25</v>
      </c>
      <c r="R960" t="s">
        <v>284</v>
      </c>
      <c r="S960" t="s">
        <v>23</v>
      </c>
      <c r="T960" t="s">
        <v>27</v>
      </c>
    </row>
    <row r="961" spans="1:20" x14ac:dyDescent="0.25">
      <c r="A961">
        <v>9</v>
      </c>
      <c r="B961">
        <v>163</v>
      </c>
      <c r="C961" t="str">
        <f t="shared" si="94"/>
        <v>00</v>
      </c>
      <c r="D961">
        <v>2159</v>
      </c>
      <c r="E961" t="str">
        <f t="shared" si="95"/>
        <v>00</v>
      </c>
      <c r="F961" t="str">
        <f>"143"</f>
        <v>143</v>
      </c>
      <c r="G961">
        <v>9</v>
      </c>
      <c r="H961" t="str">
        <f t="shared" si="96"/>
        <v>00</v>
      </c>
      <c r="I961" t="str">
        <f t="shared" si="97"/>
        <v>0</v>
      </c>
      <c r="J961" t="str">
        <f t="shared" si="98"/>
        <v>00</v>
      </c>
      <c r="K961">
        <v>20190815</v>
      </c>
      <c r="L961" t="str">
        <f>"028875"</f>
        <v>028875</v>
      </c>
      <c r="M961" t="str">
        <f>"00069"</f>
        <v>00069</v>
      </c>
      <c r="N961" t="s">
        <v>72</v>
      </c>
      <c r="O961">
        <v>385.99</v>
      </c>
      <c r="P961">
        <v>20190815</v>
      </c>
      <c r="Q961" t="s">
        <v>73</v>
      </c>
      <c r="R961" t="s">
        <v>285</v>
      </c>
      <c r="S961" t="s">
        <v>23</v>
      </c>
      <c r="T961" t="s">
        <v>74</v>
      </c>
    </row>
    <row r="962" spans="1:20" x14ac:dyDescent="0.25">
      <c r="A962">
        <v>9</v>
      </c>
      <c r="B962">
        <v>163</v>
      </c>
      <c r="C962" t="str">
        <f t="shared" ref="C962:C1025" si="99">"00"</f>
        <v>00</v>
      </c>
      <c r="D962">
        <v>2159</v>
      </c>
      <c r="E962" t="str">
        <f t="shared" ref="E962:E1030" si="100">"00"</f>
        <v>00</v>
      </c>
      <c r="F962" t="str">
        <f>"143"</f>
        <v>143</v>
      </c>
      <c r="G962">
        <v>9</v>
      </c>
      <c r="H962" t="str">
        <f t="shared" ref="H962:H1025" si="101">"00"</f>
        <v>00</v>
      </c>
      <c r="I962" t="str">
        <f t="shared" ref="I962:I1025" si="102">"0"</f>
        <v>0</v>
      </c>
      <c r="J962" t="str">
        <f t="shared" ref="J962:J1025" si="103">"00"</f>
        <v>00</v>
      </c>
      <c r="K962">
        <v>20190829</v>
      </c>
      <c r="L962" t="str">
        <f>"028875"</f>
        <v>028875</v>
      </c>
      <c r="M962" t="str">
        <f>"00069"</f>
        <v>00069</v>
      </c>
      <c r="N962" t="s">
        <v>72</v>
      </c>
      <c r="O962">
        <v>-385.99</v>
      </c>
      <c r="P962">
        <v>20190829</v>
      </c>
      <c r="Q962" t="s">
        <v>73</v>
      </c>
      <c r="R962" t="s">
        <v>138</v>
      </c>
      <c r="S962" t="s">
        <v>23</v>
      </c>
      <c r="T962" t="s">
        <v>74</v>
      </c>
    </row>
    <row r="963" spans="1:20" x14ac:dyDescent="0.25">
      <c r="A963">
        <v>9</v>
      </c>
      <c r="B963">
        <v>163</v>
      </c>
      <c r="C963" t="str">
        <f t="shared" si="99"/>
        <v>00</v>
      </c>
      <c r="D963">
        <v>2159</v>
      </c>
      <c r="E963" t="str">
        <f t="shared" si="100"/>
        <v>00</v>
      </c>
      <c r="F963" t="str">
        <f>"146"</f>
        <v>146</v>
      </c>
      <c r="G963">
        <v>9</v>
      </c>
      <c r="H963" t="str">
        <f t="shared" si="101"/>
        <v>00</v>
      </c>
      <c r="I963" t="str">
        <f t="shared" si="102"/>
        <v>0</v>
      </c>
      <c r="J963" t="str">
        <f t="shared" si="103"/>
        <v>00</v>
      </c>
      <c r="K963">
        <v>20190815</v>
      </c>
      <c r="L963" t="str">
        <f>"028876"</f>
        <v>028876</v>
      </c>
      <c r="M963" t="str">
        <f>"00086"</f>
        <v>00086</v>
      </c>
      <c r="N963" t="s">
        <v>75</v>
      </c>
      <c r="O963">
        <v>305.68</v>
      </c>
      <c r="P963">
        <v>20190815</v>
      </c>
      <c r="Q963" t="s">
        <v>76</v>
      </c>
      <c r="R963" t="s">
        <v>285</v>
      </c>
      <c r="S963" t="s">
        <v>23</v>
      </c>
      <c r="T963" t="s">
        <v>75</v>
      </c>
    </row>
    <row r="964" spans="1:20" x14ac:dyDescent="0.25">
      <c r="A964">
        <v>9</v>
      </c>
      <c r="B964">
        <v>163</v>
      </c>
      <c r="C964" t="str">
        <f t="shared" si="99"/>
        <v>00</v>
      </c>
      <c r="D964">
        <v>2159</v>
      </c>
      <c r="E964" t="str">
        <f t="shared" si="100"/>
        <v>00</v>
      </c>
      <c r="F964" t="str">
        <f>"147"</f>
        <v>147</v>
      </c>
      <c r="G964">
        <v>9</v>
      </c>
      <c r="H964" t="str">
        <f t="shared" si="101"/>
        <v>00</v>
      </c>
      <c r="I964" t="str">
        <f t="shared" si="102"/>
        <v>0</v>
      </c>
      <c r="J964" t="str">
        <f t="shared" si="103"/>
        <v>00</v>
      </c>
      <c r="K964">
        <v>20190815</v>
      </c>
      <c r="L964" t="str">
        <f>"028877"</f>
        <v>028877</v>
      </c>
      <c r="M964" t="str">
        <f>"00248"</f>
        <v>00248</v>
      </c>
      <c r="N964" t="s">
        <v>77</v>
      </c>
      <c r="O964" s="1">
        <v>1962.18</v>
      </c>
      <c r="P964">
        <v>20190815</v>
      </c>
      <c r="Q964" t="s">
        <v>78</v>
      </c>
      <c r="R964" t="s">
        <v>285</v>
      </c>
      <c r="S964" t="s">
        <v>23</v>
      </c>
      <c r="T964" t="s">
        <v>79</v>
      </c>
    </row>
    <row r="965" spans="1:20" x14ac:dyDescent="0.25">
      <c r="A965">
        <v>9</v>
      </c>
      <c r="B965">
        <v>163</v>
      </c>
      <c r="C965" t="str">
        <f t="shared" si="99"/>
        <v>00</v>
      </c>
      <c r="D965">
        <v>2159</v>
      </c>
      <c r="E965" t="str">
        <f t="shared" si="100"/>
        <v>00</v>
      </c>
      <c r="F965" t="str">
        <f>"148"</f>
        <v>148</v>
      </c>
      <c r="G965">
        <v>9</v>
      </c>
      <c r="H965" t="str">
        <f t="shared" si="101"/>
        <v>00</v>
      </c>
      <c r="I965" t="str">
        <f t="shared" si="102"/>
        <v>0</v>
      </c>
      <c r="J965" t="str">
        <f t="shared" si="103"/>
        <v>00</v>
      </c>
      <c r="K965">
        <v>20190815</v>
      </c>
      <c r="L965" t="str">
        <f>"028878"</f>
        <v>028878</v>
      </c>
      <c r="M965" t="str">
        <f>"00528"</f>
        <v>00528</v>
      </c>
      <c r="N965" t="s">
        <v>159</v>
      </c>
      <c r="O965">
        <v>795</v>
      </c>
      <c r="P965">
        <v>20190815</v>
      </c>
      <c r="Q965" t="s">
        <v>160</v>
      </c>
      <c r="R965" t="s">
        <v>285</v>
      </c>
      <c r="S965" t="s">
        <v>23</v>
      </c>
      <c r="T965" t="s">
        <v>162</v>
      </c>
    </row>
    <row r="966" spans="1:20" x14ac:dyDescent="0.25">
      <c r="A966">
        <v>9</v>
      </c>
      <c r="B966">
        <v>163</v>
      </c>
      <c r="C966" t="str">
        <f t="shared" si="99"/>
        <v>00</v>
      </c>
      <c r="D966">
        <v>2153</v>
      </c>
      <c r="E966" t="str">
        <f t="shared" si="100"/>
        <v>00</v>
      </c>
      <c r="F966" t="str">
        <f>"022"</f>
        <v>022</v>
      </c>
      <c r="G966">
        <v>9</v>
      </c>
      <c r="H966" t="str">
        <f t="shared" si="101"/>
        <v>00</v>
      </c>
      <c r="I966" t="str">
        <f t="shared" si="102"/>
        <v>0</v>
      </c>
      <c r="J966" t="str">
        <f t="shared" si="103"/>
        <v>00</v>
      </c>
      <c r="K966">
        <v>20190815</v>
      </c>
      <c r="L966" t="str">
        <f>"028879"</f>
        <v>028879</v>
      </c>
      <c r="M966" t="str">
        <f>"04831"</f>
        <v>04831</v>
      </c>
      <c r="N966" t="s">
        <v>28</v>
      </c>
      <c r="O966" s="1">
        <v>1564.28</v>
      </c>
      <c r="P966">
        <v>20190815</v>
      </c>
      <c r="Q966" t="s">
        <v>29</v>
      </c>
      <c r="R966" t="s">
        <v>284</v>
      </c>
      <c r="S966" t="s">
        <v>23</v>
      </c>
      <c r="T966" t="s">
        <v>30</v>
      </c>
    </row>
    <row r="967" spans="1:20" x14ac:dyDescent="0.25">
      <c r="A967">
        <v>9</v>
      </c>
      <c r="B967">
        <v>163</v>
      </c>
      <c r="C967" t="str">
        <f t="shared" si="99"/>
        <v>00</v>
      </c>
      <c r="D967">
        <v>2159</v>
      </c>
      <c r="E967" t="str">
        <f t="shared" si="100"/>
        <v>00</v>
      </c>
      <c r="F967" t="str">
        <f>"018"</f>
        <v>018</v>
      </c>
      <c r="G967">
        <v>9</v>
      </c>
      <c r="H967" t="str">
        <f t="shared" si="101"/>
        <v>00</v>
      </c>
      <c r="I967" t="str">
        <f t="shared" si="102"/>
        <v>0</v>
      </c>
      <c r="J967" t="str">
        <f t="shared" si="103"/>
        <v>00</v>
      </c>
      <c r="K967">
        <v>20190815</v>
      </c>
      <c r="L967" t="str">
        <f>"028880"</f>
        <v>028880</v>
      </c>
      <c r="M967" t="str">
        <f>"04905"</f>
        <v>04905</v>
      </c>
      <c r="N967" t="s">
        <v>31</v>
      </c>
      <c r="O967" s="1">
        <v>3448.51</v>
      </c>
      <c r="P967">
        <v>20190815</v>
      </c>
      <c r="Q967" t="s">
        <v>32</v>
      </c>
      <c r="R967" t="s">
        <v>285</v>
      </c>
      <c r="S967" t="s">
        <v>23</v>
      </c>
      <c r="T967" t="s">
        <v>34</v>
      </c>
    </row>
    <row r="968" spans="1:20" x14ac:dyDescent="0.25">
      <c r="A968">
        <v>9</v>
      </c>
      <c r="B968">
        <v>163</v>
      </c>
      <c r="C968" t="str">
        <f t="shared" si="99"/>
        <v>00</v>
      </c>
      <c r="D968">
        <v>2153</v>
      </c>
      <c r="E968" t="str">
        <f t="shared" si="100"/>
        <v>00</v>
      </c>
      <c r="F968" t="str">
        <f>"053"</f>
        <v>053</v>
      </c>
      <c r="G968">
        <v>9</v>
      </c>
      <c r="H968" t="str">
        <f t="shared" si="101"/>
        <v>00</v>
      </c>
      <c r="I968" t="str">
        <f t="shared" si="102"/>
        <v>0</v>
      </c>
      <c r="J968" t="str">
        <f t="shared" si="103"/>
        <v>00</v>
      </c>
      <c r="K968">
        <v>20190815</v>
      </c>
      <c r="L968" t="str">
        <f>"028881"</f>
        <v>028881</v>
      </c>
      <c r="M968" t="str">
        <f>"04987"</f>
        <v>04987</v>
      </c>
      <c r="N968" t="s">
        <v>35</v>
      </c>
      <c r="O968">
        <v>895.28</v>
      </c>
      <c r="P968">
        <v>20190815</v>
      </c>
      <c r="Q968" t="s">
        <v>36</v>
      </c>
      <c r="R968" t="s">
        <v>284</v>
      </c>
      <c r="S968" t="s">
        <v>23</v>
      </c>
      <c r="T968" t="s">
        <v>37</v>
      </c>
    </row>
    <row r="969" spans="1:20" x14ac:dyDescent="0.25">
      <c r="A969">
        <v>9</v>
      </c>
      <c r="B969">
        <v>163</v>
      </c>
      <c r="C969" t="str">
        <f t="shared" si="99"/>
        <v>00</v>
      </c>
      <c r="D969">
        <v>2159</v>
      </c>
      <c r="E969" t="str">
        <f t="shared" si="100"/>
        <v>00</v>
      </c>
      <c r="F969" t="str">
        <f>"009"</f>
        <v>009</v>
      </c>
      <c r="G969">
        <v>9</v>
      </c>
      <c r="H969" t="str">
        <f t="shared" si="101"/>
        <v>00</v>
      </c>
      <c r="I969" t="str">
        <f t="shared" si="102"/>
        <v>0</v>
      </c>
      <c r="J969" t="str">
        <f t="shared" si="103"/>
        <v>00</v>
      </c>
      <c r="K969">
        <v>20190815</v>
      </c>
      <c r="L969" t="str">
        <f>"028882"</f>
        <v>028882</v>
      </c>
      <c r="M969" t="str">
        <f>"07710"</f>
        <v>07710</v>
      </c>
      <c r="N969" t="s">
        <v>38</v>
      </c>
      <c r="O969">
        <v>846.28</v>
      </c>
      <c r="P969">
        <v>20190815</v>
      </c>
      <c r="Q969" t="s">
        <v>39</v>
      </c>
      <c r="R969" t="s">
        <v>285</v>
      </c>
      <c r="S969" t="s">
        <v>23</v>
      </c>
      <c r="T969" t="s">
        <v>40</v>
      </c>
    </row>
    <row r="970" spans="1:20" x14ac:dyDescent="0.25">
      <c r="A970">
        <v>9</v>
      </c>
      <c r="B970">
        <v>163</v>
      </c>
      <c r="C970" t="str">
        <f t="shared" si="99"/>
        <v>00</v>
      </c>
      <c r="D970">
        <v>2159</v>
      </c>
      <c r="E970" t="str">
        <f t="shared" si="100"/>
        <v>00</v>
      </c>
      <c r="F970" t="str">
        <f>"068"</f>
        <v>068</v>
      </c>
      <c r="G970">
        <v>9</v>
      </c>
      <c r="H970" t="str">
        <f t="shared" si="101"/>
        <v>00</v>
      </c>
      <c r="I970" t="str">
        <f t="shared" si="102"/>
        <v>0</v>
      </c>
      <c r="J970" t="str">
        <f t="shared" si="103"/>
        <v>00</v>
      </c>
      <c r="K970">
        <v>20190815</v>
      </c>
      <c r="L970" t="str">
        <f>"028883"</f>
        <v>028883</v>
      </c>
      <c r="M970" t="str">
        <f>"10095"</f>
        <v>10095</v>
      </c>
      <c r="N970" t="s">
        <v>83</v>
      </c>
      <c r="O970">
        <v>189.18</v>
      </c>
      <c r="P970">
        <v>20190815</v>
      </c>
      <c r="Q970" t="s">
        <v>84</v>
      </c>
      <c r="R970" t="s">
        <v>285</v>
      </c>
      <c r="S970" t="s">
        <v>23</v>
      </c>
      <c r="T970" t="s">
        <v>85</v>
      </c>
    </row>
    <row r="971" spans="1:20" x14ac:dyDescent="0.25">
      <c r="A971">
        <v>9</v>
      </c>
      <c r="B971">
        <v>163</v>
      </c>
      <c r="C971" t="str">
        <f t="shared" si="99"/>
        <v>00</v>
      </c>
      <c r="D971">
        <v>2153</v>
      </c>
      <c r="E971" t="str">
        <f t="shared" si="100"/>
        <v>00</v>
      </c>
      <c r="F971" t="str">
        <f>"011"</f>
        <v>011</v>
      </c>
      <c r="G971">
        <v>9</v>
      </c>
      <c r="H971" t="str">
        <f t="shared" si="101"/>
        <v>00</v>
      </c>
      <c r="I971" t="str">
        <f t="shared" si="102"/>
        <v>0</v>
      </c>
      <c r="J971" t="str">
        <f t="shared" si="103"/>
        <v>00</v>
      </c>
      <c r="K971">
        <v>20190815</v>
      </c>
      <c r="L971" t="str">
        <f>"028884"</f>
        <v>028884</v>
      </c>
      <c r="M971" t="str">
        <f>"11211"</f>
        <v>11211</v>
      </c>
      <c r="N971" t="s">
        <v>41</v>
      </c>
      <c r="O971" s="1">
        <v>2619.6799999999998</v>
      </c>
      <c r="P971">
        <v>20190815</v>
      </c>
      <c r="Q971" t="s">
        <v>42</v>
      </c>
      <c r="R971" t="s">
        <v>284</v>
      </c>
      <c r="S971" t="s">
        <v>23</v>
      </c>
      <c r="T971" t="s">
        <v>43</v>
      </c>
    </row>
    <row r="972" spans="1:20" x14ac:dyDescent="0.25">
      <c r="A972">
        <v>9</v>
      </c>
      <c r="B972">
        <v>163</v>
      </c>
      <c r="C972" t="str">
        <f t="shared" si="99"/>
        <v>00</v>
      </c>
      <c r="D972">
        <v>2159</v>
      </c>
      <c r="E972" t="str">
        <f t="shared" si="100"/>
        <v>00</v>
      </c>
      <c r="F972" t="str">
        <f>"104"</f>
        <v>104</v>
      </c>
      <c r="G972">
        <v>9</v>
      </c>
      <c r="H972" t="str">
        <f t="shared" si="101"/>
        <v>00</v>
      </c>
      <c r="I972" t="str">
        <f t="shared" si="102"/>
        <v>0</v>
      </c>
      <c r="J972" t="str">
        <f t="shared" si="103"/>
        <v>00</v>
      </c>
      <c r="K972">
        <v>20190815</v>
      </c>
      <c r="L972" t="str">
        <f>"028885"</f>
        <v>028885</v>
      </c>
      <c r="M972" t="str">
        <f>"14177"</f>
        <v>14177</v>
      </c>
      <c r="N972" t="s">
        <v>163</v>
      </c>
      <c r="O972">
        <v>170.5</v>
      </c>
      <c r="P972">
        <v>20190815</v>
      </c>
      <c r="Q972" t="s">
        <v>45</v>
      </c>
      <c r="R972" t="s">
        <v>285</v>
      </c>
      <c r="S972" t="s">
        <v>23</v>
      </c>
      <c r="T972" t="s">
        <v>46</v>
      </c>
    </row>
    <row r="973" spans="1:20" x14ac:dyDescent="0.25">
      <c r="A973">
        <v>9</v>
      </c>
      <c r="B973">
        <v>163</v>
      </c>
      <c r="C973" t="str">
        <f t="shared" si="99"/>
        <v>00</v>
      </c>
      <c r="D973">
        <v>2159</v>
      </c>
      <c r="E973" t="str">
        <f t="shared" si="100"/>
        <v>00</v>
      </c>
      <c r="F973" t="str">
        <f>"014"</f>
        <v>014</v>
      </c>
      <c r="G973">
        <v>9</v>
      </c>
      <c r="H973" t="str">
        <f t="shared" si="101"/>
        <v>00</v>
      </c>
      <c r="I973" t="str">
        <f t="shared" si="102"/>
        <v>0</v>
      </c>
      <c r="J973" t="str">
        <f t="shared" si="103"/>
        <v>00</v>
      </c>
      <c r="K973">
        <v>20190815</v>
      </c>
      <c r="L973" t="str">
        <f>"028886"</f>
        <v>028886</v>
      </c>
      <c r="M973" t="str">
        <f>"20682"</f>
        <v>20682</v>
      </c>
      <c r="N973" t="s">
        <v>86</v>
      </c>
      <c r="O973" s="1">
        <v>1700</v>
      </c>
      <c r="P973">
        <v>20190815</v>
      </c>
      <c r="Q973" t="s">
        <v>87</v>
      </c>
      <c r="R973" t="s">
        <v>285</v>
      </c>
      <c r="S973" t="s">
        <v>23</v>
      </c>
      <c r="T973" t="s">
        <v>88</v>
      </c>
    </row>
    <row r="974" spans="1:20" x14ac:dyDescent="0.25">
      <c r="A974">
        <v>9</v>
      </c>
      <c r="B974">
        <v>163</v>
      </c>
      <c r="C974" t="str">
        <f t="shared" si="99"/>
        <v>00</v>
      </c>
      <c r="D974">
        <v>2153</v>
      </c>
      <c r="E974" t="str">
        <f t="shared" si="100"/>
        <v>00</v>
      </c>
      <c r="F974" t="str">
        <f>"024"</f>
        <v>024</v>
      </c>
      <c r="G974">
        <v>9</v>
      </c>
      <c r="H974" t="str">
        <f t="shared" si="101"/>
        <v>00</v>
      </c>
      <c r="I974" t="str">
        <f t="shared" si="102"/>
        <v>0</v>
      </c>
      <c r="J974" t="str">
        <f t="shared" si="103"/>
        <v>00</v>
      </c>
      <c r="K974">
        <v>20190815</v>
      </c>
      <c r="L974" t="str">
        <f>"028887"</f>
        <v>028887</v>
      </c>
      <c r="M974" t="str">
        <f>"21504"</f>
        <v>21504</v>
      </c>
      <c r="N974" t="s">
        <v>89</v>
      </c>
      <c r="O974">
        <v>36.6</v>
      </c>
      <c r="P974">
        <v>20190815</v>
      </c>
      <c r="Q974" t="s">
        <v>90</v>
      </c>
      <c r="R974" t="s">
        <v>284</v>
      </c>
      <c r="S974" t="s">
        <v>23</v>
      </c>
      <c r="T974" t="s">
        <v>91</v>
      </c>
    </row>
    <row r="975" spans="1:20" x14ac:dyDescent="0.25">
      <c r="A975">
        <v>9</v>
      </c>
      <c r="B975">
        <v>163</v>
      </c>
      <c r="C975" t="str">
        <f t="shared" si="99"/>
        <v>00</v>
      </c>
      <c r="D975">
        <v>2153</v>
      </c>
      <c r="E975" t="str">
        <f t="shared" si="100"/>
        <v>00</v>
      </c>
      <c r="F975" t="str">
        <f>"026"</f>
        <v>026</v>
      </c>
      <c r="G975">
        <v>9</v>
      </c>
      <c r="H975" t="str">
        <f t="shared" si="101"/>
        <v>00</v>
      </c>
      <c r="I975" t="str">
        <f t="shared" si="102"/>
        <v>0</v>
      </c>
      <c r="J975" t="str">
        <f t="shared" si="103"/>
        <v>00</v>
      </c>
      <c r="K975">
        <v>20190815</v>
      </c>
      <c r="L975" t="str">
        <f>"028888"</f>
        <v>028888</v>
      </c>
      <c r="M975" t="str">
        <f>"21506"</f>
        <v>21506</v>
      </c>
      <c r="N975" t="s">
        <v>92</v>
      </c>
      <c r="O975">
        <v>87.2</v>
      </c>
      <c r="P975">
        <v>20190815</v>
      </c>
      <c r="Q975" t="s">
        <v>93</v>
      </c>
      <c r="R975" t="s">
        <v>284</v>
      </c>
      <c r="S975" t="s">
        <v>23</v>
      </c>
      <c r="T975" t="s">
        <v>94</v>
      </c>
    </row>
    <row r="976" spans="1:20" x14ac:dyDescent="0.25">
      <c r="A976">
        <v>9</v>
      </c>
      <c r="B976">
        <v>163</v>
      </c>
      <c r="C976" t="str">
        <f t="shared" si="99"/>
        <v>00</v>
      </c>
      <c r="D976">
        <v>2159</v>
      </c>
      <c r="E976" t="str">
        <f t="shared" si="100"/>
        <v>00</v>
      </c>
      <c r="F976" t="str">
        <f>"117"</f>
        <v>117</v>
      </c>
      <c r="G976">
        <v>9</v>
      </c>
      <c r="H976" t="str">
        <f t="shared" si="101"/>
        <v>00</v>
      </c>
      <c r="I976" t="str">
        <f t="shared" si="102"/>
        <v>0</v>
      </c>
      <c r="J976" t="str">
        <f t="shared" si="103"/>
        <v>00</v>
      </c>
      <c r="K976">
        <v>20190815</v>
      </c>
      <c r="L976" t="str">
        <f>"028889"</f>
        <v>028889</v>
      </c>
      <c r="M976" t="str">
        <f>"21826"</f>
        <v>21826</v>
      </c>
      <c r="N976" t="s">
        <v>95</v>
      </c>
      <c r="O976">
        <v>628</v>
      </c>
      <c r="P976">
        <v>20190815</v>
      </c>
      <c r="Q976" t="s">
        <v>96</v>
      </c>
      <c r="R976" t="s">
        <v>285</v>
      </c>
      <c r="S976" t="s">
        <v>23</v>
      </c>
      <c r="T976" t="s">
        <v>97</v>
      </c>
    </row>
    <row r="977" spans="1:20" x14ac:dyDescent="0.25">
      <c r="A977">
        <v>9</v>
      </c>
      <c r="B977">
        <v>163</v>
      </c>
      <c r="C977" t="str">
        <f t="shared" si="99"/>
        <v>00</v>
      </c>
      <c r="D977">
        <v>2159</v>
      </c>
      <c r="E977" t="str">
        <f t="shared" si="100"/>
        <v>00</v>
      </c>
      <c r="F977" t="str">
        <f>"140"</f>
        <v>140</v>
      </c>
      <c r="G977">
        <v>9</v>
      </c>
      <c r="H977" t="str">
        <f t="shared" si="101"/>
        <v>00</v>
      </c>
      <c r="I977" t="str">
        <f t="shared" si="102"/>
        <v>0</v>
      </c>
      <c r="J977" t="str">
        <f t="shared" si="103"/>
        <v>00</v>
      </c>
      <c r="K977">
        <v>20190815</v>
      </c>
      <c r="L977" t="str">
        <f>"028890"</f>
        <v>028890</v>
      </c>
      <c r="M977" t="str">
        <f>"47701"</f>
        <v>47701</v>
      </c>
      <c r="N977" t="s">
        <v>98</v>
      </c>
      <c r="O977">
        <v>382.8</v>
      </c>
      <c r="P977">
        <v>20190815</v>
      </c>
      <c r="Q977" t="s">
        <v>99</v>
      </c>
      <c r="R977" t="s">
        <v>285</v>
      </c>
      <c r="S977" t="s">
        <v>23</v>
      </c>
      <c r="T977" t="s">
        <v>100</v>
      </c>
    </row>
    <row r="978" spans="1:20" x14ac:dyDescent="0.25">
      <c r="A978">
        <v>9</v>
      </c>
      <c r="B978">
        <v>163</v>
      </c>
      <c r="C978" t="str">
        <f t="shared" si="99"/>
        <v>00</v>
      </c>
      <c r="D978">
        <v>2153</v>
      </c>
      <c r="E978" t="str">
        <f t="shared" si="100"/>
        <v>00</v>
      </c>
      <c r="F978" t="str">
        <f>"110"</f>
        <v>110</v>
      </c>
      <c r="G978">
        <v>9</v>
      </c>
      <c r="H978" t="str">
        <f t="shared" si="101"/>
        <v>00</v>
      </c>
      <c r="I978" t="str">
        <f t="shared" si="102"/>
        <v>0</v>
      </c>
      <c r="J978" t="str">
        <f t="shared" si="103"/>
        <v>00</v>
      </c>
      <c r="K978">
        <v>20190815</v>
      </c>
      <c r="L978" t="str">
        <f>"028891"</f>
        <v>028891</v>
      </c>
      <c r="M978" t="str">
        <f>"48947"</f>
        <v>48947</v>
      </c>
      <c r="N978" t="s">
        <v>47</v>
      </c>
      <c r="O978" s="1">
        <v>2036.28</v>
      </c>
      <c r="P978">
        <v>20190815</v>
      </c>
      <c r="Q978" t="s">
        <v>48</v>
      </c>
      <c r="R978" t="s">
        <v>283</v>
      </c>
      <c r="S978" t="s">
        <v>23</v>
      </c>
      <c r="T978" t="s">
        <v>49</v>
      </c>
    </row>
    <row r="979" spans="1:20" x14ac:dyDescent="0.25">
      <c r="A979">
        <v>9</v>
      </c>
      <c r="B979">
        <v>163</v>
      </c>
      <c r="C979" t="str">
        <f t="shared" si="99"/>
        <v>00</v>
      </c>
      <c r="D979">
        <v>2159</v>
      </c>
      <c r="E979" t="str">
        <f t="shared" si="100"/>
        <v>00</v>
      </c>
      <c r="F979" t="str">
        <f>"032"</f>
        <v>032</v>
      </c>
      <c r="G979">
        <v>9</v>
      </c>
      <c r="H979" t="str">
        <f t="shared" si="101"/>
        <v>00</v>
      </c>
      <c r="I979" t="str">
        <f t="shared" si="102"/>
        <v>0</v>
      </c>
      <c r="J979" t="str">
        <f t="shared" si="103"/>
        <v>00</v>
      </c>
      <c r="K979">
        <v>20190815</v>
      </c>
      <c r="L979" t="str">
        <f t="shared" ref="L979:L996" si="104">"028892"</f>
        <v>028892</v>
      </c>
      <c r="M979" t="str">
        <f t="shared" ref="M979:M996" si="105">"54196"</f>
        <v>54196</v>
      </c>
      <c r="N979" t="s">
        <v>50</v>
      </c>
      <c r="O979">
        <v>50</v>
      </c>
      <c r="P979">
        <v>20190815</v>
      </c>
      <c r="Q979" t="s">
        <v>101</v>
      </c>
      <c r="R979" t="s">
        <v>286</v>
      </c>
      <c r="S979" t="s">
        <v>23</v>
      </c>
      <c r="T979" t="s">
        <v>102</v>
      </c>
    </row>
    <row r="980" spans="1:20" x14ac:dyDescent="0.25">
      <c r="A980">
        <v>9</v>
      </c>
      <c r="B980">
        <v>163</v>
      </c>
      <c r="C980" t="str">
        <f t="shared" si="99"/>
        <v>00</v>
      </c>
      <c r="D980">
        <v>2159</v>
      </c>
      <c r="E980" t="str">
        <f t="shared" si="100"/>
        <v>00</v>
      </c>
      <c r="F980" t="str">
        <f>"033"</f>
        <v>033</v>
      </c>
      <c r="G980">
        <v>9</v>
      </c>
      <c r="H980" t="str">
        <f t="shared" si="101"/>
        <v>00</v>
      </c>
      <c r="I980" t="str">
        <f t="shared" si="102"/>
        <v>0</v>
      </c>
      <c r="J980" t="str">
        <f t="shared" si="103"/>
        <v>00</v>
      </c>
      <c r="K980">
        <v>20190815</v>
      </c>
      <c r="L980" t="str">
        <f t="shared" si="104"/>
        <v>028892</v>
      </c>
      <c r="M980" t="str">
        <f t="shared" si="105"/>
        <v>54196</v>
      </c>
      <c r="N980" t="s">
        <v>50</v>
      </c>
      <c r="O980">
        <v>283</v>
      </c>
      <c r="P980">
        <v>20190815</v>
      </c>
      <c r="Q980" t="s">
        <v>103</v>
      </c>
      <c r="R980" t="s">
        <v>286</v>
      </c>
      <c r="S980" t="s">
        <v>23</v>
      </c>
      <c r="T980" t="s">
        <v>104</v>
      </c>
    </row>
    <row r="981" spans="1:20" x14ac:dyDescent="0.25">
      <c r="A981">
        <v>9</v>
      </c>
      <c r="B981">
        <v>163</v>
      </c>
      <c r="C981" t="str">
        <f t="shared" si="99"/>
        <v>00</v>
      </c>
      <c r="D981">
        <v>2159</v>
      </c>
      <c r="E981" t="str">
        <f t="shared" si="100"/>
        <v>00</v>
      </c>
      <c r="F981" t="str">
        <f>"041"</f>
        <v>041</v>
      </c>
      <c r="G981">
        <v>9</v>
      </c>
      <c r="H981" t="str">
        <f t="shared" si="101"/>
        <v>00</v>
      </c>
      <c r="I981" t="str">
        <f t="shared" si="102"/>
        <v>0</v>
      </c>
      <c r="J981" t="str">
        <f t="shared" si="103"/>
        <v>00</v>
      </c>
      <c r="K981">
        <v>20190815</v>
      </c>
      <c r="L981" t="str">
        <f t="shared" si="104"/>
        <v>028892</v>
      </c>
      <c r="M981" t="str">
        <f t="shared" si="105"/>
        <v>54196</v>
      </c>
      <c r="N981" t="s">
        <v>50</v>
      </c>
      <c r="O981" s="1">
        <v>1340</v>
      </c>
      <c r="P981">
        <v>20190815</v>
      </c>
      <c r="Q981" t="s">
        <v>105</v>
      </c>
      <c r="R981" t="s">
        <v>286</v>
      </c>
      <c r="S981" t="s">
        <v>23</v>
      </c>
      <c r="T981" t="s">
        <v>106</v>
      </c>
    </row>
    <row r="982" spans="1:20" x14ac:dyDescent="0.25">
      <c r="A982">
        <v>9</v>
      </c>
      <c r="B982">
        <v>163</v>
      </c>
      <c r="C982" t="str">
        <f t="shared" si="99"/>
        <v>00</v>
      </c>
      <c r="D982">
        <v>2159</v>
      </c>
      <c r="E982" t="str">
        <f t="shared" si="100"/>
        <v>00</v>
      </c>
      <c r="F982" t="str">
        <f>"042"</f>
        <v>042</v>
      </c>
      <c r="G982">
        <v>9</v>
      </c>
      <c r="H982" t="str">
        <f t="shared" si="101"/>
        <v>00</v>
      </c>
      <c r="I982" t="str">
        <f t="shared" si="102"/>
        <v>0</v>
      </c>
      <c r="J982" t="str">
        <f t="shared" si="103"/>
        <v>00</v>
      </c>
      <c r="K982">
        <v>20190815</v>
      </c>
      <c r="L982" t="str">
        <f t="shared" si="104"/>
        <v>028892</v>
      </c>
      <c r="M982" t="str">
        <f t="shared" si="105"/>
        <v>54196</v>
      </c>
      <c r="N982" t="s">
        <v>50</v>
      </c>
      <c r="O982" s="1">
        <v>2075</v>
      </c>
      <c r="P982">
        <v>20190815</v>
      </c>
      <c r="Q982" t="s">
        <v>107</v>
      </c>
      <c r="R982" t="s">
        <v>286</v>
      </c>
      <c r="S982" t="s">
        <v>23</v>
      </c>
      <c r="T982" t="s">
        <v>108</v>
      </c>
    </row>
    <row r="983" spans="1:20" x14ac:dyDescent="0.25">
      <c r="A983">
        <v>9</v>
      </c>
      <c r="B983">
        <v>163</v>
      </c>
      <c r="C983" t="str">
        <f t="shared" si="99"/>
        <v>00</v>
      </c>
      <c r="D983">
        <v>2159</v>
      </c>
      <c r="E983" t="str">
        <f t="shared" si="100"/>
        <v>00</v>
      </c>
      <c r="F983" t="str">
        <f>"046"</f>
        <v>046</v>
      </c>
      <c r="G983">
        <v>9</v>
      </c>
      <c r="H983" t="str">
        <f t="shared" si="101"/>
        <v>00</v>
      </c>
      <c r="I983" t="str">
        <f t="shared" si="102"/>
        <v>0</v>
      </c>
      <c r="J983" t="str">
        <f t="shared" si="103"/>
        <v>00</v>
      </c>
      <c r="K983">
        <v>20190815</v>
      </c>
      <c r="L983" t="str">
        <f t="shared" si="104"/>
        <v>028892</v>
      </c>
      <c r="M983" t="str">
        <f t="shared" si="105"/>
        <v>54196</v>
      </c>
      <c r="N983" t="s">
        <v>50</v>
      </c>
      <c r="O983">
        <v>40</v>
      </c>
      <c r="P983">
        <v>20190815</v>
      </c>
      <c r="Q983" t="s">
        <v>109</v>
      </c>
      <c r="R983" t="s">
        <v>286</v>
      </c>
      <c r="S983" t="s">
        <v>23</v>
      </c>
      <c r="T983" t="s">
        <v>110</v>
      </c>
    </row>
    <row r="984" spans="1:20" x14ac:dyDescent="0.25">
      <c r="A984">
        <v>9</v>
      </c>
      <c r="B984">
        <v>163</v>
      </c>
      <c r="C984" t="str">
        <f t="shared" si="99"/>
        <v>00</v>
      </c>
      <c r="D984">
        <v>2159</v>
      </c>
      <c r="E984" t="str">
        <f t="shared" si="100"/>
        <v>00</v>
      </c>
      <c r="F984" t="str">
        <f>"058"</f>
        <v>058</v>
      </c>
      <c r="G984">
        <v>9</v>
      </c>
      <c r="H984" t="str">
        <f t="shared" si="101"/>
        <v>00</v>
      </c>
      <c r="I984" t="str">
        <f t="shared" si="102"/>
        <v>0</v>
      </c>
      <c r="J984" t="str">
        <f t="shared" si="103"/>
        <v>00</v>
      </c>
      <c r="K984">
        <v>20190815</v>
      </c>
      <c r="L984" t="str">
        <f t="shared" si="104"/>
        <v>028892</v>
      </c>
      <c r="M984" t="str">
        <f t="shared" si="105"/>
        <v>54196</v>
      </c>
      <c r="N984" t="s">
        <v>50</v>
      </c>
      <c r="O984" s="1">
        <v>2242</v>
      </c>
      <c r="P984">
        <v>20190815</v>
      </c>
      <c r="Q984" t="s">
        <v>111</v>
      </c>
      <c r="R984" t="s">
        <v>286</v>
      </c>
      <c r="S984" t="s">
        <v>23</v>
      </c>
      <c r="T984" t="s">
        <v>112</v>
      </c>
    </row>
    <row r="985" spans="1:20" x14ac:dyDescent="0.25">
      <c r="A985">
        <v>9</v>
      </c>
      <c r="B985">
        <v>163</v>
      </c>
      <c r="C985" t="str">
        <f t="shared" si="99"/>
        <v>00</v>
      </c>
      <c r="D985">
        <v>2159</v>
      </c>
      <c r="E985" t="str">
        <f t="shared" si="100"/>
        <v>00</v>
      </c>
      <c r="F985" t="str">
        <f>"059"</f>
        <v>059</v>
      </c>
      <c r="G985">
        <v>9</v>
      </c>
      <c r="H985" t="str">
        <f t="shared" si="101"/>
        <v>00</v>
      </c>
      <c r="I985" t="str">
        <f t="shared" si="102"/>
        <v>0</v>
      </c>
      <c r="J985" t="str">
        <f t="shared" si="103"/>
        <v>00</v>
      </c>
      <c r="K985">
        <v>20190815</v>
      </c>
      <c r="L985" t="str">
        <f t="shared" si="104"/>
        <v>028892</v>
      </c>
      <c r="M985" t="str">
        <f t="shared" si="105"/>
        <v>54196</v>
      </c>
      <c r="N985" t="s">
        <v>50</v>
      </c>
      <c r="O985">
        <v>672</v>
      </c>
      <c r="P985">
        <v>20190815</v>
      </c>
      <c r="Q985" t="s">
        <v>113</v>
      </c>
      <c r="R985" t="s">
        <v>286</v>
      </c>
      <c r="S985" t="s">
        <v>23</v>
      </c>
      <c r="T985" t="s">
        <v>114</v>
      </c>
    </row>
    <row r="986" spans="1:20" x14ac:dyDescent="0.25">
      <c r="A986">
        <v>9</v>
      </c>
      <c r="B986">
        <v>163</v>
      </c>
      <c r="C986" t="str">
        <f t="shared" si="99"/>
        <v>00</v>
      </c>
      <c r="D986">
        <v>2159</v>
      </c>
      <c r="E986" t="str">
        <f t="shared" si="100"/>
        <v>00</v>
      </c>
      <c r="F986" t="str">
        <f>"072"</f>
        <v>072</v>
      </c>
      <c r="G986">
        <v>9</v>
      </c>
      <c r="H986" t="str">
        <f t="shared" si="101"/>
        <v>00</v>
      </c>
      <c r="I986" t="str">
        <f t="shared" si="102"/>
        <v>0</v>
      </c>
      <c r="J986" t="str">
        <f t="shared" si="103"/>
        <v>00</v>
      </c>
      <c r="K986">
        <v>20190815</v>
      </c>
      <c r="L986" t="str">
        <f t="shared" si="104"/>
        <v>028892</v>
      </c>
      <c r="M986" t="str">
        <f t="shared" si="105"/>
        <v>54196</v>
      </c>
      <c r="N986" t="s">
        <v>50</v>
      </c>
      <c r="O986">
        <v>50</v>
      </c>
      <c r="P986">
        <v>20190815</v>
      </c>
      <c r="Q986" t="s">
        <v>115</v>
      </c>
      <c r="R986" t="s">
        <v>286</v>
      </c>
      <c r="S986" t="s">
        <v>23</v>
      </c>
      <c r="T986" t="s">
        <v>116</v>
      </c>
    </row>
    <row r="987" spans="1:20" x14ac:dyDescent="0.25">
      <c r="A987">
        <v>9</v>
      </c>
      <c r="B987">
        <v>163</v>
      </c>
      <c r="C987" t="str">
        <f t="shared" si="99"/>
        <v>00</v>
      </c>
      <c r="D987">
        <v>2159</v>
      </c>
      <c r="E987" t="str">
        <f t="shared" si="100"/>
        <v>00</v>
      </c>
      <c r="F987" t="str">
        <f>"075"</f>
        <v>075</v>
      </c>
      <c r="G987">
        <v>9</v>
      </c>
      <c r="H987" t="str">
        <f t="shared" si="101"/>
        <v>00</v>
      </c>
      <c r="I987" t="str">
        <f t="shared" si="102"/>
        <v>0</v>
      </c>
      <c r="J987" t="str">
        <f t="shared" si="103"/>
        <v>00</v>
      </c>
      <c r="K987">
        <v>20190815</v>
      </c>
      <c r="L987" t="str">
        <f t="shared" si="104"/>
        <v>028892</v>
      </c>
      <c r="M987" t="str">
        <f t="shared" si="105"/>
        <v>54196</v>
      </c>
      <c r="N987" t="s">
        <v>50</v>
      </c>
      <c r="O987">
        <v>100</v>
      </c>
      <c r="P987">
        <v>20190815</v>
      </c>
      <c r="Q987" t="s">
        <v>117</v>
      </c>
      <c r="R987" t="s">
        <v>286</v>
      </c>
      <c r="S987" t="s">
        <v>23</v>
      </c>
      <c r="T987" t="s">
        <v>118</v>
      </c>
    </row>
    <row r="988" spans="1:20" x14ac:dyDescent="0.25">
      <c r="A988">
        <v>9</v>
      </c>
      <c r="B988">
        <v>163</v>
      </c>
      <c r="C988" t="str">
        <f t="shared" si="99"/>
        <v>00</v>
      </c>
      <c r="D988">
        <v>2159</v>
      </c>
      <c r="E988" t="str">
        <f t="shared" si="100"/>
        <v>00</v>
      </c>
      <c r="F988" t="str">
        <f>"078"</f>
        <v>078</v>
      </c>
      <c r="G988">
        <v>9</v>
      </c>
      <c r="H988" t="str">
        <f t="shared" si="101"/>
        <v>00</v>
      </c>
      <c r="I988" t="str">
        <f t="shared" si="102"/>
        <v>0</v>
      </c>
      <c r="J988" t="str">
        <f t="shared" si="103"/>
        <v>00</v>
      </c>
      <c r="K988">
        <v>20190815</v>
      </c>
      <c r="L988" t="str">
        <f t="shared" si="104"/>
        <v>028892</v>
      </c>
      <c r="M988" t="str">
        <f t="shared" si="105"/>
        <v>54196</v>
      </c>
      <c r="N988" t="s">
        <v>50</v>
      </c>
      <c r="O988">
        <v>750</v>
      </c>
      <c r="P988">
        <v>20190815</v>
      </c>
      <c r="Q988" t="s">
        <v>119</v>
      </c>
      <c r="R988" t="s">
        <v>286</v>
      </c>
      <c r="S988" t="s">
        <v>23</v>
      </c>
      <c r="T988" t="s">
        <v>120</v>
      </c>
    </row>
    <row r="989" spans="1:20" x14ac:dyDescent="0.25">
      <c r="A989">
        <v>9</v>
      </c>
      <c r="B989">
        <v>163</v>
      </c>
      <c r="C989" t="str">
        <f t="shared" si="99"/>
        <v>00</v>
      </c>
      <c r="D989">
        <v>2159</v>
      </c>
      <c r="E989" t="str">
        <f t="shared" si="100"/>
        <v>00</v>
      </c>
      <c r="F989" t="str">
        <f>"082"</f>
        <v>082</v>
      </c>
      <c r="G989">
        <v>9</v>
      </c>
      <c r="H989" t="str">
        <f t="shared" si="101"/>
        <v>00</v>
      </c>
      <c r="I989" t="str">
        <f t="shared" si="102"/>
        <v>0</v>
      </c>
      <c r="J989" t="str">
        <f t="shared" si="103"/>
        <v>00</v>
      </c>
      <c r="K989">
        <v>20190815</v>
      </c>
      <c r="L989" t="str">
        <f t="shared" si="104"/>
        <v>028892</v>
      </c>
      <c r="M989" t="str">
        <f t="shared" si="105"/>
        <v>54196</v>
      </c>
      <c r="N989" t="s">
        <v>50</v>
      </c>
      <c r="O989">
        <v>300</v>
      </c>
      <c r="P989">
        <v>20190815</v>
      </c>
      <c r="Q989" t="s">
        <v>121</v>
      </c>
      <c r="R989" t="s">
        <v>286</v>
      </c>
      <c r="S989" t="s">
        <v>23</v>
      </c>
      <c r="T989" t="s">
        <v>122</v>
      </c>
    </row>
    <row r="990" spans="1:20" x14ac:dyDescent="0.25">
      <c r="A990">
        <v>9</v>
      </c>
      <c r="B990">
        <v>163</v>
      </c>
      <c r="C990" t="str">
        <f t="shared" si="99"/>
        <v>00</v>
      </c>
      <c r="D990">
        <v>2159</v>
      </c>
      <c r="E990" t="str">
        <f t="shared" si="100"/>
        <v>00</v>
      </c>
      <c r="F990" t="str">
        <f>"091"</f>
        <v>091</v>
      </c>
      <c r="G990">
        <v>9</v>
      </c>
      <c r="H990" t="str">
        <f t="shared" si="101"/>
        <v>00</v>
      </c>
      <c r="I990" t="str">
        <f t="shared" si="102"/>
        <v>0</v>
      </c>
      <c r="J990" t="str">
        <f t="shared" si="103"/>
        <v>00</v>
      </c>
      <c r="K990">
        <v>20190815</v>
      </c>
      <c r="L990" t="str">
        <f t="shared" si="104"/>
        <v>028892</v>
      </c>
      <c r="M990" t="str">
        <f t="shared" si="105"/>
        <v>54196</v>
      </c>
      <c r="N990" t="s">
        <v>50</v>
      </c>
      <c r="O990">
        <v>100</v>
      </c>
      <c r="P990">
        <v>20190815</v>
      </c>
      <c r="Q990" t="s">
        <v>123</v>
      </c>
      <c r="R990" t="s">
        <v>286</v>
      </c>
      <c r="S990" t="s">
        <v>23</v>
      </c>
      <c r="T990" t="s">
        <v>124</v>
      </c>
    </row>
    <row r="991" spans="1:20" x14ac:dyDescent="0.25">
      <c r="A991">
        <v>9</v>
      </c>
      <c r="B991">
        <v>163</v>
      </c>
      <c r="C991" t="str">
        <f t="shared" si="99"/>
        <v>00</v>
      </c>
      <c r="D991">
        <v>2159</v>
      </c>
      <c r="E991" t="str">
        <f t="shared" si="100"/>
        <v>00</v>
      </c>
      <c r="F991" t="str">
        <f>"122"</f>
        <v>122</v>
      </c>
      <c r="G991">
        <v>9</v>
      </c>
      <c r="H991" t="str">
        <f t="shared" si="101"/>
        <v>00</v>
      </c>
      <c r="I991" t="str">
        <f t="shared" si="102"/>
        <v>0</v>
      </c>
      <c r="J991" t="str">
        <f t="shared" si="103"/>
        <v>00</v>
      </c>
      <c r="K991">
        <v>20190815</v>
      </c>
      <c r="L991" t="str">
        <f t="shared" si="104"/>
        <v>028892</v>
      </c>
      <c r="M991" t="str">
        <f t="shared" si="105"/>
        <v>54196</v>
      </c>
      <c r="N991" t="s">
        <v>50</v>
      </c>
      <c r="O991">
        <v>100</v>
      </c>
      <c r="P991">
        <v>20190815</v>
      </c>
      <c r="Q991" t="s">
        <v>125</v>
      </c>
      <c r="R991" t="s">
        <v>287</v>
      </c>
      <c r="S991" t="s">
        <v>23</v>
      </c>
      <c r="T991" t="s">
        <v>127</v>
      </c>
    </row>
    <row r="992" spans="1:20" x14ac:dyDescent="0.25">
      <c r="A992">
        <v>9</v>
      </c>
      <c r="B992">
        <v>163</v>
      </c>
      <c r="C992" t="str">
        <f t="shared" si="99"/>
        <v>00</v>
      </c>
      <c r="D992">
        <v>2159</v>
      </c>
      <c r="E992" t="str">
        <f t="shared" si="100"/>
        <v>00</v>
      </c>
      <c r="F992" t="str">
        <f>"130"</f>
        <v>130</v>
      </c>
      <c r="G992">
        <v>9</v>
      </c>
      <c r="H992" t="str">
        <f t="shared" si="101"/>
        <v>00</v>
      </c>
      <c r="I992" t="str">
        <f t="shared" si="102"/>
        <v>0</v>
      </c>
      <c r="J992" t="str">
        <f t="shared" si="103"/>
        <v>00</v>
      </c>
      <c r="K992">
        <v>20190815</v>
      </c>
      <c r="L992" t="str">
        <f t="shared" si="104"/>
        <v>028892</v>
      </c>
      <c r="M992" t="str">
        <f t="shared" si="105"/>
        <v>54196</v>
      </c>
      <c r="N992" t="s">
        <v>50</v>
      </c>
      <c r="O992" s="1">
        <v>8926</v>
      </c>
      <c r="P992">
        <v>20190815</v>
      </c>
      <c r="Q992" t="s">
        <v>128</v>
      </c>
      <c r="R992" t="s">
        <v>288</v>
      </c>
      <c r="S992" t="s">
        <v>23</v>
      </c>
      <c r="T992" t="s">
        <v>112</v>
      </c>
    </row>
    <row r="993" spans="1:20" x14ac:dyDescent="0.25">
      <c r="A993">
        <v>9</v>
      </c>
      <c r="B993">
        <v>163</v>
      </c>
      <c r="C993" t="str">
        <f t="shared" si="99"/>
        <v>00</v>
      </c>
      <c r="D993">
        <v>2159</v>
      </c>
      <c r="E993" t="str">
        <f t="shared" si="100"/>
        <v>00</v>
      </c>
      <c r="F993" t="str">
        <f>"131"</f>
        <v>131</v>
      </c>
      <c r="G993">
        <v>9</v>
      </c>
      <c r="H993" t="str">
        <f t="shared" si="101"/>
        <v>00</v>
      </c>
      <c r="I993" t="str">
        <f t="shared" si="102"/>
        <v>0</v>
      </c>
      <c r="J993" t="str">
        <f t="shared" si="103"/>
        <v>00</v>
      </c>
      <c r="K993">
        <v>20190815</v>
      </c>
      <c r="L993" t="str">
        <f t="shared" si="104"/>
        <v>028892</v>
      </c>
      <c r="M993" t="str">
        <f t="shared" si="105"/>
        <v>54196</v>
      </c>
      <c r="N993" t="s">
        <v>50</v>
      </c>
      <c r="O993" s="1">
        <v>1883</v>
      </c>
      <c r="P993">
        <v>20190815</v>
      </c>
      <c r="Q993" t="s">
        <v>51</v>
      </c>
      <c r="R993" t="s">
        <v>286</v>
      </c>
      <c r="S993" t="s">
        <v>23</v>
      </c>
      <c r="T993" t="s">
        <v>53</v>
      </c>
    </row>
    <row r="994" spans="1:20" x14ac:dyDescent="0.25">
      <c r="A994">
        <v>9</v>
      </c>
      <c r="B994">
        <v>163</v>
      </c>
      <c r="C994" t="str">
        <f t="shared" si="99"/>
        <v>00</v>
      </c>
      <c r="D994">
        <v>2159</v>
      </c>
      <c r="E994" t="str">
        <f t="shared" si="100"/>
        <v>00</v>
      </c>
      <c r="F994" t="str">
        <f>"136"</f>
        <v>136</v>
      </c>
      <c r="G994">
        <v>9</v>
      </c>
      <c r="H994" t="str">
        <f t="shared" si="101"/>
        <v>00</v>
      </c>
      <c r="I994" t="str">
        <f t="shared" si="102"/>
        <v>0</v>
      </c>
      <c r="J994" t="str">
        <f t="shared" si="103"/>
        <v>00</v>
      </c>
      <c r="K994">
        <v>20190815</v>
      </c>
      <c r="L994" t="str">
        <f t="shared" si="104"/>
        <v>028892</v>
      </c>
      <c r="M994" t="str">
        <f t="shared" si="105"/>
        <v>54196</v>
      </c>
      <c r="N994" t="s">
        <v>50</v>
      </c>
      <c r="O994" s="1">
        <v>1650</v>
      </c>
      <c r="P994">
        <v>20190815</v>
      </c>
      <c r="Q994" t="s">
        <v>130</v>
      </c>
      <c r="R994" t="s">
        <v>289</v>
      </c>
      <c r="S994" t="s">
        <v>23</v>
      </c>
      <c r="T994" t="s">
        <v>132</v>
      </c>
    </row>
    <row r="995" spans="1:20" x14ac:dyDescent="0.25">
      <c r="A995">
        <v>9</v>
      </c>
      <c r="B995">
        <v>163</v>
      </c>
      <c r="C995" t="str">
        <f t="shared" si="99"/>
        <v>00</v>
      </c>
      <c r="D995">
        <v>2159</v>
      </c>
      <c r="E995" t="str">
        <f t="shared" si="100"/>
        <v>00</v>
      </c>
      <c r="F995" t="str">
        <f>"137"</f>
        <v>137</v>
      </c>
      <c r="G995">
        <v>9</v>
      </c>
      <c r="H995" t="str">
        <f t="shared" si="101"/>
        <v>00</v>
      </c>
      <c r="I995" t="str">
        <f t="shared" si="102"/>
        <v>0</v>
      </c>
      <c r="J995" t="str">
        <f t="shared" si="103"/>
        <v>00</v>
      </c>
      <c r="K995">
        <v>20190815</v>
      </c>
      <c r="L995" t="str">
        <f t="shared" si="104"/>
        <v>028892</v>
      </c>
      <c r="M995" t="str">
        <f t="shared" si="105"/>
        <v>54196</v>
      </c>
      <c r="N995" t="s">
        <v>50</v>
      </c>
      <c r="O995" s="1">
        <v>2875</v>
      </c>
      <c r="P995">
        <v>20190815</v>
      </c>
      <c r="Q995" t="s">
        <v>133</v>
      </c>
      <c r="R995" t="s">
        <v>288</v>
      </c>
      <c r="S995" t="s">
        <v>23</v>
      </c>
      <c r="T995" t="s">
        <v>134</v>
      </c>
    </row>
    <row r="996" spans="1:20" x14ac:dyDescent="0.25">
      <c r="A996">
        <v>9</v>
      </c>
      <c r="B996">
        <v>163</v>
      </c>
      <c r="C996" t="str">
        <f t="shared" si="99"/>
        <v>00</v>
      </c>
      <c r="D996">
        <v>2159</v>
      </c>
      <c r="E996" t="str">
        <f t="shared" si="100"/>
        <v>00</v>
      </c>
      <c r="F996" t="str">
        <f>"138"</f>
        <v>138</v>
      </c>
      <c r="G996">
        <v>9</v>
      </c>
      <c r="H996" t="str">
        <f t="shared" si="101"/>
        <v>00</v>
      </c>
      <c r="I996" t="str">
        <f t="shared" si="102"/>
        <v>0</v>
      </c>
      <c r="J996" t="str">
        <f t="shared" si="103"/>
        <v>00</v>
      </c>
      <c r="K996">
        <v>20190815</v>
      </c>
      <c r="L996" t="str">
        <f t="shared" si="104"/>
        <v>028892</v>
      </c>
      <c r="M996" t="str">
        <f t="shared" si="105"/>
        <v>54196</v>
      </c>
      <c r="N996" t="s">
        <v>50</v>
      </c>
      <c r="O996">
        <v>300</v>
      </c>
      <c r="P996">
        <v>20190815</v>
      </c>
      <c r="Q996" t="s">
        <v>135</v>
      </c>
      <c r="R996" t="s">
        <v>289</v>
      </c>
      <c r="S996" t="s">
        <v>23</v>
      </c>
      <c r="T996" t="s">
        <v>134</v>
      </c>
    </row>
    <row r="997" spans="1:20" x14ac:dyDescent="0.25">
      <c r="A997">
        <v>9</v>
      </c>
      <c r="B997">
        <v>163</v>
      </c>
      <c r="C997" t="str">
        <f t="shared" si="99"/>
        <v>00</v>
      </c>
      <c r="D997">
        <v>2159</v>
      </c>
      <c r="E997" t="str">
        <f t="shared" si="100"/>
        <v>00</v>
      </c>
      <c r="F997" t="str">
        <f>"111"</f>
        <v>111</v>
      </c>
      <c r="G997">
        <v>9</v>
      </c>
      <c r="H997" t="str">
        <f t="shared" si="101"/>
        <v>00</v>
      </c>
      <c r="I997" t="str">
        <f t="shared" si="102"/>
        <v>0</v>
      </c>
      <c r="J997" t="str">
        <f t="shared" si="103"/>
        <v>00</v>
      </c>
      <c r="K997">
        <v>20190815</v>
      </c>
      <c r="L997" t="str">
        <f>"028893"</f>
        <v>028893</v>
      </c>
      <c r="M997" t="str">
        <f>"72601"</f>
        <v>72601</v>
      </c>
      <c r="N997" t="s">
        <v>54</v>
      </c>
      <c r="O997" s="1">
        <v>8857.1200000000008</v>
      </c>
      <c r="P997">
        <v>20190815</v>
      </c>
      <c r="Q997" t="s">
        <v>55</v>
      </c>
      <c r="R997" t="s">
        <v>285</v>
      </c>
      <c r="S997" t="s">
        <v>23</v>
      </c>
      <c r="T997" t="s">
        <v>56</v>
      </c>
    </row>
    <row r="998" spans="1:20" x14ac:dyDescent="0.25">
      <c r="A998">
        <v>9</v>
      </c>
      <c r="B998">
        <v>163</v>
      </c>
      <c r="C998" t="str">
        <f t="shared" si="99"/>
        <v>00</v>
      </c>
      <c r="D998">
        <v>2153</v>
      </c>
      <c r="E998" t="str">
        <f t="shared" si="100"/>
        <v>00</v>
      </c>
      <c r="F998" t="str">
        <f>"006"</f>
        <v>006</v>
      </c>
      <c r="G998">
        <v>9</v>
      </c>
      <c r="H998" t="str">
        <f t="shared" si="101"/>
        <v>00</v>
      </c>
      <c r="I998" t="str">
        <f t="shared" si="102"/>
        <v>0</v>
      </c>
      <c r="J998" t="str">
        <f t="shared" si="103"/>
        <v>00</v>
      </c>
      <c r="K998">
        <v>20190815</v>
      </c>
      <c r="L998" t="str">
        <f>"028894"</f>
        <v>028894</v>
      </c>
      <c r="M998" t="str">
        <f>"75452"</f>
        <v>75452</v>
      </c>
      <c r="N998" t="s">
        <v>57</v>
      </c>
      <c r="O998" s="1">
        <v>8833.2800000000007</v>
      </c>
      <c r="P998">
        <v>20190815</v>
      </c>
      <c r="Q998" t="s">
        <v>58</v>
      </c>
      <c r="R998" t="s">
        <v>284</v>
      </c>
      <c r="S998" t="s">
        <v>23</v>
      </c>
      <c r="T998" t="s">
        <v>59</v>
      </c>
    </row>
    <row r="999" spans="1:20" x14ac:dyDescent="0.25">
      <c r="A999">
        <v>9</v>
      </c>
      <c r="B999">
        <v>163</v>
      </c>
      <c r="C999" t="str">
        <f t="shared" si="99"/>
        <v>00</v>
      </c>
      <c r="D999">
        <v>2159</v>
      </c>
      <c r="E999" t="str">
        <f t="shared" si="100"/>
        <v>00</v>
      </c>
      <c r="F999" t="str">
        <f>"099"</f>
        <v>099</v>
      </c>
      <c r="G999">
        <v>9</v>
      </c>
      <c r="H999" t="str">
        <f t="shared" si="101"/>
        <v>00</v>
      </c>
      <c r="I999" t="str">
        <f t="shared" si="102"/>
        <v>0</v>
      </c>
      <c r="J999" t="str">
        <f t="shared" si="103"/>
        <v>00</v>
      </c>
      <c r="K999">
        <v>20190815</v>
      </c>
      <c r="L999" t="str">
        <f>"028894"</f>
        <v>028894</v>
      </c>
      <c r="M999" t="str">
        <f>"75452"</f>
        <v>75452</v>
      </c>
      <c r="N999" t="s">
        <v>57</v>
      </c>
      <c r="O999">
        <v>300</v>
      </c>
      <c r="P999">
        <v>20190815</v>
      </c>
      <c r="Q999" t="s">
        <v>171</v>
      </c>
      <c r="R999" t="s">
        <v>290</v>
      </c>
      <c r="S999" t="s">
        <v>23</v>
      </c>
      <c r="T999" t="s">
        <v>173</v>
      </c>
    </row>
    <row r="1000" spans="1:20" x14ac:dyDescent="0.25">
      <c r="A1000">
        <v>9</v>
      </c>
      <c r="B1000">
        <v>163</v>
      </c>
      <c r="C1000" t="str">
        <f t="shared" si="99"/>
        <v>00</v>
      </c>
      <c r="D1000">
        <v>2159</v>
      </c>
      <c r="E1000" t="str">
        <f t="shared" si="100"/>
        <v>00</v>
      </c>
      <c r="F1000" t="str">
        <f>"048"</f>
        <v>048</v>
      </c>
      <c r="G1000">
        <v>9</v>
      </c>
      <c r="H1000" t="str">
        <f t="shared" si="101"/>
        <v>00</v>
      </c>
      <c r="I1000" t="str">
        <f t="shared" si="102"/>
        <v>0</v>
      </c>
      <c r="J1000" t="str">
        <f t="shared" si="103"/>
        <v>00</v>
      </c>
      <c r="K1000">
        <v>20190815</v>
      </c>
      <c r="L1000" t="str">
        <f>"028895"</f>
        <v>028895</v>
      </c>
      <c r="M1000" t="str">
        <f>"77030"</f>
        <v>77030</v>
      </c>
      <c r="N1000" t="s">
        <v>139</v>
      </c>
      <c r="O1000">
        <v>117.06</v>
      </c>
      <c r="P1000">
        <v>20190815</v>
      </c>
      <c r="Q1000" t="s">
        <v>140</v>
      </c>
      <c r="R1000" t="s">
        <v>285</v>
      </c>
      <c r="S1000" t="s">
        <v>23</v>
      </c>
      <c r="T1000" t="s">
        <v>141</v>
      </c>
    </row>
    <row r="1001" spans="1:20" x14ac:dyDescent="0.25">
      <c r="A1001">
        <v>9</v>
      </c>
      <c r="B1001">
        <v>163</v>
      </c>
      <c r="C1001" t="str">
        <f t="shared" si="99"/>
        <v>00</v>
      </c>
      <c r="D1001">
        <v>2159</v>
      </c>
      <c r="E1001" t="str">
        <f t="shared" si="100"/>
        <v>00</v>
      </c>
      <c r="F1001" t="str">
        <f>"005"</f>
        <v>005</v>
      </c>
      <c r="G1001">
        <v>9</v>
      </c>
      <c r="H1001" t="str">
        <f t="shared" si="101"/>
        <v>00</v>
      </c>
      <c r="I1001" t="str">
        <f t="shared" si="102"/>
        <v>0</v>
      </c>
      <c r="J1001" t="str">
        <f t="shared" si="103"/>
        <v>00</v>
      </c>
      <c r="K1001">
        <v>20190815</v>
      </c>
      <c r="L1001" t="str">
        <f>"028896"</f>
        <v>028896</v>
      </c>
      <c r="M1001" t="str">
        <f>"79562"</f>
        <v>79562</v>
      </c>
      <c r="N1001" t="s">
        <v>142</v>
      </c>
      <c r="O1001">
        <v>159.44</v>
      </c>
      <c r="P1001">
        <v>20190815</v>
      </c>
      <c r="Q1001" t="s">
        <v>143</v>
      </c>
      <c r="R1001" t="s">
        <v>291</v>
      </c>
      <c r="S1001" t="s">
        <v>23</v>
      </c>
      <c r="T1001" t="s">
        <v>145</v>
      </c>
    </row>
    <row r="1002" spans="1:20" x14ac:dyDescent="0.25">
      <c r="A1002">
        <v>9</v>
      </c>
      <c r="B1002">
        <v>163</v>
      </c>
      <c r="C1002" t="str">
        <f t="shared" si="99"/>
        <v>00</v>
      </c>
      <c r="D1002">
        <v>2159</v>
      </c>
      <c r="E1002" t="str">
        <f t="shared" si="100"/>
        <v>00</v>
      </c>
      <c r="F1002" t="str">
        <f>"086"</f>
        <v>086</v>
      </c>
      <c r="G1002">
        <v>9</v>
      </c>
      <c r="H1002" t="str">
        <f t="shared" si="101"/>
        <v>00</v>
      </c>
      <c r="I1002" t="str">
        <f t="shared" si="102"/>
        <v>0</v>
      </c>
      <c r="J1002" t="str">
        <f t="shared" si="103"/>
        <v>00</v>
      </c>
      <c r="K1002">
        <v>20190815</v>
      </c>
      <c r="L1002" t="str">
        <f>"028897"</f>
        <v>028897</v>
      </c>
      <c r="M1002" t="str">
        <f>"81155"</f>
        <v>81155</v>
      </c>
      <c r="N1002" t="s">
        <v>149</v>
      </c>
      <c r="O1002">
        <v>215</v>
      </c>
      <c r="P1002">
        <v>20190815</v>
      </c>
      <c r="Q1002" t="s">
        <v>150</v>
      </c>
      <c r="R1002" t="s">
        <v>285</v>
      </c>
      <c r="S1002" t="s">
        <v>23</v>
      </c>
      <c r="T1002" t="s">
        <v>151</v>
      </c>
    </row>
    <row r="1003" spans="1:20" x14ac:dyDescent="0.25">
      <c r="A1003">
        <v>9</v>
      </c>
      <c r="B1003">
        <v>163</v>
      </c>
      <c r="C1003" t="str">
        <f t="shared" si="99"/>
        <v>00</v>
      </c>
      <c r="D1003">
        <v>2159</v>
      </c>
      <c r="E1003" t="str">
        <f t="shared" si="100"/>
        <v>00</v>
      </c>
      <c r="F1003" t="str">
        <f>"106"</f>
        <v>106</v>
      </c>
      <c r="G1003">
        <v>9</v>
      </c>
      <c r="H1003" t="str">
        <f t="shared" si="101"/>
        <v>00</v>
      </c>
      <c r="I1003" t="str">
        <f t="shared" si="102"/>
        <v>0</v>
      </c>
      <c r="J1003" t="str">
        <f t="shared" si="103"/>
        <v>00</v>
      </c>
      <c r="K1003">
        <v>20190815</v>
      </c>
      <c r="L1003" t="str">
        <f>"028898"</f>
        <v>028898</v>
      </c>
      <c r="M1003" t="str">
        <f>"81173"</f>
        <v>81173</v>
      </c>
      <c r="N1003" t="s">
        <v>60</v>
      </c>
      <c r="O1003" s="1">
        <v>1145.67</v>
      </c>
      <c r="P1003">
        <v>20190815</v>
      </c>
      <c r="Q1003" t="s">
        <v>61</v>
      </c>
      <c r="R1003" t="s">
        <v>285</v>
      </c>
      <c r="S1003" t="s">
        <v>23</v>
      </c>
      <c r="T1003" t="s">
        <v>62</v>
      </c>
    </row>
    <row r="1004" spans="1:20" x14ac:dyDescent="0.25">
      <c r="A1004">
        <v>9</v>
      </c>
      <c r="B1004">
        <v>163</v>
      </c>
      <c r="C1004" t="str">
        <f t="shared" si="99"/>
        <v>00</v>
      </c>
      <c r="D1004">
        <v>2159</v>
      </c>
      <c r="E1004" t="str">
        <f t="shared" si="100"/>
        <v>00</v>
      </c>
      <c r="F1004" t="str">
        <f>"007"</f>
        <v>007</v>
      </c>
      <c r="G1004">
        <v>9</v>
      </c>
      <c r="H1004" t="str">
        <f t="shared" si="101"/>
        <v>00</v>
      </c>
      <c r="I1004" t="str">
        <f t="shared" si="102"/>
        <v>0</v>
      </c>
      <c r="J1004" t="str">
        <f t="shared" si="103"/>
        <v>00</v>
      </c>
      <c r="K1004">
        <v>20190815</v>
      </c>
      <c r="L1004" t="str">
        <f>"028899"</f>
        <v>028899</v>
      </c>
      <c r="M1004" t="str">
        <f>"81174"</f>
        <v>81174</v>
      </c>
      <c r="N1004" t="s">
        <v>63</v>
      </c>
      <c r="O1004" s="1">
        <v>1699.83</v>
      </c>
      <c r="P1004">
        <v>20190815</v>
      </c>
      <c r="Q1004" t="s">
        <v>64</v>
      </c>
      <c r="R1004" t="s">
        <v>285</v>
      </c>
      <c r="S1004" t="s">
        <v>23</v>
      </c>
      <c r="T1004" t="s">
        <v>65</v>
      </c>
    </row>
    <row r="1005" spans="1:20" x14ac:dyDescent="0.25">
      <c r="A1005">
        <v>9</v>
      </c>
      <c r="B1005">
        <v>163</v>
      </c>
      <c r="C1005" t="str">
        <f t="shared" si="99"/>
        <v>00</v>
      </c>
      <c r="D1005">
        <v>2159</v>
      </c>
      <c r="E1005" t="str">
        <f t="shared" si="100"/>
        <v>00</v>
      </c>
      <c r="F1005" t="str">
        <f>"100"</f>
        <v>100</v>
      </c>
      <c r="G1005">
        <v>9</v>
      </c>
      <c r="H1005" t="str">
        <f t="shared" si="101"/>
        <v>00</v>
      </c>
      <c r="I1005" t="str">
        <f t="shared" si="102"/>
        <v>0</v>
      </c>
      <c r="J1005" t="str">
        <f t="shared" si="103"/>
        <v>00</v>
      </c>
      <c r="K1005">
        <v>20190815</v>
      </c>
      <c r="L1005" t="str">
        <f>"028900"</f>
        <v>028900</v>
      </c>
      <c r="M1005" t="str">
        <f>"81177"</f>
        <v>81177</v>
      </c>
      <c r="N1005" t="s">
        <v>66</v>
      </c>
      <c r="O1005">
        <v>96</v>
      </c>
      <c r="P1005">
        <v>20190815</v>
      </c>
      <c r="Q1005" t="s">
        <v>67</v>
      </c>
      <c r="R1005" t="s">
        <v>285</v>
      </c>
      <c r="S1005" t="s">
        <v>23</v>
      </c>
      <c r="T1005" t="s">
        <v>68</v>
      </c>
    </row>
    <row r="1006" spans="1:20" x14ac:dyDescent="0.25">
      <c r="A1006">
        <v>9</v>
      </c>
      <c r="B1006">
        <v>163</v>
      </c>
      <c r="C1006" t="str">
        <f t="shared" si="99"/>
        <v>00</v>
      </c>
      <c r="D1006">
        <v>2159</v>
      </c>
      <c r="E1006" t="str">
        <f t="shared" si="100"/>
        <v>00</v>
      </c>
      <c r="F1006" t="str">
        <f>"123"</f>
        <v>123</v>
      </c>
      <c r="G1006">
        <v>9</v>
      </c>
      <c r="H1006" t="str">
        <f t="shared" si="101"/>
        <v>00</v>
      </c>
      <c r="I1006" t="str">
        <f t="shared" si="102"/>
        <v>0</v>
      </c>
      <c r="J1006" t="str">
        <f t="shared" si="103"/>
        <v>00</v>
      </c>
      <c r="K1006">
        <v>20190815</v>
      </c>
      <c r="L1006" t="str">
        <f>"028901"</f>
        <v>028901</v>
      </c>
      <c r="M1006" t="str">
        <f>"81753"</f>
        <v>81753</v>
      </c>
      <c r="N1006" t="s">
        <v>217</v>
      </c>
      <c r="O1006">
        <v>357.42</v>
      </c>
      <c r="P1006">
        <v>20190815</v>
      </c>
      <c r="Q1006" t="s">
        <v>155</v>
      </c>
      <c r="R1006" t="s">
        <v>285</v>
      </c>
      <c r="S1006" t="s">
        <v>23</v>
      </c>
      <c r="T1006" t="s">
        <v>154</v>
      </c>
    </row>
    <row r="1007" spans="1:20" x14ac:dyDescent="0.25">
      <c r="A1007">
        <v>9</v>
      </c>
      <c r="B1007">
        <v>163</v>
      </c>
      <c r="C1007" t="str">
        <f t="shared" si="99"/>
        <v>00</v>
      </c>
      <c r="D1007">
        <v>2153</v>
      </c>
      <c r="E1007" t="str">
        <f t="shared" si="100"/>
        <v>00</v>
      </c>
      <c r="F1007" t="str">
        <f>"141"</f>
        <v>141</v>
      </c>
      <c r="G1007">
        <v>9</v>
      </c>
      <c r="H1007" t="str">
        <f t="shared" si="101"/>
        <v>00</v>
      </c>
      <c r="I1007" t="str">
        <f t="shared" si="102"/>
        <v>0</v>
      </c>
      <c r="J1007" t="str">
        <f t="shared" si="103"/>
        <v>00</v>
      </c>
      <c r="K1007">
        <v>20190823</v>
      </c>
      <c r="L1007" t="str">
        <f>"028902"</f>
        <v>028902</v>
      </c>
      <c r="M1007" t="str">
        <f>"00068"</f>
        <v>00068</v>
      </c>
      <c r="N1007" t="s">
        <v>20</v>
      </c>
      <c r="O1007">
        <v>339.46</v>
      </c>
      <c r="P1007">
        <v>20190823</v>
      </c>
      <c r="Q1007" t="s">
        <v>21</v>
      </c>
      <c r="R1007" t="s">
        <v>283</v>
      </c>
      <c r="S1007" t="s">
        <v>23</v>
      </c>
      <c r="T1007" t="s">
        <v>24</v>
      </c>
    </row>
    <row r="1008" spans="1:20" x14ac:dyDescent="0.25">
      <c r="A1008">
        <v>9</v>
      </c>
      <c r="B1008">
        <v>163</v>
      </c>
      <c r="C1008" t="str">
        <f t="shared" si="99"/>
        <v>00</v>
      </c>
      <c r="D1008">
        <v>2153</v>
      </c>
      <c r="E1008" t="str">
        <f t="shared" si="100"/>
        <v>00</v>
      </c>
      <c r="F1008" t="str">
        <f>"142"</f>
        <v>142</v>
      </c>
      <c r="G1008">
        <v>9</v>
      </c>
      <c r="H1008" t="str">
        <f t="shared" si="101"/>
        <v>00</v>
      </c>
      <c r="I1008" t="str">
        <f t="shared" si="102"/>
        <v>0</v>
      </c>
      <c r="J1008" t="str">
        <f t="shared" si="103"/>
        <v>00</v>
      </c>
      <c r="K1008">
        <v>20190823</v>
      </c>
      <c r="L1008" t="str">
        <f>"028902"</f>
        <v>028902</v>
      </c>
      <c r="M1008" t="str">
        <f>"00068"</f>
        <v>00068</v>
      </c>
      <c r="N1008" t="s">
        <v>20</v>
      </c>
      <c r="O1008">
        <v>273.45999999999998</v>
      </c>
      <c r="P1008">
        <v>20190823</v>
      </c>
      <c r="Q1008" t="s">
        <v>25</v>
      </c>
      <c r="R1008" t="s">
        <v>284</v>
      </c>
      <c r="S1008" t="s">
        <v>23</v>
      </c>
      <c r="T1008" t="s">
        <v>27</v>
      </c>
    </row>
    <row r="1009" spans="1:20" x14ac:dyDescent="0.25">
      <c r="A1009">
        <v>9</v>
      </c>
      <c r="B1009">
        <v>163</v>
      </c>
      <c r="C1009" t="str">
        <f t="shared" si="99"/>
        <v>00</v>
      </c>
      <c r="D1009">
        <v>2153</v>
      </c>
      <c r="E1009" t="str">
        <f t="shared" si="100"/>
        <v>00</v>
      </c>
      <c r="F1009" t="str">
        <f>"144"</f>
        <v>144</v>
      </c>
      <c r="G1009">
        <v>9</v>
      </c>
      <c r="H1009" t="str">
        <f t="shared" si="101"/>
        <v>00</v>
      </c>
      <c r="I1009" t="str">
        <f t="shared" si="102"/>
        <v>0</v>
      </c>
      <c r="J1009" t="str">
        <f t="shared" si="103"/>
        <v>00</v>
      </c>
      <c r="K1009">
        <v>20190823</v>
      </c>
      <c r="L1009" t="str">
        <f>"028902"</f>
        <v>028902</v>
      </c>
      <c r="M1009" t="str">
        <f>"00068"</f>
        <v>00068</v>
      </c>
      <c r="N1009" t="s">
        <v>20</v>
      </c>
      <c r="O1009">
        <v>55.74</v>
      </c>
      <c r="P1009">
        <v>20190823</v>
      </c>
      <c r="Q1009" t="s">
        <v>238</v>
      </c>
      <c r="R1009" t="s">
        <v>283</v>
      </c>
      <c r="S1009" t="s">
        <v>23</v>
      </c>
      <c r="T1009" t="s">
        <v>239</v>
      </c>
    </row>
    <row r="1010" spans="1:20" x14ac:dyDescent="0.25">
      <c r="A1010">
        <v>9</v>
      </c>
      <c r="B1010">
        <v>163</v>
      </c>
      <c r="C1010" t="str">
        <f t="shared" si="99"/>
        <v>00</v>
      </c>
      <c r="D1010">
        <v>2153</v>
      </c>
      <c r="E1010" t="str">
        <f t="shared" si="100"/>
        <v>00</v>
      </c>
      <c r="F1010" t="str">
        <f>"145"</f>
        <v>145</v>
      </c>
      <c r="G1010">
        <v>9</v>
      </c>
      <c r="H1010" t="str">
        <f t="shared" si="101"/>
        <v>00</v>
      </c>
      <c r="I1010" t="str">
        <f t="shared" si="102"/>
        <v>0</v>
      </c>
      <c r="J1010" t="str">
        <f t="shared" si="103"/>
        <v>00</v>
      </c>
      <c r="K1010">
        <v>20190823</v>
      </c>
      <c r="L1010" t="str">
        <f>"028902"</f>
        <v>028902</v>
      </c>
      <c r="M1010" t="str">
        <f>"00068"</f>
        <v>00068</v>
      </c>
      <c r="N1010" t="s">
        <v>20</v>
      </c>
      <c r="O1010">
        <v>98.38</v>
      </c>
      <c r="P1010">
        <v>20190823</v>
      </c>
      <c r="Q1010" t="s">
        <v>240</v>
      </c>
      <c r="R1010" t="s">
        <v>284</v>
      </c>
      <c r="S1010" t="s">
        <v>23</v>
      </c>
      <c r="T1010" t="s">
        <v>241</v>
      </c>
    </row>
    <row r="1011" spans="1:20" x14ac:dyDescent="0.25">
      <c r="A1011">
        <v>9</v>
      </c>
      <c r="B1011">
        <v>163</v>
      </c>
      <c r="C1011" t="str">
        <f t="shared" si="99"/>
        <v>00</v>
      </c>
      <c r="D1011">
        <v>2159</v>
      </c>
      <c r="E1011" t="str">
        <f t="shared" si="100"/>
        <v>00</v>
      </c>
      <c r="F1011" t="str">
        <f>"143"</f>
        <v>143</v>
      </c>
      <c r="G1011">
        <v>9</v>
      </c>
      <c r="H1011" t="str">
        <f t="shared" si="101"/>
        <v>00</v>
      </c>
      <c r="I1011" t="str">
        <f t="shared" si="102"/>
        <v>0</v>
      </c>
      <c r="J1011" t="str">
        <f t="shared" si="103"/>
        <v>00</v>
      </c>
      <c r="K1011">
        <v>20190823</v>
      </c>
      <c r="L1011" t="str">
        <f>"028903"</f>
        <v>028903</v>
      </c>
      <c r="M1011" t="str">
        <f>"00069"</f>
        <v>00069</v>
      </c>
      <c r="N1011" t="s">
        <v>72</v>
      </c>
      <c r="O1011">
        <v>101.26</v>
      </c>
      <c r="P1011">
        <v>20190823</v>
      </c>
      <c r="Q1011" t="s">
        <v>73</v>
      </c>
      <c r="R1011" t="s">
        <v>285</v>
      </c>
      <c r="S1011" t="s">
        <v>23</v>
      </c>
      <c r="T1011" t="s">
        <v>74</v>
      </c>
    </row>
    <row r="1012" spans="1:20" x14ac:dyDescent="0.25">
      <c r="A1012">
        <v>9</v>
      </c>
      <c r="B1012">
        <v>163</v>
      </c>
      <c r="C1012" t="str">
        <f t="shared" si="99"/>
        <v>00</v>
      </c>
      <c r="D1012">
        <v>2159</v>
      </c>
      <c r="E1012" t="str">
        <f t="shared" si="100"/>
        <v>00</v>
      </c>
      <c r="F1012" t="str">
        <f>"148"</f>
        <v>148</v>
      </c>
      <c r="G1012">
        <v>9</v>
      </c>
      <c r="H1012" t="str">
        <f t="shared" si="101"/>
        <v>00</v>
      </c>
      <c r="I1012" t="str">
        <f t="shared" si="102"/>
        <v>0</v>
      </c>
      <c r="J1012" t="str">
        <f t="shared" si="103"/>
        <v>00</v>
      </c>
      <c r="K1012">
        <v>20190823</v>
      </c>
      <c r="L1012" t="str">
        <f>"028904"</f>
        <v>028904</v>
      </c>
      <c r="M1012" t="str">
        <f>"00528"</f>
        <v>00528</v>
      </c>
      <c r="N1012" t="s">
        <v>159</v>
      </c>
      <c r="O1012">
        <v>15</v>
      </c>
      <c r="P1012">
        <v>20190823</v>
      </c>
      <c r="Q1012" t="s">
        <v>160</v>
      </c>
      <c r="R1012" t="s">
        <v>285</v>
      </c>
      <c r="S1012" t="s">
        <v>23</v>
      </c>
      <c r="T1012" t="s">
        <v>162</v>
      </c>
    </row>
    <row r="1013" spans="1:20" x14ac:dyDescent="0.25">
      <c r="A1013">
        <v>9</v>
      </c>
      <c r="B1013">
        <v>163</v>
      </c>
      <c r="C1013" t="str">
        <f t="shared" si="99"/>
        <v>00</v>
      </c>
      <c r="D1013">
        <v>2159</v>
      </c>
      <c r="E1013" t="str">
        <f t="shared" si="100"/>
        <v>00</v>
      </c>
      <c r="F1013" t="str">
        <f>"151"</f>
        <v>151</v>
      </c>
      <c r="G1013">
        <v>9</v>
      </c>
      <c r="H1013" t="str">
        <f t="shared" si="101"/>
        <v>00</v>
      </c>
      <c r="I1013" t="str">
        <f t="shared" si="102"/>
        <v>0</v>
      </c>
      <c r="J1013" t="str">
        <f t="shared" si="103"/>
        <v>00</v>
      </c>
      <c r="K1013">
        <v>20190823</v>
      </c>
      <c r="L1013" t="str">
        <f>"028904"</f>
        <v>028904</v>
      </c>
      <c r="M1013" t="str">
        <f>"00528"</f>
        <v>00528</v>
      </c>
      <c r="N1013" t="s">
        <v>159</v>
      </c>
      <c r="O1013">
        <v>3.75</v>
      </c>
      <c r="P1013">
        <v>20190823</v>
      </c>
      <c r="Q1013" t="s">
        <v>242</v>
      </c>
      <c r="R1013" t="s">
        <v>285</v>
      </c>
      <c r="S1013" t="s">
        <v>23</v>
      </c>
      <c r="T1013" t="s">
        <v>243</v>
      </c>
    </row>
    <row r="1014" spans="1:20" x14ac:dyDescent="0.25">
      <c r="A1014">
        <v>9</v>
      </c>
      <c r="B1014">
        <v>163</v>
      </c>
      <c r="C1014" t="str">
        <f t="shared" si="99"/>
        <v>00</v>
      </c>
      <c r="D1014">
        <v>2153</v>
      </c>
      <c r="E1014" t="str">
        <f t="shared" si="100"/>
        <v>00</v>
      </c>
      <c r="F1014" t="str">
        <f>"022"</f>
        <v>022</v>
      </c>
      <c r="G1014">
        <v>9</v>
      </c>
      <c r="H1014" t="str">
        <f t="shared" si="101"/>
        <v>00</v>
      </c>
      <c r="I1014" t="str">
        <f t="shared" si="102"/>
        <v>0</v>
      </c>
      <c r="J1014" t="str">
        <f t="shared" si="103"/>
        <v>00</v>
      </c>
      <c r="K1014">
        <v>20190823</v>
      </c>
      <c r="L1014" t="str">
        <f>"028905"</f>
        <v>028905</v>
      </c>
      <c r="M1014" t="str">
        <f>"04831"</f>
        <v>04831</v>
      </c>
      <c r="N1014" t="s">
        <v>28</v>
      </c>
      <c r="O1014">
        <v>16.77</v>
      </c>
      <c r="P1014">
        <v>20190823</v>
      </c>
      <c r="Q1014" t="s">
        <v>29</v>
      </c>
      <c r="R1014" t="s">
        <v>284</v>
      </c>
      <c r="S1014" t="s">
        <v>23</v>
      </c>
      <c r="T1014" t="s">
        <v>30</v>
      </c>
    </row>
    <row r="1015" spans="1:20" x14ac:dyDescent="0.25">
      <c r="A1015">
        <v>9</v>
      </c>
      <c r="B1015">
        <v>163</v>
      </c>
      <c r="C1015" t="str">
        <f t="shared" si="99"/>
        <v>00</v>
      </c>
      <c r="D1015">
        <v>2159</v>
      </c>
      <c r="E1015" t="str">
        <f t="shared" si="100"/>
        <v>00</v>
      </c>
      <c r="F1015" t="str">
        <f>"018"</f>
        <v>018</v>
      </c>
      <c r="G1015">
        <v>9</v>
      </c>
      <c r="H1015" t="str">
        <f t="shared" si="101"/>
        <v>00</v>
      </c>
      <c r="I1015" t="str">
        <f t="shared" si="102"/>
        <v>0</v>
      </c>
      <c r="J1015" t="str">
        <f t="shared" si="103"/>
        <v>00</v>
      </c>
      <c r="K1015">
        <v>20190823</v>
      </c>
      <c r="L1015" t="str">
        <f>"028906"</f>
        <v>028906</v>
      </c>
      <c r="M1015" t="str">
        <f>"04905"</f>
        <v>04905</v>
      </c>
      <c r="N1015" t="s">
        <v>31</v>
      </c>
      <c r="O1015">
        <v>31.76</v>
      </c>
      <c r="P1015">
        <v>20190823</v>
      </c>
      <c r="Q1015" t="s">
        <v>32</v>
      </c>
      <c r="R1015" t="s">
        <v>285</v>
      </c>
      <c r="S1015" t="s">
        <v>23</v>
      </c>
      <c r="T1015" t="s">
        <v>34</v>
      </c>
    </row>
    <row r="1016" spans="1:20" x14ac:dyDescent="0.25">
      <c r="A1016">
        <v>9</v>
      </c>
      <c r="B1016">
        <v>163</v>
      </c>
      <c r="C1016" t="str">
        <f t="shared" si="99"/>
        <v>00</v>
      </c>
      <c r="D1016">
        <v>2153</v>
      </c>
      <c r="E1016" t="str">
        <f t="shared" si="100"/>
        <v>00</v>
      </c>
      <c r="F1016" t="str">
        <f>"053"</f>
        <v>053</v>
      </c>
      <c r="G1016">
        <v>9</v>
      </c>
      <c r="H1016" t="str">
        <f t="shared" si="101"/>
        <v>00</v>
      </c>
      <c r="I1016" t="str">
        <f t="shared" si="102"/>
        <v>0</v>
      </c>
      <c r="J1016" t="str">
        <f t="shared" si="103"/>
        <v>00</v>
      </c>
      <c r="K1016">
        <v>20190823</v>
      </c>
      <c r="L1016" t="str">
        <f>"028907"</f>
        <v>028907</v>
      </c>
      <c r="M1016" t="str">
        <f>"04987"</f>
        <v>04987</v>
      </c>
      <c r="N1016" t="s">
        <v>35</v>
      </c>
      <c r="O1016">
        <v>13.76</v>
      </c>
      <c r="P1016">
        <v>20190823</v>
      </c>
      <c r="Q1016" t="s">
        <v>36</v>
      </c>
      <c r="R1016" t="s">
        <v>284</v>
      </c>
      <c r="S1016" t="s">
        <v>23</v>
      </c>
      <c r="T1016" t="s">
        <v>37</v>
      </c>
    </row>
    <row r="1017" spans="1:20" x14ac:dyDescent="0.25">
      <c r="A1017">
        <v>9</v>
      </c>
      <c r="B1017">
        <v>163</v>
      </c>
      <c r="C1017" t="str">
        <f t="shared" si="99"/>
        <v>00</v>
      </c>
      <c r="D1017">
        <v>2159</v>
      </c>
      <c r="E1017" t="str">
        <f t="shared" si="100"/>
        <v>00</v>
      </c>
      <c r="F1017" t="str">
        <f>"009"</f>
        <v>009</v>
      </c>
      <c r="G1017">
        <v>9</v>
      </c>
      <c r="H1017" t="str">
        <f t="shared" si="101"/>
        <v>00</v>
      </c>
      <c r="I1017" t="str">
        <f t="shared" si="102"/>
        <v>0</v>
      </c>
      <c r="J1017" t="str">
        <f t="shared" si="103"/>
        <v>00</v>
      </c>
      <c r="K1017">
        <v>20190823</v>
      </c>
      <c r="L1017" t="str">
        <f>"028908"</f>
        <v>028908</v>
      </c>
      <c r="M1017" t="str">
        <f>"07710"</f>
        <v>07710</v>
      </c>
      <c r="N1017" t="s">
        <v>38</v>
      </c>
      <c r="O1017">
        <v>4.0999999999999996</v>
      </c>
      <c r="P1017">
        <v>20190823</v>
      </c>
      <c r="Q1017" t="s">
        <v>39</v>
      </c>
      <c r="R1017" t="s">
        <v>285</v>
      </c>
      <c r="S1017" t="s">
        <v>23</v>
      </c>
      <c r="T1017" t="s">
        <v>40</v>
      </c>
    </row>
    <row r="1018" spans="1:20" x14ac:dyDescent="0.25">
      <c r="A1018">
        <v>9</v>
      </c>
      <c r="B1018">
        <v>163</v>
      </c>
      <c r="C1018" t="str">
        <f t="shared" si="99"/>
        <v>00</v>
      </c>
      <c r="D1018">
        <v>2159</v>
      </c>
      <c r="E1018" t="str">
        <f t="shared" si="100"/>
        <v>00</v>
      </c>
      <c r="F1018" t="str">
        <f>"068"</f>
        <v>068</v>
      </c>
      <c r="G1018">
        <v>9</v>
      </c>
      <c r="H1018" t="str">
        <f t="shared" si="101"/>
        <v>00</v>
      </c>
      <c r="I1018" t="str">
        <f t="shared" si="102"/>
        <v>0</v>
      </c>
      <c r="J1018" t="str">
        <f t="shared" si="103"/>
        <v>00</v>
      </c>
      <c r="K1018">
        <v>20190823</v>
      </c>
      <c r="L1018" t="str">
        <f>"028909"</f>
        <v>028909</v>
      </c>
      <c r="M1018" t="str">
        <f>"10095"</f>
        <v>10095</v>
      </c>
      <c r="N1018" t="s">
        <v>83</v>
      </c>
      <c r="O1018">
        <v>14.59</v>
      </c>
      <c r="P1018">
        <v>20190823</v>
      </c>
      <c r="Q1018" t="s">
        <v>84</v>
      </c>
      <c r="R1018" t="s">
        <v>285</v>
      </c>
      <c r="S1018" t="s">
        <v>23</v>
      </c>
      <c r="T1018" t="s">
        <v>85</v>
      </c>
    </row>
    <row r="1019" spans="1:20" x14ac:dyDescent="0.25">
      <c r="A1019">
        <v>9</v>
      </c>
      <c r="B1019">
        <v>163</v>
      </c>
      <c r="C1019" t="str">
        <f t="shared" si="99"/>
        <v>00</v>
      </c>
      <c r="D1019">
        <v>2153</v>
      </c>
      <c r="E1019" t="str">
        <f t="shared" si="100"/>
        <v>00</v>
      </c>
      <c r="F1019" t="str">
        <f>"011"</f>
        <v>011</v>
      </c>
      <c r="G1019">
        <v>9</v>
      </c>
      <c r="H1019" t="str">
        <f t="shared" si="101"/>
        <v>00</v>
      </c>
      <c r="I1019" t="str">
        <f t="shared" si="102"/>
        <v>0</v>
      </c>
      <c r="J1019" t="str">
        <f t="shared" si="103"/>
        <v>00</v>
      </c>
      <c r="K1019">
        <v>20190823</v>
      </c>
      <c r="L1019" t="str">
        <f>"028910"</f>
        <v>028910</v>
      </c>
      <c r="M1019" t="str">
        <f>"11211"</f>
        <v>11211</v>
      </c>
      <c r="N1019" t="s">
        <v>41</v>
      </c>
      <c r="O1019">
        <v>123.14</v>
      </c>
      <c r="P1019">
        <v>20190823</v>
      </c>
      <c r="Q1019" t="s">
        <v>42</v>
      </c>
      <c r="R1019" t="s">
        <v>284</v>
      </c>
      <c r="S1019" t="s">
        <v>23</v>
      </c>
      <c r="T1019" t="s">
        <v>43</v>
      </c>
    </row>
    <row r="1020" spans="1:20" x14ac:dyDescent="0.25">
      <c r="A1020">
        <v>9</v>
      </c>
      <c r="B1020">
        <v>163</v>
      </c>
      <c r="C1020" t="str">
        <f t="shared" si="99"/>
        <v>00</v>
      </c>
      <c r="D1020">
        <v>2153</v>
      </c>
      <c r="E1020" t="str">
        <f t="shared" si="100"/>
        <v>00</v>
      </c>
      <c r="F1020" t="str">
        <f>"112"</f>
        <v>112</v>
      </c>
      <c r="G1020">
        <v>9</v>
      </c>
      <c r="H1020" t="str">
        <f t="shared" si="101"/>
        <v>00</v>
      </c>
      <c r="I1020" t="str">
        <f t="shared" si="102"/>
        <v>0</v>
      </c>
      <c r="J1020" t="str">
        <f t="shared" si="103"/>
        <v>00</v>
      </c>
      <c r="K1020">
        <v>20190823</v>
      </c>
      <c r="L1020" t="str">
        <f>"028910"</f>
        <v>028910</v>
      </c>
      <c r="M1020" t="str">
        <f>"11211"</f>
        <v>11211</v>
      </c>
      <c r="N1020" t="s">
        <v>41</v>
      </c>
      <c r="O1020">
        <v>32.68</v>
      </c>
      <c r="P1020">
        <v>20190823</v>
      </c>
      <c r="Q1020" t="s">
        <v>197</v>
      </c>
      <c r="R1020" t="s">
        <v>284</v>
      </c>
      <c r="S1020" t="s">
        <v>23</v>
      </c>
      <c r="T1020" t="s">
        <v>198</v>
      </c>
    </row>
    <row r="1021" spans="1:20" x14ac:dyDescent="0.25">
      <c r="A1021">
        <v>9</v>
      </c>
      <c r="B1021">
        <v>163</v>
      </c>
      <c r="C1021" t="str">
        <f t="shared" si="99"/>
        <v>00</v>
      </c>
      <c r="D1021">
        <v>2159</v>
      </c>
      <c r="E1021" t="str">
        <f t="shared" si="100"/>
        <v>00</v>
      </c>
      <c r="F1021" t="str">
        <f>"104"</f>
        <v>104</v>
      </c>
      <c r="G1021">
        <v>9</v>
      </c>
      <c r="H1021" t="str">
        <f t="shared" si="101"/>
        <v>00</v>
      </c>
      <c r="I1021" t="str">
        <f t="shared" si="102"/>
        <v>0</v>
      </c>
      <c r="J1021" t="str">
        <f t="shared" si="103"/>
        <v>00</v>
      </c>
      <c r="K1021">
        <v>20190823</v>
      </c>
      <c r="L1021" t="str">
        <f>"028911"</f>
        <v>028911</v>
      </c>
      <c r="M1021" t="str">
        <f>"14177"</f>
        <v>14177</v>
      </c>
      <c r="N1021" t="s">
        <v>163</v>
      </c>
      <c r="O1021">
        <v>96.5</v>
      </c>
      <c r="P1021">
        <v>20190823</v>
      </c>
      <c r="Q1021" t="s">
        <v>45</v>
      </c>
      <c r="R1021" t="s">
        <v>285</v>
      </c>
      <c r="S1021" t="s">
        <v>23</v>
      </c>
      <c r="T1021" t="s">
        <v>46</v>
      </c>
    </row>
    <row r="1022" spans="1:20" x14ac:dyDescent="0.25">
      <c r="A1022">
        <v>9</v>
      </c>
      <c r="B1022">
        <v>163</v>
      </c>
      <c r="C1022" t="str">
        <f t="shared" si="99"/>
        <v>00</v>
      </c>
      <c r="D1022">
        <v>2153</v>
      </c>
      <c r="E1022" t="str">
        <f t="shared" si="100"/>
        <v>00</v>
      </c>
      <c r="F1022" t="str">
        <f>"110"</f>
        <v>110</v>
      </c>
      <c r="G1022">
        <v>9</v>
      </c>
      <c r="H1022" t="str">
        <f t="shared" si="101"/>
        <v>00</v>
      </c>
      <c r="I1022" t="str">
        <f t="shared" si="102"/>
        <v>0</v>
      </c>
      <c r="J1022" t="str">
        <f t="shared" si="103"/>
        <v>00</v>
      </c>
      <c r="K1022">
        <v>20190823</v>
      </c>
      <c r="L1022" t="str">
        <f>"028912"</f>
        <v>028912</v>
      </c>
      <c r="M1022" t="str">
        <f>"48947"</f>
        <v>48947</v>
      </c>
      <c r="N1022" t="s">
        <v>47</v>
      </c>
      <c r="O1022">
        <v>34.81</v>
      </c>
      <c r="P1022">
        <v>20190823</v>
      </c>
      <c r="Q1022" t="s">
        <v>48</v>
      </c>
      <c r="R1022" t="s">
        <v>283</v>
      </c>
      <c r="S1022" t="s">
        <v>23</v>
      </c>
      <c r="T1022" t="s">
        <v>49</v>
      </c>
    </row>
    <row r="1023" spans="1:20" x14ac:dyDescent="0.25">
      <c r="A1023">
        <v>9</v>
      </c>
      <c r="B1023">
        <v>163</v>
      </c>
      <c r="C1023" t="str">
        <f t="shared" si="99"/>
        <v>00</v>
      </c>
      <c r="D1023">
        <v>2159</v>
      </c>
      <c r="E1023" t="str">
        <f t="shared" si="100"/>
        <v>00</v>
      </c>
      <c r="F1023" t="str">
        <f>"111"</f>
        <v>111</v>
      </c>
      <c r="G1023">
        <v>9</v>
      </c>
      <c r="H1023" t="str">
        <f t="shared" si="101"/>
        <v>00</v>
      </c>
      <c r="I1023" t="str">
        <f t="shared" si="102"/>
        <v>0</v>
      </c>
      <c r="J1023" t="str">
        <f t="shared" si="103"/>
        <v>00</v>
      </c>
      <c r="K1023">
        <v>20190823</v>
      </c>
      <c r="L1023" t="str">
        <f>"028913"</f>
        <v>028913</v>
      </c>
      <c r="M1023" t="str">
        <f>"72601"</f>
        <v>72601</v>
      </c>
      <c r="N1023" t="s">
        <v>54</v>
      </c>
      <c r="O1023">
        <v>299.45</v>
      </c>
      <c r="P1023">
        <v>20190823</v>
      </c>
      <c r="Q1023" t="s">
        <v>55</v>
      </c>
      <c r="R1023" t="s">
        <v>285</v>
      </c>
      <c r="S1023" t="s">
        <v>23</v>
      </c>
      <c r="T1023" t="s">
        <v>56</v>
      </c>
    </row>
    <row r="1024" spans="1:20" x14ac:dyDescent="0.25">
      <c r="A1024">
        <v>9</v>
      </c>
      <c r="B1024">
        <v>163</v>
      </c>
      <c r="C1024" t="str">
        <f t="shared" si="99"/>
        <v>00</v>
      </c>
      <c r="D1024">
        <v>2159</v>
      </c>
      <c r="E1024" t="str">
        <f t="shared" si="100"/>
        <v>00</v>
      </c>
      <c r="F1024" t="str">
        <f>"113"</f>
        <v>113</v>
      </c>
      <c r="G1024">
        <v>9</v>
      </c>
      <c r="H1024" t="str">
        <f t="shared" si="101"/>
        <v>00</v>
      </c>
      <c r="I1024" t="str">
        <f t="shared" si="102"/>
        <v>0</v>
      </c>
      <c r="J1024" t="str">
        <f t="shared" si="103"/>
        <v>00</v>
      </c>
      <c r="K1024">
        <v>20190823</v>
      </c>
      <c r="L1024" t="str">
        <f>"028913"</f>
        <v>028913</v>
      </c>
      <c r="M1024" t="str">
        <f>"72601"</f>
        <v>72601</v>
      </c>
      <c r="N1024" t="s">
        <v>54</v>
      </c>
      <c r="O1024">
        <v>94.64</v>
      </c>
      <c r="P1024">
        <v>20190823</v>
      </c>
      <c r="Q1024" t="s">
        <v>262</v>
      </c>
      <c r="R1024" t="s">
        <v>285</v>
      </c>
      <c r="S1024" t="s">
        <v>23</v>
      </c>
      <c r="T1024" t="s">
        <v>263</v>
      </c>
    </row>
    <row r="1025" spans="1:20" x14ac:dyDescent="0.25">
      <c r="A1025">
        <v>9</v>
      </c>
      <c r="B1025">
        <v>163</v>
      </c>
      <c r="C1025" t="str">
        <f t="shared" si="99"/>
        <v>00</v>
      </c>
      <c r="D1025">
        <v>2153</v>
      </c>
      <c r="E1025" t="str">
        <f t="shared" si="100"/>
        <v>00</v>
      </c>
      <c r="F1025" t="str">
        <f>"006"</f>
        <v>006</v>
      </c>
      <c r="G1025">
        <v>9</v>
      </c>
      <c r="H1025" t="str">
        <f t="shared" si="101"/>
        <v>00</v>
      </c>
      <c r="I1025" t="str">
        <f t="shared" si="102"/>
        <v>0</v>
      </c>
      <c r="J1025" t="str">
        <f t="shared" si="103"/>
        <v>00</v>
      </c>
      <c r="K1025">
        <v>20190823</v>
      </c>
      <c r="L1025" t="str">
        <f>"028914"</f>
        <v>028914</v>
      </c>
      <c r="M1025" t="str">
        <f>"75452"</f>
        <v>75452</v>
      </c>
      <c r="N1025" t="s">
        <v>57</v>
      </c>
      <c r="O1025">
        <v>235.11</v>
      </c>
      <c r="P1025">
        <v>20190823</v>
      </c>
      <c r="Q1025" t="s">
        <v>58</v>
      </c>
      <c r="R1025" t="s">
        <v>284</v>
      </c>
      <c r="S1025" t="s">
        <v>23</v>
      </c>
      <c r="T1025" t="s">
        <v>59</v>
      </c>
    </row>
    <row r="1026" spans="1:20" x14ac:dyDescent="0.25">
      <c r="A1026">
        <v>9</v>
      </c>
      <c r="B1026">
        <v>163</v>
      </c>
      <c r="C1026" t="str">
        <f t="shared" ref="C1026:C1031" si="106">"00"</f>
        <v>00</v>
      </c>
      <c r="D1026">
        <v>2153</v>
      </c>
      <c r="E1026" t="str">
        <f t="shared" si="100"/>
        <v>00</v>
      </c>
      <c r="F1026" t="str">
        <f>"128"</f>
        <v>128</v>
      </c>
      <c r="G1026">
        <v>9</v>
      </c>
      <c r="H1026" t="str">
        <f t="shared" ref="H1026:H1031" si="107">"00"</f>
        <v>00</v>
      </c>
      <c r="I1026" t="str">
        <f t="shared" ref="I1026:I1031" si="108">"0"</f>
        <v>0</v>
      </c>
      <c r="J1026" t="str">
        <f t="shared" ref="J1026:J1031" si="109">"00"</f>
        <v>00</v>
      </c>
      <c r="K1026">
        <v>20190823</v>
      </c>
      <c r="L1026" t="str">
        <f>"028914"</f>
        <v>028914</v>
      </c>
      <c r="M1026" t="str">
        <f>"75452"</f>
        <v>75452</v>
      </c>
      <c r="N1026" t="s">
        <v>57</v>
      </c>
      <c r="O1026">
        <v>188.33</v>
      </c>
      <c r="P1026">
        <v>20190823</v>
      </c>
      <c r="Q1026" t="s">
        <v>264</v>
      </c>
      <c r="R1026" t="s">
        <v>284</v>
      </c>
      <c r="S1026" t="s">
        <v>23</v>
      </c>
      <c r="T1026" t="s">
        <v>265</v>
      </c>
    </row>
    <row r="1027" spans="1:20" x14ac:dyDescent="0.25">
      <c r="A1027">
        <v>9</v>
      </c>
      <c r="B1027">
        <v>163</v>
      </c>
      <c r="C1027" t="str">
        <f t="shared" si="106"/>
        <v>00</v>
      </c>
      <c r="D1027">
        <v>2159</v>
      </c>
      <c r="E1027" t="str">
        <f t="shared" si="100"/>
        <v>00</v>
      </c>
      <c r="F1027" t="str">
        <f>"106"</f>
        <v>106</v>
      </c>
      <c r="G1027">
        <v>9</v>
      </c>
      <c r="H1027" t="str">
        <f t="shared" si="107"/>
        <v>00</v>
      </c>
      <c r="I1027" t="str">
        <f t="shared" si="108"/>
        <v>0</v>
      </c>
      <c r="J1027" t="str">
        <f t="shared" si="109"/>
        <v>00</v>
      </c>
      <c r="K1027">
        <v>20190823</v>
      </c>
      <c r="L1027" t="str">
        <f>"028915"</f>
        <v>028915</v>
      </c>
      <c r="M1027" t="str">
        <f>"81173"</f>
        <v>81173</v>
      </c>
      <c r="N1027" t="s">
        <v>60</v>
      </c>
      <c r="O1027">
        <v>69.89</v>
      </c>
      <c r="P1027">
        <v>20190823</v>
      </c>
      <c r="Q1027" t="s">
        <v>61</v>
      </c>
      <c r="R1027" t="s">
        <v>285</v>
      </c>
      <c r="S1027" t="s">
        <v>23</v>
      </c>
      <c r="T1027" t="s">
        <v>62</v>
      </c>
    </row>
    <row r="1028" spans="1:20" x14ac:dyDescent="0.25">
      <c r="A1028">
        <v>9</v>
      </c>
      <c r="B1028">
        <v>163</v>
      </c>
      <c r="C1028" t="str">
        <f t="shared" si="106"/>
        <v>00</v>
      </c>
      <c r="D1028">
        <v>2159</v>
      </c>
      <c r="E1028" t="str">
        <f t="shared" si="100"/>
        <v>00</v>
      </c>
      <c r="F1028" t="str">
        <f>"007"</f>
        <v>007</v>
      </c>
      <c r="G1028">
        <v>9</v>
      </c>
      <c r="H1028" t="str">
        <f t="shared" si="107"/>
        <v>00</v>
      </c>
      <c r="I1028" t="str">
        <f t="shared" si="108"/>
        <v>0</v>
      </c>
      <c r="J1028" t="str">
        <f t="shared" si="109"/>
        <v>00</v>
      </c>
      <c r="K1028">
        <v>20190823</v>
      </c>
      <c r="L1028" t="str">
        <f>"028916"</f>
        <v>028916</v>
      </c>
      <c r="M1028" t="str">
        <f>"81174"</f>
        <v>81174</v>
      </c>
      <c r="N1028" t="s">
        <v>63</v>
      </c>
      <c r="O1028">
        <v>39.51</v>
      </c>
      <c r="P1028">
        <v>20190823</v>
      </c>
      <c r="Q1028" t="s">
        <v>64</v>
      </c>
      <c r="R1028" t="s">
        <v>285</v>
      </c>
      <c r="S1028" t="s">
        <v>23</v>
      </c>
      <c r="T1028" t="s">
        <v>65</v>
      </c>
    </row>
    <row r="1029" spans="1:20" x14ac:dyDescent="0.25">
      <c r="A1029">
        <v>9</v>
      </c>
      <c r="B1029">
        <v>163</v>
      </c>
      <c r="C1029" t="str">
        <f t="shared" si="106"/>
        <v>00</v>
      </c>
      <c r="D1029">
        <v>2159</v>
      </c>
      <c r="E1029" t="str">
        <f t="shared" si="100"/>
        <v>00</v>
      </c>
      <c r="F1029" t="str">
        <f>"100"</f>
        <v>100</v>
      </c>
      <c r="G1029">
        <v>9</v>
      </c>
      <c r="H1029" t="str">
        <f t="shared" si="107"/>
        <v>00</v>
      </c>
      <c r="I1029" t="str">
        <f t="shared" si="108"/>
        <v>0</v>
      </c>
      <c r="J1029" t="str">
        <f t="shared" si="109"/>
        <v>00</v>
      </c>
      <c r="K1029">
        <v>20190823</v>
      </c>
      <c r="L1029" t="str">
        <f>"028917"</f>
        <v>028917</v>
      </c>
      <c r="M1029" t="str">
        <f>"81177"</f>
        <v>81177</v>
      </c>
      <c r="N1029" t="s">
        <v>66</v>
      </c>
      <c r="O1029">
        <v>48</v>
      </c>
      <c r="P1029">
        <v>20190823</v>
      </c>
      <c r="Q1029" t="s">
        <v>67</v>
      </c>
      <c r="R1029" t="s">
        <v>285</v>
      </c>
      <c r="S1029" t="s">
        <v>23</v>
      </c>
      <c r="T1029" t="s">
        <v>68</v>
      </c>
    </row>
    <row r="1030" spans="1:20" x14ac:dyDescent="0.25">
      <c r="A1030">
        <v>9</v>
      </c>
      <c r="B1030">
        <v>163</v>
      </c>
      <c r="C1030" t="str">
        <f t="shared" si="106"/>
        <v>00</v>
      </c>
      <c r="D1030">
        <v>2159</v>
      </c>
      <c r="E1030" t="str">
        <f t="shared" si="100"/>
        <v>00</v>
      </c>
      <c r="F1030" t="str">
        <f>"143"</f>
        <v>143</v>
      </c>
      <c r="G1030">
        <v>9</v>
      </c>
      <c r="H1030" t="str">
        <f t="shared" si="107"/>
        <v>00</v>
      </c>
      <c r="I1030" t="str">
        <f t="shared" si="108"/>
        <v>0</v>
      </c>
      <c r="J1030" t="str">
        <f t="shared" si="109"/>
        <v>00</v>
      </c>
      <c r="K1030">
        <v>20190829</v>
      </c>
      <c r="L1030" t="str">
        <f>"028918"</f>
        <v>028918</v>
      </c>
      <c r="M1030" t="str">
        <f>"00069"</f>
        <v>00069</v>
      </c>
      <c r="N1030" t="s">
        <v>72</v>
      </c>
      <c r="O1030">
        <v>359.1</v>
      </c>
      <c r="P1030">
        <v>20190829</v>
      </c>
      <c r="Q1030" t="s">
        <v>73</v>
      </c>
      <c r="R1030" t="s">
        <v>156</v>
      </c>
      <c r="S1030" t="s">
        <v>23</v>
      </c>
      <c r="T1030" t="s">
        <v>74</v>
      </c>
    </row>
    <row r="1031" spans="1:20" x14ac:dyDescent="0.25">
      <c r="A1031">
        <v>9</v>
      </c>
      <c r="B1031">
        <v>181</v>
      </c>
      <c r="C1031" t="str">
        <f t="shared" si="106"/>
        <v>00</v>
      </c>
      <c r="D1031">
        <v>1109</v>
      </c>
      <c r="E1031" t="str">
        <f>"01"</f>
        <v>01</v>
      </c>
      <c r="F1031" t="str">
        <f>"000"</f>
        <v>000</v>
      </c>
      <c r="G1031">
        <v>9</v>
      </c>
      <c r="H1031" t="str">
        <f t="shared" si="107"/>
        <v>00</v>
      </c>
      <c r="I1031" t="str">
        <f t="shared" si="108"/>
        <v>0</v>
      </c>
      <c r="J1031" t="str">
        <f t="shared" si="109"/>
        <v>00</v>
      </c>
      <c r="K1031">
        <v>20180906</v>
      </c>
      <c r="L1031" t="str">
        <f>"073767"</f>
        <v>073767</v>
      </c>
      <c r="M1031" t="str">
        <f>"52196"</f>
        <v>52196</v>
      </c>
      <c r="N1031" t="s">
        <v>292</v>
      </c>
      <c r="O1031" s="1">
        <v>3500</v>
      </c>
      <c r="P1031">
        <v>20180907</v>
      </c>
      <c r="Q1031" t="s">
        <v>293</v>
      </c>
      <c r="R1031" t="s">
        <v>294</v>
      </c>
      <c r="S1031" t="s">
        <v>295</v>
      </c>
      <c r="T1031" t="s">
        <v>296</v>
      </c>
    </row>
    <row r="1032" spans="1:20" x14ac:dyDescent="0.25">
      <c r="A1032">
        <v>9</v>
      </c>
      <c r="B1032">
        <v>181</v>
      </c>
      <c r="C1032" t="str">
        <f t="shared" ref="C1032:C1038" si="110">"36"</f>
        <v>36</v>
      </c>
      <c r="D1032">
        <v>6412</v>
      </c>
      <c r="E1032" t="str">
        <f>"3C"</f>
        <v>3C</v>
      </c>
      <c r="F1032" t="str">
        <f>"041"</f>
        <v>041</v>
      </c>
      <c r="G1032">
        <v>9</v>
      </c>
      <c r="H1032" t="str">
        <f t="shared" ref="H1032:H1038" si="111">"91"</f>
        <v>91</v>
      </c>
      <c r="I1032" t="str">
        <f>"2"</f>
        <v>2</v>
      </c>
      <c r="J1032" t="str">
        <f>"41"</f>
        <v>41</v>
      </c>
      <c r="K1032">
        <v>20180907</v>
      </c>
      <c r="L1032" t="str">
        <f>"073768"</f>
        <v>073768</v>
      </c>
      <c r="M1032" t="str">
        <f>"10235"</f>
        <v>10235</v>
      </c>
      <c r="N1032" t="s">
        <v>297</v>
      </c>
      <c r="O1032">
        <v>66</v>
      </c>
      <c r="P1032">
        <v>20180907</v>
      </c>
      <c r="Q1032" t="s">
        <v>298</v>
      </c>
      <c r="R1032" t="s">
        <v>299</v>
      </c>
      <c r="S1032" t="s">
        <v>295</v>
      </c>
      <c r="T1032" t="s">
        <v>106</v>
      </c>
    </row>
    <row r="1033" spans="1:20" x14ac:dyDescent="0.25">
      <c r="A1033">
        <v>9</v>
      </c>
      <c r="B1033">
        <v>181</v>
      </c>
      <c r="C1033" t="str">
        <f t="shared" si="110"/>
        <v>36</v>
      </c>
      <c r="D1033">
        <v>6412</v>
      </c>
      <c r="E1033" t="str">
        <f>"3C"</f>
        <v>3C</v>
      </c>
      <c r="F1033" t="str">
        <f t="shared" ref="F1033:F1038" si="112">"001"</f>
        <v>001</v>
      </c>
      <c r="G1033">
        <v>9</v>
      </c>
      <c r="H1033" t="str">
        <f t="shared" si="111"/>
        <v>91</v>
      </c>
      <c r="I1033" t="str">
        <f>"2"</f>
        <v>2</v>
      </c>
      <c r="J1033" t="str">
        <f t="shared" ref="J1033:J1038" si="113">"39"</f>
        <v>39</v>
      </c>
      <c r="K1033">
        <v>20180914</v>
      </c>
      <c r="L1033" t="str">
        <f>"073773"</f>
        <v>073773</v>
      </c>
      <c r="M1033" t="str">
        <f>"10235"</f>
        <v>10235</v>
      </c>
      <c r="N1033" t="s">
        <v>297</v>
      </c>
      <c r="O1033">
        <v>235</v>
      </c>
      <c r="P1033">
        <v>20180913</v>
      </c>
      <c r="Q1033" t="s">
        <v>300</v>
      </c>
      <c r="R1033" t="s">
        <v>299</v>
      </c>
      <c r="S1033" t="s">
        <v>295</v>
      </c>
      <c r="T1033" t="s">
        <v>301</v>
      </c>
    </row>
    <row r="1034" spans="1:20" x14ac:dyDescent="0.25">
      <c r="A1034">
        <v>9</v>
      </c>
      <c r="B1034">
        <v>181</v>
      </c>
      <c r="C1034" t="str">
        <f t="shared" si="110"/>
        <v>36</v>
      </c>
      <c r="D1034">
        <v>6412</v>
      </c>
      <c r="E1034" t="str">
        <f>"3C"</f>
        <v>3C</v>
      </c>
      <c r="F1034" t="str">
        <f t="shared" si="112"/>
        <v>001</v>
      </c>
      <c r="G1034">
        <v>9</v>
      </c>
      <c r="H1034" t="str">
        <f t="shared" si="111"/>
        <v>91</v>
      </c>
      <c r="I1034" t="str">
        <f>"2"</f>
        <v>2</v>
      </c>
      <c r="J1034" t="str">
        <f t="shared" si="113"/>
        <v>39</v>
      </c>
      <c r="K1034">
        <v>20180914</v>
      </c>
      <c r="L1034" t="str">
        <f>"073776"</f>
        <v>073776</v>
      </c>
      <c r="M1034" t="str">
        <f>"18251"</f>
        <v>18251</v>
      </c>
      <c r="N1034" t="s">
        <v>302</v>
      </c>
      <c r="O1034">
        <v>250</v>
      </c>
      <c r="P1034">
        <v>20180913</v>
      </c>
      <c r="Q1034" t="s">
        <v>300</v>
      </c>
      <c r="R1034" t="s">
        <v>303</v>
      </c>
      <c r="S1034" t="s">
        <v>295</v>
      </c>
      <c r="T1034" t="s">
        <v>301</v>
      </c>
    </row>
    <row r="1035" spans="1:20" x14ac:dyDescent="0.25">
      <c r="A1035">
        <v>9</v>
      </c>
      <c r="B1035">
        <v>181</v>
      </c>
      <c r="C1035" t="str">
        <f t="shared" si="110"/>
        <v>36</v>
      </c>
      <c r="D1035">
        <v>6412</v>
      </c>
      <c r="E1035" t="str">
        <f>"3C"</f>
        <v>3C</v>
      </c>
      <c r="F1035" t="str">
        <f t="shared" si="112"/>
        <v>001</v>
      </c>
      <c r="G1035">
        <v>9</v>
      </c>
      <c r="H1035" t="str">
        <f t="shared" si="111"/>
        <v>91</v>
      </c>
      <c r="I1035" t="str">
        <f>"2"</f>
        <v>2</v>
      </c>
      <c r="J1035" t="str">
        <f t="shared" si="113"/>
        <v>39</v>
      </c>
      <c r="K1035">
        <v>20181015</v>
      </c>
      <c r="L1035" t="str">
        <f>"073776"</f>
        <v>073776</v>
      </c>
      <c r="M1035" t="str">
        <f>"18251"</f>
        <v>18251</v>
      </c>
      <c r="N1035" t="s">
        <v>302</v>
      </c>
      <c r="O1035">
        <v>-250</v>
      </c>
      <c r="P1035">
        <v>20181015</v>
      </c>
      <c r="Q1035" t="s">
        <v>300</v>
      </c>
      <c r="R1035" t="s">
        <v>304</v>
      </c>
      <c r="S1035" t="s">
        <v>295</v>
      </c>
      <c r="T1035" t="s">
        <v>301</v>
      </c>
    </row>
    <row r="1036" spans="1:20" x14ac:dyDescent="0.25">
      <c r="A1036">
        <v>9</v>
      </c>
      <c r="B1036">
        <v>181</v>
      </c>
      <c r="C1036" t="str">
        <f t="shared" si="110"/>
        <v>36</v>
      </c>
      <c r="D1036">
        <v>6411</v>
      </c>
      <c r="E1036" t="str">
        <f>"33"</f>
        <v>33</v>
      </c>
      <c r="F1036" t="str">
        <f t="shared" si="112"/>
        <v>001</v>
      </c>
      <c r="G1036">
        <v>9</v>
      </c>
      <c r="H1036" t="str">
        <f t="shared" si="111"/>
        <v>91</v>
      </c>
      <c r="I1036" t="str">
        <f>"0"</f>
        <v>0</v>
      </c>
      <c r="J1036" t="str">
        <f t="shared" si="113"/>
        <v>39</v>
      </c>
      <c r="K1036">
        <v>20180914</v>
      </c>
      <c r="L1036" t="str">
        <f>"073779"</f>
        <v>073779</v>
      </c>
      <c r="M1036" t="str">
        <f>"26389"</f>
        <v>26389</v>
      </c>
      <c r="N1036" t="s">
        <v>305</v>
      </c>
      <c r="O1036">
        <v>294.3</v>
      </c>
      <c r="P1036">
        <v>20180913</v>
      </c>
      <c r="Q1036" t="s">
        <v>306</v>
      </c>
      <c r="R1036" t="s">
        <v>307</v>
      </c>
      <c r="S1036" t="s">
        <v>295</v>
      </c>
      <c r="T1036" t="s">
        <v>301</v>
      </c>
    </row>
    <row r="1037" spans="1:20" x14ac:dyDescent="0.25">
      <c r="A1037">
        <v>9</v>
      </c>
      <c r="B1037">
        <v>181</v>
      </c>
      <c r="C1037" t="str">
        <f t="shared" si="110"/>
        <v>36</v>
      </c>
      <c r="D1037">
        <v>6412</v>
      </c>
      <c r="E1037" t="str">
        <f>"3G"</f>
        <v>3G</v>
      </c>
      <c r="F1037" t="str">
        <f t="shared" si="112"/>
        <v>001</v>
      </c>
      <c r="G1037">
        <v>9</v>
      </c>
      <c r="H1037" t="str">
        <f t="shared" si="111"/>
        <v>91</v>
      </c>
      <c r="I1037" t="str">
        <f>"2"</f>
        <v>2</v>
      </c>
      <c r="J1037" t="str">
        <f t="shared" si="113"/>
        <v>39</v>
      </c>
      <c r="K1037">
        <v>20180914</v>
      </c>
      <c r="L1037" t="str">
        <f>"073782"</f>
        <v>073782</v>
      </c>
      <c r="M1037" t="str">
        <f>"30148"</f>
        <v>30148</v>
      </c>
      <c r="N1037" t="s">
        <v>308</v>
      </c>
      <c r="O1037">
        <v>350</v>
      </c>
      <c r="P1037">
        <v>20180913</v>
      </c>
      <c r="Q1037" t="s">
        <v>309</v>
      </c>
      <c r="R1037" t="s">
        <v>310</v>
      </c>
      <c r="S1037" t="s">
        <v>295</v>
      </c>
      <c r="T1037" t="s">
        <v>301</v>
      </c>
    </row>
    <row r="1038" spans="1:20" x14ac:dyDescent="0.25">
      <c r="A1038">
        <v>9</v>
      </c>
      <c r="B1038">
        <v>181</v>
      </c>
      <c r="C1038" t="str">
        <f t="shared" si="110"/>
        <v>36</v>
      </c>
      <c r="D1038">
        <v>6412</v>
      </c>
      <c r="E1038" t="str">
        <f>"3G"</f>
        <v>3G</v>
      </c>
      <c r="F1038" t="str">
        <f t="shared" si="112"/>
        <v>001</v>
      </c>
      <c r="G1038">
        <v>9</v>
      </c>
      <c r="H1038" t="str">
        <f t="shared" si="111"/>
        <v>91</v>
      </c>
      <c r="I1038" t="str">
        <f>"2"</f>
        <v>2</v>
      </c>
      <c r="J1038" t="str">
        <f t="shared" si="113"/>
        <v>39</v>
      </c>
      <c r="K1038">
        <v>20181013</v>
      </c>
      <c r="L1038" t="str">
        <f>"073782"</f>
        <v>073782</v>
      </c>
      <c r="M1038" t="str">
        <f>"30148"</f>
        <v>30148</v>
      </c>
      <c r="N1038" t="s">
        <v>308</v>
      </c>
      <c r="O1038">
        <v>-350</v>
      </c>
      <c r="P1038">
        <v>20181013</v>
      </c>
      <c r="Q1038" t="s">
        <v>309</v>
      </c>
      <c r="R1038" t="s">
        <v>304</v>
      </c>
      <c r="S1038" t="s">
        <v>295</v>
      </c>
      <c r="T1038" t="s">
        <v>301</v>
      </c>
    </row>
    <row r="1039" spans="1:20" x14ac:dyDescent="0.25">
      <c r="A1039">
        <v>9</v>
      </c>
      <c r="B1039">
        <v>181</v>
      </c>
      <c r="C1039" t="str">
        <f>"00"</f>
        <v>00</v>
      </c>
      <c r="D1039">
        <v>1109</v>
      </c>
      <c r="E1039" t="str">
        <f>"01"</f>
        <v>01</v>
      </c>
      <c r="F1039" t="str">
        <f>"000"</f>
        <v>000</v>
      </c>
      <c r="G1039">
        <v>9</v>
      </c>
      <c r="H1039" t="str">
        <f>"00"</f>
        <v>00</v>
      </c>
      <c r="I1039" t="str">
        <f>"0"</f>
        <v>0</v>
      </c>
      <c r="J1039" t="str">
        <f>"00"</f>
        <v>00</v>
      </c>
      <c r="K1039">
        <v>20180914</v>
      </c>
      <c r="L1039" t="str">
        <f>"073797"</f>
        <v>073797</v>
      </c>
      <c r="M1039" t="str">
        <f>"52196"</f>
        <v>52196</v>
      </c>
      <c r="N1039" t="s">
        <v>292</v>
      </c>
      <c r="O1039" s="1">
        <v>3500</v>
      </c>
      <c r="P1039">
        <v>20180913</v>
      </c>
      <c r="Q1039" t="s">
        <v>293</v>
      </c>
      <c r="R1039" t="s">
        <v>311</v>
      </c>
      <c r="S1039" t="s">
        <v>295</v>
      </c>
      <c r="T1039" t="s">
        <v>296</v>
      </c>
    </row>
    <row r="1040" spans="1:20" x14ac:dyDescent="0.25">
      <c r="A1040">
        <v>9</v>
      </c>
      <c r="B1040">
        <v>181</v>
      </c>
      <c r="C1040" t="str">
        <f t="shared" ref="C1040:C1046" si="114">"36"</f>
        <v>36</v>
      </c>
      <c r="D1040">
        <v>6412</v>
      </c>
      <c r="E1040" t="str">
        <f>"3C"</f>
        <v>3C</v>
      </c>
      <c r="F1040" t="str">
        <f>"001"</f>
        <v>001</v>
      </c>
      <c r="G1040">
        <v>9</v>
      </c>
      <c r="H1040" t="str">
        <f t="shared" ref="H1040:H1046" si="115">"91"</f>
        <v>91</v>
      </c>
      <c r="I1040" t="str">
        <f>"2"</f>
        <v>2</v>
      </c>
      <c r="J1040" t="str">
        <f>"39"</f>
        <v>39</v>
      </c>
      <c r="K1040">
        <v>20180914</v>
      </c>
      <c r="L1040" t="str">
        <f>"073805"</f>
        <v>073805</v>
      </c>
      <c r="M1040" t="str">
        <f>"76508"</f>
        <v>76508</v>
      </c>
      <c r="N1040" t="s">
        <v>312</v>
      </c>
      <c r="O1040">
        <v>365</v>
      </c>
      <c r="P1040">
        <v>20180913</v>
      </c>
      <c r="Q1040" t="s">
        <v>300</v>
      </c>
      <c r="R1040" t="s">
        <v>313</v>
      </c>
      <c r="S1040" t="s">
        <v>295</v>
      </c>
      <c r="T1040" t="s">
        <v>301</v>
      </c>
    </row>
    <row r="1041" spans="1:20" x14ac:dyDescent="0.25">
      <c r="A1041">
        <v>9</v>
      </c>
      <c r="B1041">
        <v>181</v>
      </c>
      <c r="C1041" t="str">
        <f t="shared" si="114"/>
        <v>36</v>
      </c>
      <c r="D1041">
        <v>6412</v>
      </c>
      <c r="E1041" t="str">
        <f>"3C"</f>
        <v>3C</v>
      </c>
      <c r="F1041" t="str">
        <f>"041"</f>
        <v>041</v>
      </c>
      <c r="G1041">
        <v>9</v>
      </c>
      <c r="H1041" t="str">
        <f t="shared" si="115"/>
        <v>91</v>
      </c>
      <c r="I1041" t="str">
        <f>"2"</f>
        <v>2</v>
      </c>
      <c r="J1041" t="str">
        <f>"41"</f>
        <v>41</v>
      </c>
      <c r="K1041">
        <v>20180914</v>
      </c>
      <c r="L1041" t="str">
        <f>"073805"</f>
        <v>073805</v>
      </c>
      <c r="M1041" t="str">
        <f>"76508"</f>
        <v>76508</v>
      </c>
      <c r="N1041" t="s">
        <v>312</v>
      </c>
      <c r="O1041">
        <v>150</v>
      </c>
      <c r="P1041">
        <v>20180913</v>
      </c>
      <c r="Q1041" t="s">
        <v>298</v>
      </c>
      <c r="R1041" t="s">
        <v>313</v>
      </c>
      <c r="S1041" t="s">
        <v>295</v>
      </c>
      <c r="T1041" t="s">
        <v>106</v>
      </c>
    </row>
    <row r="1042" spans="1:20" x14ac:dyDescent="0.25">
      <c r="A1042">
        <v>9</v>
      </c>
      <c r="B1042">
        <v>181</v>
      </c>
      <c r="C1042" t="str">
        <f t="shared" si="114"/>
        <v>36</v>
      </c>
      <c r="D1042">
        <v>6412</v>
      </c>
      <c r="E1042" t="str">
        <f>"3C"</f>
        <v>3C</v>
      </c>
      <c r="F1042" t="str">
        <f>"001"</f>
        <v>001</v>
      </c>
      <c r="G1042">
        <v>9</v>
      </c>
      <c r="H1042" t="str">
        <f t="shared" si="115"/>
        <v>91</v>
      </c>
      <c r="I1042" t="str">
        <f>"2"</f>
        <v>2</v>
      </c>
      <c r="J1042" t="str">
        <f>"39"</f>
        <v>39</v>
      </c>
      <c r="K1042">
        <v>20180927</v>
      </c>
      <c r="L1042" t="str">
        <f>"073805"</f>
        <v>073805</v>
      </c>
      <c r="M1042" t="str">
        <f>"76508"</f>
        <v>76508</v>
      </c>
      <c r="N1042" t="s">
        <v>312</v>
      </c>
      <c r="O1042">
        <v>-365</v>
      </c>
      <c r="P1042">
        <v>20180927</v>
      </c>
      <c r="Q1042" t="s">
        <v>300</v>
      </c>
      <c r="R1042" t="s">
        <v>314</v>
      </c>
      <c r="S1042" t="s">
        <v>295</v>
      </c>
      <c r="T1042" t="s">
        <v>301</v>
      </c>
    </row>
    <row r="1043" spans="1:20" x14ac:dyDescent="0.25">
      <c r="A1043">
        <v>9</v>
      </c>
      <c r="B1043">
        <v>181</v>
      </c>
      <c r="C1043" t="str">
        <f t="shared" si="114"/>
        <v>36</v>
      </c>
      <c r="D1043">
        <v>6412</v>
      </c>
      <c r="E1043" t="str">
        <f>"3C"</f>
        <v>3C</v>
      </c>
      <c r="F1043" t="str">
        <f>"041"</f>
        <v>041</v>
      </c>
      <c r="G1043">
        <v>9</v>
      </c>
      <c r="H1043" t="str">
        <f t="shared" si="115"/>
        <v>91</v>
      </c>
      <c r="I1043" t="str">
        <f>"2"</f>
        <v>2</v>
      </c>
      <c r="J1043" t="str">
        <f>"41"</f>
        <v>41</v>
      </c>
      <c r="K1043">
        <v>20180927</v>
      </c>
      <c r="L1043" t="str">
        <f>"073805"</f>
        <v>073805</v>
      </c>
      <c r="M1043" t="str">
        <f>"76508"</f>
        <v>76508</v>
      </c>
      <c r="N1043" t="s">
        <v>312</v>
      </c>
      <c r="O1043">
        <v>-150</v>
      </c>
      <c r="P1043">
        <v>20180927</v>
      </c>
      <c r="Q1043" t="s">
        <v>298</v>
      </c>
      <c r="R1043" t="s">
        <v>314</v>
      </c>
      <c r="S1043" t="s">
        <v>295</v>
      </c>
      <c r="T1043" t="s">
        <v>106</v>
      </c>
    </row>
    <row r="1044" spans="1:20" x14ac:dyDescent="0.25">
      <c r="A1044">
        <v>9</v>
      </c>
      <c r="B1044">
        <v>181</v>
      </c>
      <c r="C1044" t="str">
        <f t="shared" si="114"/>
        <v>36</v>
      </c>
      <c r="D1044">
        <v>6411</v>
      </c>
      <c r="E1044" t="str">
        <f>"33"</f>
        <v>33</v>
      </c>
      <c r="F1044" t="str">
        <f>"001"</f>
        <v>001</v>
      </c>
      <c r="G1044">
        <v>9</v>
      </c>
      <c r="H1044" t="str">
        <f t="shared" si="115"/>
        <v>91</v>
      </c>
      <c r="I1044" t="str">
        <f>"0"</f>
        <v>0</v>
      </c>
      <c r="J1044" t="str">
        <f>"39"</f>
        <v>39</v>
      </c>
      <c r="K1044">
        <v>20180914</v>
      </c>
      <c r="L1044" t="str">
        <f>"073807"</f>
        <v>073807</v>
      </c>
      <c r="M1044" t="str">
        <f>"78627"</f>
        <v>78627</v>
      </c>
      <c r="N1044" t="s">
        <v>315</v>
      </c>
      <c r="O1044">
        <v>300</v>
      </c>
      <c r="P1044">
        <v>20180913</v>
      </c>
      <c r="Q1044" t="s">
        <v>306</v>
      </c>
      <c r="R1044" t="s">
        <v>307</v>
      </c>
      <c r="S1044" t="s">
        <v>295</v>
      </c>
      <c r="T1044" t="s">
        <v>301</v>
      </c>
    </row>
    <row r="1045" spans="1:20" x14ac:dyDescent="0.25">
      <c r="A1045">
        <v>9</v>
      </c>
      <c r="B1045">
        <v>181</v>
      </c>
      <c r="C1045" t="str">
        <f t="shared" si="114"/>
        <v>36</v>
      </c>
      <c r="D1045">
        <v>6411</v>
      </c>
      <c r="E1045" t="str">
        <f>"33"</f>
        <v>33</v>
      </c>
      <c r="F1045" t="str">
        <f>"001"</f>
        <v>001</v>
      </c>
      <c r="G1045">
        <v>9</v>
      </c>
      <c r="H1045" t="str">
        <f t="shared" si="115"/>
        <v>91</v>
      </c>
      <c r="I1045" t="str">
        <f>"0"</f>
        <v>0</v>
      </c>
      <c r="J1045" t="str">
        <f>"39"</f>
        <v>39</v>
      </c>
      <c r="K1045">
        <v>20180914</v>
      </c>
      <c r="L1045" t="str">
        <f>"073808"</f>
        <v>073808</v>
      </c>
      <c r="M1045" t="str">
        <f>"78626"</f>
        <v>78626</v>
      </c>
      <c r="N1045" t="s">
        <v>316</v>
      </c>
      <c r="O1045">
        <v>40</v>
      </c>
      <c r="P1045">
        <v>20180913</v>
      </c>
      <c r="Q1045" t="s">
        <v>306</v>
      </c>
      <c r="R1045" t="s">
        <v>317</v>
      </c>
      <c r="S1045" t="s">
        <v>295</v>
      </c>
      <c r="T1045" t="s">
        <v>301</v>
      </c>
    </row>
    <row r="1046" spans="1:20" x14ac:dyDescent="0.25">
      <c r="A1046">
        <v>9</v>
      </c>
      <c r="B1046">
        <v>181</v>
      </c>
      <c r="C1046" t="str">
        <f t="shared" si="114"/>
        <v>36</v>
      </c>
      <c r="D1046">
        <v>6396</v>
      </c>
      <c r="E1046" t="str">
        <f>"30"</f>
        <v>30</v>
      </c>
      <c r="F1046" t="str">
        <f>"001"</f>
        <v>001</v>
      </c>
      <c r="G1046">
        <v>9</v>
      </c>
      <c r="H1046" t="str">
        <f t="shared" si="115"/>
        <v>91</v>
      </c>
      <c r="I1046" t="str">
        <f>"0"</f>
        <v>0</v>
      </c>
      <c r="J1046" t="str">
        <f>"39"</f>
        <v>39</v>
      </c>
      <c r="K1046">
        <v>20180921</v>
      </c>
      <c r="L1046" t="str">
        <f>"073819"</f>
        <v>073819</v>
      </c>
      <c r="M1046" t="str">
        <f>"01240"</f>
        <v>01240</v>
      </c>
      <c r="N1046" t="s">
        <v>318</v>
      </c>
      <c r="O1046" s="1">
        <v>1200</v>
      </c>
      <c r="P1046">
        <v>20180920</v>
      </c>
      <c r="Q1046" t="s">
        <v>319</v>
      </c>
      <c r="R1046" t="s">
        <v>320</v>
      </c>
      <c r="S1046" t="s">
        <v>295</v>
      </c>
      <c r="T1046" t="s">
        <v>301</v>
      </c>
    </row>
    <row r="1047" spans="1:20" x14ac:dyDescent="0.25">
      <c r="A1047">
        <v>9</v>
      </c>
      <c r="B1047">
        <v>181</v>
      </c>
      <c r="C1047" t="str">
        <f>"00"</f>
        <v>00</v>
      </c>
      <c r="D1047">
        <v>2110</v>
      </c>
      <c r="E1047" t="str">
        <f>"18"</f>
        <v>18</v>
      </c>
      <c r="F1047" t="str">
        <f>"000"</f>
        <v>000</v>
      </c>
      <c r="G1047">
        <v>9</v>
      </c>
      <c r="H1047" t="str">
        <f>"00"</f>
        <v>00</v>
      </c>
      <c r="I1047" t="str">
        <f>"0"</f>
        <v>0</v>
      </c>
      <c r="J1047" t="str">
        <f>"00"</f>
        <v>00</v>
      </c>
      <c r="K1047">
        <v>20180921</v>
      </c>
      <c r="L1047" t="str">
        <f>"073824"</f>
        <v>073824</v>
      </c>
      <c r="M1047" t="str">
        <f>"00556"</f>
        <v>00556</v>
      </c>
      <c r="N1047" t="s">
        <v>321</v>
      </c>
      <c r="O1047">
        <v>105</v>
      </c>
      <c r="P1047">
        <v>20180920</v>
      </c>
      <c r="Q1047" t="s">
        <v>322</v>
      </c>
      <c r="R1047" t="s">
        <v>323</v>
      </c>
      <c r="S1047" t="s">
        <v>295</v>
      </c>
      <c r="T1047" t="s">
        <v>296</v>
      </c>
    </row>
    <row r="1048" spans="1:20" x14ac:dyDescent="0.25">
      <c r="A1048">
        <v>9</v>
      </c>
      <c r="B1048">
        <v>181</v>
      </c>
      <c r="C1048" t="str">
        <f>"36"</f>
        <v>36</v>
      </c>
      <c r="D1048">
        <v>6412</v>
      </c>
      <c r="E1048" t="str">
        <f>"3C"</f>
        <v>3C</v>
      </c>
      <c r="F1048" t="str">
        <f>"041"</f>
        <v>041</v>
      </c>
      <c r="G1048">
        <v>9</v>
      </c>
      <c r="H1048" t="str">
        <f>"91"</f>
        <v>91</v>
      </c>
      <c r="I1048" t="str">
        <f>"2"</f>
        <v>2</v>
      </c>
      <c r="J1048" t="str">
        <f>"41"</f>
        <v>41</v>
      </c>
      <c r="K1048">
        <v>20180921</v>
      </c>
      <c r="L1048" t="str">
        <f>"073829"</f>
        <v>073829</v>
      </c>
      <c r="M1048" t="str">
        <f>"18251"</f>
        <v>18251</v>
      </c>
      <c r="N1048" t="s">
        <v>302</v>
      </c>
      <c r="O1048">
        <v>99</v>
      </c>
      <c r="P1048">
        <v>20180920</v>
      </c>
      <c r="Q1048" t="s">
        <v>298</v>
      </c>
      <c r="R1048" t="s">
        <v>303</v>
      </c>
      <c r="S1048" t="s">
        <v>295</v>
      </c>
      <c r="T1048" t="s">
        <v>106</v>
      </c>
    </row>
    <row r="1049" spans="1:20" x14ac:dyDescent="0.25">
      <c r="A1049">
        <v>9</v>
      </c>
      <c r="B1049">
        <v>181</v>
      </c>
      <c r="C1049" t="str">
        <f>"36"</f>
        <v>36</v>
      </c>
      <c r="D1049">
        <v>6412</v>
      </c>
      <c r="E1049" t="str">
        <f>"3C"</f>
        <v>3C</v>
      </c>
      <c r="F1049" t="str">
        <f>"041"</f>
        <v>041</v>
      </c>
      <c r="G1049">
        <v>9</v>
      </c>
      <c r="H1049" t="str">
        <f>"91"</f>
        <v>91</v>
      </c>
      <c r="I1049" t="str">
        <f>"2"</f>
        <v>2</v>
      </c>
      <c r="J1049" t="str">
        <f>"41"</f>
        <v>41</v>
      </c>
      <c r="K1049">
        <v>20181015</v>
      </c>
      <c r="L1049" t="str">
        <f>"073829"</f>
        <v>073829</v>
      </c>
      <c r="M1049" t="str">
        <f>"18251"</f>
        <v>18251</v>
      </c>
      <c r="N1049" t="s">
        <v>302</v>
      </c>
      <c r="O1049">
        <v>-99</v>
      </c>
      <c r="P1049">
        <v>20181015</v>
      </c>
      <c r="Q1049" t="s">
        <v>298</v>
      </c>
      <c r="R1049" t="s">
        <v>304</v>
      </c>
      <c r="S1049" t="s">
        <v>295</v>
      </c>
      <c r="T1049" t="s">
        <v>106</v>
      </c>
    </row>
    <row r="1050" spans="1:20" x14ac:dyDescent="0.25">
      <c r="A1050">
        <v>9</v>
      </c>
      <c r="B1050">
        <v>181</v>
      </c>
      <c r="C1050" t="str">
        <f>"00"</f>
        <v>00</v>
      </c>
      <c r="D1050">
        <v>2110</v>
      </c>
      <c r="E1050" t="str">
        <f>"18"</f>
        <v>18</v>
      </c>
      <c r="F1050" t="str">
        <f>"000"</f>
        <v>000</v>
      </c>
      <c r="G1050">
        <v>9</v>
      </c>
      <c r="H1050" t="str">
        <f>"00"</f>
        <v>00</v>
      </c>
      <c r="I1050" t="str">
        <f>"0"</f>
        <v>0</v>
      </c>
      <c r="J1050" t="str">
        <f>"00"</f>
        <v>00</v>
      </c>
      <c r="K1050">
        <v>20180921</v>
      </c>
      <c r="L1050" t="str">
        <f>"073830"</f>
        <v>073830</v>
      </c>
      <c r="M1050" t="str">
        <f>"18991"</f>
        <v>18991</v>
      </c>
      <c r="N1050" t="s">
        <v>324</v>
      </c>
      <c r="O1050">
        <v>65</v>
      </c>
      <c r="P1050">
        <v>20180920</v>
      </c>
      <c r="Q1050" t="s">
        <v>322</v>
      </c>
      <c r="R1050" t="s">
        <v>325</v>
      </c>
      <c r="S1050" t="s">
        <v>295</v>
      </c>
      <c r="T1050" t="s">
        <v>296</v>
      </c>
    </row>
    <row r="1051" spans="1:20" x14ac:dyDescent="0.25">
      <c r="A1051">
        <v>9</v>
      </c>
      <c r="B1051">
        <v>181</v>
      </c>
      <c r="C1051" t="str">
        <f>"00"</f>
        <v>00</v>
      </c>
      <c r="D1051">
        <v>2110</v>
      </c>
      <c r="E1051" t="str">
        <f>"18"</f>
        <v>18</v>
      </c>
      <c r="F1051" t="str">
        <f>"000"</f>
        <v>000</v>
      </c>
      <c r="G1051">
        <v>9</v>
      </c>
      <c r="H1051" t="str">
        <f>"00"</f>
        <v>00</v>
      </c>
      <c r="I1051" t="str">
        <f>"0"</f>
        <v>0</v>
      </c>
      <c r="J1051" t="str">
        <f>"00"</f>
        <v>00</v>
      </c>
      <c r="K1051">
        <v>20180921</v>
      </c>
      <c r="L1051" t="str">
        <f>"073832"</f>
        <v>073832</v>
      </c>
      <c r="M1051" t="str">
        <f>"19079"</f>
        <v>19079</v>
      </c>
      <c r="N1051" t="s">
        <v>326</v>
      </c>
      <c r="O1051">
        <v>128</v>
      </c>
      <c r="P1051">
        <v>20180920</v>
      </c>
      <c r="Q1051" t="s">
        <v>322</v>
      </c>
      <c r="R1051" t="s">
        <v>323</v>
      </c>
      <c r="S1051" t="s">
        <v>295</v>
      </c>
      <c r="T1051" t="s">
        <v>296</v>
      </c>
    </row>
    <row r="1052" spans="1:20" x14ac:dyDescent="0.25">
      <c r="A1052">
        <v>9</v>
      </c>
      <c r="B1052">
        <v>181</v>
      </c>
      <c r="C1052" t="str">
        <f>"36"</f>
        <v>36</v>
      </c>
      <c r="D1052">
        <v>6219</v>
      </c>
      <c r="E1052" t="str">
        <f>"3F"</f>
        <v>3F</v>
      </c>
      <c r="F1052" t="str">
        <f>"001"</f>
        <v>001</v>
      </c>
      <c r="G1052">
        <v>9</v>
      </c>
      <c r="H1052" t="str">
        <f>"91"</f>
        <v>91</v>
      </c>
      <c r="I1052" t="str">
        <f>"1"</f>
        <v>1</v>
      </c>
      <c r="J1052" t="str">
        <f>"39"</f>
        <v>39</v>
      </c>
      <c r="K1052">
        <v>20180921</v>
      </c>
      <c r="L1052" t="str">
        <f>"073832"</f>
        <v>073832</v>
      </c>
      <c r="M1052" t="str">
        <f>"19079"</f>
        <v>19079</v>
      </c>
      <c r="N1052" t="s">
        <v>326</v>
      </c>
      <c r="O1052">
        <v>128</v>
      </c>
      <c r="P1052">
        <v>20180920</v>
      </c>
      <c r="Q1052" t="s">
        <v>327</v>
      </c>
      <c r="R1052" t="s">
        <v>294</v>
      </c>
      <c r="S1052" t="s">
        <v>295</v>
      </c>
      <c r="T1052" t="s">
        <v>301</v>
      </c>
    </row>
    <row r="1053" spans="1:20" x14ac:dyDescent="0.25">
      <c r="A1053">
        <v>9</v>
      </c>
      <c r="B1053">
        <v>181</v>
      </c>
      <c r="C1053" t="str">
        <f>"00"</f>
        <v>00</v>
      </c>
      <c r="D1053">
        <v>2110</v>
      </c>
      <c r="E1053" t="str">
        <f>"18"</f>
        <v>18</v>
      </c>
      <c r="F1053" t="str">
        <f>"000"</f>
        <v>000</v>
      </c>
      <c r="G1053">
        <v>9</v>
      </c>
      <c r="H1053" t="str">
        <f>"00"</f>
        <v>00</v>
      </c>
      <c r="I1053" t="str">
        <f>"0"</f>
        <v>0</v>
      </c>
      <c r="J1053" t="str">
        <f>"00"</f>
        <v>00</v>
      </c>
      <c r="K1053">
        <v>20180921</v>
      </c>
      <c r="L1053" t="str">
        <f>"073833"</f>
        <v>073833</v>
      </c>
      <c r="M1053" t="str">
        <f>"19273"</f>
        <v>19273</v>
      </c>
      <c r="N1053" t="s">
        <v>328</v>
      </c>
      <c r="O1053">
        <v>65</v>
      </c>
      <c r="P1053">
        <v>20180920</v>
      </c>
      <c r="Q1053" t="s">
        <v>322</v>
      </c>
      <c r="R1053" t="s">
        <v>325</v>
      </c>
      <c r="S1053" t="s">
        <v>295</v>
      </c>
      <c r="T1053" t="s">
        <v>296</v>
      </c>
    </row>
    <row r="1054" spans="1:20" x14ac:dyDescent="0.25">
      <c r="A1054">
        <v>9</v>
      </c>
      <c r="B1054">
        <v>181</v>
      </c>
      <c r="C1054" t="str">
        <f t="shared" ref="C1054:C1060" si="116">"36"</f>
        <v>36</v>
      </c>
      <c r="D1054">
        <v>6219</v>
      </c>
      <c r="E1054" t="str">
        <f>"3Y"</f>
        <v>3Y</v>
      </c>
      <c r="F1054" t="str">
        <f>"001"</f>
        <v>001</v>
      </c>
      <c r="G1054">
        <v>9</v>
      </c>
      <c r="H1054" t="str">
        <f t="shared" ref="H1054:H1060" si="117">"91"</f>
        <v>91</v>
      </c>
      <c r="I1054" t="str">
        <f>"0"</f>
        <v>0</v>
      </c>
      <c r="J1054" t="str">
        <f>"39"</f>
        <v>39</v>
      </c>
      <c r="K1054">
        <v>20180921</v>
      </c>
      <c r="L1054" t="str">
        <f>"073835"</f>
        <v>073835</v>
      </c>
      <c r="M1054" t="str">
        <f>"19294"</f>
        <v>19294</v>
      </c>
      <c r="N1054" t="s">
        <v>329</v>
      </c>
      <c r="O1054">
        <v>100</v>
      </c>
      <c r="P1054">
        <v>20180920</v>
      </c>
      <c r="Q1054" t="s">
        <v>330</v>
      </c>
      <c r="R1054" t="s">
        <v>331</v>
      </c>
      <c r="S1054" t="s">
        <v>295</v>
      </c>
      <c r="T1054" t="s">
        <v>301</v>
      </c>
    </row>
    <row r="1055" spans="1:20" x14ac:dyDescent="0.25">
      <c r="A1055">
        <v>9</v>
      </c>
      <c r="B1055">
        <v>181</v>
      </c>
      <c r="C1055" t="str">
        <f t="shared" si="116"/>
        <v>36</v>
      </c>
      <c r="D1055">
        <v>6219</v>
      </c>
      <c r="E1055" t="str">
        <f>"3F"</f>
        <v>3F</v>
      </c>
      <c r="F1055" t="str">
        <f>"001"</f>
        <v>001</v>
      </c>
      <c r="G1055">
        <v>9</v>
      </c>
      <c r="H1055" t="str">
        <f t="shared" si="117"/>
        <v>91</v>
      </c>
      <c r="I1055" t="str">
        <f>"0"</f>
        <v>0</v>
      </c>
      <c r="J1055" t="str">
        <f>"39"</f>
        <v>39</v>
      </c>
      <c r="K1055">
        <v>20180921</v>
      </c>
      <c r="L1055" t="str">
        <f>"073838"</f>
        <v>073838</v>
      </c>
      <c r="M1055" t="str">
        <f>"20433"</f>
        <v>20433</v>
      </c>
      <c r="N1055" t="s">
        <v>332</v>
      </c>
      <c r="O1055">
        <v>50</v>
      </c>
      <c r="P1055">
        <v>20180920</v>
      </c>
      <c r="Q1055" t="s">
        <v>333</v>
      </c>
      <c r="R1055" t="s">
        <v>323</v>
      </c>
      <c r="S1055" t="s">
        <v>295</v>
      </c>
      <c r="T1055" t="s">
        <v>301</v>
      </c>
    </row>
    <row r="1056" spans="1:20" x14ac:dyDescent="0.25">
      <c r="A1056">
        <v>9</v>
      </c>
      <c r="B1056">
        <v>181</v>
      </c>
      <c r="C1056" t="str">
        <f t="shared" si="116"/>
        <v>36</v>
      </c>
      <c r="D1056">
        <v>6219</v>
      </c>
      <c r="E1056" t="str">
        <f>"3F"</f>
        <v>3F</v>
      </c>
      <c r="F1056" t="str">
        <f>"001"</f>
        <v>001</v>
      </c>
      <c r="G1056">
        <v>9</v>
      </c>
      <c r="H1056" t="str">
        <f t="shared" si="117"/>
        <v>91</v>
      </c>
      <c r="I1056" t="str">
        <f>"0"</f>
        <v>0</v>
      </c>
      <c r="J1056" t="str">
        <f>"39"</f>
        <v>39</v>
      </c>
      <c r="K1056">
        <v>20180921</v>
      </c>
      <c r="L1056" t="str">
        <f>"073838"</f>
        <v>073838</v>
      </c>
      <c r="M1056" t="str">
        <f>"20433"</f>
        <v>20433</v>
      </c>
      <c r="N1056" t="s">
        <v>332</v>
      </c>
      <c r="O1056">
        <v>50</v>
      </c>
      <c r="P1056">
        <v>20180920</v>
      </c>
      <c r="Q1056" t="s">
        <v>333</v>
      </c>
      <c r="R1056" t="s">
        <v>294</v>
      </c>
      <c r="S1056" t="s">
        <v>295</v>
      </c>
      <c r="T1056" t="s">
        <v>301</v>
      </c>
    </row>
    <row r="1057" spans="1:20" x14ac:dyDescent="0.25">
      <c r="A1057">
        <v>9</v>
      </c>
      <c r="B1057">
        <v>181</v>
      </c>
      <c r="C1057" t="str">
        <f t="shared" si="116"/>
        <v>36</v>
      </c>
      <c r="D1057">
        <v>6219</v>
      </c>
      <c r="E1057" t="str">
        <f>"3Y"</f>
        <v>3Y</v>
      </c>
      <c r="F1057" t="str">
        <f>"001"</f>
        <v>001</v>
      </c>
      <c r="G1057">
        <v>9</v>
      </c>
      <c r="H1057" t="str">
        <f t="shared" si="117"/>
        <v>91</v>
      </c>
      <c r="I1057" t="str">
        <f>"0"</f>
        <v>0</v>
      </c>
      <c r="J1057" t="str">
        <f>"39"</f>
        <v>39</v>
      </c>
      <c r="K1057">
        <v>20180921</v>
      </c>
      <c r="L1057" t="str">
        <f>"073844"</f>
        <v>073844</v>
      </c>
      <c r="M1057" t="str">
        <f>"24125"</f>
        <v>24125</v>
      </c>
      <c r="N1057" t="s">
        <v>334</v>
      </c>
      <c r="O1057">
        <v>95</v>
      </c>
      <c r="P1057">
        <v>20180920</v>
      </c>
      <c r="Q1057" t="s">
        <v>330</v>
      </c>
      <c r="R1057" t="s">
        <v>335</v>
      </c>
      <c r="S1057" t="s">
        <v>295</v>
      </c>
      <c r="T1057" t="s">
        <v>301</v>
      </c>
    </row>
    <row r="1058" spans="1:20" x14ac:dyDescent="0.25">
      <c r="A1058">
        <v>9</v>
      </c>
      <c r="B1058">
        <v>181</v>
      </c>
      <c r="C1058" t="str">
        <f t="shared" si="116"/>
        <v>36</v>
      </c>
      <c r="D1058">
        <v>6412</v>
      </c>
      <c r="E1058" t="str">
        <f>"3C"</f>
        <v>3C</v>
      </c>
      <c r="F1058" t="str">
        <f>"041"</f>
        <v>041</v>
      </c>
      <c r="G1058">
        <v>9</v>
      </c>
      <c r="H1058" t="str">
        <f t="shared" si="117"/>
        <v>91</v>
      </c>
      <c r="I1058" t="str">
        <f>"1"</f>
        <v>1</v>
      </c>
      <c r="J1058" t="str">
        <f>"41"</f>
        <v>41</v>
      </c>
      <c r="K1058">
        <v>20180921</v>
      </c>
      <c r="L1058" t="str">
        <f>"073846"</f>
        <v>073846</v>
      </c>
      <c r="M1058" t="str">
        <f>"24358"</f>
        <v>24358</v>
      </c>
      <c r="N1058" t="s">
        <v>336</v>
      </c>
      <c r="O1058">
        <v>121.24</v>
      </c>
      <c r="P1058">
        <v>20180920</v>
      </c>
      <c r="Q1058" t="s">
        <v>337</v>
      </c>
      <c r="R1058" t="s">
        <v>299</v>
      </c>
      <c r="S1058" t="s">
        <v>295</v>
      </c>
      <c r="T1058" t="s">
        <v>106</v>
      </c>
    </row>
    <row r="1059" spans="1:20" x14ac:dyDescent="0.25">
      <c r="A1059">
        <v>9</v>
      </c>
      <c r="B1059">
        <v>181</v>
      </c>
      <c r="C1059" t="str">
        <f t="shared" si="116"/>
        <v>36</v>
      </c>
      <c r="D1059">
        <v>6219</v>
      </c>
      <c r="E1059" t="str">
        <f>"3F"</f>
        <v>3F</v>
      </c>
      <c r="F1059" t="str">
        <f>"041"</f>
        <v>041</v>
      </c>
      <c r="G1059">
        <v>9</v>
      </c>
      <c r="H1059" t="str">
        <f t="shared" si="117"/>
        <v>91</v>
      </c>
      <c r="I1059" t="str">
        <f>"0"</f>
        <v>0</v>
      </c>
      <c r="J1059" t="str">
        <f>"41"</f>
        <v>41</v>
      </c>
      <c r="K1059">
        <v>20180921</v>
      </c>
      <c r="L1059" t="str">
        <f>"073847"</f>
        <v>073847</v>
      </c>
      <c r="M1059" t="str">
        <f>"00547"</f>
        <v>00547</v>
      </c>
      <c r="N1059" t="s">
        <v>338</v>
      </c>
      <c r="O1059">
        <v>150</v>
      </c>
      <c r="P1059">
        <v>20180920</v>
      </c>
      <c r="Q1059" t="s">
        <v>339</v>
      </c>
      <c r="R1059" t="s">
        <v>340</v>
      </c>
      <c r="S1059" t="s">
        <v>295</v>
      </c>
      <c r="T1059" t="s">
        <v>106</v>
      </c>
    </row>
    <row r="1060" spans="1:20" x14ac:dyDescent="0.25">
      <c r="A1060">
        <v>9</v>
      </c>
      <c r="B1060">
        <v>181</v>
      </c>
      <c r="C1060" t="str">
        <f t="shared" si="116"/>
        <v>36</v>
      </c>
      <c r="D1060">
        <v>6412</v>
      </c>
      <c r="E1060" t="str">
        <f>"3F"</f>
        <v>3F</v>
      </c>
      <c r="F1060" t="str">
        <f>"001"</f>
        <v>001</v>
      </c>
      <c r="G1060">
        <v>9</v>
      </c>
      <c r="H1060" t="str">
        <f t="shared" si="117"/>
        <v>91</v>
      </c>
      <c r="I1060" t="str">
        <f>"1"</f>
        <v>1</v>
      </c>
      <c r="J1060" t="str">
        <f>"39"</f>
        <v>39</v>
      </c>
      <c r="K1060">
        <v>20180921</v>
      </c>
      <c r="L1060" t="str">
        <f>"073849"</f>
        <v>073849</v>
      </c>
      <c r="M1060" t="str">
        <f>"25872"</f>
        <v>25872</v>
      </c>
      <c r="N1060" t="s">
        <v>341</v>
      </c>
      <c r="O1060">
        <v>292.5</v>
      </c>
      <c r="P1060">
        <v>20180920</v>
      </c>
      <c r="Q1060" t="s">
        <v>342</v>
      </c>
      <c r="R1060" t="s">
        <v>343</v>
      </c>
      <c r="S1060" t="s">
        <v>295</v>
      </c>
      <c r="T1060" t="s">
        <v>301</v>
      </c>
    </row>
    <row r="1061" spans="1:20" x14ac:dyDescent="0.25">
      <c r="A1061">
        <v>9</v>
      </c>
      <c r="B1061">
        <v>181</v>
      </c>
      <c r="C1061" t="str">
        <f>"00"</f>
        <v>00</v>
      </c>
      <c r="D1061">
        <v>2110</v>
      </c>
      <c r="E1061" t="str">
        <f>"18"</f>
        <v>18</v>
      </c>
      <c r="F1061" t="str">
        <f>"000"</f>
        <v>000</v>
      </c>
      <c r="G1061">
        <v>9</v>
      </c>
      <c r="H1061" t="str">
        <f>"00"</f>
        <v>00</v>
      </c>
      <c r="I1061" t="str">
        <f>"0"</f>
        <v>0</v>
      </c>
      <c r="J1061" t="str">
        <f>"00"</f>
        <v>00</v>
      </c>
      <c r="K1061">
        <v>20180921</v>
      </c>
      <c r="L1061" t="str">
        <f>"073852"</f>
        <v>073852</v>
      </c>
      <c r="M1061" t="str">
        <f>"00520"</f>
        <v>00520</v>
      </c>
      <c r="N1061" t="s">
        <v>344</v>
      </c>
      <c r="O1061">
        <v>350</v>
      </c>
      <c r="P1061">
        <v>20180920</v>
      </c>
      <c r="Q1061" t="s">
        <v>322</v>
      </c>
      <c r="R1061" t="s">
        <v>345</v>
      </c>
      <c r="S1061" t="s">
        <v>295</v>
      </c>
      <c r="T1061" t="s">
        <v>296</v>
      </c>
    </row>
    <row r="1062" spans="1:20" x14ac:dyDescent="0.25">
      <c r="A1062">
        <v>9</v>
      </c>
      <c r="B1062">
        <v>181</v>
      </c>
      <c r="C1062" t="str">
        <f t="shared" ref="C1062:C1069" si="118">"36"</f>
        <v>36</v>
      </c>
      <c r="D1062">
        <v>6219</v>
      </c>
      <c r="E1062" t="str">
        <f>"3F"</f>
        <v>3F</v>
      </c>
      <c r="F1062" t="str">
        <f>"001"</f>
        <v>001</v>
      </c>
      <c r="G1062">
        <v>9</v>
      </c>
      <c r="H1062" t="str">
        <f t="shared" ref="H1062:H1069" si="119">"91"</f>
        <v>91</v>
      </c>
      <c r="I1062" t="str">
        <f>"0"</f>
        <v>0</v>
      </c>
      <c r="J1062" t="str">
        <f>"39"</f>
        <v>39</v>
      </c>
      <c r="K1062">
        <v>20180921</v>
      </c>
      <c r="L1062" t="str">
        <f>"073861"</f>
        <v>073861</v>
      </c>
      <c r="M1062" t="str">
        <f>"29636"</f>
        <v>29636</v>
      </c>
      <c r="N1062" t="s">
        <v>346</v>
      </c>
      <c r="O1062">
        <v>110</v>
      </c>
      <c r="P1062">
        <v>20180920</v>
      </c>
      <c r="Q1062" t="s">
        <v>333</v>
      </c>
      <c r="R1062" t="s">
        <v>294</v>
      </c>
      <c r="S1062" t="s">
        <v>295</v>
      </c>
      <c r="T1062" t="s">
        <v>301</v>
      </c>
    </row>
    <row r="1063" spans="1:20" x14ac:dyDescent="0.25">
      <c r="A1063">
        <v>9</v>
      </c>
      <c r="B1063">
        <v>181</v>
      </c>
      <c r="C1063" t="str">
        <f t="shared" si="118"/>
        <v>36</v>
      </c>
      <c r="D1063">
        <v>6219</v>
      </c>
      <c r="E1063" t="str">
        <f>"3F"</f>
        <v>3F</v>
      </c>
      <c r="F1063" t="str">
        <f>"001"</f>
        <v>001</v>
      </c>
      <c r="G1063">
        <v>9</v>
      </c>
      <c r="H1063" t="str">
        <f t="shared" si="119"/>
        <v>91</v>
      </c>
      <c r="I1063" t="str">
        <f>"1"</f>
        <v>1</v>
      </c>
      <c r="J1063" t="str">
        <f>"39"</f>
        <v>39</v>
      </c>
      <c r="K1063">
        <v>20180921</v>
      </c>
      <c r="L1063" t="str">
        <f>"073862"</f>
        <v>073862</v>
      </c>
      <c r="M1063" t="str">
        <f>"30118"</f>
        <v>30118</v>
      </c>
      <c r="N1063" t="s">
        <v>347</v>
      </c>
      <c r="O1063">
        <v>128</v>
      </c>
      <c r="P1063">
        <v>20180920</v>
      </c>
      <c r="Q1063" t="s">
        <v>327</v>
      </c>
      <c r="R1063" t="s">
        <v>294</v>
      </c>
      <c r="S1063" t="s">
        <v>295</v>
      </c>
      <c r="T1063" t="s">
        <v>301</v>
      </c>
    </row>
    <row r="1064" spans="1:20" x14ac:dyDescent="0.25">
      <c r="A1064">
        <v>9</v>
      </c>
      <c r="B1064">
        <v>181</v>
      </c>
      <c r="C1064" t="str">
        <f t="shared" si="118"/>
        <v>36</v>
      </c>
      <c r="D1064">
        <v>6219</v>
      </c>
      <c r="E1064" t="str">
        <f>"3F"</f>
        <v>3F</v>
      </c>
      <c r="F1064" t="str">
        <f>"001"</f>
        <v>001</v>
      </c>
      <c r="G1064">
        <v>9</v>
      </c>
      <c r="H1064" t="str">
        <f t="shared" si="119"/>
        <v>91</v>
      </c>
      <c r="I1064" t="str">
        <f>"0"</f>
        <v>0</v>
      </c>
      <c r="J1064" t="str">
        <f>"39"</f>
        <v>39</v>
      </c>
      <c r="K1064">
        <v>20180921</v>
      </c>
      <c r="L1064" t="str">
        <f>"073867"</f>
        <v>073867</v>
      </c>
      <c r="M1064" t="str">
        <f>"32855"</f>
        <v>32855</v>
      </c>
      <c r="N1064" t="s">
        <v>348</v>
      </c>
      <c r="O1064">
        <v>110</v>
      </c>
      <c r="P1064">
        <v>20180920</v>
      </c>
      <c r="Q1064" t="s">
        <v>333</v>
      </c>
      <c r="R1064" t="s">
        <v>294</v>
      </c>
      <c r="S1064" t="s">
        <v>295</v>
      </c>
      <c r="T1064" t="s">
        <v>301</v>
      </c>
    </row>
    <row r="1065" spans="1:20" x14ac:dyDescent="0.25">
      <c r="A1065">
        <v>9</v>
      </c>
      <c r="B1065">
        <v>181</v>
      </c>
      <c r="C1065" t="str">
        <f t="shared" si="118"/>
        <v>36</v>
      </c>
      <c r="D1065">
        <v>6412</v>
      </c>
      <c r="E1065" t="str">
        <f>"3Y"</f>
        <v>3Y</v>
      </c>
      <c r="F1065" t="str">
        <f>"001"</f>
        <v>001</v>
      </c>
      <c r="G1065">
        <v>9</v>
      </c>
      <c r="H1065" t="str">
        <f t="shared" si="119"/>
        <v>91</v>
      </c>
      <c r="I1065" t="str">
        <f>"1"</f>
        <v>1</v>
      </c>
      <c r="J1065" t="str">
        <f>"39"</f>
        <v>39</v>
      </c>
      <c r="K1065">
        <v>20180921</v>
      </c>
      <c r="L1065" t="str">
        <f>"073868"</f>
        <v>073868</v>
      </c>
      <c r="M1065" t="str">
        <f>"38853"</f>
        <v>38853</v>
      </c>
      <c r="N1065" t="s">
        <v>349</v>
      </c>
      <c r="O1065">
        <v>135</v>
      </c>
      <c r="P1065">
        <v>20180920</v>
      </c>
      <c r="Q1065" t="s">
        <v>350</v>
      </c>
      <c r="R1065" t="s">
        <v>351</v>
      </c>
      <c r="S1065" t="s">
        <v>295</v>
      </c>
      <c r="T1065" t="s">
        <v>301</v>
      </c>
    </row>
    <row r="1066" spans="1:20" x14ac:dyDescent="0.25">
      <c r="A1066">
        <v>9</v>
      </c>
      <c r="B1066">
        <v>181</v>
      </c>
      <c r="C1066" t="str">
        <f t="shared" si="118"/>
        <v>36</v>
      </c>
      <c r="D1066">
        <v>6219</v>
      </c>
      <c r="E1066" t="str">
        <f>"3F"</f>
        <v>3F</v>
      </c>
      <c r="F1066" t="str">
        <f>"041"</f>
        <v>041</v>
      </c>
      <c r="G1066">
        <v>9</v>
      </c>
      <c r="H1066" t="str">
        <f t="shared" si="119"/>
        <v>91</v>
      </c>
      <c r="I1066" t="str">
        <f t="shared" ref="I1066:I1084" si="120">"0"</f>
        <v>0</v>
      </c>
      <c r="J1066" t="str">
        <f>"41"</f>
        <v>41</v>
      </c>
      <c r="K1066">
        <v>20180921</v>
      </c>
      <c r="L1066" t="str">
        <f>"073869"</f>
        <v>073869</v>
      </c>
      <c r="M1066" t="str">
        <f>"00206"</f>
        <v>00206</v>
      </c>
      <c r="N1066" t="s">
        <v>352</v>
      </c>
      <c r="O1066">
        <v>150</v>
      </c>
      <c r="P1066">
        <v>20180920</v>
      </c>
      <c r="Q1066" t="s">
        <v>339</v>
      </c>
      <c r="R1066" t="s">
        <v>340</v>
      </c>
      <c r="S1066" t="s">
        <v>295</v>
      </c>
      <c r="T1066" t="s">
        <v>106</v>
      </c>
    </row>
    <row r="1067" spans="1:20" x14ac:dyDescent="0.25">
      <c r="A1067">
        <v>9</v>
      </c>
      <c r="B1067">
        <v>181</v>
      </c>
      <c r="C1067" t="str">
        <f t="shared" si="118"/>
        <v>36</v>
      </c>
      <c r="D1067">
        <v>6219</v>
      </c>
      <c r="E1067" t="str">
        <f>"3F"</f>
        <v>3F</v>
      </c>
      <c r="F1067" t="str">
        <f>"001"</f>
        <v>001</v>
      </c>
      <c r="G1067">
        <v>9</v>
      </c>
      <c r="H1067" t="str">
        <f t="shared" si="119"/>
        <v>91</v>
      </c>
      <c r="I1067" t="str">
        <f t="shared" si="120"/>
        <v>0</v>
      </c>
      <c r="J1067" t="str">
        <f>"39"</f>
        <v>39</v>
      </c>
      <c r="K1067">
        <v>20180921</v>
      </c>
      <c r="L1067" t="str">
        <f>"073870"</f>
        <v>073870</v>
      </c>
      <c r="M1067" t="str">
        <f>"34901"</f>
        <v>34901</v>
      </c>
      <c r="N1067" t="s">
        <v>353</v>
      </c>
      <c r="O1067">
        <v>110</v>
      </c>
      <c r="P1067">
        <v>20180920</v>
      </c>
      <c r="Q1067" t="s">
        <v>333</v>
      </c>
      <c r="R1067" t="s">
        <v>294</v>
      </c>
      <c r="S1067" t="s">
        <v>295</v>
      </c>
      <c r="T1067" t="s">
        <v>301</v>
      </c>
    </row>
    <row r="1068" spans="1:20" x14ac:dyDescent="0.25">
      <c r="A1068">
        <v>9</v>
      </c>
      <c r="B1068">
        <v>181</v>
      </c>
      <c r="C1068" t="str">
        <f t="shared" si="118"/>
        <v>36</v>
      </c>
      <c r="D1068">
        <v>6219</v>
      </c>
      <c r="E1068" t="str">
        <f>"3Y"</f>
        <v>3Y</v>
      </c>
      <c r="F1068" t="str">
        <f>"001"</f>
        <v>001</v>
      </c>
      <c r="G1068">
        <v>9</v>
      </c>
      <c r="H1068" t="str">
        <f t="shared" si="119"/>
        <v>91</v>
      </c>
      <c r="I1068" t="str">
        <f t="shared" si="120"/>
        <v>0</v>
      </c>
      <c r="J1068" t="str">
        <f>"39"</f>
        <v>39</v>
      </c>
      <c r="K1068">
        <v>20180921</v>
      </c>
      <c r="L1068" t="str">
        <f>"073874"</f>
        <v>073874</v>
      </c>
      <c r="M1068" t="str">
        <f>"39405"</f>
        <v>39405</v>
      </c>
      <c r="N1068" t="s">
        <v>354</v>
      </c>
      <c r="O1068">
        <v>100</v>
      </c>
      <c r="P1068">
        <v>20180920</v>
      </c>
      <c r="Q1068" t="s">
        <v>330</v>
      </c>
      <c r="R1068" t="s">
        <v>331</v>
      </c>
      <c r="S1068" t="s">
        <v>295</v>
      </c>
      <c r="T1068" t="s">
        <v>301</v>
      </c>
    </row>
    <row r="1069" spans="1:20" x14ac:dyDescent="0.25">
      <c r="A1069">
        <v>9</v>
      </c>
      <c r="B1069">
        <v>181</v>
      </c>
      <c r="C1069" t="str">
        <f t="shared" si="118"/>
        <v>36</v>
      </c>
      <c r="D1069">
        <v>6219</v>
      </c>
      <c r="E1069" t="str">
        <f>"3Y"</f>
        <v>3Y</v>
      </c>
      <c r="F1069" t="str">
        <f>"041"</f>
        <v>041</v>
      </c>
      <c r="G1069">
        <v>9</v>
      </c>
      <c r="H1069" t="str">
        <f t="shared" si="119"/>
        <v>91</v>
      </c>
      <c r="I1069" t="str">
        <f t="shared" si="120"/>
        <v>0</v>
      </c>
      <c r="J1069" t="str">
        <f>"41"</f>
        <v>41</v>
      </c>
      <c r="K1069">
        <v>20180921</v>
      </c>
      <c r="L1069" t="str">
        <f>"073874"</f>
        <v>073874</v>
      </c>
      <c r="M1069" t="str">
        <f>"39405"</f>
        <v>39405</v>
      </c>
      <c r="N1069" t="s">
        <v>354</v>
      </c>
      <c r="O1069">
        <v>85</v>
      </c>
      <c r="P1069">
        <v>20180920</v>
      </c>
      <c r="Q1069" t="s">
        <v>355</v>
      </c>
      <c r="R1069" t="s">
        <v>356</v>
      </c>
      <c r="S1069" t="s">
        <v>295</v>
      </c>
      <c r="T1069" t="s">
        <v>106</v>
      </c>
    </row>
    <row r="1070" spans="1:20" x14ac:dyDescent="0.25">
      <c r="A1070">
        <v>9</v>
      </c>
      <c r="B1070">
        <v>181</v>
      </c>
      <c r="C1070" t="str">
        <f>"00"</f>
        <v>00</v>
      </c>
      <c r="D1070">
        <v>2110</v>
      </c>
      <c r="E1070" t="str">
        <f>"18"</f>
        <v>18</v>
      </c>
      <c r="F1070" t="str">
        <f>"000"</f>
        <v>000</v>
      </c>
      <c r="G1070">
        <v>9</v>
      </c>
      <c r="H1070" t="str">
        <f>"00"</f>
        <v>00</v>
      </c>
      <c r="I1070" t="str">
        <f t="shared" si="120"/>
        <v>0</v>
      </c>
      <c r="J1070" t="str">
        <f>"00"</f>
        <v>00</v>
      </c>
      <c r="K1070">
        <v>20180921</v>
      </c>
      <c r="L1070" t="str">
        <f>"073875"</f>
        <v>073875</v>
      </c>
      <c r="M1070" t="str">
        <f>"39420"</f>
        <v>39420</v>
      </c>
      <c r="N1070" t="s">
        <v>357</v>
      </c>
      <c r="O1070">
        <v>65</v>
      </c>
      <c r="P1070">
        <v>20180920</v>
      </c>
      <c r="Q1070" t="s">
        <v>322</v>
      </c>
      <c r="R1070" t="s">
        <v>325</v>
      </c>
      <c r="S1070" t="s">
        <v>295</v>
      </c>
      <c r="T1070" t="s">
        <v>296</v>
      </c>
    </row>
    <row r="1071" spans="1:20" x14ac:dyDescent="0.25">
      <c r="A1071">
        <v>9</v>
      </c>
      <c r="B1071">
        <v>181</v>
      </c>
      <c r="C1071" t="str">
        <f>"36"</f>
        <v>36</v>
      </c>
      <c r="D1071">
        <v>6219</v>
      </c>
      <c r="E1071" t="str">
        <f>"3F"</f>
        <v>3F</v>
      </c>
      <c r="F1071" t="str">
        <f>"001"</f>
        <v>001</v>
      </c>
      <c r="G1071">
        <v>9</v>
      </c>
      <c r="H1071" t="str">
        <f>"91"</f>
        <v>91</v>
      </c>
      <c r="I1071" t="str">
        <f t="shared" si="120"/>
        <v>0</v>
      </c>
      <c r="J1071" t="str">
        <f>"39"</f>
        <v>39</v>
      </c>
      <c r="K1071">
        <v>20180921</v>
      </c>
      <c r="L1071" t="str">
        <f>"073875"</f>
        <v>073875</v>
      </c>
      <c r="M1071" t="str">
        <f>"39420"</f>
        <v>39420</v>
      </c>
      <c r="N1071" t="s">
        <v>357</v>
      </c>
      <c r="O1071">
        <v>110</v>
      </c>
      <c r="P1071">
        <v>20180920</v>
      </c>
      <c r="Q1071" t="s">
        <v>333</v>
      </c>
      <c r="R1071" t="s">
        <v>294</v>
      </c>
      <c r="S1071" t="s">
        <v>295</v>
      </c>
      <c r="T1071" t="s">
        <v>301</v>
      </c>
    </row>
    <row r="1072" spans="1:20" x14ac:dyDescent="0.25">
      <c r="A1072">
        <v>9</v>
      </c>
      <c r="B1072">
        <v>181</v>
      </c>
      <c r="C1072" t="str">
        <f>"00"</f>
        <v>00</v>
      </c>
      <c r="D1072">
        <v>2110</v>
      </c>
      <c r="E1072" t="str">
        <f>"18"</f>
        <v>18</v>
      </c>
      <c r="F1072" t="str">
        <f>"000"</f>
        <v>000</v>
      </c>
      <c r="G1072">
        <v>9</v>
      </c>
      <c r="H1072" t="str">
        <f>"00"</f>
        <v>00</v>
      </c>
      <c r="I1072" t="str">
        <f t="shared" si="120"/>
        <v>0</v>
      </c>
      <c r="J1072" t="str">
        <f>"00"</f>
        <v>00</v>
      </c>
      <c r="K1072">
        <v>20180921</v>
      </c>
      <c r="L1072" t="str">
        <f>"073876"</f>
        <v>073876</v>
      </c>
      <c r="M1072" t="str">
        <f>"39929"</f>
        <v>39929</v>
      </c>
      <c r="N1072" t="s">
        <v>358</v>
      </c>
      <c r="O1072">
        <v>105</v>
      </c>
      <c r="P1072">
        <v>20180920</v>
      </c>
      <c r="Q1072" t="s">
        <v>322</v>
      </c>
      <c r="R1072" t="s">
        <v>323</v>
      </c>
      <c r="S1072" t="s">
        <v>295</v>
      </c>
      <c r="T1072" t="s">
        <v>296</v>
      </c>
    </row>
    <row r="1073" spans="1:20" x14ac:dyDescent="0.25">
      <c r="A1073">
        <v>9</v>
      </c>
      <c r="B1073">
        <v>181</v>
      </c>
      <c r="C1073" t="str">
        <f>"00"</f>
        <v>00</v>
      </c>
      <c r="D1073">
        <v>2110</v>
      </c>
      <c r="E1073" t="str">
        <f>"18"</f>
        <v>18</v>
      </c>
      <c r="F1073" t="str">
        <f>"000"</f>
        <v>000</v>
      </c>
      <c r="G1073">
        <v>9</v>
      </c>
      <c r="H1073" t="str">
        <f>"00"</f>
        <v>00</v>
      </c>
      <c r="I1073" t="str">
        <f t="shared" si="120"/>
        <v>0</v>
      </c>
      <c r="J1073" t="str">
        <f>"00"</f>
        <v>00</v>
      </c>
      <c r="K1073">
        <v>20180921</v>
      </c>
      <c r="L1073" t="str">
        <f>"073879"</f>
        <v>073879</v>
      </c>
      <c r="M1073" t="str">
        <f>"00110"</f>
        <v>00110</v>
      </c>
      <c r="N1073" t="s">
        <v>359</v>
      </c>
      <c r="O1073">
        <v>105</v>
      </c>
      <c r="P1073">
        <v>20180920</v>
      </c>
      <c r="Q1073" t="s">
        <v>322</v>
      </c>
      <c r="R1073" t="s">
        <v>323</v>
      </c>
      <c r="S1073" t="s">
        <v>295</v>
      </c>
      <c r="T1073" t="s">
        <v>296</v>
      </c>
    </row>
    <row r="1074" spans="1:20" x14ac:dyDescent="0.25">
      <c r="A1074">
        <v>9</v>
      </c>
      <c r="B1074">
        <v>181</v>
      </c>
      <c r="C1074" t="str">
        <f>"00"</f>
        <v>00</v>
      </c>
      <c r="D1074">
        <v>2110</v>
      </c>
      <c r="E1074" t="str">
        <f>"18"</f>
        <v>18</v>
      </c>
      <c r="F1074" t="str">
        <f>"000"</f>
        <v>000</v>
      </c>
      <c r="G1074">
        <v>9</v>
      </c>
      <c r="H1074" t="str">
        <f>"00"</f>
        <v>00</v>
      </c>
      <c r="I1074" t="str">
        <f t="shared" si="120"/>
        <v>0</v>
      </c>
      <c r="J1074" t="str">
        <f>"00"</f>
        <v>00</v>
      </c>
      <c r="K1074">
        <v>20180921</v>
      </c>
      <c r="L1074" t="str">
        <f>"073882"</f>
        <v>073882</v>
      </c>
      <c r="M1074" t="str">
        <f>"00557"</f>
        <v>00557</v>
      </c>
      <c r="N1074" t="s">
        <v>360</v>
      </c>
      <c r="O1074">
        <v>105</v>
      </c>
      <c r="P1074">
        <v>20180920</v>
      </c>
      <c r="Q1074" t="s">
        <v>322</v>
      </c>
      <c r="R1074" t="s">
        <v>323</v>
      </c>
      <c r="S1074" t="s">
        <v>295</v>
      </c>
      <c r="T1074" t="s">
        <v>296</v>
      </c>
    </row>
    <row r="1075" spans="1:20" x14ac:dyDescent="0.25">
      <c r="A1075">
        <v>9</v>
      </c>
      <c r="B1075">
        <v>181</v>
      </c>
      <c r="C1075" t="str">
        <f>"36"</f>
        <v>36</v>
      </c>
      <c r="D1075">
        <v>6219</v>
      </c>
      <c r="E1075" t="str">
        <f>"3F"</f>
        <v>3F</v>
      </c>
      <c r="F1075" t="str">
        <f>"001"</f>
        <v>001</v>
      </c>
      <c r="G1075">
        <v>9</v>
      </c>
      <c r="H1075" t="str">
        <f>"91"</f>
        <v>91</v>
      </c>
      <c r="I1075" t="str">
        <f t="shared" si="120"/>
        <v>0</v>
      </c>
      <c r="J1075" t="str">
        <f>"39"</f>
        <v>39</v>
      </c>
      <c r="K1075">
        <v>20180921</v>
      </c>
      <c r="L1075" t="str">
        <f>"073885"</f>
        <v>073885</v>
      </c>
      <c r="M1075" t="str">
        <f>"48931"</f>
        <v>48931</v>
      </c>
      <c r="N1075" t="s">
        <v>361</v>
      </c>
      <c r="O1075">
        <v>110</v>
      </c>
      <c r="P1075">
        <v>20180920</v>
      </c>
      <c r="Q1075" t="s">
        <v>333</v>
      </c>
      <c r="R1075" t="s">
        <v>294</v>
      </c>
      <c r="S1075" t="s">
        <v>295</v>
      </c>
      <c r="T1075" t="s">
        <v>301</v>
      </c>
    </row>
    <row r="1076" spans="1:20" x14ac:dyDescent="0.25">
      <c r="A1076">
        <v>9</v>
      </c>
      <c r="B1076">
        <v>181</v>
      </c>
      <c r="C1076" t="str">
        <f>"36"</f>
        <v>36</v>
      </c>
      <c r="D1076">
        <v>6219</v>
      </c>
      <c r="E1076" t="str">
        <f>"3F"</f>
        <v>3F</v>
      </c>
      <c r="F1076" t="str">
        <f>"001"</f>
        <v>001</v>
      </c>
      <c r="G1076">
        <v>9</v>
      </c>
      <c r="H1076" t="str">
        <f>"91"</f>
        <v>91</v>
      </c>
      <c r="I1076" t="str">
        <f t="shared" si="120"/>
        <v>0</v>
      </c>
      <c r="J1076" t="str">
        <f>"39"</f>
        <v>39</v>
      </c>
      <c r="K1076">
        <v>20180921</v>
      </c>
      <c r="L1076" t="str">
        <f>"073886"</f>
        <v>073886</v>
      </c>
      <c r="M1076" t="str">
        <f>"48942"</f>
        <v>48942</v>
      </c>
      <c r="N1076" t="s">
        <v>362</v>
      </c>
      <c r="O1076">
        <v>105</v>
      </c>
      <c r="P1076">
        <v>20180920</v>
      </c>
      <c r="Q1076" t="s">
        <v>333</v>
      </c>
      <c r="R1076" t="s">
        <v>363</v>
      </c>
      <c r="S1076" t="s">
        <v>295</v>
      </c>
      <c r="T1076" t="s">
        <v>301</v>
      </c>
    </row>
    <row r="1077" spans="1:20" x14ac:dyDescent="0.25">
      <c r="A1077">
        <v>9</v>
      </c>
      <c r="B1077">
        <v>181</v>
      </c>
      <c r="C1077" t="str">
        <f>"36"</f>
        <v>36</v>
      </c>
      <c r="D1077">
        <v>6219</v>
      </c>
      <c r="E1077" t="str">
        <f>"3Y"</f>
        <v>3Y</v>
      </c>
      <c r="F1077" t="str">
        <f>"041"</f>
        <v>041</v>
      </c>
      <c r="G1077">
        <v>9</v>
      </c>
      <c r="H1077" t="str">
        <f>"91"</f>
        <v>91</v>
      </c>
      <c r="I1077" t="str">
        <f t="shared" si="120"/>
        <v>0</v>
      </c>
      <c r="J1077" t="str">
        <f>"41"</f>
        <v>41</v>
      </c>
      <c r="K1077">
        <v>20180921</v>
      </c>
      <c r="L1077" t="str">
        <f>"073888"</f>
        <v>073888</v>
      </c>
      <c r="M1077" t="str">
        <f>"49189"</f>
        <v>49189</v>
      </c>
      <c r="N1077" t="s">
        <v>364</v>
      </c>
      <c r="O1077">
        <v>85</v>
      </c>
      <c r="P1077">
        <v>20180920</v>
      </c>
      <c r="Q1077" t="s">
        <v>355</v>
      </c>
      <c r="R1077" t="s">
        <v>356</v>
      </c>
      <c r="S1077" t="s">
        <v>295</v>
      </c>
      <c r="T1077" t="s">
        <v>106</v>
      </c>
    </row>
    <row r="1078" spans="1:20" x14ac:dyDescent="0.25">
      <c r="A1078">
        <v>9</v>
      </c>
      <c r="B1078">
        <v>181</v>
      </c>
      <c r="C1078" t="str">
        <f>"36"</f>
        <v>36</v>
      </c>
      <c r="D1078">
        <v>6219</v>
      </c>
      <c r="E1078" t="str">
        <f>"3Y"</f>
        <v>3Y</v>
      </c>
      <c r="F1078" t="str">
        <f>"001"</f>
        <v>001</v>
      </c>
      <c r="G1078">
        <v>9</v>
      </c>
      <c r="H1078" t="str">
        <f>"91"</f>
        <v>91</v>
      </c>
      <c r="I1078" t="str">
        <f t="shared" si="120"/>
        <v>0</v>
      </c>
      <c r="J1078" t="str">
        <f>"39"</f>
        <v>39</v>
      </c>
      <c r="K1078">
        <v>20180921</v>
      </c>
      <c r="L1078" t="str">
        <f>"073889"</f>
        <v>073889</v>
      </c>
      <c r="M1078" t="str">
        <f>"00089"</f>
        <v>00089</v>
      </c>
      <c r="N1078" t="s">
        <v>365</v>
      </c>
      <c r="O1078">
        <v>100</v>
      </c>
      <c r="P1078">
        <v>20180920</v>
      </c>
      <c r="Q1078" t="s">
        <v>330</v>
      </c>
      <c r="R1078" t="s">
        <v>335</v>
      </c>
      <c r="S1078" t="s">
        <v>295</v>
      </c>
      <c r="T1078" t="s">
        <v>301</v>
      </c>
    </row>
    <row r="1079" spans="1:20" x14ac:dyDescent="0.25">
      <c r="A1079">
        <v>9</v>
      </c>
      <c r="B1079">
        <v>181</v>
      </c>
      <c r="C1079" t="str">
        <f>"36"</f>
        <v>36</v>
      </c>
      <c r="D1079">
        <v>6219</v>
      </c>
      <c r="E1079" t="str">
        <f>"3F"</f>
        <v>3F</v>
      </c>
      <c r="F1079" t="str">
        <f>"001"</f>
        <v>001</v>
      </c>
      <c r="G1079">
        <v>9</v>
      </c>
      <c r="H1079" t="str">
        <f>"91"</f>
        <v>91</v>
      </c>
      <c r="I1079" t="str">
        <f t="shared" si="120"/>
        <v>0</v>
      </c>
      <c r="J1079" t="str">
        <f>"39"</f>
        <v>39</v>
      </c>
      <c r="K1079">
        <v>20180921</v>
      </c>
      <c r="L1079" t="str">
        <f>"073894"</f>
        <v>073894</v>
      </c>
      <c r="M1079" t="str">
        <f>"54820"</f>
        <v>54820</v>
      </c>
      <c r="N1079" t="s">
        <v>366</v>
      </c>
      <c r="O1079">
        <v>105</v>
      </c>
      <c r="P1079">
        <v>20180920</v>
      </c>
      <c r="Q1079" t="s">
        <v>333</v>
      </c>
      <c r="R1079" t="s">
        <v>363</v>
      </c>
      <c r="S1079" t="s">
        <v>295</v>
      </c>
      <c r="T1079" t="s">
        <v>301</v>
      </c>
    </row>
    <row r="1080" spans="1:20" x14ac:dyDescent="0.25">
      <c r="A1080">
        <v>9</v>
      </c>
      <c r="B1080">
        <v>181</v>
      </c>
      <c r="C1080" t="str">
        <f>"00"</f>
        <v>00</v>
      </c>
      <c r="D1080">
        <v>2110</v>
      </c>
      <c r="E1080" t="str">
        <f>"18"</f>
        <v>18</v>
      </c>
      <c r="F1080" t="str">
        <f>"000"</f>
        <v>000</v>
      </c>
      <c r="G1080">
        <v>9</v>
      </c>
      <c r="H1080" t="str">
        <f>"00"</f>
        <v>00</v>
      </c>
      <c r="I1080" t="str">
        <f t="shared" si="120"/>
        <v>0</v>
      </c>
      <c r="J1080" t="str">
        <f>"00"</f>
        <v>00</v>
      </c>
      <c r="K1080">
        <v>20180921</v>
      </c>
      <c r="L1080" t="str">
        <f>"073898"</f>
        <v>073898</v>
      </c>
      <c r="M1080" t="str">
        <f>"56569"</f>
        <v>56569</v>
      </c>
      <c r="N1080" t="s">
        <v>367</v>
      </c>
      <c r="O1080">
        <v>105</v>
      </c>
      <c r="P1080">
        <v>20180921</v>
      </c>
      <c r="Q1080" t="s">
        <v>322</v>
      </c>
      <c r="R1080" t="s">
        <v>323</v>
      </c>
      <c r="S1080" t="s">
        <v>295</v>
      </c>
      <c r="T1080" t="s">
        <v>296</v>
      </c>
    </row>
    <row r="1081" spans="1:20" x14ac:dyDescent="0.25">
      <c r="A1081">
        <v>9</v>
      </c>
      <c r="B1081">
        <v>181</v>
      </c>
      <c r="C1081" t="str">
        <f>"36"</f>
        <v>36</v>
      </c>
      <c r="D1081">
        <v>6219</v>
      </c>
      <c r="E1081" t="str">
        <f>"3Y"</f>
        <v>3Y</v>
      </c>
      <c r="F1081" t="str">
        <f>"001"</f>
        <v>001</v>
      </c>
      <c r="G1081">
        <v>9</v>
      </c>
      <c r="H1081" t="str">
        <f>"91"</f>
        <v>91</v>
      </c>
      <c r="I1081" t="str">
        <f t="shared" si="120"/>
        <v>0</v>
      </c>
      <c r="J1081" t="str">
        <f>"39"</f>
        <v>39</v>
      </c>
      <c r="K1081">
        <v>20180921</v>
      </c>
      <c r="L1081" t="str">
        <f>"073898"</f>
        <v>073898</v>
      </c>
      <c r="M1081" t="str">
        <f>"56569"</f>
        <v>56569</v>
      </c>
      <c r="N1081" t="s">
        <v>367</v>
      </c>
      <c r="O1081">
        <v>115</v>
      </c>
      <c r="P1081">
        <v>20180921</v>
      </c>
      <c r="Q1081" t="s">
        <v>330</v>
      </c>
      <c r="R1081" t="s">
        <v>335</v>
      </c>
      <c r="S1081" t="s">
        <v>295</v>
      </c>
      <c r="T1081" t="s">
        <v>301</v>
      </c>
    </row>
    <row r="1082" spans="1:20" x14ac:dyDescent="0.25">
      <c r="A1082">
        <v>9</v>
      </c>
      <c r="B1082">
        <v>181</v>
      </c>
      <c r="C1082" t="str">
        <f>"36"</f>
        <v>36</v>
      </c>
      <c r="D1082">
        <v>6396</v>
      </c>
      <c r="E1082" t="str">
        <f>"30"</f>
        <v>30</v>
      </c>
      <c r="F1082" t="str">
        <f>"001"</f>
        <v>001</v>
      </c>
      <c r="G1082">
        <v>9</v>
      </c>
      <c r="H1082" t="str">
        <f>"91"</f>
        <v>91</v>
      </c>
      <c r="I1082" t="str">
        <f t="shared" si="120"/>
        <v>0</v>
      </c>
      <c r="J1082" t="str">
        <f>"39"</f>
        <v>39</v>
      </c>
      <c r="K1082">
        <v>20180921</v>
      </c>
      <c r="L1082" t="str">
        <f>"073899"</f>
        <v>073899</v>
      </c>
      <c r="M1082" t="str">
        <f>"58991"</f>
        <v>58991</v>
      </c>
      <c r="N1082" t="s">
        <v>368</v>
      </c>
      <c r="O1082">
        <v>180</v>
      </c>
      <c r="P1082">
        <v>20180921</v>
      </c>
      <c r="Q1082" t="s">
        <v>319</v>
      </c>
      <c r="R1082" t="s">
        <v>369</v>
      </c>
      <c r="S1082" t="s">
        <v>295</v>
      </c>
      <c r="T1082" t="s">
        <v>301</v>
      </c>
    </row>
    <row r="1083" spans="1:20" x14ac:dyDescent="0.25">
      <c r="A1083">
        <v>9</v>
      </c>
      <c r="B1083">
        <v>181</v>
      </c>
      <c r="C1083" t="str">
        <f>"36"</f>
        <v>36</v>
      </c>
      <c r="D1083">
        <v>6219</v>
      </c>
      <c r="E1083" t="str">
        <f>"3Y"</f>
        <v>3Y</v>
      </c>
      <c r="F1083" t="str">
        <f>"041"</f>
        <v>041</v>
      </c>
      <c r="G1083">
        <v>9</v>
      </c>
      <c r="H1083" t="str">
        <f>"91"</f>
        <v>91</v>
      </c>
      <c r="I1083" t="str">
        <f t="shared" si="120"/>
        <v>0</v>
      </c>
      <c r="J1083" t="str">
        <f>"41"</f>
        <v>41</v>
      </c>
      <c r="K1083">
        <v>20180921</v>
      </c>
      <c r="L1083" t="str">
        <f>"073900"</f>
        <v>073900</v>
      </c>
      <c r="M1083" t="str">
        <f>"00535"</f>
        <v>00535</v>
      </c>
      <c r="N1083" t="s">
        <v>370</v>
      </c>
      <c r="O1083">
        <v>85</v>
      </c>
      <c r="P1083">
        <v>20180921</v>
      </c>
      <c r="Q1083" t="s">
        <v>355</v>
      </c>
      <c r="R1083" t="s">
        <v>356</v>
      </c>
      <c r="S1083" t="s">
        <v>295</v>
      </c>
      <c r="T1083" t="s">
        <v>106</v>
      </c>
    </row>
    <row r="1084" spans="1:20" x14ac:dyDescent="0.25">
      <c r="A1084">
        <v>9</v>
      </c>
      <c r="B1084">
        <v>181</v>
      </c>
      <c r="C1084" t="str">
        <f>"00"</f>
        <v>00</v>
      </c>
      <c r="D1084">
        <v>2110</v>
      </c>
      <c r="E1084" t="str">
        <f>"18"</f>
        <v>18</v>
      </c>
      <c r="F1084" t="str">
        <f>"000"</f>
        <v>000</v>
      </c>
      <c r="G1084">
        <v>9</v>
      </c>
      <c r="H1084" t="str">
        <f>"00"</f>
        <v>00</v>
      </c>
      <c r="I1084" t="str">
        <f t="shared" si="120"/>
        <v>0</v>
      </c>
      <c r="J1084" t="str">
        <f>"00"</f>
        <v>00</v>
      </c>
      <c r="K1084">
        <v>20180921</v>
      </c>
      <c r="L1084" t="str">
        <f>"073901"</f>
        <v>073901</v>
      </c>
      <c r="M1084" t="str">
        <f>"57974"</f>
        <v>57974</v>
      </c>
      <c r="N1084" t="s">
        <v>371</v>
      </c>
      <c r="O1084">
        <v>128</v>
      </c>
      <c r="P1084">
        <v>20180921</v>
      </c>
      <c r="Q1084" t="s">
        <v>322</v>
      </c>
      <c r="R1084" t="s">
        <v>323</v>
      </c>
      <c r="S1084" t="s">
        <v>295</v>
      </c>
      <c r="T1084" t="s">
        <v>296</v>
      </c>
    </row>
    <row r="1085" spans="1:20" x14ac:dyDescent="0.25">
      <c r="A1085">
        <v>9</v>
      </c>
      <c r="B1085">
        <v>181</v>
      </c>
      <c r="C1085" t="str">
        <f>"36"</f>
        <v>36</v>
      </c>
      <c r="D1085">
        <v>6219</v>
      </c>
      <c r="E1085" t="str">
        <f>"3F"</f>
        <v>3F</v>
      </c>
      <c r="F1085" t="str">
        <f>"001"</f>
        <v>001</v>
      </c>
      <c r="G1085">
        <v>9</v>
      </c>
      <c r="H1085" t="str">
        <f>"91"</f>
        <v>91</v>
      </c>
      <c r="I1085" t="str">
        <f>"1"</f>
        <v>1</v>
      </c>
      <c r="J1085" t="str">
        <f>"39"</f>
        <v>39</v>
      </c>
      <c r="K1085">
        <v>20180921</v>
      </c>
      <c r="L1085" t="str">
        <f>"073901"</f>
        <v>073901</v>
      </c>
      <c r="M1085" t="str">
        <f>"57974"</f>
        <v>57974</v>
      </c>
      <c r="N1085" t="s">
        <v>371</v>
      </c>
      <c r="O1085">
        <v>128</v>
      </c>
      <c r="P1085">
        <v>20180921</v>
      </c>
      <c r="Q1085" t="s">
        <v>327</v>
      </c>
      <c r="R1085" t="s">
        <v>294</v>
      </c>
      <c r="S1085" t="s">
        <v>295</v>
      </c>
      <c r="T1085" t="s">
        <v>301</v>
      </c>
    </row>
    <row r="1086" spans="1:20" x14ac:dyDescent="0.25">
      <c r="A1086">
        <v>9</v>
      </c>
      <c r="B1086">
        <v>181</v>
      </c>
      <c r="C1086" t="str">
        <f>"36"</f>
        <v>36</v>
      </c>
      <c r="D1086">
        <v>6219</v>
      </c>
      <c r="E1086" t="str">
        <f>"3F"</f>
        <v>3F</v>
      </c>
      <c r="F1086" t="str">
        <f>"041"</f>
        <v>041</v>
      </c>
      <c r="G1086">
        <v>9</v>
      </c>
      <c r="H1086" t="str">
        <f>"91"</f>
        <v>91</v>
      </c>
      <c r="I1086" t="str">
        <f>"0"</f>
        <v>0</v>
      </c>
      <c r="J1086" t="str">
        <f>"41"</f>
        <v>41</v>
      </c>
      <c r="K1086">
        <v>20180921</v>
      </c>
      <c r="L1086" t="str">
        <f>"073902"</f>
        <v>073902</v>
      </c>
      <c r="M1086" t="str">
        <f>"57991"</f>
        <v>57991</v>
      </c>
      <c r="N1086" t="s">
        <v>372</v>
      </c>
      <c r="O1086">
        <v>150</v>
      </c>
      <c r="P1086">
        <v>20180921</v>
      </c>
      <c r="Q1086" t="s">
        <v>339</v>
      </c>
      <c r="R1086" t="s">
        <v>340</v>
      </c>
      <c r="S1086" t="s">
        <v>295</v>
      </c>
      <c r="T1086" t="s">
        <v>106</v>
      </c>
    </row>
    <row r="1087" spans="1:20" x14ac:dyDescent="0.25">
      <c r="A1087">
        <v>9</v>
      </c>
      <c r="B1087">
        <v>181</v>
      </c>
      <c r="C1087" t="str">
        <f>"00"</f>
        <v>00</v>
      </c>
      <c r="D1087">
        <v>2110</v>
      </c>
      <c r="E1087" t="str">
        <f>"18"</f>
        <v>18</v>
      </c>
      <c r="F1087" t="str">
        <f>"000"</f>
        <v>000</v>
      </c>
      <c r="G1087">
        <v>9</v>
      </c>
      <c r="H1087" t="str">
        <f>"00"</f>
        <v>00</v>
      </c>
      <c r="I1087" t="str">
        <f>"0"</f>
        <v>0</v>
      </c>
      <c r="J1087" t="str">
        <f>"00"</f>
        <v>00</v>
      </c>
      <c r="K1087">
        <v>20180921</v>
      </c>
      <c r="L1087" t="str">
        <f>"073910"</f>
        <v>073910</v>
      </c>
      <c r="M1087" t="str">
        <f>"00558"</f>
        <v>00558</v>
      </c>
      <c r="N1087" t="s">
        <v>373</v>
      </c>
      <c r="O1087">
        <v>105</v>
      </c>
      <c r="P1087">
        <v>20180921</v>
      </c>
      <c r="Q1087" t="s">
        <v>322</v>
      </c>
      <c r="R1087" t="s">
        <v>323</v>
      </c>
      <c r="S1087" t="s">
        <v>295</v>
      </c>
      <c r="T1087" t="s">
        <v>296</v>
      </c>
    </row>
    <row r="1088" spans="1:20" x14ac:dyDescent="0.25">
      <c r="A1088">
        <v>9</v>
      </c>
      <c r="B1088">
        <v>181</v>
      </c>
      <c r="C1088" t="str">
        <f>"36"</f>
        <v>36</v>
      </c>
      <c r="D1088">
        <v>6299</v>
      </c>
      <c r="E1088" t="str">
        <f>"3F"</f>
        <v>3F</v>
      </c>
      <c r="F1088" t="str">
        <f>"041"</f>
        <v>041</v>
      </c>
      <c r="G1088">
        <v>9</v>
      </c>
      <c r="H1088" t="str">
        <f>"91"</f>
        <v>91</v>
      </c>
      <c r="I1088" t="str">
        <f>"0"</f>
        <v>0</v>
      </c>
      <c r="J1088" t="str">
        <f>"41"</f>
        <v>41</v>
      </c>
      <c r="K1088">
        <v>20180921</v>
      </c>
      <c r="L1088" t="str">
        <f>"073912"</f>
        <v>073912</v>
      </c>
      <c r="M1088" t="str">
        <f>"00530"</f>
        <v>00530</v>
      </c>
      <c r="N1088" t="s">
        <v>374</v>
      </c>
      <c r="O1088">
        <v>140</v>
      </c>
      <c r="P1088">
        <v>20180921</v>
      </c>
      <c r="Q1088" t="s">
        <v>375</v>
      </c>
      <c r="R1088" t="s">
        <v>340</v>
      </c>
      <c r="S1088" t="s">
        <v>295</v>
      </c>
      <c r="T1088" t="s">
        <v>106</v>
      </c>
    </row>
    <row r="1089" spans="1:20" x14ac:dyDescent="0.25">
      <c r="A1089">
        <v>9</v>
      </c>
      <c r="B1089">
        <v>181</v>
      </c>
      <c r="C1089" t="str">
        <f>"36"</f>
        <v>36</v>
      </c>
      <c r="D1089">
        <v>6299</v>
      </c>
      <c r="E1089" t="str">
        <f>"3F"</f>
        <v>3F</v>
      </c>
      <c r="F1089" t="str">
        <f>"041"</f>
        <v>041</v>
      </c>
      <c r="G1089">
        <v>9</v>
      </c>
      <c r="H1089" t="str">
        <f>"91"</f>
        <v>91</v>
      </c>
      <c r="I1089" t="str">
        <f>"0"</f>
        <v>0</v>
      </c>
      <c r="J1089" t="str">
        <f>"41"</f>
        <v>41</v>
      </c>
      <c r="K1089">
        <v>20180921</v>
      </c>
      <c r="L1089" t="str">
        <f>"073912"</f>
        <v>073912</v>
      </c>
      <c r="M1089" t="str">
        <f>"00530"</f>
        <v>00530</v>
      </c>
      <c r="N1089" t="s">
        <v>374</v>
      </c>
      <c r="O1089">
        <v>140</v>
      </c>
      <c r="P1089">
        <v>20180921</v>
      </c>
      <c r="Q1089" t="s">
        <v>375</v>
      </c>
      <c r="R1089" t="s">
        <v>376</v>
      </c>
      <c r="S1089" t="s">
        <v>295</v>
      </c>
      <c r="T1089" t="s">
        <v>106</v>
      </c>
    </row>
    <row r="1090" spans="1:20" x14ac:dyDescent="0.25">
      <c r="A1090">
        <v>9</v>
      </c>
      <c r="B1090">
        <v>181</v>
      </c>
      <c r="C1090" t="str">
        <f>"00"</f>
        <v>00</v>
      </c>
      <c r="D1090">
        <v>2110</v>
      </c>
      <c r="E1090" t="str">
        <f>"18"</f>
        <v>18</v>
      </c>
      <c r="F1090" t="str">
        <f>"000"</f>
        <v>000</v>
      </c>
      <c r="G1090">
        <v>9</v>
      </c>
      <c r="H1090" t="str">
        <f>"00"</f>
        <v>00</v>
      </c>
      <c r="I1090" t="str">
        <f>"0"</f>
        <v>0</v>
      </c>
      <c r="J1090" t="str">
        <f>"00"</f>
        <v>00</v>
      </c>
      <c r="K1090">
        <v>20180921</v>
      </c>
      <c r="L1090" t="str">
        <f>"073913"</f>
        <v>073913</v>
      </c>
      <c r="M1090" t="str">
        <f>"62290"</f>
        <v>62290</v>
      </c>
      <c r="N1090" t="s">
        <v>377</v>
      </c>
      <c r="O1090">
        <v>105</v>
      </c>
      <c r="P1090">
        <v>20180921</v>
      </c>
      <c r="Q1090" t="s">
        <v>322</v>
      </c>
      <c r="R1090" t="s">
        <v>323</v>
      </c>
      <c r="S1090" t="s">
        <v>295</v>
      </c>
      <c r="T1090" t="s">
        <v>296</v>
      </c>
    </row>
    <row r="1091" spans="1:20" x14ac:dyDescent="0.25">
      <c r="A1091">
        <v>9</v>
      </c>
      <c r="B1091">
        <v>181</v>
      </c>
      <c r="C1091" t="str">
        <f>"36"</f>
        <v>36</v>
      </c>
      <c r="D1091">
        <v>6412</v>
      </c>
      <c r="E1091" t="str">
        <f>"3C"</f>
        <v>3C</v>
      </c>
      <c r="F1091" t="str">
        <f>"041"</f>
        <v>041</v>
      </c>
      <c r="G1091">
        <v>9</v>
      </c>
      <c r="H1091" t="str">
        <f>"91"</f>
        <v>91</v>
      </c>
      <c r="I1091" t="str">
        <f>"2"</f>
        <v>2</v>
      </c>
      <c r="J1091" t="str">
        <f>"41"</f>
        <v>41</v>
      </c>
      <c r="K1091">
        <v>20180921</v>
      </c>
      <c r="L1091" t="str">
        <f>"073915"</f>
        <v>073915</v>
      </c>
      <c r="M1091" t="str">
        <f>"46225"</f>
        <v>46225</v>
      </c>
      <c r="N1091" t="s">
        <v>378</v>
      </c>
      <c r="O1091">
        <v>78</v>
      </c>
      <c r="P1091">
        <v>20180921</v>
      </c>
      <c r="Q1091" t="s">
        <v>298</v>
      </c>
      <c r="R1091" t="s">
        <v>379</v>
      </c>
      <c r="S1091" t="s">
        <v>295</v>
      </c>
      <c r="T1091" t="s">
        <v>106</v>
      </c>
    </row>
    <row r="1092" spans="1:20" x14ac:dyDescent="0.25">
      <c r="A1092">
        <v>9</v>
      </c>
      <c r="B1092">
        <v>181</v>
      </c>
      <c r="C1092" t="str">
        <f>"36"</f>
        <v>36</v>
      </c>
      <c r="D1092">
        <v>6269</v>
      </c>
      <c r="E1092" t="str">
        <f>"3G"</f>
        <v>3G</v>
      </c>
      <c r="F1092" t="str">
        <f>"001"</f>
        <v>001</v>
      </c>
      <c r="G1092">
        <v>9</v>
      </c>
      <c r="H1092" t="str">
        <f>"91"</f>
        <v>91</v>
      </c>
      <c r="I1092" t="str">
        <f>"0"</f>
        <v>0</v>
      </c>
      <c r="J1092" t="str">
        <f>"39"</f>
        <v>39</v>
      </c>
      <c r="K1092">
        <v>20180921</v>
      </c>
      <c r="L1092" t="str">
        <f>"073917"</f>
        <v>073917</v>
      </c>
      <c r="M1092" t="str">
        <f>"63508"</f>
        <v>63508</v>
      </c>
      <c r="N1092" t="s">
        <v>380</v>
      </c>
      <c r="O1092" s="1">
        <v>1500</v>
      </c>
      <c r="P1092">
        <v>20180921</v>
      </c>
      <c r="Q1092" t="s">
        <v>381</v>
      </c>
      <c r="R1092" t="s">
        <v>382</v>
      </c>
      <c r="S1092" t="s">
        <v>295</v>
      </c>
      <c r="T1092" t="s">
        <v>301</v>
      </c>
    </row>
    <row r="1093" spans="1:20" x14ac:dyDescent="0.25">
      <c r="A1093">
        <v>9</v>
      </c>
      <c r="B1093">
        <v>181</v>
      </c>
      <c r="C1093" t="str">
        <f>"00"</f>
        <v>00</v>
      </c>
      <c r="D1093">
        <v>2110</v>
      </c>
      <c r="E1093" t="str">
        <f>"18"</f>
        <v>18</v>
      </c>
      <c r="F1093" t="str">
        <f>"000"</f>
        <v>000</v>
      </c>
      <c r="G1093">
        <v>9</v>
      </c>
      <c r="H1093" t="str">
        <f>"00"</f>
        <v>00</v>
      </c>
      <c r="I1093" t="str">
        <f>"0"</f>
        <v>0</v>
      </c>
      <c r="J1093" t="str">
        <f>"00"</f>
        <v>00</v>
      </c>
      <c r="K1093">
        <v>20180921</v>
      </c>
      <c r="L1093" t="str">
        <f>"073918"</f>
        <v>073918</v>
      </c>
      <c r="M1093" t="str">
        <f>"63670"</f>
        <v>63670</v>
      </c>
      <c r="N1093" t="s">
        <v>383</v>
      </c>
      <c r="O1093">
        <v>128</v>
      </c>
      <c r="P1093">
        <v>20180921</v>
      </c>
      <c r="Q1093" t="s">
        <v>322</v>
      </c>
      <c r="R1093" t="s">
        <v>323</v>
      </c>
      <c r="S1093" t="s">
        <v>295</v>
      </c>
      <c r="T1093" t="s">
        <v>296</v>
      </c>
    </row>
    <row r="1094" spans="1:20" x14ac:dyDescent="0.25">
      <c r="A1094">
        <v>9</v>
      </c>
      <c r="B1094">
        <v>181</v>
      </c>
      <c r="C1094" t="str">
        <f>"36"</f>
        <v>36</v>
      </c>
      <c r="D1094">
        <v>6219</v>
      </c>
      <c r="E1094" t="str">
        <f>"3F"</f>
        <v>3F</v>
      </c>
      <c r="F1094" t="str">
        <f>"001"</f>
        <v>001</v>
      </c>
      <c r="G1094">
        <v>9</v>
      </c>
      <c r="H1094" t="str">
        <f>"91"</f>
        <v>91</v>
      </c>
      <c r="I1094" t="str">
        <f>"1"</f>
        <v>1</v>
      </c>
      <c r="J1094" t="str">
        <f>"39"</f>
        <v>39</v>
      </c>
      <c r="K1094">
        <v>20180921</v>
      </c>
      <c r="L1094" t="str">
        <f>"073918"</f>
        <v>073918</v>
      </c>
      <c r="M1094" t="str">
        <f>"63670"</f>
        <v>63670</v>
      </c>
      <c r="N1094" t="s">
        <v>383</v>
      </c>
      <c r="O1094">
        <v>128</v>
      </c>
      <c r="P1094">
        <v>20180921</v>
      </c>
      <c r="Q1094" t="s">
        <v>327</v>
      </c>
      <c r="R1094" t="s">
        <v>294</v>
      </c>
      <c r="S1094" t="s">
        <v>295</v>
      </c>
      <c r="T1094" t="s">
        <v>301</v>
      </c>
    </row>
    <row r="1095" spans="1:20" x14ac:dyDescent="0.25">
      <c r="A1095">
        <v>9</v>
      </c>
      <c r="B1095">
        <v>181</v>
      </c>
      <c r="C1095" t="str">
        <f>"36"</f>
        <v>36</v>
      </c>
      <c r="D1095">
        <v>6219</v>
      </c>
      <c r="E1095" t="str">
        <f>"3Y"</f>
        <v>3Y</v>
      </c>
      <c r="F1095" t="str">
        <f>"041"</f>
        <v>041</v>
      </c>
      <c r="G1095">
        <v>9</v>
      </c>
      <c r="H1095" t="str">
        <f>"91"</f>
        <v>91</v>
      </c>
      <c r="I1095" t="str">
        <f t="shared" ref="I1095:I1107" si="121">"0"</f>
        <v>0</v>
      </c>
      <c r="J1095" t="str">
        <f>"41"</f>
        <v>41</v>
      </c>
      <c r="K1095">
        <v>20180921</v>
      </c>
      <c r="L1095" t="str">
        <f>"073919"</f>
        <v>073919</v>
      </c>
      <c r="M1095" t="str">
        <f>"63766"</f>
        <v>63766</v>
      </c>
      <c r="N1095" t="s">
        <v>384</v>
      </c>
      <c r="O1095">
        <v>85</v>
      </c>
      <c r="P1095">
        <v>20180921</v>
      </c>
      <c r="Q1095" t="s">
        <v>355</v>
      </c>
      <c r="R1095" t="s">
        <v>356</v>
      </c>
      <c r="S1095" t="s">
        <v>295</v>
      </c>
      <c r="T1095" t="s">
        <v>106</v>
      </c>
    </row>
    <row r="1096" spans="1:20" x14ac:dyDescent="0.25">
      <c r="A1096">
        <v>9</v>
      </c>
      <c r="B1096">
        <v>181</v>
      </c>
      <c r="C1096" t="str">
        <f>"36"</f>
        <v>36</v>
      </c>
      <c r="D1096">
        <v>6219</v>
      </c>
      <c r="E1096" t="str">
        <f>"3F"</f>
        <v>3F</v>
      </c>
      <c r="F1096" t="str">
        <f>"001"</f>
        <v>001</v>
      </c>
      <c r="G1096">
        <v>9</v>
      </c>
      <c r="H1096" t="str">
        <f>"91"</f>
        <v>91</v>
      </c>
      <c r="I1096" t="str">
        <f t="shared" si="121"/>
        <v>0</v>
      </c>
      <c r="J1096" t="str">
        <f>"39"</f>
        <v>39</v>
      </c>
      <c r="K1096">
        <v>20180921</v>
      </c>
      <c r="L1096" t="str">
        <f>"073920"</f>
        <v>073920</v>
      </c>
      <c r="M1096" t="str">
        <f>"63913"</f>
        <v>63913</v>
      </c>
      <c r="N1096" t="s">
        <v>385</v>
      </c>
      <c r="O1096">
        <v>110</v>
      </c>
      <c r="P1096">
        <v>20180921</v>
      </c>
      <c r="Q1096" t="s">
        <v>333</v>
      </c>
      <c r="R1096" t="s">
        <v>294</v>
      </c>
      <c r="S1096" t="s">
        <v>295</v>
      </c>
      <c r="T1096" t="s">
        <v>301</v>
      </c>
    </row>
    <row r="1097" spans="1:20" x14ac:dyDescent="0.25">
      <c r="A1097">
        <v>9</v>
      </c>
      <c r="B1097">
        <v>181</v>
      </c>
      <c r="C1097" t="str">
        <f>"36"</f>
        <v>36</v>
      </c>
      <c r="D1097">
        <v>6219</v>
      </c>
      <c r="E1097" t="str">
        <f>"3F"</f>
        <v>3F</v>
      </c>
      <c r="F1097" t="str">
        <f>"001"</f>
        <v>001</v>
      </c>
      <c r="G1097">
        <v>9</v>
      </c>
      <c r="H1097" t="str">
        <f>"91"</f>
        <v>91</v>
      </c>
      <c r="I1097" t="str">
        <f t="shared" si="121"/>
        <v>0</v>
      </c>
      <c r="J1097" t="str">
        <f>"39"</f>
        <v>39</v>
      </c>
      <c r="K1097">
        <v>20180921</v>
      </c>
      <c r="L1097" t="str">
        <f>"073921"</f>
        <v>073921</v>
      </c>
      <c r="M1097" t="str">
        <f>"64838"</f>
        <v>64838</v>
      </c>
      <c r="N1097" t="s">
        <v>386</v>
      </c>
      <c r="O1097">
        <v>110</v>
      </c>
      <c r="P1097">
        <v>20180921</v>
      </c>
      <c r="Q1097" t="s">
        <v>333</v>
      </c>
      <c r="R1097" t="s">
        <v>294</v>
      </c>
      <c r="S1097" t="s">
        <v>295</v>
      </c>
      <c r="T1097" t="s">
        <v>301</v>
      </c>
    </row>
    <row r="1098" spans="1:20" x14ac:dyDescent="0.25">
      <c r="A1098">
        <v>9</v>
      </c>
      <c r="B1098">
        <v>181</v>
      </c>
      <c r="C1098" t="str">
        <f>"00"</f>
        <v>00</v>
      </c>
      <c r="D1098">
        <v>2110</v>
      </c>
      <c r="E1098" t="str">
        <f>"18"</f>
        <v>18</v>
      </c>
      <c r="F1098" t="str">
        <f>"000"</f>
        <v>000</v>
      </c>
      <c r="G1098">
        <v>9</v>
      </c>
      <c r="H1098" t="str">
        <f>"00"</f>
        <v>00</v>
      </c>
      <c r="I1098" t="str">
        <f t="shared" si="121"/>
        <v>0</v>
      </c>
      <c r="J1098" t="str">
        <f>"00"</f>
        <v>00</v>
      </c>
      <c r="K1098">
        <v>20180921</v>
      </c>
      <c r="L1098" t="str">
        <f>"073922"</f>
        <v>073922</v>
      </c>
      <c r="M1098" t="str">
        <f>"00555"</f>
        <v>00555</v>
      </c>
      <c r="N1098" t="s">
        <v>387</v>
      </c>
      <c r="O1098">
        <v>65</v>
      </c>
      <c r="P1098">
        <v>20180921</v>
      </c>
      <c r="Q1098" t="s">
        <v>322</v>
      </c>
      <c r="R1098" t="s">
        <v>325</v>
      </c>
      <c r="S1098" t="s">
        <v>295</v>
      </c>
      <c r="T1098" t="s">
        <v>296</v>
      </c>
    </row>
    <row r="1099" spans="1:20" x14ac:dyDescent="0.25">
      <c r="A1099">
        <v>9</v>
      </c>
      <c r="B1099">
        <v>181</v>
      </c>
      <c r="C1099" t="str">
        <f>"36"</f>
        <v>36</v>
      </c>
      <c r="D1099">
        <v>6411</v>
      </c>
      <c r="E1099" t="str">
        <f>"33"</f>
        <v>33</v>
      </c>
      <c r="F1099" t="str">
        <f>"001"</f>
        <v>001</v>
      </c>
      <c r="G1099">
        <v>9</v>
      </c>
      <c r="H1099" t="str">
        <f>"91"</f>
        <v>91</v>
      </c>
      <c r="I1099" t="str">
        <f t="shared" si="121"/>
        <v>0</v>
      </c>
      <c r="J1099" t="str">
        <f>"39"</f>
        <v>39</v>
      </c>
      <c r="K1099">
        <v>20180921</v>
      </c>
      <c r="L1099" t="str">
        <f>"073944"</f>
        <v>073944</v>
      </c>
      <c r="M1099" t="str">
        <f>"78735"</f>
        <v>78735</v>
      </c>
      <c r="N1099" t="s">
        <v>388</v>
      </c>
      <c r="O1099">
        <v>420</v>
      </c>
      <c r="P1099">
        <v>20180921</v>
      </c>
      <c r="Q1099" t="s">
        <v>306</v>
      </c>
      <c r="R1099" t="s">
        <v>389</v>
      </c>
      <c r="S1099" t="s">
        <v>295</v>
      </c>
      <c r="T1099" t="s">
        <v>301</v>
      </c>
    </row>
    <row r="1100" spans="1:20" x14ac:dyDescent="0.25">
      <c r="A1100">
        <v>9</v>
      </c>
      <c r="B1100">
        <v>181</v>
      </c>
      <c r="C1100" t="str">
        <f>"36"</f>
        <v>36</v>
      </c>
      <c r="D1100">
        <v>6219</v>
      </c>
      <c r="E1100" t="str">
        <f>"3Y"</f>
        <v>3Y</v>
      </c>
      <c r="F1100" t="str">
        <f>"001"</f>
        <v>001</v>
      </c>
      <c r="G1100">
        <v>9</v>
      </c>
      <c r="H1100" t="str">
        <f>"91"</f>
        <v>91</v>
      </c>
      <c r="I1100" t="str">
        <f t="shared" si="121"/>
        <v>0</v>
      </c>
      <c r="J1100" t="str">
        <f>"39"</f>
        <v>39</v>
      </c>
      <c r="K1100">
        <v>20180921</v>
      </c>
      <c r="L1100" t="str">
        <f>"073947"</f>
        <v>073947</v>
      </c>
      <c r="M1100" t="str">
        <f>"80146"</f>
        <v>80146</v>
      </c>
      <c r="N1100" t="s">
        <v>390</v>
      </c>
      <c r="O1100">
        <v>115</v>
      </c>
      <c r="P1100">
        <v>20180921</v>
      </c>
      <c r="Q1100" t="s">
        <v>330</v>
      </c>
      <c r="R1100" t="s">
        <v>335</v>
      </c>
      <c r="S1100" t="s">
        <v>295</v>
      </c>
      <c r="T1100" t="s">
        <v>301</v>
      </c>
    </row>
    <row r="1101" spans="1:20" x14ac:dyDescent="0.25">
      <c r="A1101">
        <v>9</v>
      </c>
      <c r="B1101">
        <v>181</v>
      </c>
      <c r="C1101" t="str">
        <f>"36"</f>
        <v>36</v>
      </c>
      <c r="D1101">
        <v>6219</v>
      </c>
      <c r="E1101" t="str">
        <f>"3Y"</f>
        <v>3Y</v>
      </c>
      <c r="F1101" t="str">
        <f>"041"</f>
        <v>041</v>
      </c>
      <c r="G1101">
        <v>9</v>
      </c>
      <c r="H1101" t="str">
        <f>"91"</f>
        <v>91</v>
      </c>
      <c r="I1101" t="str">
        <f t="shared" si="121"/>
        <v>0</v>
      </c>
      <c r="J1101" t="str">
        <f>"41"</f>
        <v>41</v>
      </c>
      <c r="K1101">
        <v>20180921</v>
      </c>
      <c r="L1101" t="str">
        <f>"073949"</f>
        <v>073949</v>
      </c>
      <c r="M1101" t="str">
        <f>"80470"</f>
        <v>80470</v>
      </c>
      <c r="N1101" t="s">
        <v>391</v>
      </c>
      <c r="O1101">
        <v>45</v>
      </c>
      <c r="P1101">
        <v>20180921</v>
      </c>
      <c r="Q1101" t="s">
        <v>355</v>
      </c>
      <c r="R1101" t="s">
        <v>356</v>
      </c>
      <c r="S1101" t="s">
        <v>295</v>
      </c>
      <c r="T1101" t="s">
        <v>106</v>
      </c>
    </row>
    <row r="1102" spans="1:20" x14ac:dyDescent="0.25">
      <c r="A1102">
        <v>9</v>
      </c>
      <c r="B1102">
        <v>181</v>
      </c>
      <c r="C1102" t="str">
        <f>"36"</f>
        <v>36</v>
      </c>
      <c r="D1102">
        <v>6219</v>
      </c>
      <c r="E1102" t="str">
        <f>"3F"</f>
        <v>3F</v>
      </c>
      <c r="F1102" t="str">
        <f>"001"</f>
        <v>001</v>
      </c>
      <c r="G1102">
        <v>9</v>
      </c>
      <c r="H1102" t="str">
        <f>"91"</f>
        <v>91</v>
      </c>
      <c r="I1102" t="str">
        <f t="shared" si="121"/>
        <v>0</v>
      </c>
      <c r="J1102" t="str">
        <f>"39"</f>
        <v>39</v>
      </c>
      <c r="K1102">
        <v>20180921</v>
      </c>
      <c r="L1102" t="str">
        <f>"073951"</f>
        <v>073951</v>
      </c>
      <c r="M1102" t="str">
        <f>"80513"</f>
        <v>80513</v>
      </c>
      <c r="N1102" t="s">
        <v>392</v>
      </c>
      <c r="O1102">
        <v>105</v>
      </c>
      <c r="P1102">
        <v>20180921</v>
      </c>
      <c r="Q1102" t="s">
        <v>333</v>
      </c>
      <c r="R1102" t="s">
        <v>363</v>
      </c>
      <c r="S1102" t="s">
        <v>295</v>
      </c>
      <c r="T1102" t="s">
        <v>301</v>
      </c>
    </row>
    <row r="1103" spans="1:20" x14ac:dyDescent="0.25">
      <c r="A1103">
        <v>9</v>
      </c>
      <c r="B1103">
        <v>181</v>
      </c>
      <c r="C1103" t="str">
        <f>"36"</f>
        <v>36</v>
      </c>
      <c r="D1103">
        <v>6219</v>
      </c>
      <c r="E1103" t="str">
        <f>"3F"</f>
        <v>3F</v>
      </c>
      <c r="F1103" t="str">
        <f>"001"</f>
        <v>001</v>
      </c>
      <c r="G1103">
        <v>9</v>
      </c>
      <c r="H1103" t="str">
        <f>"91"</f>
        <v>91</v>
      </c>
      <c r="I1103" t="str">
        <f t="shared" si="121"/>
        <v>0</v>
      </c>
      <c r="J1103" t="str">
        <f>"39"</f>
        <v>39</v>
      </c>
      <c r="K1103">
        <v>20180921</v>
      </c>
      <c r="L1103" t="str">
        <f>"073954"</f>
        <v>073954</v>
      </c>
      <c r="M1103" t="str">
        <f>"81716"</f>
        <v>81716</v>
      </c>
      <c r="N1103" t="s">
        <v>393</v>
      </c>
      <c r="O1103">
        <v>105</v>
      </c>
      <c r="P1103">
        <v>20180921</v>
      </c>
      <c r="Q1103" t="s">
        <v>333</v>
      </c>
      <c r="R1103" t="s">
        <v>363</v>
      </c>
      <c r="S1103" t="s">
        <v>295</v>
      </c>
      <c r="T1103" t="s">
        <v>301</v>
      </c>
    </row>
    <row r="1104" spans="1:20" x14ac:dyDescent="0.25">
      <c r="A1104">
        <v>9</v>
      </c>
      <c r="B1104">
        <v>181</v>
      </c>
      <c r="C1104" t="str">
        <f>"00"</f>
        <v>00</v>
      </c>
      <c r="D1104">
        <v>2110</v>
      </c>
      <c r="E1104" t="str">
        <f>"18"</f>
        <v>18</v>
      </c>
      <c r="F1104" t="str">
        <f>"000"</f>
        <v>000</v>
      </c>
      <c r="G1104">
        <v>9</v>
      </c>
      <c r="H1104" t="str">
        <f>"00"</f>
        <v>00</v>
      </c>
      <c r="I1104" t="str">
        <f t="shared" si="121"/>
        <v>0</v>
      </c>
      <c r="J1104" t="str">
        <f>"00"</f>
        <v>00</v>
      </c>
      <c r="K1104">
        <v>20180921</v>
      </c>
      <c r="L1104" t="str">
        <f>"073955"</f>
        <v>073955</v>
      </c>
      <c r="M1104" t="str">
        <f>"82375"</f>
        <v>82375</v>
      </c>
      <c r="N1104" t="s">
        <v>394</v>
      </c>
      <c r="O1104">
        <v>105</v>
      </c>
      <c r="P1104">
        <v>20180921</v>
      </c>
      <c r="Q1104" t="s">
        <v>322</v>
      </c>
      <c r="R1104" t="s">
        <v>323</v>
      </c>
      <c r="S1104" t="s">
        <v>295</v>
      </c>
      <c r="T1104" t="s">
        <v>296</v>
      </c>
    </row>
    <row r="1105" spans="1:20" x14ac:dyDescent="0.25">
      <c r="A1105">
        <v>9</v>
      </c>
      <c r="B1105">
        <v>181</v>
      </c>
      <c r="C1105" t="str">
        <f>"00"</f>
        <v>00</v>
      </c>
      <c r="D1105">
        <v>2110</v>
      </c>
      <c r="E1105" t="str">
        <f>"18"</f>
        <v>18</v>
      </c>
      <c r="F1105" t="str">
        <f>"000"</f>
        <v>000</v>
      </c>
      <c r="G1105">
        <v>9</v>
      </c>
      <c r="H1105" t="str">
        <f>"00"</f>
        <v>00</v>
      </c>
      <c r="I1105" t="str">
        <f t="shared" si="121"/>
        <v>0</v>
      </c>
      <c r="J1105" t="str">
        <f>"00"</f>
        <v>00</v>
      </c>
      <c r="K1105">
        <v>20180921</v>
      </c>
      <c r="L1105" t="str">
        <f t="shared" ref="L1105:L1111" si="122">"073957"</f>
        <v>073957</v>
      </c>
      <c r="M1105" t="str">
        <f t="shared" ref="M1105:M1111" si="123">"84370"</f>
        <v>84370</v>
      </c>
      <c r="N1105" t="s">
        <v>395</v>
      </c>
      <c r="O1105">
        <v>112.63</v>
      </c>
      <c r="P1105">
        <v>20180921</v>
      </c>
      <c r="Q1105" t="s">
        <v>322</v>
      </c>
      <c r="R1105" t="s">
        <v>396</v>
      </c>
      <c r="S1105" t="s">
        <v>295</v>
      </c>
      <c r="T1105" t="s">
        <v>296</v>
      </c>
    </row>
    <row r="1106" spans="1:20" x14ac:dyDescent="0.25">
      <c r="A1106">
        <v>9</v>
      </c>
      <c r="B1106">
        <v>181</v>
      </c>
      <c r="C1106" t="str">
        <f>"00"</f>
        <v>00</v>
      </c>
      <c r="D1106">
        <v>2110</v>
      </c>
      <c r="E1106" t="str">
        <f>"18"</f>
        <v>18</v>
      </c>
      <c r="F1106" t="str">
        <f>"000"</f>
        <v>000</v>
      </c>
      <c r="G1106">
        <v>9</v>
      </c>
      <c r="H1106" t="str">
        <f>"00"</f>
        <v>00</v>
      </c>
      <c r="I1106" t="str">
        <f t="shared" si="121"/>
        <v>0</v>
      </c>
      <c r="J1106" t="str">
        <f>"00"</f>
        <v>00</v>
      </c>
      <c r="K1106">
        <v>20180921</v>
      </c>
      <c r="L1106" t="str">
        <f t="shared" si="122"/>
        <v>073957</v>
      </c>
      <c r="M1106" t="str">
        <f t="shared" si="123"/>
        <v>84370</v>
      </c>
      <c r="N1106" t="s">
        <v>395</v>
      </c>
      <c r="O1106">
        <v>142.07</v>
      </c>
      <c r="P1106">
        <v>20180921</v>
      </c>
      <c r="Q1106" t="s">
        <v>322</v>
      </c>
      <c r="R1106" t="s">
        <v>397</v>
      </c>
      <c r="S1106" t="s">
        <v>295</v>
      </c>
      <c r="T1106" t="s">
        <v>296</v>
      </c>
    </row>
    <row r="1107" spans="1:20" x14ac:dyDescent="0.25">
      <c r="A1107">
        <v>9</v>
      </c>
      <c r="B1107">
        <v>181</v>
      </c>
      <c r="C1107" t="str">
        <f>"00"</f>
        <v>00</v>
      </c>
      <c r="D1107">
        <v>2110</v>
      </c>
      <c r="E1107" t="str">
        <f>"18"</f>
        <v>18</v>
      </c>
      <c r="F1107" t="str">
        <f>"000"</f>
        <v>000</v>
      </c>
      <c r="G1107">
        <v>9</v>
      </c>
      <c r="H1107" t="str">
        <f>"00"</f>
        <v>00</v>
      </c>
      <c r="I1107" t="str">
        <f t="shared" si="121"/>
        <v>0</v>
      </c>
      <c r="J1107" t="str">
        <f>"00"</f>
        <v>00</v>
      </c>
      <c r="K1107">
        <v>20180921</v>
      </c>
      <c r="L1107" t="str">
        <f t="shared" si="122"/>
        <v>073957</v>
      </c>
      <c r="M1107" t="str">
        <f t="shared" si="123"/>
        <v>84370</v>
      </c>
      <c r="N1107" t="s">
        <v>395</v>
      </c>
      <c r="O1107">
        <v>541.89</v>
      </c>
      <c r="P1107">
        <v>20180921</v>
      </c>
      <c r="Q1107" t="s">
        <v>322</v>
      </c>
      <c r="R1107" t="s">
        <v>398</v>
      </c>
      <c r="S1107" t="s">
        <v>295</v>
      </c>
      <c r="T1107" t="s">
        <v>296</v>
      </c>
    </row>
    <row r="1108" spans="1:20" x14ac:dyDescent="0.25">
      <c r="A1108">
        <v>9</v>
      </c>
      <c r="B1108">
        <v>181</v>
      </c>
      <c r="C1108" t="str">
        <f>"36"</f>
        <v>36</v>
      </c>
      <c r="D1108">
        <v>6412</v>
      </c>
      <c r="E1108" t="str">
        <f>"3F"</f>
        <v>3F</v>
      </c>
      <c r="F1108" t="str">
        <f>"001"</f>
        <v>001</v>
      </c>
      <c r="G1108">
        <v>9</v>
      </c>
      <c r="H1108" t="str">
        <f>"91"</f>
        <v>91</v>
      </c>
      <c r="I1108" t="str">
        <f>"1"</f>
        <v>1</v>
      </c>
      <c r="J1108" t="str">
        <f>"39"</f>
        <v>39</v>
      </c>
      <c r="K1108">
        <v>20180921</v>
      </c>
      <c r="L1108" t="str">
        <f t="shared" si="122"/>
        <v>073957</v>
      </c>
      <c r="M1108" t="str">
        <f t="shared" si="123"/>
        <v>84370</v>
      </c>
      <c r="N1108" t="s">
        <v>395</v>
      </c>
      <c r="O1108">
        <v>361.26</v>
      </c>
      <c r="P1108">
        <v>20180921</v>
      </c>
      <c r="Q1108" t="s">
        <v>342</v>
      </c>
      <c r="R1108" t="s">
        <v>399</v>
      </c>
      <c r="S1108" t="s">
        <v>295</v>
      </c>
      <c r="T1108" t="s">
        <v>301</v>
      </c>
    </row>
    <row r="1109" spans="1:20" x14ac:dyDescent="0.25">
      <c r="A1109">
        <v>9</v>
      </c>
      <c r="B1109">
        <v>181</v>
      </c>
      <c r="C1109" t="str">
        <f>"36"</f>
        <v>36</v>
      </c>
      <c r="D1109">
        <v>6412</v>
      </c>
      <c r="E1109" t="str">
        <f>"3F"</f>
        <v>3F</v>
      </c>
      <c r="F1109" t="str">
        <f>"041"</f>
        <v>041</v>
      </c>
      <c r="G1109">
        <v>9</v>
      </c>
      <c r="H1109" t="str">
        <f>"91"</f>
        <v>91</v>
      </c>
      <c r="I1109" t="str">
        <f>"1"</f>
        <v>1</v>
      </c>
      <c r="J1109" t="str">
        <f>"41"</f>
        <v>41</v>
      </c>
      <c r="K1109">
        <v>20180921</v>
      </c>
      <c r="L1109" t="str">
        <f t="shared" si="122"/>
        <v>073957</v>
      </c>
      <c r="M1109" t="str">
        <f t="shared" si="123"/>
        <v>84370</v>
      </c>
      <c r="N1109" t="s">
        <v>395</v>
      </c>
      <c r="O1109">
        <v>501.75</v>
      </c>
      <c r="P1109">
        <v>20180921</v>
      </c>
      <c r="Q1109" t="s">
        <v>400</v>
      </c>
      <c r="R1109" t="s">
        <v>401</v>
      </c>
      <c r="S1109" t="s">
        <v>295</v>
      </c>
      <c r="T1109" t="s">
        <v>106</v>
      </c>
    </row>
    <row r="1110" spans="1:20" x14ac:dyDescent="0.25">
      <c r="A1110">
        <v>9</v>
      </c>
      <c r="B1110">
        <v>181</v>
      </c>
      <c r="C1110" t="str">
        <f>"36"</f>
        <v>36</v>
      </c>
      <c r="D1110">
        <v>6412</v>
      </c>
      <c r="E1110" t="str">
        <f>"3Y"</f>
        <v>3Y</v>
      </c>
      <c r="F1110" t="str">
        <f>"001"</f>
        <v>001</v>
      </c>
      <c r="G1110">
        <v>9</v>
      </c>
      <c r="H1110" t="str">
        <f>"91"</f>
        <v>91</v>
      </c>
      <c r="I1110" t="str">
        <f>"1"</f>
        <v>1</v>
      </c>
      <c r="J1110" t="str">
        <f>"39"</f>
        <v>39</v>
      </c>
      <c r="K1110">
        <v>20180921</v>
      </c>
      <c r="L1110" t="str">
        <f t="shared" si="122"/>
        <v>073957</v>
      </c>
      <c r="M1110" t="str">
        <f t="shared" si="123"/>
        <v>84370</v>
      </c>
      <c r="N1110" t="s">
        <v>395</v>
      </c>
      <c r="O1110">
        <v>147.87</v>
      </c>
      <c r="P1110">
        <v>20180921</v>
      </c>
      <c r="Q1110" t="s">
        <v>350</v>
      </c>
      <c r="R1110" t="s">
        <v>402</v>
      </c>
      <c r="S1110" t="s">
        <v>295</v>
      </c>
      <c r="T1110" t="s">
        <v>301</v>
      </c>
    </row>
    <row r="1111" spans="1:20" x14ac:dyDescent="0.25">
      <c r="A1111">
        <v>9</v>
      </c>
      <c r="B1111">
        <v>181</v>
      </c>
      <c r="C1111" t="str">
        <f>"36"</f>
        <v>36</v>
      </c>
      <c r="D1111">
        <v>6412</v>
      </c>
      <c r="E1111" t="str">
        <f>"3Y"</f>
        <v>3Y</v>
      </c>
      <c r="F1111" t="str">
        <f>"041"</f>
        <v>041</v>
      </c>
      <c r="G1111">
        <v>9</v>
      </c>
      <c r="H1111" t="str">
        <f>"91"</f>
        <v>91</v>
      </c>
      <c r="I1111" t="str">
        <f>"1"</f>
        <v>1</v>
      </c>
      <c r="J1111" t="str">
        <f>"41"</f>
        <v>41</v>
      </c>
      <c r="K1111">
        <v>20180921</v>
      </c>
      <c r="L1111" t="str">
        <f t="shared" si="122"/>
        <v>073957</v>
      </c>
      <c r="M1111" t="str">
        <f t="shared" si="123"/>
        <v>84370</v>
      </c>
      <c r="N1111" t="s">
        <v>395</v>
      </c>
      <c r="O1111">
        <v>176.97</v>
      </c>
      <c r="P1111">
        <v>20180921</v>
      </c>
      <c r="Q1111" t="s">
        <v>403</v>
      </c>
      <c r="R1111" t="s">
        <v>404</v>
      </c>
      <c r="S1111" t="s">
        <v>295</v>
      </c>
      <c r="T1111" t="s">
        <v>106</v>
      </c>
    </row>
    <row r="1112" spans="1:20" x14ac:dyDescent="0.25">
      <c r="A1112">
        <v>9</v>
      </c>
      <c r="B1112">
        <v>181</v>
      </c>
      <c r="C1112" t="str">
        <f>"00"</f>
        <v>00</v>
      </c>
      <c r="D1112">
        <v>2110</v>
      </c>
      <c r="E1112" t="str">
        <f>"18"</f>
        <v>18</v>
      </c>
      <c r="F1112" t="str">
        <f>"000"</f>
        <v>000</v>
      </c>
      <c r="G1112">
        <v>9</v>
      </c>
      <c r="H1112" t="str">
        <f>"00"</f>
        <v>00</v>
      </c>
      <c r="I1112" t="str">
        <f>"0"</f>
        <v>0</v>
      </c>
      <c r="J1112" t="str">
        <f>"00"</f>
        <v>00</v>
      </c>
      <c r="K1112">
        <v>20180921</v>
      </c>
      <c r="L1112" t="str">
        <f>"073958"</f>
        <v>073958</v>
      </c>
      <c r="M1112" t="str">
        <f>"84388"</f>
        <v>84388</v>
      </c>
      <c r="N1112" t="s">
        <v>405</v>
      </c>
      <c r="O1112">
        <v>105</v>
      </c>
      <c r="P1112">
        <v>20180921</v>
      </c>
      <c r="Q1112" t="s">
        <v>322</v>
      </c>
      <c r="R1112" t="s">
        <v>323</v>
      </c>
      <c r="S1112" t="s">
        <v>295</v>
      </c>
      <c r="T1112" t="s">
        <v>296</v>
      </c>
    </row>
    <row r="1113" spans="1:20" x14ac:dyDescent="0.25">
      <c r="A1113">
        <v>9</v>
      </c>
      <c r="B1113">
        <v>181</v>
      </c>
      <c r="C1113" t="str">
        <f>"00"</f>
        <v>00</v>
      </c>
      <c r="D1113">
        <v>2110</v>
      </c>
      <c r="E1113" t="str">
        <f>"18"</f>
        <v>18</v>
      </c>
      <c r="F1113" t="str">
        <f>"000"</f>
        <v>000</v>
      </c>
      <c r="G1113">
        <v>9</v>
      </c>
      <c r="H1113" t="str">
        <f>"00"</f>
        <v>00</v>
      </c>
      <c r="I1113" t="str">
        <f>"0"</f>
        <v>0</v>
      </c>
      <c r="J1113" t="str">
        <f>"00"</f>
        <v>00</v>
      </c>
      <c r="K1113">
        <v>20180921</v>
      </c>
      <c r="L1113" t="str">
        <f>"073959"</f>
        <v>073959</v>
      </c>
      <c r="M1113" t="str">
        <f>"00559"</f>
        <v>00559</v>
      </c>
      <c r="N1113" t="s">
        <v>406</v>
      </c>
      <c r="O1113">
        <v>128</v>
      </c>
      <c r="P1113">
        <v>20180921</v>
      </c>
      <c r="Q1113" t="s">
        <v>322</v>
      </c>
      <c r="R1113" t="s">
        <v>323</v>
      </c>
      <c r="S1113" t="s">
        <v>295</v>
      </c>
      <c r="T1113" t="s">
        <v>296</v>
      </c>
    </row>
    <row r="1114" spans="1:20" x14ac:dyDescent="0.25">
      <c r="A1114">
        <v>9</v>
      </c>
      <c r="B1114">
        <v>181</v>
      </c>
      <c r="C1114" t="str">
        <f t="shared" ref="C1114:C1145" si="124">"36"</f>
        <v>36</v>
      </c>
      <c r="D1114">
        <v>6219</v>
      </c>
      <c r="E1114" t="str">
        <f>"3Y"</f>
        <v>3Y</v>
      </c>
      <c r="F1114" t="str">
        <f>"001"</f>
        <v>001</v>
      </c>
      <c r="G1114">
        <v>9</v>
      </c>
      <c r="H1114" t="str">
        <f t="shared" ref="H1114:H1145" si="125">"91"</f>
        <v>91</v>
      </c>
      <c r="I1114" t="str">
        <f>"1"</f>
        <v>1</v>
      </c>
      <c r="J1114" t="str">
        <f>"39"</f>
        <v>39</v>
      </c>
      <c r="K1114">
        <v>20180921</v>
      </c>
      <c r="L1114" t="str">
        <f>"073961"</f>
        <v>073961</v>
      </c>
      <c r="M1114" t="str">
        <f>"87100"</f>
        <v>87100</v>
      </c>
      <c r="N1114" t="s">
        <v>407</v>
      </c>
      <c r="O1114">
        <v>128</v>
      </c>
      <c r="P1114">
        <v>20180921</v>
      </c>
      <c r="Q1114" t="s">
        <v>408</v>
      </c>
      <c r="R1114" t="s">
        <v>331</v>
      </c>
      <c r="S1114" t="s">
        <v>295</v>
      </c>
      <c r="T1114" t="s">
        <v>301</v>
      </c>
    </row>
    <row r="1115" spans="1:20" x14ac:dyDescent="0.25">
      <c r="A1115">
        <v>9</v>
      </c>
      <c r="B1115">
        <v>181</v>
      </c>
      <c r="C1115" t="str">
        <f t="shared" si="124"/>
        <v>36</v>
      </c>
      <c r="D1115">
        <v>6219</v>
      </c>
      <c r="E1115" t="str">
        <f>"3Y"</f>
        <v>3Y</v>
      </c>
      <c r="F1115" t="str">
        <f>"001"</f>
        <v>001</v>
      </c>
      <c r="G1115">
        <v>9</v>
      </c>
      <c r="H1115" t="str">
        <f t="shared" si="125"/>
        <v>91</v>
      </c>
      <c r="I1115" t="str">
        <f>"1"</f>
        <v>1</v>
      </c>
      <c r="J1115" t="str">
        <f>"39"</f>
        <v>39</v>
      </c>
      <c r="K1115">
        <v>20180927</v>
      </c>
      <c r="L1115" t="str">
        <f>"073961"</f>
        <v>073961</v>
      </c>
      <c r="M1115" t="str">
        <f>"87100"</f>
        <v>87100</v>
      </c>
      <c r="N1115" t="s">
        <v>407</v>
      </c>
      <c r="O1115">
        <v>-128</v>
      </c>
      <c r="P1115">
        <v>20180927</v>
      </c>
      <c r="Q1115" t="s">
        <v>408</v>
      </c>
      <c r="R1115" t="s">
        <v>409</v>
      </c>
      <c r="S1115" t="s">
        <v>295</v>
      </c>
      <c r="T1115" t="s">
        <v>301</v>
      </c>
    </row>
    <row r="1116" spans="1:20" x14ac:dyDescent="0.25">
      <c r="A1116">
        <v>9</v>
      </c>
      <c r="B1116">
        <v>181</v>
      </c>
      <c r="C1116" t="str">
        <f t="shared" si="124"/>
        <v>36</v>
      </c>
      <c r="D1116">
        <v>6219</v>
      </c>
      <c r="E1116" t="str">
        <f>"3Y"</f>
        <v>3Y</v>
      </c>
      <c r="F1116" t="str">
        <f>"001"</f>
        <v>001</v>
      </c>
      <c r="G1116">
        <v>9</v>
      </c>
      <c r="H1116" t="str">
        <f t="shared" si="125"/>
        <v>91</v>
      </c>
      <c r="I1116" t="str">
        <f>"1"</f>
        <v>1</v>
      </c>
      <c r="J1116" t="str">
        <f>"39"</f>
        <v>39</v>
      </c>
      <c r="K1116">
        <v>20180921</v>
      </c>
      <c r="L1116" t="str">
        <f>"073962"</f>
        <v>073962</v>
      </c>
      <c r="M1116" t="str">
        <f>"87100"</f>
        <v>87100</v>
      </c>
      <c r="N1116" t="s">
        <v>407</v>
      </c>
      <c r="O1116">
        <v>128</v>
      </c>
      <c r="P1116">
        <v>20180921</v>
      </c>
      <c r="Q1116" t="s">
        <v>408</v>
      </c>
      <c r="R1116" t="s">
        <v>331</v>
      </c>
      <c r="S1116" t="s">
        <v>295</v>
      </c>
      <c r="T1116" t="s">
        <v>301</v>
      </c>
    </row>
    <row r="1117" spans="1:20" x14ac:dyDescent="0.25">
      <c r="A1117">
        <v>9</v>
      </c>
      <c r="B1117">
        <v>181</v>
      </c>
      <c r="C1117" t="str">
        <f t="shared" si="124"/>
        <v>36</v>
      </c>
      <c r="D1117">
        <v>6649</v>
      </c>
      <c r="E1117" t="str">
        <f>"38"</f>
        <v>38</v>
      </c>
      <c r="F1117" t="str">
        <f>"001"</f>
        <v>001</v>
      </c>
      <c r="G1117">
        <v>9</v>
      </c>
      <c r="H1117" t="str">
        <f t="shared" si="125"/>
        <v>91</v>
      </c>
      <c r="I1117" t="str">
        <f>"0"</f>
        <v>0</v>
      </c>
      <c r="J1117" t="str">
        <f>"39"</f>
        <v>39</v>
      </c>
      <c r="K1117">
        <v>20180928</v>
      </c>
      <c r="L1117" t="str">
        <f>"073967"</f>
        <v>073967</v>
      </c>
      <c r="M1117" t="str">
        <f>"04410"</f>
        <v>04410</v>
      </c>
      <c r="N1117" t="s">
        <v>410</v>
      </c>
      <c r="O1117">
        <v>-187.76</v>
      </c>
      <c r="P1117">
        <v>20180928</v>
      </c>
      <c r="Q1117" t="s">
        <v>411</v>
      </c>
      <c r="R1117" t="s">
        <v>412</v>
      </c>
      <c r="S1117" t="s">
        <v>295</v>
      </c>
      <c r="T1117" t="s">
        <v>301</v>
      </c>
    </row>
    <row r="1118" spans="1:20" x14ac:dyDescent="0.25">
      <c r="A1118">
        <v>9</v>
      </c>
      <c r="B1118">
        <v>181</v>
      </c>
      <c r="C1118" t="str">
        <f t="shared" si="124"/>
        <v>36</v>
      </c>
      <c r="D1118">
        <v>6219</v>
      </c>
      <c r="E1118" t="str">
        <f>"3Y"</f>
        <v>3Y</v>
      </c>
      <c r="F1118" t="str">
        <f>"041"</f>
        <v>041</v>
      </c>
      <c r="G1118">
        <v>9</v>
      </c>
      <c r="H1118" t="str">
        <f t="shared" si="125"/>
        <v>91</v>
      </c>
      <c r="I1118" t="str">
        <f>"0"</f>
        <v>0</v>
      </c>
      <c r="J1118" t="str">
        <f>"41"</f>
        <v>41</v>
      </c>
      <c r="K1118">
        <v>20180928</v>
      </c>
      <c r="L1118" t="str">
        <f>"073974"</f>
        <v>073974</v>
      </c>
      <c r="M1118" t="str">
        <f>"11171"</f>
        <v>11171</v>
      </c>
      <c r="N1118" t="s">
        <v>413</v>
      </c>
      <c r="O1118">
        <v>-85</v>
      </c>
      <c r="P1118">
        <v>20180928</v>
      </c>
      <c r="Q1118" t="s">
        <v>355</v>
      </c>
      <c r="R1118" t="s">
        <v>412</v>
      </c>
      <c r="S1118" t="s">
        <v>295</v>
      </c>
      <c r="T1118" t="s">
        <v>106</v>
      </c>
    </row>
    <row r="1119" spans="1:20" x14ac:dyDescent="0.25">
      <c r="A1119">
        <v>9</v>
      </c>
      <c r="B1119">
        <v>181</v>
      </c>
      <c r="C1119" t="str">
        <f t="shared" si="124"/>
        <v>36</v>
      </c>
      <c r="D1119">
        <v>6412</v>
      </c>
      <c r="E1119" t="str">
        <f>"3Y"</f>
        <v>3Y</v>
      </c>
      <c r="F1119" t="str">
        <f>"001"</f>
        <v>001</v>
      </c>
      <c r="G1119">
        <v>9</v>
      </c>
      <c r="H1119" t="str">
        <f t="shared" si="125"/>
        <v>91</v>
      </c>
      <c r="I1119" t="str">
        <f>"1"</f>
        <v>1</v>
      </c>
      <c r="J1119" t="str">
        <f>"39"</f>
        <v>39</v>
      </c>
      <c r="K1119">
        <v>20180928</v>
      </c>
      <c r="L1119" t="str">
        <f>"073976"</f>
        <v>073976</v>
      </c>
      <c r="M1119" t="str">
        <f>"14146"</f>
        <v>14146</v>
      </c>
      <c r="N1119" t="s">
        <v>414</v>
      </c>
      <c r="O1119">
        <v>-140</v>
      </c>
      <c r="P1119">
        <v>20180928</v>
      </c>
      <c r="Q1119" t="s">
        <v>350</v>
      </c>
      <c r="R1119" t="s">
        <v>412</v>
      </c>
      <c r="S1119" t="s">
        <v>295</v>
      </c>
      <c r="T1119" t="s">
        <v>301</v>
      </c>
    </row>
    <row r="1120" spans="1:20" x14ac:dyDescent="0.25">
      <c r="A1120">
        <v>9</v>
      </c>
      <c r="B1120">
        <v>181</v>
      </c>
      <c r="C1120" t="str">
        <f t="shared" si="124"/>
        <v>36</v>
      </c>
      <c r="D1120">
        <v>6219</v>
      </c>
      <c r="E1120" t="str">
        <f>"3Y"</f>
        <v>3Y</v>
      </c>
      <c r="F1120" t="str">
        <f>"001"</f>
        <v>001</v>
      </c>
      <c r="G1120">
        <v>9</v>
      </c>
      <c r="H1120" t="str">
        <f t="shared" si="125"/>
        <v>91</v>
      </c>
      <c r="I1120" t="str">
        <f>"0"</f>
        <v>0</v>
      </c>
      <c r="J1120" t="str">
        <f>"39"</f>
        <v>39</v>
      </c>
      <c r="K1120">
        <v>20180928</v>
      </c>
      <c r="L1120" t="str">
        <f>"073977"</f>
        <v>073977</v>
      </c>
      <c r="M1120" t="str">
        <f>"00566"</f>
        <v>00566</v>
      </c>
      <c r="N1120" t="s">
        <v>415</v>
      </c>
      <c r="O1120">
        <v>-115</v>
      </c>
      <c r="P1120">
        <v>20180928</v>
      </c>
      <c r="Q1120" t="s">
        <v>330</v>
      </c>
      <c r="R1120" t="s">
        <v>412</v>
      </c>
      <c r="S1120" t="s">
        <v>295</v>
      </c>
      <c r="T1120" t="s">
        <v>301</v>
      </c>
    </row>
    <row r="1121" spans="1:20" x14ac:dyDescent="0.25">
      <c r="A1121">
        <v>9</v>
      </c>
      <c r="B1121">
        <v>181</v>
      </c>
      <c r="C1121" t="str">
        <f t="shared" si="124"/>
        <v>36</v>
      </c>
      <c r="D1121">
        <v>6412</v>
      </c>
      <c r="E1121" t="str">
        <f>"3Y"</f>
        <v>3Y</v>
      </c>
      <c r="F1121" t="str">
        <f>"041"</f>
        <v>041</v>
      </c>
      <c r="G1121">
        <v>9</v>
      </c>
      <c r="H1121" t="str">
        <f t="shared" si="125"/>
        <v>91</v>
      </c>
      <c r="I1121" t="str">
        <f>"2"</f>
        <v>2</v>
      </c>
      <c r="J1121" t="str">
        <f>"41"</f>
        <v>41</v>
      </c>
      <c r="K1121">
        <v>20180928</v>
      </c>
      <c r="L1121" t="str">
        <f>"073979"</f>
        <v>073979</v>
      </c>
      <c r="M1121" t="str">
        <f>"18251"</f>
        <v>18251</v>
      </c>
      <c r="N1121" t="s">
        <v>302</v>
      </c>
      <c r="O1121">
        <v>-300</v>
      </c>
      <c r="P1121">
        <v>20180928</v>
      </c>
      <c r="Q1121" t="s">
        <v>416</v>
      </c>
      <c r="R1121" t="s">
        <v>412</v>
      </c>
      <c r="S1121" t="s">
        <v>295</v>
      </c>
      <c r="T1121" t="s">
        <v>106</v>
      </c>
    </row>
    <row r="1122" spans="1:20" x14ac:dyDescent="0.25">
      <c r="A1122">
        <v>9</v>
      </c>
      <c r="B1122">
        <v>181</v>
      </c>
      <c r="C1122" t="str">
        <f t="shared" si="124"/>
        <v>36</v>
      </c>
      <c r="D1122">
        <v>6219</v>
      </c>
      <c r="E1122" t="str">
        <f>"3F"</f>
        <v>3F</v>
      </c>
      <c r="F1122" t="str">
        <f>"041"</f>
        <v>041</v>
      </c>
      <c r="G1122">
        <v>9</v>
      </c>
      <c r="H1122" t="str">
        <f t="shared" si="125"/>
        <v>91</v>
      </c>
      <c r="I1122" t="str">
        <f>"0"</f>
        <v>0</v>
      </c>
      <c r="J1122" t="str">
        <f>"41"</f>
        <v>41</v>
      </c>
      <c r="K1122">
        <v>20180928</v>
      </c>
      <c r="L1122" t="str">
        <f>"073981"</f>
        <v>073981</v>
      </c>
      <c r="M1122" t="str">
        <f>"20433"</f>
        <v>20433</v>
      </c>
      <c r="N1122" t="s">
        <v>332</v>
      </c>
      <c r="O1122">
        <v>-40</v>
      </c>
      <c r="P1122">
        <v>20180928</v>
      </c>
      <c r="Q1122" t="s">
        <v>339</v>
      </c>
      <c r="R1122" t="s">
        <v>412</v>
      </c>
      <c r="S1122" t="s">
        <v>295</v>
      </c>
      <c r="T1122" t="s">
        <v>106</v>
      </c>
    </row>
    <row r="1123" spans="1:20" x14ac:dyDescent="0.25">
      <c r="A1123">
        <v>9</v>
      </c>
      <c r="B1123">
        <v>181</v>
      </c>
      <c r="C1123" t="str">
        <f t="shared" si="124"/>
        <v>36</v>
      </c>
      <c r="D1123">
        <v>6412</v>
      </c>
      <c r="E1123" t="str">
        <f>"3Y"</f>
        <v>3Y</v>
      </c>
      <c r="F1123" t="str">
        <f>"001"</f>
        <v>001</v>
      </c>
      <c r="G1123">
        <v>9</v>
      </c>
      <c r="H1123" t="str">
        <f t="shared" si="125"/>
        <v>91</v>
      </c>
      <c r="I1123" t="str">
        <f>"1"</f>
        <v>1</v>
      </c>
      <c r="J1123" t="str">
        <f>"39"</f>
        <v>39</v>
      </c>
      <c r="K1123">
        <v>20180928</v>
      </c>
      <c r="L1123" t="str">
        <f>"073982"</f>
        <v>073982</v>
      </c>
      <c r="M1123" t="str">
        <f>"20465"</f>
        <v>20465</v>
      </c>
      <c r="N1123" t="s">
        <v>417</v>
      </c>
      <c r="O1123">
        <v>-212.3</v>
      </c>
      <c r="P1123">
        <v>20180928</v>
      </c>
      <c r="Q1123" t="s">
        <v>350</v>
      </c>
      <c r="R1123" t="s">
        <v>412</v>
      </c>
      <c r="S1123" t="s">
        <v>295</v>
      </c>
      <c r="T1123" t="s">
        <v>301</v>
      </c>
    </row>
    <row r="1124" spans="1:20" x14ac:dyDescent="0.25">
      <c r="A1124">
        <v>9</v>
      </c>
      <c r="B1124">
        <v>181</v>
      </c>
      <c r="C1124" t="str">
        <f t="shared" si="124"/>
        <v>36</v>
      </c>
      <c r="D1124">
        <v>6412</v>
      </c>
      <c r="E1124" t="str">
        <f>"3T"</f>
        <v>3T</v>
      </c>
      <c r="F1124" t="str">
        <f>"001"</f>
        <v>001</v>
      </c>
      <c r="G1124">
        <v>9</v>
      </c>
      <c r="H1124" t="str">
        <f t="shared" si="125"/>
        <v>91</v>
      </c>
      <c r="I1124" t="str">
        <f>"1"</f>
        <v>1</v>
      </c>
      <c r="J1124" t="str">
        <f>"39"</f>
        <v>39</v>
      </c>
      <c r="K1124">
        <v>20180928</v>
      </c>
      <c r="L1124" t="str">
        <f>"073983"</f>
        <v>073983</v>
      </c>
      <c r="M1124" t="str">
        <f>"51346"</f>
        <v>51346</v>
      </c>
      <c r="N1124" t="s">
        <v>418</v>
      </c>
      <c r="O1124">
        <v>-156</v>
      </c>
      <c r="P1124">
        <v>20180928</v>
      </c>
      <c r="Q1124" t="s">
        <v>419</v>
      </c>
      <c r="R1124" t="s">
        <v>412</v>
      </c>
      <c r="S1124" t="s">
        <v>295</v>
      </c>
      <c r="T1124" t="s">
        <v>301</v>
      </c>
    </row>
    <row r="1125" spans="1:20" x14ac:dyDescent="0.25">
      <c r="A1125">
        <v>9</v>
      </c>
      <c r="B1125">
        <v>181</v>
      </c>
      <c r="C1125" t="str">
        <f t="shared" si="124"/>
        <v>36</v>
      </c>
      <c r="D1125">
        <v>6219</v>
      </c>
      <c r="E1125" t="str">
        <f>"3Y"</f>
        <v>3Y</v>
      </c>
      <c r="F1125" t="str">
        <f>"001"</f>
        <v>001</v>
      </c>
      <c r="G1125">
        <v>9</v>
      </c>
      <c r="H1125" t="str">
        <f t="shared" si="125"/>
        <v>91</v>
      </c>
      <c r="I1125" t="str">
        <f>"0"</f>
        <v>0</v>
      </c>
      <c r="J1125" t="str">
        <f>"39"</f>
        <v>39</v>
      </c>
      <c r="K1125">
        <v>20180928</v>
      </c>
      <c r="L1125" t="str">
        <f>"073984"</f>
        <v>073984</v>
      </c>
      <c r="M1125" t="str">
        <f>"21358"</f>
        <v>21358</v>
      </c>
      <c r="N1125" t="s">
        <v>420</v>
      </c>
      <c r="O1125">
        <v>-100</v>
      </c>
      <c r="P1125">
        <v>20180928</v>
      </c>
      <c r="Q1125" t="s">
        <v>330</v>
      </c>
      <c r="R1125" t="s">
        <v>412</v>
      </c>
      <c r="S1125" t="s">
        <v>295</v>
      </c>
      <c r="T1125" t="s">
        <v>301</v>
      </c>
    </row>
    <row r="1126" spans="1:20" x14ac:dyDescent="0.25">
      <c r="A1126">
        <v>9</v>
      </c>
      <c r="B1126">
        <v>181</v>
      </c>
      <c r="C1126" t="str">
        <f t="shared" si="124"/>
        <v>36</v>
      </c>
      <c r="D1126">
        <v>6412</v>
      </c>
      <c r="E1126" t="str">
        <f>"3C"</f>
        <v>3C</v>
      </c>
      <c r="F1126" t="str">
        <f>"001"</f>
        <v>001</v>
      </c>
      <c r="G1126">
        <v>9</v>
      </c>
      <c r="H1126" t="str">
        <f t="shared" si="125"/>
        <v>91</v>
      </c>
      <c r="I1126" t="str">
        <f>"1"</f>
        <v>1</v>
      </c>
      <c r="J1126" t="str">
        <f>"39"</f>
        <v>39</v>
      </c>
      <c r="K1126">
        <v>20180928</v>
      </c>
      <c r="L1126" t="str">
        <f>"073986"</f>
        <v>073986</v>
      </c>
      <c r="M1126" t="str">
        <f>"24358"</f>
        <v>24358</v>
      </c>
      <c r="N1126" t="s">
        <v>336</v>
      </c>
      <c r="O1126">
        <v>-80.03</v>
      </c>
      <c r="P1126">
        <v>20180928</v>
      </c>
      <c r="Q1126" t="s">
        <v>421</v>
      </c>
      <c r="R1126" t="s">
        <v>412</v>
      </c>
      <c r="S1126" t="s">
        <v>295</v>
      </c>
      <c r="T1126" t="s">
        <v>301</v>
      </c>
    </row>
    <row r="1127" spans="1:20" x14ac:dyDescent="0.25">
      <c r="A1127">
        <v>9</v>
      </c>
      <c r="B1127">
        <v>181</v>
      </c>
      <c r="C1127" t="str">
        <f t="shared" si="124"/>
        <v>36</v>
      </c>
      <c r="D1127">
        <v>6411</v>
      </c>
      <c r="E1127" t="str">
        <f>"33"</f>
        <v>33</v>
      </c>
      <c r="F1127" t="str">
        <f>"001"</f>
        <v>001</v>
      </c>
      <c r="G1127">
        <v>9</v>
      </c>
      <c r="H1127" t="str">
        <f t="shared" si="125"/>
        <v>91</v>
      </c>
      <c r="I1127" t="str">
        <f>"0"</f>
        <v>0</v>
      </c>
      <c r="J1127" t="str">
        <f>"39"</f>
        <v>39</v>
      </c>
      <c r="K1127">
        <v>20180928</v>
      </c>
      <c r="L1127" t="str">
        <f>"073997"</f>
        <v>073997</v>
      </c>
      <c r="M1127" t="str">
        <f>"30744"</f>
        <v>30744</v>
      </c>
      <c r="N1127" t="s">
        <v>422</v>
      </c>
      <c r="O1127">
        <v>-20.02</v>
      </c>
      <c r="P1127">
        <v>20180928</v>
      </c>
      <c r="Q1127" t="s">
        <v>306</v>
      </c>
      <c r="R1127" t="s">
        <v>412</v>
      </c>
      <c r="S1127" t="s">
        <v>295</v>
      </c>
      <c r="T1127" t="s">
        <v>301</v>
      </c>
    </row>
    <row r="1128" spans="1:20" x14ac:dyDescent="0.25">
      <c r="A1128">
        <v>9</v>
      </c>
      <c r="B1128">
        <v>181</v>
      </c>
      <c r="C1128" t="str">
        <f t="shared" si="124"/>
        <v>36</v>
      </c>
      <c r="D1128">
        <v>6412</v>
      </c>
      <c r="E1128" t="str">
        <f>"3Y"</f>
        <v>3Y</v>
      </c>
      <c r="F1128" t="str">
        <f>"041"</f>
        <v>041</v>
      </c>
      <c r="G1128">
        <v>9</v>
      </c>
      <c r="H1128" t="str">
        <f t="shared" si="125"/>
        <v>91</v>
      </c>
      <c r="I1128" t="str">
        <f>"2"</f>
        <v>2</v>
      </c>
      <c r="J1128" t="str">
        <f>"41"</f>
        <v>41</v>
      </c>
      <c r="K1128">
        <v>20180928</v>
      </c>
      <c r="L1128" t="str">
        <f>"073999"</f>
        <v>073999</v>
      </c>
      <c r="M1128" t="str">
        <f>"34949"</f>
        <v>34949</v>
      </c>
      <c r="N1128" t="s">
        <v>423</v>
      </c>
      <c r="O1128">
        <v>-100</v>
      </c>
      <c r="P1128">
        <v>20180928</v>
      </c>
      <c r="Q1128" t="s">
        <v>416</v>
      </c>
      <c r="R1128" t="s">
        <v>412</v>
      </c>
      <c r="S1128" t="s">
        <v>295</v>
      </c>
      <c r="T1128" t="s">
        <v>106</v>
      </c>
    </row>
    <row r="1129" spans="1:20" x14ac:dyDescent="0.25">
      <c r="A1129">
        <v>9</v>
      </c>
      <c r="B1129">
        <v>181</v>
      </c>
      <c r="C1129" t="str">
        <f t="shared" si="124"/>
        <v>36</v>
      </c>
      <c r="D1129">
        <v>6219</v>
      </c>
      <c r="E1129" t="str">
        <f>"3Y"</f>
        <v>3Y</v>
      </c>
      <c r="F1129" t="str">
        <f>"041"</f>
        <v>041</v>
      </c>
      <c r="G1129">
        <v>9</v>
      </c>
      <c r="H1129" t="str">
        <f t="shared" si="125"/>
        <v>91</v>
      </c>
      <c r="I1129" t="str">
        <f t="shared" ref="I1129:I1144" si="126">"0"</f>
        <v>0</v>
      </c>
      <c r="J1129" t="str">
        <f>"41"</f>
        <v>41</v>
      </c>
      <c r="K1129">
        <v>20180928</v>
      </c>
      <c r="L1129" t="str">
        <f>"074001"</f>
        <v>074001</v>
      </c>
      <c r="M1129" t="str">
        <f>"35025"</f>
        <v>35025</v>
      </c>
      <c r="N1129" t="s">
        <v>424</v>
      </c>
      <c r="O1129">
        <v>-85</v>
      </c>
      <c r="P1129">
        <v>20180928</v>
      </c>
      <c r="Q1129" t="s">
        <v>355</v>
      </c>
      <c r="R1129" t="s">
        <v>412</v>
      </c>
      <c r="S1129" t="s">
        <v>295</v>
      </c>
      <c r="T1129" t="s">
        <v>106</v>
      </c>
    </row>
    <row r="1130" spans="1:20" x14ac:dyDescent="0.25">
      <c r="A1130">
        <v>9</v>
      </c>
      <c r="B1130">
        <v>181</v>
      </c>
      <c r="C1130" t="str">
        <f t="shared" si="124"/>
        <v>36</v>
      </c>
      <c r="D1130">
        <v>6219</v>
      </c>
      <c r="E1130" t="str">
        <f>"3Y"</f>
        <v>3Y</v>
      </c>
      <c r="F1130" t="str">
        <f>"041"</f>
        <v>041</v>
      </c>
      <c r="G1130">
        <v>9</v>
      </c>
      <c r="H1130" t="str">
        <f t="shared" si="125"/>
        <v>91</v>
      </c>
      <c r="I1130" t="str">
        <f t="shared" si="126"/>
        <v>0</v>
      </c>
      <c r="J1130" t="str">
        <f>"41"</f>
        <v>41</v>
      </c>
      <c r="K1130">
        <v>20180928</v>
      </c>
      <c r="L1130" t="str">
        <f>"074004"</f>
        <v>074004</v>
      </c>
      <c r="M1130" t="str">
        <f>"39420"</f>
        <v>39420</v>
      </c>
      <c r="N1130" t="s">
        <v>357</v>
      </c>
      <c r="O1130">
        <v>-85</v>
      </c>
      <c r="P1130">
        <v>20180928</v>
      </c>
      <c r="Q1130" t="s">
        <v>355</v>
      </c>
      <c r="R1130" t="s">
        <v>412</v>
      </c>
      <c r="S1130" t="s">
        <v>295</v>
      </c>
      <c r="T1130" t="s">
        <v>106</v>
      </c>
    </row>
    <row r="1131" spans="1:20" x14ac:dyDescent="0.25">
      <c r="A1131">
        <v>9</v>
      </c>
      <c r="B1131">
        <v>181</v>
      </c>
      <c r="C1131" t="str">
        <f t="shared" si="124"/>
        <v>36</v>
      </c>
      <c r="D1131">
        <v>6219</v>
      </c>
      <c r="E1131" t="str">
        <f>"3Y"</f>
        <v>3Y</v>
      </c>
      <c r="F1131" t="str">
        <f>"001"</f>
        <v>001</v>
      </c>
      <c r="G1131">
        <v>9</v>
      </c>
      <c r="H1131" t="str">
        <f t="shared" si="125"/>
        <v>91</v>
      </c>
      <c r="I1131" t="str">
        <f t="shared" si="126"/>
        <v>0</v>
      </c>
      <c r="J1131" t="str">
        <f>"39"</f>
        <v>39</v>
      </c>
      <c r="K1131">
        <v>20180928</v>
      </c>
      <c r="L1131" t="str">
        <f>"074010"</f>
        <v>074010</v>
      </c>
      <c r="M1131" t="str">
        <f>"49189"</f>
        <v>49189</v>
      </c>
      <c r="N1131" t="s">
        <v>364</v>
      </c>
      <c r="O1131">
        <v>-115</v>
      </c>
      <c r="P1131">
        <v>20180928</v>
      </c>
      <c r="Q1131" t="s">
        <v>330</v>
      </c>
      <c r="R1131" t="s">
        <v>412</v>
      </c>
      <c r="S1131" t="s">
        <v>295</v>
      </c>
      <c r="T1131" t="s">
        <v>301</v>
      </c>
    </row>
    <row r="1132" spans="1:20" x14ac:dyDescent="0.25">
      <c r="A1132">
        <v>9</v>
      </c>
      <c r="B1132">
        <v>181</v>
      </c>
      <c r="C1132" t="str">
        <f t="shared" si="124"/>
        <v>36</v>
      </c>
      <c r="D1132">
        <v>6219</v>
      </c>
      <c r="E1132" t="str">
        <f>"3Y"</f>
        <v>3Y</v>
      </c>
      <c r="F1132" t="str">
        <f>"001"</f>
        <v>001</v>
      </c>
      <c r="G1132">
        <v>9</v>
      </c>
      <c r="H1132" t="str">
        <f t="shared" si="125"/>
        <v>91</v>
      </c>
      <c r="I1132" t="str">
        <f t="shared" si="126"/>
        <v>0</v>
      </c>
      <c r="J1132" t="str">
        <f>"39"</f>
        <v>39</v>
      </c>
      <c r="K1132">
        <v>20180928</v>
      </c>
      <c r="L1132" t="str">
        <f>"074012"</f>
        <v>074012</v>
      </c>
      <c r="M1132" t="str">
        <f>"00567"</f>
        <v>00567</v>
      </c>
      <c r="N1132" t="s">
        <v>425</v>
      </c>
      <c r="O1132">
        <v>-115</v>
      </c>
      <c r="P1132">
        <v>20180928</v>
      </c>
      <c r="Q1132" t="s">
        <v>330</v>
      </c>
      <c r="R1132" t="s">
        <v>412</v>
      </c>
      <c r="S1132" t="s">
        <v>295</v>
      </c>
      <c r="T1132" t="s">
        <v>301</v>
      </c>
    </row>
    <row r="1133" spans="1:20" x14ac:dyDescent="0.25">
      <c r="A1133">
        <v>9</v>
      </c>
      <c r="B1133">
        <v>181</v>
      </c>
      <c r="C1133" t="str">
        <f t="shared" si="124"/>
        <v>36</v>
      </c>
      <c r="D1133">
        <v>6219</v>
      </c>
      <c r="E1133" t="str">
        <f>"3F"</f>
        <v>3F</v>
      </c>
      <c r="F1133" t="str">
        <f>"041"</f>
        <v>041</v>
      </c>
      <c r="G1133">
        <v>9</v>
      </c>
      <c r="H1133" t="str">
        <f t="shared" si="125"/>
        <v>91</v>
      </c>
      <c r="I1133" t="str">
        <f t="shared" si="126"/>
        <v>0</v>
      </c>
      <c r="J1133" t="str">
        <f>"41"</f>
        <v>41</v>
      </c>
      <c r="K1133">
        <v>20180928</v>
      </c>
      <c r="L1133" t="str">
        <f>"074016"</f>
        <v>074016</v>
      </c>
      <c r="M1133" t="str">
        <f>"54820"</f>
        <v>54820</v>
      </c>
      <c r="N1133" t="s">
        <v>366</v>
      </c>
      <c r="O1133">
        <v>-150</v>
      </c>
      <c r="P1133">
        <v>20180928</v>
      </c>
      <c r="Q1133" t="s">
        <v>339</v>
      </c>
      <c r="R1133" t="s">
        <v>412</v>
      </c>
      <c r="S1133" t="s">
        <v>295</v>
      </c>
      <c r="T1133" t="s">
        <v>106</v>
      </c>
    </row>
    <row r="1134" spans="1:20" x14ac:dyDescent="0.25">
      <c r="A1134">
        <v>9</v>
      </c>
      <c r="B1134">
        <v>181</v>
      </c>
      <c r="C1134" t="str">
        <f t="shared" si="124"/>
        <v>36</v>
      </c>
      <c r="D1134">
        <v>6219</v>
      </c>
      <c r="E1134" t="str">
        <f>"3F"</f>
        <v>3F</v>
      </c>
      <c r="F1134" t="str">
        <f>"041"</f>
        <v>041</v>
      </c>
      <c r="G1134">
        <v>9</v>
      </c>
      <c r="H1134" t="str">
        <f t="shared" si="125"/>
        <v>91</v>
      </c>
      <c r="I1134" t="str">
        <f t="shared" si="126"/>
        <v>0</v>
      </c>
      <c r="J1134" t="str">
        <f>"41"</f>
        <v>41</v>
      </c>
      <c r="K1134">
        <v>20180928</v>
      </c>
      <c r="L1134" t="str">
        <f>"074016"</f>
        <v>074016</v>
      </c>
      <c r="M1134" t="str">
        <f>"54820"</f>
        <v>54820</v>
      </c>
      <c r="N1134" t="s">
        <v>366</v>
      </c>
      <c r="O1134">
        <v>-150</v>
      </c>
      <c r="P1134">
        <v>20180928</v>
      </c>
      <c r="Q1134" t="s">
        <v>339</v>
      </c>
      <c r="R1134" t="s">
        <v>412</v>
      </c>
      <c r="S1134" t="s">
        <v>295</v>
      </c>
      <c r="T1134" t="s">
        <v>106</v>
      </c>
    </row>
    <row r="1135" spans="1:20" x14ac:dyDescent="0.25">
      <c r="A1135">
        <v>9</v>
      </c>
      <c r="B1135">
        <v>181</v>
      </c>
      <c r="C1135" t="str">
        <f t="shared" si="124"/>
        <v>36</v>
      </c>
      <c r="D1135">
        <v>6219</v>
      </c>
      <c r="E1135" t="str">
        <f>"3Y"</f>
        <v>3Y</v>
      </c>
      <c r="F1135" t="str">
        <f>"001"</f>
        <v>001</v>
      </c>
      <c r="G1135">
        <v>9</v>
      </c>
      <c r="H1135" t="str">
        <f t="shared" si="125"/>
        <v>91</v>
      </c>
      <c r="I1135" t="str">
        <f t="shared" si="126"/>
        <v>0</v>
      </c>
      <c r="J1135" t="str">
        <f>"39"</f>
        <v>39</v>
      </c>
      <c r="K1135">
        <v>20180928</v>
      </c>
      <c r="L1135" t="str">
        <f>"074021"</f>
        <v>074021</v>
      </c>
      <c r="M1135" t="str">
        <f>"57981"</f>
        <v>57981</v>
      </c>
      <c r="N1135" t="s">
        <v>426</v>
      </c>
      <c r="O1135">
        <v>-100</v>
      </c>
      <c r="P1135">
        <v>20180928</v>
      </c>
      <c r="Q1135" t="s">
        <v>330</v>
      </c>
      <c r="R1135" t="s">
        <v>412</v>
      </c>
      <c r="S1135" t="s">
        <v>295</v>
      </c>
      <c r="T1135" t="s">
        <v>301</v>
      </c>
    </row>
    <row r="1136" spans="1:20" x14ac:dyDescent="0.25">
      <c r="A1136">
        <v>9</v>
      </c>
      <c r="B1136">
        <v>181</v>
      </c>
      <c r="C1136" t="str">
        <f t="shared" si="124"/>
        <v>36</v>
      </c>
      <c r="D1136">
        <v>6219</v>
      </c>
      <c r="E1136" t="str">
        <f>"3F"</f>
        <v>3F</v>
      </c>
      <c r="F1136" t="str">
        <f>"001"</f>
        <v>001</v>
      </c>
      <c r="G1136">
        <v>9</v>
      </c>
      <c r="H1136" t="str">
        <f t="shared" si="125"/>
        <v>91</v>
      </c>
      <c r="I1136" t="str">
        <f t="shared" si="126"/>
        <v>0</v>
      </c>
      <c r="J1136" t="str">
        <f>"39"</f>
        <v>39</v>
      </c>
      <c r="K1136">
        <v>20180928</v>
      </c>
      <c r="L1136" t="str">
        <f>"074022"</f>
        <v>074022</v>
      </c>
      <c r="M1136" t="str">
        <f>"57991"</f>
        <v>57991</v>
      </c>
      <c r="N1136" t="s">
        <v>372</v>
      </c>
      <c r="O1136">
        <v>-60</v>
      </c>
      <c r="P1136">
        <v>20180928</v>
      </c>
      <c r="Q1136" t="s">
        <v>333</v>
      </c>
      <c r="R1136" t="s">
        <v>412</v>
      </c>
      <c r="S1136" t="s">
        <v>295</v>
      </c>
      <c r="T1136" t="s">
        <v>301</v>
      </c>
    </row>
    <row r="1137" spans="1:20" x14ac:dyDescent="0.25">
      <c r="A1137">
        <v>9</v>
      </c>
      <c r="B1137">
        <v>181</v>
      </c>
      <c r="C1137" t="str">
        <f t="shared" si="124"/>
        <v>36</v>
      </c>
      <c r="D1137">
        <v>6495</v>
      </c>
      <c r="E1137" t="str">
        <f>"30"</f>
        <v>30</v>
      </c>
      <c r="F1137" t="str">
        <f>"001"</f>
        <v>001</v>
      </c>
      <c r="G1137">
        <v>9</v>
      </c>
      <c r="H1137" t="str">
        <f t="shared" si="125"/>
        <v>91</v>
      </c>
      <c r="I1137" t="str">
        <f t="shared" si="126"/>
        <v>0</v>
      </c>
      <c r="J1137" t="str">
        <f>"39"</f>
        <v>39</v>
      </c>
      <c r="K1137">
        <v>20180928</v>
      </c>
      <c r="L1137" t="str">
        <f>"074039"</f>
        <v>074039</v>
      </c>
      <c r="M1137" t="str">
        <f>"78430"</f>
        <v>78430</v>
      </c>
      <c r="N1137" t="s">
        <v>427</v>
      </c>
      <c r="O1137" s="1">
        <v>-1260</v>
      </c>
      <c r="P1137">
        <v>20180928</v>
      </c>
      <c r="Q1137" t="s">
        <v>428</v>
      </c>
      <c r="R1137" t="s">
        <v>412</v>
      </c>
      <c r="S1137" t="s">
        <v>295</v>
      </c>
      <c r="T1137" t="s">
        <v>301</v>
      </c>
    </row>
    <row r="1138" spans="1:20" x14ac:dyDescent="0.25">
      <c r="A1138">
        <v>9</v>
      </c>
      <c r="B1138">
        <v>181</v>
      </c>
      <c r="C1138" t="str">
        <f t="shared" si="124"/>
        <v>36</v>
      </c>
      <c r="D1138">
        <v>6219</v>
      </c>
      <c r="E1138" t="str">
        <f>"3Y"</f>
        <v>3Y</v>
      </c>
      <c r="F1138" t="str">
        <f>"001"</f>
        <v>001</v>
      </c>
      <c r="G1138">
        <v>9</v>
      </c>
      <c r="H1138" t="str">
        <f t="shared" si="125"/>
        <v>91</v>
      </c>
      <c r="I1138" t="str">
        <f t="shared" si="126"/>
        <v>0</v>
      </c>
      <c r="J1138" t="str">
        <f>"39"</f>
        <v>39</v>
      </c>
      <c r="K1138">
        <v>20180928</v>
      </c>
      <c r="L1138" t="str">
        <f>"074040"</f>
        <v>074040</v>
      </c>
      <c r="M1138" t="str">
        <f>"80146"</f>
        <v>80146</v>
      </c>
      <c r="N1138" t="s">
        <v>390</v>
      </c>
      <c r="O1138">
        <v>-115</v>
      </c>
      <c r="P1138">
        <v>20180928</v>
      </c>
      <c r="Q1138" t="s">
        <v>330</v>
      </c>
      <c r="R1138" t="s">
        <v>412</v>
      </c>
      <c r="S1138" t="s">
        <v>295</v>
      </c>
      <c r="T1138" t="s">
        <v>301</v>
      </c>
    </row>
    <row r="1139" spans="1:20" x14ac:dyDescent="0.25">
      <c r="A1139">
        <v>9</v>
      </c>
      <c r="B1139">
        <v>181</v>
      </c>
      <c r="C1139" t="str">
        <f t="shared" si="124"/>
        <v>36</v>
      </c>
      <c r="D1139">
        <v>6219</v>
      </c>
      <c r="E1139" t="str">
        <f>"3Y"</f>
        <v>3Y</v>
      </c>
      <c r="F1139" t="str">
        <f>"041"</f>
        <v>041</v>
      </c>
      <c r="G1139">
        <v>9</v>
      </c>
      <c r="H1139" t="str">
        <f t="shared" si="125"/>
        <v>91</v>
      </c>
      <c r="I1139" t="str">
        <f t="shared" si="126"/>
        <v>0</v>
      </c>
      <c r="J1139" t="str">
        <f>"41"</f>
        <v>41</v>
      </c>
      <c r="K1139">
        <v>20180928</v>
      </c>
      <c r="L1139" t="str">
        <f>"074042"</f>
        <v>074042</v>
      </c>
      <c r="M1139" t="str">
        <f>"80470"</f>
        <v>80470</v>
      </c>
      <c r="N1139" t="s">
        <v>391</v>
      </c>
      <c r="O1139">
        <v>-45</v>
      </c>
      <c r="P1139">
        <v>20180928</v>
      </c>
      <c r="Q1139" t="s">
        <v>355</v>
      </c>
      <c r="R1139" t="s">
        <v>412</v>
      </c>
      <c r="S1139" t="s">
        <v>295</v>
      </c>
      <c r="T1139" t="s">
        <v>106</v>
      </c>
    </row>
    <row r="1140" spans="1:20" x14ac:dyDescent="0.25">
      <c r="A1140">
        <v>9</v>
      </c>
      <c r="B1140">
        <v>181</v>
      </c>
      <c r="C1140" t="str">
        <f t="shared" si="124"/>
        <v>36</v>
      </c>
      <c r="D1140">
        <v>6219</v>
      </c>
      <c r="E1140" t="str">
        <f>"3F"</f>
        <v>3F</v>
      </c>
      <c r="F1140" t="str">
        <f>"041"</f>
        <v>041</v>
      </c>
      <c r="G1140">
        <v>9</v>
      </c>
      <c r="H1140" t="str">
        <f t="shared" si="125"/>
        <v>91</v>
      </c>
      <c r="I1140" t="str">
        <f t="shared" si="126"/>
        <v>0</v>
      </c>
      <c r="J1140" t="str">
        <f>"41"</f>
        <v>41</v>
      </c>
      <c r="K1140">
        <v>20180928</v>
      </c>
      <c r="L1140" t="str">
        <f>"074043"</f>
        <v>074043</v>
      </c>
      <c r="M1140" t="str">
        <f>"80513"</f>
        <v>80513</v>
      </c>
      <c r="N1140" t="s">
        <v>392</v>
      </c>
      <c r="O1140">
        <v>-150</v>
      </c>
      <c r="P1140">
        <v>20180928</v>
      </c>
      <c r="Q1140" t="s">
        <v>339</v>
      </c>
      <c r="R1140" t="s">
        <v>412</v>
      </c>
      <c r="S1140" t="s">
        <v>295</v>
      </c>
      <c r="T1140" t="s">
        <v>106</v>
      </c>
    </row>
    <row r="1141" spans="1:20" x14ac:dyDescent="0.25">
      <c r="A1141">
        <v>9</v>
      </c>
      <c r="B1141">
        <v>181</v>
      </c>
      <c r="C1141" t="str">
        <f t="shared" si="124"/>
        <v>36</v>
      </c>
      <c r="D1141">
        <v>6219</v>
      </c>
      <c r="E1141" t="str">
        <f>"3F"</f>
        <v>3F</v>
      </c>
      <c r="F1141" t="str">
        <f>"041"</f>
        <v>041</v>
      </c>
      <c r="G1141">
        <v>9</v>
      </c>
      <c r="H1141" t="str">
        <f t="shared" si="125"/>
        <v>91</v>
      </c>
      <c r="I1141" t="str">
        <f t="shared" si="126"/>
        <v>0</v>
      </c>
      <c r="J1141" t="str">
        <f>"41"</f>
        <v>41</v>
      </c>
      <c r="K1141">
        <v>20180928</v>
      </c>
      <c r="L1141" t="str">
        <f>"074043"</f>
        <v>074043</v>
      </c>
      <c r="M1141" t="str">
        <f>"80513"</f>
        <v>80513</v>
      </c>
      <c r="N1141" t="s">
        <v>392</v>
      </c>
      <c r="O1141">
        <v>-150</v>
      </c>
      <c r="P1141">
        <v>20180928</v>
      </c>
      <c r="Q1141" t="s">
        <v>339</v>
      </c>
      <c r="R1141" t="s">
        <v>412</v>
      </c>
      <c r="S1141" t="s">
        <v>295</v>
      </c>
      <c r="T1141" t="s">
        <v>106</v>
      </c>
    </row>
    <row r="1142" spans="1:20" x14ac:dyDescent="0.25">
      <c r="A1142">
        <v>9</v>
      </c>
      <c r="B1142">
        <v>181</v>
      </c>
      <c r="C1142" t="str">
        <f t="shared" si="124"/>
        <v>36</v>
      </c>
      <c r="D1142">
        <v>6219</v>
      </c>
      <c r="E1142" t="str">
        <f>"3F"</f>
        <v>3F</v>
      </c>
      <c r="F1142" t="str">
        <f>"041"</f>
        <v>041</v>
      </c>
      <c r="G1142">
        <v>9</v>
      </c>
      <c r="H1142" t="str">
        <f t="shared" si="125"/>
        <v>91</v>
      </c>
      <c r="I1142" t="str">
        <f t="shared" si="126"/>
        <v>0</v>
      </c>
      <c r="J1142" t="str">
        <f>"41"</f>
        <v>41</v>
      </c>
      <c r="K1142">
        <v>20180928</v>
      </c>
      <c r="L1142" t="str">
        <f>"074049"</f>
        <v>074049</v>
      </c>
      <c r="M1142" t="str">
        <f>"81715"</f>
        <v>81715</v>
      </c>
      <c r="N1142" t="s">
        <v>429</v>
      </c>
      <c r="O1142">
        <v>-150</v>
      </c>
      <c r="P1142">
        <v>20180928</v>
      </c>
      <c r="Q1142" t="s">
        <v>339</v>
      </c>
      <c r="R1142" t="s">
        <v>412</v>
      </c>
      <c r="S1142" t="s">
        <v>295</v>
      </c>
      <c r="T1142" t="s">
        <v>106</v>
      </c>
    </row>
    <row r="1143" spans="1:20" x14ac:dyDescent="0.25">
      <c r="A1143">
        <v>9</v>
      </c>
      <c r="B1143">
        <v>181</v>
      </c>
      <c r="C1143" t="str">
        <f t="shared" si="124"/>
        <v>36</v>
      </c>
      <c r="D1143">
        <v>6219</v>
      </c>
      <c r="E1143" t="str">
        <f>"3F"</f>
        <v>3F</v>
      </c>
      <c r="F1143" t="str">
        <f>"041"</f>
        <v>041</v>
      </c>
      <c r="G1143">
        <v>9</v>
      </c>
      <c r="H1143" t="str">
        <f t="shared" si="125"/>
        <v>91</v>
      </c>
      <c r="I1143" t="str">
        <f t="shared" si="126"/>
        <v>0</v>
      </c>
      <c r="J1143" t="str">
        <f>"41"</f>
        <v>41</v>
      </c>
      <c r="K1143">
        <v>20180928</v>
      </c>
      <c r="L1143" t="str">
        <f>"074049"</f>
        <v>074049</v>
      </c>
      <c r="M1143" t="str">
        <f>"81715"</f>
        <v>81715</v>
      </c>
      <c r="N1143" t="s">
        <v>429</v>
      </c>
      <c r="O1143">
        <v>-150</v>
      </c>
      <c r="P1143">
        <v>20180928</v>
      </c>
      <c r="Q1143" t="s">
        <v>339</v>
      </c>
      <c r="R1143" t="s">
        <v>412</v>
      </c>
      <c r="S1143" t="s">
        <v>295</v>
      </c>
      <c r="T1143" t="s">
        <v>106</v>
      </c>
    </row>
    <row r="1144" spans="1:20" x14ac:dyDescent="0.25">
      <c r="A1144">
        <v>9</v>
      </c>
      <c r="B1144">
        <v>181</v>
      </c>
      <c r="C1144" t="str">
        <f t="shared" si="124"/>
        <v>36</v>
      </c>
      <c r="D1144">
        <v>6219</v>
      </c>
      <c r="E1144" t="str">
        <f>"3F"</f>
        <v>3F</v>
      </c>
      <c r="F1144" t="str">
        <f>"001"</f>
        <v>001</v>
      </c>
      <c r="G1144">
        <v>9</v>
      </c>
      <c r="H1144" t="str">
        <f t="shared" si="125"/>
        <v>91</v>
      </c>
      <c r="I1144" t="str">
        <f t="shared" si="126"/>
        <v>0</v>
      </c>
      <c r="J1144" t="str">
        <f>"39"</f>
        <v>39</v>
      </c>
      <c r="K1144">
        <v>20180928</v>
      </c>
      <c r="L1144" t="str">
        <f>"074050"</f>
        <v>074050</v>
      </c>
      <c r="M1144" t="str">
        <f>"82310"</f>
        <v>82310</v>
      </c>
      <c r="N1144" t="s">
        <v>430</v>
      </c>
      <c r="O1144">
        <v>-60</v>
      </c>
      <c r="P1144">
        <v>20180928</v>
      </c>
      <c r="Q1144" t="s">
        <v>333</v>
      </c>
      <c r="R1144" t="s">
        <v>412</v>
      </c>
      <c r="S1144" t="s">
        <v>295</v>
      </c>
      <c r="T1144" t="s">
        <v>301</v>
      </c>
    </row>
    <row r="1145" spans="1:20" x14ac:dyDescent="0.25">
      <c r="A1145">
        <v>9</v>
      </c>
      <c r="B1145">
        <v>181</v>
      </c>
      <c r="C1145" t="str">
        <f t="shared" si="124"/>
        <v>36</v>
      </c>
      <c r="D1145">
        <v>6412</v>
      </c>
      <c r="E1145" t="str">
        <f>"3Y"</f>
        <v>3Y</v>
      </c>
      <c r="F1145" t="str">
        <f>"041"</f>
        <v>041</v>
      </c>
      <c r="G1145">
        <v>9</v>
      </c>
      <c r="H1145" t="str">
        <f t="shared" si="125"/>
        <v>91</v>
      </c>
      <c r="I1145" t="str">
        <f>"2"</f>
        <v>2</v>
      </c>
      <c r="J1145" t="str">
        <f>"41"</f>
        <v>41</v>
      </c>
      <c r="K1145">
        <v>20180928</v>
      </c>
      <c r="L1145" t="str">
        <f>"074059"</f>
        <v>074059</v>
      </c>
      <c r="M1145" t="str">
        <f>"18251"</f>
        <v>18251</v>
      </c>
      <c r="N1145" t="s">
        <v>302</v>
      </c>
      <c r="O1145">
        <v>300</v>
      </c>
      <c r="P1145">
        <v>20180928</v>
      </c>
      <c r="Q1145" t="s">
        <v>416</v>
      </c>
      <c r="R1145" t="s">
        <v>431</v>
      </c>
      <c r="S1145" t="s">
        <v>295</v>
      </c>
      <c r="T1145" t="s">
        <v>106</v>
      </c>
    </row>
    <row r="1146" spans="1:20" x14ac:dyDescent="0.25">
      <c r="A1146">
        <v>9</v>
      </c>
      <c r="B1146">
        <v>181</v>
      </c>
      <c r="C1146" t="str">
        <f t="shared" ref="C1146:C1164" si="127">"36"</f>
        <v>36</v>
      </c>
      <c r="D1146">
        <v>6411</v>
      </c>
      <c r="E1146" t="str">
        <f>"33"</f>
        <v>33</v>
      </c>
      <c r="F1146" t="str">
        <f>"001"</f>
        <v>001</v>
      </c>
      <c r="G1146">
        <v>9</v>
      </c>
      <c r="H1146" t="str">
        <f t="shared" ref="H1146:H1164" si="128">"91"</f>
        <v>91</v>
      </c>
      <c r="I1146" t="str">
        <f>"0"</f>
        <v>0</v>
      </c>
      <c r="J1146" t="str">
        <f>"39"</f>
        <v>39</v>
      </c>
      <c r="K1146">
        <v>20180928</v>
      </c>
      <c r="L1146" t="str">
        <f>"074069"</f>
        <v>074069</v>
      </c>
      <c r="M1146" t="str">
        <f>"30744"</f>
        <v>30744</v>
      </c>
      <c r="N1146" t="s">
        <v>422</v>
      </c>
      <c r="O1146">
        <v>20.02</v>
      </c>
      <c r="P1146">
        <v>20180928</v>
      </c>
      <c r="Q1146" t="s">
        <v>306</v>
      </c>
      <c r="R1146" t="s">
        <v>432</v>
      </c>
      <c r="S1146" t="s">
        <v>295</v>
      </c>
      <c r="T1146" t="s">
        <v>301</v>
      </c>
    </row>
    <row r="1147" spans="1:20" x14ac:dyDescent="0.25">
      <c r="A1147">
        <v>9</v>
      </c>
      <c r="B1147">
        <v>181</v>
      </c>
      <c r="C1147" t="str">
        <f t="shared" si="127"/>
        <v>36</v>
      </c>
      <c r="D1147">
        <v>6412</v>
      </c>
      <c r="E1147" t="str">
        <f>"3Y"</f>
        <v>3Y</v>
      </c>
      <c r="F1147" t="str">
        <f>"041"</f>
        <v>041</v>
      </c>
      <c r="G1147">
        <v>9</v>
      </c>
      <c r="H1147" t="str">
        <f t="shared" si="128"/>
        <v>91</v>
      </c>
      <c r="I1147" t="str">
        <f>"2"</f>
        <v>2</v>
      </c>
      <c r="J1147" t="str">
        <f>"41"</f>
        <v>41</v>
      </c>
      <c r="K1147">
        <v>20180928</v>
      </c>
      <c r="L1147" t="str">
        <f>"074071"</f>
        <v>074071</v>
      </c>
      <c r="M1147" t="str">
        <f>"34949"</f>
        <v>34949</v>
      </c>
      <c r="N1147" t="s">
        <v>423</v>
      </c>
      <c r="O1147">
        <v>100</v>
      </c>
      <c r="P1147">
        <v>20180928</v>
      </c>
      <c r="Q1147" t="s">
        <v>416</v>
      </c>
      <c r="R1147" t="s">
        <v>433</v>
      </c>
      <c r="S1147" t="s">
        <v>295</v>
      </c>
      <c r="T1147" t="s">
        <v>106</v>
      </c>
    </row>
    <row r="1148" spans="1:20" x14ac:dyDescent="0.25">
      <c r="A1148">
        <v>9</v>
      </c>
      <c r="B1148">
        <v>181</v>
      </c>
      <c r="C1148" t="str">
        <f t="shared" si="127"/>
        <v>36</v>
      </c>
      <c r="D1148">
        <v>6649</v>
      </c>
      <c r="E1148" t="str">
        <f>"38"</f>
        <v>38</v>
      </c>
      <c r="F1148" t="str">
        <f>"001"</f>
        <v>001</v>
      </c>
      <c r="G1148">
        <v>9</v>
      </c>
      <c r="H1148" t="str">
        <f t="shared" si="128"/>
        <v>91</v>
      </c>
      <c r="I1148" t="str">
        <f>"0"</f>
        <v>0</v>
      </c>
      <c r="J1148" t="str">
        <f>"39"</f>
        <v>39</v>
      </c>
      <c r="K1148">
        <v>20181005</v>
      </c>
      <c r="L1148" t="str">
        <f>"074091"</f>
        <v>074091</v>
      </c>
      <c r="M1148" t="str">
        <f>"04410"</f>
        <v>04410</v>
      </c>
      <c r="N1148" t="s">
        <v>410</v>
      </c>
      <c r="O1148">
        <v>187.76</v>
      </c>
      <c r="P1148">
        <v>20181001</v>
      </c>
      <c r="Q1148" t="s">
        <v>411</v>
      </c>
      <c r="R1148" t="s">
        <v>434</v>
      </c>
      <c r="S1148" t="s">
        <v>295</v>
      </c>
      <c r="T1148" t="s">
        <v>301</v>
      </c>
    </row>
    <row r="1149" spans="1:20" x14ac:dyDescent="0.25">
      <c r="A1149">
        <v>9</v>
      </c>
      <c r="B1149">
        <v>181</v>
      </c>
      <c r="C1149" t="str">
        <f t="shared" si="127"/>
        <v>36</v>
      </c>
      <c r="D1149">
        <v>6219</v>
      </c>
      <c r="E1149" t="str">
        <f>"3Y"</f>
        <v>3Y</v>
      </c>
      <c r="F1149" t="str">
        <f>"041"</f>
        <v>041</v>
      </c>
      <c r="G1149">
        <v>9</v>
      </c>
      <c r="H1149" t="str">
        <f t="shared" si="128"/>
        <v>91</v>
      </c>
      <c r="I1149" t="str">
        <f>"0"</f>
        <v>0</v>
      </c>
      <c r="J1149" t="str">
        <f>"41"</f>
        <v>41</v>
      </c>
      <c r="K1149">
        <v>20181005</v>
      </c>
      <c r="L1149" t="str">
        <f>"074098"</f>
        <v>074098</v>
      </c>
      <c r="M1149" t="str">
        <f>"11171"</f>
        <v>11171</v>
      </c>
      <c r="N1149" t="s">
        <v>413</v>
      </c>
      <c r="O1149">
        <v>85</v>
      </c>
      <c r="P1149">
        <v>20181001</v>
      </c>
      <c r="Q1149" t="s">
        <v>355</v>
      </c>
      <c r="R1149" t="s">
        <v>435</v>
      </c>
      <c r="S1149" t="s">
        <v>295</v>
      </c>
      <c r="T1149" t="s">
        <v>106</v>
      </c>
    </row>
    <row r="1150" spans="1:20" x14ac:dyDescent="0.25">
      <c r="A1150">
        <v>9</v>
      </c>
      <c r="B1150">
        <v>181</v>
      </c>
      <c r="C1150" t="str">
        <f t="shared" si="127"/>
        <v>36</v>
      </c>
      <c r="D1150">
        <v>6412</v>
      </c>
      <c r="E1150" t="str">
        <f>"3Y"</f>
        <v>3Y</v>
      </c>
      <c r="F1150" t="str">
        <f>"001"</f>
        <v>001</v>
      </c>
      <c r="G1150">
        <v>9</v>
      </c>
      <c r="H1150" t="str">
        <f t="shared" si="128"/>
        <v>91</v>
      </c>
      <c r="I1150" t="str">
        <f>"1"</f>
        <v>1</v>
      </c>
      <c r="J1150" t="str">
        <f>"39"</f>
        <v>39</v>
      </c>
      <c r="K1150">
        <v>20181005</v>
      </c>
      <c r="L1150" t="str">
        <f>"074101"</f>
        <v>074101</v>
      </c>
      <c r="M1150" t="str">
        <f>"14146"</f>
        <v>14146</v>
      </c>
      <c r="N1150" t="s">
        <v>414</v>
      </c>
      <c r="O1150">
        <v>140</v>
      </c>
      <c r="P1150">
        <v>20181001</v>
      </c>
      <c r="Q1150" t="s">
        <v>350</v>
      </c>
      <c r="R1150" t="s">
        <v>436</v>
      </c>
      <c r="S1150" t="s">
        <v>295</v>
      </c>
      <c r="T1150" t="s">
        <v>301</v>
      </c>
    </row>
    <row r="1151" spans="1:20" x14ac:dyDescent="0.25">
      <c r="A1151">
        <v>9</v>
      </c>
      <c r="B1151">
        <v>181</v>
      </c>
      <c r="C1151" t="str">
        <f t="shared" si="127"/>
        <v>36</v>
      </c>
      <c r="D1151">
        <v>6219</v>
      </c>
      <c r="E1151" t="str">
        <f>"3Y"</f>
        <v>3Y</v>
      </c>
      <c r="F1151" t="str">
        <f>"001"</f>
        <v>001</v>
      </c>
      <c r="G1151">
        <v>9</v>
      </c>
      <c r="H1151" t="str">
        <f t="shared" si="128"/>
        <v>91</v>
      </c>
      <c r="I1151" t="str">
        <f>"0"</f>
        <v>0</v>
      </c>
      <c r="J1151" t="str">
        <f>"39"</f>
        <v>39</v>
      </c>
      <c r="K1151">
        <v>20181005</v>
      </c>
      <c r="L1151" t="str">
        <f>"074102"</f>
        <v>074102</v>
      </c>
      <c r="M1151" t="str">
        <f>"00566"</f>
        <v>00566</v>
      </c>
      <c r="N1151" t="s">
        <v>415</v>
      </c>
      <c r="O1151">
        <v>115</v>
      </c>
      <c r="P1151">
        <v>20181001</v>
      </c>
      <c r="Q1151" t="s">
        <v>330</v>
      </c>
      <c r="R1151" t="s">
        <v>331</v>
      </c>
      <c r="S1151" t="s">
        <v>295</v>
      </c>
      <c r="T1151" t="s">
        <v>301</v>
      </c>
    </row>
    <row r="1152" spans="1:20" x14ac:dyDescent="0.25">
      <c r="A1152">
        <v>9</v>
      </c>
      <c r="B1152">
        <v>181</v>
      </c>
      <c r="C1152" t="str">
        <f t="shared" si="127"/>
        <v>36</v>
      </c>
      <c r="D1152">
        <v>6219</v>
      </c>
      <c r="E1152" t="str">
        <f>"3F"</f>
        <v>3F</v>
      </c>
      <c r="F1152" t="str">
        <f>"041"</f>
        <v>041</v>
      </c>
      <c r="G1152">
        <v>9</v>
      </c>
      <c r="H1152" t="str">
        <f t="shared" si="128"/>
        <v>91</v>
      </c>
      <c r="I1152" t="str">
        <f>"0"</f>
        <v>0</v>
      </c>
      <c r="J1152" t="str">
        <f>"41"</f>
        <v>41</v>
      </c>
      <c r="K1152">
        <v>20181005</v>
      </c>
      <c r="L1152" t="str">
        <f>"074107"</f>
        <v>074107</v>
      </c>
      <c r="M1152" t="str">
        <f>"20433"</f>
        <v>20433</v>
      </c>
      <c r="N1152" t="s">
        <v>332</v>
      </c>
      <c r="O1152">
        <v>40</v>
      </c>
      <c r="P1152">
        <v>20181001</v>
      </c>
      <c r="Q1152" t="s">
        <v>339</v>
      </c>
      <c r="R1152" t="s">
        <v>376</v>
      </c>
      <c r="S1152" t="s">
        <v>295</v>
      </c>
      <c r="T1152" t="s">
        <v>106</v>
      </c>
    </row>
    <row r="1153" spans="1:20" x14ac:dyDescent="0.25">
      <c r="A1153">
        <v>9</v>
      </c>
      <c r="B1153">
        <v>181</v>
      </c>
      <c r="C1153" t="str">
        <f t="shared" si="127"/>
        <v>36</v>
      </c>
      <c r="D1153">
        <v>6412</v>
      </c>
      <c r="E1153" t="str">
        <f>"3Y"</f>
        <v>3Y</v>
      </c>
      <c r="F1153" t="str">
        <f>"001"</f>
        <v>001</v>
      </c>
      <c r="G1153">
        <v>9</v>
      </c>
      <c r="H1153" t="str">
        <f t="shared" si="128"/>
        <v>91</v>
      </c>
      <c r="I1153" t="str">
        <f>"1"</f>
        <v>1</v>
      </c>
      <c r="J1153" t="str">
        <f>"39"</f>
        <v>39</v>
      </c>
      <c r="K1153">
        <v>20181005</v>
      </c>
      <c r="L1153" t="str">
        <f>"074108"</f>
        <v>074108</v>
      </c>
      <c r="M1153" t="str">
        <f>"20465"</f>
        <v>20465</v>
      </c>
      <c r="N1153" t="s">
        <v>417</v>
      </c>
      <c r="O1153">
        <v>212.3</v>
      </c>
      <c r="P1153">
        <v>20181001</v>
      </c>
      <c r="Q1153" t="s">
        <v>350</v>
      </c>
      <c r="R1153" t="s">
        <v>437</v>
      </c>
      <c r="S1153" t="s">
        <v>295</v>
      </c>
      <c r="T1153" t="s">
        <v>301</v>
      </c>
    </row>
    <row r="1154" spans="1:20" x14ac:dyDescent="0.25">
      <c r="A1154">
        <v>9</v>
      </c>
      <c r="B1154">
        <v>181</v>
      </c>
      <c r="C1154" t="str">
        <f t="shared" si="127"/>
        <v>36</v>
      </c>
      <c r="D1154">
        <v>6412</v>
      </c>
      <c r="E1154" t="str">
        <f>"3Y"</f>
        <v>3Y</v>
      </c>
      <c r="F1154" t="str">
        <f>"001"</f>
        <v>001</v>
      </c>
      <c r="G1154">
        <v>9</v>
      </c>
      <c r="H1154" t="str">
        <f t="shared" si="128"/>
        <v>91</v>
      </c>
      <c r="I1154" t="str">
        <f>"1"</f>
        <v>1</v>
      </c>
      <c r="J1154" t="str">
        <f>"39"</f>
        <v>39</v>
      </c>
      <c r="K1154">
        <v>20181005</v>
      </c>
      <c r="L1154" t="str">
        <f>"074108"</f>
        <v>074108</v>
      </c>
      <c r="M1154" t="str">
        <f>"20465"</f>
        <v>20465</v>
      </c>
      <c r="N1154" t="s">
        <v>417</v>
      </c>
      <c r="O1154">
        <v>324.91000000000003</v>
      </c>
      <c r="P1154">
        <v>20181003</v>
      </c>
      <c r="Q1154" t="s">
        <v>350</v>
      </c>
      <c r="R1154" t="s">
        <v>438</v>
      </c>
      <c r="S1154" t="s">
        <v>295</v>
      </c>
      <c r="T1154" t="s">
        <v>301</v>
      </c>
    </row>
    <row r="1155" spans="1:20" x14ac:dyDescent="0.25">
      <c r="A1155">
        <v>9</v>
      </c>
      <c r="B1155">
        <v>181</v>
      </c>
      <c r="C1155" t="str">
        <f t="shared" si="127"/>
        <v>36</v>
      </c>
      <c r="D1155">
        <v>6412</v>
      </c>
      <c r="E1155" t="str">
        <f>"3T"</f>
        <v>3T</v>
      </c>
      <c r="F1155" t="str">
        <f>"001"</f>
        <v>001</v>
      </c>
      <c r="G1155">
        <v>9</v>
      </c>
      <c r="H1155" t="str">
        <f t="shared" si="128"/>
        <v>91</v>
      </c>
      <c r="I1155" t="str">
        <f>"1"</f>
        <v>1</v>
      </c>
      <c r="J1155" t="str">
        <f>"39"</f>
        <v>39</v>
      </c>
      <c r="K1155">
        <v>20181005</v>
      </c>
      <c r="L1155" t="str">
        <f>"074109"</f>
        <v>074109</v>
      </c>
      <c r="M1155" t="str">
        <f>"51346"</f>
        <v>51346</v>
      </c>
      <c r="N1155" t="s">
        <v>418</v>
      </c>
      <c r="O1155">
        <v>156</v>
      </c>
      <c r="P1155">
        <v>20181001</v>
      </c>
      <c r="Q1155" t="s">
        <v>419</v>
      </c>
      <c r="R1155" t="s">
        <v>439</v>
      </c>
      <c r="S1155" t="s">
        <v>295</v>
      </c>
      <c r="T1155" t="s">
        <v>301</v>
      </c>
    </row>
    <row r="1156" spans="1:20" x14ac:dyDescent="0.25">
      <c r="A1156">
        <v>9</v>
      </c>
      <c r="B1156">
        <v>181</v>
      </c>
      <c r="C1156" t="str">
        <f t="shared" si="127"/>
        <v>36</v>
      </c>
      <c r="D1156">
        <v>6412</v>
      </c>
      <c r="E1156" t="str">
        <f>"3Y"</f>
        <v>3Y</v>
      </c>
      <c r="F1156" t="str">
        <f>"041"</f>
        <v>041</v>
      </c>
      <c r="G1156">
        <v>9</v>
      </c>
      <c r="H1156" t="str">
        <f t="shared" si="128"/>
        <v>91</v>
      </c>
      <c r="I1156" t="str">
        <f>"1"</f>
        <v>1</v>
      </c>
      <c r="J1156" t="str">
        <f>"41"</f>
        <v>41</v>
      </c>
      <c r="K1156">
        <v>20181005</v>
      </c>
      <c r="L1156" t="str">
        <f>"074109"</f>
        <v>074109</v>
      </c>
      <c r="M1156" t="str">
        <f>"51346"</f>
        <v>51346</v>
      </c>
      <c r="N1156" t="s">
        <v>418</v>
      </c>
      <c r="O1156">
        <v>110.5</v>
      </c>
      <c r="P1156">
        <v>20181003</v>
      </c>
      <c r="Q1156" t="s">
        <v>403</v>
      </c>
      <c r="R1156" t="s">
        <v>431</v>
      </c>
      <c r="S1156" t="s">
        <v>295</v>
      </c>
      <c r="T1156" t="s">
        <v>106</v>
      </c>
    </row>
    <row r="1157" spans="1:20" x14ac:dyDescent="0.25">
      <c r="A1157">
        <v>9</v>
      </c>
      <c r="B1157">
        <v>181</v>
      </c>
      <c r="C1157" t="str">
        <f t="shared" si="127"/>
        <v>36</v>
      </c>
      <c r="D1157">
        <v>6219</v>
      </c>
      <c r="E1157" t="str">
        <f>"3Y"</f>
        <v>3Y</v>
      </c>
      <c r="F1157" t="str">
        <f>"001"</f>
        <v>001</v>
      </c>
      <c r="G1157">
        <v>9</v>
      </c>
      <c r="H1157" t="str">
        <f t="shared" si="128"/>
        <v>91</v>
      </c>
      <c r="I1157" t="str">
        <f>"0"</f>
        <v>0</v>
      </c>
      <c r="J1157" t="str">
        <f>"39"</f>
        <v>39</v>
      </c>
      <c r="K1157">
        <v>20181005</v>
      </c>
      <c r="L1157" t="str">
        <f>"074113"</f>
        <v>074113</v>
      </c>
      <c r="M1157" t="str">
        <f>"00124"</f>
        <v>00124</v>
      </c>
      <c r="N1157" t="s">
        <v>440</v>
      </c>
      <c r="O1157">
        <v>100</v>
      </c>
      <c r="P1157">
        <v>20181001</v>
      </c>
      <c r="Q1157" t="s">
        <v>330</v>
      </c>
      <c r="R1157" t="s">
        <v>441</v>
      </c>
      <c r="S1157" t="s">
        <v>295</v>
      </c>
      <c r="T1157" t="s">
        <v>301</v>
      </c>
    </row>
    <row r="1158" spans="1:20" x14ac:dyDescent="0.25">
      <c r="A1158">
        <v>9</v>
      </c>
      <c r="B1158">
        <v>181</v>
      </c>
      <c r="C1158" t="str">
        <f t="shared" si="127"/>
        <v>36</v>
      </c>
      <c r="D1158">
        <v>6412</v>
      </c>
      <c r="E1158" t="str">
        <f>"3C"</f>
        <v>3C</v>
      </c>
      <c r="F1158" t="str">
        <f>"001"</f>
        <v>001</v>
      </c>
      <c r="G1158">
        <v>9</v>
      </c>
      <c r="H1158" t="str">
        <f t="shared" si="128"/>
        <v>91</v>
      </c>
      <c r="I1158" t="str">
        <f>"1"</f>
        <v>1</v>
      </c>
      <c r="J1158" t="str">
        <f>"39"</f>
        <v>39</v>
      </c>
      <c r="K1158">
        <v>20181005</v>
      </c>
      <c r="L1158" t="str">
        <f>"074118"</f>
        <v>074118</v>
      </c>
      <c r="M1158" t="str">
        <f>"24358"</f>
        <v>24358</v>
      </c>
      <c r="N1158" t="s">
        <v>336</v>
      </c>
      <c r="O1158">
        <v>80.03</v>
      </c>
      <c r="P1158">
        <v>20181001</v>
      </c>
      <c r="Q1158" t="s">
        <v>421</v>
      </c>
      <c r="R1158" t="s">
        <v>299</v>
      </c>
      <c r="S1158" t="s">
        <v>295</v>
      </c>
      <c r="T1158" t="s">
        <v>301</v>
      </c>
    </row>
    <row r="1159" spans="1:20" x14ac:dyDescent="0.25">
      <c r="A1159">
        <v>9</v>
      </c>
      <c r="B1159">
        <v>181</v>
      </c>
      <c r="C1159" t="str">
        <f t="shared" si="127"/>
        <v>36</v>
      </c>
      <c r="D1159">
        <v>6219</v>
      </c>
      <c r="E1159" t="str">
        <f>"3Y"</f>
        <v>3Y</v>
      </c>
      <c r="F1159" t="str">
        <f>"001"</f>
        <v>001</v>
      </c>
      <c r="G1159">
        <v>9</v>
      </c>
      <c r="H1159" t="str">
        <f t="shared" si="128"/>
        <v>91</v>
      </c>
      <c r="I1159" t="str">
        <f>"1"</f>
        <v>1</v>
      </c>
      <c r="J1159" t="str">
        <f>"39"</f>
        <v>39</v>
      </c>
      <c r="K1159">
        <v>20181005</v>
      </c>
      <c r="L1159" t="str">
        <f>"074131"</f>
        <v>074131</v>
      </c>
      <c r="M1159" t="str">
        <f>"30118"</f>
        <v>30118</v>
      </c>
      <c r="N1159" t="s">
        <v>347</v>
      </c>
      <c r="O1159">
        <v>128</v>
      </c>
      <c r="P1159">
        <v>20181004</v>
      </c>
      <c r="Q1159" t="s">
        <v>408</v>
      </c>
      <c r="R1159" t="s">
        <v>442</v>
      </c>
      <c r="S1159" t="s">
        <v>295</v>
      </c>
      <c r="T1159" t="s">
        <v>301</v>
      </c>
    </row>
    <row r="1160" spans="1:20" x14ac:dyDescent="0.25">
      <c r="A1160">
        <v>9</v>
      </c>
      <c r="B1160">
        <v>181</v>
      </c>
      <c r="C1160" t="str">
        <f t="shared" si="127"/>
        <v>36</v>
      </c>
      <c r="D1160">
        <v>6412</v>
      </c>
      <c r="E1160" t="str">
        <f>"3G"</f>
        <v>3G</v>
      </c>
      <c r="F1160" t="str">
        <f>"001"</f>
        <v>001</v>
      </c>
      <c r="G1160">
        <v>9</v>
      </c>
      <c r="H1160" t="str">
        <f t="shared" si="128"/>
        <v>91</v>
      </c>
      <c r="I1160" t="str">
        <f>"2"</f>
        <v>2</v>
      </c>
      <c r="J1160" t="str">
        <f>"39"</f>
        <v>39</v>
      </c>
      <c r="K1160">
        <v>20181005</v>
      </c>
      <c r="L1160" t="str">
        <f>"074134"</f>
        <v>074134</v>
      </c>
      <c r="M1160" t="str">
        <f>"34949"</f>
        <v>34949</v>
      </c>
      <c r="N1160" t="s">
        <v>423</v>
      </c>
      <c r="O1160">
        <v>200</v>
      </c>
      <c r="P1160">
        <v>20181004</v>
      </c>
      <c r="Q1160" t="s">
        <v>309</v>
      </c>
      <c r="R1160" t="s">
        <v>443</v>
      </c>
      <c r="S1160" t="s">
        <v>295</v>
      </c>
      <c r="T1160" t="s">
        <v>301</v>
      </c>
    </row>
    <row r="1161" spans="1:20" x14ac:dyDescent="0.25">
      <c r="A1161">
        <v>9</v>
      </c>
      <c r="B1161">
        <v>181</v>
      </c>
      <c r="C1161" t="str">
        <f t="shared" si="127"/>
        <v>36</v>
      </c>
      <c r="D1161">
        <v>6219</v>
      </c>
      <c r="E1161" t="str">
        <f>"3Y"</f>
        <v>3Y</v>
      </c>
      <c r="F1161" t="str">
        <f>"041"</f>
        <v>041</v>
      </c>
      <c r="G1161">
        <v>9</v>
      </c>
      <c r="H1161" t="str">
        <f t="shared" si="128"/>
        <v>91</v>
      </c>
      <c r="I1161" t="str">
        <f t="shared" ref="I1161:I1171" si="129">"0"</f>
        <v>0</v>
      </c>
      <c r="J1161" t="str">
        <f>"41"</f>
        <v>41</v>
      </c>
      <c r="K1161">
        <v>20181005</v>
      </c>
      <c r="L1161" t="str">
        <f>"074136"</f>
        <v>074136</v>
      </c>
      <c r="M1161" t="str">
        <f>"35025"</f>
        <v>35025</v>
      </c>
      <c r="N1161" t="s">
        <v>424</v>
      </c>
      <c r="O1161">
        <v>85</v>
      </c>
      <c r="P1161">
        <v>20181001</v>
      </c>
      <c r="Q1161" t="s">
        <v>355</v>
      </c>
      <c r="R1161" t="s">
        <v>435</v>
      </c>
      <c r="S1161" t="s">
        <v>295</v>
      </c>
      <c r="T1161" t="s">
        <v>106</v>
      </c>
    </row>
    <row r="1162" spans="1:20" x14ac:dyDescent="0.25">
      <c r="A1162">
        <v>9</v>
      </c>
      <c r="B1162">
        <v>181</v>
      </c>
      <c r="C1162" t="str">
        <f t="shared" si="127"/>
        <v>36</v>
      </c>
      <c r="D1162">
        <v>6219</v>
      </c>
      <c r="E1162" t="str">
        <f>"3Y"</f>
        <v>3Y</v>
      </c>
      <c r="F1162" t="str">
        <f>"041"</f>
        <v>041</v>
      </c>
      <c r="G1162">
        <v>9</v>
      </c>
      <c r="H1162" t="str">
        <f t="shared" si="128"/>
        <v>91</v>
      </c>
      <c r="I1162" t="str">
        <f t="shared" si="129"/>
        <v>0</v>
      </c>
      <c r="J1162" t="str">
        <f>"41"</f>
        <v>41</v>
      </c>
      <c r="K1162">
        <v>20181005</v>
      </c>
      <c r="L1162" t="str">
        <f>"074140"</f>
        <v>074140</v>
      </c>
      <c r="M1162" t="str">
        <f>"39420"</f>
        <v>39420</v>
      </c>
      <c r="N1162" t="s">
        <v>357</v>
      </c>
      <c r="O1162">
        <v>85</v>
      </c>
      <c r="P1162">
        <v>20181001</v>
      </c>
      <c r="Q1162" t="s">
        <v>355</v>
      </c>
      <c r="R1162" t="s">
        <v>435</v>
      </c>
      <c r="S1162" t="s">
        <v>295</v>
      </c>
      <c r="T1162" t="s">
        <v>106</v>
      </c>
    </row>
    <row r="1163" spans="1:20" x14ac:dyDescent="0.25">
      <c r="A1163">
        <v>9</v>
      </c>
      <c r="B1163">
        <v>181</v>
      </c>
      <c r="C1163" t="str">
        <f t="shared" si="127"/>
        <v>36</v>
      </c>
      <c r="D1163">
        <v>6219</v>
      </c>
      <c r="E1163" t="str">
        <f>"3Y"</f>
        <v>3Y</v>
      </c>
      <c r="F1163" t="str">
        <f>"001"</f>
        <v>001</v>
      </c>
      <c r="G1163">
        <v>9</v>
      </c>
      <c r="H1163" t="str">
        <f t="shared" si="128"/>
        <v>91</v>
      </c>
      <c r="I1163" t="str">
        <f t="shared" si="129"/>
        <v>0</v>
      </c>
      <c r="J1163" t="str">
        <f>"39"</f>
        <v>39</v>
      </c>
      <c r="K1163">
        <v>20181005</v>
      </c>
      <c r="L1163" t="str">
        <f>"074148"</f>
        <v>074148</v>
      </c>
      <c r="M1163" t="str">
        <f>"49189"</f>
        <v>49189</v>
      </c>
      <c r="N1163" t="s">
        <v>364</v>
      </c>
      <c r="O1163">
        <v>115</v>
      </c>
      <c r="P1163">
        <v>20181001</v>
      </c>
      <c r="Q1163" t="s">
        <v>330</v>
      </c>
      <c r="R1163" t="s">
        <v>441</v>
      </c>
      <c r="S1163" t="s">
        <v>295</v>
      </c>
      <c r="T1163" t="s">
        <v>301</v>
      </c>
    </row>
    <row r="1164" spans="1:20" x14ac:dyDescent="0.25">
      <c r="A1164">
        <v>9</v>
      </c>
      <c r="B1164">
        <v>181</v>
      </c>
      <c r="C1164" t="str">
        <f t="shared" si="127"/>
        <v>36</v>
      </c>
      <c r="D1164">
        <v>6219</v>
      </c>
      <c r="E1164" t="str">
        <f>"3Y"</f>
        <v>3Y</v>
      </c>
      <c r="F1164" t="str">
        <f>"001"</f>
        <v>001</v>
      </c>
      <c r="G1164">
        <v>9</v>
      </c>
      <c r="H1164" t="str">
        <f t="shared" si="128"/>
        <v>91</v>
      </c>
      <c r="I1164" t="str">
        <f t="shared" si="129"/>
        <v>0</v>
      </c>
      <c r="J1164" t="str">
        <f>"39"</f>
        <v>39</v>
      </c>
      <c r="K1164">
        <v>20181005</v>
      </c>
      <c r="L1164" t="str">
        <f>"074150"</f>
        <v>074150</v>
      </c>
      <c r="M1164" t="str">
        <f>"00567"</f>
        <v>00567</v>
      </c>
      <c r="N1164" t="s">
        <v>425</v>
      </c>
      <c r="O1164">
        <v>115</v>
      </c>
      <c r="P1164">
        <v>20181001</v>
      </c>
      <c r="Q1164" t="s">
        <v>330</v>
      </c>
      <c r="R1164" t="s">
        <v>331</v>
      </c>
      <c r="S1164" t="s">
        <v>295</v>
      </c>
      <c r="T1164" t="s">
        <v>301</v>
      </c>
    </row>
    <row r="1165" spans="1:20" x14ac:dyDescent="0.25">
      <c r="A1165">
        <v>9</v>
      </c>
      <c r="B1165">
        <v>181</v>
      </c>
      <c r="C1165" t="str">
        <f>"00"</f>
        <v>00</v>
      </c>
      <c r="D1165">
        <v>1109</v>
      </c>
      <c r="E1165" t="str">
        <f>"01"</f>
        <v>01</v>
      </c>
      <c r="F1165" t="str">
        <f>"001"</f>
        <v>001</v>
      </c>
      <c r="G1165">
        <v>9</v>
      </c>
      <c r="H1165" t="str">
        <f>"00"</f>
        <v>00</v>
      </c>
      <c r="I1165" t="str">
        <f t="shared" si="129"/>
        <v>0</v>
      </c>
      <c r="J1165" t="str">
        <f>"00"</f>
        <v>00</v>
      </c>
      <c r="K1165">
        <v>20181005</v>
      </c>
      <c r="L1165" t="str">
        <f>"074151"</f>
        <v>074151</v>
      </c>
      <c r="M1165" t="str">
        <f>"52196"</f>
        <v>52196</v>
      </c>
      <c r="N1165" t="s">
        <v>292</v>
      </c>
      <c r="O1165" s="1">
        <v>3500</v>
      </c>
      <c r="P1165">
        <v>20181004</v>
      </c>
      <c r="Q1165" t="s">
        <v>444</v>
      </c>
      <c r="R1165" t="s">
        <v>445</v>
      </c>
      <c r="S1165" t="s">
        <v>295</v>
      </c>
      <c r="T1165" t="s">
        <v>301</v>
      </c>
    </row>
    <row r="1166" spans="1:20" x14ac:dyDescent="0.25">
      <c r="A1166">
        <v>9</v>
      </c>
      <c r="B1166">
        <v>181</v>
      </c>
      <c r="C1166" t="str">
        <f t="shared" ref="C1166:C1197" si="130">"36"</f>
        <v>36</v>
      </c>
      <c r="D1166">
        <v>6219</v>
      </c>
      <c r="E1166" t="str">
        <f>"3F"</f>
        <v>3F</v>
      </c>
      <c r="F1166" t="str">
        <f>"041"</f>
        <v>041</v>
      </c>
      <c r="G1166">
        <v>9</v>
      </c>
      <c r="H1166" t="str">
        <f t="shared" ref="H1166:H1197" si="131">"91"</f>
        <v>91</v>
      </c>
      <c r="I1166" t="str">
        <f t="shared" si="129"/>
        <v>0</v>
      </c>
      <c r="J1166" t="str">
        <f>"41"</f>
        <v>41</v>
      </c>
      <c r="K1166">
        <v>20181005</v>
      </c>
      <c r="L1166" t="str">
        <f>"074159"</f>
        <v>074159</v>
      </c>
      <c r="M1166" t="str">
        <f>"54820"</f>
        <v>54820</v>
      </c>
      <c r="N1166" t="s">
        <v>366</v>
      </c>
      <c r="O1166">
        <v>150</v>
      </c>
      <c r="P1166">
        <v>20181001</v>
      </c>
      <c r="Q1166" t="s">
        <v>339</v>
      </c>
      <c r="R1166" t="s">
        <v>376</v>
      </c>
      <c r="S1166" t="s">
        <v>295</v>
      </c>
      <c r="T1166" t="s">
        <v>106</v>
      </c>
    </row>
    <row r="1167" spans="1:20" x14ac:dyDescent="0.25">
      <c r="A1167">
        <v>9</v>
      </c>
      <c r="B1167">
        <v>181</v>
      </c>
      <c r="C1167" t="str">
        <f t="shared" si="130"/>
        <v>36</v>
      </c>
      <c r="D1167">
        <v>6219</v>
      </c>
      <c r="E1167" t="str">
        <f>"3F"</f>
        <v>3F</v>
      </c>
      <c r="F1167" t="str">
        <f>"041"</f>
        <v>041</v>
      </c>
      <c r="G1167">
        <v>9</v>
      </c>
      <c r="H1167" t="str">
        <f t="shared" si="131"/>
        <v>91</v>
      </c>
      <c r="I1167" t="str">
        <f t="shared" si="129"/>
        <v>0</v>
      </c>
      <c r="J1167" t="str">
        <f>"41"</f>
        <v>41</v>
      </c>
      <c r="K1167">
        <v>20181005</v>
      </c>
      <c r="L1167" t="str">
        <f>"074159"</f>
        <v>074159</v>
      </c>
      <c r="M1167" t="str">
        <f>"54820"</f>
        <v>54820</v>
      </c>
      <c r="N1167" t="s">
        <v>366</v>
      </c>
      <c r="O1167">
        <v>150</v>
      </c>
      <c r="P1167">
        <v>20181001</v>
      </c>
      <c r="Q1167" t="s">
        <v>339</v>
      </c>
      <c r="R1167" t="s">
        <v>446</v>
      </c>
      <c r="S1167" t="s">
        <v>295</v>
      </c>
      <c r="T1167" t="s">
        <v>106</v>
      </c>
    </row>
    <row r="1168" spans="1:20" x14ac:dyDescent="0.25">
      <c r="A1168">
        <v>9</v>
      </c>
      <c r="B1168">
        <v>181</v>
      </c>
      <c r="C1168" t="str">
        <f t="shared" si="130"/>
        <v>36</v>
      </c>
      <c r="D1168">
        <v>6219</v>
      </c>
      <c r="E1168" t="str">
        <f>"3Y"</f>
        <v>3Y</v>
      </c>
      <c r="F1168" t="str">
        <f>"001"</f>
        <v>001</v>
      </c>
      <c r="G1168">
        <v>9</v>
      </c>
      <c r="H1168" t="str">
        <f t="shared" si="131"/>
        <v>91</v>
      </c>
      <c r="I1168" t="str">
        <f t="shared" si="129"/>
        <v>0</v>
      </c>
      <c r="J1168" t="str">
        <f>"39"</f>
        <v>39</v>
      </c>
      <c r="K1168">
        <v>20181005</v>
      </c>
      <c r="L1168" t="str">
        <f>"074162"</f>
        <v>074162</v>
      </c>
      <c r="M1168" t="str">
        <f>"56569"</f>
        <v>56569</v>
      </c>
      <c r="N1168" t="s">
        <v>367</v>
      </c>
      <c r="O1168">
        <v>115</v>
      </c>
      <c r="P1168">
        <v>20181004</v>
      </c>
      <c r="Q1168" t="s">
        <v>330</v>
      </c>
      <c r="R1168" t="s">
        <v>442</v>
      </c>
      <c r="S1168" t="s">
        <v>295</v>
      </c>
      <c r="T1168" t="s">
        <v>301</v>
      </c>
    </row>
    <row r="1169" spans="1:20" x14ac:dyDescent="0.25">
      <c r="A1169">
        <v>9</v>
      </c>
      <c r="B1169">
        <v>181</v>
      </c>
      <c r="C1169" t="str">
        <f t="shared" si="130"/>
        <v>36</v>
      </c>
      <c r="D1169">
        <v>6219</v>
      </c>
      <c r="E1169" t="str">
        <f>"3Y"</f>
        <v>3Y</v>
      </c>
      <c r="F1169" t="str">
        <f>"001"</f>
        <v>001</v>
      </c>
      <c r="G1169">
        <v>9</v>
      </c>
      <c r="H1169" t="str">
        <f t="shared" si="131"/>
        <v>91</v>
      </c>
      <c r="I1169" t="str">
        <f t="shared" si="129"/>
        <v>0</v>
      </c>
      <c r="J1169" t="str">
        <f>"39"</f>
        <v>39</v>
      </c>
      <c r="K1169">
        <v>20181005</v>
      </c>
      <c r="L1169" t="str">
        <f>"074164"</f>
        <v>074164</v>
      </c>
      <c r="M1169" t="str">
        <f>"57981"</f>
        <v>57981</v>
      </c>
      <c r="N1169" t="s">
        <v>426</v>
      </c>
      <c r="O1169">
        <v>115</v>
      </c>
      <c r="P1169">
        <v>20181004</v>
      </c>
      <c r="Q1169" t="s">
        <v>330</v>
      </c>
      <c r="R1169" t="s">
        <v>442</v>
      </c>
      <c r="S1169" t="s">
        <v>295</v>
      </c>
      <c r="T1169" t="s">
        <v>301</v>
      </c>
    </row>
    <row r="1170" spans="1:20" x14ac:dyDescent="0.25">
      <c r="A1170">
        <v>9</v>
      </c>
      <c r="B1170">
        <v>181</v>
      </c>
      <c r="C1170" t="str">
        <f t="shared" si="130"/>
        <v>36</v>
      </c>
      <c r="D1170">
        <v>6219</v>
      </c>
      <c r="E1170" t="str">
        <f>"3Y"</f>
        <v>3Y</v>
      </c>
      <c r="F1170" t="str">
        <f>"001"</f>
        <v>001</v>
      </c>
      <c r="G1170">
        <v>9</v>
      </c>
      <c r="H1170" t="str">
        <f t="shared" si="131"/>
        <v>91</v>
      </c>
      <c r="I1170" t="str">
        <f t="shared" si="129"/>
        <v>0</v>
      </c>
      <c r="J1170" t="str">
        <f>"39"</f>
        <v>39</v>
      </c>
      <c r="K1170">
        <v>20181005</v>
      </c>
      <c r="L1170" t="str">
        <f>"074164"</f>
        <v>074164</v>
      </c>
      <c r="M1170" t="str">
        <f>"57981"</f>
        <v>57981</v>
      </c>
      <c r="N1170" t="s">
        <v>426</v>
      </c>
      <c r="O1170">
        <v>100</v>
      </c>
      <c r="P1170">
        <v>20181004</v>
      </c>
      <c r="Q1170" t="s">
        <v>330</v>
      </c>
      <c r="R1170" t="s">
        <v>441</v>
      </c>
      <c r="S1170" t="s">
        <v>295</v>
      </c>
      <c r="T1170" t="s">
        <v>301</v>
      </c>
    </row>
    <row r="1171" spans="1:20" x14ac:dyDescent="0.25">
      <c r="A1171">
        <v>9</v>
      </c>
      <c r="B1171">
        <v>181</v>
      </c>
      <c r="C1171" t="str">
        <f t="shared" si="130"/>
        <v>36</v>
      </c>
      <c r="D1171">
        <v>6219</v>
      </c>
      <c r="E1171" t="str">
        <f>"3F"</f>
        <v>3F</v>
      </c>
      <c r="F1171" t="str">
        <f>"001"</f>
        <v>001</v>
      </c>
      <c r="G1171">
        <v>9</v>
      </c>
      <c r="H1171" t="str">
        <f t="shared" si="131"/>
        <v>91</v>
      </c>
      <c r="I1171" t="str">
        <f t="shared" si="129"/>
        <v>0</v>
      </c>
      <c r="J1171" t="str">
        <f>"39"</f>
        <v>39</v>
      </c>
      <c r="K1171">
        <v>20181005</v>
      </c>
      <c r="L1171" t="str">
        <f>"074165"</f>
        <v>074165</v>
      </c>
      <c r="M1171" t="str">
        <f>"57991"</f>
        <v>57991</v>
      </c>
      <c r="N1171" t="s">
        <v>372</v>
      </c>
      <c r="O1171">
        <v>60</v>
      </c>
      <c r="P1171">
        <v>20181001</v>
      </c>
      <c r="Q1171" t="s">
        <v>333</v>
      </c>
      <c r="R1171" t="s">
        <v>447</v>
      </c>
      <c r="S1171" t="s">
        <v>295</v>
      </c>
      <c r="T1171" t="s">
        <v>301</v>
      </c>
    </row>
    <row r="1172" spans="1:20" x14ac:dyDescent="0.25">
      <c r="A1172">
        <v>9</v>
      </c>
      <c r="B1172">
        <v>181</v>
      </c>
      <c r="C1172" t="str">
        <f t="shared" si="130"/>
        <v>36</v>
      </c>
      <c r="D1172">
        <v>6219</v>
      </c>
      <c r="E1172" t="str">
        <f>"3Y"</f>
        <v>3Y</v>
      </c>
      <c r="F1172" t="str">
        <f>"001"</f>
        <v>001</v>
      </c>
      <c r="G1172">
        <v>9</v>
      </c>
      <c r="H1172" t="str">
        <f t="shared" si="131"/>
        <v>91</v>
      </c>
      <c r="I1172" t="str">
        <f>"1"</f>
        <v>1</v>
      </c>
      <c r="J1172" t="str">
        <f>"39"</f>
        <v>39</v>
      </c>
      <c r="K1172">
        <v>20181005</v>
      </c>
      <c r="L1172" t="str">
        <f>"074166"</f>
        <v>074166</v>
      </c>
      <c r="M1172" t="str">
        <f>"00107"</f>
        <v>00107</v>
      </c>
      <c r="N1172" t="s">
        <v>448</v>
      </c>
      <c r="O1172">
        <v>128</v>
      </c>
      <c r="P1172">
        <v>20181004</v>
      </c>
      <c r="Q1172" t="s">
        <v>408</v>
      </c>
      <c r="R1172" t="s">
        <v>442</v>
      </c>
      <c r="S1172" t="s">
        <v>295</v>
      </c>
      <c r="T1172" t="s">
        <v>301</v>
      </c>
    </row>
    <row r="1173" spans="1:20" x14ac:dyDescent="0.25">
      <c r="A1173">
        <v>9</v>
      </c>
      <c r="B1173">
        <v>181</v>
      </c>
      <c r="C1173" t="str">
        <f t="shared" si="130"/>
        <v>36</v>
      </c>
      <c r="D1173">
        <v>6299</v>
      </c>
      <c r="E1173" t="str">
        <f>"3F"</f>
        <v>3F</v>
      </c>
      <c r="F1173" t="str">
        <f>"041"</f>
        <v>041</v>
      </c>
      <c r="G1173">
        <v>9</v>
      </c>
      <c r="H1173" t="str">
        <f t="shared" si="131"/>
        <v>91</v>
      </c>
      <c r="I1173" t="str">
        <f>"0"</f>
        <v>0</v>
      </c>
      <c r="J1173" t="str">
        <f>"41"</f>
        <v>41</v>
      </c>
      <c r="K1173">
        <v>20181005</v>
      </c>
      <c r="L1173" t="str">
        <f>"074174"</f>
        <v>074174</v>
      </c>
      <c r="M1173" t="str">
        <f>"00530"</f>
        <v>00530</v>
      </c>
      <c r="N1173" t="s">
        <v>374</v>
      </c>
      <c r="O1173">
        <v>122.5</v>
      </c>
      <c r="P1173">
        <v>20181004</v>
      </c>
      <c r="Q1173" t="s">
        <v>375</v>
      </c>
      <c r="R1173" t="s">
        <v>446</v>
      </c>
      <c r="S1173" t="s">
        <v>295</v>
      </c>
      <c r="T1173" t="s">
        <v>106</v>
      </c>
    </row>
    <row r="1174" spans="1:20" x14ac:dyDescent="0.25">
      <c r="A1174">
        <v>9</v>
      </c>
      <c r="B1174">
        <v>181</v>
      </c>
      <c r="C1174" t="str">
        <f t="shared" si="130"/>
        <v>36</v>
      </c>
      <c r="D1174">
        <v>6412</v>
      </c>
      <c r="E1174" t="str">
        <f>"3T"</f>
        <v>3T</v>
      </c>
      <c r="F1174" t="str">
        <f>"001"</f>
        <v>001</v>
      </c>
      <c r="G1174">
        <v>9</v>
      </c>
      <c r="H1174" t="str">
        <f t="shared" si="131"/>
        <v>91</v>
      </c>
      <c r="I1174" t="str">
        <f>"1"</f>
        <v>1</v>
      </c>
      <c r="J1174" t="str">
        <f>"39"</f>
        <v>39</v>
      </c>
      <c r="K1174">
        <v>20181005</v>
      </c>
      <c r="L1174" t="str">
        <f>"074182"</f>
        <v>074182</v>
      </c>
      <c r="M1174" t="str">
        <f>"68107"</f>
        <v>68107</v>
      </c>
      <c r="N1174" t="s">
        <v>449</v>
      </c>
      <c r="O1174">
        <v>139.65</v>
      </c>
      <c r="P1174">
        <v>20181004</v>
      </c>
      <c r="Q1174" t="s">
        <v>419</v>
      </c>
      <c r="R1174" t="s">
        <v>450</v>
      </c>
      <c r="S1174" t="s">
        <v>295</v>
      </c>
      <c r="T1174" t="s">
        <v>301</v>
      </c>
    </row>
    <row r="1175" spans="1:20" x14ac:dyDescent="0.25">
      <c r="A1175">
        <v>9</v>
      </c>
      <c r="B1175">
        <v>181</v>
      </c>
      <c r="C1175" t="str">
        <f t="shared" si="130"/>
        <v>36</v>
      </c>
      <c r="D1175">
        <v>6495</v>
      </c>
      <c r="E1175" t="str">
        <f>"30"</f>
        <v>30</v>
      </c>
      <c r="F1175" t="str">
        <f>"001"</f>
        <v>001</v>
      </c>
      <c r="G1175">
        <v>9</v>
      </c>
      <c r="H1175" t="str">
        <f t="shared" si="131"/>
        <v>91</v>
      </c>
      <c r="I1175" t="str">
        <f t="shared" ref="I1175:I1186" si="132">"0"</f>
        <v>0</v>
      </c>
      <c r="J1175" t="str">
        <f>"39"</f>
        <v>39</v>
      </c>
      <c r="K1175">
        <v>20181005</v>
      </c>
      <c r="L1175" t="str">
        <f>"074188"</f>
        <v>074188</v>
      </c>
      <c r="M1175" t="str">
        <f>"78430"</f>
        <v>78430</v>
      </c>
      <c r="N1175" t="s">
        <v>427</v>
      </c>
      <c r="O1175" s="1">
        <v>1260</v>
      </c>
      <c r="P1175">
        <v>20181001</v>
      </c>
      <c r="Q1175" t="s">
        <v>428</v>
      </c>
      <c r="R1175" t="s">
        <v>451</v>
      </c>
      <c r="S1175" t="s">
        <v>295</v>
      </c>
      <c r="T1175" t="s">
        <v>301</v>
      </c>
    </row>
    <row r="1176" spans="1:20" x14ac:dyDescent="0.25">
      <c r="A1176">
        <v>9</v>
      </c>
      <c r="B1176">
        <v>181</v>
      </c>
      <c r="C1176" t="str">
        <f t="shared" si="130"/>
        <v>36</v>
      </c>
      <c r="D1176">
        <v>6219</v>
      </c>
      <c r="E1176" t="str">
        <f>"3Y"</f>
        <v>3Y</v>
      </c>
      <c r="F1176" t="str">
        <f>"001"</f>
        <v>001</v>
      </c>
      <c r="G1176">
        <v>9</v>
      </c>
      <c r="H1176" t="str">
        <f t="shared" si="131"/>
        <v>91</v>
      </c>
      <c r="I1176" t="str">
        <f t="shared" si="132"/>
        <v>0</v>
      </c>
      <c r="J1176" t="str">
        <f>"39"</f>
        <v>39</v>
      </c>
      <c r="K1176">
        <v>20181005</v>
      </c>
      <c r="L1176" t="str">
        <f>"074191"</f>
        <v>074191</v>
      </c>
      <c r="M1176" t="str">
        <f>"80146"</f>
        <v>80146</v>
      </c>
      <c r="N1176" t="s">
        <v>390</v>
      </c>
      <c r="O1176">
        <v>115</v>
      </c>
      <c r="P1176">
        <v>20181001</v>
      </c>
      <c r="Q1176" t="s">
        <v>330</v>
      </c>
      <c r="R1176" t="s">
        <v>441</v>
      </c>
      <c r="S1176" t="s">
        <v>295</v>
      </c>
      <c r="T1176" t="s">
        <v>301</v>
      </c>
    </row>
    <row r="1177" spans="1:20" x14ac:dyDescent="0.25">
      <c r="A1177">
        <v>9</v>
      </c>
      <c r="B1177">
        <v>181</v>
      </c>
      <c r="C1177" t="str">
        <f t="shared" si="130"/>
        <v>36</v>
      </c>
      <c r="D1177">
        <v>6219</v>
      </c>
      <c r="E1177" t="str">
        <f>"3Y"</f>
        <v>3Y</v>
      </c>
      <c r="F1177" t="str">
        <f>"041"</f>
        <v>041</v>
      </c>
      <c r="G1177">
        <v>9</v>
      </c>
      <c r="H1177" t="str">
        <f t="shared" si="131"/>
        <v>91</v>
      </c>
      <c r="I1177" t="str">
        <f t="shared" si="132"/>
        <v>0</v>
      </c>
      <c r="J1177" t="str">
        <f>"41"</f>
        <v>41</v>
      </c>
      <c r="K1177">
        <v>20181005</v>
      </c>
      <c r="L1177" t="str">
        <f>"074196"</f>
        <v>074196</v>
      </c>
      <c r="M1177" t="str">
        <f>"80470"</f>
        <v>80470</v>
      </c>
      <c r="N1177" t="s">
        <v>391</v>
      </c>
      <c r="O1177">
        <v>45</v>
      </c>
      <c r="P1177">
        <v>20181001</v>
      </c>
      <c r="Q1177" t="s">
        <v>355</v>
      </c>
      <c r="R1177" t="s">
        <v>435</v>
      </c>
      <c r="S1177" t="s">
        <v>295</v>
      </c>
      <c r="T1177" t="s">
        <v>106</v>
      </c>
    </row>
    <row r="1178" spans="1:20" x14ac:dyDescent="0.25">
      <c r="A1178">
        <v>9</v>
      </c>
      <c r="B1178">
        <v>181</v>
      </c>
      <c r="C1178" t="str">
        <f t="shared" si="130"/>
        <v>36</v>
      </c>
      <c r="D1178">
        <v>6219</v>
      </c>
      <c r="E1178" t="str">
        <f>"3F"</f>
        <v>3F</v>
      </c>
      <c r="F1178" t="str">
        <f>"041"</f>
        <v>041</v>
      </c>
      <c r="G1178">
        <v>9</v>
      </c>
      <c r="H1178" t="str">
        <f t="shared" si="131"/>
        <v>91</v>
      </c>
      <c r="I1178" t="str">
        <f t="shared" si="132"/>
        <v>0</v>
      </c>
      <c r="J1178" t="str">
        <f>"41"</f>
        <v>41</v>
      </c>
      <c r="K1178">
        <v>20181005</v>
      </c>
      <c r="L1178" t="str">
        <f>"074198"</f>
        <v>074198</v>
      </c>
      <c r="M1178" t="str">
        <f>"80513"</f>
        <v>80513</v>
      </c>
      <c r="N1178" t="s">
        <v>392</v>
      </c>
      <c r="O1178">
        <v>150</v>
      </c>
      <c r="P1178">
        <v>20181001</v>
      </c>
      <c r="Q1178" t="s">
        <v>339</v>
      </c>
      <c r="R1178" t="s">
        <v>376</v>
      </c>
      <c r="S1178" t="s">
        <v>295</v>
      </c>
      <c r="T1178" t="s">
        <v>106</v>
      </c>
    </row>
    <row r="1179" spans="1:20" x14ac:dyDescent="0.25">
      <c r="A1179">
        <v>9</v>
      </c>
      <c r="B1179">
        <v>181</v>
      </c>
      <c r="C1179" t="str">
        <f t="shared" si="130"/>
        <v>36</v>
      </c>
      <c r="D1179">
        <v>6219</v>
      </c>
      <c r="E1179" t="str">
        <f>"3F"</f>
        <v>3F</v>
      </c>
      <c r="F1179" t="str">
        <f>"041"</f>
        <v>041</v>
      </c>
      <c r="G1179">
        <v>9</v>
      </c>
      <c r="H1179" t="str">
        <f t="shared" si="131"/>
        <v>91</v>
      </c>
      <c r="I1179" t="str">
        <f t="shared" si="132"/>
        <v>0</v>
      </c>
      <c r="J1179" t="str">
        <f>"41"</f>
        <v>41</v>
      </c>
      <c r="K1179">
        <v>20181005</v>
      </c>
      <c r="L1179" t="str">
        <f>"074198"</f>
        <v>074198</v>
      </c>
      <c r="M1179" t="str">
        <f>"80513"</f>
        <v>80513</v>
      </c>
      <c r="N1179" t="s">
        <v>392</v>
      </c>
      <c r="O1179">
        <v>150</v>
      </c>
      <c r="P1179">
        <v>20181001</v>
      </c>
      <c r="Q1179" t="s">
        <v>339</v>
      </c>
      <c r="R1179" t="s">
        <v>446</v>
      </c>
      <c r="S1179" t="s">
        <v>295</v>
      </c>
      <c r="T1179" t="s">
        <v>106</v>
      </c>
    </row>
    <row r="1180" spans="1:20" x14ac:dyDescent="0.25">
      <c r="A1180">
        <v>9</v>
      </c>
      <c r="B1180">
        <v>181</v>
      </c>
      <c r="C1180" t="str">
        <f t="shared" si="130"/>
        <v>36</v>
      </c>
      <c r="D1180">
        <v>6219</v>
      </c>
      <c r="E1180" t="str">
        <f>"3F"</f>
        <v>3F</v>
      </c>
      <c r="F1180" t="str">
        <f>"041"</f>
        <v>041</v>
      </c>
      <c r="G1180">
        <v>9</v>
      </c>
      <c r="H1180" t="str">
        <f t="shared" si="131"/>
        <v>91</v>
      </c>
      <c r="I1180" t="str">
        <f t="shared" si="132"/>
        <v>0</v>
      </c>
      <c r="J1180" t="str">
        <f>"41"</f>
        <v>41</v>
      </c>
      <c r="K1180">
        <v>20181005</v>
      </c>
      <c r="L1180" t="str">
        <f>"074203"</f>
        <v>074203</v>
      </c>
      <c r="M1180" t="str">
        <f>"81716"</f>
        <v>81716</v>
      </c>
      <c r="N1180" t="s">
        <v>393</v>
      </c>
      <c r="O1180">
        <v>150</v>
      </c>
      <c r="P1180">
        <v>20181001</v>
      </c>
      <c r="Q1180" t="s">
        <v>339</v>
      </c>
      <c r="R1180" t="s">
        <v>446</v>
      </c>
      <c r="S1180" t="s">
        <v>295</v>
      </c>
      <c r="T1180" t="s">
        <v>106</v>
      </c>
    </row>
    <row r="1181" spans="1:20" x14ac:dyDescent="0.25">
      <c r="A1181">
        <v>9</v>
      </c>
      <c r="B1181">
        <v>181</v>
      </c>
      <c r="C1181" t="str">
        <f t="shared" si="130"/>
        <v>36</v>
      </c>
      <c r="D1181">
        <v>6219</v>
      </c>
      <c r="E1181" t="str">
        <f>"3F"</f>
        <v>3F</v>
      </c>
      <c r="F1181" t="str">
        <f>"041"</f>
        <v>041</v>
      </c>
      <c r="G1181">
        <v>9</v>
      </c>
      <c r="H1181" t="str">
        <f t="shared" si="131"/>
        <v>91</v>
      </c>
      <c r="I1181" t="str">
        <f t="shared" si="132"/>
        <v>0</v>
      </c>
      <c r="J1181" t="str">
        <f>"41"</f>
        <v>41</v>
      </c>
      <c r="K1181">
        <v>20181005</v>
      </c>
      <c r="L1181" t="str">
        <f>"074204"</f>
        <v>074204</v>
      </c>
      <c r="M1181" t="str">
        <f>"81715"</f>
        <v>81715</v>
      </c>
      <c r="N1181" t="s">
        <v>429</v>
      </c>
      <c r="O1181">
        <v>150</v>
      </c>
      <c r="P1181">
        <v>20181001</v>
      </c>
      <c r="Q1181" t="s">
        <v>339</v>
      </c>
      <c r="R1181" t="s">
        <v>376</v>
      </c>
      <c r="S1181" t="s">
        <v>295</v>
      </c>
      <c r="T1181" t="s">
        <v>106</v>
      </c>
    </row>
    <row r="1182" spans="1:20" x14ac:dyDescent="0.25">
      <c r="A1182">
        <v>9</v>
      </c>
      <c r="B1182">
        <v>181</v>
      </c>
      <c r="C1182" t="str">
        <f t="shared" si="130"/>
        <v>36</v>
      </c>
      <c r="D1182">
        <v>6219</v>
      </c>
      <c r="E1182" t="str">
        <f>"3F"</f>
        <v>3F</v>
      </c>
      <c r="F1182" t="str">
        <f>"001"</f>
        <v>001</v>
      </c>
      <c r="G1182">
        <v>9</v>
      </c>
      <c r="H1182" t="str">
        <f t="shared" si="131"/>
        <v>91</v>
      </c>
      <c r="I1182" t="str">
        <f t="shared" si="132"/>
        <v>0</v>
      </c>
      <c r="J1182" t="str">
        <f>"39"</f>
        <v>39</v>
      </c>
      <c r="K1182">
        <v>20181005</v>
      </c>
      <c r="L1182" t="str">
        <f>"074206"</f>
        <v>074206</v>
      </c>
      <c r="M1182" t="str">
        <f>"82310"</f>
        <v>82310</v>
      </c>
      <c r="N1182" t="s">
        <v>430</v>
      </c>
      <c r="O1182">
        <v>60</v>
      </c>
      <c r="P1182">
        <v>20181001</v>
      </c>
      <c r="Q1182" t="s">
        <v>333</v>
      </c>
      <c r="R1182" t="s">
        <v>447</v>
      </c>
      <c r="S1182" t="s">
        <v>295</v>
      </c>
      <c r="T1182" t="s">
        <v>301</v>
      </c>
    </row>
    <row r="1183" spans="1:20" x14ac:dyDescent="0.25">
      <c r="A1183">
        <v>9</v>
      </c>
      <c r="B1183">
        <v>181</v>
      </c>
      <c r="C1183" t="str">
        <f t="shared" si="130"/>
        <v>36</v>
      </c>
      <c r="D1183">
        <v>6219</v>
      </c>
      <c r="E1183" t="str">
        <f>"3Y"</f>
        <v>3Y</v>
      </c>
      <c r="F1183" t="str">
        <f>"001"</f>
        <v>001</v>
      </c>
      <c r="G1183">
        <v>9</v>
      </c>
      <c r="H1183" t="str">
        <f t="shared" si="131"/>
        <v>91</v>
      </c>
      <c r="I1183" t="str">
        <f t="shared" si="132"/>
        <v>0</v>
      </c>
      <c r="J1183" t="str">
        <f>"39"</f>
        <v>39</v>
      </c>
      <c r="K1183">
        <v>20181005</v>
      </c>
      <c r="L1183" t="str">
        <f>"074208"</f>
        <v>074208</v>
      </c>
      <c r="M1183" t="str">
        <f>"82457"</f>
        <v>82457</v>
      </c>
      <c r="N1183" t="s">
        <v>452</v>
      </c>
      <c r="O1183">
        <v>115</v>
      </c>
      <c r="P1183">
        <v>20181004</v>
      </c>
      <c r="Q1183" t="s">
        <v>330</v>
      </c>
      <c r="R1183" t="s">
        <v>442</v>
      </c>
      <c r="S1183" t="s">
        <v>295</v>
      </c>
      <c r="T1183" t="s">
        <v>301</v>
      </c>
    </row>
    <row r="1184" spans="1:20" x14ac:dyDescent="0.25">
      <c r="A1184">
        <v>9</v>
      </c>
      <c r="B1184">
        <v>181</v>
      </c>
      <c r="C1184" t="str">
        <f t="shared" si="130"/>
        <v>36</v>
      </c>
      <c r="D1184">
        <v>6219</v>
      </c>
      <c r="E1184" t="str">
        <f>"3Y"</f>
        <v>3Y</v>
      </c>
      <c r="F1184" t="str">
        <f>"001"</f>
        <v>001</v>
      </c>
      <c r="G1184">
        <v>9</v>
      </c>
      <c r="H1184" t="str">
        <f t="shared" si="131"/>
        <v>91</v>
      </c>
      <c r="I1184" t="str">
        <f t="shared" si="132"/>
        <v>0</v>
      </c>
      <c r="J1184" t="str">
        <f>"39"</f>
        <v>39</v>
      </c>
      <c r="K1184">
        <v>20181005</v>
      </c>
      <c r="L1184" t="str">
        <f>"074209"</f>
        <v>074209</v>
      </c>
      <c r="M1184" t="str">
        <f>"00098"</f>
        <v>00098</v>
      </c>
      <c r="N1184" t="s">
        <v>453</v>
      </c>
      <c r="O1184">
        <v>100</v>
      </c>
      <c r="P1184">
        <v>20181004</v>
      </c>
      <c r="Q1184" t="s">
        <v>330</v>
      </c>
      <c r="R1184" t="s">
        <v>442</v>
      </c>
      <c r="S1184" t="s">
        <v>295</v>
      </c>
      <c r="T1184" t="s">
        <v>301</v>
      </c>
    </row>
    <row r="1185" spans="1:20" x14ac:dyDescent="0.25">
      <c r="A1185">
        <v>9</v>
      </c>
      <c r="B1185">
        <v>181</v>
      </c>
      <c r="C1185" t="str">
        <f t="shared" si="130"/>
        <v>36</v>
      </c>
      <c r="D1185">
        <v>6219</v>
      </c>
      <c r="E1185" t="str">
        <f>"3F"</f>
        <v>3F</v>
      </c>
      <c r="F1185" t="str">
        <f>"001"</f>
        <v>001</v>
      </c>
      <c r="G1185">
        <v>9</v>
      </c>
      <c r="H1185" t="str">
        <f t="shared" si="131"/>
        <v>91</v>
      </c>
      <c r="I1185" t="str">
        <f t="shared" si="132"/>
        <v>0</v>
      </c>
      <c r="J1185" t="str">
        <f>"39"</f>
        <v>39</v>
      </c>
      <c r="K1185">
        <v>20181005</v>
      </c>
      <c r="L1185" t="str">
        <f>"074210"</f>
        <v>074210</v>
      </c>
      <c r="M1185" t="str">
        <f>"00576"</f>
        <v>00576</v>
      </c>
      <c r="N1185" t="s">
        <v>454</v>
      </c>
      <c r="O1185">
        <v>60</v>
      </c>
      <c r="P1185">
        <v>20181004</v>
      </c>
      <c r="Q1185" t="s">
        <v>333</v>
      </c>
      <c r="R1185" t="s">
        <v>447</v>
      </c>
      <c r="S1185" t="s">
        <v>295</v>
      </c>
      <c r="T1185" t="s">
        <v>301</v>
      </c>
    </row>
    <row r="1186" spans="1:20" x14ac:dyDescent="0.25">
      <c r="A1186">
        <v>9</v>
      </c>
      <c r="B1186">
        <v>181</v>
      </c>
      <c r="C1186" t="str">
        <f t="shared" si="130"/>
        <v>36</v>
      </c>
      <c r="D1186">
        <v>6219</v>
      </c>
      <c r="E1186" t="str">
        <f>"3F"</f>
        <v>3F</v>
      </c>
      <c r="F1186" t="str">
        <f>"001"</f>
        <v>001</v>
      </c>
      <c r="G1186">
        <v>9</v>
      </c>
      <c r="H1186" t="str">
        <f t="shared" si="131"/>
        <v>91</v>
      </c>
      <c r="I1186" t="str">
        <f t="shared" si="132"/>
        <v>0</v>
      </c>
      <c r="J1186" t="str">
        <f>"39"</f>
        <v>39</v>
      </c>
      <c r="K1186">
        <v>20181005</v>
      </c>
      <c r="L1186" t="str">
        <f>"074211"</f>
        <v>074211</v>
      </c>
      <c r="M1186" t="str">
        <f>"00575"</f>
        <v>00575</v>
      </c>
      <c r="N1186" t="s">
        <v>455</v>
      </c>
      <c r="O1186">
        <v>60</v>
      </c>
      <c r="P1186">
        <v>20181004</v>
      </c>
      <c r="Q1186" t="s">
        <v>333</v>
      </c>
      <c r="R1186" t="s">
        <v>447</v>
      </c>
      <c r="S1186" t="s">
        <v>295</v>
      </c>
      <c r="T1186" t="s">
        <v>301</v>
      </c>
    </row>
    <row r="1187" spans="1:20" x14ac:dyDescent="0.25">
      <c r="A1187">
        <v>9</v>
      </c>
      <c r="B1187">
        <v>181</v>
      </c>
      <c r="C1187" t="str">
        <f t="shared" si="130"/>
        <v>36</v>
      </c>
      <c r="D1187">
        <v>6412</v>
      </c>
      <c r="E1187" t="str">
        <f>"3C"</f>
        <v>3C</v>
      </c>
      <c r="F1187" t="str">
        <f>"041"</f>
        <v>041</v>
      </c>
      <c r="G1187">
        <v>9</v>
      </c>
      <c r="H1187" t="str">
        <f t="shared" si="131"/>
        <v>91</v>
      </c>
      <c r="I1187" t="str">
        <f>"1"</f>
        <v>1</v>
      </c>
      <c r="J1187" t="str">
        <f>"41"</f>
        <v>41</v>
      </c>
      <c r="K1187">
        <v>20181005</v>
      </c>
      <c r="L1187" t="str">
        <f>"074217"</f>
        <v>074217</v>
      </c>
      <c r="M1187" t="str">
        <f>"84370"</f>
        <v>84370</v>
      </c>
      <c r="N1187" t="s">
        <v>395</v>
      </c>
      <c r="O1187">
        <v>159.34</v>
      </c>
      <c r="P1187">
        <v>20181004</v>
      </c>
      <c r="Q1187" t="s">
        <v>337</v>
      </c>
      <c r="R1187" t="s">
        <v>379</v>
      </c>
      <c r="S1187" t="s">
        <v>295</v>
      </c>
      <c r="T1187" t="s">
        <v>106</v>
      </c>
    </row>
    <row r="1188" spans="1:20" x14ac:dyDescent="0.25">
      <c r="A1188">
        <v>9</v>
      </c>
      <c r="B1188">
        <v>181</v>
      </c>
      <c r="C1188" t="str">
        <f t="shared" si="130"/>
        <v>36</v>
      </c>
      <c r="D1188">
        <v>6412</v>
      </c>
      <c r="E1188" t="str">
        <f>"3F"</f>
        <v>3F</v>
      </c>
      <c r="F1188" t="str">
        <f>"001"</f>
        <v>001</v>
      </c>
      <c r="G1188">
        <v>9</v>
      </c>
      <c r="H1188" t="str">
        <f t="shared" si="131"/>
        <v>91</v>
      </c>
      <c r="I1188" t="str">
        <f>"1"</f>
        <v>1</v>
      </c>
      <c r="J1188" t="str">
        <f>"39"</f>
        <v>39</v>
      </c>
      <c r="K1188">
        <v>20181005</v>
      </c>
      <c r="L1188" t="str">
        <f>"074217"</f>
        <v>074217</v>
      </c>
      <c r="M1188" t="str">
        <f>"84370"</f>
        <v>84370</v>
      </c>
      <c r="N1188" t="s">
        <v>395</v>
      </c>
      <c r="O1188">
        <v>548.58000000000004</v>
      </c>
      <c r="P1188">
        <v>20181004</v>
      </c>
      <c r="Q1188" t="s">
        <v>342</v>
      </c>
      <c r="R1188" t="s">
        <v>456</v>
      </c>
      <c r="S1188" t="s">
        <v>295</v>
      </c>
      <c r="T1188" t="s">
        <v>301</v>
      </c>
    </row>
    <row r="1189" spans="1:20" x14ac:dyDescent="0.25">
      <c r="A1189">
        <v>9</v>
      </c>
      <c r="B1189">
        <v>181</v>
      </c>
      <c r="C1189" t="str">
        <f t="shared" si="130"/>
        <v>36</v>
      </c>
      <c r="D1189">
        <v>6412</v>
      </c>
      <c r="E1189" t="str">
        <f>"3F"</f>
        <v>3F</v>
      </c>
      <c r="F1189" t="str">
        <f>"041"</f>
        <v>041</v>
      </c>
      <c r="G1189">
        <v>9</v>
      </c>
      <c r="H1189" t="str">
        <f t="shared" si="131"/>
        <v>91</v>
      </c>
      <c r="I1189" t="str">
        <f>"1"</f>
        <v>1</v>
      </c>
      <c r="J1189" t="str">
        <f>"41"</f>
        <v>41</v>
      </c>
      <c r="K1189">
        <v>20181005</v>
      </c>
      <c r="L1189" t="str">
        <f>"074217"</f>
        <v>074217</v>
      </c>
      <c r="M1189" t="str">
        <f>"84370"</f>
        <v>84370</v>
      </c>
      <c r="N1189" t="s">
        <v>395</v>
      </c>
      <c r="O1189">
        <v>428.16</v>
      </c>
      <c r="P1189">
        <v>20181004</v>
      </c>
      <c r="Q1189" t="s">
        <v>400</v>
      </c>
      <c r="R1189" t="s">
        <v>457</v>
      </c>
      <c r="S1189" t="s">
        <v>295</v>
      </c>
      <c r="T1189" t="s">
        <v>106</v>
      </c>
    </row>
    <row r="1190" spans="1:20" x14ac:dyDescent="0.25">
      <c r="A1190">
        <v>9</v>
      </c>
      <c r="B1190">
        <v>181</v>
      </c>
      <c r="C1190" t="str">
        <f t="shared" si="130"/>
        <v>36</v>
      </c>
      <c r="D1190">
        <v>6411</v>
      </c>
      <c r="E1190" t="str">
        <f>"33"</f>
        <v>33</v>
      </c>
      <c r="F1190" t="str">
        <f>"001"</f>
        <v>001</v>
      </c>
      <c r="G1190">
        <v>9</v>
      </c>
      <c r="H1190" t="str">
        <f t="shared" si="131"/>
        <v>91</v>
      </c>
      <c r="I1190" t="str">
        <f>"0"</f>
        <v>0</v>
      </c>
      <c r="J1190" t="str">
        <f>"39"</f>
        <v>39</v>
      </c>
      <c r="K1190">
        <v>20181012</v>
      </c>
      <c r="L1190" t="str">
        <f>"074221"</f>
        <v>074221</v>
      </c>
      <c r="M1190" t="str">
        <f>"03332"</f>
        <v>03332</v>
      </c>
      <c r="N1190" t="s">
        <v>458</v>
      </c>
      <c r="O1190">
        <v>106.09</v>
      </c>
      <c r="P1190">
        <v>20181011</v>
      </c>
      <c r="Q1190" t="s">
        <v>306</v>
      </c>
      <c r="R1190" t="s">
        <v>307</v>
      </c>
      <c r="S1190" t="s">
        <v>295</v>
      </c>
      <c r="T1190" t="s">
        <v>301</v>
      </c>
    </row>
    <row r="1191" spans="1:20" x14ac:dyDescent="0.25">
      <c r="A1191">
        <v>9</v>
      </c>
      <c r="B1191">
        <v>181</v>
      </c>
      <c r="C1191" t="str">
        <f t="shared" si="130"/>
        <v>36</v>
      </c>
      <c r="D1191">
        <v>6412</v>
      </c>
      <c r="E1191" t="str">
        <f>"3D"</f>
        <v>3D</v>
      </c>
      <c r="F1191" t="str">
        <f>"041"</f>
        <v>041</v>
      </c>
      <c r="G1191">
        <v>9</v>
      </c>
      <c r="H1191" t="str">
        <f t="shared" si="131"/>
        <v>91</v>
      </c>
      <c r="I1191" t="str">
        <f>"2"</f>
        <v>2</v>
      </c>
      <c r="J1191" t="str">
        <f>"41"</f>
        <v>41</v>
      </c>
      <c r="K1191">
        <v>20181012</v>
      </c>
      <c r="L1191" t="str">
        <f>"074222"</f>
        <v>074222</v>
      </c>
      <c r="M1191" t="str">
        <f>"03694"</f>
        <v>03694</v>
      </c>
      <c r="N1191" t="s">
        <v>459</v>
      </c>
      <c r="O1191">
        <v>250</v>
      </c>
      <c r="P1191">
        <v>20181011</v>
      </c>
      <c r="Q1191" t="s">
        <v>460</v>
      </c>
      <c r="R1191" t="s">
        <v>461</v>
      </c>
      <c r="S1191" t="s">
        <v>295</v>
      </c>
      <c r="T1191" t="s">
        <v>106</v>
      </c>
    </row>
    <row r="1192" spans="1:20" x14ac:dyDescent="0.25">
      <c r="A1192">
        <v>9</v>
      </c>
      <c r="B1192">
        <v>181</v>
      </c>
      <c r="C1192" t="str">
        <f t="shared" si="130"/>
        <v>36</v>
      </c>
      <c r="D1192">
        <v>6399</v>
      </c>
      <c r="E1192" t="str">
        <f>"38"</f>
        <v>38</v>
      </c>
      <c r="F1192" t="str">
        <f t="shared" ref="F1192:F1197" si="133">"001"</f>
        <v>001</v>
      </c>
      <c r="G1192">
        <v>9</v>
      </c>
      <c r="H1192" t="str">
        <f t="shared" si="131"/>
        <v>91</v>
      </c>
      <c r="I1192" t="str">
        <f>"0"</f>
        <v>0</v>
      </c>
      <c r="J1192" t="str">
        <f t="shared" ref="J1192:J1197" si="134">"39"</f>
        <v>39</v>
      </c>
      <c r="K1192">
        <v>20181012</v>
      </c>
      <c r="L1192" t="str">
        <f>"074223"</f>
        <v>074223</v>
      </c>
      <c r="M1192" t="str">
        <f>"04410"</f>
        <v>04410</v>
      </c>
      <c r="N1192" t="s">
        <v>410</v>
      </c>
      <c r="O1192">
        <v>100</v>
      </c>
      <c r="P1192">
        <v>20181011</v>
      </c>
      <c r="Q1192" t="s">
        <v>462</v>
      </c>
      <c r="R1192" t="s">
        <v>463</v>
      </c>
      <c r="S1192" t="s">
        <v>295</v>
      </c>
      <c r="T1192" t="s">
        <v>301</v>
      </c>
    </row>
    <row r="1193" spans="1:20" x14ac:dyDescent="0.25">
      <c r="A1193">
        <v>9</v>
      </c>
      <c r="B1193">
        <v>181</v>
      </c>
      <c r="C1193" t="str">
        <f t="shared" si="130"/>
        <v>36</v>
      </c>
      <c r="D1193">
        <v>6399</v>
      </c>
      <c r="E1193" t="str">
        <f>"38"</f>
        <v>38</v>
      </c>
      <c r="F1193" t="str">
        <f t="shared" si="133"/>
        <v>001</v>
      </c>
      <c r="G1193">
        <v>9</v>
      </c>
      <c r="H1193" t="str">
        <f t="shared" si="131"/>
        <v>91</v>
      </c>
      <c r="I1193" t="str">
        <f>"1"</f>
        <v>1</v>
      </c>
      <c r="J1193" t="str">
        <f t="shared" si="134"/>
        <v>39</v>
      </c>
      <c r="K1193">
        <v>20181012</v>
      </c>
      <c r="L1193" t="str">
        <f>"074223"</f>
        <v>074223</v>
      </c>
      <c r="M1193" t="str">
        <f>"04410"</f>
        <v>04410</v>
      </c>
      <c r="N1193" t="s">
        <v>410</v>
      </c>
      <c r="O1193" s="1">
        <v>1860</v>
      </c>
      <c r="P1193">
        <v>20181011</v>
      </c>
      <c r="Q1193" t="s">
        <v>464</v>
      </c>
      <c r="R1193" t="s">
        <v>465</v>
      </c>
      <c r="S1193" t="s">
        <v>295</v>
      </c>
      <c r="T1193" t="s">
        <v>301</v>
      </c>
    </row>
    <row r="1194" spans="1:20" x14ac:dyDescent="0.25">
      <c r="A1194">
        <v>9</v>
      </c>
      <c r="B1194">
        <v>181</v>
      </c>
      <c r="C1194" t="str">
        <f t="shared" si="130"/>
        <v>36</v>
      </c>
      <c r="D1194">
        <v>6399</v>
      </c>
      <c r="E1194" t="str">
        <f>"3F"</f>
        <v>3F</v>
      </c>
      <c r="F1194" t="str">
        <f t="shared" si="133"/>
        <v>001</v>
      </c>
      <c r="G1194">
        <v>9</v>
      </c>
      <c r="H1194" t="str">
        <f t="shared" si="131"/>
        <v>91</v>
      </c>
      <c r="I1194" t="str">
        <f>"0"</f>
        <v>0</v>
      </c>
      <c r="J1194" t="str">
        <f t="shared" si="134"/>
        <v>39</v>
      </c>
      <c r="K1194">
        <v>20181012</v>
      </c>
      <c r="L1194" t="str">
        <f>"074223"</f>
        <v>074223</v>
      </c>
      <c r="M1194" t="str">
        <f>"04410"</f>
        <v>04410</v>
      </c>
      <c r="N1194" t="s">
        <v>410</v>
      </c>
      <c r="O1194">
        <v>143.06</v>
      </c>
      <c r="P1194">
        <v>20181011</v>
      </c>
      <c r="Q1194" t="s">
        <v>466</v>
      </c>
      <c r="R1194" t="s">
        <v>467</v>
      </c>
      <c r="S1194" t="s">
        <v>295</v>
      </c>
      <c r="T1194" t="s">
        <v>301</v>
      </c>
    </row>
    <row r="1195" spans="1:20" x14ac:dyDescent="0.25">
      <c r="A1195">
        <v>9</v>
      </c>
      <c r="B1195">
        <v>181</v>
      </c>
      <c r="C1195" t="str">
        <f t="shared" si="130"/>
        <v>36</v>
      </c>
      <c r="D1195">
        <v>6399</v>
      </c>
      <c r="E1195" t="str">
        <f>"3F"</f>
        <v>3F</v>
      </c>
      <c r="F1195" t="str">
        <f t="shared" si="133"/>
        <v>001</v>
      </c>
      <c r="G1195">
        <v>9</v>
      </c>
      <c r="H1195" t="str">
        <f t="shared" si="131"/>
        <v>91</v>
      </c>
      <c r="I1195" t="str">
        <f>"0"</f>
        <v>0</v>
      </c>
      <c r="J1195" t="str">
        <f t="shared" si="134"/>
        <v>39</v>
      </c>
      <c r="K1195">
        <v>20181012</v>
      </c>
      <c r="L1195" t="str">
        <f>"074223"</f>
        <v>074223</v>
      </c>
      <c r="M1195" t="str">
        <f>"04410"</f>
        <v>04410</v>
      </c>
      <c r="N1195" t="s">
        <v>410</v>
      </c>
      <c r="O1195">
        <v>427.47</v>
      </c>
      <c r="P1195">
        <v>20181011</v>
      </c>
      <c r="Q1195" t="s">
        <v>466</v>
      </c>
      <c r="R1195" t="s">
        <v>468</v>
      </c>
      <c r="S1195" t="s">
        <v>295</v>
      </c>
      <c r="T1195" t="s">
        <v>301</v>
      </c>
    </row>
    <row r="1196" spans="1:20" x14ac:dyDescent="0.25">
      <c r="A1196">
        <v>9</v>
      </c>
      <c r="B1196">
        <v>181</v>
      </c>
      <c r="C1196" t="str">
        <f t="shared" si="130"/>
        <v>36</v>
      </c>
      <c r="D1196">
        <v>6219</v>
      </c>
      <c r="E1196" t="str">
        <f>"3Y"</f>
        <v>3Y</v>
      </c>
      <c r="F1196" t="str">
        <f t="shared" si="133"/>
        <v>001</v>
      </c>
      <c r="G1196">
        <v>9</v>
      </c>
      <c r="H1196" t="str">
        <f t="shared" si="131"/>
        <v>91</v>
      </c>
      <c r="I1196" t="str">
        <f>"0"</f>
        <v>0</v>
      </c>
      <c r="J1196" t="str">
        <f t="shared" si="134"/>
        <v>39</v>
      </c>
      <c r="K1196">
        <v>20181012</v>
      </c>
      <c r="L1196" t="str">
        <f>"074229"</f>
        <v>074229</v>
      </c>
      <c r="M1196" t="str">
        <f>"10403"</f>
        <v>10403</v>
      </c>
      <c r="N1196" t="s">
        <v>469</v>
      </c>
      <c r="O1196">
        <v>115</v>
      </c>
      <c r="P1196">
        <v>20181011</v>
      </c>
      <c r="Q1196" t="s">
        <v>330</v>
      </c>
      <c r="R1196" t="s">
        <v>470</v>
      </c>
      <c r="S1196" t="s">
        <v>295</v>
      </c>
      <c r="T1196" t="s">
        <v>301</v>
      </c>
    </row>
    <row r="1197" spans="1:20" x14ac:dyDescent="0.25">
      <c r="A1197">
        <v>9</v>
      </c>
      <c r="B1197">
        <v>181</v>
      </c>
      <c r="C1197" t="str">
        <f t="shared" si="130"/>
        <v>36</v>
      </c>
      <c r="D1197">
        <v>6412</v>
      </c>
      <c r="E1197" t="str">
        <f>"3C"</f>
        <v>3C</v>
      </c>
      <c r="F1197" t="str">
        <f t="shared" si="133"/>
        <v>001</v>
      </c>
      <c r="G1197">
        <v>9</v>
      </c>
      <c r="H1197" t="str">
        <f t="shared" si="131"/>
        <v>91</v>
      </c>
      <c r="I1197" t="str">
        <f>"2"</f>
        <v>2</v>
      </c>
      <c r="J1197" t="str">
        <f t="shared" si="134"/>
        <v>39</v>
      </c>
      <c r="K1197">
        <v>20181012</v>
      </c>
      <c r="L1197" t="str">
        <f>"074231"</f>
        <v>074231</v>
      </c>
      <c r="M1197" t="str">
        <f>"00585"</f>
        <v>00585</v>
      </c>
      <c r="N1197" t="s">
        <v>471</v>
      </c>
      <c r="O1197">
        <v>200</v>
      </c>
      <c r="P1197">
        <v>20181011</v>
      </c>
      <c r="Q1197" t="s">
        <v>300</v>
      </c>
      <c r="R1197" t="s">
        <v>472</v>
      </c>
      <c r="S1197" t="s">
        <v>295</v>
      </c>
      <c r="T1197" t="s">
        <v>301</v>
      </c>
    </row>
    <row r="1198" spans="1:20" x14ac:dyDescent="0.25">
      <c r="A1198">
        <v>9</v>
      </c>
      <c r="B1198">
        <v>181</v>
      </c>
      <c r="C1198" t="str">
        <f>"00"</f>
        <v>00</v>
      </c>
      <c r="D1198">
        <v>2110</v>
      </c>
      <c r="E1198" t="str">
        <f>"18"</f>
        <v>18</v>
      </c>
      <c r="F1198" t="str">
        <f>"000"</f>
        <v>000</v>
      </c>
      <c r="G1198">
        <v>9</v>
      </c>
      <c r="H1198" t="str">
        <f>"00"</f>
        <v>00</v>
      </c>
      <c r="I1198" t="str">
        <f>"0"</f>
        <v>0</v>
      </c>
      <c r="J1198" t="str">
        <f>"00"</f>
        <v>00</v>
      </c>
      <c r="K1198">
        <v>20181012</v>
      </c>
      <c r="L1198" t="str">
        <f>"074232"</f>
        <v>074232</v>
      </c>
      <c r="M1198" t="str">
        <f>"08788"</f>
        <v>08788</v>
      </c>
      <c r="N1198" t="s">
        <v>473</v>
      </c>
      <c r="O1198" s="1">
        <v>3596.27</v>
      </c>
      <c r="P1198">
        <v>20181011</v>
      </c>
      <c r="Q1198" t="s">
        <v>322</v>
      </c>
      <c r="R1198" t="s">
        <v>474</v>
      </c>
      <c r="S1198" t="s">
        <v>295</v>
      </c>
      <c r="T1198" t="s">
        <v>296</v>
      </c>
    </row>
    <row r="1199" spans="1:20" x14ac:dyDescent="0.25">
      <c r="A1199">
        <v>9</v>
      </c>
      <c r="B1199">
        <v>181</v>
      </c>
      <c r="C1199" t="str">
        <f t="shared" ref="C1199:C1230" si="135">"36"</f>
        <v>36</v>
      </c>
      <c r="D1199">
        <v>6399</v>
      </c>
      <c r="E1199" t="str">
        <f>"3B"</f>
        <v>3B</v>
      </c>
      <c r="F1199" t="str">
        <f>"001"</f>
        <v>001</v>
      </c>
      <c r="G1199">
        <v>9</v>
      </c>
      <c r="H1199" t="str">
        <f t="shared" ref="H1199:H1230" si="136">"91"</f>
        <v>91</v>
      </c>
      <c r="I1199" t="str">
        <f>"0"</f>
        <v>0</v>
      </c>
      <c r="J1199" t="str">
        <f>"39"</f>
        <v>39</v>
      </c>
      <c r="K1199">
        <v>20181012</v>
      </c>
      <c r="L1199" t="str">
        <f>"074232"</f>
        <v>074232</v>
      </c>
      <c r="M1199" t="str">
        <f>"08788"</f>
        <v>08788</v>
      </c>
      <c r="N1199" t="s">
        <v>473</v>
      </c>
      <c r="O1199">
        <v>451.08</v>
      </c>
      <c r="P1199">
        <v>20181011</v>
      </c>
      <c r="Q1199" t="s">
        <v>475</v>
      </c>
      <c r="R1199" t="s">
        <v>476</v>
      </c>
      <c r="S1199" t="s">
        <v>295</v>
      </c>
      <c r="T1199" t="s">
        <v>301</v>
      </c>
    </row>
    <row r="1200" spans="1:20" x14ac:dyDescent="0.25">
      <c r="A1200">
        <v>9</v>
      </c>
      <c r="B1200">
        <v>181</v>
      </c>
      <c r="C1200" t="str">
        <f t="shared" si="135"/>
        <v>36</v>
      </c>
      <c r="D1200">
        <v>6399</v>
      </c>
      <c r="E1200" t="str">
        <f>"3F"</f>
        <v>3F</v>
      </c>
      <c r="F1200" t="str">
        <f>"001"</f>
        <v>001</v>
      </c>
      <c r="G1200">
        <v>9</v>
      </c>
      <c r="H1200" t="str">
        <f t="shared" si="136"/>
        <v>91</v>
      </c>
      <c r="I1200" t="str">
        <f>"0"</f>
        <v>0</v>
      </c>
      <c r="J1200" t="str">
        <f>"39"</f>
        <v>39</v>
      </c>
      <c r="K1200">
        <v>20181012</v>
      </c>
      <c r="L1200" t="str">
        <f>"074232"</f>
        <v>074232</v>
      </c>
      <c r="M1200" t="str">
        <f>"08788"</f>
        <v>08788</v>
      </c>
      <c r="N1200" t="s">
        <v>473</v>
      </c>
      <c r="O1200" s="1">
        <v>1370.67</v>
      </c>
      <c r="P1200">
        <v>20181011</v>
      </c>
      <c r="Q1200" t="s">
        <v>466</v>
      </c>
      <c r="R1200" t="s">
        <v>477</v>
      </c>
      <c r="S1200" t="s">
        <v>295</v>
      </c>
      <c r="T1200" t="s">
        <v>301</v>
      </c>
    </row>
    <row r="1201" spans="1:20" x14ac:dyDescent="0.25">
      <c r="A1201">
        <v>9</v>
      </c>
      <c r="B1201">
        <v>181</v>
      </c>
      <c r="C1201" t="str">
        <f t="shared" si="135"/>
        <v>36</v>
      </c>
      <c r="D1201">
        <v>6219</v>
      </c>
      <c r="E1201" t="str">
        <f>"3F"</f>
        <v>3F</v>
      </c>
      <c r="F1201" t="str">
        <f>"001"</f>
        <v>001</v>
      </c>
      <c r="G1201">
        <v>9</v>
      </c>
      <c r="H1201" t="str">
        <f t="shared" si="136"/>
        <v>91</v>
      </c>
      <c r="I1201" t="str">
        <f>"1"</f>
        <v>1</v>
      </c>
      <c r="J1201" t="str">
        <f>"39"</f>
        <v>39</v>
      </c>
      <c r="K1201">
        <v>20181012</v>
      </c>
      <c r="L1201" t="str">
        <f>"074235"</f>
        <v>074235</v>
      </c>
      <c r="M1201" t="str">
        <f>"19079"</f>
        <v>19079</v>
      </c>
      <c r="N1201" t="s">
        <v>326</v>
      </c>
      <c r="O1201">
        <v>128</v>
      </c>
      <c r="P1201">
        <v>20181011</v>
      </c>
      <c r="Q1201" t="s">
        <v>327</v>
      </c>
      <c r="R1201" t="s">
        <v>311</v>
      </c>
      <c r="S1201" t="s">
        <v>295</v>
      </c>
      <c r="T1201" t="s">
        <v>301</v>
      </c>
    </row>
    <row r="1202" spans="1:20" x14ac:dyDescent="0.25">
      <c r="A1202">
        <v>9</v>
      </c>
      <c r="B1202">
        <v>181</v>
      </c>
      <c r="C1202" t="str">
        <f t="shared" si="135"/>
        <v>36</v>
      </c>
      <c r="D1202">
        <v>6412</v>
      </c>
      <c r="E1202" t="str">
        <f>"3C"</f>
        <v>3C</v>
      </c>
      <c r="F1202" t="str">
        <f>"041"</f>
        <v>041</v>
      </c>
      <c r="G1202">
        <v>9</v>
      </c>
      <c r="H1202" t="str">
        <f t="shared" si="136"/>
        <v>91</v>
      </c>
      <c r="I1202" t="str">
        <f>"2"</f>
        <v>2</v>
      </c>
      <c r="J1202" t="str">
        <f>"41"</f>
        <v>41</v>
      </c>
      <c r="K1202">
        <v>20181012</v>
      </c>
      <c r="L1202" t="str">
        <f>"074237"</f>
        <v>074237</v>
      </c>
      <c r="M1202" t="str">
        <f>"19208"</f>
        <v>19208</v>
      </c>
      <c r="N1202" t="s">
        <v>478</v>
      </c>
      <c r="O1202">
        <v>60</v>
      </c>
      <c r="P1202">
        <v>20181011</v>
      </c>
      <c r="Q1202" t="s">
        <v>298</v>
      </c>
      <c r="R1202" t="s">
        <v>479</v>
      </c>
      <c r="S1202" t="s">
        <v>295</v>
      </c>
      <c r="T1202" t="s">
        <v>106</v>
      </c>
    </row>
    <row r="1203" spans="1:20" x14ac:dyDescent="0.25">
      <c r="A1203">
        <v>9</v>
      </c>
      <c r="B1203">
        <v>181</v>
      </c>
      <c r="C1203" t="str">
        <f t="shared" si="135"/>
        <v>36</v>
      </c>
      <c r="D1203">
        <v>6219</v>
      </c>
      <c r="E1203" t="str">
        <f>"3F"</f>
        <v>3F</v>
      </c>
      <c r="F1203" t="str">
        <f>"001"</f>
        <v>001</v>
      </c>
      <c r="G1203">
        <v>9</v>
      </c>
      <c r="H1203" t="str">
        <f t="shared" si="136"/>
        <v>91</v>
      </c>
      <c r="I1203" t="str">
        <f>"0"</f>
        <v>0</v>
      </c>
      <c r="J1203" t="str">
        <f>"39"</f>
        <v>39</v>
      </c>
      <c r="K1203">
        <v>20181012</v>
      </c>
      <c r="L1203" t="str">
        <f>"074243"</f>
        <v>074243</v>
      </c>
      <c r="M1203" t="str">
        <f>"20433"</f>
        <v>20433</v>
      </c>
      <c r="N1203" t="s">
        <v>332</v>
      </c>
      <c r="O1203">
        <v>50</v>
      </c>
      <c r="P1203">
        <v>20181011</v>
      </c>
      <c r="Q1203" t="s">
        <v>333</v>
      </c>
      <c r="R1203" t="s">
        <v>311</v>
      </c>
      <c r="S1203" t="s">
        <v>295</v>
      </c>
      <c r="T1203" t="s">
        <v>301</v>
      </c>
    </row>
    <row r="1204" spans="1:20" x14ac:dyDescent="0.25">
      <c r="A1204">
        <v>9</v>
      </c>
      <c r="B1204">
        <v>181</v>
      </c>
      <c r="C1204" t="str">
        <f t="shared" si="135"/>
        <v>36</v>
      </c>
      <c r="D1204">
        <v>6219</v>
      </c>
      <c r="E1204" t="str">
        <f>"3F"</f>
        <v>3F</v>
      </c>
      <c r="F1204" t="str">
        <f>"041"</f>
        <v>041</v>
      </c>
      <c r="G1204">
        <v>9</v>
      </c>
      <c r="H1204" t="str">
        <f t="shared" si="136"/>
        <v>91</v>
      </c>
      <c r="I1204" t="str">
        <f>"0"</f>
        <v>0</v>
      </c>
      <c r="J1204" t="str">
        <f>"41"</f>
        <v>41</v>
      </c>
      <c r="K1204">
        <v>20181012</v>
      </c>
      <c r="L1204" t="str">
        <f>"074243"</f>
        <v>074243</v>
      </c>
      <c r="M1204" t="str">
        <f>"20433"</f>
        <v>20433</v>
      </c>
      <c r="N1204" t="s">
        <v>332</v>
      </c>
      <c r="O1204">
        <v>50</v>
      </c>
      <c r="P1204">
        <v>20181011</v>
      </c>
      <c r="Q1204" t="s">
        <v>339</v>
      </c>
      <c r="R1204" t="s">
        <v>480</v>
      </c>
      <c r="S1204" t="s">
        <v>295</v>
      </c>
      <c r="T1204" t="s">
        <v>106</v>
      </c>
    </row>
    <row r="1205" spans="1:20" x14ac:dyDescent="0.25">
      <c r="A1205">
        <v>9</v>
      </c>
      <c r="B1205">
        <v>181</v>
      </c>
      <c r="C1205" t="str">
        <f t="shared" si="135"/>
        <v>36</v>
      </c>
      <c r="D1205">
        <v>6219</v>
      </c>
      <c r="E1205" t="str">
        <f>"3F"</f>
        <v>3F</v>
      </c>
      <c r="F1205" t="str">
        <f t="shared" ref="F1205:F1217" si="137">"001"</f>
        <v>001</v>
      </c>
      <c r="G1205">
        <v>9</v>
      </c>
      <c r="H1205" t="str">
        <f t="shared" si="136"/>
        <v>91</v>
      </c>
      <c r="I1205" t="str">
        <f>"1"</f>
        <v>1</v>
      </c>
      <c r="J1205" t="str">
        <f t="shared" ref="J1205:J1217" si="138">"39"</f>
        <v>39</v>
      </c>
      <c r="K1205">
        <v>20181012</v>
      </c>
      <c r="L1205" t="str">
        <f>"074248"</f>
        <v>074248</v>
      </c>
      <c r="M1205" t="str">
        <f>"26337"</f>
        <v>26337</v>
      </c>
      <c r="N1205" t="s">
        <v>481</v>
      </c>
      <c r="O1205">
        <v>128</v>
      </c>
      <c r="P1205">
        <v>20181011</v>
      </c>
      <c r="Q1205" t="s">
        <v>327</v>
      </c>
      <c r="R1205" t="s">
        <v>311</v>
      </c>
      <c r="S1205" t="s">
        <v>295</v>
      </c>
      <c r="T1205" t="s">
        <v>301</v>
      </c>
    </row>
    <row r="1206" spans="1:20" x14ac:dyDescent="0.25">
      <c r="A1206">
        <v>9</v>
      </c>
      <c r="B1206">
        <v>181</v>
      </c>
      <c r="C1206" t="str">
        <f t="shared" si="135"/>
        <v>36</v>
      </c>
      <c r="D1206">
        <v>6411</v>
      </c>
      <c r="E1206" t="str">
        <f>"33"</f>
        <v>33</v>
      </c>
      <c r="F1206" t="str">
        <f t="shared" si="137"/>
        <v>001</v>
      </c>
      <c r="G1206">
        <v>9</v>
      </c>
      <c r="H1206" t="str">
        <f t="shared" si="136"/>
        <v>91</v>
      </c>
      <c r="I1206" t="str">
        <f>"0"</f>
        <v>0</v>
      </c>
      <c r="J1206" t="str">
        <f t="shared" si="138"/>
        <v>39</v>
      </c>
      <c r="K1206">
        <v>20181012</v>
      </c>
      <c r="L1206" t="str">
        <f>"074251"</f>
        <v>074251</v>
      </c>
      <c r="M1206" t="str">
        <f>"28680"</f>
        <v>28680</v>
      </c>
      <c r="N1206" t="s">
        <v>482</v>
      </c>
      <c r="O1206">
        <v>111</v>
      </c>
      <c r="P1206">
        <v>20181011</v>
      </c>
      <c r="Q1206" t="s">
        <v>306</v>
      </c>
      <c r="R1206" t="s">
        <v>307</v>
      </c>
      <c r="S1206" t="s">
        <v>295</v>
      </c>
      <c r="T1206" t="s">
        <v>301</v>
      </c>
    </row>
    <row r="1207" spans="1:20" x14ac:dyDescent="0.25">
      <c r="A1207">
        <v>9</v>
      </c>
      <c r="B1207">
        <v>181</v>
      </c>
      <c r="C1207" t="str">
        <f t="shared" si="135"/>
        <v>36</v>
      </c>
      <c r="D1207">
        <v>6412</v>
      </c>
      <c r="E1207" t="str">
        <f>"3G"</f>
        <v>3G</v>
      </c>
      <c r="F1207" t="str">
        <f t="shared" si="137"/>
        <v>001</v>
      </c>
      <c r="G1207">
        <v>9</v>
      </c>
      <c r="H1207" t="str">
        <f t="shared" si="136"/>
        <v>91</v>
      </c>
      <c r="I1207" t="str">
        <f>"3"</f>
        <v>3</v>
      </c>
      <c r="J1207" t="str">
        <f t="shared" si="138"/>
        <v>39</v>
      </c>
      <c r="K1207">
        <v>20181012</v>
      </c>
      <c r="L1207" t="str">
        <f>"074251"</f>
        <v>074251</v>
      </c>
      <c r="M1207" t="str">
        <f>"28680"</f>
        <v>28680</v>
      </c>
      <c r="N1207" t="s">
        <v>482</v>
      </c>
      <c r="O1207">
        <v>198</v>
      </c>
      <c r="P1207">
        <v>20181011</v>
      </c>
      <c r="Q1207" t="s">
        <v>483</v>
      </c>
      <c r="R1207" t="s">
        <v>484</v>
      </c>
      <c r="S1207" t="s">
        <v>295</v>
      </c>
      <c r="T1207" t="s">
        <v>301</v>
      </c>
    </row>
    <row r="1208" spans="1:20" x14ac:dyDescent="0.25">
      <c r="A1208">
        <v>9</v>
      </c>
      <c r="B1208">
        <v>181</v>
      </c>
      <c r="C1208" t="str">
        <f t="shared" si="135"/>
        <v>36</v>
      </c>
      <c r="D1208">
        <v>6219</v>
      </c>
      <c r="E1208" t="str">
        <f>"3F"</f>
        <v>3F</v>
      </c>
      <c r="F1208" t="str">
        <f t="shared" si="137"/>
        <v>001</v>
      </c>
      <c r="G1208">
        <v>9</v>
      </c>
      <c r="H1208" t="str">
        <f t="shared" si="136"/>
        <v>91</v>
      </c>
      <c r="I1208" t="str">
        <f>"0"</f>
        <v>0</v>
      </c>
      <c r="J1208" t="str">
        <f t="shared" si="138"/>
        <v>39</v>
      </c>
      <c r="K1208">
        <v>20181012</v>
      </c>
      <c r="L1208" t="str">
        <f>"074254"</f>
        <v>074254</v>
      </c>
      <c r="M1208" t="str">
        <f>"29636"</f>
        <v>29636</v>
      </c>
      <c r="N1208" t="s">
        <v>346</v>
      </c>
      <c r="O1208">
        <v>110</v>
      </c>
      <c r="P1208">
        <v>20181011</v>
      </c>
      <c r="Q1208" t="s">
        <v>333</v>
      </c>
      <c r="R1208" t="s">
        <v>311</v>
      </c>
      <c r="S1208" t="s">
        <v>295</v>
      </c>
      <c r="T1208" t="s">
        <v>301</v>
      </c>
    </row>
    <row r="1209" spans="1:20" x14ac:dyDescent="0.25">
      <c r="A1209">
        <v>9</v>
      </c>
      <c r="B1209">
        <v>181</v>
      </c>
      <c r="C1209" t="str">
        <f t="shared" si="135"/>
        <v>36</v>
      </c>
      <c r="D1209">
        <v>6219</v>
      </c>
      <c r="E1209" t="str">
        <f>"3F"</f>
        <v>3F</v>
      </c>
      <c r="F1209" t="str">
        <f t="shared" si="137"/>
        <v>001</v>
      </c>
      <c r="G1209">
        <v>9</v>
      </c>
      <c r="H1209" t="str">
        <f t="shared" si="136"/>
        <v>91</v>
      </c>
      <c r="I1209" t="str">
        <f>"1"</f>
        <v>1</v>
      </c>
      <c r="J1209" t="str">
        <f t="shared" si="138"/>
        <v>39</v>
      </c>
      <c r="K1209">
        <v>20181012</v>
      </c>
      <c r="L1209" t="str">
        <f>"074255"</f>
        <v>074255</v>
      </c>
      <c r="M1209" t="str">
        <f>"30118"</f>
        <v>30118</v>
      </c>
      <c r="N1209" t="s">
        <v>347</v>
      </c>
      <c r="O1209">
        <v>128</v>
      </c>
      <c r="P1209">
        <v>20181011</v>
      </c>
      <c r="Q1209" t="s">
        <v>327</v>
      </c>
      <c r="R1209" t="s">
        <v>311</v>
      </c>
      <c r="S1209" t="s">
        <v>295</v>
      </c>
      <c r="T1209" t="s">
        <v>301</v>
      </c>
    </row>
    <row r="1210" spans="1:20" x14ac:dyDescent="0.25">
      <c r="A1210">
        <v>9</v>
      </c>
      <c r="B1210">
        <v>181</v>
      </c>
      <c r="C1210" t="str">
        <f t="shared" si="135"/>
        <v>36</v>
      </c>
      <c r="D1210">
        <v>6219</v>
      </c>
      <c r="E1210" t="str">
        <f>"3Y"</f>
        <v>3Y</v>
      </c>
      <c r="F1210" t="str">
        <f t="shared" si="137"/>
        <v>001</v>
      </c>
      <c r="G1210">
        <v>9</v>
      </c>
      <c r="H1210" t="str">
        <f t="shared" si="136"/>
        <v>91</v>
      </c>
      <c r="I1210" t="str">
        <f>"1"</f>
        <v>1</v>
      </c>
      <c r="J1210" t="str">
        <f t="shared" si="138"/>
        <v>39</v>
      </c>
      <c r="K1210">
        <v>20181012</v>
      </c>
      <c r="L1210" t="str">
        <f>"074255"</f>
        <v>074255</v>
      </c>
      <c r="M1210" t="str">
        <f>"30118"</f>
        <v>30118</v>
      </c>
      <c r="N1210" t="s">
        <v>347</v>
      </c>
      <c r="O1210">
        <v>128</v>
      </c>
      <c r="P1210">
        <v>20181011</v>
      </c>
      <c r="Q1210" t="s">
        <v>408</v>
      </c>
      <c r="R1210" t="s">
        <v>470</v>
      </c>
      <c r="S1210" t="s">
        <v>295</v>
      </c>
      <c r="T1210" t="s">
        <v>301</v>
      </c>
    </row>
    <row r="1211" spans="1:20" x14ac:dyDescent="0.25">
      <c r="A1211">
        <v>9</v>
      </c>
      <c r="B1211">
        <v>181</v>
      </c>
      <c r="C1211" t="str">
        <f t="shared" si="135"/>
        <v>36</v>
      </c>
      <c r="D1211">
        <v>6412</v>
      </c>
      <c r="E1211" t="str">
        <f>"3G"</f>
        <v>3G</v>
      </c>
      <c r="F1211" t="str">
        <f t="shared" si="137"/>
        <v>001</v>
      </c>
      <c r="G1211">
        <v>9</v>
      </c>
      <c r="H1211" t="str">
        <f t="shared" si="136"/>
        <v>91</v>
      </c>
      <c r="I1211" t="str">
        <f>"3"</f>
        <v>3</v>
      </c>
      <c r="J1211" t="str">
        <f t="shared" si="138"/>
        <v>39</v>
      </c>
      <c r="K1211">
        <v>20181012</v>
      </c>
      <c r="L1211" t="str">
        <f>"074256"</f>
        <v>074256</v>
      </c>
      <c r="M1211" t="str">
        <f>"30744"</f>
        <v>30744</v>
      </c>
      <c r="N1211" t="s">
        <v>422</v>
      </c>
      <c r="O1211">
        <v>32.25</v>
      </c>
      <c r="P1211">
        <v>20181011</v>
      </c>
      <c r="Q1211" t="s">
        <v>483</v>
      </c>
      <c r="R1211" t="s">
        <v>484</v>
      </c>
      <c r="S1211" t="s">
        <v>295</v>
      </c>
      <c r="T1211" t="s">
        <v>301</v>
      </c>
    </row>
    <row r="1212" spans="1:20" x14ac:dyDescent="0.25">
      <c r="A1212">
        <v>9</v>
      </c>
      <c r="B1212">
        <v>181</v>
      </c>
      <c r="C1212" t="str">
        <f t="shared" si="135"/>
        <v>36</v>
      </c>
      <c r="D1212">
        <v>6412</v>
      </c>
      <c r="E1212" t="str">
        <f>"3G"</f>
        <v>3G</v>
      </c>
      <c r="F1212" t="str">
        <f t="shared" si="137"/>
        <v>001</v>
      </c>
      <c r="G1212">
        <v>9</v>
      </c>
      <c r="H1212" t="str">
        <f t="shared" si="136"/>
        <v>91</v>
      </c>
      <c r="I1212" t="str">
        <f>"3"</f>
        <v>3</v>
      </c>
      <c r="J1212" t="str">
        <f t="shared" si="138"/>
        <v>39</v>
      </c>
      <c r="K1212">
        <v>20181012</v>
      </c>
      <c r="L1212" t="str">
        <f>"074256"</f>
        <v>074256</v>
      </c>
      <c r="M1212" t="str">
        <f>"30744"</f>
        <v>30744</v>
      </c>
      <c r="N1212" t="s">
        <v>422</v>
      </c>
      <c r="O1212">
        <v>48.04</v>
      </c>
      <c r="P1212">
        <v>20181011</v>
      </c>
      <c r="Q1212" t="s">
        <v>483</v>
      </c>
      <c r="R1212" t="s">
        <v>484</v>
      </c>
      <c r="S1212" t="s">
        <v>295</v>
      </c>
      <c r="T1212" t="s">
        <v>301</v>
      </c>
    </row>
    <row r="1213" spans="1:20" x14ac:dyDescent="0.25">
      <c r="A1213">
        <v>9</v>
      </c>
      <c r="B1213">
        <v>181</v>
      </c>
      <c r="C1213" t="str">
        <f t="shared" si="135"/>
        <v>36</v>
      </c>
      <c r="D1213">
        <v>6219</v>
      </c>
      <c r="E1213" t="str">
        <f>"3F"</f>
        <v>3F</v>
      </c>
      <c r="F1213" t="str">
        <f t="shared" si="137"/>
        <v>001</v>
      </c>
      <c r="G1213">
        <v>9</v>
      </c>
      <c r="H1213" t="str">
        <f t="shared" si="136"/>
        <v>91</v>
      </c>
      <c r="I1213" t="str">
        <f t="shared" ref="I1213:I1221" si="139">"0"</f>
        <v>0</v>
      </c>
      <c r="J1213" t="str">
        <f t="shared" si="138"/>
        <v>39</v>
      </c>
      <c r="K1213">
        <v>20181012</v>
      </c>
      <c r="L1213" t="str">
        <f>"074258"</f>
        <v>074258</v>
      </c>
      <c r="M1213" t="str">
        <f>"32855"</f>
        <v>32855</v>
      </c>
      <c r="N1213" t="s">
        <v>348</v>
      </c>
      <c r="O1213">
        <v>110</v>
      </c>
      <c r="P1213">
        <v>20181011</v>
      </c>
      <c r="Q1213" t="s">
        <v>333</v>
      </c>
      <c r="R1213" t="s">
        <v>311</v>
      </c>
      <c r="S1213" t="s">
        <v>295</v>
      </c>
      <c r="T1213" t="s">
        <v>301</v>
      </c>
    </row>
    <row r="1214" spans="1:20" x14ac:dyDescent="0.25">
      <c r="A1214">
        <v>9</v>
      </c>
      <c r="B1214">
        <v>181</v>
      </c>
      <c r="C1214" t="str">
        <f t="shared" si="135"/>
        <v>36</v>
      </c>
      <c r="D1214">
        <v>6219</v>
      </c>
      <c r="E1214" t="str">
        <f>"3F"</f>
        <v>3F</v>
      </c>
      <c r="F1214" t="str">
        <f t="shared" si="137"/>
        <v>001</v>
      </c>
      <c r="G1214">
        <v>9</v>
      </c>
      <c r="H1214" t="str">
        <f t="shared" si="136"/>
        <v>91</v>
      </c>
      <c r="I1214" t="str">
        <f t="shared" si="139"/>
        <v>0</v>
      </c>
      <c r="J1214" t="str">
        <f t="shared" si="138"/>
        <v>39</v>
      </c>
      <c r="K1214">
        <v>20181012</v>
      </c>
      <c r="L1214" t="str">
        <f>"074260"</f>
        <v>074260</v>
      </c>
      <c r="M1214" t="str">
        <f>"34901"</f>
        <v>34901</v>
      </c>
      <c r="N1214" t="s">
        <v>353</v>
      </c>
      <c r="O1214">
        <v>110</v>
      </c>
      <c r="P1214">
        <v>20181011</v>
      </c>
      <c r="Q1214" t="s">
        <v>333</v>
      </c>
      <c r="R1214" t="s">
        <v>311</v>
      </c>
      <c r="S1214" t="s">
        <v>295</v>
      </c>
      <c r="T1214" t="s">
        <v>301</v>
      </c>
    </row>
    <row r="1215" spans="1:20" x14ac:dyDescent="0.25">
      <c r="A1215">
        <v>9</v>
      </c>
      <c r="B1215">
        <v>181</v>
      </c>
      <c r="C1215" t="str">
        <f t="shared" si="135"/>
        <v>36</v>
      </c>
      <c r="D1215">
        <v>6219</v>
      </c>
      <c r="E1215" t="str">
        <f>"3Y"</f>
        <v>3Y</v>
      </c>
      <c r="F1215" t="str">
        <f t="shared" si="137"/>
        <v>001</v>
      </c>
      <c r="G1215">
        <v>9</v>
      </c>
      <c r="H1215" t="str">
        <f t="shared" si="136"/>
        <v>91</v>
      </c>
      <c r="I1215" t="str">
        <f t="shared" si="139"/>
        <v>0</v>
      </c>
      <c r="J1215" t="str">
        <f t="shared" si="138"/>
        <v>39</v>
      </c>
      <c r="K1215">
        <v>20181012</v>
      </c>
      <c r="L1215" t="str">
        <f>"074263"</f>
        <v>074263</v>
      </c>
      <c r="M1215" t="str">
        <f>"36704"</f>
        <v>36704</v>
      </c>
      <c r="N1215" t="s">
        <v>485</v>
      </c>
      <c r="O1215">
        <v>115</v>
      </c>
      <c r="P1215">
        <v>20181011</v>
      </c>
      <c r="Q1215" t="s">
        <v>330</v>
      </c>
      <c r="R1215" t="s">
        <v>470</v>
      </c>
      <c r="S1215" t="s">
        <v>295</v>
      </c>
      <c r="T1215" t="s">
        <v>301</v>
      </c>
    </row>
    <row r="1216" spans="1:20" x14ac:dyDescent="0.25">
      <c r="A1216">
        <v>9</v>
      </c>
      <c r="B1216">
        <v>181</v>
      </c>
      <c r="C1216" t="str">
        <f t="shared" si="135"/>
        <v>36</v>
      </c>
      <c r="D1216">
        <v>6219</v>
      </c>
      <c r="E1216" t="str">
        <f>"3F"</f>
        <v>3F</v>
      </c>
      <c r="F1216" t="str">
        <f t="shared" si="137"/>
        <v>001</v>
      </c>
      <c r="G1216">
        <v>9</v>
      </c>
      <c r="H1216" t="str">
        <f t="shared" si="136"/>
        <v>91</v>
      </c>
      <c r="I1216" t="str">
        <f t="shared" si="139"/>
        <v>0</v>
      </c>
      <c r="J1216" t="str">
        <f t="shared" si="138"/>
        <v>39</v>
      </c>
      <c r="K1216">
        <v>20181012</v>
      </c>
      <c r="L1216" t="str">
        <f>"074264"</f>
        <v>074264</v>
      </c>
      <c r="M1216" t="str">
        <f>"39420"</f>
        <v>39420</v>
      </c>
      <c r="N1216" t="s">
        <v>357</v>
      </c>
      <c r="O1216">
        <v>110</v>
      </c>
      <c r="P1216">
        <v>20181011</v>
      </c>
      <c r="Q1216" t="s">
        <v>333</v>
      </c>
      <c r="R1216" t="s">
        <v>311</v>
      </c>
      <c r="S1216" t="s">
        <v>295</v>
      </c>
      <c r="T1216" t="s">
        <v>301</v>
      </c>
    </row>
    <row r="1217" spans="1:20" x14ac:dyDescent="0.25">
      <c r="A1217">
        <v>9</v>
      </c>
      <c r="B1217">
        <v>181</v>
      </c>
      <c r="C1217" t="str">
        <f t="shared" si="135"/>
        <v>36</v>
      </c>
      <c r="D1217">
        <v>6219</v>
      </c>
      <c r="E1217" t="str">
        <f>"3F"</f>
        <v>3F</v>
      </c>
      <c r="F1217" t="str">
        <f t="shared" si="137"/>
        <v>001</v>
      </c>
      <c r="G1217">
        <v>9</v>
      </c>
      <c r="H1217" t="str">
        <f t="shared" si="136"/>
        <v>91</v>
      </c>
      <c r="I1217" t="str">
        <f t="shared" si="139"/>
        <v>0</v>
      </c>
      <c r="J1217" t="str">
        <f t="shared" si="138"/>
        <v>39</v>
      </c>
      <c r="K1217">
        <v>20181012</v>
      </c>
      <c r="L1217" t="str">
        <f>"074280"</f>
        <v>074280</v>
      </c>
      <c r="M1217" t="str">
        <f>"48931"</f>
        <v>48931</v>
      </c>
      <c r="N1217" t="s">
        <v>361</v>
      </c>
      <c r="O1217">
        <v>110</v>
      </c>
      <c r="P1217">
        <v>20181011</v>
      </c>
      <c r="Q1217" t="s">
        <v>333</v>
      </c>
      <c r="R1217" t="s">
        <v>311</v>
      </c>
      <c r="S1217" t="s">
        <v>295</v>
      </c>
      <c r="T1217" t="s">
        <v>301</v>
      </c>
    </row>
    <row r="1218" spans="1:20" x14ac:dyDescent="0.25">
      <c r="A1218">
        <v>9</v>
      </c>
      <c r="B1218">
        <v>181</v>
      </c>
      <c r="C1218" t="str">
        <f t="shared" si="135"/>
        <v>36</v>
      </c>
      <c r="D1218">
        <v>6219</v>
      </c>
      <c r="E1218" t="str">
        <f>"3Y"</f>
        <v>3Y</v>
      </c>
      <c r="F1218" t="str">
        <f>"041"</f>
        <v>041</v>
      </c>
      <c r="G1218">
        <v>9</v>
      </c>
      <c r="H1218" t="str">
        <f t="shared" si="136"/>
        <v>91</v>
      </c>
      <c r="I1218" t="str">
        <f t="shared" si="139"/>
        <v>0</v>
      </c>
      <c r="J1218" t="str">
        <f>"41"</f>
        <v>41</v>
      </c>
      <c r="K1218">
        <v>20181012</v>
      </c>
      <c r="L1218" t="str">
        <f>"074281"</f>
        <v>074281</v>
      </c>
      <c r="M1218" t="str">
        <f>"49189"</f>
        <v>49189</v>
      </c>
      <c r="N1218" t="s">
        <v>364</v>
      </c>
      <c r="O1218">
        <v>85</v>
      </c>
      <c r="P1218">
        <v>20181011</v>
      </c>
      <c r="Q1218" t="s">
        <v>355</v>
      </c>
      <c r="R1218" t="s">
        <v>486</v>
      </c>
      <c r="S1218" t="s">
        <v>295</v>
      </c>
      <c r="T1218" t="s">
        <v>106</v>
      </c>
    </row>
    <row r="1219" spans="1:20" x14ac:dyDescent="0.25">
      <c r="A1219">
        <v>9</v>
      </c>
      <c r="B1219">
        <v>181</v>
      </c>
      <c r="C1219" t="str">
        <f t="shared" si="135"/>
        <v>36</v>
      </c>
      <c r="D1219">
        <v>6411</v>
      </c>
      <c r="E1219" t="str">
        <f>"33"</f>
        <v>33</v>
      </c>
      <c r="F1219" t="str">
        <f>"001"</f>
        <v>001</v>
      </c>
      <c r="G1219">
        <v>9</v>
      </c>
      <c r="H1219" t="str">
        <f t="shared" si="136"/>
        <v>91</v>
      </c>
      <c r="I1219" t="str">
        <f t="shared" si="139"/>
        <v>0</v>
      </c>
      <c r="J1219" t="str">
        <f>"39"</f>
        <v>39</v>
      </c>
      <c r="K1219">
        <v>20181012</v>
      </c>
      <c r="L1219" t="str">
        <f>"074287"</f>
        <v>074287</v>
      </c>
      <c r="M1219" t="str">
        <f>"52196"</f>
        <v>52196</v>
      </c>
      <c r="N1219" t="s">
        <v>292</v>
      </c>
      <c r="O1219">
        <v>335</v>
      </c>
      <c r="P1219">
        <v>20181011</v>
      </c>
      <c r="Q1219" t="s">
        <v>306</v>
      </c>
      <c r="R1219" t="s">
        <v>487</v>
      </c>
      <c r="S1219" t="s">
        <v>295</v>
      </c>
      <c r="T1219" t="s">
        <v>301</v>
      </c>
    </row>
    <row r="1220" spans="1:20" x14ac:dyDescent="0.25">
      <c r="A1220">
        <v>9</v>
      </c>
      <c r="B1220">
        <v>181</v>
      </c>
      <c r="C1220" t="str">
        <f t="shared" si="135"/>
        <v>36</v>
      </c>
      <c r="D1220">
        <v>6219</v>
      </c>
      <c r="E1220" t="str">
        <f>"3F"</f>
        <v>3F</v>
      </c>
      <c r="F1220" t="str">
        <f>"041"</f>
        <v>041</v>
      </c>
      <c r="G1220">
        <v>9</v>
      </c>
      <c r="H1220" t="str">
        <f t="shared" si="136"/>
        <v>91</v>
      </c>
      <c r="I1220" t="str">
        <f t="shared" si="139"/>
        <v>0</v>
      </c>
      <c r="J1220" t="str">
        <f>"41"</f>
        <v>41</v>
      </c>
      <c r="K1220">
        <v>20181012</v>
      </c>
      <c r="L1220" t="str">
        <f>"074289"</f>
        <v>074289</v>
      </c>
      <c r="M1220" t="str">
        <f>"54820"</f>
        <v>54820</v>
      </c>
      <c r="N1220" t="s">
        <v>366</v>
      </c>
      <c r="O1220">
        <v>150</v>
      </c>
      <c r="P1220">
        <v>20181011</v>
      </c>
      <c r="Q1220" t="s">
        <v>339</v>
      </c>
      <c r="R1220" t="s">
        <v>480</v>
      </c>
      <c r="S1220" t="s">
        <v>295</v>
      </c>
      <c r="T1220" t="s">
        <v>106</v>
      </c>
    </row>
    <row r="1221" spans="1:20" x14ac:dyDescent="0.25">
      <c r="A1221">
        <v>9</v>
      </c>
      <c r="B1221">
        <v>181</v>
      </c>
      <c r="C1221" t="str">
        <f t="shared" si="135"/>
        <v>36</v>
      </c>
      <c r="D1221">
        <v>6299</v>
      </c>
      <c r="E1221" t="str">
        <f>"3F"</f>
        <v>3F</v>
      </c>
      <c r="F1221" t="str">
        <f>"041"</f>
        <v>041</v>
      </c>
      <c r="G1221">
        <v>9</v>
      </c>
      <c r="H1221" t="str">
        <f t="shared" si="136"/>
        <v>91</v>
      </c>
      <c r="I1221" t="str">
        <f t="shared" si="139"/>
        <v>0</v>
      </c>
      <c r="J1221" t="str">
        <f>"41"</f>
        <v>41</v>
      </c>
      <c r="K1221">
        <v>20181012</v>
      </c>
      <c r="L1221" t="str">
        <f>"074301"</f>
        <v>074301</v>
      </c>
      <c r="M1221" t="str">
        <f>"00530"</f>
        <v>00530</v>
      </c>
      <c r="N1221" t="s">
        <v>374</v>
      </c>
      <c r="O1221">
        <v>131.25</v>
      </c>
      <c r="P1221">
        <v>20181011</v>
      </c>
      <c r="Q1221" t="s">
        <v>375</v>
      </c>
      <c r="R1221" t="s">
        <v>480</v>
      </c>
      <c r="S1221" t="s">
        <v>295</v>
      </c>
      <c r="T1221" t="s">
        <v>106</v>
      </c>
    </row>
    <row r="1222" spans="1:20" x14ac:dyDescent="0.25">
      <c r="A1222">
        <v>9</v>
      </c>
      <c r="B1222">
        <v>181</v>
      </c>
      <c r="C1222" t="str">
        <f t="shared" si="135"/>
        <v>36</v>
      </c>
      <c r="D1222">
        <v>6219</v>
      </c>
      <c r="E1222" t="str">
        <f>"3F"</f>
        <v>3F</v>
      </c>
      <c r="F1222" t="str">
        <f>"001"</f>
        <v>001</v>
      </c>
      <c r="G1222">
        <v>9</v>
      </c>
      <c r="H1222" t="str">
        <f t="shared" si="136"/>
        <v>91</v>
      </c>
      <c r="I1222" t="str">
        <f>"1"</f>
        <v>1</v>
      </c>
      <c r="J1222" t="str">
        <f>"39"</f>
        <v>39</v>
      </c>
      <c r="K1222">
        <v>20181012</v>
      </c>
      <c r="L1222" t="str">
        <f>"074305"</f>
        <v>074305</v>
      </c>
      <c r="M1222" t="str">
        <f>"63670"</f>
        <v>63670</v>
      </c>
      <c r="N1222" t="s">
        <v>383</v>
      </c>
      <c r="O1222">
        <v>128</v>
      </c>
      <c r="P1222">
        <v>20181011</v>
      </c>
      <c r="Q1222" t="s">
        <v>327</v>
      </c>
      <c r="R1222" t="s">
        <v>311</v>
      </c>
      <c r="S1222" t="s">
        <v>295</v>
      </c>
      <c r="T1222" t="s">
        <v>301</v>
      </c>
    </row>
    <row r="1223" spans="1:20" x14ac:dyDescent="0.25">
      <c r="A1223">
        <v>9</v>
      </c>
      <c r="B1223">
        <v>181</v>
      </c>
      <c r="C1223" t="str">
        <f t="shared" si="135"/>
        <v>36</v>
      </c>
      <c r="D1223">
        <v>6219</v>
      </c>
      <c r="E1223" t="str">
        <f>"3F"</f>
        <v>3F</v>
      </c>
      <c r="F1223" t="str">
        <f>"001"</f>
        <v>001</v>
      </c>
      <c r="G1223">
        <v>9</v>
      </c>
      <c r="H1223" t="str">
        <f t="shared" si="136"/>
        <v>91</v>
      </c>
      <c r="I1223" t="str">
        <f>"0"</f>
        <v>0</v>
      </c>
      <c r="J1223" t="str">
        <f>"39"</f>
        <v>39</v>
      </c>
      <c r="K1223">
        <v>20181012</v>
      </c>
      <c r="L1223" t="str">
        <f>"074307"</f>
        <v>074307</v>
      </c>
      <c r="M1223" t="str">
        <f>"63913"</f>
        <v>63913</v>
      </c>
      <c r="N1223" t="s">
        <v>385</v>
      </c>
      <c r="O1223">
        <v>110</v>
      </c>
      <c r="P1223">
        <v>20181011</v>
      </c>
      <c r="Q1223" t="s">
        <v>333</v>
      </c>
      <c r="R1223" t="s">
        <v>311</v>
      </c>
      <c r="S1223" t="s">
        <v>295</v>
      </c>
      <c r="T1223" t="s">
        <v>301</v>
      </c>
    </row>
    <row r="1224" spans="1:20" x14ac:dyDescent="0.25">
      <c r="A1224">
        <v>9</v>
      </c>
      <c r="B1224">
        <v>181</v>
      </c>
      <c r="C1224" t="str">
        <f t="shared" si="135"/>
        <v>36</v>
      </c>
      <c r="D1224">
        <v>6412</v>
      </c>
      <c r="E1224" t="str">
        <f>"3C"</f>
        <v>3C</v>
      </c>
      <c r="F1224" t="str">
        <f>"041"</f>
        <v>041</v>
      </c>
      <c r="G1224">
        <v>9</v>
      </c>
      <c r="H1224" t="str">
        <f t="shared" si="136"/>
        <v>91</v>
      </c>
      <c r="I1224" t="str">
        <f>"2"</f>
        <v>2</v>
      </c>
      <c r="J1224" t="str">
        <f>"41"</f>
        <v>41</v>
      </c>
      <c r="K1224">
        <v>20181012</v>
      </c>
      <c r="L1224" t="str">
        <f>"074308"</f>
        <v>074308</v>
      </c>
      <c r="M1224" t="str">
        <f>"64004"</f>
        <v>64004</v>
      </c>
      <c r="N1224" t="s">
        <v>488</v>
      </c>
      <c r="O1224">
        <v>78</v>
      </c>
      <c r="P1224">
        <v>20181011</v>
      </c>
      <c r="Q1224" t="s">
        <v>298</v>
      </c>
      <c r="R1224" t="s">
        <v>489</v>
      </c>
      <c r="S1224" t="s">
        <v>295</v>
      </c>
      <c r="T1224" t="s">
        <v>106</v>
      </c>
    </row>
    <row r="1225" spans="1:20" x14ac:dyDescent="0.25">
      <c r="A1225">
        <v>9</v>
      </c>
      <c r="B1225">
        <v>181</v>
      </c>
      <c r="C1225" t="str">
        <f t="shared" si="135"/>
        <v>36</v>
      </c>
      <c r="D1225">
        <v>6411</v>
      </c>
      <c r="E1225" t="str">
        <f>"33"</f>
        <v>33</v>
      </c>
      <c r="F1225" t="str">
        <f>"001"</f>
        <v>001</v>
      </c>
      <c r="G1225">
        <v>9</v>
      </c>
      <c r="H1225" t="str">
        <f t="shared" si="136"/>
        <v>91</v>
      </c>
      <c r="I1225" t="str">
        <f t="shared" ref="I1225:I1238" si="140">"0"</f>
        <v>0</v>
      </c>
      <c r="J1225" t="str">
        <f>"39"</f>
        <v>39</v>
      </c>
      <c r="K1225">
        <v>20181012</v>
      </c>
      <c r="L1225" t="str">
        <f>"074310"</f>
        <v>074310</v>
      </c>
      <c r="M1225" t="str">
        <f>"64786"</f>
        <v>64786</v>
      </c>
      <c r="N1225" t="s">
        <v>490</v>
      </c>
      <c r="O1225">
        <v>30.47</v>
      </c>
      <c r="P1225">
        <v>20181011</v>
      </c>
      <c r="Q1225" t="s">
        <v>306</v>
      </c>
      <c r="R1225" t="s">
        <v>307</v>
      </c>
      <c r="S1225" t="s">
        <v>295</v>
      </c>
      <c r="T1225" t="s">
        <v>301</v>
      </c>
    </row>
    <row r="1226" spans="1:20" x14ac:dyDescent="0.25">
      <c r="A1226">
        <v>9</v>
      </c>
      <c r="B1226">
        <v>181</v>
      </c>
      <c r="C1226" t="str">
        <f t="shared" si="135"/>
        <v>36</v>
      </c>
      <c r="D1226">
        <v>6411</v>
      </c>
      <c r="E1226" t="str">
        <f>"33"</f>
        <v>33</v>
      </c>
      <c r="F1226" t="str">
        <f>"001"</f>
        <v>001</v>
      </c>
      <c r="G1226">
        <v>9</v>
      </c>
      <c r="H1226" t="str">
        <f t="shared" si="136"/>
        <v>91</v>
      </c>
      <c r="I1226" t="str">
        <f t="shared" si="140"/>
        <v>0</v>
      </c>
      <c r="J1226" t="str">
        <f>"39"</f>
        <v>39</v>
      </c>
      <c r="K1226">
        <v>20181012</v>
      </c>
      <c r="L1226" t="str">
        <f>"074316"</f>
        <v>074316</v>
      </c>
      <c r="M1226" t="str">
        <f>"69162"</f>
        <v>69162</v>
      </c>
      <c r="N1226" t="s">
        <v>491</v>
      </c>
      <c r="O1226">
        <v>54</v>
      </c>
      <c r="P1226">
        <v>20181011</v>
      </c>
      <c r="Q1226" t="s">
        <v>306</v>
      </c>
      <c r="R1226" t="s">
        <v>492</v>
      </c>
      <c r="S1226" t="s">
        <v>295</v>
      </c>
      <c r="T1226" t="s">
        <v>301</v>
      </c>
    </row>
    <row r="1227" spans="1:20" x14ac:dyDescent="0.25">
      <c r="A1227">
        <v>9</v>
      </c>
      <c r="B1227">
        <v>181</v>
      </c>
      <c r="C1227" t="str">
        <f t="shared" si="135"/>
        <v>36</v>
      </c>
      <c r="D1227">
        <v>6411</v>
      </c>
      <c r="E1227" t="str">
        <f>"33"</f>
        <v>33</v>
      </c>
      <c r="F1227" t="str">
        <f>"001"</f>
        <v>001</v>
      </c>
      <c r="G1227">
        <v>9</v>
      </c>
      <c r="H1227" t="str">
        <f t="shared" si="136"/>
        <v>91</v>
      </c>
      <c r="I1227" t="str">
        <f t="shared" si="140"/>
        <v>0</v>
      </c>
      <c r="J1227" t="str">
        <f>"39"</f>
        <v>39</v>
      </c>
      <c r="K1227">
        <v>20181012</v>
      </c>
      <c r="L1227" t="str">
        <f>"074316"</f>
        <v>074316</v>
      </c>
      <c r="M1227" t="str">
        <f>"69162"</f>
        <v>69162</v>
      </c>
      <c r="N1227" t="s">
        <v>491</v>
      </c>
      <c r="O1227">
        <v>121</v>
      </c>
      <c r="P1227">
        <v>20181011</v>
      </c>
      <c r="Q1227" t="s">
        <v>306</v>
      </c>
      <c r="R1227" t="s">
        <v>493</v>
      </c>
      <c r="S1227" t="s">
        <v>295</v>
      </c>
      <c r="T1227" t="s">
        <v>301</v>
      </c>
    </row>
    <row r="1228" spans="1:20" x14ac:dyDescent="0.25">
      <c r="A1228">
        <v>9</v>
      </c>
      <c r="B1228">
        <v>181</v>
      </c>
      <c r="C1228" t="str">
        <f t="shared" si="135"/>
        <v>36</v>
      </c>
      <c r="D1228">
        <v>6219</v>
      </c>
      <c r="E1228" t="str">
        <f>"3Y"</f>
        <v>3Y</v>
      </c>
      <c r="F1228" t="str">
        <f>"041"</f>
        <v>041</v>
      </c>
      <c r="G1228">
        <v>9</v>
      </c>
      <c r="H1228" t="str">
        <f t="shared" si="136"/>
        <v>91</v>
      </c>
      <c r="I1228" t="str">
        <f t="shared" si="140"/>
        <v>0</v>
      </c>
      <c r="J1228" t="str">
        <f>"41"</f>
        <v>41</v>
      </c>
      <c r="K1228">
        <v>20181012</v>
      </c>
      <c r="L1228" t="str">
        <f>"074317"</f>
        <v>074317</v>
      </c>
      <c r="M1228" t="str">
        <f>"70081"</f>
        <v>70081</v>
      </c>
      <c r="N1228" t="s">
        <v>494</v>
      </c>
      <c r="O1228">
        <v>85</v>
      </c>
      <c r="P1228">
        <v>20181011</v>
      </c>
      <c r="Q1228" t="s">
        <v>355</v>
      </c>
      <c r="R1228" t="s">
        <v>486</v>
      </c>
      <c r="S1228" t="s">
        <v>295</v>
      </c>
      <c r="T1228" t="s">
        <v>106</v>
      </c>
    </row>
    <row r="1229" spans="1:20" x14ac:dyDescent="0.25">
      <c r="A1229">
        <v>9</v>
      </c>
      <c r="B1229">
        <v>181</v>
      </c>
      <c r="C1229" t="str">
        <f t="shared" si="135"/>
        <v>36</v>
      </c>
      <c r="D1229">
        <v>6399</v>
      </c>
      <c r="E1229" t="str">
        <f>"3S"</f>
        <v>3S</v>
      </c>
      <c r="F1229" t="str">
        <f>"001"</f>
        <v>001</v>
      </c>
      <c r="G1229">
        <v>9</v>
      </c>
      <c r="H1229" t="str">
        <f t="shared" si="136"/>
        <v>91</v>
      </c>
      <c r="I1229" t="str">
        <f t="shared" si="140"/>
        <v>0</v>
      </c>
      <c r="J1229" t="str">
        <f>"39"</f>
        <v>39</v>
      </c>
      <c r="K1229">
        <v>20181012</v>
      </c>
      <c r="L1229" t="str">
        <f>"074321"</f>
        <v>074321</v>
      </c>
      <c r="M1229" t="str">
        <f>"74131"</f>
        <v>74131</v>
      </c>
      <c r="N1229" t="s">
        <v>495</v>
      </c>
      <c r="O1229" s="1">
        <v>1576</v>
      </c>
      <c r="P1229">
        <v>20181011</v>
      </c>
      <c r="Q1229" t="s">
        <v>496</v>
      </c>
      <c r="R1229" t="s">
        <v>497</v>
      </c>
      <c r="S1229" t="s">
        <v>295</v>
      </c>
      <c r="T1229" t="s">
        <v>301</v>
      </c>
    </row>
    <row r="1230" spans="1:20" x14ac:dyDescent="0.25">
      <c r="A1230">
        <v>9</v>
      </c>
      <c r="B1230">
        <v>181</v>
      </c>
      <c r="C1230" t="str">
        <f t="shared" si="135"/>
        <v>36</v>
      </c>
      <c r="D1230">
        <v>6399</v>
      </c>
      <c r="E1230" t="str">
        <f>"3S"</f>
        <v>3S</v>
      </c>
      <c r="F1230" t="str">
        <f>"041"</f>
        <v>041</v>
      </c>
      <c r="G1230">
        <v>9</v>
      </c>
      <c r="H1230" t="str">
        <f t="shared" si="136"/>
        <v>91</v>
      </c>
      <c r="I1230" t="str">
        <f t="shared" si="140"/>
        <v>0</v>
      </c>
      <c r="J1230" t="str">
        <f>"41"</f>
        <v>41</v>
      </c>
      <c r="K1230">
        <v>20181012</v>
      </c>
      <c r="L1230" t="str">
        <f>"074321"</f>
        <v>074321</v>
      </c>
      <c r="M1230" t="str">
        <f>"74131"</f>
        <v>74131</v>
      </c>
      <c r="N1230" t="s">
        <v>495</v>
      </c>
      <c r="O1230">
        <v>150</v>
      </c>
      <c r="P1230">
        <v>20181011</v>
      </c>
      <c r="Q1230" t="s">
        <v>498</v>
      </c>
      <c r="R1230" t="s">
        <v>499</v>
      </c>
      <c r="S1230" t="s">
        <v>295</v>
      </c>
      <c r="T1230" t="s">
        <v>106</v>
      </c>
    </row>
    <row r="1231" spans="1:20" x14ac:dyDescent="0.25">
      <c r="A1231">
        <v>9</v>
      </c>
      <c r="B1231">
        <v>181</v>
      </c>
      <c r="C1231" t="str">
        <f t="shared" ref="C1231:C1254" si="141">"36"</f>
        <v>36</v>
      </c>
      <c r="D1231">
        <v>6319</v>
      </c>
      <c r="E1231" t="str">
        <f>"30"</f>
        <v>30</v>
      </c>
      <c r="F1231" t="str">
        <f>"001"</f>
        <v>001</v>
      </c>
      <c r="G1231">
        <v>9</v>
      </c>
      <c r="H1231" t="str">
        <f t="shared" ref="H1231:H1254" si="142">"91"</f>
        <v>91</v>
      </c>
      <c r="I1231" t="str">
        <f t="shared" si="140"/>
        <v>0</v>
      </c>
      <c r="J1231" t="str">
        <f>"39"</f>
        <v>39</v>
      </c>
      <c r="K1231">
        <v>20181012</v>
      </c>
      <c r="L1231" t="str">
        <f>"074328"</f>
        <v>074328</v>
      </c>
      <c r="M1231" t="str">
        <f>"79680"</f>
        <v>79680</v>
      </c>
      <c r="N1231" t="s">
        <v>500</v>
      </c>
      <c r="O1231">
        <v>78.5</v>
      </c>
      <c r="P1231">
        <v>20181011</v>
      </c>
      <c r="Q1231" t="s">
        <v>501</v>
      </c>
      <c r="R1231" t="s">
        <v>502</v>
      </c>
      <c r="S1231" t="s">
        <v>295</v>
      </c>
      <c r="T1231" t="s">
        <v>301</v>
      </c>
    </row>
    <row r="1232" spans="1:20" x14ac:dyDescent="0.25">
      <c r="A1232">
        <v>9</v>
      </c>
      <c r="B1232">
        <v>181</v>
      </c>
      <c r="C1232" t="str">
        <f t="shared" si="141"/>
        <v>36</v>
      </c>
      <c r="D1232">
        <v>6319</v>
      </c>
      <c r="E1232" t="str">
        <f>"30"</f>
        <v>30</v>
      </c>
      <c r="F1232" t="str">
        <f>"041"</f>
        <v>041</v>
      </c>
      <c r="G1232">
        <v>9</v>
      </c>
      <c r="H1232" t="str">
        <f t="shared" si="142"/>
        <v>91</v>
      </c>
      <c r="I1232" t="str">
        <f t="shared" si="140"/>
        <v>0</v>
      </c>
      <c r="J1232" t="str">
        <f>"41"</f>
        <v>41</v>
      </c>
      <c r="K1232">
        <v>20181012</v>
      </c>
      <c r="L1232" t="str">
        <f>"074328"</f>
        <v>074328</v>
      </c>
      <c r="M1232" t="str">
        <f>"79680"</f>
        <v>79680</v>
      </c>
      <c r="N1232" t="s">
        <v>500</v>
      </c>
      <c r="O1232">
        <v>106.5</v>
      </c>
      <c r="P1232">
        <v>20181011</v>
      </c>
      <c r="Q1232" t="s">
        <v>503</v>
      </c>
      <c r="R1232" t="s">
        <v>502</v>
      </c>
      <c r="S1232" t="s">
        <v>295</v>
      </c>
      <c r="T1232" t="s">
        <v>106</v>
      </c>
    </row>
    <row r="1233" spans="1:20" x14ac:dyDescent="0.25">
      <c r="A1233">
        <v>9</v>
      </c>
      <c r="B1233">
        <v>181</v>
      </c>
      <c r="C1233" t="str">
        <f t="shared" si="141"/>
        <v>36</v>
      </c>
      <c r="D1233">
        <v>6219</v>
      </c>
      <c r="E1233" t="str">
        <f>"3Y"</f>
        <v>3Y</v>
      </c>
      <c r="F1233" t="str">
        <f>"041"</f>
        <v>041</v>
      </c>
      <c r="G1233">
        <v>9</v>
      </c>
      <c r="H1233" t="str">
        <f t="shared" si="142"/>
        <v>91</v>
      </c>
      <c r="I1233" t="str">
        <f t="shared" si="140"/>
        <v>0</v>
      </c>
      <c r="J1233" t="str">
        <f>"41"</f>
        <v>41</v>
      </c>
      <c r="K1233">
        <v>20181012</v>
      </c>
      <c r="L1233" t="str">
        <f>"074330"</f>
        <v>074330</v>
      </c>
      <c r="M1233" t="str">
        <f>"80470"</f>
        <v>80470</v>
      </c>
      <c r="N1233" t="s">
        <v>391</v>
      </c>
      <c r="O1233">
        <v>45</v>
      </c>
      <c r="P1233">
        <v>20181011</v>
      </c>
      <c r="Q1233" t="s">
        <v>355</v>
      </c>
      <c r="R1233" t="s">
        <v>486</v>
      </c>
      <c r="S1233" t="s">
        <v>295</v>
      </c>
      <c r="T1233" t="s">
        <v>106</v>
      </c>
    </row>
    <row r="1234" spans="1:20" x14ac:dyDescent="0.25">
      <c r="A1234">
        <v>9</v>
      </c>
      <c r="B1234">
        <v>181</v>
      </c>
      <c r="C1234" t="str">
        <f t="shared" si="141"/>
        <v>36</v>
      </c>
      <c r="D1234">
        <v>6219</v>
      </c>
      <c r="E1234" t="str">
        <f>"3F"</f>
        <v>3F</v>
      </c>
      <c r="F1234" t="str">
        <f>"041"</f>
        <v>041</v>
      </c>
      <c r="G1234">
        <v>9</v>
      </c>
      <c r="H1234" t="str">
        <f t="shared" si="142"/>
        <v>91</v>
      </c>
      <c r="I1234" t="str">
        <f t="shared" si="140"/>
        <v>0</v>
      </c>
      <c r="J1234" t="str">
        <f>"41"</f>
        <v>41</v>
      </c>
      <c r="K1234">
        <v>20181012</v>
      </c>
      <c r="L1234" t="str">
        <f>"074332"</f>
        <v>074332</v>
      </c>
      <c r="M1234" t="str">
        <f>"80513"</f>
        <v>80513</v>
      </c>
      <c r="N1234" t="s">
        <v>392</v>
      </c>
      <c r="O1234">
        <v>150</v>
      </c>
      <c r="P1234">
        <v>20181011</v>
      </c>
      <c r="Q1234" t="s">
        <v>339</v>
      </c>
      <c r="R1234" t="s">
        <v>480</v>
      </c>
      <c r="S1234" t="s">
        <v>295</v>
      </c>
      <c r="T1234" t="s">
        <v>106</v>
      </c>
    </row>
    <row r="1235" spans="1:20" x14ac:dyDescent="0.25">
      <c r="A1235">
        <v>9</v>
      </c>
      <c r="B1235">
        <v>181</v>
      </c>
      <c r="C1235" t="str">
        <f t="shared" si="141"/>
        <v>36</v>
      </c>
      <c r="D1235">
        <v>6219</v>
      </c>
      <c r="E1235" t="str">
        <f>"3F"</f>
        <v>3F</v>
      </c>
      <c r="F1235" t="str">
        <f>"041"</f>
        <v>041</v>
      </c>
      <c r="G1235">
        <v>9</v>
      </c>
      <c r="H1235" t="str">
        <f t="shared" si="142"/>
        <v>91</v>
      </c>
      <c r="I1235" t="str">
        <f t="shared" si="140"/>
        <v>0</v>
      </c>
      <c r="J1235" t="str">
        <f>"41"</f>
        <v>41</v>
      </c>
      <c r="K1235">
        <v>20181012</v>
      </c>
      <c r="L1235" t="str">
        <f>"074334"</f>
        <v>074334</v>
      </c>
      <c r="M1235" t="str">
        <f>"81715"</f>
        <v>81715</v>
      </c>
      <c r="N1235" t="s">
        <v>429</v>
      </c>
      <c r="O1235">
        <v>150</v>
      </c>
      <c r="P1235">
        <v>20181011</v>
      </c>
      <c r="Q1235" t="s">
        <v>339</v>
      </c>
      <c r="R1235" t="s">
        <v>480</v>
      </c>
      <c r="S1235" t="s">
        <v>295</v>
      </c>
      <c r="T1235" t="s">
        <v>106</v>
      </c>
    </row>
    <row r="1236" spans="1:20" x14ac:dyDescent="0.25">
      <c r="A1236">
        <v>9</v>
      </c>
      <c r="B1236">
        <v>181</v>
      </c>
      <c r="C1236" t="str">
        <f t="shared" si="141"/>
        <v>36</v>
      </c>
      <c r="D1236">
        <v>6219</v>
      </c>
      <c r="E1236" t="str">
        <f>"3F"</f>
        <v>3F</v>
      </c>
      <c r="F1236" t="str">
        <f>"001"</f>
        <v>001</v>
      </c>
      <c r="G1236">
        <v>9</v>
      </c>
      <c r="H1236" t="str">
        <f t="shared" si="142"/>
        <v>91</v>
      </c>
      <c r="I1236" t="str">
        <f t="shared" si="140"/>
        <v>0</v>
      </c>
      <c r="J1236" t="str">
        <f>"39"</f>
        <v>39</v>
      </c>
      <c r="K1236">
        <v>20181019</v>
      </c>
      <c r="L1236" t="str">
        <f>"074343"</f>
        <v>074343</v>
      </c>
      <c r="M1236" t="str">
        <f>"00403"</f>
        <v>00403</v>
      </c>
      <c r="N1236" t="s">
        <v>504</v>
      </c>
      <c r="O1236">
        <v>115</v>
      </c>
      <c r="P1236">
        <v>20181017</v>
      </c>
      <c r="Q1236" t="s">
        <v>333</v>
      </c>
      <c r="R1236" t="s">
        <v>505</v>
      </c>
      <c r="S1236" t="s">
        <v>295</v>
      </c>
      <c r="T1236" t="s">
        <v>301</v>
      </c>
    </row>
    <row r="1237" spans="1:20" x14ac:dyDescent="0.25">
      <c r="A1237">
        <v>9</v>
      </c>
      <c r="B1237">
        <v>181</v>
      </c>
      <c r="C1237" t="str">
        <f t="shared" si="141"/>
        <v>36</v>
      </c>
      <c r="D1237">
        <v>6219</v>
      </c>
      <c r="E1237" t="str">
        <f>"3Y"</f>
        <v>3Y</v>
      </c>
      <c r="F1237" t="str">
        <f>"041"</f>
        <v>041</v>
      </c>
      <c r="G1237">
        <v>9</v>
      </c>
      <c r="H1237" t="str">
        <f t="shared" si="142"/>
        <v>91</v>
      </c>
      <c r="I1237" t="str">
        <f t="shared" si="140"/>
        <v>0</v>
      </c>
      <c r="J1237" t="str">
        <f>"41"</f>
        <v>41</v>
      </c>
      <c r="K1237">
        <v>20181019</v>
      </c>
      <c r="L1237" t="str">
        <f>"074350"</f>
        <v>074350</v>
      </c>
      <c r="M1237" t="str">
        <f>"20434"</f>
        <v>20434</v>
      </c>
      <c r="N1237" t="s">
        <v>506</v>
      </c>
      <c r="O1237">
        <v>85</v>
      </c>
      <c r="P1237">
        <v>20181018</v>
      </c>
      <c r="Q1237" t="s">
        <v>355</v>
      </c>
      <c r="R1237" t="s">
        <v>507</v>
      </c>
      <c r="S1237" t="s">
        <v>295</v>
      </c>
      <c r="T1237" t="s">
        <v>106</v>
      </c>
    </row>
    <row r="1238" spans="1:20" x14ac:dyDescent="0.25">
      <c r="A1238">
        <v>9</v>
      </c>
      <c r="B1238">
        <v>181</v>
      </c>
      <c r="C1238" t="str">
        <f t="shared" si="141"/>
        <v>36</v>
      </c>
      <c r="D1238">
        <v>6219</v>
      </c>
      <c r="E1238" t="str">
        <f>"3F"</f>
        <v>3F</v>
      </c>
      <c r="F1238" t="str">
        <f>"041"</f>
        <v>041</v>
      </c>
      <c r="G1238">
        <v>9</v>
      </c>
      <c r="H1238" t="str">
        <f t="shared" si="142"/>
        <v>91</v>
      </c>
      <c r="I1238" t="str">
        <f t="shared" si="140"/>
        <v>0</v>
      </c>
      <c r="J1238" t="str">
        <f>"41"</f>
        <v>41</v>
      </c>
      <c r="K1238">
        <v>20181019</v>
      </c>
      <c r="L1238" t="str">
        <f>"074351"</f>
        <v>074351</v>
      </c>
      <c r="M1238" t="str">
        <f>"20433"</f>
        <v>20433</v>
      </c>
      <c r="N1238" t="s">
        <v>332</v>
      </c>
      <c r="O1238">
        <v>50</v>
      </c>
      <c r="P1238">
        <v>20181017</v>
      </c>
      <c r="Q1238" t="s">
        <v>339</v>
      </c>
      <c r="R1238" t="s">
        <v>508</v>
      </c>
      <c r="S1238" t="s">
        <v>295</v>
      </c>
      <c r="T1238" t="s">
        <v>106</v>
      </c>
    </row>
    <row r="1239" spans="1:20" x14ac:dyDescent="0.25">
      <c r="A1239">
        <v>9</v>
      </c>
      <c r="B1239">
        <v>181</v>
      </c>
      <c r="C1239" t="str">
        <f t="shared" si="141"/>
        <v>36</v>
      </c>
      <c r="D1239">
        <v>6412</v>
      </c>
      <c r="E1239" t="str">
        <f>"3T"</f>
        <v>3T</v>
      </c>
      <c r="F1239" t="str">
        <f>"001"</f>
        <v>001</v>
      </c>
      <c r="G1239">
        <v>9</v>
      </c>
      <c r="H1239" t="str">
        <f t="shared" si="142"/>
        <v>91</v>
      </c>
      <c r="I1239" t="str">
        <f t="shared" ref="I1239:I1244" si="143">"1"</f>
        <v>1</v>
      </c>
      <c r="J1239" t="str">
        <f>"39"</f>
        <v>39</v>
      </c>
      <c r="K1239">
        <v>20181019</v>
      </c>
      <c r="L1239" t="str">
        <f>"074353"</f>
        <v>074353</v>
      </c>
      <c r="M1239" t="str">
        <f>"20463"</f>
        <v>20463</v>
      </c>
      <c r="N1239" t="s">
        <v>509</v>
      </c>
      <c r="O1239">
        <v>114.48</v>
      </c>
      <c r="P1239">
        <v>20181017</v>
      </c>
      <c r="Q1239" t="s">
        <v>419</v>
      </c>
      <c r="R1239" t="s">
        <v>510</v>
      </c>
      <c r="S1239" t="s">
        <v>295</v>
      </c>
      <c r="T1239" t="s">
        <v>301</v>
      </c>
    </row>
    <row r="1240" spans="1:20" x14ac:dyDescent="0.25">
      <c r="A1240">
        <v>9</v>
      </c>
      <c r="B1240">
        <v>181</v>
      </c>
      <c r="C1240" t="str">
        <f t="shared" si="141"/>
        <v>36</v>
      </c>
      <c r="D1240">
        <v>6412</v>
      </c>
      <c r="E1240" t="str">
        <f>"3Y"</f>
        <v>3Y</v>
      </c>
      <c r="F1240" t="str">
        <f>"001"</f>
        <v>001</v>
      </c>
      <c r="G1240">
        <v>9</v>
      </c>
      <c r="H1240" t="str">
        <f t="shared" si="142"/>
        <v>91</v>
      </c>
      <c r="I1240" t="str">
        <f t="shared" si="143"/>
        <v>1</v>
      </c>
      <c r="J1240" t="str">
        <f>"39"</f>
        <v>39</v>
      </c>
      <c r="K1240">
        <v>20181019</v>
      </c>
      <c r="L1240" t="str">
        <f>"074354"</f>
        <v>074354</v>
      </c>
      <c r="M1240" t="str">
        <f>"00593"</f>
        <v>00593</v>
      </c>
      <c r="N1240" t="s">
        <v>511</v>
      </c>
      <c r="O1240">
        <v>155</v>
      </c>
      <c r="P1240">
        <v>20181018</v>
      </c>
      <c r="Q1240" t="s">
        <v>350</v>
      </c>
      <c r="R1240" t="s">
        <v>512</v>
      </c>
      <c r="S1240" t="s">
        <v>295</v>
      </c>
      <c r="T1240" t="s">
        <v>301</v>
      </c>
    </row>
    <row r="1241" spans="1:20" x14ac:dyDescent="0.25">
      <c r="A1241">
        <v>9</v>
      </c>
      <c r="B1241">
        <v>181</v>
      </c>
      <c r="C1241" t="str">
        <f t="shared" si="141"/>
        <v>36</v>
      </c>
      <c r="D1241">
        <v>6412</v>
      </c>
      <c r="E1241" t="str">
        <f>"3S"</f>
        <v>3S</v>
      </c>
      <c r="F1241" t="str">
        <f>"001"</f>
        <v>001</v>
      </c>
      <c r="G1241">
        <v>9</v>
      </c>
      <c r="H1241" t="str">
        <f t="shared" si="142"/>
        <v>91</v>
      </c>
      <c r="I1241" t="str">
        <f t="shared" si="143"/>
        <v>1</v>
      </c>
      <c r="J1241" t="str">
        <f>"39"</f>
        <v>39</v>
      </c>
      <c r="K1241">
        <v>20181019</v>
      </c>
      <c r="L1241" t="str">
        <f>"074355"</f>
        <v>074355</v>
      </c>
      <c r="M1241" t="str">
        <f>"51345"</f>
        <v>51345</v>
      </c>
      <c r="N1241" t="s">
        <v>513</v>
      </c>
      <c r="O1241">
        <v>156</v>
      </c>
      <c r="P1241">
        <v>20181017</v>
      </c>
      <c r="Q1241" t="s">
        <v>514</v>
      </c>
      <c r="R1241" t="s">
        <v>515</v>
      </c>
      <c r="S1241" t="s">
        <v>295</v>
      </c>
      <c r="T1241" t="s">
        <v>301</v>
      </c>
    </row>
    <row r="1242" spans="1:20" x14ac:dyDescent="0.25">
      <c r="A1242">
        <v>9</v>
      </c>
      <c r="B1242">
        <v>181</v>
      </c>
      <c r="C1242" t="str">
        <f t="shared" si="141"/>
        <v>36</v>
      </c>
      <c r="D1242">
        <v>6412</v>
      </c>
      <c r="E1242" t="str">
        <f>"3Y"</f>
        <v>3Y</v>
      </c>
      <c r="F1242" t="str">
        <f>"001"</f>
        <v>001</v>
      </c>
      <c r="G1242">
        <v>9</v>
      </c>
      <c r="H1242" t="str">
        <f t="shared" si="142"/>
        <v>91</v>
      </c>
      <c r="I1242" t="str">
        <f t="shared" si="143"/>
        <v>1</v>
      </c>
      <c r="J1242" t="str">
        <f>"39"</f>
        <v>39</v>
      </c>
      <c r="K1242">
        <v>20181019</v>
      </c>
      <c r="L1242" t="str">
        <f>"074360"</f>
        <v>074360</v>
      </c>
      <c r="M1242" t="str">
        <f>"24335"</f>
        <v>24335</v>
      </c>
      <c r="N1242" t="s">
        <v>516</v>
      </c>
      <c r="O1242">
        <v>190.99</v>
      </c>
      <c r="P1242">
        <v>20181017</v>
      </c>
      <c r="Q1242" t="s">
        <v>350</v>
      </c>
      <c r="R1242" t="s">
        <v>517</v>
      </c>
      <c r="S1242" t="s">
        <v>295</v>
      </c>
      <c r="T1242" t="s">
        <v>301</v>
      </c>
    </row>
    <row r="1243" spans="1:20" x14ac:dyDescent="0.25">
      <c r="A1243">
        <v>9</v>
      </c>
      <c r="B1243">
        <v>181</v>
      </c>
      <c r="C1243" t="str">
        <f t="shared" si="141"/>
        <v>36</v>
      </c>
      <c r="D1243">
        <v>6412</v>
      </c>
      <c r="E1243" t="str">
        <f>"3Y"</f>
        <v>3Y</v>
      </c>
      <c r="F1243" t="str">
        <f>"041"</f>
        <v>041</v>
      </c>
      <c r="G1243">
        <v>9</v>
      </c>
      <c r="H1243" t="str">
        <f t="shared" si="142"/>
        <v>91</v>
      </c>
      <c r="I1243" t="str">
        <f t="shared" si="143"/>
        <v>1</v>
      </c>
      <c r="J1243" t="str">
        <f>"41"</f>
        <v>41</v>
      </c>
      <c r="K1243">
        <v>20181019</v>
      </c>
      <c r="L1243" t="str">
        <f>"074361"</f>
        <v>074361</v>
      </c>
      <c r="M1243" t="str">
        <f>"24343"</f>
        <v>24343</v>
      </c>
      <c r="N1243" t="s">
        <v>518</v>
      </c>
      <c r="O1243">
        <v>118.07</v>
      </c>
      <c r="P1243">
        <v>20181017</v>
      </c>
      <c r="Q1243" t="s">
        <v>403</v>
      </c>
      <c r="R1243" t="s">
        <v>433</v>
      </c>
      <c r="S1243" t="s">
        <v>295</v>
      </c>
      <c r="T1243" t="s">
        <v>106</v>
      </c>
    </row>
    <row r="1244" spans="1:20" x14ac:dyDescent="0.25">
      <c r="A1244">
        <v>9</v>
      </c>
      <c r="B1244">
        <v>181</v>
      </c>
      <c r="C1244" t="str">
        <f t="shared" si="141"/>
        <v>36</v>
      </c>
      <c r="D1244">
        <v>6412</v>
      </c>
      <c r="E1244" t="str">
        <f>"3Y"</f>
        <v>3Y</v>
      </c>
      <c r="F1244" t="str">
        <f>"041"</f>
        <v>041</v>
      </c>
      <c r="G1244">
        <v>9</v>
      </c>
      <c r="H1244" t="str">
        <f t="shared" si="142"/>
        <v>91</v>
      </c>
      <c r="I1244" t="str">
        <f t="shared" si="143"/>
        <v>1</v>
      </c>
      <c r="J1244" t="str">
        <f>"41"</f>
        <v>41</v>
      </c>
      <c r="K1244">
        <v>20181019</v>
      </c>
      <c r="L1244" t="str">
        <f>"074361"</f>
        <v>074361</v>
      </c>
      <c r="M1244" t="str">
        <f>"24343"</f>
        <v>24343</v>
      </c>
      <c r="N1244" t="s">
        <v>518</v>
      </c>
      <c r="O1244">
        <v>228.53</v>
      </c>
      <c r="P1244">
        <v>20181017</v>
      </c>
      <c r="Q1244" t="s">
        <v>403</v>
      </c>
      <c r="R1244" t="s">
        <v>519</v>
      </c>
      <c r="S1244" t="s">
        <v>295</v>
      </c>
      <c r="T1244" t="s">
        <v>106</v>
      </c>
    </row>
    <row r="1245" spans="1:20" x14ac:dyDescent="0.25">
      <c r="A1245">
        <v>9</v>
      </c>
      <c r="B1245">
        <v>181</v>
      </c>
      <c r="C1245" t="str">
        <f t="shared" si="141"/>
        <v>36</v>
      </c>
      <c r="D1245">
        <v>6219</v>
      </c>
      <c r="E1245" t="str">
        <f>"3Y"</f>
        <v>3Y</v>
      </c>
      <c r="F1245" t="str">
        <f>"041"</f>
        <v>041</v>
      </c>
      <c r="G1245">
        <v>9</v>
      </c>
      <c r="H1245" t="str">
        <f t="shared" si="142"/>
        <v>91</v>
      </c>
      <c r="I1245" t="str">
        <f>"0"</f>
        <v>0</v>
      </c>
      <c r="J1245" t="str">
        <f>"41"</f>
        <v>41</v>
      </c>
      <c r="K1245">
        <v>20181019</v>
      </c>
      <c r="L1245" t="str">
        <f>"074362"</f>
        <v>074362</v>
      </c>
      <c r="M1245" t="str">
        <f>"00591"</f>
        <v>00591</v>
      </c>
      <c r="N1245" t="s">
        <v>520</v>
      </c>
      <c r="O1245">
        <v>85</v>
      </c>
      <c r="P1245">
        <v>20181017</v>
      </c>
      <c r="Q1245" t="s">
        <v>355</v>
      </c>
      <c r="R1245" t="s">
        <v>486</v>
      </c>
      <c r="S1245" t="s">
        <v>295</v>
      </c>
      <c r="T1245" t="s">
        <v>106</v>
      </c>
    </row>
    <row r="1246" spans="1:20" x14ac:dyDescent="0.25">
      <c r="A1246">
        <v>9</v>
      </c>
      <c r="B1246">
        <v>181</v>
      </c>
      <c r="C1246" t="str">
        <f t="shared" si="141"/>
        <v>36</v>
      </c>
      <c r="D1246">
        <v>6399</v>
      </c>
      <c r="E1246" t="str">
        <f>"3B"</f>
        <v>3B</v>
      </c>
      <c r="F1246" t="str">
        <f t="shared" ref="F1246:F1251" si="144">"001"</f>
        <v>001</v>
      </c>
      <c r="G1246">
        <v>9</v>
      </c>
      <c r="H1246" t="str">
        <f t="shared" si="142"/>
        <v>91</v>
      </c>
      <c r="I1246" t="str">
        <f>"0"</f>
        <v>0</v>
      </c>
      <c r="J1246" t="str">
        <f t="shared" ref="J1246:J1251" si="145">"39"</f>
        <v>39</v>
      </c>
      <c r="K1246">
        <v>20181019</v>
      </c>
      <c r="L1246" t="str">
        <f>"074365"</f>
        <v>074365</v>
      </c>
      <c r="M1246" t="str">
        <f>"27135"</f>
        <v>27135</v>
      </c>
      <c r="N1246" t="s">
        <v>521</v>
      </c>
      <c r="O1246" s="1">
        <v>1955.63</v>
      </c>
      <c r="P1246">
        <v>20181017</v>
      </c>
      <c r="Q1246" t="s">
        <v>475</v>
      </c>
      <c r="R1246" t="s">
        <v>522</v>
      </c>
      <c r="S1246" t="s">
        <v>295</v>
      </c>
      <c r="T1246" t="s">
        <v>301</v>
      </c>
    </row>
    <row r="1247" spans="1:20" x14ac:dyDescent="0.25">
      <c r="A1247">
        <v>9</v>
      </c>
      <c r="B1247">
        <v>181</v>
      </c>
      <c r="C1247" t="str">
        <f t="shared" si="141"/>
        <v>36</v>
      </c>
      <c r="D1247">
        <v>6219</v>
      </c>
      <c r="E1247" t="str">
        <f>"3F"</f>
        <v>3F</v>
      </c>
      <c r="F1247" t="str">
        <f t="shared" si="144"/>
        <v>001</v>
      </c>
      <c r="G1247">
        <v>9</v>
      </c>
      <c r="H1247" t="str">
        <f t="shared" si="142"/>
        <v>91</v>
      </c>
      <c r="I1247" t="str">
        <f>"0"</f>
        <v>0</v>
      </c>
      <c r="J1247" t="str">
        <f t="shared" si="145"/>
        <v>39</v>
      </c>
      <c r="K1247">
        <v>20181019</v>
      </c>
      <c r="L1247" t="str">
        <f>"074369"</f>
        <v>074369</v>
      </c>
      <c r="M1247" t="str">
        <f>"29636"</f>
        <v>29636</v>
      </c>
      <c r="N1247" t="s">
        <v>346</v>
      </c>
      <c r="O1247">
        <v>105</v>
      </c>
      <c r="P1247">
        <v>20181017</v>
      </c>
      <c r="Q1247" t="s">
        <v>333</v>
      </c>
      <c r="R1247" t="s">
        <v>505</v>
      </c>
      <c r="S1247" t="s">
        <v>295</v>
      </c>
      <c r="T1247" t="s">
        <v>301</v>
      </c>
    </row>
    <row r="1248" spans="1:20" x14ac:dyDescent="0.25">
      <c r="A1248">
        <v>9</v>
      </c>
      <c r="B1248">
        <v>181</v>
      </c>
      <c r="C1248" t="str">
        <f t="shared" si="141"/>
        <v>36</v>
      </c>
      <c r="D1248">
        <v>6219</v>
      </c>
      <c r="E1248" t="str">
        <f>"3F"</f>
        <v>3F</v>
      </c>
      <c r="F1248" t="str">
        <f t="shared" si="144"/>
        <v>001</v>
      </c>
      <c r="G1248">
        <v>9</v>
      </c>
      <c r="H1248" t="str">
        <f t="shared" si="142"/>
        <v>91</v>
      </c>
      <c r="I1248" t="str">
        <f>"0"</f>
        <v>0</v>
      </c>
      <c r="J1248" t="str">
        <f t="shared" si="145"/>
        <v>39</v>
      </c>
      <c r="K1248">
        <v>20181019</v>
      </c>
      <c r="L1248" t="str">
        <f>"074370"</f>
        <v>074370</v>
      </c>
      <c r="M1248" t="str">
        <f>"29675"</f>
        <v>29675</v>
      </c>
      <c r="N1248" t="s">
        <v>523</v>
      </c>
      <c r="O1248">
        <v>115</v>
      </c>
      <c r="P1248">
        <v>20181018</v>
      </c>
      <c r="Q1248" t="s">
        <v>333</v>
      </c>
      <c r="R1248" t="s">
        <v>524</v>
      </c>
      <c r="S1248" t="s">
        <v>295</v>
      </c>
      <c r="T1248" t="s">
        <v>301</v>
      </c>
    </row>
    <row r="1249" spans="1:20" x14ac:dyDescent="0.25">
      <c r="A1249">
        <v>9</v>
      </c>
      <c r="B1249">
        <v>181</v>
      </c>
      <c r="C1249" t="str">
        <f t="shared" si="141"/>
        <v>36</v>
      </c>
      <c r="D1249">
        <v>6412</v>
      </c>
      <c r="E1249" t="str">
        <f>"3C"</f>
        <v>3C</v>
      </c>
      <c r="F1249" t="str">
        <f t="shared" si="144"/>
        <v>001</v>
      </c>
      <c r="G1249">
        <v>9</v>
      </c>
      <c r="H1249" t="str">
        <f t="shared" si="142"/>
        <v>91</v>
      </c>
      <c r="I1249" t="str">
        <f>"1"</f>
        <v>1</v>
      </c>
      <c r="J1249" t="str">
        <f t="shared" si="145"/>
        <v>39</v>
      </c>
      <c r="K1249">
        <v>20181019</v>
      </c>
      <c r="L1249" t="str">
        <f>"074376"</f>
        <v>074376</v>
      </c>
      <c r="M1249" t="str">
        <f>"39422"</f>
        <v>39422</v>
      </c>
      <c r="N1249" t="s">
        <v>525</v>
      </c>
      <c r="O1249">
        <v>144</v>
      </c>
      <c r="P1249">
        <v>20181018</v>
      </c>
      <c r="Q1249" t="s">
        <v>421</v>
      </c>
      <c r="R1249" t="s">
        <v>526</v>
      </c>
      <c r="S1249" t="s">
        <v>295</v>
      </c>
      <c r="T1249" t="s">
        <v>301</v>
      </c>
    </row>
    <row r="1250" spans="1:20" x14ac:dyDescent="0.25">
      <c r="A1250">
        <v>9</v>
      </c>
      <c r="B1250">
        <v>181</v>
      </c>
      <c r="C1250" t="str">
        <f t="shared" si="141"/>
        <v>36</v>
      </c>
      <c r="D1250">
        <v>6412</v>
      </c>
      <c r="E1250" t="str">
        <f>"09"</f>
        <v>09</v>
      </c>
      <c r="F1250" t="str">
        <f t="shared" si="144"/>
        <v>001</v>
      </c>
      <c r="G1250">
        <v>9</v>
      </c>
      <c r="H1250" t="str">
        <f t="shared" si="142"/>
        <v>91</v>
      </c>
      <c r="I1250" t="str">
        <f>"C"</f>
        <v>C</v>
      </c>
      <c r="J1250" t="str">
        <f t="shared" si="145"/>
        <v>39</v>
      </c>
      <c r="K1250">
        <v>20181019</v>
      </c>
      <c r="L1250" t="str">
        <f>"074377"</f>
        <v>074377</v>
      </c>
      <c r="M1250" t="str">
        <f>"39422"</f>
        <v>39422</v>
      </c>
      <c r="N1250" t="s">
        <v>525</v>
      </c>
      <c r="O1250">
        <v>120</v>
      </c>
      <c r="P1250">
        <v>20181018</v>
      </c>
      <c r="Q1250" t="s">
        <v>527</v>
      </c>
      <c r="R1250" t="s">
        <v>528</v>
      </c>
      <c r="S1250" t="s">
        <v>295</v>
      </c>
      <c r="T1250" t="s">
        <v>301</v>
      </c>
    </row>
    <row r="1251" spans="1:20" x14ac:dyDescent="0.25">
      <c r="A1251">
        <v>9</v>
      </c>
      <c r="B1251">
        <v>181</v>
      </c>
      <c r="C1251" t="str">
        <f t="shared" si="141"/>
        <v>36</v>
      </c>
      <c r="D1251">
        <v>6219</v>
      </c>
      <c r="E1251" t="str">
        <f>"3F"</f>
        <v>3F</v>
      </c>
      <c r="F1251" t="str">
        <f t="shared" si="144"/>
        <v>001</v>
      </c>
      <c r="G1251">
        <v>9</v>
      </c>
      <c r="H1251" t="str">
        <f t="shared" si="142"/>
        <v>91</v>
      </c>
      <c r="I1251" t="str">
        <f t="shared" ref="I1251:I1263" si="146">"0"</f>
        <v>0</v>
      </c>
      <c r="J1251" t="str">
        <f t="shared" si="145"/>
        <v>39</v>
      </c>
      <c r="K1251">
        <v>20181019</v>
      </c>
      <c r="L1251" t="str">
        <f>"074378"</f>
        <v>074378</v>
      </c>
      <c r="M1251" t="str">
        <f>"39420"</f>
        <v>39420</v>
      </c>
      <c r="N1251" t="s">
        <v>357</v>
      </c>
      <c r="O1251">
        <v>115</v>
      </c>
      <c r="P1251">
        <v>20181018</v>
      </c>
      <c r="Q1251" t="s">
        <v>333</v>
      </c>
      <c r="R1251" t="s">
        <v>524</v>
      </c>
      <c r="S1251" t="s">
        <v>295</v>
      </c>
      <c r="T1251" t="s">
        <v>301</v>
      </c>
    </row>
    <row r="1252" spans="1:20" x14ac:dyDescent="0.25">
      <c r="A1252">
        <v>9</v>
      </c>
      <c r="B1252">
        <v>181</v>
      </c>
      <c r="C1252" t="str">
        <f t="shared" si="141"/>
        <v>36</v>
      </c>
      <c r="D1252">
        <v>6219</v>
      </c>
      <c r="E1252" t="str">
        <f>"3F"</f>
        <v>3F</v>
      </c>
      <c r="F1252" t="str">
        <f>"041"</f>
        <v>041</v>
      </c>
      <c r="G1252">
        <v>9</v>
      </c>
      <c r="H1252" t="str">
        <f t="shared" si="142"/>
        <v>91</v>
      </c>
      <c r="I1252" t="str">
        <f t="shared" si="146"/>
        <v>0</v>
      </c>
      <c r="J1252" t="str">
        <f>"41"</f>
        <v>41</v>
      </c>
      <c r="K1252">
        <v>20181019</v>
      </c>
      <c r="L1252" t="str">
        <f>"074384"</f>
        <v>074384</v>
      </c>
      <c r="M1252" t="str">
        <f>"48931"</f>
        <v>48931</v>
      </c>
      <c r="N1252" t="s">
        <v>361</v>
      </c>
      <c r="O1252">
        <v>60</v>
      </c>
      <c r="P1252">
        <v>20181017</v>
      </c>
      <c r="Q1252" t="s">
        <v>339</v>
      </c>
      <c r="R1252" t="s">
        <v>529</v>
      </c>
      <c r="S1252" t="s">
        <v>295</v>
      </c>
      <c r="T1252" t="s">
        <v>106</v>
      </c>
    </row>
    <row r="1253" spans="1:20" x14ac:dyDescent="0.25">
      <c r="A1253">
        <v>9</v>
      </c>
      <c r="B1253">
        <v>181</v>
      </c>
      <c r="C1253" t="str">
        <f t="shared" si="141"/>
        <v>36</v>
      </c>
      <c r="D1253">
        <v>6219</v>
      </c>
      <c r="E1253" t="str">
        <f>"3Y"</f>
        <v>3Y</v>
      </c>
      <c r="F1253" t="str">
        <f>"001"</f>
        <v>001</v>
      </c>
      <c r="G1253">
        <v>9</v>
      </c>
      <c r="H1253" t="str">
        <f t="shared" si="142"/>
        <v>91</v>
      </c>
      <c r="I1253" t="str">
        <f t="shared" si="146"/>
        <v>0</v>
      </c>
      <c r="J1253" t="str">
        <f>"39"</f>
        <v>39</v>
      </c>
      <c r="K1253">
        <v>20181019</v>
      </c>
      <c r="L1253" t="str">
        <f>"074386"</f>
        <v>074386</v>
      </c>
      <c r="M1253" t="str">
        <f>"49834"</f>
        <v>49834</v>
      </c>
      <c r="N1253" t="s">
        <v>530</v>
      </c>
      <c r="O1253">
        <v>100</v>
      </c>
      <c r="P1253">
        <v>20181017</v>
      </c>
      <c r="Q1253" t="s">
        <v>330</v>
      </c>
      <c r="R1253" t="s">
        <v>470</v>
      </c>
      <c r="S1253" t="s">
        <v>295</v>
      </c>
      <c r="T1253" t="s">
        <v>301</v>
      </c>
    </row>
    <row r="1254" spans="1:20" x14ac:dyDescent="0.25">
      <c r="A1254">
        <v>9</v>
      </c>
      <c r="B1254">
        <v>181</v>
      </c>
      <c r="C1254" t="str">
        <f t="shared" si="141"/>
        <v>36</v>
      </c>
      <c r="D1254">
        <v>6219</v>
      </c>
      <c r="E1254" t="str">
        <f>"3Y"</f>
        <v>3Y</v>
      </c>
      <c r="F1254" t="str">
        <f>"041"</f>
        <v>041</v>
      </c>
      <c r="G1254">
        <v>9</v>
      </c>
      <c r="H1254" t="str">
        <f t="shared" si="142"/>
        <v>91</v>
      </c>
      <c r="I1254" t="str">
        <f t="shared" si="146"/>
        <v>0</v>
      </c>
      <c r="J1254" t="str">
        <f>"41"</f>
        <v>41</v>
      </c>
      <c r="K1254">
        <v>20181019</v>
      </c>
      <c r="L1254" t="str">
        <f>"074388"</f>
        <v>074388</v>
      </c>
      <c r="M1254" t="str">
        <f>"00567"</f>
        <v>00567</v>
      </c>
      <c r="N1254" t="s">
        <v>425</v>
      </c>
      <c r="O1254">
        <v>85</v>
      </c>
      <c r="P1254">
        <v>20181018</v>
      </c>
      <c r="Q1254" t="s">
        <v>355</v>
      </c>
      <c r="R1254" t="s">
        <v>507</v>
      </c>
      <c r="S1254" t="s">
        <v>295</v>
      </c>
      <c r="T1254" t="s">
        <v>106</v>
      </c>
    </row>
    <row r="1255" spans="1:20" x14ac:dyDescent="0.25">
      <c r="A1255">
        <v>9</v>
      </c>
      <c r="B1255">
        <v>181</v>
      </c>
      <c r="C1255" t="str">
        <f>"00"</f>
        <v>00</v>
      </c>
      <c r="D1255">
        <v>1109</v>
      </c>
      <c r="E1255" t="str">
        <f>"01"</f>
        <v>01</v>
      </c>
      <c r="F1255" t="str">
        <f>"001"</f>
        <v>001</v>
      </c>
      <c r="G1255">
        <v>9</v>
      </c>
      <c r="H1255" t="str">
        <f>"00"</f>
        <v>00</v>
      </c>
      <c r="I1255" t="str">
        <f t="shared" si="146"/>
        <v>0</v>
      </c>
      <c r="J1255" t="str">
        <f>"00"</f>
        <v>00</v>
      </c>
      <c r="K1255">
        <v>20181019</v>
      </c>
      <c r="L1255" t="str">
        <f>"074389"</f>
        <v>074389</v>
      </c>
      <c r="M1255" t="str">
        <f>"52196"</f>
        <v>52196</v>
      </c>
      <c r="N1255" t="s">
        <v>292</v>
      </c>
      <c r="O1255" s="1">
        <v>3500</v>
      </c>
      <c r="P1255">
        <v>20181017</v>
      </c>
      <c r="Q1255" t="s">
        <v>444</v>
      </c>
      <c r="R1255" t="s">
        <v>531</v>
      </c>
      <c r="S1255" t="s">
        <v>295</v>
      </c>
      <c r="T1255" t="s">
        <v>301</v>
      </c>
    </row>
    <row r="1256" spans="1:20" x14ac:dyDescent="0.25">
      <c r="A1256">
        <v>9</v>
      </c>
      <c r="B1256">
        <v>181</v>
      </c>
      <c r="C1256" t="str">
        <f t="shared" ref="C1256:C1287" si="147">"36"</f>
        <v>36</v>
      </c>
      <c r="D1256">
        <v>6219</v>
      </c>
      <c r="E1256" t="str">
        <f>"3F"</f>
        <v>3F</v>
      </c>
      <c r="F1256" t="str">
        <f>"041"</f>
        <v>041</v>
      </c>
      <c r="G1256">
        <v>9</v>
      </c>
      <c r="H1256" t="str">
        <f t="shared" ref="H1256:H1287" si="148">"91"</f>
        <v>91</v>
      </c>
      <c r="I1256" t="str">
        <f t="shared" si="146"/>
        <v>0</v>
      </c>
      <c r="J1256" t="str">
        <f>"41"</f>
        <v>41</v>
      </c>
      <c r="K1256">
        <v>20181019</v>
      </c>
      <c r="L1256" t="str">
        <f>"074391"</f>
        <v>074391</v>
      </c>
      <c r="M1256" t="str">
        <f>"54820"</f>
        <v>54820</v>
      </c>
      <c r="N1256" t="s">
        <v>366</v>
      </c>
      <c r="O1256">
        <v>150</v>
      </c>
      <c r="P1256">
        <v>20181017</v>
      </c>
      <c r="Q1256" t="s">
        <v>339</v>
      </c>
      <c r="R1256" t="s">
        <v>508</v>
      </c>
      <c r="S1256" t="s">
        <v>295</v>
      </c>
      <c r="T1256" t="s">
        <v>106</v>
      </c>
    </row>
    <row r="1257" spans="1:20" x14ac:dyDescent="0.25">
      <c r="A1257">
        <v>9</v>
      </c>
      <c r="B1257">
        <v>181</v>
      </c>
      <c r="C1257" t="str">
        <f t="shared" si="147"/>
        <v>36</v>
      </c>
      <c r="D1257">
        <v>6219</v>
      </c>
      <c r="E1257" t="str">
        <f>"3F"</f>
        <v>3F</v>
      </c>
      <c r="F1257" t="str">
        <f>"041"</f>
        <v>041</v>
      </c>
      <c r="G1257">
        <v>9</v>
      </c>
      <c r="H1257" t="str">
        <f t="shared" si="148"/>
        <v>91</v>
      </c>
      <c r="I1257" t="str">
        <f t="shared" si="146"/>
        <v>0</v>
      </c>
      <c r="J1257" t="str">
        <f>"41"</f>
        <v>41</v>
      </c>
      <c r="K1257">
        <v>20181019</v>
      </c>
      <c r="L1257" t="str">
        <f>"074393"</f>
        <v>074393</v>
      </c>
      <c r="M1257" t="str">
        <f>"56571"</f>
        <v>56571</v>
      </c>
      <c r="N1257" t="s">
        <v>532</v>
      </c>
      <c r="O1257">
        <v>60</v>
      </c>
      <c r="P1257">
        <v>20181017</v>
      </c>
      <c r="Q1257" t="s">
        <v>339</v>
      </c>
      <c r="R1257" t="s">
        <v>529</v>
      </c>
      <c r="S1257" t="s">
        <v>295</v>
      </c>
      <c r="T1257" t="s">
        <v>106</v>
      </c>
    </row>
    <row r="1258" spans="1:20" x14ac:dyDescent="0.25">
      <c r="A1258">
        <v>9</v>
      </c>
      <c r="B1258">
        <v>181</v>
      </c>
      <c r="C1258" t="str">
        <f t="shared" si="147"/>
        <v>36</v>
      </c>
      <c r="D1258">
        <v>6219</v>
      </c>
      <c r="E1258" t="str">
        <f>"3F"</f>
        <v>3F</v>
      </c>
      <c r="F1258" t="str">
        <f>"001"</f>
        <v>001</v>
      </c>
      <c r="G1258">
        <v>9</v>
      </c>
      <c r="H1258" t="str">
        <f t="shared" si="148"/>
        <v>91</v>
      </c>
      <c r="I1258" t="str">
        <f t="shared" si="146"/>
        <v>0</v>
      </c>
      <c r="J1258" t="str">
        <f>"39"</f>
        <v>39</v>
      </c>
      <c r="K1258">
        <v>20181019</v>
      </c>
      <c r="L1258" t="str">
        <f>"074395"</f>
        <v>074395</v>
      </c>
      <c r="M1258" t="str">
        <f>"57991"</f>
        <v>57991</v>
      </c>
      <c r="N1258" t="s">
        <v>372</v>
      </c>
      <c r="O1258">
        <v>115</v>
      </c>
      <c r="P1258">
        <v>20181018</v>
      </c>
      <c r="Q1258" t="s">
        <v>333</v>
      </c>
      <c r="R1258" t="s">
        <v>524</v>
      </c>
      <c r="S1258" t="s">
        <v>295</v>
      </c>
      <c r="T1258" t="s">
        <v>301</v>
      </c>
    </row>
    <row r="1259" spans="1:20" x14ac:dyDescent="0.25">
      <c r="A1259">
        <v>9</v>
      </c>
      <c r="B1259">
        <v>181</v>
      </c>
      <c r="C1259" t="str">
        <f t="shared" si="147"/>
        <v>36</v>
      </c>
      <c r="D1259">
        <v>6219</v>
      </c>
      <c r="E1259" t="str">
        <f>"3Y"</f>
        <v>3Y</v>
      </c>
      <c r="F1259" t="str">
        <f>"041"</f>
        <v>041</v>
      </c>
      <c r="G1259">
        <v>9</v>
      </c>
      <c r="H1259" t="str">
        <f t="shared" si="148"/>
        <v>91</v>
      </c>
      <c r="I1259" t="str">
        <f t="shared" si="146"/>
        <v>0</v>
      </c>
      <c r="J1259" t="str">
        <f>"41"</f>
        <v>41</v>
      </c>
      <c r="K1259">
        <v>20181019</v>
      </c>
      <c r="L1259" t="str">
        <f>"074397"</f>
        <v>074397</v>
      </c>
      <c r="M1259" t="str">
        <f>"00599"</f>
        <v>00599</v>
      </c>
      <c r="N1259" t="s">
        <v>533</v>
      </c>
      <c r="O1259">
        <v>85</v>
      </c>
      <c r="P1259">
        <v>20181018</v>
      </c>
      <c r="Q1259" t="s">
        <v>355</v>
      </c>
      <c r="R1259" t="s">
        <v>507</v>
      </c>
      <c r="S1259" t="s">
        <v>295</v>
      </c>
      <c r="T1259" t="s">
        <v>106</v>
      </c>
    </row>
    <row r="1260" spans="1:20" x14ac:dyDescent="0.25">
      <c r="A1260">
        <v>9</v>
      </c>
      <c r="B1260">
        <v>181</v>
      </c>
      <c r="C1260" t="str">
        <f t="shared" si="147"/>
        <v>36</v>
      </c>
      <c r="D1260">
        <v>6299</v>
      </c>
      <c r="E1260" t="str">
        <f>"3F"</f>
        <v>3F</v>
      </c>
      <c r="F1260" t="str">
        <f>"041"</f>
        <v>041</v>
      </c>
      <c r="G1260">
        <v>9</v>
      </c>
      <c r="H1260" t="str">
        <f t="shared" si="148"/>
        <v>91</v>
      </c>
      <c r="I1260" t="str">
        <f t="shared" si="146"/>
        <v>0</v>
      </c>
      <c r="J1260" t="str">
        <f>"41"</f>
        <v>41</v>
      </c>
      <c r="K1260">
        <v>20181019</v>
      </c>
      <c r="L1260" t="str">
        <f>"074398"</f>
        <v>074398</v>
      </c>
      <c r="M1260" t="str">
        <f>"00530"</f>
        <v>00530</v>
      </c>
      <c r="N1260" t="s">
        <v>374</v>
      </c>
      <c r="O1260">
        <v>122.5</v>
      </c>
      <c r="P1260">
        <v>20181017</v>
      </c>
      <c r="Q1260" t="s">
        <v>375</v>
      </c>
      <c r="R1260" t="s">
        <v>508</v>
      </c>
      <c r="S1260" t="s">
        <v>295</v>
      </c>
      <c r="T1260" t="s">
        <v>106</v>
      </c>
    </row>
    <row r="1261" spans="1:20" x14ac:dyDescent="0.25">
      <c r="A1261">
        <v>9</v>
      </c>
      <c r="B1261">
        <v>181</v>
      </c>
      <c r="C1261" t="str">
        <f t="shared" si="147"/>
        <v>36</v>
      </c>
      <c r="D1261">
        <v>6219</v>
      </c>
      <c r="E1261" t="str">
        <f>"3F"</f>
        <v>3F</v>
      </c>
      <c r="F1261" t="str">
        <f>"001"</f>
        <v>001</v>
      </c>
      <c r="G1261">
        <v>9</v>
      </c>
      <c r="H1261" t="str">
        <f t="shared" si="148"/>
        <v>91</v>
      </c>
      <c r="I1261" t="str">
        <f t="shared" si="146"/>
        <v>0</v>
      </c>
      <c r="J1261" t="str">
        <f>"39"</f>
        <v>39</v>
      </c>
      <c r="K1261">
        <v>20181019</v>
      </c>
      <c r="L1261" t="str">
        <f>"074399"</f>
        <v>074399</v>
      </c>
      <c r="M1261" t="str">
        <f>"00592"</f>
        <v>00592</v>
      </c>
      <c r="N1261" t="s">
        <v>534</v>
      </c>
      <c r="O1261">
        <v>110</v>
      </c>
      <c r="P1261">
        <v>20181017</v>
      </c>
      <c r="Q1261" t="s">
        <v>333</v>
      </c>
      <c r="R1261" t="s">
        <v>311</v>
      </c>
      <c r="S1261" t="s">
        <v>295</v>
      </c>
      <c r="T1261" t="s">
        <v>301</v>
      </c>
    </row>
    <row r="1262" spans="1:20" x14ac:dyDescent="0.25">
      <c r="A1262">
        <v>9</v>
      </c>
      <c r="B1262">
        <v>181</v>
      </c>
      <c r="C1262" t="str">
        <f t="shared" si="147"/>
        <v>36</v>
      </c>
      <c r="D1262">
        <v>6219</v>
      </c>
      <c r="E1262" t="str">
        <f>"3Y"</f>
        <v>3Y</v>
      </c>
      <c r="F1262" t="str">
        <f>"041"</f>
        <v>041</v>
      </c>
      <c r="G1262">
        <v>9</v>
      </c>
      <c r="H1262" t="str">
        <f t="shared" si="148"/>
        <v>91</v>
      </c>
      <c r="I1262" t="str">
        <f t="shared" si="146"/>
        <v>0</v>
      </c>
      <c r="J1262" t="str">
        <f>"41"</f>
        <v>41</v>
      </c>
      <c r="K1262">
        <v>20181019</v>
      </c>
      <c r="L1262" t="str">
        <f>"074403"</f>
        <v>074403</v>
      </c>
      <c r="M1262" t="str">
        <f>"00601"</f>
        <v>00601</v>
      </c>
      <c r="N1262" t="s">
        <v>535</v>
      </c>
      <c r="O1262">
        <v>85</v>
      </c>
      <c r="P1262">
        <v>20181018</v>
      </c>
      <c r="Q1262" t="s">
        <v>355</v>
      </c>
      <c r="R1262" t="s">
        <v>486</v>
      </c>
      <c r="S1262" t="s">
        <v>295</v>
      </c>
      <c r="T1262" t="s">
        <v>106</v>
      </c>
    </row>
    <row r="1263" spans="1:20" x14ac:dyDescent="0.25">
      <c r="A1263">
        <v>9</v>
      </c>
      <c r="B1263">
        <v>181</v>
      </c>
      <c r="C1263" t="str">
        <f t="shared" si="147"/>
        <v>36</v>
      </c>
      <c r="D1263">
        <v>6219</v>
      </c>
      <c r="E1263" t="str">
        <f>"3F"</f>
        <v>3F</v>
      </c>
      <c r="F1263" t="str">
        <f>"001"</f>
        <v>001</v>
      </c>
      <c r="G1263">
        <v>9</v>
      </c>
      <c r="H1263" t="str">
        <f t="shared" si="148"/>
        <v>91</v>
      </c>
      <c r="I1263" t="str">
        <f t="shared" si="146"/>
        <v>0</v>
      </c>
      <c r="J1263" t="str">
        <f>"39"</f>
        <v>39</v>
      </c>
      <c r="K1263">
        <v>20181019</v>
      </c>
      <c r="L1263" t="str">
        <f>"074405"</f>
        <v>074405</v>
      </c>
      <c r="M1263" t="str">
        <f>"00428"</f>
        <v>00428</v>
      </c>
      <c r="N1263" t="s">
        <v>536</v>
      </c>
      <c r="O1263">
        <v>115</v>
      </c>
      <c r="P1263">
        <v>20181017</v>
      </c>
      <c r="Q1263" t="s">
        <v>333</v>
      </c>
      <c r="R1263" t="s">
        <v>505</v>
      </c>
      <c r="S1263" t="s">
        <v>295</v>
      </c>
      <c r="T1263" t="s">
        <v>301</v>
      </c>
    </row>
    <row r="1264" spans="1:20" x14ac:dyDescent="0.25">
      <c r="A1264">
        <v>9</v>
      </c>
      <c r="B1264">
        <v>181</v>
      </c>
      <c r="C1264" t="str">
        <f t="shared" si="147"/>
        <v>36</v>
      </c>
      <c r="D1264">
        <v>6412</v>
      </c>
      <c r="E1264" t="str">
        <f>"3Y"</f>
        <v>3Y</v>
      </c>
      <c r="F1264" t="str">
        <f>"041"</f>
        <v>041</v>
      </c>
      <c r="G1264">
        <v>9</v>
      </c>
      <c r="H1264" t="str">
        <f t="shared" si="148"/>
        <v>91</v>
      </c>
      <c r="I1264" t="str">
        <f>"1"</f>
        <v>1</v>
      </c>
      <c r="J1264" t="str">
        <f>"41"</f>
        <v>41</v>
      </c>
      <c r="K1264">
        <v>20181019</v>
      </c>
      <c r="L1264" t="str">
        <f>"074413"</f>
        <v>074413</v>
      </c>
      <c r="M1264" t="str">
        <f>"80473"</f>
        <v>80473</v>
      </c>
      <c r="N1264" t="s">
        <v>537</v>
      </c>
      <c r="O1264">
        <v>414</v>
      </c>
      <c r="P1264">
        <v>20181018</v>
      </c>
      <c r="Q1264" t="s">
        <v>403</v>
      </c>
      <c r="R1264" t="s">
        <v>538</v>
      </c>
      <c r="S1264" t="s">
        <v>295</v>
      </c>
      <c r="T1264" t="s">
        <v>106</v>
      </c>
    </row>
    <row r="1265" spans="1:20" x14ac:dyDescent="0.25">
      <c r="A1265">
        <v>9</v>
      </c>
      <c r="B1265">
        <v>181</v>
      </c>
      <c r="C1265" t="str">
        <f t="shared" si="147"/>
        <v>36</v>
      </c>
      <c r="D1265">
        <v>6219</v>
      </c>
      <c r="E1265" t="str">
        <f>"3Y"</f>
        <v>3Y</v>
      </c>
      <c r="F1265" t="str">
        <f>"041"</f>
        <v>041</v>
      </c>
      <c r="G1265">
        <v>9</v>
      </c>
      <c r="H1265" t="str">
        <f t="shared" si="148"/>
        <v>91</v>
      </c>
      <c r="I1265" t="str">
        <f>"0"</f>
        <v>0</v>
      </c>
      <c r="J1265" t="str">
        <f>"41"</f>
        <v>41</v>
      </c>
      <c r="K1265">
        <v>20181019</v>
      </c>
      <c r="L1265" t="str">
        <f>"074414"</f>
        <v>074414</v>
      </c>
      <c r="M1265" t="str">
        <f>"80470"</f>
        <v>80470</v>
      </c>
      <c r="N1265" t="s">
        <v>391</v>
      </c>
      <c r="O1265">
        <v>45</v>
      </c>
      <c r="P1265">
        <v>20181018</v>
      </c>
      <c r="Q1265" t="s">
        <v>355</v>
      </c>
      <c r="R1265" t="s">
        <v>507</v>
      </c>
      <c r="S1265" t="s">
        <v>295</v>
      </c>
      <c r="T1265" t="s">
        <v>106</v>
      </c>
    </row>
    <row r="1266" spans="1:20" x14ac:dyDescent="0.25">
      <c r="A1266">
        <v>9</v>
      </c>
      <c r="B1266">
        <v>181</v>
      </c>
      <c r="C1266" t="str">
        <f t="shared" si="147"/>
        <v>36</v>
      </c>
      <c r="D1266">
        <v>6219</v>
      </c>
      <c r="E1266" t="str">
        <f t="shared" ref="E1266:E1273" si="149">"3F"</f>
        <v>3F</v>
      </c>
      <c r="F1266" t="str">
        <f>"041"</f>
        <v>041</v>
      </c>
      <c r="G1266">
        <v>9</v>
      </c>
      <c r="H1266" t="str">
        <f t="shared" si="148"/>
        <v>91</v>
      </c>
      <c r="I1266" t="str">
        <f>"0"</f>
        <v>0</v>
      </c>
      <c r="J1266" t="str">
        <f>"41"</f>
        <v>41</v>
      </c>
      <c r="K1266">
        <v>20181019</v>
      </c>
      <c r="L1266" t="str">
        <f>"074415"</f>
        <v>074415</v>
      </c>
      <c r="M1266" t="str">
        <f>"80513"</f>
        <v>80513</v>
      </c>
      <c r="N1266" t="s">
        <v>392</v>
      </c>
      <c r="O1266">
        <v>150</v>
      </c>
      <c r="P1266">
        <v>20181017</v>
      </c>
      <c r="Q1266" t="s">
        <v>339</v>
      </c>
      <c r="R1266" t="s">
        <v>508</v>
      </c>
      <c r="S1266" t="s">
        <v>295</v>
      </c>
      <c r="T1266" t="s">
        <v>106</v>
      </c>
    </row>
    <row r="1267" spans="1:20" x14ac:dyDescent="0.25">
      <c r="A1267">
        <v>9</v>
      </c>
      <c r="B1267">
        <v>181</v>
      </c>
      <c r="C1267" t="str">
        <f t="shared" si="147"/>
        <v>36</v>
      </c>
      <c r="D1267">
        <v>6219</v>
      </c>
      <c r="E1267" t="str">
        <f t="shared" si="149"/>
        <v>3F</v>
      </c>
      <c r="F1267" t="str">
        <f>"041"</f>
        <v>041</v>
      </c>
      <c r="G1267">
        <v>9</v>
      </c>
      <c r="H1267" t="str">
        <f t="shared" si="148"/>
        <v>91</v>
      </c>
      <c r="I1267" t="str">
        <f>"0"</f>
        <v>0</v>
      </c>
      <c r="J1267" t="str">
        <f>"41"</f>
        <v>41</v>
      </c>
      <c r="K1267">
        <v>20181019</v>
      </c>
      <c r="L1267" t="str">
        <f>"074416"</f>
        <v>074416</v>
      </c>
      <c r="M1267" t="str">
        <f>"81715"</f>
        <v>81715</v>
      </c>
      <c r="N1267" t="s">
        <v>429</v>
      </c>
      <c r="O1267">
        <v>150</v>
      </c>
      <c r="P1267">
        <v>20181018</v>
      </c>
      <c r="Q1267" t="s">
        <v>339</v>
      </c>
      <c r="R1267" t="s">
        <v>508</v>
      </c>
      <c r="S1267" t="s">
        <v>295</v>
      </c>
      <c r="T1267" t="s">
        <v>106</v>
      </c>
    </row>
    <row r="1268" spans="1:20" x14ac:dyDescent="0.25">
      <c r="A1268">
        <v>9</v>
      </c>
      <c r="B1268">
        <v>181</v>
      </c>
      <c r="C1268" t="str">
        <f t="shared" si="147"/>
        <v>36</v>
      </c>
      <c r="D1268">
        <v>6219</v>
      </c>
      <c r="E1268" t="str">
        <f t="shared" si="149"/>
        <v>3F</v>
      </c>
      <c r="F1268" t="str">
        <f>"041"</f>
        <v>041</v>
      </c>
      <c r="G1268">
        <v>9</v>
      </c>
      <c r="H1268" t="str">
        <f t="shared" si="148"/>
        <v>91</v>
      </c>
      <c r="I1268" t="str">
        <f>"0"</f>
        <v>0</v>
      </c>
      <c r="J1268" t="str">
        <f>"41"</f>
        <v>41</v>
      </c>
      <c r="K1268">
        <v>20181019</v>
      </c>
      <c r="L1268" t="str">
        <f>"074419"</f>
        <v>074419</v>
      </c>
      <c r="M1268" t="str">
        <f>"00576"</f>
        <v>00576</v>
      </c>
      <c r="N1268" t="s">
        <v>454</v>
      </c>
      <c r="O1268">
        <v>60</v>
      </c>
      <c r="P1268">
        <v>20181018</v>
      </c>
      <c r="Q1268" t="s">
        <v>339</v>
      </c>
      <c r="R1268" t="s">
        <v>529</v>
      </c>
      <c r="S1268" t="s">
        <v>295</v>
      </c>
      <c r="T1268" t="s">
        <v>106</v>
      </c>
    </row>
    <row r="1269" spans="1:20" x14ac:dyDescent="0.25">
      <c r="A1269">
        <v>9</v>
      </c>
      <c r="B1269">
        <v>181</v>
      </c>
      <c r="C1269" t="str">
        <f t="shared" si="147"/>
        <v>36</v>
      </c>
      <c r="D1269">
        <v>6219</v>
      </c>
      <c r="E1269" t="str">
        <f t="shared" si="149"/>
        <v>3F</v>
      </c>
      <c r="F1269" t="str">
        <f>"001"</f>
        <v>001</v>
      </c>
      <c r="G1269">
        <v>9</v>
      </c>
      <c r="H1269" t="str">
        <f t="shared" si="148"/>
        <v>91</v>
      </c>
      <c r="I1269" t="str">
        <f>"0"</f>
        <v>0</v>
      </c>
      <c r="J1269" t="str">
        <f>"39"</f>
        <v>39</v>
      </c>
      <c r="K1269">
        <v>20181019</v>
      </c>
      <c r="L1269" t="str">
        <f>"074420"</f>
        <v>074420</v>
      </c>
      <c r="M1269" t="str">
        <f>"00575"</f>
        <v>00575</v>
      </c>
      <c r="N1269" t="s">
        <v>455</v>
      </c>
      <c r="O1269">
        <v>115</v>
      </c>
      <c r="P1269">
        <v>20181018</v>
      </c>
      <c r="Q1269" t="s">
        <v>333</v>
      </c>
      <c r="R1269" t="s">
        <v>524</v>
      </c>
      <c r="S1269" t="s">
        <v>295</v>
      </c>
      <c r="T1269" t="s">
        <v>301</v>
      </c>
    </row>
    <row r="1270" spans="1:20" x14ac:dyDescent="0.25">
      <c r="A1270">
        <v>9</v>
      </c>
      <c r="B1270">
        <v>181</v>
      </c>
      <c r="C1270" t="str">
        <f t="shared" si="147"/>
        <v>36</v>
      </c>
      <c r="D1270">
        <v>6412</v>
      </c>
      <c r="E1270" t="str">
        <f t="shared" si="149"/>
        <v>3F</v>
      </c>
      <c r="F1270" t="str">
        <f>"001"</f>
        <v>001</v>
      </c>
      <c r="G1270">
        <v>9</v>
      </c>
      <c r="H1270" t="str">
        <f t="shared" si="148"/>
        <v>91</v>
      </c>
      <c r="I1270" t="str">
        <f>"1"</f>
        <v>1</v>
      </c>
      <c r="J1270" t="str">
        <f>"39"</f>
        <v>39</v>
      </c>
      <c r="K1270">
        <v>20181019</v>
      </c>
      <c r="L1270" t="str">
        <f>"074424"</f>
        <v>074424</v>
      </c>
      <c r="M1270" t="str">
        <f>"84370"</f>
        <v>84370</v>
      </c>
      <c r="N1270" t="s">
        <v>395</v>
      </c>
      <c r="O1270">
        <v>240.84</v>
      </c>
      <c r="P1270">
        <v>20181018</v>
      </c>
      <c r="Q1270" t="s">
        <v>342</v>
      </c>
      <c r="R1270" t="s">
        <v>539</v>
      </c>
      <c r="S1270" t="s">
        <v>295</v>
      </c>
      <c r="T1270" t="s">
        <v>301</v>
      </c>
    </row>
    <row r="1271" spans="1:20" x14ac:dyDescent="0.25">
      <c r="A1271">
        <v>9</v>
      </c>
      <c r="B1271">
        <v>181</v>
      </c>
      <c r="C1271" t="str">
        <f t="shared" si="147"/>
        <v>36</v>
      </c>
      <c r="D1271">
        <v>6412</v>
      </c>
      <c r="E1271" t="str">
        <f t="shared" si="149"/>
        <v>3F</v>
      </c>
      <c r="F1271" t="str">
        <f>"001"</f>
        <v>001</v>
      </c>
      <c r="G1271">
        <v>9</v>
      </c>
      <c r="H1271" t="str">
        <f t="shared" si="148"/>
        <v>91</v>
      </c>
      <c r="I1271" t="str">
        <f>"1"</f>
        <v>1</v>
      </c>
      <c r="J1271" t="str">
        <f>"39"</f>
        <v>39</v>
      </c>
      <c r="K1271">
        <v>20181019</v>
      </c>
      <c r="L1271" t="str">
        <f>"074424"</f>
        <v>074424</v>
      </c>
      <c r="M1271" t="str">
        <f>"84370"</f>
        <v>84370</v>
      </c>
      <c r="N1271" t="s">
        <v>395</v>
      </c>
      <c r="O1271">
        <v>403.56</v>
      </c>
      <c r="P1271">
        <v>20181018</v>
      </c>
      <c r="Q1271" t="s">
        <v>342</v>
      </c>
      <c r="R1271" t="s">
        <v>540</v>
      </c>
      <c r="S1271" t="s">
        <v>295</v>
      </c>
      <c r="T1271" t="s">
        <v>301</v>
      </c>
    </row>
    <row r="1272" spans="1:20" x14ac:dyDescent="0.25">
      <c r="A1272">
        <v>9</v>
      </c>
      <c r="B1272">
        <v>181</v>
      </c>
      <c r="C1272" t="str">
        <f t="shared" si="147"/>
        <v>36</v>
      </c>
      <c r="D1272">
        <v>6412</v>
      </c>
      <c r="E1272" t="str">
        <f t="shared" si="149"/>
        <v>3F</v>
      </c>
      <c r="F1272" t="str">
        <f>"041"</f>
        <v>041</v>
      </c>
      <c r="G1272">
        <v>9</v>
      </c>
      <c r="H1272" t="str">
        <f t="shared" si="148"/>
        <v>91</v>
      </c>
      <c r="I1272" t="str">
        <f>"1"</f>
        <v>1</v>
      </c>
      <c r="J1272" t="str">
        <f>"41"</f>
        <v>41</v>
      </c>
      <c r="K1272">
        <v>20181019</v>
      </c>
      <c r="L1272" t="str">
        <f>"074424"</f>
        <v>074424</v>
      </c>
      <c r="M1272" t="str">
        <f>"84370"</f>
        <v>84370</v>
      </c>
      <c r="N1272" t="s">
        <v>395</v>
      </c>
      <c r="O1272">
        <v>481.68</v>
      </c>
      <c r="P1272">
        <v>20181018</v>
      </c>
      <c r="Q1272" t="s">
        <v>400</v>
      </c>
      <c r="R1272" t="s">
        <v>541</v>
      </c>
      <c r="S1272" t="s">
        <v>295</v>
      </c>
      <c r="T1272" t="s">
        <v>106</v>
      </c>
    </row>
    <row r="1273" spans="1:20" x14ac:dyDescent="0.25">
      <c r="A1273">
        <v>9</v>
      </c>
      <c r="B1273">
        <v>181</v>
      </c>
      <c r="C1273" t="str">
        <f t="shared" si="147"/>
        <v>36</v>
      </c>
      <c r="D1273">
        <v>6412</v>
      </c>
      <c r="E1273" t="str">
        <f t="shared" si="149"/>
        <v>3F</v>
      </c>
      <c r="F1273" t="str">
        <f>"041"</f>
        <v>041</v>
      </c>
      <c r="G1273">
        <v>9</v>
      </c>
      <c r="H1273" t="str">
        <f t="shared" si="148"/>
        <v>91</v>
      </c>
      <c r="I1273" t="str">
        <f>"1"</f>
        <v>1</v>
      </c>
      <c r="J1273" t="str">
        <f>"41"</f>
        <v>41</v>
      </c>
      <c r="K1273">
        <v>20181019</v>
      </c>
      <c r="L1273" t="str">
        <f>"074424"</f>
        <v>074424</v>
      </c>
      <c r="M1273" t="str">
        <f>"84370"</f>
        <v>84370</v>
      </c>
      <c r="N1273" t="s">
        <v>395</v>
      </c>
      <c r="O1273">
        <v>468.3</v>
      </c>
      <c r="P1273">
        <v>20181018</v>
      </c>
      <c r="Q1273" t="s">
        <v>400</v>
      </c>
      <c r="R1273" t="s">
        <v>480</v>
      </c>
      <c r="S1273" t="s">
        <v>295</v>
      </c>
      <c r="T1273" t="s">
        <v>106</v>
      </c>
    </row>
    <row r="1274" spans="1:20" x14ac:dyDescent="0.25">
      <c r="A1274">
        <v>9</v>
      </c>
      <c r="B1274">
        <v>181</v>
      </c>
      <c r="C1274" t="str">
        <f t="shared" si="147"/>
        <v>36</v>
      </c>
      <c r="D1274">
        <v>6412</v>
      </c>
      <c r="E1274" t="str">
        <f>"3S"</f>
        <v>3S</v>
      </c>
      <c r="F1274" t="str">
        <f t="shared" ref="F1274:F1290" si="150">"001"</f>
        <v>001</v>
      </c>
      <c r="G1274">
        <v>9</v>
      </c>
      <c r="H1274" t="str">
        <f t="shared" si="148"/>
        <v>91</v>
      </c>
      <c r="I1274" t="str">
        <f>"1"</f>
        <v>1</v>
      </c>
      <c r="J1274" t="str">
        <f t="shared" ref="J1274:J1290" si="151">"39"</f>
        <v>39</v>
      </c>
      <c r="K1274">
        <v>20181019</v>
      </c>
      <c r="L1274" t="str">
        <f>"074424"</f>
        <v>074424</v>
      </c>
      <c r="M1274" t="str">
        <f>"84370"</f>
        <v>84370</v>
      </c>
      <c r="N1274" t="s">
        <v>395</v>
      </c>
      <c r="O1274">
        <v>183.22</v>
      </c>
      <c r="P1274">
        <v>20181018</v>
      </c>
      <c r="Q1274" t="s">
        <v>514</v>
      </c>
      <c r="R1274" t="s">
        <v>542</v>
      </c>
      <c r="S1274" t="s">
        <v>295</v>
      </c>
      <c r="T1274" t="s">
        <v>301</v>
      </c>
    </row>
    <row r="1275" spans="1:20" x14ac:dyDescent="0.25">
      <c r="A1275">
        <v>9</v>
      </c>
      <c r="B1275">
        <v>181</v>
      </c>
      <c r="C1275" t="str">
        <f t="shared" si="147"/>
        <v>36</v>
      </c>
      <c r="D1275">
        <v>6412</v>
      </c>
      <c r="E1275" t="str">
        <f>"09"</f>
        <v>09</v>
      </c>
      <c r="F1275" t="str">
        <f t="shared" si="150"/>
        <v>001</v>
      </c>
      <c r="G1275">
        <v>9</v>
      </c>
      <c r="H1275" t="str">
        <f t="shared" si="148"/>
        <v>91</v>
      </c>
      <c r="I1275" t="str">
        <f>"T"</f>
        <v>T</v>
      </c>
      <c r="J1275" t="str">
        <f t="shared" si="151"/>
        <v>39</v>
      </c>
      <c r="K1275">
        <v>20181024</v>
      </c>
      <c r="L1275" t="str">
        <f>"074428"</f>
        <v>074428</v>
      </c>
      <c r="M1275" t="str">
        <f>"26894"</f>
        <v>26894</v>
      </c>
      <c r="N1275" t="s">
        <v>543</v>
      </c>
      <c r="O1275" s="1">
        <v>1948.96</v>
      </c>
      <c r="P1275">
        <v>20181024</v>
      </c>
      <c r="Q1275" t="s">
        <v>544</v>
      </c>
      <c r="R1275" t="s">
        <v>545</v>
      </c>
      <c r="S1275" t="s">
        <v>295</v>
      </c>
      <c r="T1275" t="s">
        <v>301</v>
      </c>
    </row>
    <row r="1276" spans="1:20" x14ac:dyDescent="0.25">
      <c r="A1276">
        <v>9</v>
      </c>
      <c r="B1276">
        <v>181</v>
      </c>
      <c r="C1276" t="str">
        <f t="shared" si="147"/>
        <v>36</v>
      </c>
      <c r="D1276">
        <v>6412</v>
      </c>
      <c r="E1276" t="str">
        <f>"09"</f>
        <v>09</v>
      </c>
      <c r="F1276" t="str">
        <f t="shared" si="150"/>
        <v>001</v>
      </c>
      <c r="G1276">
        <v>9</v>
      </c>
      <c r="H1276" t="str">
        <f t="shared" si="148"/>
        <v>91</v>
      </c>
      <c r="I1276" t="str">
        <f>"T"</f>
        <v>T</v>
      </c>
      <c r="J1276" t="str">
        <f t="shared" si="151"/>
        <v>39</v>
      </c>
      <c r="K1276">
        <v>20181024</v>
      </c>
      <c r="L1276" t="str">
        <f>"074429"</f>
        <v>074429</v>
      </c>
      <c r="M1276" t="str">
        <f>"68107"</f>
        <v>68107</v>
      </c>
      <c r="N1276" t="s">
        <v>449</v>
      </c>
      <c r="O1276" s="1">
        <v>1344</v>
      </c>
      <c r="P1276">
        <v>20181024</v>
      </c>
      <c r="Q1276" t="s">
        <v>544</v>
      </c>
      <c r="R1276" t="s">
        <v>545</v>
      </c>
      <c r="S1276" t="s">
        <v>295</v>
      </c>
      <c r="T1276" t="s">
        <v>301</v>
      </c>
    </row>
    <row r="1277" spans="1:20" x14ac:dyDescent="0.25">
      <c r="A1277">
        <v>9</v>
      </c>
      <c r="B1277">
        <v>181</v>
      </c>
      <c r="C1277" t="str">
        <f t="shared" si="147"/>
        <v>36</v>
      </c>
      <c r="D1277">
        <v>6412</v>
      </c>
      <c r="E1277" t="str">
        <f>"09"</f>
        <v>09</v>
      </c>
      <c r="F1277" t="str">
        <f t="shared" si="150"/>
        <v>001</v>
      </c>
      <c r="G1277">
        <v>9</v>
      </c>
      <c r="H1277" t="str">
        <f t="shared" si="148"/>
        <v>91</v>
      </c>
      <c r="I1277" t="str">
        <f>"T"</f>
        <v>T</v>
      </c>
      <c r="J1277" t="str">
        <f t="shared" si="151"/>
        <v>39</v>
      </c>
      <c r="K1277">
        <v>20181024</v>
      </c>
      <c r="L1277" t="str">
        <f>"074429"</f>
        <v>074429</v>
      </c>
      <c r="M1277" t="str">
        <f>"68107"</f>
        <v>68107</v>
      </c>
      <c r="N1277" t="s">
        <v>449</v>
      </c>
      <c r="O1277">
        <v>125</v>
      </c>
      <c r="P1277">
        <v>20181024</v>
      </c>
      <c r="Q1277" t="s">
        <v>544</v>
      </c>
      <c r="R1277" t="s">
        <v>545</v>
      </c>
      <c r="S1277" t="s">
        <v>295</v>
      </c>
      <c r="T1277" t="s">
        <v>301</v>
      </c>
    </row>
    <row r="1278" spans="1:20" x14ac:dyDescent="0.25">
      <c r="A1278">
        <v>9</v>
      </c>
      <c r="B1278">
        <v>181</v>
      </c>
      <c r="C1278" t="str">
        <f t="shared" si="147"/>
        <v>36</v>
      </c>
      <c r="D1278">
        <v>6412</v>
      </c>
      <c r="E1278" t="str">
        <f>"3S"</f>
        <v>3S</v>
      </c>
      <c r="F1278" t="str">
        <f t="shared" si="150"/>
        <v>001</v>
      </c>
      <c r="G1278">
        <v>9</v>
      </c>
      <c r="H1278" t="str">
        <f t="shared" si="148"/>
        <v>91</v>
      </c>
      <c r="I1278" t="str">
        <f>"2"</f>
        <v>2</v>
      </c>
      <c r="J1278" t="str">
        <f t="shared" si="151"/>
        <v>39</v>
      </c>
      <c r="K1278">
        <v>20181030</v>
      </c>
      <c r="L1278" t="str">
        <f>"074431"</f>
        <v>074431</v>
      </c>
      <c r="M1278" t="str">
        <f>"46425"</f>
        <v>46425</v>
      </c>
      <c r="N1278" t="s">
        <v>546</v>
      </c>
      <c r="O1278">
        <v>125</v>
      </c>
      <c r="P1278">
        <v>20181030</v>
      </c>
      <c r="Q1278" t="s">
        <v>547</v>
      </c>
      <c r="R1278" t="s">
        <v>548</v>
      </c>
      <c r="S1278" t="s">
        <v>295</v>
      </c>
      <c r="T1278" t="s">
        <v>301</v>
      </c>
    </row>
    <row r="1279" spans="1:20" x14ac:dyDescent="0.25">
      <c r="A1279">
        <v>9</v>
      </c>
      <c r="B1279">
        <v>181</v>
      </c>
      <c r="C1279" t="str">
        <f t="shared" si="147"/>
        <v>36</v>
      </c>
      <c r="D1279">
        <v>6399</v>
      </c>
      <c r="E1279" t="str">
        <f>"38"</f>
        <v>38</v>
      </c>
      <c r="F1279" t="str">
        <f t="shared" si="150"/>
        <v>001</v>
      </c>
      <c r="G1279">
        <v>9</v>
      </c>
      <c r="H1279" t="str">
        <f t="shared" si="148"/>
        <v>91</v>
      </c>
      <c r="I1279" t="str">
        <f>"0"</f>
        <v>0</v>
      </c>
      <c r="J1279" t="str">
        <f t="shared" si="151"/>
        <v>39</v>
      </c>
      <c r="K1279">
        <v>20181102</v>
      </c>
      <c r="L1279" t="str">
        <f>"074434"</f>
        <v>074434</v>
      </c>
      <c r="M1279" t="str">
        <f>"03450"</f>
        <v>03450</v>
      </c>
      <c r="N1279" t="s">
        <v>549</v>
      </c>
      <c r="O1279" s="1">
        <v>3669.35</v>
      </c>
      <c r="P1279">
        <v>20181031</v>
      </c>
      <c r="Q1279" t="s">
        <v>462</v>
      </c>
      <c r="R1279" t="s">
        <v>550</v>
      </c>
      <c r="S1279" t="s">
        <v>295</v>
      </c>
      <c r="T1279" t="s">
        <v>301</v>
      </c>
    </row>
    <row r="1280" spans="1:20" x14ac:dyDescent="0.25">
      <c r="A1280">
        <v>9</v>
      </c>
      <c r="B1280">
        <v>181</v>
      </c>
      <c r="C1280" t="str">
        <f t="shared" si="147"/>
        <v>36</v>
      </c>
      <c r="D1280">
        <v>6399</v>
      </c>
      <c r="E1280" t="str">
        <f>"38"</f>
        <v>38</v>
      </c>
      <c r="F1280" t="str">
        <f t="shared" si="150"/>
        <v>001</v>
      </c>
      <c r="G1280">
        <v>9</v>
      </c>
      <c r="H1280" t="str">
        <f t="shared" si="148"/>
        <v>91</v>
      </c>
      <c r="I1280" t="str">
        <f>"0"</f>
        <v>0</v>
      </c>
      <c r="J1280" t="str">
        <f t="shared" si="151"/>
        <v>39</v>
      </c>
      <c r="K1280">
        <v>20181102</v>
      </c>
      <c r="L1280" t="str">
        <f>"074434"</f>
        <v>074434</v>
      </c>
      <c r="M1280" t="str">
        <f>"03450"</f>
        <v>03450</v>
      </c>
      <c r="N1280" t="s">
        <v>549</v>
      </c>
      <c r="O1280">
        <v>92.6</v>
      </c>
      <c r="P1280">
        <v>20181031</v>
      </c>
      <c r="Q1280" t="s">
        <v>462</v>
      </c>
      <c r="R1280" t="s">
        <v>550</v>
      </c>
      <c r="S1280" t="s">
        <v>295</v>
      </c>
      <c r="T1280" t="s">
        <v>301</v>
      </c>
    </row>
    <row r="1281" spans="1:20" x14ac:dyDescent="0.25">
      <c r="A1281">
        <v>9</v>
      </c>
      <c r="B1281">
        <v>181</v>
      </c>
      <c r="C1281" t="str">
        <f t="shared" si="147"/>
        <v>36</v>
      </c>
      <c r="D1281">
        <v>6319</v>
      </c>
      <c r="E1281" t="str">
        <f>"30"</f>
        <v>30</v>
      </c>
      <c r="F1281" t="str">
        <f t="shared" si="150"/>
        <v>001</v>
      </c>
      <c r="G1281">
        <v>9</v>
      </c>
      <c r="H1281" t="str">
        <f t="shared" si="148"/>
        <v>91</v>
      </c>
      <c r="I1281" t="str">
        <f>"0"</f>
        <v>0</v>
      </c>
      <c r="J1281" t="str">
        <f t="shared" si="151"/>
        <v>39</v>
      </c>
      <c r="K1281">
        <v>20181102</v>
      </c>
      <c r="L1281" t="str">
        <f>"074448"</f>
        <v>074448</v>
      </c>
      <c r="M1281" t="str">
        <f>"08788"</f>
        <v>08788</v>
      </c>
      <c r="N1281" t="s">
        <v>473</v>
      </c>
      <c r="O1281" s="1">
        <v>2946.67</v>
      </c>
      <c r="P1281">
        <v>20181031</v>
      </c>
      <c r="Q1281" t="s">
        <v>501</v>
      </c>
      <c r="R1281" t="s">
        <v>551</v>
      </c>
      <c r="S1281" t="s">
        <v>295</v>
      </c>
      <c r="T1281" t="s">
        <v>301</v>
      </c>
    </row>
    <row r="1282" spans="1:20" x14ac:dyDescent="0.25">
      <c r="A1282">
        <v>9</v>
      </c>
      <c r="B1282">
        <v>181</v>
      </c>
      <c r="C1282" t="str">
        <f t="shared" si="147"/>
        <v>36</v>
      </c>
      <c r="D1282">
        <v>6399</v>
      </c>
      <c r="E1282" t="str">
        <f>"3B"</f>
        <v>3B</v>
      </c>
      <c r="F1282" t="str">
        <f t="shared" si="150"/>
        <v>001</v>
      </c>
      <c r="G1282">
        <v>9</v>
      </c>
      <c r="H1282" t="str">
        <f t="shared" si="148"/>
        <v>91</v>
      </c>
      <c r="I1282" t="str">
        <f>"0"</f>
        <v>0</v>
      </c>
      <c r="J1282" t="str">
        <f t="shared" si="151"/>
        <v>39</v>
      </c>
      <c r="K1282">
        <v>20181102</v>
      </c>
      <c r="L1282" t="str">
        <f>"074448"</f>
        <v>074448</v>
      </c>
      <c r="M1282" t="str">
        <f>"08788"</f>
        <v>08788</v>
      </c>
      <c r="N1282" t="s">
        <v>473</v>
      </c>
      <c r="O1282">
        <v>830.97</v>
      </c>
      <c r="P1282">
        <v>20181031</v>
      </c>
      <c r="Q1282" t="s">
        <v>475</v>
      </c>
      <c r="R1282" t="s">
        <v>552</v>
      </c>
      <c r="S1282" t="s">
        <v>295</v>
      </c>
      <c r="T1282" t="s">
        <v>301</v>
      </c>
    </row>
    <row r="1283" spans="1:20" x14ac:dyDescent="0.25">
      <c r="A1283">
        <v>9</v>
      </c>
      <c r="B1283">
        <v>181</v>
      </c>
      <c r="C1283" t="str">
        <f t="shared" si="147"/>
        <v>36</v>
      </c>
      <c r="D1283">
        <v>6399</v>
      </c>
      <c r="E1283" t="str">
        <f>"3F"</f>
        <v>3F</v>
      </c>
      <c r="F1283" t="str">
        <f t="shared" si="150"/>
        <v>001</v>
      </c>
      <c r="G1283">
        <v>9</v>
      </c>
      <c r="H1283" t="str">
        <f t="shared" si="148"/>
        <v>91</v>
      </c>
      <c r="I1283" t="str">
        <f>"0"</f>
        <v>0</v>
      </c>
      <c r="J1283" t="str">
        <f t="shared" si="151"/>
        <v>39</v>
      </c>
      <c r="K1283">
        <v>20181102</v>
      </c>
      <c r="L1283" t="str">
        <f>"074448"</f>
        <v>074448</v>
      </c>
      <c r="M1283" t="str">
        <f>"08788"</f>
        <v>08788</v>
      </c>
      <c r="N1283" t="s">
        <v>473</v>
      </c>
      <c r="O1283">
        <v>47.5</v>
      </c>
      <c r="P1283">
        <v>20181031</v>
      </c>
      <c r="Q1283" t="s">
        <v>466</v>
      </c>
      <c r="R1283" t="s">
        <v>553</v>
      </c>
      <c r="S1283" t="s">
        <v>295</v>
      </c>
      <c r="T1283" t="s">
        <v>301</v>
      </c>
    </row>
    <row r="1284" spans="1:20" x14ac:dyDescent="0.25">
      <c r="A1284">
        <v>9</v>
      </c>
      <c r="B1284">
        <v>181</v>
      </c>
      <c r="C1284" t="str">
        <f t="shared" si="147"/>
        <v>36</v>
      </c>
      <c r="D1284">
        <v>6412</v>
      </c>
      <c r="E1284" t="str">
        <f>"3G"</f>
        <v>3G</v>
      </c>
      <c r="F1284" t="str">
        <f t="shared" si="150"/>
        <v>001</v>
      </c>
      <c r="G1284">
        <v>9</v>
      </c>
      <c r="H1284" t="str">
        <f t="shared" si="148"/>
        <v>91</v>
      </c>
      <c r="I1284" t="str">
        <f>"2"</f>
        <v>2</v>
      </c>
      <c r="J1284" t="str">
        <f t="shared" si="151"/>
        <v>39</v>
      </c>
      <c r="K1284">
        <v>20181102</v>
      </c>
      <c r="L1284" t="str">
        <f>"074452"</f>
        <v>074452</v>
      </c>
      <c r="M1284" t="str">
        <f>"19205"</f>
        <v>19205</v>
      </c>
      <c r="N1284" t="s">
        <v>554</v>
      </c>
      <c r="O1284">
        <v>500</v>
      </c>
      <c r="P1284">
        <v>20181031</v>
      </c>
      <c r="Q1284" t="s">
        <v>309</v>
      </c>
      <c r="R1284" t="s">
        <v>555</v>
      </c>
      <c r="S1284" t="s">
        <v>295</v>
      </c>
      <c r="T1284" t="s">
        <v>301</v>
      </c>
    </row>
    <row r="1285" spans="1:20" x14ac:dyDescent="0.25">
      <c r="A1285">
        <v>9</v>
      </c>
      <c r="B1285">
        <v>181</v>
      </c>
      <c r="C1285" t="str">
        <f t="shared" si="147"/>
        <v>36</v>
      </c>
      <c r="D1285">
        <v>6412</v>
      </c>
      <c r="E1285" t="str">
        <f>"3S"</f>
        <v>3S</v>
      </c>
      <c r="F1285" t="str">
        <f t="shared" si="150"/>
        <v>001</v>
      </c>
      <c r="G1285">
        <v>9</v>
      </c>
      <c r="H1285" t="str">
        <f t="shared" si="148"/>
        <v>91</v>
      </c>
      <c r="I1285" t="str">
        <f>"2"</f>
        <v>2</v>
      </c>
      <c r="J1285" t="str">
        <f t="shared" si="151"/>
        <v>39</v>
      </c>
      <c r="K1285">
        <v>20181102</v>
      </c>
      <c r="L1285" t="str">
        <f>"074455"</f>
        <v>074455</v>
      </c>
      <c r="M1285" t="str">
        <f>"22120"</f>
        <v>22120</v>
      </c>
      <c r="N1285" t="s">
        <v>556</v>
      </c>
      <c r="O1285">
        <v>205</v>
      </c>
      <c r="P1285">
        <v>20181031</v>
      </c>
      <c r="Q1285" t="s">
        <v>547</v>
      </c>
      <c r="R1285" t="s">
        <v>557</v>
      </c>
      <c r="S1285" t="s">
        <v>295</v>
      </c>
      <c r="T1285" t="s">
        <v>301</v>
      </c>
    </row>
    <row r="1286" spans="1:20" x14ac:dyDescent="0.25">
      <c r="A1286">
        <v>9</v>
      </c>
      <c r="B1286">
        <v>181</v>
      </c>
      <c r="C1286" t="str">
        <f t="shared" si="147"/>
        <v>36</v>
      </c>
      <c r="D1286">
        <v>6412</v>
      </c>
      <c r="E1286" t="str">
        <f>"3S"</f>
        <v>3S</v>
      </c>
      <c r="F1286" t="str">
        <f t="shared" si="150"/>
        <v>001</v>
      </c>
      <c r="G1286">
        <v>9</v>
      </c>
      <c r="H1286" t="str">
        <f t="shared" si="148"/>
        <v>91</v>
      </c>
      <c r="I1286" t="str">
        <f>"2"</f>
        <v>2</v>
      </c>
      <c r="J1286" t="str">
        <f t="shared" si="151"/>
        <v>39</v>
      </c>
      <c r="K1286">
        <v>20181102</v>
      </c>
      <c r="L1286" t="str">
        <f>"074455"</f>
        <v>074455</v>
      </c>
      <c r="M1286" t="str">
        <f>"22120"</f>
        <v>22120</v>
      </c>
      <c r="N1286" t="s">
        <v>556</v>
      </c>
      <c r="O1286">
        <v>55</v>
      </c>
      <c r="P1286">
        <v>20181031</v>
      </c>
      <c r="Q1286" t="s">
        <v>547</v>
      </c>
      <c r="R1286" t="s">
        <v>557</v>
      </c>
      <c r="S1286" t="s">
        <v>295</v>
      </c>
      <c r="T1286" t="s">
        <v>301</v>
      </c>
    </row>
    <row r="1287" spans="1:20" x14ac:dyDescent="0.25">
      <c r="A1287">
        <v>9</v>
      </c>
      <c r="B1287">
        <v>181</v>
      </c>
      <c r="C1287" t="str">
        <f t="shared" si="147"/>
        <v>36</v>
      </c>
      <c r="D1287">
        <v>6412</v>
      </c>
      <c r="E1287" t="str">
        <f>"3S"</f>
        <v>3S</v>
      </c>
      <c r="F1287" t="str">
        <f t="shared" si="150"/>
        <v>001</v>
      </c>
      <c r="G1287">
        <v>9</v>
      </c>
      <c r="H1287" t="str">
        <f t="shared" si="148"/>
        <v>91</v>
      </c>
      <c r="I1287" t="str">
        <f>"1"</f>
        <v>1</v>
      </c>
      <c r="J1287" t="str">
        <f t="shared" si="151"/>
        <v>39</v>
      </c>
      <c r="K1287">
        <v>20181102</v>
      </c>
      <c r="L1287" t="str">
        <f>"074458"</f>
        <v>074458</v>
      </c>
      <c r="M1287" t="str">
        <f>"51349"</f>
        <v>51349</v>
      </c>
      <c r="N1287" t="s">
        <v>558</v>
      </c>
      <c r="O1287">
        <v>117</v>
      </c>
      <c r="P1287">
        <v>20181031</v>
      </c>
      <c r="Q1287" t="s">
        <v>514</v>
      </c>
      <c r="R1287" t="s">
        <v>559</v>
      </c>
      <c r="S1287" t="s">
        <v>295</v>
      </c>
      <c r="T1287" t="s">
        <v>301</v>
      </c>
    </row>
    <row r="1288" spans="1:20" x14ac:dyDescent="0.25">
      <c r="A1288">
        <v>9</v>
      </c>
      <c r="B1288">
        <v>181</v>
      </c>
      <c r="C1288" t="str">
        <f t="shared" ref="C1288:C1319" si="152">"36"</f>
        <v>36</v>
      </c>
      <c r="D1288">
        <v>6412</v>
      </c>
      <c r="E1288" t="str">
        <f>"3S"</f>
        <v>3S</v>
      </c>
      <c r="F1288" t="str">
        <f t="shared" si="150"/>
        <v>001</v>
      </c>
      <c r="G1288">
        <v>9</v>
      </c>
      <c r="H1288" t="str">
        <f t="shared" ref="H1288:H1319" si="153">"91"</f>
        <v>91</v>
      </c>
      <c r="I1288" t="str">
        <f>"1"</f>
        <v>1</v>
      </c>
      <c r="J1288" t="str">
        <f t="shared" si="151"/>
        <v>39</v>
      </c>
      <c r="K1288">
        <v>20181102</v>
      </c>
      <c r="L1288" t="str">
        <f>"074458"</f>
        <v>074458</v>
      </c>
      <c r="M1288" t="str">
        <f>"51349"</f>
        <v>51349</v>
      </c>
      <c r="N1288" t="s">
        <v>558</v>
      </c>
      <c r="O1288">
        <v>71.5</v>
      </c>
      <c r="P1288">
        <v>20181031</v>
      </c>
      <c r="Q1288" t="s">
        <v>514</v>
      </c>
      <c r="R1288" t="s">
        <v>560</v>
      </c>
      <c r="S1288" t="s">
        <v>295</v>
      </c>
      <c r="T1288" t="s">
        <v>301</v>
      </c>
    </row>
    <row r="1289" spans="1:20" x14ac:dyDescent="0.25">
      <c r="A1289">
        <v>9</v>
      </c>
      <c r="B1289">
        <v>181</v>
      </c>
      <c r="C1289" t="str">
        <f t="shared" si="152"/>
        <v>36</v>
      </c>
      <c r="D1289">
        <v>6412</v>
      </c>
      <c r="E1289" t="str">
        <f>"3S"</f>
        <v>3S</v>
      </c>
      <c r="F1289" t="str">
        <f t="shared" si="150"/>
        <v>001</v>
      </c>
      <c r="G1289">
        <v>9</v>
      </c>
      <c r="H1289" t="str">
        <f t="shared" si="153"/>
        <v>91</v>
      </c>
      <c r="I1289" t="str">
        <f>"2"</f>
        <v>2</v>
      </c>
      <c r="J1289" t="str">
        <f t="shared" si="151"/>
        <v>39</v>
      </c>
      <c r="K1289">
        <v>20181102</v>
      </c>
      <c r="L1289" t="str">
        <f>"074459"</f>
        <v>074459</v>
      </c>
      <c r="M1289" t="str">
        <f>"00108"</f>
        <v>00108</v>
      </c>
      <c r="N1289" t="s">
        <v>561</v>
      </c>
      <c r="O1289">
        <v>216</v>
      </c>
      <c r="P1289">
        <v>20181031</v>
      </c>
      <c r="Q1289" t="s">
        <v>547</v>
      </c>
      <c r="R1289" t="s">
        <v>562</v>
      </c>
      <c r="S1289" t="s">
        <v>295</v>
      </c>
      <c r="T1289" t="s">
        <v>301</v>
      </c>
    </row>
    <row r="1290" spans="1:20" x14ac:dyDescent="0.25">
      <c r="A1290">
        <v>9</v>
      </c>
      <c r="B1290">
        <v>181</v>
      </c>
      <c r="C1290" t="str">
        <f t="shared" si="152"/>
        <v>36</v>
      </c>
      <c r="D1290">
        <v>6399</v>
      </c>
      <c r="E1290" t="str">
        <f>"3T"</f>
        <v>3T</v>
      </c>
      <c r="F1290" t="str">
        <f t="shared" si="150"/>
        <v>001</v>
      </c>
      <c r="G1290">
        <v>9</v>
      </c>
      <c r="H1290" t="str">
        <f t="shared" si="153"/>
        <v>91</v>
      </c>
      <c r="I1290" t="str">
        <f t="shared" ref="I1290:I1295" si="154">"0"</f>
        <v>0</v>
      </c>
      <c r="J1290" t="str">
        <f t="shared" si="151"/>
        <v>39</v>
      </c>
      <c r="K1290">
        <v>20181102</v>
      </c>
      <c r="L1290" t="str">
        <f>"074460"</f>
        <v>074460</v>
      </c>
      <c r="M1290" t="str">
        <f>"20912"</f>
        <v>20912</v>
      </c>
      <c r="N1290" t="s">
        <v>563</v>
      </c>
      <c r="O1290" s="1">
        <v>1099.45</v>
      </c>
      <c r="P1290">
        <v>20181031</v>
      </c>
      <c r="Q1290" t="s">
        <v>564</v>
      </c>
      <c r="R1290" t="s">
        <v>565</v>
      </c>
      <c r="S1290" t="s">
        <v>295</v>
      </c>
      <c r="T1290" t="s">
        <v>301</v>
      </c>
    </row>
    <row r="1291" spans="1:20" x14ac:dyDescent="0.25">
      <c r="A1291">
        <v>9</v>
      </c>
      <c r="B1291">
        <v>181</v>
      </c>
      <c r="C1291" t="str">
        <f t="shared" si="152"/>
        <v>36</v>
      </c>
      <c r="D1291">
        <v>6399</v>
      </c>
      <c r="E1291" t="str">
        <f>"3V"</f>
        <v>3V</v>
      </c>
      <c r="F1291" t="str">
        <f>"041"</f>
        <v>041</v>
      </c>
      <c r="G1291">
        <v>9</v>
      </c>
      <c r="H1291" t="str">
        <f t="shared" si="153"/>
        <v>91</v>
      </c>
      <c r="I1291" t="str">
        <f t="shared" si="154"/>
        <v>0</v>
      </c>
      <c r="J1291" t="str">
        <f>"41"</f>
        <v>41</v>
      </c>
      <c r="K1291">
        <v>20181102</v>
      </c>
      <c r="L1291" t="str">
        <f>"074460"</f>
        <v>074460</v>
      </c>
      <c r="M1291" t="str">
        <f>"20912"</f>
        <v>20912</v>
      </c>
      <c r="N1291" t="s">
        <v>563</v>
      </c>
      <c r="O1291">
        <v>800</v>
      </c>
      <c r="P1291">
        <v>20181031</v>
      </c>
      <c r="Q1291" t="s">
        <v>566</v>
      </c>
      <c r="R1291" t="s">
        <v>565</v>
      </c>
      <c r="S1291" t="s">
        <v>295</v>
      </c>
      <c r="T1291" t="s">
        <v>106</v>
      </c>
    </row>
    <row r="1292" spans="1:20" x14ac:dyDescent="0.25">
      <c r="A1292">
        <v>9</v>
      </c>
      <c r="B1292">
        <v>181</v>
      </c>
      <c r="C1292" t="str">
        <f t="shared" si="152"/>
        <v>36</v>
      </c>
      <c r="D1292">
        <v>6319</v>
      </c>
      <c r="E1292" t="str">
        <f>"30"</f>
        <v>30</v>
      </c>
      <c r="F1292" t="str">
        <f>"001"</f>
        <v>001</v>
      </c>
      <c r="G1292">
        <v>9</v>
      </c>
      <c r="H1292" t="str">
        <f t="shared" si="153"/>
        <v>91</v>
      </c>
      <c r="I1292" t="str">
        <f t="shared" si="154"/>
        <v>0</v>
      </c>
      <c r="J1292" t="str">
        <f>"39"</f>
        <v>39</v>
      </c>
      <c r="K1292">
        <v>20181102</v>
      </c>
      <c r="L1292" t="str">
        <f>"074462"</f>
        <v>074462</v>
      </c>
      <c r="M1292" t="str">
        <f>"24130"</f>
        <v>24130</v>
      </c>
      <c r="N1292" t="s">
        <v>567</v>
      </c>
      <c r="O1292">
        <v>720.03</v>
      </c>
      <c r="P1292">
        <v>20181031</v>
      </c>
      <c r="Q1292" t="s">
        <v>501</v>
      </c>
      <c r="R1292" t="s">
        <v>568</v>
      </c>
      <c r="S1292" t="s">
        <v>295</v>
      </c>
      <c r="T1292" t="s">
        <v>301</v>
      </c>
    </row>
    <row r="1293" spans="1:20" x14ac:dyDescent="0.25">
      <c r="A1293">
        <v>9</v>
      </c>
      <c r="B1293">
        <v>181</v>
      </c>
      <c r="C1293" t="str">
        <f t="shared" si="152"/>
        <v>36</v>
      </c>
      <c r="D1293">
        <v>6399</v>
      </c>
      <c r="E1293" t="str">
        <f>"3G"</f>
        <v>3G</v>
      </c>
      <c r="F1293" t="str">
        <f>"001"</f>
        <v>001</v>
      </c>
      <c r="G1293">
        <v>9</v>
      </c>
      <c r="H1293" t="str">
        <f t="shared" si="153"/>
        <v>91</v>
      </c>
      <c r="I1293" t="str">
        <f t="shared" si="154"/>
        <v>0</v>
      </c>
      <c r="J1293" t="str">
        <f>"39"</f>
        <v>39</v>
      </c>
      <c r="K1293">
        <v>20181102</v>
      </c>
      <c r="L1293" t="str">
        <f>"074470"</f>
        <v>074470</v>
      </c>
      <c r="M1293" t="str">
        <f>"28560"</f>
        <v>28560</v>
      </c>
      <c r="N1293" t="s">
        <v>569</v>
      </c>
      <c r="O1293" s="1">
        <v>2070.31</v>
      </c>
      <c r="P1293">
        <v>20181031</v>
      </c>
      <c r="Q1293" t="s">
        <v>570</v>
      </c>
      <c r="R1293" t="s">
        <v>571</v>
      </c>
      <c r="S1293" t="s">
        <v>295</v>
      </c>
      <c r="T1293" t="s">
        <v>301</v>
      </c>
    </row>
    <row r="1294" spans="1:20" x14ac:dyDescent="0.25">
      <c r="A1294">
        <v>9</v>
      </c>
      <c r="B1294">
        <v>181</v>
      </c>
      <c r="C1294" t="str">
        <f t="shared" si="152"/>
        <v>36</v>
      </c>
      <c r="D1294">
        <v>6411</v>
      </c>
      <c r="E1294" t="str">
        <f>"33"</f>
        <v>33</v>
      </c>
      <c r="F1294" t="str">
        <f>"001"</f>
        <v>001</v>
      </c>
      <c r="G1294">
        <v>9</v>
      </c>
      <c r="H1294" t="str">
        <f t="shared" si="153"/>
        <v>91</v>
      </c>
      <c r="I1294" t="str">
        <f t="shared" si="154"/>
        <v>0</v>
      </c>
      <c r="J1294" t="str">
        <f>"39"</f>
        <v>39</v>
      </c>
      <c r="K1294">
        <v>20181102</v>
      </c>
      <c r="L1294" t="str">
        <f>"074474"</f>
        <v>074474</v>
      </c>
      <c r="M1294" t="str">
        <f>"30744"</f>
        <v>30744</v>
      </c>
      <c r="N1294" t="s">
        <v>422</v>
      </c>
      <c r="O1294">
        <v>28.49</v>
      </c>
      <c r="P1294">
        <v>20181031</v>
      </c>
      <c r="Q1294" t="s">
        <v>306</v>
      </c>
      <c r="R1294" t="s">
        <v>572</v>
      </c>
      <c r="S1294" t="s">
        <v>295</v>
      </c>
      <c r="T1294" t="s">
        <v>301</v>
      </c>
    </row>
    <row r="1295" spans="1:20" x14ac:dyDescent="0.25">
      <c r="A1295">
        <v>9</v>
      </c>
      <c r="B1295">
        <v>181</v>
      </c>
      <c r="C1295" t="str">
        <f t="shared" si="152"/>
        <v>36</v>
      </c>
      <c r="D1295">
        <v>6411</v>
      </c>
      <c r="E1295" t="str">
        <f>"33"</f>
        <v>33</v>
      </c>
      <c r="F1295" t="str">
        <f>"001"</f>
        <v>001</v>
      </c>
      <c r="G1295">
        <v>9</v>
      </c>
      <c r="H1295" t="str">
        <f t="shared" si="153"/>
        <v>91</v>
      </c>
      <c r="I1295" t="str">
        <f t="shared" si="154"/>
        <v>0</v>
      </c>
      <c r="J1295" t="str">
        <f>"39"</f>
        <v>39</v>
      </c>
      <c r="K1295">
        <v>20181102</v>
      </c>
      <c r="L1295" t="str">
        <f>"074474"</f>
        <v>074474</v>
      </c>
      <c r="M1295" t="str">
        <f>"30744"</f>
        <v>30744</v>
      </c>
      <c r="N1295" t="s">
        <v>422</v>
      </c>
      <c r="O1295">
        <v>32.39</v>
      </c>
      <c r="P1295">
        <v>20181031</v>
      </c>
      <c r="Q1295" t="s">
        <v>306</v>
      </c>
      <c r="R1295" t="s">
        <v>573</v>
      </c>
      <c r="S1295" t="s">
        <v>295</v>
      </c>
      <c r="T1295" t="s">
        <v>301</v>
      </c>
    </row>
    <row r="1296" spans="1:20" x14ac:dyDescent="0.25">
      <c r="A1296">
        <v>9</v>
      </c>
      <c r="B1296">
        <v>181</v>
      </c>
      <c r="C1296" t="str">
        <f t="shared" si="152"/>
        <v>36</v>
      </c>
      <c r="D1296">
        <v>6412</v>
      </c>
      <c r="E1296" t="str">
        <f>"3V"</f>
        <v>3V</v>
      </c>
      <c r="F1296" t="str">
        <f>"041"</f>
        <v>041</v>
      </c>
      <c r="G1296">
        <v>9</v>
      </c>
      <c r="H1296" t="str">
        <f t="shared" si="153"/>
        <v>91</v>
      </c>
      <c r="I1296" t="str">
        <f>"2"</f>
        <v>2</v>
      </c>
      <c r="J1296" t="str">
        <f>"41"</f>
        <v>41</v>
      </c>
      <c r="K1296">
        <v>20181102</v>
      </c>
      <c r="L1296" t="str">
        <f>"074476"</f>
        <v>074476</v>
      </c>
      <c r="M1296" t="str">
        <f>"34949"</f>
        <v>34949</v>
      </c>
      <c r="N1296" t="s">
        <v>423</v>
      </c>
      <c r="O1296">
        <v>222</v>
      </c>
      <c r="P1296">
        <v>20181031</v>
      </c>
      <c r="Q1296" t="s">
        <v>574</v>
      </c>
      <c r="R1296" t="s">
        <v>575</v>
      </c>
      <c r="S1296" t="s">
        <v>295</v>
      </c>
      <c r="T1296" t="s">
        <v>106</v>
      </c>
    </row>
    <row r="1297" spans="1:20" x14ac:dyDescent="0.25">
      <c r="A1297">
        <v>9</v>
      </c>
      <c r="B1297">
        <v>181</v>
      </c>
      <c r="C1297" t="str">
        <f t="shared" si="152"/>
        <v>36</v>
      </c>
      <c r="D1297">
        <v>6219</v>
      </c>
      <c r="E1297" t="str">
        <f>"3Y"</f>
        <v>3Y</v>
      </c>
      <c r="F1297" t="str">
        <f t="shared" ref="F1297:F1307" si="155">"001"</f>
        <v>001</v>
      </c>
      <c r="G1297">
        <v>9</v>
      </c>
      <c r="H1297" t="str">
        <f t="shared" si="153"/>
        <v>91</v>
      </c>
      <c r="I1297" t="str">
        <f>"0"</f>
        <v>0</v>
      </c>
      <c r="J1297" t="str">
        <f t="shared" ref="J1297:J1307" si="156">"39"</f>
        <v>39</v>
      </c>
      <c r="K1297">
        <v>20181102</v>
      </c>
      <c r="L1297" t="str">
        <f>"074493"</f>
        <v>074493</v>
      </c>
      <c r="M1297" t="str">
        <f>"53996"</f>
        <v>53996</v>
      </c>
      <c r="N1297" t="s">
        <v>576</v>
      </c>
      <c r="O1297">
        <v>115</v>
      </c>
      <c r="P1297">
        <v>20181031</v>
      </c>
      <c r="Q1297" t="s">
        <v>330</v>
      </c>
      <c r="R1297" t="s">
        <v>577</v>
      </c>
      <c r="S1297" t="s">
        <v>295</v>
      </c>
      <c r="T1297" t="s">
        <v>301</v>
      </c>
    </row>
    <row r="1298" spans="1:20" x14ac:dyDescent="0.25">
      <c r="A1298">
        <v>9</v>
      </c>
      <c r="B1298">
        <v>181</v>
      </c>
      <c r="C1298" t="str">
        <f t="shared" si="152"/>
        <v>36</v>
      </c>
      <c r="D1298">
        <v>6219</v>
      </c>
      <c r="E1298" t="str">
        <f>"3Y"</f>
        <v>3Y</v>
      </c>
      <c r="F1298" t="str">
        <f t="shared" si="155"/>
        <v>001</v>
      </c>
      <c r="G1298">
        <v>9</v>
      </c>
      <c r="H1298" t="str">
        <f t="shared" si="153"/>
        <v>91</v>
      </c>
      <c r="I1298" t="str">
        <f>"0"</f>
        <v>0</v>
      </c>
      <c r="J1298" t="str">
        <f t="shared" si="156"/>
        <v>39</v>
      </c>
      <c r="K1298">
        <v>20181102</v>
      </c>
      <c r="L1298" t="str">
        <f>"074500"</f>
        <v>074500</v>
      </c>
      <c r="M1298" t="str">
        <f>"00535"</f>
        <v>00535</v>
      </c>
      <c r="N1298" t="s">
        <v>370</v>
      </c>
      <c r="O1298">
        <v>100</v>
      </c>
      <c r="P1298">
        <v>20181031</v>
      </c>
      <c r="Q1298" t="s">
        <v>330</v>
      </c>
      <c r="R1298" t="s">
        <v>577</v>
      </c>
      <c r="S1298" t="s">
        <v>295</v>
      </c>
      <c r="T1298" t="s">
        <v>301</v>
      </c>
    </row>
    <row r="1299" spans="1:20" x14ac:dyDescent="0.25">
      <c r="A1299">
        <v>9</v>
      </c>
      <c r="B1299">
        <v>181</v>
      </c>
      <c r="C1299" t="str">
        <f t="shared" si="152"/>
        <v>36</v>
      </c>
      <c r="D1299">
        <v>6219</v>
      </c>
      <c r="E1299" t="str">
        <f>"3Y"</f>
        <v>3Y</v>
      </c>
      <c r="F1299" t="str">
        <f t="shared" si="155"/>
        <v>001</v>
      </c>
      <c r="G1299">
        <v>9</v>
      </c>
      <c r="H1299" t="str">
        <f t="shared" si="153"/>
        <v>91</v>
      </c>
      <c r="I1299" t="str">
        <f>"1"</f>
        <v>1</v>
      </c>
      <c r="J1299" t="str">
        <f t="shared" si="156"/>
        <v>39</v>
      </c>
      <c r="K1299">
        <v>20181102</v>
      </c>
      <c r="L1299" t="str">
        <f>"074502"</f>
        <v>074502</v>
      </c>
      <c r="M1299" t="str">
        <f>"57964"</f>
        <v>57964</v>
      </c>
      <c r="N1299" t="s">
        <v>578</v>
      </c>
      <c r="O1299">
        <v>128</v>
      </c>
      <c r="P1299">
        <v>20181031</v>
      </c>
      <c r="Q1299" t="s">
        <v>408</v>
      </c>
      <c r="R1299" t="s">
        <v>577</v>
      </c>
      <c r="S1299" t="s">
        <v>295</v>
      </c>
      <c r="T1299" t="s">
        <v>301</v>
      </c>
    </row>
    <row r="1300" spans="1:20" x14ac:dyDescent="0.25">
      <c r="A1300">
        <v>9</v>
      </c>
      <c r="B1300">
        <v>181</v>
      </c>
      <c r="C1300" t="str">
        <f t="shared" si="152"/>
        <v>36</v>
      </c>
      <c r="D1300">
        <v>6412</v>
      </c>
      <c r="E1300" t="str">
        <f>"3G"</f>
        <v>3G</v>
      </c>
      <c r="F1300" t="str">
        <f t="shared" si="155"/>
        <v>001</v>
      </c>
      <c r="G1300">
        <v>9</v>
      </c>
      <c r="H1300" t="str">
        <f t="shared" si="153"/>
        <v>91</v>
      </c>
      <c r="I1300" t="str">
        <f>"2"</f>
        <v>2</v>
      </c>
      <c r="J1300" t="str">
        <f t="shared" si="156"/>
        <v>39</v>
      </c>
      <c r="K1300">
        <v>20181102</v>
      </c>
      <c r="L1300" t="str">
        <f>"074508"</f>
        <v>074508</v>
      </c>
      <c r="M1300" t="str">
        <f>"61340"</f>
        <v>61340</v>
      </c>
      <c r="N1300" t="s">
        <v>579</v>
      </c>
      <c r="O1300">
        <v>350</v>
      </c>
      <c r="P1300">
        <v>20181031</v>
      </c>
      <c r="Q1300" t="s">
        <v>309</v>
      </c>
      <c r="R1300" t="s">
        <v>580</v>
      </c>
      <c r="S1300" t="s">
        <v>295</v>
      </c>
      <c r="T1300" t="s">
        <v>301</v>
      </c>
    </row>
    <row r="1301" spans="1:20" x14ac:dyDescent="0.25">
      <c r="A1301">
        <v>9</v>
      </c>
      <c r="B1301">
        <v>181</v>
      </c>
      <c r="C1301" t="str">
        <f t="shared" si="152"/>
        <v>36</v>
      </c>
      <c r="D1301">
        <v>6219</v>
      </c>
      <c r="E1301" t="str">
        <f>"3Y"</f>
        <v>3Y</v>
      </c>
      <c r="F1301" t="str">
        <f t="shared" si="155"/>
        <v>001</v>
      </c>
      <c r="G1301">
        <v>9</v>
      </c>
      <c r="H1301" t="str">
        <f t="shared" si="153"/>
        <v>91</v>
      </c>
      <c r="I1301" t="str">
        <f>"0"</f>
        <v>0</v>
      </c>
      <c r="J1301" t="str">
        <f t="shared" si="156"/>
        <v>39</v>
      </c>
      <c r="K1301">
        <v>20181102</v>
      </c>
      <c r="L1301" t="str">
        <f>"074509"</f>
        <v>074509</v>
      </c>
      <c r="M1301" t="str">
        <f>"00599"</f>
        <v>00599</v>
      </c>
      <c r="N1301" t="s">
        <v>533</v>
      </c>
      <c r="O1301">
        <v>100</v>
      </c>
      <c r="P1301">
        <v>20181031</v>
      </c>
      <c r="Q1301" t="s">
        <v>330</v>
      </c>
      <c r="R1301" t="s">
        <v>577</v>
      </c>
      <c r="S1301" t="s">
        <v>295</v>
      </c>
      <c r="T1301" t="s">
        <v>301</v>
      </c>
    </row>
    <row r="1302" spans="1:20" x14ac:dyDescent="0.25">
      <c r="A1302">
        <v>9</v>
      </c>
      <c r="B1302">
        <v>181</v>
      </c>
      <c r="C1302" t="str">
        <f t="shared" si="152"/>
        <v>36</v>
      </c>
      <c r="D1302">
        <v>6411</v>
      </c>
      <c r="E1302" t="str">
        <f>"33"</f>
        <v>33</v>
      </c>
      <c r="F1302" t="str">
        <f t="shared" si="155"/>
        <v>001</v>
      </c>
      <c r="G1302">
        <v>9</v>
      </c>
      <c r="H1302" t="str">
        <f t="shared" si="153"/>
        <v>91</v>
      </c>
      <c r="I1302" t="str">
        <f>"0"</f>
        <v>0</v>
      </c>
      <c r="J1302" t="str">
        <f t="shared" si="156"/>
        <v>39</v>
      </c>
      <c r="K1302">
        <v>20181102</v>
      </c>
      <c r="L1302" t="str">
        <f>"074514"</f>
        <v>074514</v>
      </c>
      <c r="M1302" t="str">
        <f>"69162"</f>
        <v>69162</v>
      </c>
      <c r="N1302" t="s">
        <v>491</v>
      </c>
      <c r="O1302">
        <v>93</v>
      </c>
      <c r="P1302">
        <v>20181031</v>
      </c>
      <c r="Q1302" t="s">
        <v>306</v>
      </c>
      <c r="R1302" t="s">
        <v>581</v>
      </c>
      <c r="S1302" t="s">
        <v>295</v>
      </c>
      <c r="T1302" t="s">
        <v>301</v>
      </c>
    </row>
    <row r="1303" spans="1:20" x14ac:dyDescent="0.25">
      <c r="A1303">
        <v>9</v>
      </c>
      <c r="B1303">
        <v>181</v>
      </c>
      <c r="C1303" t="str">
        <f t="shared" si="152"/>
        <v>36</v>
      </c>
      <c r="D1303">
        <v>6412</v>
      </c>
      <c r="E1303" t="str">
        <f>"3S"</f>
        <v>3S</v>
      </c>
      <c r="F1303" t="str">
        <f t="shared" si="155"/>
        <v>001</v>
      </c>
      <c r="G1303">
        <v>9</v>
      </c>
      <c r="H1303" t="str">
        <f t="shared" si="153"/>
        <v>91</v>
      </c>
      <c r="I1303" t="str">
        <f>"2"</f>
        <v>2</v>
      </c>
      <c r="J1303" t="str">
        <f t="shared" si="156"/>
        <v>39</v>
      </c>
      <c r="K1303">
        <v>20181102</v>
      </c>
      <c r="L1303" t="str">
        <f>"074522"</f>
        <v>074522</v>
      </c>
      <c r="M1303" t="str">
        <f>"82511"</f>
        <v>82511</v>
      </c>
      <c r="N1303" t="s">
        <v>582</v>
      </c>
      <c r="O1303">
        <v>125</v>
      </c>
      <c r="P1303">
        <v>20181031</v>
      </c>
      <c r="Q1303" t="s">
        <v>547</v>
      </c>
      <c r="R1303" t="s">
        <v>583</v>
      </c>
      <c r="S1303" t="s">
        <v>295</v>
      </c>
      <c r="T1303" t="s">
        <v>301</v>
      </c>
    </row>
    <row r="1304" spans="1:20" x14ac:dyDescent="0.25">
      <c r="A1304">
        <v>9</v>
      </c>
      <c r="B1304">
        <v>181</v>
      </c>
      <c r="C1304" t="str">
        <f t="shared" si="152"/>
        <v>36</v>
      </c>
      <c r="D1304">
        <v>6412</v>
      </c>
      <c r="E1304" t="str">
        <f>"3F"</f>
        <v>3F</v>
      </c>
      <c r="F1304" t="str">
        <f t="shared" si="155"/>
        <v>001</v>
      </c>
      <c r="G1304">
        <v>9</v>
      </c>
      <c r="H1304" t="str">
        <f t="shared" si="153"/>
        <v>91</v>
      </c>
      <c r="I1304" t="str">
        <f t="shared" ref="I1304:I1311" si="157">"1"</f>
        <v>1</v>
      </c>
      <c r="J1304" t="str">
        <f t="shared" si="156"/>
        <v>39</v>
      </c>
      <c r="K1304">
        <v>20181102</v>
      </c>
      <c r="L1304" t="str">
        <f t="shared" ref="L1304:L1311" si="158">"074525"</f>
        <v>074525</v>
      </c>
      <c r="M1304" t="str">
        <f t="shared" ref="M1304:M1311" si="159">"84370"</f>
        <v>84370</v>
      </c>
      <c r="N1304" t="s">
        <v>395</v>
      </c>
      <c r="O1304">
        <v>254.22</v>
      </c>
      <c r="P1304">
        <v>20181101</v>
      </c>
      <c r="Q1304" t="s">
        <v>342</v>
      </c>
      <c r="R1304" t="s">
        <v>584</v>
      </c>
      <c r="S1304" t="s">
        <v>295</v>
      </c>
      <c r="T1304" t="s">
        <v>301</v>
      </c>
    </row>
    <row r="1305" spans="1:20" x14ac:dyDescent="0.25">
      <c r="A1305">
        <v>9</v>
      </c>
      <c r="B1305">
        <v>181</v>
      </c>
      <c r="C1305" t="str">
        <f t="shared" si="152"/>
        <v>36</v>
      </c>
      <c r="D1305">
        <v>6412</v>
      </c>
      <c r="E1305" t="str">
        <f>"3F"</f>
        <v>3F</v>
      </c>
      <c r="F1305" t="str">
        <f t="shared" si="155"/>
        <v>001</v>
      </c>
      <c r="G1305">
        <v>9</v>
      </c>
      <c r="H1305" t="str">
        <f t="shared" si="153"/>
        <v>91</v>
      </c>
      <c r="I1305" t="str">
        <f t="shared" si="157"/>
        <v>1</v>
      </c>
      <c r="J1305" t="str">
        <f t="shared" si="156"/>
        <v>39</v>
      </c>
      <c r="K1305">
        <v>20181102</v>
      </c>
      <c r="L1305" t="str">
        <f t="shared" si="158"/>
        <v>074525</v>
      </c>
      <c r="M1305" t="str">
        <f t="shared" si="159"/>
        <v>84370</v>
      </c>
      <c r="N1305" t="s">
        <v>395</v>
      </c>
      <c r="O1305">
        <v>160.56</v>
      </c>
      <c r="P1305">
        <v>20181101</v>
      </c>
      <c r="Q1305" t="s">
        <v>342</v>
      </c>
      <c r="R1305" t="s">
        <v>584</v>
      </c>
      <c r="S1305" t="s">
        <v>295</v>
      </c>
      <c r="T1305" t="s">
        <v>301</v>
      </c>
    </row>
    <row r="1306" spans="1:20" x14ac:dyDescent="0.25">
      <c r="A1306">
        <v>9</v>
      </c>
      <c r="B1306">
        <v>181</v>
      </c>
      <c r="C1306" t="str">
        <f t="shared" si="152"/>
        <v>36</v>
      </c>
      <c r="D1306">
        <v>6412</v>
      </c>
      <c r="E1306" t="str">
        <f>"3F"</f>
        <v>3F</v>
      </c>
      <c r="F1306" t="str">
        <f t="shared" si="155"/>
        <v>001</v>
      </c>
      <c r="G1306">
        <v>9</v>
      </c>
      <c r="H1306" t="str">
        <f t="shared" si="153"/>
        <v>91</v>
      </c>
      <c r="I1306" t="str">
        <f t="shared" si="157"/>
        <v>1</v>
      </c>
      <c r="J1306" t="str">
        <f t="shared" si="156"/>
        <v>39</v>
      </c>
      <c r="K1306">
        <v>20181102</v>
      </c>
      <c r="L1306" t="str">
        <f t="shared" si="158"/>
        <v>074525</v>
      </c>
      <c r="M1306" t="str">
        <f t="shared" si="159"/>
        <v>84370</v>
      </c>
      <c r="N1306" t="s">
        <v>395</v>
      </c>
      <c r="O1306">
        <v>591.20000000000005</v>
      </c>
      <c r="P1306">
        <v>20181101</v>
      </c>
      <c r="Q1306" t="s">
        <v>342</v>
      </c>
      <c r="R1306" t="s">
        <v>585</v>
      </c>
      <c r="S1306" t="s">
        <v>295</v>
      </c>
      <c r="T1306" t="s">
        <v>301</v>
      </c>
    </row>
    <row r="1307" spans="1:20" x14ac:dyDescent="0.25">
      <c r="A1307">
        <v>9</v>
      </c>
      <c r="B1307">
        <v>181</v>
      </c>
      <c r="C1307" t="str">
        <f t="shared" si="152"/>
        <v>36</v>
      </c>
      <c r="D1307">
        <v>6412</v>
      </c>
      <c r="E1307" t="str">
        <f>"3F"</f>
        <v>3F</v>
      </c>
      <c r="F1307" t="str">
        <f t="shared" si="155"/>
        <v>001</v>
      </c>
      <c r="G1307">
        <v>9</v>
      </c>
      <c r="H1307" t="str">
        <f t="shared" si="153"/>
        <v>91</v>
      </c>
      <c r="I1307" t="str">
        <f t="shared" si="157"/>
        <v>1</v>
      </c>
      <c r="J1307" t="str">
        <f t="shared" si="156"/>
        <v>39</v>
      </c>
      <c r="K1307">
        <v>20181102</v>
      </c>
      <c r="L1307" t="str">
        <f t="shared" si="158"/>
        <v>074525</v>
      </c>
      <c r="M1307" t="str">
        <f t="shared" si="159"/>
        <v>84370</v>
      </c>
      <c r="N1307" t="s">
        <v>395</v>
      </c>
      <c r="O1307">
        <v>615.6</v>
      </c>
      <c r="P1307">
        <v>20181101</v>
      </c>
      <c r="Q1307" t="s">
        <v>342</v>
      </c>
      <c r="R1307" t="s">
        <v>586</v>
      </c>
      <c r="S1307" t="s">
        <v>295</v>
      </c>
      <c r="T1307" t="s">
        <v>301</v>
      </c>
    </row>
    <row r="1308" spans="1:20" x14ac:dyDescent="0.25">
      <c r="A1308">
        <v>9</v>
      </c>
      <c r="B1308">
        <v>181</v>
      </c>
      <c r="C1308" t="str">
        <f t="shared" si="152"/>
        <v>36</v>
      </c>
      <c r="D1308">
        <v>6412</v>
      </c>
      <c r="E1308" t="str">
        <f>"3F"</f>
        <v>3F</v>
      </c>
      <c r="F1308" t="str">
        <f>"041"</f>
        <v>041</v>
      </c>
      <c r="G1308">
        <v>9</v>
      </c>
      <c r="H1308" t="str">
        <f t="shared" si="153"/>
        <v>91</v>
      </c>
      <c r="I1308" t="str">
        <f t="shared" si="157"/>
        <v>1</v>
      </c>
      <c r="J1308" t="str">
        <f>"41"</f>
        <v>41</v>
      </c>
      <c r="K1308">
        <v>20181102</v>
      </c>
      <c r="L1308" t="str">
        <f t="shared" si="158"/>
        <v>074525</v>
      </c>
      <c r="M1308" t="str">
        <f t="shared" si="159"/>
        <v>84370</v>
      </c>
      <c r="N1308" t="s">
        <v>395</v>
      </c>
      <c r="O1308">
        <v>548.58000000000004</v>
      </c>
      <c r="P1308">
        <v>20181101</v>
      </c>
      <c r="Q1308" t="s">
        <v>400</v>
      </c>
      <c r="R1308" t="s">
        <v>587</v>
      </c>
      <c r="S1308" t="s">
        <v>295</v>
      </c>
      <c r="T1308" t="s">
        <v>106</v>
      </c>
    </row>
    <row r="1309" spans="1:20" x14ac:dyDescent="0.25">
      <c r="A1309">
        <v>9</v>
      </c>
      <c r="B1309">
        <v>181</v>
      </c>
      <c r="C1309" t="str">
        <f t="shared" si="152"/>
        <v>36</v>
      </c>
      <c r="D1309">
        <v>6412</v>
      </c>
      <c r="E1309" t="str">
        <f>"3G"</f>
        <v>3G</v>
      </c>
      <c r="F1309" t="str">
        <f>"001"</f>
        <v>001</v>
      </c>
      <c r="G1309">
        <v>9</v>
      </c>
      <c r="H1309" t="str">
        <f t="shared" si="153"/>
        <v>91</v>
      </c>
      <c r="I1309" t="str">
        <f t="shared" si="157"/>
        <v>1</v>
      </c>
      <c r="J1309" t="str">
        <f>"39"</f>
        <v>39</v>
      </c>
      <c r="K1309">
        <v>20181102</v>
      </c>
      <c r="L1309" t="str">
        <f t="shared" si="158"/>
        <v>074525</v>
      </c>
      <c r="M1309" t="str">
        <f t="shared" si="159"/>
        <v>84370</v>
      </c>
      <c r="N1309" t="s">
        <v>395</v>
      </c>
      <c r="O1309">
        <v>41.23</v>
      </c>
      <c r="P1309">
        <v>20181101</v>
      </c>
      <c r="Q1309" t="s">
        <v>588</v>
      </c>
      <c r="R1309" t="s">
        <v>443</v>
      </c>
      <c r="S1309" t="s">
        <v>295</v>
      </c>
      <c r="T1309" t="s">
        <v>301</v>
      </c>
    </row>
    <row r="1310" spans="1:20" x14ac:dyDescent="0.25">
      <c r="A1310">
        <v>9</v>
      </c>
      <c r="B1310">
        <v>181</v>
      </c>
      <c r="C1310" t="str">
        <f t="shared" si="152"/>
        <v>36</v>
      </c>
      <c r="D1310">
        <v>6412</v>
      </c>
      <c r="E1310" t="str">
        <f>"3T"</f>
        <v>3T</v>
      </c>
      <c r="F1310" t="str">
        <f>"001"</f>
        <v>001</v>
      </c>
      <c r="G1310">
        <v>9</v>
      </c>
      <c r="H1310" t="str">
        <f t="shared" si="153"/>
        <v>91</v>
      </c>
      <c r="I1310" t="str">
        <f t="shared" si="157"/>
        <v>1</v>
      </c>
      <c r="J1310" t="str">
        <f>"39"</f>
        <v>39</v>
      </c>
      <c r="K1310">
        <v>20181102</v>
      </c>
      <c r="L1310" t="str">
        <f t="shared" si="158"/>
        <v>074525</v>
      </c>
      <c r="M1310" t="str">
        <f t="shared" si="159"/>
        <v>84370</v>
      </c>
      <c r="N1310" t="s">
        <v>395</v>
      </c>
      <c r="O1310">
        <v>96.95</v>
      </c>
      <c r="P1310">
        <v>20181101</v>
      </c>
      <c r="Q1310" t="s">
        <v>419</v>
      </c>
      <c r="R1310" t="s">
        <v>589</v>
      </c>
      <c r="S1310" t="s">
        <v>295</v>
      </c>
      <c r="T1310" t="s">
        <v>301</v>
      </c>
    </row>
    <row r="1311" spans="1:20" x14ac:dyDescent="0.25">
      <c r="A1311">
        <v>9</v>
      </c>
      <c r="B1311">
        <v>181</v>
      </c>
      <c r="C1311" t="str">
        <f t="shared" si="152"/>
        <v>36</v>
      </c>
      <c r="D1311">
        <v>6412</v>
      </c>
      <c r="E1311" t="str">
        <f>"3Y"</f>
        <v>3Y</v>
      </c>
      <c r="F1311" t="str">
        <f>"001"</f>
        <v>001</v>
      </c>
      <c r="G1311">
        <v>9</v>
      </c>
      <c r="H1311" t="str">
        <f t="shared" si="153"/>
        <v>91</v>
      </c>
      <c r="I1311" t="str">
        <f t="shared" si="157"/>
        <v>1</v>
      </c>
      <c r="J1311" t="str">
        <f>"39"</f>
        <v>39</v>
      </c>
      <c r="K1311">
        <v>20181102</v>
      </c>
      <c r="L1311" t="str">
        <f t="shared" si="158"/>
        <v>074525</v>
      </c>
      <c r="M1311" t="str">
        <f t="shared" si="159"/>
        <v>84370</v>
      </c>
      <c r="N1311" t="s">
        <v>395</v>
      </c>
      <c r="O1311">
        <v>112.13</v>
      </c>
      <c r="P1311">
        <v>20181101</v>
      </c>
      <c r="Q1311" t="s">
        <v>350</v>
      </c>
      <c r="R1311" t="s">
        <v>441</v>
      </c>
      <c r="S1311" t="s">
        <v>295</v>
      </c>
      <c r="T1311" t="s">
        <v>301</v>
      </c>
    </row>
    <row r="1312" spans="1:20" x14ac:dyDescent="0.25">
      <c r="A1312">
        <v>9</v>
      </c>
      <c r="B1312">
        <v>181</v>
      </c>
      <c r="C1312" t="str">
        <f t="shared" si="152"/>
        <v>36</v>
      </c>
      <c r="D1312">
        <v>6219</v>
      </c>
      <c r="E1312" t="str">
        <f>"3Y"</f>
        <v>3Y</v>
      </c>
      <c r="F1312" t="str">
        <f>"001"</f>
        <v>001</v>
      </c>
      <c r="G1312">
        <v>9</v>
      </c>
      <c r="H1312" t="str">
        <f t="shared" si="153"/>
        <v>91</v>
      </c>
      <c r="I1312" t="str">
        <f t="shared" ref="I1312:I1325" si="160">"0"</f>
        <v>0</v>
      </c>
      <c r="J1312" t="str">
        <f>"39"</f>
        <v>39</v>
      </c>
      <c r="K1312">
        <v>20181102</v>
      </c>
      <c r="L1312" t="str">
        <f>"074526"</f>
        <v>074526</v>
      </c>
      <c r="M1312" t="str">
        <f>"84559"</f>
        <v>84559</v>
      </c>
      <c r="N1312" t="s">
        <v>590</v>
      </c>
      <c r="O1312">
        <v>115</v>
      </c>
      <c r="P1312">
        <v>20181101</v>
      </c>
      <c r="Q1312" t="s">
        <v>330</v>
      </c>
      <c r="R1312" t="s">
        <v>577</v>
      </c>
      <c r="S1312" t="s">
        <v>295</v>
      </c>
      <c r="T1312" t="s">
        <v>301</v>
      </c>
    </row>
    <row r="1313" spans="1:20" x14ac:dyDescent="0.25">
      <c r="A1313">
        <v>9</v>
      </c>
      <c r="B1313">
        <v>181</v>
      </c>
      <c r="C1313" t="str">
        <f t="shared" si="152"/>
        <v>36</v>
      </c>
      <c r="D1313">
        <v>6219</v>
      </c>
      <c r="E1313" t="str">
        <f>"3Y"</f>
        <v>3Y</v>
      </c>
      <c r="F1313" t="str">
        <f>"041"</f>
        <v>041</v>
      </c>
      <c r="G1313">
        <v>9</v>
      </c>
      <c r="H1313" t="str">
        <f t="shared" si="153"/>
        <v>91</v>
      </c>
      <c r="I1313" t="str">
        <f t="shared" si="160"/>
        <v>0</v>
      </c>
      <c r="J1313" t="str">
        <f>"41"</f>
        <v>41</v>
      </c>
      <c r="K1313">
        <v>20181102</v>
      </c>
      <c r="L1313" t="str">
        <f>"074527"</f>
        <v>074527</v>
      </c>
      <c r="M1313" t="str">
        <f>"00603"</f>
        <v>00603</v>
      </c>
      <c r="N1313" t="s">
        <v>591</v>
      </c>
      <c r="O1313">
        <v>85</v>
      </c>
      <c r="P1313">
        <v>20181101</v>
      </c>
      <c r="Q1313" t="s">
        <v>355</v>
      </c>
      <c r="R1313" t="s">
        <v>507</v>
      </c>
      <c r="S1313" t="s">
        <v>295</v>
      </c>
      <c r="T1313" t="s">
        <v>106</v>
      </c>
    </row>
    <row r="1314" spans="1:20" x14ac:dyDescent="0.25">
      <c r="A1314">
        <v>9</v>
      </c>
      <c r="B1314">
        <v>181</v>
      </c>
      <c r="C1314" t="str">
        <f t="shared" si="152"/>
        <v>36</v>
      </c>
      <c r="D1314">
        <v>6411</v>
      </c>
      <c r="E1314" t="str">
        <f>"33"</f>
        <v>33</v>
      </c>
      <c r="F1314" t="str">
        <f>"001"</f>
        <v>001</v>
      </c>
      <c r="G1314">
        <v>9</v>
      </c>
      <c r="H1314" t="str">
        <f t="shared" si="153"/>
        <v>91</v>
      </c>
      <c r="I1314" t="str">
        <f t="shared" si="160"/>
        <v>0</v>
      </c>
      <c r="J1314" t="str">
        <f>"39"</f>
        <v>39</v>
      </c>
      <c r="K1314">
        <v>20181109</v>
      </c>
      <c r="L1314" t="str">
        <f>"074531"</f>
        <v>074531</v>
      </c>
      <c r="M1314" t="str">
        <f>"40827"</f>
        <v>40827</v>
      </c>
      <c r="N1314" t="s">
        <v>592</v>
      </c>
      <c r="O1314">
        <v>126.26</v>
      </c>
      <c r="P1314">
        <v>20181109</v>
      </c>
      <c r="Q1314" t="s">
        <v>306</v>
      </c>
      <c r="R1314" t="s">
        <v>593</v>
      </c>
      <c r="S1314" t="s">
        <v>295</v>
      </c>
      <c r="T1314" t="s">
        <v>301</v>
      </c>
    </row>
    <row r="1315" spans="1:20" x14ac:dyDescent="0.25">
      <c r="A1315">
        <v>9</v>
      </c>
      <c r="B1315">
        <v>181</v>
      </c>
      <c r="C1315" t="str">
        <f t="shared" si="152"/>
        <v>36</v>
      </c>
      <c r="D1315">
        <v>6399</v>
      </c>
      <c r="E1315" t="str">
        <f>"3A"</f>
        <v>3A</v>
      </c>
      <c r="F1315" t="str">
        <f>"001"</f>
        <v>001</v>
      </c>
      <c r="G1315">
        <v>9</v>
      </c>
      <c r="H1315" t="str">
        <f t="shared" si="153"/>
        <v>91</v>
      </c>
      <c r="I1315" t="str">
        <f t="shared" si="160"/>
        <v>0</v>
      </c>
      <c r="J1315" t="str">
        <f>"39"</f>
        <v>39</v>
      </c>
      <c r="K1315">
        <v>20181109</v>
      </c>
      <c r="L1315" t="str">
        <f>"074537"</f>
        <v>074537</v>
      </c>
      <c r="M1315" t="str">
        <f>"10020"</f>
        <v>10020</v>
      </c>
      <c r="N1315" t="s">
        <v>594</v>
      </c>
      <c r="O1315">
        <v>994.3</v>
      </c>
      <c r="P1315">
        <v>20181107</v>
      </c>
      <c r="Q1315" t="s">
        <v>595</v>
      </c>
      <c r="R1315" t="s">
        <v>596</v>
      </c>
      <c r="S1315" t="s">
        <v>295</v>
      </c>
      <c r="T1315" t="s">
        <v>301</v>
      </c>
    </row>
    <row r="1316" spans="1:20" x14ac:dyDescent="0.25">
      <c r="A1316">
        <v>9</v>
      </c>
      <c r="B1316">
        <v>181</v>
      </c>
      <c r="C1316" t="str">
        <f t="shared" si="152"/>
        <v>36</v>
      </c>
      <c r="D1316">
        <v>6399</v>
      </c>
      <c r="E1316" t="str">
        <f>"3C"</f>
        <v>3C</v>
      </c>
      <c r="F1316" t="str">
        <f>"041"</f>
        <v>041</v>
      </c>
      <c r="G1316">
        <v>9</v>
      </c>
      <c r="H1316" t="str">
        <f t="shared" si="153"/>
        <v>91</v>
      </c>
      <c r="I1316" t="str">
        <f t="shared" si="160"/>
        <v>0</v>
      </c>
      <c r="J1316" t="str">
        <f>"41"</f>
        <v>41</v>
      </c>
      <c r="K1316">
        <v>20181109</v>
      </c>
      <c r="L1316" t="str">
        <f>"074537"</f>
        <v>074537</v>
      </c>
      <c r="M1316" t="str">
        <f>"10020"</f>
        <v>10020</v>
      </c>
      <c r="N1316" t="s">
        <v>594</v>
      </c>
      <c r="O1316">
        <v>296.62</v>
      </c>
      <c r="P1316">
        <v>20181107</v>
      </c>
      <c r="Q1316" t="s">
        <v>597</v>
      </c>
      <c r="R1316" t="s">
        <v>598</v>
      </c>
      <c r="S1316" t="s">
        <v>295</v>
      </c>
      <c r="T1316" t="s">
        <v>106</v>
      </c>
    </row>
    <row r="1317" spans="1:20" x14ac:dyDescent="0.25">
      <c r="A1317">
        <v>9</v>
      </c>
      <c r="B1317">
        <v>181</v>
      </c>
      <c r="C1317" t="str">
        <f t="shared" si="152"/>
        <v>36</v>
      </c>
      <c r="D1317">
        <v>6399</v>
      </c>
      <c r="E1317" t="str">
        <f>"3D"</f>
        <v>3D</v>
      </c>
      <c r="F1317" t="str">
        <f>"041"</f>
        <v>041</v>
      </c>
      <c r="G1317">
        <v>9</v>
      </c>
      <c r="H1317" t="str">
        <f t="shared" si="153"/>
        <v>91</v>
      </c>
      <c r="I1317" t="str">
        <f t="shared" si="160"/>
        <v>0</v>
      </c>
      <c r="J1317" t="str">
        <f>"41"</f>
        <v>41</v>
      </c>
      <c r="K1317">
        <v>20181109</v>
      </c>
      <c r="L1317" t="str">
        <f>"074537"</f>
        <v>074537</v>
      </c>
      <c r="M1317" t="str">
        <f>"10020"</f>
        <v>10020</v>
      </c>
      <c r="N1317" t="s">
        <v>594</v>
      </c>
      <c r="O1317">
        <v>336.67</v>
      </c>
      <c r="P1317">
        <v>20181107</v>
      </c>
      <c r="Q1317" t="s">
        <v>599</v>
      </c>
      <c r="R1317" t="s">
        <v>600</v>
      </c>
      <c r="S1317" t="s">
        <v>295</v>
      </c>
      <c r="T1317" t="s">
        <v>106</v>
      </c>
    </row>
    <row r="1318" spans="1:20" x14ac:dyDescent="0.25">
      <c r="A1318">
        <v>9</v>
      </c>
      <c r="B1318">
        <v>181</v>
      </c>
      <c r="C1318" t="str">
        <f t="shared" si="152"/>
        <v>36</v>
      </c>
      <c r="D1318">
        <v>6399</v>
      </c>
      <c r="E1318" t="str">
        <f>"3J"</f>
        <v>3J</v>
      </c>
      <c r="F1318" t="str">
        <f>"041"</f>
        <v>041</v>
      </c>
      <c r="G1318">
        <v>9</v>
      </c>
      <c r="H1318" t="str">
        <f t="shared" si="153"/>
        <v>91</v>
      </c>
      <c r="I1318" t="str">
        <f t="shared" si="160"/>
        <v>0</v>
      </c>
      <c r="J1318" t="str">
        <f>"41"</f>
        <v>41</v>
      </c>
      <c r="K1318">
        <v>20181109</v>
      </c>
      <c r="L1318" t="str">
        <f>"074537"</f>
        <v>074537</v>
      </c>
      <c r="M1318" t="str">
        <f>"10020"</f>
        <v>10020</v>
      </c>
      <c r="N1318" t="s">
        <v>594</v>
      </c>
      <c r="O1318">
        <v>67.5</v>
      </c>
      <c r="P1318">
        <v>20181107</v>
      </c>
      <c r="Q1318" t="s">
        <v>601</v>
      </c>
      <c r="R1318" t="s">
        <v>602</v>
      </c>
      <c r="S1318" t="s">
        <v>295</v>
      </c>
      <c r="T1318" t="s">
        <v>106</v>
      </c>
    </row>
    <row r="1319" spans="1:20" x14ac:dyDescent="0.25">
      <c r="A1319">
        <v>9</v>
      </c>
      <c r="B1319">
        <v>181</v>
      </c>
      <c r="C1319" t="str">
        <f t="shared" si="152"/>
        <v>36</v>
      </c>
      <c r="D1319">
        <v>6399</v>
      </c>
      <c r="E1319" t="str">
        <f>"3Y"</f>
        <v>3Y</v>
      </c>
      <c r="F1319" t="str">
        <f>"041"</f>
        <v>041</v>
      </c>
      <c r="G1319">
        <v>9</v>
      </c>
      <c r="H1319" t="str">
        <f t="shared" si="153"/>
        <v>91</v>
      </c>
      <c r="I1319" t="str">
        <f t="shared" si="160"/>
        <v>0</v>
      </c>
      <c r="J1319" t="str">
        <f>"41"</f>
        <v>41</v>
      </c>
      <c r="K1319">
        <v>20181109</v>
      </c>
      <c r="L1319" t="str">
        <f>"074537"</f>
        <v>074537</v>
      </c>
      <c r="M1319" t="str">
        <f>"10020"</f>
        <v>10020</v>
      </c>
      <c r="N1319" t="s">
        <v>594</v>
      </c>
      <c r="O1319">
        <v>452.56</v>
      </c>
      <c r="P1319">
        <v>20181107</v>
      </c>
      <c r="Q1319" t="s">
        <v>603</v>
      </c>
      <c r="R1319" t="s">
        <v>600</v>
      </c>
      <c r="S1319" t="s">
        <v>295</v>
      </c>
      <c r="T1319" t="s">
        <v>106</v>
      </c>
    </row>
    <row r="1320" spans="1:20" x14ac:dyDescent="0.25">
      <c r="A1320">
        <v>9</v>
      </c>
      <c r="B1320">
        <v>181</v>
      </c>
      <c r="C1320" t="str">
        <f t="shared" ref="C1320:C1351" si="161">"36"</f>
        <v>36</v>
      </c>
      <c r="D1320">
        <v>6219</v>
      </c>
      <c r="E1320" t="str">
        <f>"3F"</f>
        <v>3F</v>
      </c>
      <c r="F1320" t="str">
        <f>"001"</f>
        <v>001</v>
      </c>
      <c r="G1320">
        <v>9</v>
      </c>
      <c r="H1320" t="str">
        <f t="shared" ref="H1320:H1351" si="162">"91"</f>
        <v>91</v>
      </c>
      <c r="I1320" t="str">
        <f t="shared" si="160"/>
        <v>0</v>
      </c>
      <c r="J1320" t="str">
        <f>"39"</f>
        <v>39</v>
      </c>
      <c r="K1320">
        <v>20181109</v>
      </c>
      <c r="L1320" t="str">
        <f>"074538"</f>
        <v>074538</v>
      </c>
      <c r="M1320" t="str">
        <f>"10185"</f>
        <v>10185</v>
      </c>
      <c r="N1320" t="s">
        <v>604</v>
      </c>
      <c r="O1320">
        <v>65</v>
      </c>
      <c r="P1320">
        <v>20181107</v>
      </c>
      <c r="Q1320" t="s">
        <v>333</v>
      </c>
      <c r="R1320" t="s">
        <v>605</v>
      </c>
      <c r="S1320" t="s">
        <v>295</v>
      </c>
      <c r="T1320" t="s">
        <v>301</v>
      </c>
    </row>
    <row r="1321" spans="1:20" x14ac:dyDescent="0.25">
      <c r="A1321">
        <v>9</v>
      </c>
      <c r="B1321">
        <v>181</v>
      </c>
      <c r="C1321" t="str">
        <f t="shared" si="161"/>
        <v>36</v>
      </c>
      <c r="D1321">
        <v>6219</v>
      </c>
      <c r="E1321" t="str">
        <f>"3Y"</f>
        <v>3Y</v>
      </c>
      <c r="F1321" t="str">
        <f>"001"</f>
        <v>001</v>
      </c>
      <c r="G1321">
        <v>9</v>
      </c>
      <c r="H1321" t="str">
        <f t="shared" si="162"/>
        <v>91</v>
      </c>
      <c r="I1321" t="str">
        <f t="shared" si="160"/>
        <v>0</v>
      </c>
      <c r="J1321" t="str">
        <f>"39"</f>
        <v>39</v>
      </c>
      <c r="K1321">
        <v>20181109</v>
      </c>
      <c r="L1321" t="str">
        <f>"074545"</f>
        <v>074545</v>
      </c>
      <c r="M1321" t="str">
        <f>"19069"</f>
        <v>19069</v>
      </c>
      <c r="N1321" t="s">
        <v>606</v>
      </c>
      <c r="O1321">
        <v>115</v>
      </c>
      <c r="P1321">
        <v>20181107</v>
      </c>
      <c r="Q1321" t="s">
        <v>330</v>
      </c>
      <c r="R1321" t="s">
        <v>607</v>
      </c>
      <c r="S1321" t="s">
        <v>295</v>
      </c>
      <c r="T1321" t="s">
        <v>301</v>
      </c>
    </row>
    <row r="1322" spans="1:20" x14ac:dyDescent="0.25">
      <c r="A1322">
        <v>9</v>
      </c>
      <c r="B1322">
        <v>181</v>
      </c>
      <c r="C1322" t="str">
        <f t="shared" si="161"/>
        <v>36</v>
      </c>
      <c r="D1322">
        <v>6219</v>
      </c>
      <c r="E1322" t="str">
        <f>"3S"</f>
        <v>3S</v>
      </c>
      <c r="F1322" t="str">
        <f>"001"</f>
        <v>001</v>
      </c>
      <c r="G1322">
        <v>9</v>
      </c>
      <c r="H1322" t="str">
        <f t="shared" si="162"/>
        <v>91</v>
      </c>
      <c r="I1322" t="str">
        <f t="shared" si="160"/>
        <v>0</v>
      </c>
      <c r="J1322" t="str">
        <f>"39"</f>
        <v>39</v>
      </c>
      <c r="K1322">
        <v>20181109</v>
      </c>
      <c r="L1322" t="str">
        <f>"074549"</f>
        <v>074549</v>
      </c>
      <c r="M1322" t="str">
        <f>"00187"</f>
        <v>00187</v>
      </c>
      <c r="N1322" t="s">
        <v>608</v>
      </c>
      <c r="O1322">
        <v>30</v>
      </c>
      <c r="P1322">
        <v>20181107</v>
      </c>
      <c r="Q1322" t="s">
        <v>609</v>
      </c>
      <c r="R1322" t="s">
        <v>610</v>
      </c>
      <c r="S1322" t="s">
        <v>295</v>
      </c>
      <c r="T1322" t="s">
        <v>301</v>
      </c>
    </row>
    <row r="1323" spans="1:20" x14ac:dyDescent="0.25">
      <c r="A1323">
        <v>9</v>
      </c>
      <c r="B1323">
        <v>181</v>
      </c>
      <c r="C1323" t="str">
        <f t="shared" si="161"/>
        <v>36</v>
      </c>
      <c r="D1323">
        <v>6219</v>
      </c>
      <c r="E1323" t="str">
        <f>"3Y"</f>
        <v>3Y</v>
      </c>
      <c r="F1323" t="str">
        <f>"001"</f>
        <v>001</v>
      </c>
      <c r="G1323">
        <v>9</v>
      </c>
      <c r="H1323" t="str">
        <f t="shared" si="162"/>
        <v>91</v>
      </c>
      <c r="I1323" t="str">
        <f t="shared" si="160"/>
        <v>0</v>
      </c>
      <c r="J1323" t="str">
        <f>"39"</f>
        <v>39</v>
      </c>
      <c r="K1323">
        <v>20181109</v>
      </c>
      <c r="L1323" t="str">
        <f>"074552"</f>
        <v>074552</v>
      </c>
      <c r="M1323" t="str">
        <f>"19294"</f>
        <v>19294</v>
      </c>
      <c r="N1323" t="s">
        <v>329</v>
      </c>
      <c r="O1323">
        <v>100</v>
      </c>
      <c r="P1323">
        <v>20181107</v>
      </c>
      <c r="Q1323" t="s">
        <v>330</v>
      </c>
      <c r="R1323" t="s">
        <v>607</v>
      </c>
      <c r="S1323" t="s">
        <v>295</v>
      </c>
      <c r="T1323" t="s">
        <v>301</v>
      </c>
    </row>
    <row r="1324" spans="1:20" x14ac:dyDescent="0.25">
      <c r="A1324">
        <v>9</v>
      </c>
      <c r="B1324">
        <v>181</v>
      </c>
      <c r="C1324" t="str">
        <f t="shared" si="161"/>
        <v>36</v>
      </c>
      <c r="D1324">
        <v>6219</v>
      </c>
      <c r="E1324" t="str">
        <f>"3F"</f>
        <v>3F</v>
      </c>
      <c r="F1324" t="str">
        <f>"001"</f>
        <v>001</v>
      </c>
      <c r="G1324">
        <v>9</v>
      </c>
      <c r="H1324" t="str">
        <f t="shared" si="162"/>
        <v>91</v>
      </c>
      <c r="I1324" t="str">
        <f t="shared" si="160"/>
        <v>0</v>
      </c>
      <c r="J1324" t="str">
        <f>"39"</f>
        <v>39</v>
      </c>
      <c r="K1324">
        <v>20181109</v>
      </c>
      <c r="L1324" t="str">
        <f>"074556"</f>
        <v>074556</v>
      </c>
      <c r="M1324" t="str">
        <f>"20433"</f>
        <v>20433</v>
      </c>
      <c r="N1324" t="s">
        <v>332</v>
      </c>
      <c r="O1324">
        <v>50</v>
      </c>
      <c r="P1324">
        <v>20181107</v>
      </c>
      <c r="Q1324" t="s">
        <v>333</v>
      </c>
      <c r="R1324" t="s">
        <v>445</v>
      </c>
      <c r="S1324" t="s">
        <v>295</v>
      </c>
      <c r="T1324" t="s">
        <v>301</v>
      </c>
    </row>
    <row r="1325" spans="1:20" x14ac:dyDescent="0.25">
      <c r="A1325">
        <v>9</v>
      </c>
      <c r="B1325">
        <v>181</v>
      </c>
      <c r="C1325" t="str">
        <f t="shared" si="161"/>
        <v>36</v>
      </c>
      <c r="D1325">
        <v>6219</v>
      </c>
      <c r="E1325" t="str">
        <f>"3F"</f>
        <v>3F</v>
      </c>
      <c r="F1325" t="str">
        <f>"041"</f>
        <v>041</v>
      </c>
      <c r="G1325">
        <v>9</v>
      </c>
      <c r="H1325" t="str">
        <f t="shared" si="162"/>
        <v>91</v>
      </c>
      <c r="I1325" t="str">
        <f t="shared" si="160"/>
        <v>0</v>
      </c>
      <c r="J1325" t="str">
        <f>"41"</f>
        <v>41</v>
      </c>
      <c r="K1325">
        <v>20181109</v>
      </c>
      <c r="L1325" t="str">
        <f>"074556"</f>
        <v>074556</v>
      </c>
      <c r="M1325" t="str">
        <f>"20433"</f>
        <v>20433</v>
      </c>
      <c r="N1325" t="s">
        <v>332</v>
      </c>
      <c r="O1325">
        <v>50</v>
      </c>
      <c r="P1325">
        <v>20181107</v>
      </c>
      <c r="Q1325" t="s">
        <v>339</v>
      </c>
      <c r="R1325" t="s">
        <v>611</v>
      </c>
      <c r="S1325" t="s">
        <v>295</v>
      </c>
      <c r="T1325" t="s">
        <v>106</v>
      </c>
    </row>
    <row r="1326" spans="1:20" x14ac:dyDescent="0.25">
      <c r="A1326">
        <v>9</v>
      </c>
      <c r="B1326">
        <v>181</v>
      </c>
      <c r="C1326" t="str">
        <f t="shared" si="161"/>
        <v>36</v>
      </c>
      <c r="D1326">
        <v>6412</v>
      </c>
      <c r="E1326" t="str">
        <f>"09"</f>
        <v>09</v>
      </c>
      <c r="F1326" t="str">
        <f t="shared" ref="F1326:F1334" si="163">"001"</f>
        <v>001</v>
      </c>
      <c r="G1326">
        <v>9</v>
      </c>
      <c r="H1326" t="str">
        <f t="shared" si="162"/>
        <v>91</v>
      </c>
      <c r="I1326" t="str">
        <f>"T"</f>
        <v>T</v>
      </c>
      <c r="J1326" t="str">
        <f t="shared" ref="J1326:J1334" si="164">"39"</f>
        <v>39</v>
      </c>
      <c r="K1326">
        <v>20181109</v>
      </c>
      <c r="L1326" t="str">
        <f>"074558"</f>
        <v>074558</v>
      </c>
      <c r="M1326" t="str">
        <f>"20463"</f>
        <v>20463</v>
      </c>
      <c r="N1326" t="s">
        <v>509</v>
      </c>
      <c r="O1326">
        <v>168.48</v>
      </c>
      <c r="P1326">
        <v>20181107</v>
      </c>
      <c r="Q1326" t="s">
        <v>544</v>
      </c>
      <c r="R1326" t="s">
        <v>612</v>
      </c>
      <c r="S1326" t="s">
        <v>295</v>
      </c>
      <c r="T1326" t="s">
        <v>301</v>
      </c>
    </row>
    <row r="1327" spans="1:20" x14ac:dyDescent="0.25">
      <c r="A1327">
        <v>9</v>
      </c>
      <c r="B1327">
        <v>181</v>
      </c>
      <c r="C1327" t="str">
        <f t="shared" si="161"/>
        <v>36</v>
      </c>
      <c r="D1327">
        <v>6399</v>
      </c>
      <c r="E1327" t="str">
        <f>"38"</f>
        <v>38</v>
      </c>
      <c r="F1327" t="str">
        <f t="shared" si="163"/>
        <v>001</v>
      </c>
      <c r="G1327">
        <v>9</v>
      </c>
      <c r="H1327" t="str">
        <f t="shared" si="162"/>
        <v>91</v>
      </c>
      <c r="I1327" t="str">
        <f>"0"</f>
        <v>0</v>
      </c>
      <c r="J1327" t="str">
        <f t="shared" si="164"/>
        <v>39</v>
      </c>
      <c r="K1327">
        <v>20181109</v>
      </c>
      <c r="L1327" t="str">
        <f>"074563"</f>
        <v>074563</v>
      </c>
      <c r="M1327" t="str">
        <f>"21776"</f>
        <v>21776</v>
      </c>
      <c r="N1327" t="s">
        <v>613</v>
      </c>
      <c r="O1327">
        <v>495</v>
      </c>
      <c r="P1327">
        <v>20181107</v>
      </c>
      <c r="Q1327" t="s">
        <v>462</v>
      </c>
      <c r="R1327" t="s">
        <v>614</v>
      </c>
      <c r="S1327" t="s">
        <v>295</v>
      </c>
      <c r="T1327" t="s">
        <v>301</v>
      </c>
    </row>
    <row r="1328" spans="1:20" x14ac:dyDescent="0.25">
      <c r="A1328">
        <v>9</v>
      </c>
      <c r="B1328">
        <v>181</v>
      </c>
      <c r="C1328" t="str">
        <f t="shared" si="161"/>
        <v>36</v>
      </c>
      <c r="D1328">
        <v>6219</v>
      </c>
      <c r="E1328" t="str">
        <f>"3F"</f>
        <v>3F</v>
      </c>
      <c r="F1328" t="str">
        <f t="shared" si="163"/>
        <v>001</v>
      </c>
      <c r="G1328">
        <v>9</v>
      </c>
      <c r="H1328" t="str">
        <f t="shared" si="162"/>
        <v>91</v>
      </c>
      <c r="I1328" t="str">
        <f>"0"</f>
        <v>0</v>
      </c>
      <c r="J1328" t="str">
        <f t="shared" si="164"/>
        <v>39</v>
      </c>
      <c r="K1328">
        <v>20181109</v>
      </c>
      <c r="L1328" t="str">
        <f>"074564"</f>
        <v>074564</v>
      </c>
      <c r="M1328" t="str">
        <f>"00617"</f>
        <v>00617</v>
      </c>
      <c r="N1328" t="s">
        <v>615</v>
      </c>
      <c r="O1328">
        <v>130</v>
      </c>
      <c r="P1328">
        <v>20181108</v>
      </c>
      <c r="Q1328" t="s">
        <v>333</v>
      </c>
      <c r="R1328" t="s">
        <v>445</v>
      </c>
      <c r="S1328" t="s">
        <v>295</v>
      </c>
      <c r="T1328" t="s">
        <v>301</v>
      </c>
    </row>
    <row r="1329" spans="1:20" x14ac:dyDescent="0.25">
      <c r="A1329">
        <v>9</v>
      </c>
      <c r="B1329">
        <v>181</v>
      </c>
      <c r="C1329" t="str">
        <f t="shared" si="161"/>
        <v>36</v>
      </c>
      <c r="D1329">
        <v>6219</v>
      </c>
      <c r="E1329" t="str">
        <f>"3Y"</f>
        <v>3Y</v>
      </c>
      <c r="F1329" t="str">
        <f t="shared" si="163"/>
        <v>001</v>
      </c>
      <c r="G1329">
        <v>9</v>
      </c>
      <c r="H1329" t="str">
        <f t="shared" si="162"/>
        <v>91</v>
      </c>
      <c r="I1329" t="str">
        <f>"0"</f>
        <v>0</v>
      </c>
      <c r="J1329" t="str">
        <f t="shared" si="164"/>
        <v>39</v>
      </c>
      <c r="K1329">
        <v>20181109</v>
      </c>
      <c r="L1329" t="str">
        <f>"074566"</f>
        <v>074566</v>
      </c>
      <c r="M1329" t="str">
        <f>"00591"</f>
        <v>00591</v>
      </c>
      <c r="N1329" t="s">
        <v>520</v>
      </c>
      <c r="O1329">
        <v>100</v>
      </c>
      <c r="P1329">
        <v>20181108</v>
      </c>
      <c r="Q1329" t="s">
        <v>330</v>
      </c>
      <c r="R1329" t="s">
        <v>607</v>
      </c>
      <c r="S1329" t="s">
        <v>295</v>
      </c>
      <c r="T1329" t="s">
        <v>301</v>
      </c>
    </row>
    <row r="1330" spans="1:20" x14ac:dyDescent="0.25">
      <c r="A1330">
        <v>9</v>
      </c>
      <c r="B1330">
        <v>181</v>
      </c>
      <c r="C1330" t="str">
        <f t="shared" si="161"/>
        <v>36</v>
      </c>
      <c r="D1330">
        <v>6219</v>
      </c>
      <c r="E1330" t="str">
        <f>"3F"</f>
        <v>3F</v>
      </c>
      <c r="F1330" t="str">
        <f t="shared" si="163"/>
        <v>001</v>
      </c>
      <c r="G1330">
        <v>9</v>
      </c>
      <c r="H1330" t="str">
        <f t="shared" si="162"/>
        <v>91</v>
      </c>
      <c r="I1330" t="str">
        <f>"1"</f>
        <v>1</v>
      </c>
      <c r="J1330" t="str">
        <f t="shared" si="164"/>
        <v>39</v>
      </c>
      <c r="K1330">
        <v>20181109</v>
      </c>
      <c r="L1330" t="str">
        <f>"074569"</f>
        <v>074569</v>
      </c>
      <c r="M1330" t="str">
        <f>"26337"</f>
        <v>26337</v>
      </c>
      <c r="N1330" t="s">
        <v>481</v>
      </c>
      <c r="O1330">
        <v>128</v>
      </c>
      <c r="P1330">
        <v>20181108</v>
      </c>
      <c r="Q1330" t="s">
        <v>327</v>
      </c>
      <c r="R1330" t="s">
        <v>445</v>
      </c>
      <c r="S1330" t="s">
        <v>295</v>
      </c>
      <c r="T1330" t="s">
        <v>301</v>
      </c>
    </row>
    <row r="1331" spans="1:20" x14ac:dyDescent="0.25">
      <c r="A1331">
        <v>9</v>
      </c>
      <c r="B1331">
        <v>181</v>
      </c>
      <c r="C1331" t="str">
        <f t="shared" si="161"/>
        <v>36</v>
      </c>
      <c r="D1331">
        <v>6411</v>
      </c>
      <c r="E1331" t="str">
        <f>"33"</f>
        <v>33</v>
      </c>
      <c r="F1331" t="str">
        <f t="shared" si="163"/>
        <v>001</v>
      </c>
      <c r="G1331">
        <v>9</v>
      </c>
      <c r="H1331" t="str">
        <f t="shared" si="162"/>
        <v>91</v>
      </c>
      <c r="I1331" t="str">
        <f>"0"</f>
        <v>0</v>
      </c>
      <c r="J1331" t="str">
        <f t="shared" si="164"/>
        <v>39</v>
      </c>
      <c r="K1331">
        <v>20181109</v>
      </c>
      <c r="L1331" t="str">
        <f>"074572"</f>
        <v>074572</v>
      </c>
      <c r="M1331" t="str">
        <f>"28680"</f>
        <v>28680</v>
      </c>
      <c r="N1331" t="s">
        <v>482</v>
      </c>
      <c r="O1331">
        <v>52</v>
      </c>
      <c r="P1331">
        <v>20181108</v>
      </c>
      <c r="Q1331" t="s">
        <v>306</v>
      </c>
      <c r="R1331" t="s">
        <v>572</v>
      </c>
      <c r="S1331" t="s">
        <v>295</v>
      </c>
      <c r="T1331" t="s">
        <v>301</v>
      </c>
    </row>
    <row r="1332" spans="1:20" x14ac:dyDescent="0.25">
      <c r="A1332">
        <v>9</v>
      </c>
      <c r="B1332">
        <v>181</v>
      </c>
      <c r="C1332" t="str">
        <f t="shared" si="161"/>
        <v>36</v>
      </c>
      <c r="D1332">
        <v>6411</v>
      </c>
      <c r="E1332" t="str">
        <f>"33"</f>
        <v>33</v>
      </c>
      <c r="F1332" t="str">
        <f t="shared" si="163"/>
        <v>001</v>
      </c>
      <c r="G1332">
        <v>9</v>
      </c>
      <c r="H1332" t="str">
        <f t="shared" si="162"/>
        <v>91</v>
      </c>
      <c r="I1332" t="str">
        <f>"0"</f>
        <v>0</v>
      </c>
      <c r="J1332" t="str">
        <f t="shared" si="164"/>
        <v>39</v>
      </c>
      <c r="K1332">
        <v>20181109</v>
      </c>
      <c r="L1332" t="str">
        <f>"074572"</f>
        <v>074572</v>
      </c>
      <c r="M1332" t="str">
        <f>"28680"</f>
        <v>28680</v>
      </c>
      <c r="N1332" t="s">
        <v>482</v>
      </c>
      <c r="O1332">
        <v>52</v>
      </c>
      <c r="P1332">
        <v>20181108</v>
      </c>
      <c r="Q1332" t="s">
        <v>306</v>
      </c>
      <c r="R1332" t="s">
        <v>573</v>
      </c>
      <c r="S1332" t="s">
        <v>295</v>
      </c>
      <c r="T1332" t="s">
        <v>301</v>
      </c>
    </row>
    <row r="1333" spans="1:20" x14ac:dyDescent="0.25">
      <c r="A1333">
        <v>9</v>
      </c>
      <c r="B1333">
        <v>181</v>
      </c>
      <c r="C1333" t="str">
        <f t="shared" si="161"/>
        <v>36</v>
      </c>
      <c r="D1333">
        <v>6411</v>
      </c>
      <c r="E1333" t="str">
        <f>"33"</f>
        <v>33</v>
      </c>
      <c r="F1333" t="str">
        <f t="shared" si="163"/>
        <v>001</v>
      </c>
      <c r="G1333">
        <v>9</v>
      </c>
      <c r="H1333" t="str">
        <f t="shared" si="162"/>
        <v>91</v>
      </c>
      <c r="I1333" t="str">
        <f>"0"</f>
        <v>0</v>
      </c>
      <c r="J1333" t="str">
        <f t="shared" si="164"/>
        <v>39</v>
      </c>
      <c r="K1333">
        <v>20181109</v>
      </c>
      <c r="L1333" t="str">
        <f>"074572"</f>
        <v>074572</v>
      </c>
      <c r="M1333" t="str">
        <f>"28680"</f>
        <v>28680</v>
      </c>
      <c r="N1333" t="s">
        <v>482</v>
      </c>
      <c r="O1333">
        <v>52</v>
      </c>
      <c r="P1333">
        <v>20181108</v>
      </c>
      <c r="Q1333" t="s">
        <v>306</v>
      </c>
      <c r="R1333" t="s">
        <v>616</v>
      </c>
      <c r="S1333" t="s">
        <v>295</v>
      </c>
      <c r="T1333" t="s">
        <v>301</v>
      </c>
    </row>
    <row r="1334" spans="1:20" x14ac:dyDescent="0.25">
      <c r="A1334">
        <v>9</v>
      </c>
      <c r="B1334">
        <v>181</v>
      </c>
      <c r="C1334" t="str">
        <f t="shared" si="161"/>
        <v>36</v>
      </c>
      <c r="D1334">
        <v>6412</v>
      </c>
      <c r="E1334" t="str">
        <f>"3G"</f>
        <v>3G</v>
      </c>
      <c r="F1334" t="str">
        <f t="shared" si="163"/>
        <v>001</v>
      </c>
      <c r="G1334">
        <v>9</v>
      </c>
      <c r="H1334" t="str">
        <f t="shared" si="162"/>
        <v>91</v>
      </c>
      <c r="I1334" t="str">
        <f>"3"</f>
        <v>3</v>
      </c>
      <c r="J1334" t="str">
        <f t="shared" si="164"/>
        <v>39</v>
      </c>
      <c r="K1334">
        <v>20181109</v>
      </c>
      <c r="L1334" t="str">
        <f>"074572"</f>
        <v>074572</v>
      </c>
      <c r="M1334" t="str">
        <f>"28680"</f>
        <v>28680</v>
      </c>
      <c r="N1334" t="s">
        <v>482</v>
      </c>
      <c r="O1334">
        <v>62.28</v>
      </c>
      <c r="P1334">
        <v>20181108</v>
      </c>
      <c r="Q1334" t="s">
        <v>483</v>
      </c>
      <c r="R1334" t="s">
        <v>443</v>
      </c>
      <c r="S1334" t="s">
        <v>295</v>
      </c>
      <c r="T1334" t="s">
        <v>301</v>
      </c>
    </row>
    <row r="1335" spans="1:20" x14ac:dyDescent="0.25">
      <c r="A1335">
        <v>9</v>
      </c>
      <c r="B1335">
        <v>181</v>
      </c>
      <c r="C1335" t="str">
        <f t="shared" si="161"/>
        <v>36</v>
      </c>
      <c r="D1335">
        <v>6219</v>
      </c>
      <c r="E1335" t="str">
        <f>"3F"</f>
        <v>3F</v>
      </c>
      <c r="F1335" t="str">
        <f>"041"</f>
        <v>041</v>
      </c>
      <c r="G1335">
        <v>9</v>
      </c>
      <c r="H1335" t="str">
        <f t="shared" si="162"/>
        <v>91</v>
      </c>
      <c r="I1335" t="str">
        <f>"0"</f>
        <v>0</v>
      </c>
      <c r="J1335" t="str">
        <f>"41"</f>
        <v>41</v>
      </c>
      <c r="K1335">
        <v>20181109</v>
      </c>
      <c r="L1335" t="str">
        <f>"074574"</f>
        <v>074574</v>
      </c>
      <c r="M1335" t="str">
        <f>"28706"</f>
        <v>28706</v>
      </c>
      <c r="N1335" t="s">
        <v>617</v>
      </c>
      <c r="O1335">
        <v>150</v>
      </c>
      <c r="P1335">
        <v>20181108</v>
      </c>
      <c r="Q1335" t="s">
        <v>339</v>
      </c>
      <c r="R1335" t="s">
        <v>611</v>
      </c>
      <c r="S1335" t="s">
        <v>295</v>
      </c>
      <c r="T1335" t="s">
        <v>106</v>
      </c>
    </row>
    <row r="1336" spans="1:20" x14ac:dyDescent="0.25">
      <c r="A1336">
        <v>9</v>
      </c>
      <c r="B1336">
        <v>181</v>
      </c>
      <c r="C1336" t="str">
        <f t="shared" si="161"/>
        <v>36</v>
      </c>
      <c r="D1336">
        <v>6219</v>
      </c>
      <c r="E1336" t="str">
        <f>"3Y"</f>
        <v>3Y</v>
      </c>
      <c r="F1336" t="str">
        <f t="shared" ref="F1336:F1344" si="165">"001"</f>
        <v>001</v>
      </c>
      <c r="G1336">
        <v>9</v>
      </c>
      <c r="H1336" t="str">
        <f t="shared" si="162"/>
        <v>91</v>
      </c>
      <c r="I1336" t="str">
        <f>"0"</f>
        <v>0</v>
      </c>
      <c r="J1336" t="str">
        <f t="shared" ref="J1336:J1344" si="166">"39"</f>
        <v>39</v>
      </c>
      <c r="K1336">
        <v>20181109</v>
      </c>
      <c r="L1336" t="str">
        <f>"074575"</f>
        <v>074575</v>
      </c>
      <c r="M1336" t="str">
        <f>"00609"</f>
        <v>00609</v>
      </c>
      <c r="N1336" t="s">
        <v>618</v>
      </c>
      <c r="O1336">
        <v>100</v>
      </c>
      <c r="P1336">
        <v>20181108</v>
      </c>
      <c r="Q1336" t="s">
        <v>330</v>
      </c>
      <c r="R1336" t="s">
        <v>470</v>
      </c>
      <c r="S1336" t="s">
        <v>295</v>
      </c>
      <c r="T1336" t="s">
        <v>301</v>
      </c>
    </row>
    <row r="1337" spans="1:20" x14ac:dyDescent="0.25">
      <c r="A1337">
        <v>9</v>
      </c>
      <c r="B1337">
        <v>181</v>
      </c>
      <c r="C1337" t="str">
        <f t="shared" si="161"/>
        <v>36</v>
      </c>
      <c r="D1337">
        <v>6219</v>
      </c>
      <c r="E1337" t="str">
        <f>"3F"</f>
        <v>3F</v>
      </c>
      <c r="F1337" t="str">
        <f t="shared" si="165"/>
        <v>001</v>
      </c>
      <c r="G1337">
        <v>9</v>
      </c>
      <c r="H1337" t="str">
        <f t="shared" si="162"/>
        <v>91</v>
      </c>
      <c r="I1337" t="str">
        <f>"0"</f>
        <v>0</v>
      </c>
      <c r="J1337" t="str">
        <f t="shared" si="166"/>
        <v>39</v>
      </c>
      <c r="K1337">
        <v>20181109</v>
      </c>
      <c r="L1337" t="str">
        <f>"074576"</f>
        <v>074576</v>
      </c>
      <c r="M1337" t="str">
        <f>"28808"</f>
        <v>28808</v>
      </c>
      <c r="N1337" t="s">
        <v>619</v>
      </c>
      <c r="O1337">
        <v>140</v>
      </c>
      <c r="P1337">
        <v>20181108</v>
      </c>
      <c r="Q1337" t="s">
        <v>333</v>
      </c>
      <c r="R1337" t="s">
        <v>445</v>
      </c>
      <c r="S1337" t="s">
        <v>295</v>
      </c>
      <c r="T1337" t="s">
        <v>301</v>
      </c>
    </row>
    <row r="1338" spans="1:20" x14ac:dyDescent="0.25">
      <c r="A1338">
        <v>9</v>
      </c>
      <c r="B1338">
        <v>181</v>
      </c>
      <c r="C1338" t="str">
        <f t="shared" si="161"/>
        <v>36</v>
      </c>
      <c r="D1338">
        <v>6219</v>
      </c>
      <c r="E1338" t="str">
        <f>"3F"</f>
        <v>3F</v>
      </c>
      <c r="F1338" t="str">
        <f t="shared" si="165"/>
        <v>001</v>
      </c>
      <c r="G1338">
        <v>9</v>
      </c>
      <c r="H1338" t="str">
        <f t="shared" si="162"/>
        <v>91</v>
      </c>
      <c r="I1338" t="str">
        <f>"0"</f>
        <v>0</v>
      </c>
      <c r="J1338" t="str">
        <f t="shared" si="166"/>
        <v>39</v>
      </c>
      <c r="K1338">
        <v>20181109</v>
      </c>
      <c r="L1338" t="str">
        <f>"074581"</f>
        <v>074581</v>
      </c>
      <c r="M1338" t="str">
        <f>"29626"</f>
        <v>29626</v>
      </c>
      <c r="N1338" t="s">
        <v>620</v>
      </c>
      <c r="O1338">
        <v>165</v>
      </c>
      <c r="P1338">
        <v>20181108</v>
      </c>
      <c r="Q1338" t="s">
        <v>333</v>
      </c>
      <c r="R1338" t="s">
        <v>445</v>
      </c>
      <c r="S1338" t="s">
        <v>295</v>
      </c>
      <c r="T1338" t="s">
        <v>301</v>
      </c>
    </row>
    <row r="1339" spans="1:20" x14ac:dyDescent="0.25">
      <c r="A1339">
        <v>9</v>
      </c>
      <c r="B1339">
        <v>181</v>
      </c>
      <c r="C1339" t="str">
        <f t="shared" si="161"/>
        <v>36</v>
      </c>
      <c r="D1339">
        <v>6219</v>
      </c>
      <c r="E1339" t="str">
        <f>"3F"</f>
        <v>3F</v>
      </c>
      <c r="F1339" t="str">
        <f t="shared" si="165"/>
        <v>001</v>
      </c>
      <c r="G1339">
        <v>9</v>
      </c>
      <c r="H1339" t="str">
        <f t="shared" si="162"/>
        <v>91</v>
      </c>
      <c r="I1339" t="str">
        <f>"0"</f>
        <v>0</v>
      </c>
      <c r="J1339" t="str">
        <f t="shared" si="166"/>
        <v>39</v>
      </c>
      <c r="K1339">
        <v>20181109</v>
      </c>
      <c r="L1339" t="str">
        <f>"074582"</f>
        <v>074582</v>
      </c>
      <c r="M1339" t="str">
        <f>"29675"</f>
        <v>29675</v>
      </c>
      <c r="N1339" t="s">
        <v>523</v>
      </c>
      <c r="O1339">
        <v>65</v>
      </c>
      <c r="P1339">
        <v>20181108</v>
      </c>
      <c r="Q1339" t="s">
        <v>333</v>
      </c>
      <c r="R1339" t="s">
        <v>605</v>
      </c>
      <c r="S1339" t="s">
        <v>295</v>
      </c>
      <c r="T1339" t="s">
        <v>301</v>
      </c>
    </row>
    <row r="1340" spans="1:20" x14ac:dyDescent="0.25">
      <c r="A1340">
        <v>9</v>
      </c>
      <c r="B1340">
        <v>181</v>
      </c>
      <c r="C1340" t="str">
        <f t="shared" si="161"/>
        <v>36</v>
      </c>
      <c r="D1340">
        <v>6412</v>
      </c>
      <c r="E1340" t="str">
        <f>"09"</f>
        <v>09</v>
      </c>
      <c r="F1340" t="str">
        <f t="shared" si="165"/>
        <v>001</v>
      </c>
      <c r="G1340">
        <v>9</v>
      </c>
      <c r="H1340" t="str">
        <f t="shared" si="162"/>
        <v>91</v>
      </c>
      <c r="I1340" t="str">
        <f>"T"</f>
        <v>T</v>
      </c>
      <c r="J1340" t="str">
        <f t="shared" si="166"/>
        <v>39</v>
      </c>
      <c r="K1340">
        <v>20181109</v>
      </c>
      <c r="L1340" t="str">
        <f>"074585"</f>
        <v>074585</v>
      </c>
      <c r="M1340" t="str">
        <f>"30837"</f>
        <v>30837</v>
      </c>
      <c r="N1340" t="s">
        <v>621</v>
      </c>
      <c r="O1340">
        <v>169</v>
      </c>
      <c r="P1340">
        <v>20181108</v>
      </c>
      <c r="Q1340" t="s">
        <v>544</v>
      </c>
      <c r="R1340" t="s">
        <v>622</v>
      </c>
      <c r="S1340" t="s">
        <v>295</v>
      </c>
      <c r="T1340" t="s">
        <v>301</v>
      </c>
    </row>
    <row r="1341" spans="1:20" x14ac:dyDescent="0.25">
      <c r="A1341">
        <v>9</v>
      </c>
      <c r="B1341">
        <v>181</v>
      </c>
      <c r="C1341" t="str">
        <f t="shared" si="161"/>
        <v>36</v>
      </c>
      <c r="D1341">
        <v>6411</v>
      </c>
      <c r="E1341" t="str">
        <f>"33"</f>
        <v>33</v>
      </c>
      <c r="F1341" t="str">
        <f t="shared" si="165"/>
        <v>001</v>
      </c>
      <c r="G1341">
        <v>9</v>
      </c>
      <c r="H1341" t="str">
        <f t="shared" si="162"/>
        <v>91</v>
      </c>
      <c r="I1341" t="str">
        <f>"0"</f>
        <v>0</v>
      </c>
      <c r="J1341" t="str">
        <f t="shared" si="166"/>
        <v>39</v>
      </c>
      <c r="K1341">
        <v>20181109</v>
      </c>
      <c r="L1341" t="str">
        <f>"074586"</f>
        <v>074586</v>
      </c>
      <c r="M1341" t="str">
        <f>"30744"</f>
        <v>30744</v>
      </c>
      <c r="N1341" t="s">
        <v>422</v>
      </c>
      <c r="O1341">
        <v>23.43</v>
      </c>
      <c r="P1341">
        <v>20181108</v>
      </c>
      <c r="Q1341" t="s">
        <v>306</v>
      </c>
      <c r="R1341" t="s">
        <v>623</v>
      </c>
      <c r="S1341" t="s">
        <v>295</v>
      </c>
      <c r="T1341" t="s">
        <v>301</v>
      </c>
    </row>
    <row r="1342" spans="1:20" x14ac:dyDescent="0.25">
      <c r="A1342">
        <v>9</v>
      </c>
      <c r="B1342">
        <v>181</v>
      </c>
      <c r="C1342" t="str">
        <f t="shared" si="161"/>
        <v>36</v>
      </c>
      <c r="D1342">
        <v>6219</v>
      </c>
      <c r="E1342" t="str">
        <f>"3Y"</f>
        <v>3Y</v>
      </c>
      <c r="F1342" t="str">
        <f t="shared" si="165"/>
        <v>001</v>
      </c>
      <c r="G1342">
        <v>9</v>
      </c>
      <c r="H1342" t="str">
        <f t="shared" si="162"/>
        <v>91</v>
      </c>
      <c r="I1342" t="str">
        <f>"0"</f>
        <v>0</v>
      </c>
      <c r="J1342" t="str">
        <f t="shared" si="166"/>
        <v>39</v>
      </c>
      <c r="K1342">
        <v>20181109</v>
      </c>
      <c r="L1342" t="str">
        <f>"074587"</f>
        <v>074587</v>
      </c>
      <c r="M1342" t="str">
        <f>"31310"</f>
        <v>31310</v>
      </c>
      <c r="N1342" t="s">
        <v>624</v>
      </c>
      <c r="O1342">
        <v>115</v>
      </c>
      <c r="P1342">
        <v>20181108</v>
      </c>
      <c r="Q1342" t="s">
        <v>330</v>
      </c>
      <c r="R1342" t="s">
        <v>607</v>
      </c>
      <c r="S1342" t="s">
        <v>295</v>
      </c>
      <c r="T1342" t="s">
        <v>301</v>
      </c>
    </row>
    <row r="1343" spans="1:20" x14ac:dyDescent="0.25">
      <c r="A1343">
        <v>9</v>
      </c>
      <c r="B1343">
        <v>181</v>
      </c>
      <c r="C1343" t="str">
        <f t="shared" si="161"/>
        <v>36</v>
      </c>
      <c r="D1343">
        <v>6219</v>
      </c>
      <c r="E1343" t="str">
        <f>"3S"</f>
        <v>3S</v>
      </c>
      <c r="F1343" t="str">
        <f t="shared" si="165"/>
        <v>001</v>
      </c>
      <c r="G1343">
        <v>9</v>
      </c>
      <c r="H1343" t="str">
        <f t="shared" si="162"/>
        <v>91</v>
      </c>
      <c r="I1343" t="str">
        <f>"0"</f>
        <v>0</v>
      </c>
      <c r="J1343" t="str">
        <f t="shared" si="166"/>
        <v>39</v>
      </c>
      <c r="K1343">
        <v>20181109</v>
      </c>
      <c r="L1343" t="str">
        <f>"074588"</f>
        <v>074588</v>
      </c>
      <c r="M1343" t="str">
        <f>"00188"</f>
        <v>00188</v>
      </c>
      <c r="N1343" t="s">
        <v>625</v>
      </c>
      <c r="O1343">
        <v>30</v>
      </c>
      <c r="P1343">
        <v>20181108</v>
      </c>
      <c r="Q1343" t="s">
        <v>609</v>
      </c>
      <c r="R1343" t="s">
        <v>610</v>
      </c>
      <c r="S1343" t="s">
        <v>295</v>
      </c>
      <c r="T1343" t="s">
        <v>301</v>
      </c>
    </row>
    <row r="1344" spans="1:20" x14ac:dyDescent="0.25">
      <c r="A1344">
        <v>9</v>
      </c>
      <c r="B1344">
        <v>181</v>
      </c>
      <c r="C1344" t="str">
        <f t="shared" si="161"/>
        <v>36</v>
      </c>
      <c r="D1344">
        <v>6412</v>
      </c>
      <c r="E1344" t="str">
        <f>"3Y"</f>
        <v>3Y</v>
      </c>
      <c r="F1344" t="str">
        <f t="shared" si="165"/>
        <v>001</v>
      </c>
      <c r="G1344">
        <v>9</v>
      </c>
      <c r="H1344" t="str">
        <f t="shared" si="162"/>
        <v>91</v>
      </c>
      <c r="I1344" t="str">
        <f>"1"</f>
        <v>1</v>
      </c>
      <c r="J1344" t="str">
        <f t="shared" si="166"/>
        <v>39</v>
      </c>
      <c r="K1344">
        <v>20181109</v>
      </c>
      <c r="L1344" t="str">
        <f>"074589"</f>
        <v>074589</v>
      </c>
      <c r="M1344" t="str">
        <f>"38853"</f>
        <v>38853</v>
      </c>
      <c r="N1344" t="s">
        <v>349</v>
      </c>
      <c r="O1344">
        <v>85</v>
      </c>
      <c r="P1344">
        <v>20181108</v>
      </c>
      <c r="Q1344" t="s">
        <v>350</v>
      </c>
      <c r="R1344" t="s">
        <v>626</v>
      </c>
      <c r="S1344" t="s">
        <v>295</v>
      </c>
      <c r="T1344" t="s">
        <v>301</v>
      </c>
    </row>
    <row r="1345" spans="1:20" x14ac:dyDescent="0.25">
      <c r="A1345">
        <v>9</v>
      </c>
      <c r="B1345">
        <v>181</v>
      </c>
      <c r="C1345" t="str">
        <f t="shared" si="161"/>
        <v>36</v>
      </c>
      <c r="D1345">
        <v>6219</v>
      </c>
      <c r="E1345" t="str">
        <f>"3F"</f>
        <v>3F</v>
      </c>
      <c r="F1345" t="str">
        <f>"041"</f>
        <v>041</v>
      </c>
      <c r="G1345">
        <v>9</v>
      </c>
      <c r="H1345" t="str">
        <f t="shared" si="162"/>
        <v>91</v>
      </c>
      <c r="I1345" t="str">
        <f>"0"</f>
        <v>0</v>
      </c>
      <c r="J1345" t="str">
        <f>"41"</f>
        <v>41</v>
      </c>
      <c r="K1345">
        <v>20181109</v>
      </c>
      <c r="L1345" t="str">
        <f>"074590"</f>
        <v>074590</v>
      </c>
      <c r="M1345" t="str">
        <f>"00206"</f>
        <v>00206</v>
      </c>
      <c r="N1345" t="s">
        <v>352</v>
      </c>
      <c r="O1345">
        <v>150</v>
      </c>
      <c r="P1345">
        <v>20181108</v>
      </c>
      <c r="Q1345" t="s">
        <v>339</v>
      </c>
      <c r="R1345" t="s">
        <v>627</v>
      </c>
      <c r="S1345" t="s">
        <v>295</v>
      </c>
      <c r="T1345" t="s">
        <v>106</v>
      </c>
    </row>
    <row r="1346" spans="1:20" x14ac:dyDescent="0.25">
      <c r="A1346">
        <v>9</v>
      </c>
      <c r="B1346">
        <v>181</v>
      </c>
      <c r="C1346" t="str">
        <f t="shared" si="161"/>
        <v>36</v>
      </c>
      <c r="D1346">
        <v>6219</v>
      </c>
      <c r="E1346" t="str">
        <f>"3F"</f>
        <v>3F</v>
      </c>
      <c r="F1346" t="str">
        <f>"001"</f>
        <v>001</v>
      </c>
      <c r="G1346">
        <v>9</v>
      </c>
      <c r="H1346" t="str">
        <f t="shared" si="162"/>
        <v>91</v>
      </c>
      <c r="I1346" t="str">
        <f>"0"</f>
        <v>0</v>
      </c>
      <c r="J1346" t="str">
        <f>"39"</f>
        <v>39</v>
      </c>
      <c r="K1346">
        <v>20181109</v>
      </c>
      <c r="L1346" t="str">
        <f>"074592"</f>
        <v>074592</v>
      </c>
      <c r="M1346" t="str">
        <f>"35046"</f>
        <v>35046</v>
      </c>
      <c r="N1346" t="s">
        <v>628</v>
      </c>
      <c r="O1346">
        <v>130</v>
      </c>
      <c r="P1346">
        <v>20181108</v>
      </c>
      <c r="Q1346" t="s">
        <v>333</v>
      </c>
      <c r="R1346" t="s">
        <v>445</v>
      </c>
      <c r="S1346" t="s">
        <v>295</v>
      </c>
      <c r="T1346" t="s">
        <v>301</v>
      </c>
    </row>
    <row r="1347" spans="1:20" x14ac:dyDescent="0.25">
      <c r="A1347">
        <v>9</v>
      </c>
      <c r="B1347">
        <v>181</v>
      </c>
      <c r="C1347" t="str">
        <f t="shared" si="161"/>
        <v>36</v>
      </c>
      <c r="D1347">
        <v>6219</v>
      </c>
      <c r="E1347" t="str">
        <f>"3F"</f>
        <v>3F</v>
      </c>
      <c r="F1347" t="str">
        <f>"001"</f>
        <v>001</v>
      </c>
      <c r="G1347">
        <v>9</v>
      </c>
      <c r="H1347" t="str">
        <f t="shared" si="162"/>
        <v>91</v>
      </c>
      <c r="I1347" t="str">
        <f>"1"</f>
        <v>1</v>
      </c>
      <c r="J1347" t="str">
        <f>"39"</f>
        <v>39</v>
      </c>
      <c r="K1347">
        <v>20181109</v>
      </c>
      <c r="L1347" t="str">
        <f>"074597"</f>
        <v>074597</v>
      </c>
      <c r="M1347" t="str">
        <f>"00619"</f>
        <v>00619</v>
      </c>
      <c r="N1347" t="s">
        <v>629</v>
      </c>
      <c r="O1347">
        <v>128</v>
      </c>
      <c r="P1347">
        <v>20181108</v>
      </c>
      <c r="Q1347" t="s">
        <v>327</v>
      </c>
      <c r="R1347" t="s">
        <v>445</v>
      </c>
      <c r="S1347" t="s">
        <v>295</v>
      </c>
      <c r="T1347" t="s">
        <v>301</v>
      </c>
    </row>
    <row r="1348" spans="1:20" x14ac:dyDescent="0.25">
      <c r="A1348">
        <v>9</v>
      </c>
      <c r="B1348">
        <v>181</v>
      </c>
      <c r="C1348" t="str">
        <f t="shared" si="161"/>
        <v>36</v>
      </c>
      <c r="D1348">
        <v>6399</v>
      </c>
      <c r="E1348" t="str">
        <f>"3A"</f>
        <v>3A</v>
      </c>
      <c r="F1348" t="str">
        <f>"001"</f>
        <v>001</v>
      </c>
      <c r="G1348">
        <v>9</v>
      </c>
      <c r="H1348" t="str">
        <f t="shared" si="162"/>
        <v>91</v>
      </c>
      <c r="I1348" t="str">
        <f>"0"</f>
        <v>0</v>
      </c>
      <c r="J1348" t="str">
        <f>"39"</f>
        <v>39</v>
      </c>
      <c r="K1348">
        <v>20181109</v>
      </c>
      <c r="L1348" t="str">
        <f>"074600"</f>
        <v>074600</v>
      </c>
      <c r="M1348" t="str">
        <f>"52217"</f>
        <v>52217</v>
      </c>
      <c r="N1348" t="s">
        <v>630</v>
      </c>
      <c r="O1348">
        <v>458.6</v>
      </c>
      <c r="P1348">
        <v>20181108</v>
      </c>
      <c r="Q1348" t="s">
        <v>595</v>
      </c>
      <c r="R1348" t="s">
        <v>631</v>
      </c>
      <c r="S1348" t="s">
        <v>295</v>
      </c>
      <c r="T1348" t="s">
        <v>301</v>
      </c>
    </row>
    <row r="1349" spans="1:20" x14ac:dyDescent="0.25">
      <c r="A1349">
        <v>9</v>
      </c>
      <c r="B1349">
        <v>181</v>
      </c>
      <c r="C1349" t="str">
        <f t="shared" si="161"/>
        <v>36</v>
      </c>
      <c r="D1349">
        <v>6219</v>
      </c>
      <c r="E1349" t="str">
        <f>"3S"</f>
        <v>3S</v>
      </c>
      <c r="F1349" t="str">
        <f>"001"</f>
        <v>001</v>
      </c>
      <c r="G1349">
        <v>9</v>
      </c>
      <c r="H1349" t="str">
        <f t="shared" si="162"/>
        <v>91</v>
      </c>
      <c r="I1349" t="str">
        <f>"0"</f>
        <v>0</v>
      </c>
      <c r="J1349" t="str">
        <f>"39"</f>
        <v>39</v>
      </c>
      <c r="K1349">
        <v>20181109</v>
      </c>
      <c r="L1349" t="str">
        <f>"074606"</f>
        <v>074606</v>
      </c>
      <c r="M1349" t="str">
        <f>"54558"</f>
        <v>54558</v>
      </c>
      <c r="N1349" t="s">
        <v>632</v>
      </c>
      <c r="O1349">
        <v>50</v>
      </c>
      <c r="P1349">
        <v>20181108</v>
      </c>
      <c r="Q1349" t="s">
        <v>609</v>
      </c>
      <c r="R1349" t="s">
        <v>610</v>
      </c>
      <c r="S1349" t="s">
        <v>295</v>
      </c>
      <c r="T1349" t="s">
        <v>301</v>
      </c>
    </row>
    <row r="1350" spans="1:20" x14ac:dyDescent="0.25">
      <c r="A1350">
        <v>9</v>
      </c>
      <c r="B1350">
        <v>181</v>
      </c>
      <c r="C1350" t="str">
        <f t="shared" si="161"/>
        <v>36</v>
      </c>
      <c r="D1350">
        <v>6219</v>
      </c>
      <c r="E1350" t="str">
        <f t="shared" ref="E1350:E1356" si="167">"3F"</f>
        <v>3F</v>
      </c>
      <c r="F1350" t="str">
        <f>"001"</f>
        <v>001</v>
      </c>
      <c r="G1350">
        <v>9</v>
      </c>
      <c r="H1350" t="str">
        <f t="shared" si="162"/>
        <v>91</v>
      </c>
      <c r="I1350" t="str">
        <f>"1"</f>
        <v>1</v>
      </c>
      <c r="J1350" t="str">
        <f>"39"</f>
        <v>39</v>
      </c>
      <c r="K1350">
        <v>20181109</v>
      </c>
      <c r="L1350" t="str">
        <f>"074611"</f>
        <v>074611</v>
      </c>
      <c r="M1350" t="str">
        <f>"57974"</f>
        <v>57974</v>
      </c>
      <c r="N1350" t="s">
        <v>371</v>
      </c>
      <c r="O1350">
        <v>128</v>
      </c>
      <c r="P1350">
        <v>20181108</v>
      </c>
      <c r="Q1350" t="s">
        <v>327</v>
      </c>
      <c r="R1350" t="s">
        <v>445</v>
      </c>
      <c r="S1350" t="s">
        <v>295</v>
      </c>
      <c r="T1350" t="s">
        <v>301</v>
      </c>
    </row>
    <row r="1351" spans="1:20" x14ac:dyDescent="0.25">
      <c r="A1351">
        <v>9</v>
      </c>
      <c r="B1351">
        <v>181</v>
      </c>
      <c r="C1351" t="str">
        <f t="shared" si="161"/>
        <v>36</v>
      </c>
      <c r="D1351">
        <v>6219</v>
      </c>
      <c r="E1351" t="str">
        <f t="shared" si="167"/>
        <v>3F</v>
      </c>
      <c r="F1351" t="str">
        <f>"041"</f>
        <v>041</v>
      </c>
      <c r="G1351">
        <v>9</v>
      </c>
      <c r="H1351" t="str">
        <f t="shared" si="162"/>
        <v>91</v>
      </c>
      <c r="I1351" t="str">
        <f>"0"</f>
        <v>0</v>
      </c>
      <c r="J1351" t="str">
        <f>"41"</f>
        <v>41</v>
      </c>
      <c r="K1351">
        <v>20181109</v>
      </c>
      <c r="L1351" t="str">
        <f>"074612"</f>
        <v>074612</v>
      </c>
      <c r="M1351" t="str">
        <f>"57991"</f>
        <v>57991</v>
      </c>
      <c r="N1351" t="s">
        <v>372</v>
      </c>
      <c r="O1351">
        <v>150</v>
      </c>
      <c r="P1351">
        <v>20181108</v>
      </c>
      <c r="Q1351" t="s">
        <v>339</v>
      </c>
      <c r="R1351" t="s">
        <v>627</v>
      </c>
      <c r="S1351" t="s">
        <v>295</v>
      </c>
      <c r="T1351" t="s">
        <v>106</v>
      </c>
    </row>
    <row r="1352" spans="1:20" x14ac:dyDescent="0.25">
      <c r="A1352">
        <v>9</v>
      </c>
      <c r="B1352">
        <v>181</v>
      </c>
      <c r="C1352" t="str">
        <f t="shared" ref="C1352:C1374" si="168">"36"</f>
        <v>36</v>
      </c>
      <c r="D1352">
        <v>6299</v>
      </c>
      <c r="E1352" t="str">
        <f t="shared" si="167"/>
        <v>3F</v>
      </c>
      <c r="F1352" t="str">
        <f>"041"</f>
        <v>041</v>
      </c>
      <c r="G1352">
        <v>9</v>
      </c>
      <c r="H1352" t="str">
        <f t="shared" ref="H1352:H1374" si="169">"91"</f>
        <v>91</v>
      </c>
      <c r="I1352" t="str">
        <f>"0"</f>
        <v>0</v>
      </c>
      <c r="J1352" t="str">
        <f>"41"</f>
        <v>41</v>
      </c>
      <c r="K1352">
        <v>20181109</v>
      </c>
      <c r="L1352" t="str">
        <f>"074620"</f>
        <v>074620</v>
      </c>
      <c r="M1352" t="str">
        <f>"00530"</f>
        <v>00530</v>
      </c>
      <c r="N1352" t="s">
        <v>374</v>
      </c>
      <c r="O1352">
        <v>122.5</v>
      </c>
      <c r="P1352">
        <v>20181108</v>
      </c>
      <c r="Q1352" t="s">
        <v>375</v>
      </c>
      <c r="R1352" t="s">
        <v>627</v>
      </c>
      <c r="S1352" t="s">
        <v>295</v>
      </c>
      <c r="T1352" t="s">
        <v>106</v>
      </c>
    </row>
    <row r="1353" spans="1:20" x14ac:dyDescent="0.25">
      <c r="A1353">
        <v>9</v>
      </c>
      <c r="B1353">
        <v>181</v>
      </c>
      <c r="C1353" t="str">
        <f t="shared" si="168"/>
        <v>36</v>
      </c>
      <c r="D1353">
        <v>6219</v>
      </c>
      <c r="E1353" t="str">
        <f t="shared" si="167"/>
        <v>3F</v>
      </c>
      <c r="F1353" t="str">
        <f t="shared" ref="F1353:F1370" si="170">"001"</f>
        <v>001</v>
      </c>
      <c r="G1353">
        <v>9</v>
      </c>
      <c r="H1353" t="str">
        <f t="shared" si="169"/>
        <v>91</v>
      </c>
      <c r="I1353" t="str">
        <f>"0"</f>
        <v>0</v>
      </c>
      <c r="J1353" t="str">
        <f t="shared" ref="J1353:J1370" si="171">"39"</f>
        <v>39</v>
      </c>
      <c r="K1353">
        <v>20181109</v>
      </c>
      <c r="L1353" t="str">
        <f>"074623"</f>
        <v>074623</v>
      </c>
      <c r="M1353" t="str">
        <f>"62895"</f>
        <v>62895</v>
      </c>
      <c r="N1353" t="s">
        <v>633</v>
      </c>
      <c r="O1353">
        <v>130</v>
      </c>
      <c r="P1353">
        <v>20181108</v>
      </c>
      <c r="Q1353" t="s">
        <v>333</v>
      </c>
      <c r="R1353" t="s">
        <v>445</v>
      </c>
      <c r="S1353" t="s">
        <v>295</v>
      </c>
      <c r="T1353" t="s">
        <v>301</v>
      </c>
    </row>
    <row r="1354" spans="1:20" x14ac:dyDescent="0.25">
      <c r="A1354">
        <v>9</v>
      </c>
      <c r="B1354">
        <v>181</v>
      </c>
      <c r="C1354" t="str">
        <f t="shared" si="168"/>
        <v>36</v>
      </c>
      <c r="D1354">
        <v>6219</v>
      </c>
      <c r="E1354" t="str">
        <f t="shared" si="167"/>
        <v>3F</v>
      </c>
      <c r="F1354" t="str">
        <f t="shared" si="170"/>
        <v>001</v>
      </c>
      <c r="G1354">
        <v>9</v>
      </c>
      <c r="H1354" t="str">
        <f t="shared" si="169"/>
        <v>91</v>
      </c>
      <c r="I1354" t="str">
        <f>"1"</f>
        <v>1</v>
      </c>
      <c r="J1354" t="str">
        <f t="shared" si="171"/>
        <v>39</v>
      </c>
      <c r="K1354">
        <v>20181109</v>
      </c>
      <c r="L1354" t="str">
        <f>"074624"</f>
        <v>074624</v>
      </c>
      <c r="M1354" t="str">
        <f>"00621"</f>
        <v>00621</v>
      </c>
      <c r="N1354" t="s">
        <v>634</v>
      </c>
      <c r="O1354">
        <v>128</v>
      </c>
      <c r="P1354">
        <v>20181108</v>
      </c>
      <c r="Q1354" t="s">
        <v>327</v>
      </c>
      <c r="R1354" t="s">
        <v>445</v>
      </c>
      <c r="S1354" t="s">
        <v>295</v>
      </c>
      <c r="T1354" t="s">
        <v>301</v>
      </c>
    </row>
    <row r="1355" spans="1:20" x14ac:dyDescent="0.25">
      <c r="A1355">
        <v>9</v>
      </c>
      <c r="B1355">
        <v>181</v>
      </c>
      <c r="C1355" t="str">
        <f t="shared" si="168"/>
        <v>36</v>
      </c>
      <c r="D1355">
        <v>6219</v>
      </c>
      <c r="E1355" t="str">
        <f t="shared" si="167"/>
        <v>3F</v>
      </c>
      <c r="F1355" t="str">
        <f t="shared" si="170"/>
        <v>001</v>
      </c>
      <c r="G1355">
        <v>9</v>
      </c>
      <c r="H1355" t="str">
        <f t="shared" si="169"/>
        <v>91</v>
      </c>
      <c r="I1355" t="str">
        <f>"1"</f>
        <v>1</v>
      </c>
      <c r="J1355" t="str">
        <f t="shared" si="171"/>
        <v>39</v>
      </c>
      <c r="K1355">
        <v>20181109</v>
      </c>
      <c r="L1355" t="str">
        <f>"074625"</f>
        <v>074625</v>
      </c>
      <c r="M1355" t="str">
        <f>"00620"</f>
        <v>00620</v>
      </c>
      <c r="N1355" t="s">
        <v>635</v>
      </c>
      <c r="O1355">
        <v>128</v>
      </c>
      <c r="P1355">
        <v>20181108</v>
      </c>
      <c r="Q1355" t="s">
        <v>327</v>
      </c>
      <c r="R1355" t="s">
        <v>445</v>
      </c>
      <c r="S1355" t="s">
        <v>295</v>
      </c>
      <c r="T1355" t="s">
        <v>301</v>
      </c>
    </row>
    <row r="1356" spans="1:20" x14ac:dyDescent="0.25">
      <c r="A1356">
        <v>9</v>
      </c>
      <c r="B1356">
        <v>181</v>
      </c>
      <c r="C1356" t="str">
        <f t="shared" si="168"/>
        <v>36</v>
      </c>
      <c r="D1356">
        <v>6219</v>
      </c>
      <c r="E1356" t="str">
        <f t="shared" si="167"/>
        <v>3F</v>
      </c>
      <c r="F1356" t="str">
        <f t="shared" si="170"/>
        <v>001</v>
      </c>
      <c r="G1356">
        <v>9</v>
      </c>
      <c r="H1356" t="str">
        <f t="shared" si="169"/>
        <v>91</v>
      </c>
      <c r="I1356" t="str">
        <f>"0"</f>
        <v>0</v>
      </c>
      <c r="J1356" t="str">
        <f t="shared" si="171"/>
        <v>39</v>
      </c>
      <c r="K1356">
        <v>20181109</v>
      </c>
      <c r="L1356" t="str">
        <f>"074628"</f>
        <v>074628</v>
      </c>
      <c r="M1356" t="str">
        <f>"63913"</f>
        <v>63913</v>
      </c>
      <c r="N1356" t="s">
        <v>385</v>
      </c>
      <c r="O1356">
        <v>65</v>
      </c>
      <c r="P1356">
        <v>20181108</v>
      </c>
      <c r="Q1356" t="s">
        <v>333</v>
      </c>
      <c r="R1356" t="s">
        <v>605</v>
      </c>
      <c r="S1356" t="s">
        <v>295</v>
      </c>
      <c r="T1356" t="s">
        <v>301</v>
      </c>
    </row>
    <row r="1357" spans="1:20" x14ac:dyDescent="0.25">
      <c r="A1357">
        <v>9</v>
      </c>
      <c r="B1357">
        <v>181</v>
      </c>
      <c r="C1357" t="str">
        <f t="shared" si="168"/>
        <v>36</v>
      </c>
      <c r="D1357">
        <v>6412</v>
      </c>
      <c r="E1357" t="str">
        <f>"3G"</f>
        <v>3G</v>
      </c>
      <c r="F1357" t="str">
        <f t="shared" si="170"/>
        <v>001</v>
      </c>
      <c r="G1357">
        <v>9</v>
      </c>
      <c r="H1357" t="str">
        <f t="shared" si="169"/>
        <v>91</v>
      </c>
      <c r="I1357" t="str">
        <f>"2"</f>
        <v>2</v>
      </c>
      <c r="J1357" t="str">
        <f t="shared" si="171"/>
        <v>39</v>
      </c>
      <c r="K1357">
        <v>20181109</v>
      </c>
      <c r="L1357" t="str">
        <f>"074629"</f>
        <v>074629</v>
      </c>
      <c r="M1357" t="str">
        <f>"64004"</f>
        <v>64004</v>
      </c>
      <c r="N1357" t="s">
        <v>488</v>
      </c>
      <c r="O1357">
        <v>320</v>
      </c>
      <c r="P1357">
        <v>20181108</v>
      </c>
      <c r="Q1357" t="s">
        <v>309</v>
      </c>
      <c r="R1357" t="s">
        <v>636</v>
      </c>
      <c r="S1357" t="s">
        <v>295</v>
      </c>
      <c r="T1357" t="s">
        <v>301</v>
      </c>
    </row>
    <row r="1358" spans="1:20" x14ac:dyDescent="0.25">
      <c r="A1358">
        <v>9</v>
      </c>
      <c r="B1358">
        <v>181</v>
      </c>
      <c r="C1358" t="str">
        <f t="shared" si="168"/>
        <v>36</v>
      </c>
      <c r="D1358">
        <v>6411</v>
      </c>
      <c r="E1358" t="str">
        <f>"33"</f>
        <v>33</v>
      </c>
      <c r="F1358" t="str">
        <f t="shared" si="170"/>
        <v>001</v>
      </c>
      <c r="G1358">
        <v>9</v>
      </c>
      <c r="H1358" t="str">
        <f t="shared" si="169"/>
        <v>91</v>
      </c>
      <c r="I1358" t="str">
        <f t="shared" ref="I1358:I1363" si="172">"0"</f>
        <v>0</v>
      </c>
      <c r="J1358" t="str">
        <f t="shared" si="171"/>
        <v>39</v>
      </c>
      <c r="K1358">
        <v>20181109</v>
      </c>
      <c r="L1358" t="str">
        <f>"074633"</f>
        <v>074633</v>
      </c>
      <c r="M1358" t="str">
        <f>"69162"</f>
        <v>69162</v>
      </c>
      <c r="N1358" t="s">
        <v>491</v>
      </c>
      <c r="O1358">
        <v>121</v>
      </c>
      <c r="P1358">
        <v>20181108</v>
      </c>
      <c r="Q1358" t="s">
        <v>306</v>
      </c>
      <c r="R1358" t="s">
        <v>637</v>
      </c>
      <c r="S1358" t="s">
        <v>295</v>
      </c>
      <c r="T1358" t="s">
        <v>301</v>
      </c>
    </row>
    <row r="1359" spans="1:20" x14ac:dyDescent="0.25">
      <c r="A1359">
        <v>9</v>
      </c>
      <c r="B1359">
        <v>181</v>
      </c>
      <c r="C1359" t="str">
        <f t="shared" si="168"/>
        <v>36</v>
      </c>
      <c r="D1359">
        <v>6219</v>
      </c>
      <c r="E1359" t="str">
        <f>"3F"</f>
        <v>3F</v>
      </c>
      <c r="F1359" t="str">
        <f t="shared" si="170"/>
        <v>001</v>
      </c>
      <c r="G1359">
        <v>9</v>
      </c>
      <c r="H1359" t="str">
        <f t="shared" si="169"/>
        <v>91</v>
      </c>
      <c r="I1359" t="str">
        <f t="shared" si="172"/>
        <v>0</v>
      </c>
      <c r="J1359" t="str">
        <f t="shared" si="171"/>
        <v>39</v>
      </c>
      <c r="K1359">
        <v>20181109</v>
      </c>
      <c r="L1359" t="str">
        <f>"074634"</f>
        <v>074634</v>
      </c>
      <c r="M1359" t="str">
        <f>"00618"</f>
        <v>00618</v>
      </c>
      <c r="N1359" t="s">
        <v>638</v>
      </c>
      <c r="O1359">
        <v>105</v>
      </c>
      <c r="P1359">
        <v>20181108</v>
      </c>
      <c r="Q1359" t="s">
        <v>333</v>
      </c>
      <c r="R1359" t="s">
        <v>445</v>
      </c>
      <c r="S1359" t="s">
        <v>295</v>
      </c>
      <c r="T1359" t="s">
        <v>301</v>
      </c>
    </row>
    <row r="1360" spans="1:20" x14ac:dyDescent="0.25">
      <c r="A1360">
        <v>9</v>
      </c>
      <c r="B1360">
        <v>181</v>
      </c>
      <c r="C1360" t="str">
        <f t="shared" si="168"/>
        <v>36</v>
      </c>
      <c r="D1360">
        <v>6399</v>
      </c>
      <c r="E1360" t="str">
        <f>"30"</f>
        <v>30</v>
      </c>
      <c r="F1360" t="str">
        <f t="shared" si="170"/>
        <v>001</v>
      </c>
      <c r="G1360">
        <v>9</v>
      </c>
      <c r="H1360" t="str">
        <f t="shared" si="169"/>
        <v>91</v>
      </c>
      <c r="I1360" t="str">
        <f t="shared" si="172"/>
        <v>0</v>
      </c>
      <c r="J1360" t="str">
        <f t="shared" si="171"/>
        <v>39</v>
      </c>
      <c r="K1360">
        <v>20181109</v>
      </c>
      <c r="L1360" t="str">
        <f>"074639"</f>
        <v>074639</v>
      </c>
      <c r="M1360" t="str">
        <f>"72730"</f>
        <v>72730</v>
      </c>
      <c r="N1360" t="s">
        <v>639</v>
      </c>
      <c r="O1360">
        <v>275.97000000000003</v>
      </c>
      <c r="P1360">
        <v>20181108</v>
      </c>
      <c r="Q1360" t="s">
        <v>640</v>
      </c>
      <c r="R1360" t="s">
        <v>641</v>
      </c>
      <c r="S1360" t="s">
        <v>295</v>
      </c>
      <c r="T1360" t="s">
        <v>301</v>
      </c>
    </row>
    <row r="1361" spans="1:20" x14ac:dyDescent="0.25">
      <c r="A1361">
        <v>9</v>
      </c>
      <c r="B1361">
        <v>181</v>
      </c>
      <c r="C1361" t="str">
        <f t="shared" si="168"/>
        <v>36</v>
      </c>
      <c r="D1361">
        <v>6399</v>
      </c>
      <c r="E1361" t="str">
        <f>"30"</f>
        <v>30</v>
      </c>
      <c r="F1361" t="str">
        <f t="shared" si="170"/>
        <v>001</v>
      </c>
      <c r="G1361">
        <v>9</v>
      </c>
      <c r="H1361" t="str">
        <f t="shared" si="169"/>
        <v>91</v>
      </c>
      <c r="I1361" t="str">
        <f t="shared" si="172"/>
        <v>0</v>
      </c>
      <c r="J1361" t="str">
        <f t="shared" si="171"/>
        <v>39</v>
      </c>
      <c r="K1361">
        <v>20181109</v>
      </c>
      <c r="L1361" t="str">
        <f>"074639"</f>
        <v>074639</v>
      </c>
      <c r="M1361" t="str">
        <f>"72730"</f>
        <v>72730</v>
      </c>
      <c r="N1361" t="s">
        <v>639</v>
      </c>
      <c r="O1361">
        <v>51.5</v>
      </c>
      <c r="P1361">
        <v>20181108</v>
      </c>
      <c r="Q1361" t="s">
        <v>640</v>
      </c>
      <c r="R1361" t="s">
        <v>642</v>
      </c>
      <c r="S1361" t="s">
        <v>295</v>
      </c>
      <c r="T1361" t="s">
        <v>301</v>
      </c>
    </row>
    <row r="1362" spans="1:20" x14ac:dyDescent="0.25">
      <c r="A1362">
        <v>9</v>
      </c>
      <c r="B1362">
        <v>181</v>
      </c>
      <c r="C1362" t="str">
        <f t="shared" si="168"/>
        <v>36</v>
      </c>
      <c r="D1362">
        <v>6399</v>
      </c>
      <c r="E1362" t="str">
        <f>"30"</f>
        <v>30</v>
      </c>
      <c r="F1362" t="str">
        <f t="shared" si="170"/>
        <v>001</v>
      </c>
      <c r="G1362">
        <v>9</v>
      </c>
      <c r="H1362" t="str">
        <f t="shared" si="169"/>
        <v>91</v>
      </c>
      <c r="I1362" t="str">
        <f t="shared" si="172"/>
        <v>0</v>
      </c>
      <c r="J1362" t="str">
        <f t="shared" si="171"/>
        <v>39</v>
      </c>
      <c r="K1362">
        <v>20181109</v>
      </c>
      <c r="L1362" t="str">
        <f>"074639"</f>
        <v>074639</v>
      </c>
      <c r="M1362" t="str">
        <f>"72730"</f>
        <v>72730</v>
      </c>
      <c r="N1362" t="s">
        <v>639</v>
      </c>
      <c r="O1362">
        <v>64.78</v>
      </c>
      <c r="P1362">
        <v>20181108</v>
      </c>
      <c r="Q1362" t="s">
        <v>640</v>
      </c>
      <c r="R1362" t="s">
        <v>643</v>
      </c>
      <c r="S1362" t="s">
        <v>295</v>
      </c>
      <c r="T1362" t="s">
        <v>301</v>
      </c>
    </row>
    <row r="1363" spans="1:20" x14ac:dyDescent="0.25">
      <c r="A1363">
        <v>9</v>
      </c>
      <c r="B1363">
        <v>181</v>
      </c>
      <c r="C1363" t="str">
        <f t="shared" si="168"/>
        <v>36</v>
      </c>
      <c r="D1363">
        <v>6411</v>
      </c>
      <c r="E1363" t="str">
        <f>"33"</f>
        <v>33</v>
      </c>
      <c r="F1363" t="str">
        <f t="shared" si="170"/>
        <v>001</v>
      </c>
      <c r="G1363">
        <v>9</v>
      </c>
      <c r="H1363" t="str">
        <f t="shared" si="169"/>
        <v>91</v>
      </c>
      <c r="I1363" t="str">
        <f t="shared" si="172"/>
        <v>0</v>
      </c>
      <c r="J1363" t="str">
        <f t="shared" si="171"/>
        <v>39</v>
      </c>
      <c r="K1363">
        <v>20181109</v>
      </c>
      <c r="L1363" t="str">
        <f>"074642"</f>
        <v>074642</v>
      </c>
      <c r="M1363" t="str">
        <f>"78433"</f>
        <v>78433</v>
      </c>
      <c r="N1363" t="s">
        <v>644</v>
      </c>
      <c r="O1363">
        <v>425</v>
      </c>
      <c r="P1363">
        <v>20181108</v>
      </c>
      <c r="Q1363" t="s">
        <v>306</v>
      </c>
      <c r="R1363" t="s">
        <v>645</v>
      </c>
      <c r="S1363" t="s">
        <v>295</v>
      </c>
      <c r="T1363" t="s">
        <v>301</v>
      </c>
    </row>
    <row r="1364" spans="1:20" x14ac:dyDescent="0.25">
      <c r="A1364">
        <v>9</v>
      </c>
      <c r="B1364">
        <v>181</v>
      </c>
      <c r="C1364" t="str">
        <f t="shared" si="168"/>
        <v>36</v>
      </c>
      <c r="D1364">
        <v>6219</v>
      </c>
      <c r="E1364" t="str">
        <f>"3F"</f>
        <v>3F</v>
      </c>
      <c r="F1364" t="str">
        <f t="shared" si="170"/>
        <v>001</v>
      </c>
      <c r="G1364">
        <v>9</v>
      </c>
      <c r="H1364" t="str">
        <f t="shared" si="169"/>
        <v>91</v>
      </c>
      <c r="I1364" t="str">
        <f>"1"</f>
        <v>1</v>
      </c>
      <c r="J1364" t="str">
        <f t="shared" si="171"/>
        <v>39</v>
      </c>
      <c r="K1364">
        <v>20181116</v>
      </c>
      <c r="L1364" t="str">
        <f>"074665"</f>
        <v>074665</v>
      </c>
      <c r="M1364" t="str">
        <f>"19079"</f>
        <v>19079</v>
      </c>
      <c r="N1364" t="s">
        <v>326</v>
      </c>
      <c r="O1364">
        <v>128</v>
      </c>
      <c r="P1364">
        <v>20181115</v>
      </c>
      <c r="Q1364" t="s">
        <v>327</v>
      </c>
      <c r="R1364" t="s">
        <v>531</v>
      </c>
      <c r="S1364" t="s">
        <v>295</v>
      </c>
      <c r="T1364" t="s">
        <v>301</v>
      </c>
    </row>
    <row r="1365" spans="1:20" x14ac:dyDescent="0.25">
      <c r="A1365">
        <v>9</v>
      </c>
      <c r="B1365">
        <v>181</v>
      </c>
      <c r="C1365" t="str">
        <f t="shared" si="168"/>
        <v>36</v>
      </c>
      <c r="D1365">
        <v>6219</v>
      </c>
      <c r="E1365" t="str">
        <f>"3F"</f>
        <v>3F</v>
      </c>
      <c r="F1365" t="str">
        <f t="shared" si="170"/>
        <v>001</v>
      </c>
      <c r="G1365">
        <v>9</v>
      </c>
      <c r="H1365" t="str">
        <f t="shared" si="169"/>
        <v>91</v>
      </c>
      <c r="I1365" t="str">
        <f>"0"</f>
        <v>0</v>
      </c>
      <c r="J1365" t="str">
        <f t="shared" si="171"/>
        <v>39</v>
      </c>
      <c r="K1365">
        <v>20181116</v>
      </c>
      <c r="L1365" t="str">
        <f>"074667"</f>
        <v>074667</v>
      </c>
      <c r="M1365" t="str">
        <f>"20433"</f>
        <v>20433</v>
      </c>
      <c r="N1365" t="s">
        <v>332</v>
      </c>
      <c r="O1365">
        <v>50</v>
      </c>
      <c r="P1365">
        <v>20181115</v>
      </c>
      <c r="Q1365" t="s">
        <v>333</v>
      </c>
      <c r="R1365" t="s">
        <v>531</v>
      </c>
      <c r="S1365" t="s">
        <v>295</v>
      </c>
      <c r="T1365" t="s">
        <v>301</v>
      </c>
    </row>
    <row r="1366" spans="1:20" x14ac:dyDescent="0.25">
      <c r="A1366">
        <v>9</v>
      </c>
      <c r="B1366">
        <v>181</v>
      </c>
      <c r="C1366" t="str">
        <f t="shared" si="168"/>
        <v>36</v>
      </c>
      <c r="D1366">
        <v>6412</v>
      </c>
      <c r="E1366" t="str">
        <f>"3G"</f>
        <v>3G</v>
      </c>
      <c r="F1366" t="str">
        <f t="shared" si="170"/>
        <v>001</v>
      </c>
      <c r="G1366">
        <v>9</v>
      </c>
      <c r="H1366" t="str">
        <f t="shared" si="169"/>
        <v>91</v>
      </c>
      <c r="I1366" t="str">
        <f>"1"</f>
        <v>1</v>
      </c>
      <c r="J1366" t="str">
        <f t="shared" si="171"/>
        <v>39</v>
      </c>
      <c r="K1366">
        <v>20181116</v>
      </c>
      <c r="L1366" t="str">
        <f>"074668"</f>
        <v>074668</v>
      </c>
      <c r="M1366" t="str">
        <f>"20463"</f>
        <v>20463</v>
      </c>
      <c r="N1366" t="s">
        <v>509</v>
      </c>
      <c r="O1366">
        <v>39.46</v>
      </c>
      <c r="P1366">
        <v>20181115</v>
      </c>
      <c r="Q1366" t="s">
        <v>588</v>
      </c>
      <c r="R1366" t="s">
        <v>646</v>
      </c>
      <c r="S1366" t="s">
        <v>295</v>
      </c>
      <c r="T1366" t="s">
        <v>301</v>
      </c>
    </row>
    <row r="1367" spans="1:20" x14ac:dyDescent="0.25">
      <c r="A1367">
        <v>9</v>
      </c>
      <c r="B1367">
        <v>181</v>
      </c>
      <c r="C1367" t="str">
        <f t="shared" si="168"/>
        <v>36</v>
      </c>
      <c r="D1367">
        <v>6412</v>
      </c>
      <c r="E1367" t="str">
        <f>"3S"</f>
        <v>3S</v>
      </c>
      <c r="F1367" t="str">
        <f t="shared" si="170"/>
        <v>001</v>
      </c>
      <c r="G1367">
        <v>9</v>
      </c>
      <c r="H1367" t="str">
        <f t="shared" si="169"/>
        <v>91</v>
      </c>
      <c r="I1367" t="str">
        <f>"1"</f>
        <v>1</v>
      </c>
      <c r="J1367" t="str">
        <f t="shared" si="171"/>
        <v>39</v>
      </c>
      <c r="K1367">
        <v>20181116</v>
      </c>
      <c r="L1367" t="str">
        <f>"074669"</f>
        <v>074669</v>
      </c>
      <c r="M1367" t="str">
        <f>"51346"</f>
        <v>51346</v>
      </c>
      <c r="N1367" t="s">
        <v>418</v>
      </c>
      <c r="O1367">
        <v>123.5</v>
      </c>
      <c r="P1367">
        <v>20181115</v>
      </c>
      <c r="Q1367" t="s">
        <v>514</v>
      </c>
      <c r="R1367" t="s">
        <v>647</v>
      </c>
      <c r="S1367" t="s">
        <v>295</v>
      </c>
      <c r="T1367" t="s">
        <v>301</v>
      </c>
    </row>
    <row r="1368" spans="1:20" x14ac:dyDescent="0.25">
      <c r="A1368">
        <v>9</v>
      </c>
      <c r="B1368">
        <v>181</v>
      </c>
      <c r="C1368" t="str">
        <f t="shared" si="168"/>
        <v>36</v>
      </c>
      <c r="D1368">
        <v>6219</v>
      </c>
      <c r="E1368" t="str">
        <f>"3F"</f>
        <v>3F</v>
      </c>
      <c r="F1368" t="str">
        <f t="shared" si="170"/>
        <v>001</v>
      </c>
      <c r="G1368">
        <v>9</v>
      </c>
      <c r="H1368" t="str">
        <f t="shared" si="169"/>
        <v>91</v>
      </c>
      <c r="I1368" t="str">
        <f>"1"</f>
        <v>1</v>
      </c>
      <c r="J1368" t="str">
        <f t="shared" si="171"/>
        <v>39</v>
      </c>
      <c r="K1368">
        <v>20181116</v>
      </c>
      <c r="L1368" t="str">
        <f>"074685"</f>
        <v>074685</v>
      </c>
      <c r="M1368" t="str">
        <f>"30118"</f>
        <v>30118</v>
      </c>
      <c r="N1368" t="s">
        <v>347</v>
      </c>
      <c r="O1368">
        <v>128</v>
      </c>
      <c r="P1368">
        <v>20181115</v>
      </c>
      <c r="Q1368" t="s">
        <v>327</v>
      </c>
      <c r="R1368" t="s">
        <v>531</v>
      </c>
      <c r="S1368" t="s">
        <v>295</v>
      </c>
      <c r="T1368" t="s">
        <v>301</v>
      </c>
    </row>
    <row r="1369" spans="1:20" x14ac:dyDescent="0.25">
      <c r="A1369">
        <v>9</v>
      </c>
      <c r="B1369">
        <v>181</v>
      </c>
      <c r="C1369" t="str">
        <f t="shared" si="168"/>
        <v>36</v>
      </c>
      <c r="D1369">
        <v>6412</v>
      </c>
      <c r="E1369" t="str">
        <f>"3S"</f>
        <v>3S</v>
      </c>
      <c r="F1369" t="str">
        <f t="shared" si="170"/>
        <v>001</v>
      </c>
      <c r="G1369">
        <v>9</v>
      </c>
      <c r="H1369" t="str">
        <f t="shared" si="169"/>
        <v>91</v>
      </c>
      <c r="I1369" t="str">
        <f>"2"</f>
        <v>2</v>
      </c>
      <c r="J1369" t="str">
        <f t="shared" si="171"/>
        <v>39</v>
      </c>
      <c r="K1369">
        <v>20181116</v>
      </c>
      <c r="L1369" t="str">
        <f>"074686"</f>
        <v>074686</v>
      </c>
      <c r="M1369" t="str">
        <f>"30155"</f>
        <v>30155</v>
      </c>
      <c r="N1369" t="s">
        <v>648</v>
      </c>
      <c r="O1369">
        <v>10</v>
      </c>
      <c r="P1369">
        <v>20181115</v>
      </c>
      <c r="Q1369" t="s">
        <v>547</v>
      </c>
      <c r="R1369" t="s">
        <v>649</v>
      </c>
      <c r="S1369" t="s">
        <v>295</v>
      </c>
      <c r="T1369" t="s">
        <v>301</v>
      </c>
    </row>
    <row r="1370" spans="1:20" x14ac:dyDescent="0.25">
      <c r="A1370">
        <v>9</v>
      </c>
      <c r="B1370">
        <v>181</v>
      </c>
      <c r="C1370" t="str">
        <f t="shared" si="168"/>
        <v>36</v>
      </c>
      <c r="D1370">
        <v>6412</v>
      </c>
      <c r="E1370" t="str">
        <f>"3S"</f>
        <v>3S</v>
      </c>
      <c r="F1370" t="str">
        <f t="shared" si="170"/>
        <v>001</v>
      </c>
      <c r="G1370">
        <v>9</v>
      </c>
      <c r="H1370" t="str">
        <f t="shared" si="169"/>
        <v>91</v>
      </c>
      <c r="I1370" t="str">
        <f>"2"</f>
        <v>2</v>
      </c>
      <c r="J1370" t="str">
        <f t="shared" si="171"/>
        <v>39</v>
      </c>
      <c r="K1370">
        <v>20181116</v>
      </c>
      <c r="L1370" t="str">
        <f>"074686"</f>
        <v>074686</v>
      </c>
      <c r="M1370" t="str">
        <f>"30155"</f>
        <v>30155</v>
      </c>
      <c r="N1370" t="s">
        <v>648</v>
      </c>
      <c r="O1370">
        <v>190</v>
      </c>
      <c r="P1370">
        <v>20181115</v>
      </c>
      <c r="Q1370" t="s">
        <v>547</v>
      </c>
      <c r="R1370" t="s">
        <v>650</v>
      </c>
      <c r="S1370" t="s">
        <v>295</v>
      </c>
      <c r="T1370" t="s">
        <v>301</v>
      </c>
    </row>
    <row r="1371" spans="1:20" x14ac:dyDescent="0.25">
      <c r="A1371">
        <v>9</v>
      </c>
      <c r="B1371">
        <v>181</v>
      </c>
      <c r="C1371" t="str">
        <f t="shared" si="168"/>
        <v>36</v>
      </c>
      <c r="D1371">
        <v>6412</v>
      </c>
      <c r="E1371" t="str">
        <f>"3D"</f>
        <v>3D</v>
      </c>
      <c r="F1371" t="str">
        <f>"041"</f>
        <v>041</v>
      </c>
      <c r="G1371">
        <v>9</v>
      </c>
      <c r="H1371" t="str">
        <f t="shared" si="169"/>
        <v>91</v>
      </c>
      <c r="I1371" t="str">
        <f>"2"</f>
        <v>2</v>
      </c>
      <c r="J1371" t="str">
        <f>"41"</f>
        <v>41</v>
      </c>
      <c r="K1371">
        <v>20181116</v>
      </c>
      <c r="L1371" t="str">
        <f>"074687"</f>
        <v>074687</v>
      </c>
      <c r="M1371" t="str">
        <f>"30155"</f>
        <v>30155</v>
      </c>
      <c r="N1371" t="s">
        <v>648</v>
      </c>
      <c r="O1371">
        <v>250</v>
      </c>
      <c r="P1371">
        <v>20181115</v>
      </c>
      <c r="Q1371" t="s">
        <v>460</v>
      </c>
      <c r="R1371" t="s">
        <v>651</v>
      </c>
      <c r="S1371" t="s">
        <v>295</v>
      </c>
      <c r="T1371" t="s">
        <v>106</v>
      </c>
    </row>
    <row r="1372" spans="1:20" x14ac:dyDescent="0.25">
      <c r="A1372">
        <v>9</v>
      </c>
      <c r="B1372">
        <v>181</v>
      </c>
      <c r="C1372" t="str">
        <f t="shared" si="168"/>
        <v>36</v>
      </c>
      <c r="D1372">
        <v>6412</v>
      </c>
      <c r="E1372" t="str">
        <f>"3G"</f>
        <v>3G</v>
      </c>
      <c r="F1372" t="str">
        <f>"001"</f>
        <v>001</v>
      </c>
      <c r="G1372">
        <v>9</v>
      </c>
      <c r="H1372" t="str">
        <f t="shared" si="169"/>
        <v>91</v>
      </c>
      <c r="I1372" t="str">
        <f>"1"</f>
        <v>1</v>
      </c>
      <c r="J1372" t="str">
        <f>"39"</f>
        <v>39</v>
      </c>
      <c r="K1372">
        <v>20181116</v>
      </c>
      <c r="L1372" t="str">
        <f>"074688"</f>
        <v>074688</v>
      </c>
      <c r="M1372" t="str">
        <f>"30837"</f>
        <v>30837</v>
      </c>
      <c r="N1372" t="s">
        <v>621</v>
      </c>
      <c r="O1372">
        <v>45.25</v>
      </c>
      <c r="P1372">
        <v>20181115</v>
      </c>
      <c r="Q1372" t="s">
        <v>588</v>
      </c>
      <c r="R1372" t="s">
        <v>652</v>
      </c>
      <c r="S1372" t="s">
        <v>295</v>
      </c>
      <c r="T1372" t="s">
        <v>301</v>
      </c>
    </row>
    <row r="1373" spans="1:20" x14ac:dyDescent="0.25">
      <c r="A1373">
        <v>9</v>
      </c>
      <c r="B1373">
        <v>181</v>
      </c>
      <c r="C1373" t="str">
        <f t="shared" si="168"/>
        <v>36</v>
      </c>
      <c r="D1373">
        <v>6219</v>
      </c>
      <c r="E1373" t="str">
        <f>"3F"</f>
        <v>3F</v>
      </c>
      <c r="F1373" t="str">
        <f>"001"</f>
        <v>001</v>
      </c>
      <c r="G1373">
        <v>9</v>
      </c>
      <c r="H1373" t="str">
        <f t="shared" si="169"/>
        <v>91</v>
      </c>
      <c r="I1373" t="str">
        <f>"0"</f>
        <v>0</v>
      </c>
      <c r="J1373" t="str">
        <f>"39"</f>
        <v>39</v>
      </c>
      <c r="K1373">
        <v>20181116</v>
      </c>
      <c r="L1373" t="str">
        <f>"074690"</f>
        <v>074690</v>
      </c>
      <c r="M1373" t="str">
        <f>"33773"</f>
        <v>33773</v>
      </c>
      <c r="N1373" t="s">
        <v>653</v>
      </c>
      <c r="O1373">
        <v>110</v>
      </c>
      <c r="P1373">
        <v>20181115</v>
      </c>
      <c r="Q1373" t="s">
        <v>333</v>
      </c>
      <c r="R1373" t="s">
        <v>531</v>
      </c>
      <c r="S1373" t="s">
        <v>295</v>
      </c>
      <c r="T1373" t="s">
        <v>301</v>
      </c>
    </row>
    <row r="1374" spans="1:20" x14ac:dyDescent="0.25">
      <c r="A1374">
        <v>9</v>
      </c>
      <c r="B1374">
        <v>181</v>
      </c>
      <c r="C1374" t="str">
        <f t="shared" si="168"/>
        <v>36</v>
      </c>
      <c r="D1374">
        <v>6219</v>
      </c>
      <c r="E1374" t="str">
        <f>"3F"</f>
        <v>3F</v>
      </c>
      <c r="F1374" t="str">
        <f>"001"</f>
        <v>001</v>
      </c>
      <c r="G1374">
        <v>9</v>
      </c>
      <c r="H1374" t="str">
        <f t="shared" si="169"/>
        <v>91</v>
      </c>
      <c r="I1374" t="str">
        <f>"0"</f>
        <v>0</v>
      </c>
      <c r="J1374" t="str">
        <f>"39"</f>
        <v>39</v>
      </c>
      <c r="K1374">
        <v>20181116</v>
      </c>
      <c r="L1374" t="str">
        <f>"074704"</f>
        <v>074704</v>
      </c>
      <c r="M1374" t="str">
        <f>"49880"</f>
        <v>49880</v>
      </c>
      <c r="N1374" t="s">
        <v>654</v>
      </c>
      <c r="O1374">
        <v>105</v>
      </c>
      <c r="P1374">
        <v>20181115</v>
      </c>
      <c r="Q1374" t="s">
        <v>333</v>
      </c>
      <c r="R1374" t="s">
        <v>445</v>
      </c>
      <c r="S1374" t="s">
        <v>295</v>
      </c>
      <c r="T1374" t="s">
        <v>301</v>
      </c>
    </row>
    <row r="1375" spans="1:20" x14ac:dyDescent="0.25">
      <c r="A1375">
        <v>9</v>
      </c>
      <c r="B1375">
        <v>181</v>
      </c>
      <c r="C1375" t="str">
        <f>"00"</f>
        <v>00</v>
      </c>
      <c r="D1375">
        <v>1109</v>
      </c>
      <c r="E1375" t="str">
        <f>"02"</f>
        <v>02</v>
      </c>
      <c r="F1375" t="str">
        <f>"000"</f>
        <v>000</v>
      </c>
      <c r="G1375">
        <v>9</v>
      </c>
      <c r="H1375" t="str">
        <f>"00"</f>
        <v>00</v>
      </c>
      <c r="I1375" t="str">
        <f>"0"</f>
        <v>0</v>
      </c>
      <c r="J1375" t="str">
        <f>"00"</f>
        <v>00</v>
      </c>
      <c r="K1375">
        <v>20181116</v>
      </c>
      <c r="L1375" t="str">
        <f>"074706"</f>
        <v>074706</v>
      </c>
      <c r="M1375" t="str">
        <f>"52196"</f>
        <v>52196</v>
      </c>
      <c r="N1375" t="s">
        <v>292</v>
      </c>
      <c r="O1375" s="1">
        <v>2000</v>
      </c>
      <c r="P1375">
        <v>20181115</v>
      </c>
      <c r="Q1375" t="s">
        <v>655</v>
      </c>
      <c r="R1375" t="s">
        <v>656</v>
      </c>
      <c r="S1375" t="s">
        <v>295</v>
      </c>
      <c r="T1375" t="s">
        <v>296</v>
      </c>
    </row>
    <row r="1376" spans="1:20" x14ac:dyDescent="0.25">
      <c r="A1376">
        <v>9</v>
      </c>
      <c r="B1376">
        <v>181</v>
      </c>
      <c r="C1376" t="str">
        <f t="shared" ref="C1376:C1439" si="173">"36"</f>
        <v>36</v>
      </c>
      <c r="D1376">
        <v>6219</v>
      </c>
      <c r="E1376" t="str">
        <f t="shared" ref="E1376:E1381" si="174">"3F"</f>
        <v>3F</v>
      </c>
      <c r="F1376" t="str">
        <f t="shared" ref="F1376:F1384" si="175">"001"</f>
        <v>001</v>
      </c>
      <c r="G1376">
        <v>9</v>
      </c>
      <c r="H1376" t="str">
        <f t="shared" ref="H1376:H1439" si="176">"91"</f>
        <v>91</v>
      </c>
      <c r="I1376" t="str">
        <f>"0"</f>
        <v>0</v>
      </c>
      <c r="J1376" t="str">
        <f t="shared" ref="J1376:J1384" si="177">"39"</f>
        <v>39</v>
      </c>
      <c r="K1376">
        <v>20181116</v>
      </c>
      <c r="L1376" t="str">
        <f>"074707"</f>
        <v>074707</v>
      </c>
      <c r="M1376" t="str">
        <f>"00080"</f>
        <v>00080</v>
      </c>
      <c r="N1376" t="s">
        <v>657</v>
      </c>
      <c r="O1376">
        <v>110</v>
      </c>
      <c r="P1376">
        <v>20181115</v>
      </c>
      <c r="Q1376" t="s">
        <v>333</v>
      </c>
      <c r="R1376" t="s">
        <v>531</v>
      </c>
      <c r="S1376" t="s">
        <v>295</v>
      </c>
      <c r="T1376" t="s">
        <v>301</v>
      </c>
    </row>
    <row r="1377" spans="1:20" x14ac:dyDescent="0.25">
      <c r="A1377">
        <v>9</v>
      </c>
      <c r="B1377">
        <v>181</v>
      </c>
      <c r="C1377" t="str">
        <f t="shared" si="173"/>
        <v>36</v>
      </c>
      <c r="D1377">
        <v>6219</v>
      </c>
      <c r="E1377" t="str">
        <f t="shared" si="174"/>
        <v>3F</v>
      </c>
      <c r="F1377" t="str">
        <f t="shared" si="175"/>
        <v>001</v>
      </c>
      <c r="G1377">
        <v>9</v>
      </c>
      <c r="H1377" t="str">
        <f t="shared" si="176"/>
        <v>91</v>
      </c>
      <c r="I1377" t="str">
        <f>"1"</f>
        <v>1</v>
      </c>
      <c r="J1377" t="str">
        <f t="shared" si="177"/>
        <v>39</v>
      </c>
      <c r="K1377">
        <v>20181116</v>
      </c>
      <c r="L1377" t="str">
        <f>"074708"</f>
        <v>074708</v>
      </c>
      <c r="M1377" t="str">
        <f>"57974"</f>
        <v>57974</v>
      </c>
      <c r="N1377" t="s">
        <v>371</v>
      </c>
      <c r="O1377">
        <v>128</v>
      </c>
      <c r="P1377">
        <v>20181115</v>
      </c>
      <c r="Q1377" t="s">
        <v>327</v>
      </c>
      <c r="R1377" t="s">
        <v>531</v>
      </c>
      <c r="S1377" t="s">
        <v>295</v>
      </c>
      <c r="T1377" t="s">
        <v>301</v>
      </c>
    </row>
    <row r="1378" spans="1:20" x14ac:dyDescent="0.25">
      <c r="A1378">
        <v>9</v>
      </c>
      <c r="B1378">
        <v>181</v>
      </c>
      <c r="C1378" t="str">
        <f t="shared" si="173"/>
        <v>36</v>
      </c>
      <c r="D1378">
        <v>6219</v>
      </c>
      <c r="E1378" t="str">
        <f t="shared" si="174"/>
        <v>3F</v>
      </c>
      <c r="F1378" t="str">
        <f t="shared" si="175"/>
        <v>001</v>
      </c>
      <c r="G1378">
        <v>9</v>
      </c>
      <c r="H1378" t="str">
        <f t="shared" si="176"/>
        <v>91</v>
      </c>
      <c r="I1378" t="str">
        <f>"1"</f>
        <v>1</v>
      </c>
      <c r="J1378" t="str">
        <f t="shared" si="177"/>
        <v>39</v>
      </c>
      <c r="K1378">
        <v>20181116</v>
      </c>
      <c r="L1378" t="str">
        <f>"074715"</f>
        <v>074715</v>
      </c>
      <c r="M1378" t="str">
        <f>"63670"</f>
        <v>63670</v>
      </c>
      <c r="N1378" t="s">
        <v>383</v>
      </c>
      <c r="O1378">
        <v>128</v>
      </c>
      <c r="P1378">
        <v>20181115</v>
      </c>
      <c r="Q1378" t="s">
        <v>327</v>
      </c>
      <c r="R1378" t="s">
        <v>531</v>
      </c>
      <c r="S1378" t="s">
        <v>295</v>
      </c>
      <c r="T1378" t="s">
        <v>301</v>
      </c>
    </row>
    <row r="1379" spans="1:20" x14ac:dyDescent="0.25">
      <c r="A1379">
        <v>9</v>
      </c>
      <c r="B1379">
        <v>181</v>
      </c>
      <c r="C1379" t="str">
        <f t="shared" si="173"/>
        <v>36</v>
      </c>
      <c r="D1379">
        <v>6219</v>
      </c>
      <c r="E1379" t="str">
        <f t="shared" si="174"/>
        <v>3F</v>
      </c>
      <c r="F1379" t="str">
        <f t="shared" si="175"/>
        <v>001</v>
      </c>
      <c r="G1379">
        <v>9</v>
      </c>
      <c r="H1379" t="str">
        <f t="shared" si="176"/>
        <v>91</v>
      </c>
      <c r="I1379" t="str">
        <f t="shared" ref="I1379:I1385" si="178">"0"</f>
        <v>0</v>
      </c>
      <c r="J1379" t="str">
        <f t="shared" si="177"/>
        <v>39</v>
      </c>
      <c r="K1379">
        <v>20181116</v>
      </c>
      <c r="L1379" t="str">
        <f>"074717"</f>
        <v>074717</v>
      </c>
      <c r="M1379" t="str">
        <f>"64825"</f>
        <v>64825</v>
      </c>
      <c r="N1379" t="s">
        <v>658</v>
      </c>
      <c r="O1379">
        <v>110</v>
      </c>
      <c r="P1379">
        <v>20181115</v>
      </c>
      <c r="Q1379" t="s">
        <v>333</v>
      </c>
      <c r="R1379" t="s">
        <v>531</v>
      </c>
      <c r="S1379" t="s">
        <v>295</v>
      </c>
      <c r="T1379" t="s">
        <v>301</v>
      </c>
    </row>
    <row r="1380" spans="1:20" x14ac:dyDescent="0.25">
      <c r="A1380">
        <v>9</v>
      </c>
      <c r="B1380">
        <v>181</v>
      </c>
      <c r="C1380" t="str">
        <f t="shared" si="173"/>
        <v>36</v>
      </c>
      <c r="D1380">
        <v>6219</v>
      </c>
      <c r="E1380" t="str">
        <f t="shared" si="174"/>
        <v>3F</v>
      </c>
      <c r="F1380" t="str">
        <f t="shared" si="175"/>
        <v>001</v>
      </c>
      <c r="G1380">
        <v>9</v>
      </c>
      <c r="H1380" t="str">
        <f t="shared" si="176"/>
        <v>91</v>
      </c>
      <c r="I1380" t="str">
        <f t="shared" si="178"/>
        <v>0</v>
      </c>
      <c r="J1380" t="str">
        <f t="shared" si="177"/>
        <v>39</v>
      </c>
      <c r="K1380">
        <v>20181116</v>
      </c>
      <c r="L1380" t="str">
        <f>"074718"</f>
        <v>074718</v>
      </c>
      <c r="M1380" t="str">
        <f>"00631"</f>
        <v>00631</v>
      </c>
      <c r="N1380" t="s">
        <v>659</v>
      </c>
      <c r="O1380">
        <v>110</v>
      </c>
      <c r="P1380">
        <v>20181115</v>
      </c>
      <c r="Q1380" t="s">
        <v>333</v>
      </c>
      <c r="R1380" t="s">
        <v>531</v>
      </c>
      <c r="S1380" t="s">
        <v>295</v>
      </c>
      <c r="T1380" t="s">
        <v>301</v>
      </c>
    </row>
    <row r="1381" spans="1:20" x14ac:dyDescent="0.25">
      <c r="A1381">
        <v>9</v>
      </c>
      <c r="B1381">
        <v>181</v>
      </c>
      <c r="C1381" t="str">
        <f t="shared" si="173"/>
        <v>36</v>
      </c>
      <c r="D1381">
        <v>6219</v>
      </c>
      <c r="E1381" t="str">
        <f t="shared" si="174"/>
        <v>3F</v>
      </c>
      <c r="F1381" t="str">
        <f t="shared" si="175"/>
        <v>001</v>
      </c>
      <c r="G1381">
        <v>9</v>
      </c>
      <c r="H1381" t="str">
        <f t="shared" si="176"/>
        <v>91</v>
      </c>
      <c r="I1381" t="str">
        <f t="shared" si="178"/>
        <v>0</v>
      </c>
      <c r="J1381" t="str">
        <f t="shared" si="177"/>
        <v>39</v>
      </c>
      <c r="K1381">
        <v>20181116</v>
      </c>
      <c r="L1381" t="str">
        <f>"074721"</f>
        <v>074721</v>
      </c>
      <c r="M1381" t="str">
        <f>"00630"</f>
        <v>00630</v>
      </c>
      <c r="N1381" t="s">
        <v>660</v>
      </c>
      <c r="O1381">
        <v>110</v>
      </c>
      <c r="P1381">
        <v>20181115</v>
      </c>
      <c r="Q1381" t="s">
        <v>333</v>
      </c>
      <c r="R1381" t="s">
        <v>531</v>
      </c>
      <c r="S1381" t="s">
        <v>295</v>
      </c>
      <c r="T1381" t="s">
        <v>301</v>
      </c>
    </row>
    <row r="1382" spans="1:20" x14ac:dyDescent="0.25">
      <c r="A1382">
        <v>9</v>
      </c>
      <c r="B1382">
        <v>181</v>
      </c>
      <c r="C1382" t="str">
        <f t="shared" si="173"/>
        <v>36</v>
      </c>
      <c r="D1382">
        <v>6495</v>
      </c>
      <c r="E1382" t="str">
        <f>"33"</f>
        <v>33</v>
      </c>
      <c r="F1382" t="str">
        <f t="shared" si="175"/>
        <v>001</v>
      </c>
      <c r="G1382">
        <v>9</v>
      </c>
      <c r="H1382" t="str">
        <f t="shared" si="176"/>
        <v>91</v>
      </c>
      <c r="I1382" t="str">
        <f t="shared" si="178"/>
        <v>0</v>
      </c>
      <c r="J1382" t="str">
        <f t="shared" si="177"/>
        <v>39</v>
      </c>
      <c r="K1382">
        <v>20181116</v>
      </c>
      <c r="L1382" t="str">
        <f>"074723"</f>
        <v>074723</v>
      </c>
      <c r="M1382" t="str">
        <f>"76535"</f>
        <v>76535</v>
      </c>
      <c r="N1382" t="s">
        <v>661</v>
      </c>
      <c r="O1382">
        <v>90</v>
      </c>
      <c r="P1382">
        <v>20181115</v>
      </c>
      <c r="Q1382" t="s">
        <v>662</v>
      </c>
      <c r="R1382" t="s">
        <v>663</v>
      </c>
      <c r="S1382" t="s">
        <v>295</v>
      </c>
      <c r="T1382" t="s">
        <v>301</v>
      </c>
    </row>
    <row r="1383" spans="1:20" x14ac:dyDescent="0.25">
      <c r="A1383">
        <v>9</v>
      </c>
      <c r="B1383">
        <v>181</v>
      </c>
      <c r="C1383" t="str">
        <f t="shared" si="173"/>
        <v>36</v>
      </c>
      <c r="D1383">
        <v>6499</v>
      </c>
      <c r="E1383" t="str">
        <f>"33"</f>
        <v>33</v>
      </c>
      <c r="F1383" t="str">
        <f t="shared" si="175"/>
        <v>001</v>
      </c>
      <c r="G1383">
        <v>9</v>
      </c>
      <c r="H1383" t="str">
        <f t="shared" si="176"/>
        <v>91</v>
      </c>
      <c r="I1383" t="str">
        <f t="shared" si="178"/>
        <v>0</v>
      </c>
      <c r="J1383" t="str">
        <f t="shared" si="177"/>
        <v>39</v>
      </c>
      <c r="K1383">
        <v>20181116</v>
      </c>
      <c r="L1383" t="str">
        <f>"074723"</f>
        <v>074723</v>
      </c>
      <c r="M1383" t="str">
        <f>"76535"</f>
        <v>76535</v>
      </c>
      <c r="N1383" t="s">
        <v>661</v>
      </c>
      <c r="O1383">
        <v>90</v>
      </c>
      <c r="P1383">
        <v>20181115</v>
      </c>
      <c r="Q1383" t="s">
        <v>664</v>
      </c>
      <c r="R1383" t="s">
        <v>663</v>
      </c>
      <c r="S1383" t="s">
        <v>295</v>
      </c>
      <c r="T1383" t="s">
        <v>301</v>
      </c>
    </row>
    <row r="1384" spans="1:20" x14ac:dyDescent="0.25">
      <c r="A1384">
        <v>9</v>
      </c>
      <c r="B1384">
        <v>181</v>
      </c>
      <c r="C1384" t="str">
        <f t="shared" si="173"/>
        <v>36</v>
      </c>
      <c r="D1384">
        <v>6319</v>
      </c>
      <c r="E1384" t="str">
        <f>"30"</f>
        <v>30</v>
      </c>
      <c r="F1384" t="str">
        <f t="shared" si="175"/>
        <v>001</v>
      </c>
      <c r="G1384">
        <v>9</v>
      </c>
      <c r="H1384" t="str">
        <f t="shared" si="176"/>
        <v>91</v>
      </c>
      <c r="I1384" t="str">
        <f t="shared" si="178"/>
        <v>0</v>
      </c>
      <c r="J1384" t="str">
        <f t="shared" si="177"/>
        <v>39</v>
      </c>
      <c r="K1384">
        <v>20181116</v>
      </c>
      <c r="L1384" t="str">
        <f>"074728"</f>
        <v>074728</v>
      </c>
      <c r="M1384" t="str">
        <f>"79680"</f>
        <v>79680</v>
      </c>
      <c r="N1384" t="s">
        <v>500</v>
      </c>
      <c r="O1384">
        <v>53.5</v>
      </c>
      <c r="P1384">
        <v>20181115</v>
      </c>
      <c r="Q1384" t="s">
        <v>501</v>
      </c>
      <c r="R1384" t="s">
        <v>665</v>
      </c>
      <c r="S1384" t="s">
        <v>295</v>
      </c>
      <c r="T1384" t="s">
        <v>301</v>
      </c>
    </row>
    <row r="1385" spans="1:20" x14ac:dyDescent="0.25">
      <c r="A1385">
        <v>9</v>
      </c>
      <c r="B1385">
        <v>181</v>
      </c>
      <c r="C1385" t="str">
        <f t="shared" si="173"/>
        <v>36</v>
      </c>
      <c r="D1385">
        <v>6319</v>
      </c>
      <c r="E1385" t="str">
        <f>"30"</f>
        <v>30</v>
      </c>
      <c r="F1385" t="str">
        <f>"041"</f>
        <v>041</v>
      </c>
      <c r="G1385">
        <v>9</v>
      </c>
      <c r="H1385" t="str">
        <f t="shared" si="176"/>
        <v>91</v>
      </c>
      <c r="I1385" t="str">
        <f t="shared" si="178"/>
        <v>0</v>
      </c>
      <c r="J1385" t="str">
        <f>"41"</f>
        <v>41</v>
      </c>
      <c r="K1385">
        <v>20181116</v>
      </c>
      <c r="L1385" t="str">
        <f>"074728"</f>
        <v>074728</v>
      </c>
      <c r="M1385" t="str">
        <f>"79680"</f>
        <v>79680</v>
      </c>
      <c r="N1385" t="s">
        <v>500</v>
      </c>
      <c r="O1385">
        <v>106.5</v>
      </c>
      <c r="P1385">
        <v>20181115</v>
      </c>
      <c r="Q1385" t="s">
        <v>503</v>
      </c>
      <c r="R1385" t="s">
        <v>665</v>
      </c>
      <c r="S1385" t="s">
        <v>295</v>
      </c>
      <c r="T1385" t="s">
        <v>106</v>
      </c>
    </row>
    <row r="1386" spans="1:20" x14ac:dyDescent="0.25">
      <c r="A1386">
        <v>9</v>
      </c>
      <c r="B1386">
        <v>181</v>
      </c>
      <c r="C1386" t="str">
        <f t="shared" si="173"/>
        <v>36</v>
      </c>
      <c r="D1386">
        <v>6412</v>
      </c>
      <c r="E1386" t="str">
        <f>"3G"</f>
        <v>3G</v>
      </c>
      <c r="F1386" t="str">
        <f t="shared" ref="F1386:F1393" si="179">"001"</f>
        <v>001</v>
      </c>
      <c r="G1386">
        <v>9</v>
      </c>
      <c r="H1386" t="str">
        <f t="shared" si="176"/>
        <v>91</v>
      </c>
      <c r="I1386" t="str">
        <f>"2"</f>
        <v>2</v>
      </c>
      <c r="J1386" t="str">
        <f t="shared" ref="J1386:J1393" si="180">"39"</f>
        <v>39</v>
      </c>
      <c r="K1386">
        <v>20181116</v>
      </c>
      <c r="L1386" t="str">
        <f>"074730"</f>
        <v>074730</v>
      </c>
      <c r="M1386" t="str">
        <f>"82491"</f>
        <v>82491</v>
      </c>
      <c r="N1386" t="s">
        <v>666</v>
      </c>
      <c r="O1386">
        <v>500</v>
      </c>
      <c r="P1386">
        <v>20181115</v>
      </c>
      <c r="Q1386" t="s">
        <v>309</v>
      </c>
      <c r="R1386" t="s">
        <v>667</v>
      </c>
      <c r="S1386" t="s">
        <v>295</v>
      </c>
      <c r="T1386" t="s">
        <v>301</v>
      </c>
    </row>
    <row r="1387" spans="1:20" x14ac:dyDescent="0.25">
      <c r="A1387">
        <v>9</v>
      </c>
      <c r="B1387">
        <v>181</v>
      </c>
      <c r="C1387" t="str">
        <f t="shared" si="173"/>
        <v>36</v>
      </c>
      <c r="D1387">
        <v>6412</v>
      </c>
      <c r="E1387" t="str">
        <f>"3B"</f>
        <v>3B</v>
      </c>
      <c r="F1387" t="str">
        <f t="shared" si="179"/>
        <v>001</v>
      </c>
      <c r="G1387">
        <v>9</v>
      </c>
      <c r="H1387" t="str">
        <f t="shared" si="176"/>
        <v>91</v>
      </c>
      <c r="I1387" t="str">
        <f t="shared" ref="I1387:I1401" si="181">"1"</f>
        <v>1</v>
      </c>
      <c r="J1387" t="str">
        <f t="shared" si="180"/>
        <v>39</v>
      </c>
      <c r="K1387">
        <v>20181116</v>
      </c>
      <c r="L1387" t="str">
        <f t="shared" ref="L1387:L1396" si="182">"074733"</f>
        <v>074733</v>
      </c>
      <c r="M1387" t="str">
        <f t="shared" ref="M1387:M1398" si="183">"84370"</f>
        <v>84370</v>
      </c>
      <c r="N1387" t="s">
        <v>395</v>
      </c>
      <c r="O1387">
        <v>102.31</v>
      </c>
      <c r="P1387">
        <v>20181115</v>
      </c>
      <c r="Q1387" t="s">
        <v>668</v>
      </c>
      <c r="R1387" t="s">
        <v>669</v>
      </c>
      <c r="S1387" t="s">
        <v>295</v>
      </c>
      <c r="T1387" t="s">
        <v>301</v>
      </c>
    </row>
    <row r="1388" spans="1:20" x14ac:dyDescent="0.25">
      <c r="A1388">
        <v>9</v>
      </c>
      <c r="B1388">
        <v>181</v>
      </c>
      <c r="C1388" t="str">
        <f t="shared" si="173"/>
        <v>36</v>
      </c>
      <c r="D1388">
        <v>6412</v>
      </c>
      <c r="E1388" t="str">
        <f t="shared" ref="E1388:E1396" si="184">"3F"</f>
        <v>3F</v>
      </c>
      <c r="F1388" t="str">
        <f t="shared" si="179"/>
        <v>001</v>
      </c>
      <c r="G1388">
        <v>9</v>
      </c>
      <c r="H1388" t="str">
        <f t="shared" si="176"/>
        <v>91</v>
      </c>
      <c r="I1388" t="str">
        <f t="shared" si="181"/>
        <v>1</v>
      </c>
      <c r="J1388" t="str">
        <f t="shared" si="180"/>
        <v>39</v>
      </c>
      <c r="K1388">
        <v>20181116</v>
      </c>
      <c r="L1388" t="str">
        <f t="shared" si="182"/>
        <v>074733</v>
      </c>
      <c r="M1388" t="str">
        <f t="shared" si="183"/>
        <v>84370</v>
      </c>
      <c r="N1388" t="s">
        <v>395</v>
      </c>
      <c r="O1388">
        <v>239.4</v>
      </c>
      <c r="P1388">
        <v>20181115</v>
      </c>
      <c r="Q1388" t="s">
        <v>342</v>
      </c>
      <c r="R1388" t="s">
        <v>670</v>
      </c>
      <c r="S1388" t="s">
        <v>295</v>
      </c>
      <c r="T1388" t="s">
        <v>301</v>
      </c>
    </row>
    <row r="1389" spans="1:20" x14ac:dyDescent="0.25">
      <c r="A1389">
        <v>9</v>
      </c>
      <c r="B1389">
        <v>181</v>
      </c>
      <c r="C1389" t="str">
        <f t="shared" si="173"/>
        <v>36</v>
      </c>
      <c r="D1389">
        <v>6412</v>
      </c>
      <c r="E1389" t="str">
        <f t="shared" si="184"/>
        <v>3F</v>
      </c>
      <c r="F1389" t="str">
        <f t="shared" si="179"/>
        <v>001</v>
      </c>
      <c r="G1389">
        <v>9</v>
      </c>
      <c r="H1389" t="str">
        <f t="shared" si="176"/>
        <v>91</v>
      </c>
      <c r="I1389" t="str">
        <f t="shared" si="181"/>
        <v>1</v>
      </c>
      <c r="J1389" t="str">
        <f t="shared" si="180"/>
        <v>39</v>
      </c>
      <c r="K1389">
        <v>20181116</v>
      </c>
      <c r="L1389" t="str">
        <f t="shared" si="182"/>
        <v>074733</v>
      </c>
      <c r="M1389" t="str">
        <f t="shared" si="183"/>
        <v>84370</v>
      </c>
      <c r="N1389" t="s">
        <v>395</v>
      </c>
      <c r="O1389">
        <v>214.08</v>
      </c>
      <c r="P1389">
        <v>20181115</v>
      </c>
      <c r="Q1389" t="s">
        <v>342</v>
      </c>
      <c r="R1389" t="s">
        <v>671</v>
      </c>
      <c r="S1389" t="s">
        <v>295</v>
      </c>
      <c r="T1389" t="s">
        <v>301</v>
      </c>
    </row>
    <row r="1390" spans="1:20" x14ac:dyDescent="0.25">
      <c r="A1390">
        <v>9</v>
      </c>
      <c r="B1390">
        <v>181</v>
      </c>
      <c r="C1390" t="str">
        <f t="shared" si="173"/>
        <v>36</v>
      </c>
      <c r="D1390">
        <v>6412</v>
      </c>
      <c r="E1390" t="str">
        <f t="shared" si="184"/>
        <v>3F</v>
      </c>
      <c r="F1390" t="str">
        <f t="shared" si="179"/>
        <v>001</v>
      </c>
      <c r="G1390">
        <v>9</v>
      </c>
      <c r="H1390" t="str">
        <f t="shared" si="176"/>
        <v>91</v>
      </c>
      <c r="I1390" t="str">
        <f t="shared" si="181"/>
        <v>1</v>
      </c>
      <c r="J1390" t="str">
        <f t="shared" si="180"/>
        <v>39</v>
      </c>
      <c r="K1390">
        <v>20181116</v>
      </c>
      <c r="L1390" t="str">
        <f t="shared" si="182"/>
        <v>074733</v>
      </c>
      <c r="M1390" t="str">
        <f t="shared" si="183"/>
        <v>84370</v>
      </c>
      <c r="N1390" t="s">
        <v>395</v>
      </c>
      <c r="O1390">
        <v>618.34</v>
      </c>
      <c r="P1390">
        <v>20181115</v>
      </c>
      <c r="Q1390" t="s">
        <v>342</v>
      </c>
      <c r="R1390" t="s">
        <v>670</v>
      </c>
      <c r="S1390" t="s">
        <v>295</v>
      </c>
      <c r="T1390" t="s">
        <v>301</v>
      </c>
    </row>
    <row r="1391" spans="1:20" x14ac:dyDescent="0.25">
      <c r="A1391">
        <v>9</v>
      </c>
      <c r="B1391">
        <v>181</v>
      </c>
      <c r="C1391" t="str">
        <f t="shared" si="173"/>
        <v>36</v>
      </c>
      <c r="D1391">
        <v>6412</v>
      </c>
      <c r="E1391" t="str">
        <f t="shared" si="184"/>
        <v>3F</v>
      </c>
      <c r="F1391" t="str">
        <f t="shared" si="179"/>
        <v>001</v>
      </c>
      <c r="G1391">
        <v>9</v>
      </c>
      <c r="H1391" t="str">
        <f t="shared" si="176"/>
        <v>91</v>
      </c>
      <c r="I1391" t="str">
        <f t="shared" si="181"/>
        <v>1</v>
      </c>
      <c r="J1391" t="str">
        <f t="shared" si="180"/>
        <v>39</v>
      </c>
      <c r="K1391">
        <v>20181116</v>
      </c>
      <c r="L1391" t="str">
        <f t="shared" si="182"/>
        <v>074733</v>
      </c>
      <c r="M1391" t="str">
        <f t="shared" si="183"/>
        <v>84370</v>
      </c>
      <c r="N1391" t="s">
        <v>395</v>
      </c>
      <c r="O1391">
        <v>198.08</v>
      </c>
      <c r="P1391">
        <v>20181115</v>
      </c>
      <c r="Q1391" t="s">
        <v>342</v>
      </c>
      <c r="R1391" t="s">
        <v>672</v>
      </c>
      <c r="S1391" t="s">
        <v>295</v>
      </c>
      <c r="T1391" t="s">
        <v>301</v>
      </c>
    </row>
    <row r="1392" spans="1:20" x14ac:dyDescent="0.25">
      <c r="A1392">
        <v>9</v>
      </c>
      <c r="B1392">
        <v>181</v>
      </c>
      <c r="C1392" t="str">
        <f t="shared" si="173"/>
        <v>36</v>
      </c>
      <c r="D1392">
        <v>6412</v>
      </c>
      <c r="E1392" t="str">
        <f t="shared" si="184"/>
        <v>3F</v>
      </c>
      <c r="F1392" t="str">
        <f t="shared" si="179"/>
        <v>001</v>
      </c>
      <c r="G1392">
        <v>9</v>
      </c>
      <c r="H1392" t="str">
        <f t="shared" si="176"/>
        <v>91</v>
      </c>
      <c r="I1392" t="str">
        <f t="shared" si="181"/>
        <v>1</v>
      </c>
      <c r="J1392" t="str">
        <f t="shared" si="180"/>
        <v>39</v>
      </c>
      <c r="K1392">
        <v>20181116</v>
      </c>
      <c r="L1392" t="str">
        <f t="shared" si="182"/>
        <v>074733</v>
      </c>
      <c r="M1392" t="str">
        <f t="shared" si="183"/>
        <v>84370</v>
      </c>
      <c r="N1392" t="s">
        <v>395</v>
      </c>
      <c r="O1392">
        <v>602.1</v>
      </c>
      <c r="P1392">
        <v>20181115</v>
      </c>
      <c r="Q1392" t="s">
        <v>342</v>
      </c>
      <c r="R1392" t="s">
        <v>673</v>
      </c>
      <c r="S1392" t="s">
        <v>295</v>
      </c>
      <c r="T1392" t="s">
        <v>301</v>
      </c>
    </row>
    <row r="1393" spans="1:20" x14ac:dyDescent="0.25">
      <c r="A1393">
        <v>9</v>
      </c>
      <c r="B1393">
        <v>181</v>
      </c>
      <c r="C1393" t="str">
        <f t="shared" si="173"/>
        <v>36</v>
      </c>
      <c r="D1393">
        <v>6412</v>
      </c>
      <c r="E1393" t="str">
        <f t="shared" si="184"/>
        <v>3F</v>
      </c>
      <c r="F1393" t="str">
        <f t="shared" si="179"/>
        <v>001</v>
      </c>
      <c r="G1393">
        <v>9</v>
      </c>
      <c r="H1393" t="str">
        <f t="shared" si="176"/>
        <v>91</v>
      </c>
      <c r="I1393" t="str">
        <f t="shared" si="181"/>
        <v>1</v>
      </c>
      <c r="J1393" t="str">
        <f t="shared" si="180"/>
        <v>39</v>
      </c>
      <c r="K1393">
        <v>20181116</v>
      </c>
      <c r="L1393" t="str">
        <f t="shared" si="182"/>
        <v>074733</v>
      </c>
      <c r="M1393" t="str">
        <f t="shared" si="183"/>
        <v>84370</v>
      </c>
      <c r="N1393" t="s">
        <v>395</v>
      </c>
      <c r="O1393">
        <v>548.58000000000004</v>
      </c>
      <c r="P1393">
        <v>20181115</v>
      </c>
      <c r="Q1393" t="s">
        <v>342</v>
      </c>
      <c r="R1393" t="s">
        <v>674</v>
      </c>
      <c r="S1393" t="s">
        <v>295</v>
      </c>
      <c r="T1393" t="s">
        <v>301</v>
      </c>
    </row>
    <row r="1394" spans="1:20" x14ac:dyDescent="0.25">
      <c r="A1394">
        <v>9</v>
      </c>
      <c r="B1394">
        <v>181</v>
      </c>
      <c r="C1394" t="str">
        <f t="shared" si="173"/>
        <v>36</v>
      </c>
      <c r="D1394">
        <v>6412</v>
      </c>
      <c r="E1394" t="str">
        <f t="shared" si="184"/>
        <v>3F</v>
      </c>
      <c r="F1394" t="str">
        <f>"041"</f>
        <v>041</v>
      </c>
      <c r="G1394">
        <v>9</v>
      </c>
      <c r="H1394" t="str">
        <f t="shared" si="176"/>
        <v>91</v>
      </c>
      <c r="I1394" t="str">
        <f t="shared" si="181"/>
        <v>1</v>
      </c>
      <c r="J1394" t="str">
        <f>"41"</f>
        <v>41</v>
      </c>
      <c r="K1394">
        <v>20181116</v>
      </c>
      <c r="L1394" t="str">
        <f t="shared" si="182"/>
        <v>074733</v>
      </c>
      <c r="M1394" t="str">
        <f t="shared" si="183"/>
        <v>84370</v>
      </c>
      <c r="N1394" t="s">
        <v>395</v>
      </c>
      <c r="O1394">
        <v>318.01</v>
      </c>
      <c r="P1394">
        <v>20181115</v>
      </c>
      <c r="Q1394" t="s">
        <v>400</v>
      </c>
      <c r="R1394" t="s">
        <v>675</v>
      </c>
      <c r="S1394" t="s">
        <v>295</v>
      </c>
      <c r="T1394" t="s">
        <v>106</v>
      </c>
    </row>
    <row r="1395" spans="1:20" x14ac:dyDescent="0.25">
      <c r="A1395">
        <v>9</v>
      </c>
      <c r="B1395">
        <v>181</v>
      </c>
      <c r="C1395" t="str">
        <f t="shared" si="173"/>
        <v>36</v>
      </c>
      <c r="D1395">
        <v>6412</v>
      </c>
      <c r="E1395" t="str">
        <f t="shared" si="184"/>
        <v>3F</v>
      </c>
      <c r="F1395" t="str">
        <f>"041"</f>
        <v>041</v>
      </c>
      <c r="G1395">
        <v>9</v>
      </c>
      <c r="H1395" t="str">
        <f t="shared" si="176"/>
        <v>91</v>
      </c>
      <c r="I1395" t="str">
        <f t="shared" si="181"/>
        <v>1</v>
      </c>
      <c r="J1395" t="str">
        <f>"41"</f>
        <v>41</v>
      </c>
      <c r="K1395">
        <v>20181116</v>
      </c>
      <c r="L1395" t="str">
        <f t="shared" si="182"/>
        <v>074733</v>
      </c>
      <c r="M1395" t="str">
        <f t="shared" si="183"/>
        <v>84370</v>
      </c>
      <c r="N1395" t="s">
        <v>395</v>
      </c>
      <c r="O1395">
        <v>722.52</v>
      </c>
      <c r="P1395">
        <v>20181115</v>
      </c>
      <c r="Q1395" t="s">
        <v>400</v>
      </c>
      <c r="R1395" t="s">
        <v>676</v>
      </c>
      <c r="S1395" t="s">
        <v>295</v>
      </c>
      <c r="T1395" t="s">
        <v>106</v>
      </c>
    </row>
    <row r="1396" spans="1:20" x14ac:dyDescent="0.25">
      <c r="A1396">
        <v>9</v>
      </c>
      <c r="B1396">
        <v>181</v>
      </c>
      <c r="C1396" t="str">
        <f t="shared" si="173"/>
        <v>36</v>
      </c>
      <c r="D1396">
        <v>6412</v>
      </c>
      <c r="E1396" t="str">
        <f t="shared" si="184"/>
        <v>3F</v>
      </c>
      <c r="F1396" t="str">
        <f>"041"</f>
        <v>041</v>
      </c>
      <c r="G1396">
        <v>9</v>
      </c>
      <c r="H1396" t="str">
        <f t="shared" si="176"/>
        <v>91</v>
      </c>
      <c r="I1396" t="str">
        <f t="shared" si="181"/>
        <v>1</v>
      </c>
      <c r="J1396" t="str">
        <f>"41"</f>
        <v>41</v>
      </c>
      <c r="K1396">
        <v>20181116</v>
      </c>
      <c r="L1396" t="str">
        <f t="shared" si="182"/>
        <v>074733</v>
      </c>
      <c r="M1396" t="str">
        <f t="shared" si="183"/>
        <v>84370</v>
      </c>
      <c r="N1396" t="s">
        <v>395</v>
      </c>
      <c r="O1396">
        <v>561.96</v>
      </c>
      <c r="P1396">
        <v>20181115</v>
      </c>
      <c r="Q1396" t="s">
        <v>400</v>
      </c>
      <c r="R1396" t="s">
        <v>677</v>
      </c>
      <c r="S1396" t="s">
        <v>295</v>
      </c>
      <c r="T1396" t="s">
        <v>106</v>
      </c>
    </row>
    <row r="1397" spans="1:20" x14ac:dyDescent="0.25">
      <c r="A1397">
        <v>9</v>
      </c>
      <c r="B1397">
        <v>181</v>
      </c>
      <c r="C1397" t="str">
        <f t="shared" si="173"/>
        <v>36</v>
      </c>
      <c r="D1397">
        <v>6412</v>
      </c>
      <c r="E1397" t="str">
        <f>"3C"</f>
        <v>3C</v>
      </c>
      <c r="F1397" t="str">
        <f t="shared" ref="F1397:F1417" si="185">"001"</f>
        <v>001</v>
      </c>
      <c r="G1397">
        <v>9</v>
      </c>
      <c r="H1397" t="str">
        <f t="shared" si="176"/>
        <v>91</v>
      </c>
      <c r="I1397" t="str">
        <f t="shared" si="181"/>
        <v>1</v>
      </c>
      <c r="J1397" t="str">
        <f t="shared" ref="J1397:J1417" si="186">"39"</f>
        <v>39</v>
      </c>
      <c r="K1397">
        <v>20181116</v>
      </c>
      <c r="L1397" t="str">
        <f>"074734"</f>
        <v>074734</v>
      </c>
      <c r="M1397" t="str">
        <f t="shared" si="183"/>
        <v>84370</v>
      </c>
      <c r="N1397" t="s">
        <v>395</v>
      </c>
      <c r="O1397">
        <v>119.71</v>
      </c>
      <c r="P1397">
        <v>20181115</v>
      </c>
      <c r="Q1397" t="s">
        <v>421</v>
      </c>
      <c r="R1397" t="s">
        <v>472</v>
      </c>
      <c r="S1397" t="s">
        <v>295</v>
      </c>
      <c r="T1397" t="s">
        <v>301</v>
      </c>
    </row>
    <row r="1398" spans="1:20" x14ac:dyDescent="0.25">
      <c r="A1398">
        <v>9</v>
      </c>
      <c r="B1398">
        <v>181</v>
      </c>
      <c r="C1398" t="str">
        <f t="shared" si="173"/>
        <v>36</v>
      </c>
      <c r="D1398">
        <v>6412</v>
      </c>
      <c r="E1398" t="str">
        <f>"3S"</f>
        <v>3S</v>
      </c>
      <c r="F1398" t="str">
        <f t="shared" si="185"/>
        <v>001</v>
      </c>
      <c r="G1398">
        <v>9</v>
      </c>
      <c r="H1398" t="str">
        <f t="shared" si="176"/>
        <v>91</v>
      </c>
      <c r="I1398" t="str">
        <f t="shared" si="181"/>
        <v>1</v>
      </c>
      <c r="J1398" t="str">
        <f t="shared" si="186"/>
        <v>39</v>
      </c>
      <c r="K1398">
        <v>20181116</v>
      </c>
      <c r="L1398" t="str">
        <f>"074735"</f>
        <v>074735</v>
      </c>
      <c r="M1398" t="str">
        <f t="shared" si="183"/>
        <v>84370</v>
      </c>
      <c r="N1398" t="s">
        <v>395</v>
      </c>
      <c r="O1398">
        <v>27.41</v>
      </c>
      <c r="P1398">
        <v>20181115</v>
      </c>
      <c r="Q1398" t="s">
        <v>514</v>
      </c>
      <c r="R1398" t="s">
        <v>647</v>
      </c>
      <c r="S1398" t="s">
        <v>295</v>
      </c>
      <c r="T1398" t="s">
        <v>301</v>
      </c>
    </row>
    <row r="1399" spans="1:20" x14ac:dyDescent="0.25">
      <c r="A1399">
        <v>9</v>
      </c>
      <c r="B1399">
        <v>181</v>
      </c>
      <c r="C1399" t="str">
        <f t="shared" si="173"/>
        <v>36</v>
      </c>
      <c r="D1399">
        <v>6412</v>
      </c>
      <c r="E1399" t="str">
        <f>"3S"</f>
        <v>3S</v>
      </c>
      <c r="F1399" t="str">
        <f t="shared" si="185"/>
        <v>001</v>
      </c>
      <c r="G1399">
        <v>9</v>
      </c>
      <c r="H1399" t="str">
        <f t="shared" si="176"/>
        <v>91</v>
      </c>
      <c r="I1399" t="str">
        <f t="shared" si="181"/>
        <v>1</v>
      </c>
      <c r="J1399" t="str">
        <f t="shared" si="186"/>
        <v>39</v>
      </c>
      <c r="K1399">
        <v>20181130</v>
      </c>
      <c r="L1399" t="str">
        <f>"074745"</f>
        <v>074745</v>
      </c>
      <c r="M1399" t="str">
        <f>"03332"</f>
        <v>03332</v>
      </c>
      <c r="N1399" t="s">
        <v>458</v>
      </c>
      <c r="O1399">
        <v>425</v>
      </c>
      <c r="P1399">
        <v>20181129</v>
      </c>
      <c r="Q1399" t="s">
        <v>514</v>
      </c>
      <c r="R1399" t="s">
        <v>678</v>
      </c>
      <c r="S1399" t="s">
        <v>295</v>
      </c>
      <c r="T1399" t="s">
        <v>301</v>
      </c>
    </row>
    <row r="1400" spans="1:20" x14ac:dyDescent="0.25">
      <c r="A1400">
        <v>9</v>
      </c>
      <c r="B1400">
        <v>181</v>
      </c>
      <c r="C1400" t="str">
        <f t="shared" si="173"/>
        <v>36</v>
      </c>
      <c r="D1400">
        <v>6412</v>
      </c>
      <c r="E1400" t="str">
        <f>"3F"</f>
        <v>3F</v>
      </c>
      <c r="F1400" t="str">
        <f t="shared" si="185"/>
        <v>001</v>
      </c>
      <c r="G1400">
        <v>9</v>
      </c>
      <c r="H1400" t="str">
        <f t="shared" si="176"/>
        <v>91</v>
      </c>
      <c r="I1400" t="str">
        <f t="shared" si="181"/>
        <v>1</v>
      </c>
      <c r="J1400" t="str">
        <f t="shared" si="186"/>
        <v>39</v>
      </c>
      <c r="K1400">
        <v>20181130</v>
      </c>
      <c r="L1400" t="str">
        <f>"074750"</f>
        <v>074750</v>
      </c>
      <c r="M1400" t="str">
        <f>"09170"</f>
        <v>09170</v>
      </c>
      <c r="N1400" t="s">
        <v>679</v>
      </c>
      <c r="O1400">
        <v>400</v>
      </c>
      <c r="P1400">
        <v>20181128</v>
      </c>
      <c r="Q1400" t="s">
        <v>342</v>
      </c>
      <c r="R1400" t="s">
        <v>680</v>
      </c>
      <c r="S1400" t="s">
        <v>295</v>
      </c>
      <c r="T1400" t="s">
        <v>301</v>
      </c>
    </row>
    <row r="1401" spans="1:20" x14ac:dyDescent="0.25">
      <c r="A1401">
        <v>9</v>
      </c>
      <c r="B1401">
        <v>181</v>
      </c>
      <c r="C1401" t="str">
        <f t="shared" si="173"/>
        <v>36</v>
      </c>
      <c r="D1401">
        <v>6412</v>
      </c>
      <c r="E1401" t="str">
        <f>"3Y"</f>
        <v>3Y</v>
      </c>
      <c r="F1401" t="str">
        <f t="shared" si="185"/>
        <v>001</v>
      </c>
      <c r="G1401">
        <v>9</v>
      </c>
      <c r="H1401" t="str">
        <f t="shared" si="176"/>
        <v>91</v>
      </c>
      <c r="I1401" t="str">
        <f t="shared" si="181"/>
        <v>1</v>
      </c>
      <c r="J1401" t="str">
        <f t="shared" si="186"/>
        <v>39</v>
      </c>
      <c r="K1401">
        <v>20181130</v>
      </c>
      <c r="L1401" t="str">
        <f>"074750"</f>
        <v>074750</v>
      </c>
      <c r="M1401" t="str">
        <f>"09170"</f>
        <v>09170</v>
      </c>
      <c r="N1401" t="s">
        <v>679</v>
      </c>
      <c r="O1401">
        <v>385.72</v>
      </c>
      <c r="P1401">
        <v>20181128</v>
      </c>
      <c r="Q1401" t="s">
        <v>350</v>
      </c>
      <c r="R1401" t="s">
        <v>681</v>
      </c>
      <c r="S1401" t="s">
        <v>295</v>
      </c>
      <c r="T1401" t="s">
        <v>301</v>
      </c>
    </row>
    <row r="1402" spans="1:20" x14ac:dyDescent="0.25">
      <c r="A1402">
        <v>9</v>
      </c>
      <c r="B1402">
        <v>181</v>
      </c>
      <c r="C1402" t="str">
        <f t="shared" si="173"/>
        <v>36</v>
      </c>
      <c r="D1402">
        <v>6412</v>
      </c>
      <c r="E1402" t="str">
        <f>"3S"</f>
        <v>3S</v>
      </c>
      <c r="F1402" t="str">
        <f t="shared" si="185"/>
        <v>001</v>
      </c>
      <c r="G1402">
        <v>9</v>
      </c>
      <c r="H1402" t="str">
        <f t="shared" si="176"/>
        <v>91</v>
      </c>
      <c r="I1402" t="str">
        <f>"2"</f>
        <v>2</v>
      </c>
      <c r="J1402" t="str">
        <f t="shared" si="186"/>
        <v>39</v>
      </c>
      <c r="K1402">
        <v>20181130</v>
      </c>
      <c r="L1402" t="str">
        <f>"074755"</f>
        <v>074755</v>
      </c>
      <c r="M1402" t="str">
        <f>"13076"</f>
        <v>13076</v>
      </c>
      <c r="N1402" t="s">
        <v>682</v>
      </c>
      <c r="O1402">
        <v>134</v>
      </c>
      <c r="P1402">
        <v>20181129</v>
      </c>
      <c r="Q1402" t="s">
        <v>547</v>
      </c>
      <c r="R1402" t="s">
        <v>678</v>
      </c>
      <c r="S1402" t="s">
        <v>295</v>
      </c>
      <c r="T1402" t="s">
        <v>301</v>
      </c>
    </row>
    <row r="1403" spans="1:20" x14ac:dyDescent="0.25">
      <c r="A1403">
        <v>9</v>
      </c>
      <c r="B1403">
        <v>181</v>
      </c>
      <c r="C1403" t="str">
        <f t="shared" si="173"/>
        <v>36</v>
      </c>
      <c r="D1403">
        <v>6411</v>
      </c>
      <c r="E1403" t="str">
        <f>"33"</f>
        <v>33</v>
      </c>
      <c r="F1403" t="str">
        <f t="shared" si="185"/>
        <v>001</v>
      </c>
      <c r="G1403">
        <v>9</v>
      </c>
      <c r="H1403" t="str">
        <f t="shared" si="176"/>
        <v>91</v>
      </c>
      <c r="I1403" t="str">
        <f>"0"</f>
        <v>0</v>
      </c>
      <c r="J1403" t="str">
        <f t="shared" si="186"/>
        <v>39</v>
      </c>
      <c r="K1403">
        <v>20181130</v>
      </c>
      <c r="L1403" t="str">
        <f t="shared" ref="L1403:L1408" si="187">"074777"</f>
        <v>074777</v>
      </c>
      <c r="M1403" t="str">
        <f t="shared" ref="M1403:M1408" si="188">"30744"</f>
        <v>30744</v>
      </c>
      <c r="N1403" t="s">
        <v>422</v>
      </c>
      <c r="O1403">
        <v>22.55</v>
      </c>
      <c r="P1403">
        <v>20181128</v>
      </c>
      <c r="Q1403" t="s">
        <v>306</v>
      </c>
      <c r="R1403" t="s">
        <v>683</v>
      </c>
      <c r="S1403" t="s">
        <v>295</v>
      </c>
      <c r="T1403" t="s">
        <v>301</v>
      </c>
    </row>
    <row r="1404" spans="1:20" x14ac:dyDescent="0.25">
      <c r="A1404">
        <v>9</v>
      </c>
      <c r="B1404">
        <v>181</v>
      </c>
      <c r="C1404" t="str">
        <f t="shared" si="173"/>
        <v>36</v>
      </c>
      <c r="D1404">
        <v>6412</v>
      </c>
      <c r="E1404" t="str">
        <f t="shared" ref="E1404:E1409" si="189">"3D"</f>
        <v>3D</v>
      </c>
      <c r="F1404" t="str">
        <f t="shared" si="185"/>
        <v>001</v>
      </c>
      <c r="G1404">
        <v>9</v>
      </c>
      <c r="H1404" t="str">
        <f t="shared" si="176"/>
        <v>91</v>
      </c>
      <c r="I1404" t="str">
        <f>"1"</f>
        <v>1</v>
      </c>
      <c r="J1404" t="str">
        <f t="shared" si="186"/>
        <v>39</v>
      </c>
      <c r="K1404">
        <v>20181130</v>
      </c>
      <c r="L1404" t="str">
        <f t="shared" si="187"/>
        <v>074777</v>
      </c>
      <c r="M1404" t="str">
        <f t="shared" si="188"/>
        <v>30744</v>
      </c>
      <c r="N1404" t="s">
        <v>422</v>
      </c>
      <c r="O1404">
        <v>24.92</v>
      </c>
      <c r="P1404">
        <v>20181128</v>
      </c>
      <c r="Q1404" t="s">
        <v>684</v>
      </c>
      <c r="R1404" t="s">
        <v>685</v>
      </c>
      <c r="S1404" t="s">
        <v>295</v>
      </c>
      <c r="T1404" t="s">
        <v>301</v>
      </c>
    </row>
    <row r="1405" spans="1:20" x14ac:dyDescent="0.25">
      <c r="A1405">
        <v>9</v>
      </c>
      <c r="B1405">
        <v>181</v>
      </c>
      <c r="C1405" t="str">
        <f t="shared" si="173"/>
        <v>36</v>
      </c>
      <c r="D1405">
        <v>6412</v>
      </c>
      <c r="E1405" t="str">
        <f t="shared" si="189"/>
        <v>3D</v>
      </c>
      <c r="F1405" t="str">
        <f t="shared" si="185"/>
        <v>001</v>
      </c>
      <c r="G1405">
        <v>9</v>
      </c>
      <c r="H1405" t="str">
        <f t="shared" si="176"/>
        <v>91</v>
      </c>
      <c r="I1405" t="str">
        <f>"1"</f>
        <v>1</v>
      </c>
      <c r="J1405" t="str">
        <f t="shared" si="186"/>
        <v>39</v>
      </c>
      <c r="K1405">
        <v>20181130</v>
      </c>
      <c r="L1405" t="str">
        <f t="shared" si="187"/>
        <v>074777</v>
      </c>
      <c r="M1405" t="str">
        <f t="shared" si="188"/>
        <v>30744</v>
      </c>
      <c r="N1405" t="s">
        <v>422</v>
      </c>
      <c r="O1405">
        <v>29.08</v>
      </c>
      <c r="P1405">
        <v>20181128</v>
      </c>
      <c r="Q1405" t="s">
        <v>684</v>
      </c>
      <c r="R1405" t="s">
        <v>685</v>
      </c>
      <c r="S1405" t="s">
        <v>295</v>
      </c>
      <c r="T1405" t="s">
        <v>301</v>
      </c>
    </row>
    <row r="1406" spans="1:20" x14ac:dyDescent="0.25">
      <c r="A1406">
        <v>9</v>
      </c>
      <c r="B1406">
        <v>181</v>
      </c>
      <c r="C1406" t="str">
        <f t="shared" si="173"/>
        <v>36</v>
      </c>
      <c r="D1406">
        <v>6412</v>
      </c>
      <c r="E1406" t="str">
        <f t="shared" si="189"/>
        <v>3D</v>
      </c>
      <c r="F1406" t="str">
        <f t="shared" si="185"/>
        <v>001</v>
      </c>
      <c r="G1406">
        <v>9</v>
      </c>
      <c r="H1406" t="str">
        <f t="shared" si="176"/>
        <v>91</v>
      </c>
      <c r="I1406" t="str">
        <f>"1"</f>
        <v>1</v>
      </c>
      <c r="J1406" t="str">
        <f t="shared" si="186"/>
        <v>39</v>
      </c>
      <c r="K1406">
        <v>20181130</v>
      </c>
      <c r="L1406" t="str">
        <f t="shared" si="187"/>
        <v>074777</v>
      </c>
      <c r="M1406" t="str">
        <f t="shared" si="188"/>
        <v>30744</v>
      </c>
      <c r="N1406" t="s">
        <v>422</v>
      </c>
      <c r="O1406">
        <v>31.42</v>
      </c>
      <c r="P1406">
        <v>20181128</v>
      </c>
      <c r="Q1406" t="s">
        <v>684</v>
      </c>
      <c r="R1406" t="s">
        <v>685</v>
      </c>
      <c r="S1406" t="s">
        <v>295</v>
      </c>
      <c r="T1406" t="s">
        <v>301</v>
      </c>
    </row>
    <row r="1407" spans="1:20" x14ac:dyDescent="0.25">
      <c r="A1407">
        <v>9</v>
      </c>
      <c r="B1407">
        <v>181</v>
      </c>
      <c r="C1407" t="str">
        <f t="shared" si="173"/>
        <v>36</v>
      </c>
      <c r="D1407">
        <v>6412</v>
      </c>
      <c r="E1407" t="str">
        <f t="shared" si="189"/>
        <v>3D</v>
      </c>
      <c r="F1407" t="str">
        <f t="shared" si="185"/>
        <v>001</v>
      </c>
      <c r="G1407">
        <v>9</v>
      </c>
      <c r="H1407" t="str">
        <f t="shared" si="176"/>
        <v>91</v>
      </c>
      <c r="I1407" t="str">
        <f>"1"</f>
        <v>1</v>
      </c>
      <c r="J1407" t="str">
        <f t="shared" si="186"/>
        <v>39</v>
      </c>
      <c r="K1407">
        <v>20181130</v>
      </c>
      <c r="L1407" t="str">
        <f t="shared" si="187"/>
        <v>074777</v>
      </c>
      <c r="M1407" t="str">
        <f t="shared" si="188"/>
        <v>30744</v>
      </c>
      <c r="N1407" t="s">
        <v>422</v>
      </c>
      <c r="O1407">
        <v>12.14</v>
      </c>
      <c r="P1407">
        <v>20181128</v>
      </c>
      <c r="Q1407" t="s">
        <v>684</v>
      </c>
      <c r="R1407" t="s">
        <v>685</v>
      </c>
      <c r="S1407" t="s">
        <v>295</v>
      </c>
      <c r="T1407" t="s">
        <v>301</v>
      </c>
    </row>
    <row r="1408" spans="1:20" x14ac:dyDescent="0.25">
      <c r="A1408">
        <v>9</v>
      </c>
      <c r="B1408">
        <v>181</v>
      </c>
      <c r="C1408" t="str">
        <f t="shared" si="173"/>
        <v>36</v>
      </c>
      <c r="D1408">
        <v>6412</v>
      </c>
      <c r="E1408" t="str">
        <f t="shared" si="189"/>
        <v>3D</v>
      </c>
      <c r="F1408" t="str">
        <f t="shared" si="185"/>
        <v>001</v>
      </c>
      <c r="G1408">
        <v>9</v>
      </c>
      <c r="H1408" t="str">
        <f t="shared" si="176"/>
        <v>91</v>
      </c>
      <c r="I1408" t="str">
        <f>"1"</f>
        <v>1</v>
      </c>
      <c r="J1408" t="str">
        <f t="shared" si="186"/>
        <v>39</v>
      </c>
      <c r="K1408">
        <v>20181130</v>
      </c>
      <c r="L1408" t="str">
        <f t="shared" si="187"/>
        <v>074777</v>
      </c>
      <c r="M1408" t="str">
        <f t="shared" si="188"/>
        <v>30744</v>
      </c>
      <c r="N1408" t="s">
        <v>422</v>
      </c>
      <c r="O1408">
        <v>12.14</v>
      </c>
      <c r="P1408">
        <v>20181128</v>
      </c>
      <c r="Q1408" t="s">
        <v>684</v>
      </c>
      <c r="R1408" t="s">
        <v>685</v>
      </c>
      <c r="S1408" t="s">
        <v>295</v>
      </c>
      <c r="T1408" t="s">
        <v>301</v>
      </c>
    </row>
    <row r="1409" spans="1:20" x14ac:dyDescent="0.25">
      <c r="A1409">
        <v>9</v>
      </c>
      <c r="B1409">
        <v>181</v>
      </c>
      <c r="C1409" t="str">
        <f t="shared" si="173"/>
        <v>36</v>
      </c>
      <c r="D1409">
        <v>6412</v>
      </c>
      <c r="E1409" t="str">
        <f t="shared" si="189"/>
        <v>3D</v>
      </c>
      <c r="F1409" t="str">
        <f t="shared" si="185"/>
        <v>001</v>
      </c>
      <c r="G1409">
        <v>9</v>
      </c>
      <c r="H1409" t="str">
        <f t="shared" si="176"/>
        <v>91</v>
      </c>
      <c r="I1409" t="str">
        <f>"2"</f>
        <v>2</v>
      </c>
      <c r="J1409" t="str">
        <f t="shared" si="186"/>
        <v>39</v>
      </c>
      <c r="K1409">
        <v>20181130</v>
      </c>
      <c r="L1409" t="str">
        <f>"074781"</f>
        <v>074781</v>
      </c>
      <c r="M1409" t="str">
        <f>"34949"</f>
        <v>34949</v>
      </c>
      <c r="N1409" t="s">
        <v>423</v>
      </c>
      <c r="O1409">
        <v>225</v>
      </c>
      <c r="P1409">
        <v>20181128</v>
      </c>
      <c r="Q1409" t="s">
        <v>686</v>
      </c>
      <c r="R1409" t="s">
        <v>687</v>
      </c>
      <c r="S1409" t="s">
        <v>295</v>
      </c>
      <c r="T1409" t="s">
        <v>301</v>
      </c>
    </row>
    <row r="1410" spans="1:20" x14ac:dyDescent="0.25">
      <c r="A1410">
        <v>9</v>
      </c>
      <c r="B1410">
        <v>181</v>
      </c>
      <c r="C1410" t="str">
        <f t="shared" si="173"/>
        <v>36</v>
      </c>
      <c r="D1410">
        <v>6399</v>
      </c>
      <c r="E1410" t="str">
        <f>"3M"</f>
        <v>3M</v>
      </c>
      <c r="F1410" t="str">
        <f t="shared" si="185"/>
        <v>001</v>
      </c>
      <c r="G1410">
        <v>9</v>
      </c>
      <c r="H1410" t="str">
        <f t="shared" si="176"/>
        <v>91</v>
      </c>
      <c r="I1410" t="str">
        <f t="shared" ref="I1410:I1421" si="190">"0"</f>
        <v>0</v>
      </c>
      <c r="J1410" t="str">
        <f t="shared" si="186"/>
        <v>39</v>
      </c>
      <c r="K1410">
        <v>20181130</v>
      </c>
      <c r="L1410" t="str">
        <f>"074816"</f>
        <v>074816</v>
      </c>
      <c r="M1410" t="str">
        <f>"80425"</f>
        <v>80425</v>
      </c>
      <c r="N1410" t="s">
        <v>688</v>
      </c>
      <c r="O1410" s="1">
        <v>2817.75</v>
      </c>
      <c r="P1410">
        <v>20181129</v>
      </c>
      <c r="Q1410" t="s">
        <v>689</v>
      </c>
      <c r="R1410" t="s">
        <v>690</v>
      </c>
      <c r="S1410" t="s">
        <v>295</v>
      </c>
      <c r="T1410" t="s">
        <v>301</v>
      </c>
    </row>
    <row r="1411" spans="1:20" x14ac:dyDescent="0.25">
      <c r="A1411">
        <v>9</v>
      </c>
      <c r="B1411">
        <v>181</v>
      </c>
      <c r="C1411" t="str">
        <f t="shared" si="173"/>
        <v>36</v>
      </c>
      <c r="D1411">
        <v>6649</v>
      </c>
      <c r="E1411" t="str">
        <f>"33"</f>
        <v>33</v>
      </c>
      <c r="F1411" t="str">
        <f t="shared" si="185"/>
        <v>001</v>
      </c>
      <c r="G1411">
        <v>9</v>
      </c>
      <c r="H1411" t="str">
        <f t="shared" si="176"/>
        <v>91</v>
      </c>
      <c r="I1411" t="str">
        <f t="shared" si="190"/>
        <v>0</v>
      </c>
      <c r="J1411" t="str">
        <f t="shared" si="186"/>
        <v>39</v>
      </c>
      <c r="K1411">
        <v>20181130</v>
      </c>
      <c r="L1411" t="str">
        <f>"074824"</f>
        <v>074824</v>
      </c>
      <c r="M1411" t="str">
        <f>"83022"</f>
        <v>83022</v>
      </c>
      <c r="N1411" t="s">
        <v>691</v>
      </c>
      <c r="O1411">
        <v>378</v>
      </c>
      <c r="P1411">
        <v>20181129</v>
      </c>
      <c r="Q1411" t="s">
        <v>692</v>
      </c>
      <c r="R1411" t="s">
        <v>693</v>
      </c>
      <c r="S1411" t="s">
        <v>295</v>
      </c>
      <c r="T1411" t="s">
        <v>301</v>
      </c>
    </row>
    <row r="1412" spans="1:20" x14ac:dyDescent="0.25">
      <c r="A1412">
        <v>9</v>
      </c>
      <c r="B1412">
        <v>181</v>
      </c>
      <c r="C1412" t="str">
        <f t="shared" si="173"/>
        <v>36</v>
      </c>
      <c r="D1412">
        <v>6219</v>
      </c>
      <c r="E1412" t="str">
        <f>"3B"</f>
        <v>3B</v>
      </c>
      <c r="F1412" t="str">
        <f t="shared" si="185"/>
        <v>001</v>
      </c>
      <c r="G1412">
        <v>9</v>
      </c>
      <c r="H1412" t="str">
        <f t="shared" si="176"/>
        <v>91</v>
      </c>
      <c r="I1412" t="str">
        <f t="shared" si="190"/>
        <v>0</v>
      </c>
      <c r="J1412" t="str">
        <f t="shared" si="186"/>
        <v>39</v>
      </c>
      <c r="K1412">
        <v>20181207</v>
      </c>
      <c r="L1412" t="str">
        <f>"074831"</f>
        <v>074831</v>
      </c>
      <c r="M1412" t="str">
        <f>"00646"</f>
        <v>00646</v>
      </c>
      <c r="N1412" t="s">
        <v>694</v>
      </c>
      <c r="O1412">
        <v>115</v>
      </c>
      <c r="P1412">
        <v>20181206</v>
      </c>
      <c r="Q1412" t="s">
        <v>695</v>
      </c>
      <c r="R1412" t="s">
        <v>696</v>
      </c>
      <c r="S1412" t="s">
        <v>295</v>
      </c>
      <c r="T1412" t="s">
        <v>301</v>
      </c>
    </row>
    <row r="1413" spans="1:20" x14ac:dyDescent="0.25">
      <c r="A1413">
        <v>9</v>
      </c>
      <c r="B1413">
        <v>181</v>
      </c>
      <c r="C1413" t="str">
        <f t="shared" si="173"/>
        <v>36</v>
      </c>
      <c r="D1413">
        <v>6219</v>
      </c>
      <c r="E1413" t="str">
        <f>"3B"</f>
        <v>3B</v>
      </c>
      <c r="F1413" t="str">
        <f t="shared" si="185"/>
        <v>001</v>
      </c>
      <c r="G1413">
        <v>9</v>
      </c>
      <c r="H1413" t="str">
        <f t="shared" si="176"/>
        <v>91</v>
      </c>
      <c r="I1413" t="str">
        <f t="shared" si="190"/>
        <v>0</v>
      </c>
      <c r="J1413" t="str">
        <f t="shared" si="186"/>
        <v>39</v>
      </c>
      <c r="K1413">
        <v>20181207</v>
      </c>
      <c r="L1413" t="str">
        <f>"074833"</f>
        <v>074833</v>
      </c>
      <c r="M1413" t="str">
        <f>"46928"</f>
        <v>46928</v>
      </c>
      <c r="N1413" t="s">
        <v>697</v>
      </c>
      <c r="O1413">
        <v>85</v>
      </c>
      <c r="P1413">
        <v>20181206</v>
      </c>
      <c r="Q1413" t="s">
        <v>695</v>
      </c>
      <c r="R1413" t="s">
        <v>698</v>
      </c>
      <c r="S1413" t="s">
        <v>295</v>
      </c>
      <c r="T1413" t="s">
        <v>301</v>
      </c>
    </row>
    <row r="1414" spans="1:20" x14ac:dyDescent="0.25">
      <c r="A1414">
        <v>9</v>
      </c>
      <c r="B1414">
        <v>181</v>
      </c>
      <c r="C1414" t="str">
        <f t="shared" si="173"/>
        <v>36</v>
      </c>
      <c r="D1414">
        <v>6219</v>
      </c>
      <c r="E1414" t="str">
        <f>"3D"</f>
        <v>3D</v>
      </c>
      <c r="F1414" t="str">
        <f t="shared" si="185"/>
        <v>001</v>
      </c>
      <c r="G1414">
        <v>9</v>
      </c>
      <c r="H1414" t="str">
        <f t="shared" si="176"/>
        <v>91</v>
      </c>
      <c r="I1414" t="str">
        <f t="shared" si="190"/>
        <v>0</v>
      </c>
      <c r="J1414" t="str">
        <f t="shared" si="186"/>
        <v>39</v>
      </c>
      <c r="K1414">
        <v>20181207</v>
      </c>
      <c r="L1414" t="str">
        <f>"074834"</f>
        <v>074834</v>
      </c>
      <c r="M1414" t="str">
        <f>"00180"</f>
        <v>00180</v>
      </c>
      <c r="N1414" t="s">
        <v>699</v>
      </c>
      <c r="O1414">
        <v>115</v>
      </c>
      <c r="P1414">
        <v>20181206</v>
      </c>
      <c r="Q1414" t="s">
        <v>700</v>
      </c>
      <c r="R1414" t="s">
        <v>701</v>
      </c>
      <c r="S1414" t="s">
        <v>295</v>
      </c>
      <c r="T1414" t="s">
        <v>301</v>
      </c>
    </row>
    <row r="1415" spans="1:20" x14ac:dyDescent="0.25">
      <c r="A1415">
        <v>9</v>
      </c>
      <c r="B1415">
        <v>181</v>
      </c>
      <c r="C1415" t="str">
        <f t="shared" si="173"/>
        <v>36</v>
      </c>
      <c r="D1415">
        <v>6219</v>
      </c>
      <c r="E1415" t="str">
        <f>"3B"</f>
        <v>3B</v>
      </c>
      <c r="F1415" t="str">
        <f t="shared" si="185"/>
        <v>001</v>
      </c>
      <c r="G1415">
        <v>9</v>
      </c>
      <c r="H1415" t="str">
        <f t="shared" si="176"/>
        <v>91</v>
      </c>
      <c r="I1415" t="str">
        <f t="shared" si="190"/>
        <v>0</v>
      </c>
      <c r="J1415" t="str">
        <f t="shared" si="186"/>
        <v>39</v>
      </c>
      <c r="K1415">
        <v>20181207</v>
      </c>
      <c r="L1415" t="str">
        <f>"074839"</f>
        <v>074839</v>
      </c>
      <c r="M1415" t="str">
        <f>"00403"</f>
        <v>00403</v>
      </c>
      <c r="N1415" t="s">
        <v>504</v>
      </c>
      <c r="O1415">
        <v>165</v>
      </c>
      <c r="P1415">
        <v>20181206</v>
      </c>
      <c r="Q1415" t="s">
        <v>695</v>
      </c>
      <c r="R1415" t="s">
        <v>696</v>
      </c>
      <c r="S1415" t="s">
        <v>295</v>
      </c>
      <c r="T1415" t="s">
        <v>301</v>
      </c>
    </row>
    <row r="1416" spans="1:20" x14ac:dyDescent="0.25">
      <c r="A1416">
        <v>9</v>
      </c>
      <c r="B1416">
        <v>181</v>
      </c>
      <c r="C1416" t="str">
        <f t="shared" si="173"/>
        <v>36</v>
      </c>
      <c r="D1416">
        <v>6219</v>
      </c>
      <c r="E1416" t="str">
        <f>"3B"</f>
        <v>3B</v>
      </c>
      <c r="F1416" t="str">
        <f t="shared" si="185"/>
        <v>001</v>
      </c>
      <c r="G1416">
        <v>9</v>
      </c>
      <c r="H1416" t="str">
        <f t="shared" si="176"/>
        <v>91</v>
      </c>
      <c r="I1416" t="str">
        <f t="shared" si="190"/>
        <v>0</v>
      </c>
      <c r="J1416" t="str">
        <f t="shared" si="186"/>
        <v>39</v>
      </c>
      <c r="K1416">
        <v>20181207</v>
      </c>
      <c r="L1416" t="str">
        <f>"074839"</f>
        <v>074839</v>
      </c>
      <c r="M1416" t="str">
        <f>"00403"</f>
        <v>00403</v>
      </c>
      <c r="N1416" t="s">
        <v>504</v>
      </c>
      <c r="O1416">
        <v>115</v>
      </c>
      <c r="P1416">
        <v>20181206</v>
      </c>
      <c r="Q1416" t="s">
        <v>695</v>
      </c>
      <c r="R1416" t="s">
        <v>696</v>
      </c>
      <c r="S1416" t="s">
        <v>295</v>
      </c>
      <c r="T1416" t="s">
        <v>301</v>
      </c>
    </row>
    <row r="1417" spans="1:20" x14ac:dyDescent="0.25">
      <c r="A1417">
        <v>9</v>
      </c>
      <c r="B1417">
        <v>181</v>
      </c>
      <c r="C1417" t="str">
        <f t="shared" si="173"/>
        <v>36</v>
      </c>
      <c r="D1417">
        <v>6219</v>
      </c>
      <c r="E1417" t="str">
        <f>"3B"</f>
        <v>3B</v>
      </c>
      <c r="F1417" t="str">
        <f t="shared" si="185"/>
        <v>001</v>
      </c>
      <c r="G1417">
        <v>9</v>
      </c>
      <c r="H1417" t="str">
        <f t="shared" si="176"/>
        <v>91</v>
      </c>
      <c r="I1417" t="str">
        <f t="shared" si="190"/>
        <v>0</v>
      </c>
      <c r="J1417" t="str">
        <f t="shared" si="186"/>
        <v>39</v>
      </c>
      <c r="K1417">
        <v>20181207</v>
      </c>
      <c r="L1417" t="str">
        <f>"074841"</f>
        <v>074841</v>
      </c>
      <c r="M1417" t="str">
        <f>"00647"</f>
        <v>00647</v>
      </c>
      <c r="N1417" t="s">
        <v>702</v>
      </c>
      <c r="O1417">
        <v>115</v>
      </c>
      <c r="P1417">
        <v>20181206</v>
      </c>
      <c r="Q1417" t="s">
        <v>695</v>
      </c>
      <c r="R1417" t="s">
        <v>696</v>
      </c>
      <c r="S1417" t="s">
        <v>295</v>
      </c>
      <c r="T1417" t="s">
        <v>301</v>
      </c>
    </row>
    <row r="1418" spans="1:20" x14ac:dyDescent="0.25">
      <c r="A1418">
        <v>9</v>
      </c>
      <c r="B1418">
        <v>181</v>
      </c>
      <c r="C1418" t="str">
        <f t="shared" si="173"/>
        <v>36</v>
      </c>
      <c r="D1418">
        <v>6219</v>
      </c>
      <c r="E1418" t="str">
        <f>"3D"</f>
        <v>3D</v>
      </c>
      <c r="F1418" t="str">
        <f>"041"</f>
        <v>041</v>
      </c>
      <c r="G1418">
        <v>9</v>
      </c>
      <c r="H1418" t="str">
        <f t="shared" si="176"/>
        <v>91</v>
      </c>
      <c r="I1418" t="str">
        <f t="shared" si="190"/>
        <v>0</v>
      </c>
      <c r="J1418" t="str">
        <f>"41"</f>
        <v>41</v>
      </c>
      <c r="K1418">
        <v>20181207</v>
      </c>
      <c r="L1418" t="str">
        <f>"074843"</f>
        <v>074843</v>
      </c>
      <c r="M1418" t="str">
        <f>"10074"</f>
        <v>10074</v>
      </c>
      <c r="N1418" t="s">
        <v>703</v>
      </c>
      <c r="O1418">
        <v>85</v>
      </c>
      <c r="P1418">
        <v>20181206</v>
      </c>
      <c r="Q1418" t="s">
        <v>704</v>
      </c>
      <c r="R1418" t="s">
        <v>705</v>
      </c>
      <c r="S1418" t="s">
        <v>295</v>
      </c>
      <c r="T1418" t="s">
        <v>106</v>
      </c>
    </row>
    <row r="1419" spans="1:20" x14ac:dyDescent="0.25">
      <c r="A1419">
        <v>9</v>
      </c>
      <c r="B1419">
        <v>181</v>
      </c>
      <c r="C1419" t="str">
        <f t="shared" si="173"/>
        <v>36</v>
      </c>
      <c r="D1419">
        <v>6219</v>
      </c>
      <c r="E1419" t="str">
        <f>"3F"</f>
        <v>3F</v>
      </c>
      <c r="F1419" t="str">
        <f>"001"</f>
        <v>001</v>
      </c>
      <c r="G1419">
        <v>9</v>
      </c>
      <c r="H1419" t="str">
        <f t="shared" si="176"/>
        <v>91</v>
      </c>
      <c r="I1419" t="str">
        <f t="shared" si="190"/>
        <v>0</v>
      </c>
      <c r="J1419" t="str">
        <f>"39"</f>
        <v>39</v>
      </c>
      <c r="K1419">
        <v>20181207</v>
      </c>
      <c r="L1419" t="str">
        <f>"074844"</f>
        <v>074844</v>
      </c>
      <c r="M1419" t="str">
        <f>"10185"</f>
        <v>10185</v>
      </c>
      <c r="N1419" t="s">
        <v>604</v>
      </c>
      <c r="O1419">
        <v>65</v>
      </c>
      <c r="P1419">
        <v>20181206</v>
      </c>
      <c r="Q1419" t="s">
        <v>333</v>
      </c>
      <c r="R1419" t="s">
        <v>706</v>
      </c>
      <c r="S1419" t="s">
        <v>295</v>
      </c>
      <c r="T1419" t="s">
        <v>301</v>
      </c>
    </row>
    <row r="1420" spans="1:20" x14ac:dyDescent="0.25">
      <c r="A1420">
        <v>9</v>
      </c>
      <c r="B1420">
        <v>181</v>
      </c>
      <c r="C1420" t="str">
        <f t="shared" si="173"/>
        <v>36</v>
      </c>
      <c r="D1420">
        <v>6219</v>
      </c>
      <c r="E1420" t="str">
        <f>"3B"</f>
        <v>3B</v>
      </c>
      <c r="F1420" t="str">
        <f>"001"</f>
        <v>001</v>
      </c>
      <c r="G1420">
        <v>9</v>
      </c>
      <c r="H1420" t="str">
        <f t="shared" si="176"/>
        <v>91</v>
      </c>
      <c r="I1420" t="str">
        <f t="shared" si="190"/>
        <v>0</v>
      </c>
      <c r="J1420" t="str">
        <f>"39"</f>
        <v>39</v>
      </c>
      <c r="K1420">
        <v>20181207</v>
      </c>
      <c r="L1420" t="str">
        <f>"074845"</f>
        <v>074845</v>
      </c>
      <c r="M1420" t="str">
        <f>"10405"</f>
        <v>10405</v>
      </c>
      <c r="N1420" t="s">
        <v>707</v>
      </c>
      <c r="O1420">
        <v>115</v>
      </c>
      <c r="P1420">
        <v>20181206</v>
      </c>
      <c r="Q1420" t="s">
        <v>695</v>
      </c>
      <c r="R1420" t="s">
        <v>696</v>
      </c>
      <c r="S1420" t="s">
        <v>295</v>
      </c>
      <c r="T1420" t="s">
        <v>301</v>
      </c>
    </row>
    <row r="1421" spans="1:20" x14ac:dyDescent="0.25">
      <c r="A1421">
        <v>9</v>
      </c>
      <c r="B1421">
        <v>181</v>
      </c>
      <c r="C1421" t="str">
        <f t="shared" si="173"/>
        <v>36</v>
      </c>
      <c r="D1421">
        <v>6219</v>
      </c>
      <c r="E1421" t="str">
        <f>"3D"</f>
        <v>3D</v>
      </c>
      <c r="F1421" t="str">
        <f>"001"</f>
        <v>001</v>
      </c>
      <c r="G1421">
        <v>9</v>
      </c>
      <c r="H1421" t="str">
        <f t="shared" si="176"/>
        <v>91</v>
      </c>
      <c r="I1421" t="str">
        <f t="shared" si="190"/>
        <v>0</v>
      </c>
      <c r="J1421" t="str">
        <f>"39"</f>
        <v>39</v>
      </c>
      <c r="K1421">
        <v>20181207</v>
      </c>
      <c r="L1421" t="str">
        <f>"074845"</f>
        <v>074845</v>
      </c>
      <c r="M1421" t="str">
        <f>"10405"</f>
        <v>10405</v>
      </c>
      <c r="N1421" t="s">
        <v>707</v>
      </c>
      <c r="O1421">
        <v>205</v>
      </c>
      <c r="P1421">
        <v>20181206</v>
      </c>
      <c r="Q1421" t="s">
        <v>700</v>
      </c>
      <c r="R1421" t="s">
        <v>701</v>
      </c>
      <c r="S1421" t="s">
        <v>295</v>
      </c>
      <c r="T1421" t="s">
        <v>301</v>
      </c>
    </row>
    <row r="1422" spans="1:20" x14ac:dyDescent="0.25">
      <c r="A1422">
        <v>9</v>
      </c>
      <c r="B1422">
        <v>181</v>
      </c>
      <c r="C1422" t="str">
        <f t="shared" si="173"/>
        <v>36</v>
      </c>
      <c r="D1422">
        <v>6412</v>
      </c>
      <c r="E1422" t="str">
        <f>"3B"</f>
        <v>3B</v>
      </c>
      <c r="F1422" t="str">
        <f>"001"</f>
        <v>001</v>
      </c>
      <c r="G1422">
        <v>9</v>
      </c>
      <c r="H1422" t="str">
        <f t="shared" si="176"/>
        <v>91</v>
      </c>
      <c r="I1422" t="str">
        <f>"1"</f>
        <v>1</v>
      </c>
      <c r="J1422" t="str">
        <f>"39"</f>
        <v>39</v>
      </c>
      <c r="K1422">
        <v>20181207</v>
      </c>
      <c r="L1422" t="str">
        <f>"074848"</f>
        <v>074848</v>
      </c>
      <c r="M1422" t="str">
        <f>"13855"</f>
        <v>13855</v>
      </c>
      <c r="N1422" t="s">
        <v>708</v>
      </c>
      <c r="O1422">
        <v>336</v>
      </c>
      <c r="P1422">
        <v>20181206</v>
      </c>
      <c r="Q1422" t="s">
        <v>668</v>
      </c>
      <c r="R1422" t="s">
        <v>709</v>
      </c>
      <c r="S1422" t="s">
        <v>295</v>
      </c>
      <c r="T1422" t="s">
        <v>301</v>
      </c>
    </row>
    <row r="1423" spans="1:20" x14ac:dyDescent="0.25">
      <c r="A1423">
        <v>9</v>
      </c>
      <c r="B1423">
        <v>181</v>
      </c>
      <c r="C1423" t="str">
        <f t="shared" si="173"/>
        <v>36</v>
      </c>
      <c r="D1423">
        <v>6219</v>
      </c>
      <c r="E1423" t="str">
        <f>"3B"</f>
        <v>3B</v>
      </c>
      <c r="F1423" t="str">
        <f>"041"</f>
        <v>041</v>
      </c>
      <c r="G1423">
        <v>9</v>
      </c>
      <c r="H1423" t="str">
        <f t="shared" si="176"/>
        <v>91</v>
      </c>
      <c r="I1423" t="str">
        <f>"0"</f>
        <v>0</v>
      </c>
      <c r="J1423" t="str">
        <f>"41"</f>
        <v>41</v>
      </c>
      <c r="K1423">
        <v>20181207</v>
      </c>
      <c r="L1423" t="str">
        <f>"074850"</f>
        <v>074850</v>
      </c>
      <c r="M1423" t="str">
        <f>"19073"</f>
        <v>19073</v>
      </c>
      <c r="N1423" t="s">
        <v>710</v>
      </c>
      <c r="O1423">
        <v>85</v>
      </c>
      <c r="P1423">
        <v>20181206</v>
      </c>
      <c r="Q1423" t="s">
        <v>711</v>
      </c>
      <c r="R1423" t="s">
        <v>712</v>
      </c>
      <c r="S1423" t="s">
        <v>295</v>
      </c>
      <c r="T1423" t="s">
        <v>106</v>
      </c>
    </row>
    <row r="1424" spans="1:20" x14ac:dyDescent="0.25">
      <c r="A1424">
        <v>9</v>
      </c>
      <c r="B1424">
        <v>181</v>
      </c>
      <c r="C1424" t="str">
        <f t="shared" si="173"/>
        <v>36</v>
      </c>
      <c r="D1424">
        <v>6219</v>
      </c>
      <c r="E1424" t="str">
        <f>"3B"</f>
        <v>3B</v>
      </c>
      <c r="F1424" t="str">
        <f>"001"</f>
        <v>001</v>
      </c>
      <c r="G1424">
        <v>9</v>
      </c>
      <c r="H1424" t="str">
        <f t="shared" si="176"/>
        <v>91</v>
      </c>
      <c r="I1424" t="str">
        <f>"1"</f>
        <v>1</v>
      </c>
      <c r="J1424" t="str">
        <f>"39"</f>
        <v>39</v>
      </c>
      <c r="K1424">
        <v>20181207</v>
      </c>
      <c r="L1424" t="str">
        <f>"074851"</f>
        <v>074851</v>
      </c>
      <c r="M1424" t="str">
        <f>"19079"</f>
        <v>19079</v>
      </c>
      <c r="N1424" t="s">
        <v>326</v>
      </c>
      <c r="O1424">
        <v>128</v>
      </c>
      <c r="P1424">
        <v>20181206</v>
      </c>
      <c r="Q1424" t="s">
        <v>713</v>
      </c>
      <c r="R1424" t="s">
        <v>698</v>
      </c>
      <c r="S1424" t="s">
        <v>295</v>
      </c>
      <c r="T1424" t="s">
        <v>301</v>
      </c>
    </row>
    <row r="1425" spans="1:20" x14ac:dyDescent="0.25">
      <c r="A1425">
        <v>9</v>
      </c>
      <c r="B1425">
        <v>181</v>
      </c>
      <c r="C1425" t="str">
        <f t="shared" si="173"/>
        <v>36</v>
      </c>
      <c r="D1425">
        <v>6219</v>
      </c>
      <c r="E1425" t="str">
        <f>"3B"</f>
        <v>3B</v>
      </c>
      <c r="F1425" t="str">
        <f>"041"</f>
        <v>041</v>
      </c>
      <c r="G1425">
        <v>9</v>
      </c>
      <c r="H1425" t="str">
        <f t="shared" si="176"/>
        <v>91</v>
      </c>
      <c r="I1425" t="str">
        <f>"0"</f>
        <v>0</v>
      </c>
      <c r="J1425" t="str">
        <f>"41"</f>
        <v>41</v>
      </c>
      <c r="K1425">
        <v>20181207</v>
      </c>
      <c r="L1425" t="str">
        <f>"074854"</f>
        <v>074854</v>
      </c>
      <c r="M1425" t="str">
        <f>"19273"</f>
        <v>19273</v>
      </c>
      <c r="N1425" t="s">
        <v>328</v>
      </c>
      <c r="O1425">
        <v>85</v>
      </c>
      <c r="P1425">
        <v>20181206</v>
      </c>
      <c r="Q1425" t="s">
        <v>711</v>
      </c>
      <c r="R1425" t="s">
        <v>712</v>
      </c>
      <c r="S1425" t="s">
        <v>295</v>
      </c>
      <c r="T1425" t="s">
        <v>106</v>
      </c>
    </row>
    <row r="1426" spans="1:20" x14ac:dyDescent="0.25">
      <c r="A1426">
        <v>9</v>
      </c>
      <c r="B1426">
        <v>181</v>
      </c>
      <c r="C1426" t="str">
        <f t="shared" si="173"/>
        <v>36</v>
      </c>
      <c r="D1426">
        <v>6219</v>
      </c>
      <c r="E1426" t="str">
        <f>"3D"</f>
        <v>3D</v>
      </c>
      <c r="F1426" t="str">
        <f t="shared" ref="F1426:F1435" si="191">"001"</f>
        <v>001</v>
      </c>
      <c r="G1426">
        <v>9</v>
      </c>
      <c r="H1426" t="str">
        <f t="shared" si="176"/>
        <v>91</v>
      </c>
      <c r="I1426" t="str">
        <f>"0"</f>
        <v>0</v>
      </c>
      <c r="J1426" t="str">
        <f>"39"</f>
        <v>39</v>
      </c>
      <c r="K1426">
        <v>20181207</v>
      </c>
      <c r="L1426" t="str">
        <f>"074859"</f>
        <v>074859</v>
      </c>
      <c r="M1426" t="str">
        <f>"21841"</f>
        <v>21841</v>
      </c>
      <c r="N1426" t="s">
        <v>714</v>
      </c>
      <c r="O1426">
        <v>225</v>
      </c>
      <c r="P1426">
        <v>20181206</v>
      </c>
      <c r="Q1426" t="s">
        <v>700</v>
      </c>
      <c r="R1426" t="s">
        <v>715</v>
      </c>
      <c r="S1426" t="s">
        <v>295</v>
      </c>
      <c r="T1426" t="s">
        <v>301</v>
      </c>
    </row>
    <row r="1427" spans="1:20" x14ac:dyDescent="0.25">
      <c r="A1427">
        <v>9</v>
      </c>
      <c r="B1427">
        <v>181</v>
      </c>
      <c r="C1427" t="str">
        <f t="shared" si="173"/>
        <v>36</v>
      </c>
      <c r="D1427">
        <v>6412</v>
      </c>
      <c r="E1427" t="str">
        <f>"3G"</f>
        <v>3G</v>
      </c>
      <c r="F1427" t="str">
        <f t="shared" si="191"/>
        <v>001</v>
      </c>
      <c r="G1427">
        <v>9</v>
      </c>
      <c r="H1427" t="str">
        <f t="shared" si="176"/>
        <v>91</v>
      </c>
      <c r="I1427" t="str">
        <f>"1"</f>
        <v>1</v>
      </c>
      <c r="J1427" t="str">
        <f>"39"</f>
        <v>39</v>
      </c>
      <c r="K1427">
        <v>20181207</v>
      </c>
      <c r="L1427" t="str">
        <f>"074862"</f>
        <v>074862</v>
      </c>
      <c r="M1427" t="str">
        <f>"51345"</f>
        <v>51345</v>
      </c>
      <c r="N1427" t="s">
        <v>513</v>
      </c>
      <c r="O1427">
        <v>32.5</v>
      </c>
      <c r="P1427">
        <v>20181206</v>
      </c>
      <c r="Q1427" t="s">
        <v>588</v>
      </c>
      <c r="R1427" t="s">
        <v>636</v>
      </c>
      <c r="S1427" t="s">
        <v>295</v>
      </c>
      <c r="T1427" t="s">
        <v>301</v>
      </c>
    </row>
    <row r="1428" spans="1:20" x14ac:dyDescent="0.25">
      <c r="A1428">
        <v>9</v>
      </c>
      <c r="B1428">
        <v>181</v>
      </c>
      <c r="C1428" t="str">
        <f t="shared" si="173"/>
        <v>36</v>
      </c>
      <c r="D1428">
        <v>6219</v>
      </c>
      <c r="E1428" t="str">
        <f>"3F"</f>
        <v>3F</v>
      </c>
      <c r="F1428" t="str">
        <f t="shared" si="191"/>
        <v>001</v>
      </c>
      <c r="G1428">
        <v>9</v>
      </c>
      <c r="H1428" t="str">
        <f t="shared" si="176"/>
        <v>91</v>
      </c>
      <c r="I1428" t="str">
        <f>"0"</f>
        <v>0</v>
      </c>
      <c r="J1428" t="str">
        <f>"39"</f>
        <v>39</v>
      </c>
      <c r="K1428">
        <v>20181207</v>
      </c>
      <c r="L1428" t="str">
        <f>"074866"</f>
        <v>074866</v>
      </c>
      <c r="M1428" t="str">
        <f>"21777"</f>
        <v>21777</v>
      </c>
      <c r="N1428" t="s">
        <v>716</v>
      </c>
      <c r="O1428">
        <v>65</v>
      </c>
      <c r="P1428">
        <v>20181206</v>
      </c>
      <c r="Q1428" t="s">
        <v>333</v>
      </c>
      <c r="R1428" t="s">
        <v>706</v>
      </c>
      <c r="S1428" t="s">
        <v>295</v>
      </c>
      <c r="T1428" t="s">
        <v>301</v>
      </c>
    </row>
    <row r="1429" spans="1:20" x14ac:dyDescent="0.25">
      <c r="A1429">
        <v>9</v>
      </c>
      <c r="B1429">
        <v>181</v>
      </c>
      <c r="C1429" t="str">
        <f t="shared" si="173"/>
        <v>36</v>
      </c>
      <c r="D1429">
        <v>6219</v>
      </c>
      <c r="E1429" t="str">
        <f>"02"</f>
        <v>02</v>
      </c>
      <c r="F1429" t="str">
        <f t="shared" si="191"/>
        <v>001</v>
      </c>
      <c r="G1429">
        <v>9</v>
      </c>
      <c r="H1429" t="str">
        <f t="shared" si="176"/>
        <v>91</v>
      </c>
      <c r="I1429" t="str">
        <f>"1"</f>
        <v>1</v>
      </c>
      <c r="J1429" t="str">
        <f>"42"</f>
        <v>42</v>
      </c>
      <c r="K1429">
        <v>20181207</v>
      </c>
      <c r="L1429" t="str">
        <f>"074869"</f>
        <v>074869</v>
      </c>
      <c r="M1429" t="str">
        <f>"23676"</f>
        <v>23676</v>
      </c>
      <c r="N1429" t="s">
        <v>717</v>
      </c>
      <c r="O1429">
        <v>140</v>
      </c>
      <c r="P1429">
        <v>20181206</v>
      </c>
      <c r="Q1429" t="s">
        <v>718</v>
      </c>
      <c r="R1429" t="s">
        <v>656</v>
      </c>
      <c r="S1429" t="s">
        <v>295</v>
      </c>
      <c r="T1429" t="s">
        <v>301</v>
      </c>
    </row>
    <row r="1430" spans="1:20" x14ac:dyDescent="0.25">
      <c r="A1430">
        <v>9</v>
      </c>
      <c r="B1430">
        <v>181</v>
      </c>
      <c r="C1430" t="str">
        <f t="shared" si="173"/>
        <v>36</v>
      </c>
      <c r="D1430">
        <v>6399</v>
      </c>
      <c r="E1430" t="str">
        <f>"3B"</f>
        <v>3B</v>
      </c>
      <c r="F1430" t="str">
        <f t="shared" si="191"/>
        <v>001</v>
      </c>
      <c r="G1430">
        <v>9</v>
      </c>
      <c r="H1430" t="str">
        <f t="shared" si="176"/>
        <v>91</v>
      </c>
      <c r="I1430" t="str">
        <f>"0"</f>
        <v>0</v>
      </c>
      <c r="J1430" t="str">
        <f>"39"</f>
        <v>39</v>
      </c>
      <c r="K1430">
        <v>20181207</v>
      </c>
      <c r="L1430" t="str">
        <f>"074874"</f>
        <v>074874</v>
      </c>
      <c r="M1430" t="str">
        <f>"77000"</f>
        <v>77000</v>
      </c>
      <c r="N1430" t="s">
        <v>719</v>
      </c>
      <c r="O1430">
        <v>41.85</v>
      </c>
      <c r="P1430">
        <v>20181206</v>
      </c>
      <c r="Q1430" t="s">
        <v>475</v>
      </c>
      <c r="R1430" t="s">
        <v>720</v>
      </c>
      <c r="S1430" t="s">
        <v>295</v>
      </c>
      <c r="T1430" t="s">
        <v>301</v>
      </c>
    </row>
    <row r="1431" spans="1:20" x14ac:dyDescent="0.25">
      <c r="A1431">
        <v>9</v>
      </c>
      <c r="B1431">
        <v>181</v>
      </c>
      <c r="C1431" t="str">
        <f t="shared" si="173"/>
        <v>36</v>
      </c>
      <c r="D1431">
        <v>6399</v>
      </c>
      <c r="E1431" t="str">
        <f>"3F"</f>
        <v>3F</v>
      </c>
      <c r="F1431" t="str">
        <f t="shared" si="191"/>
        <v>001</v>
      </c>
      <c r="G1431">
        <v>9</v>
      </c>
      <c r="H1431" t="str">
        <f t="shared" si="176"/>
        <v>91</v>
      </c>
      <c r="I1431" t="str">
        <f>"0"</f>
        <v>0</v>
      </c>
      <c r="J1431" t="str">
        <f>"39"</f>
        <v>39</v>
      </c>
      <c r="K1431">
        <v>20181207</v>
      </c>
      <c r="L1431" t="str">
        <f>"074875"</f>
        <v>074875</v>
      </c>
      <c r="M1431" t="str">
        <f>"00520"</f>
        <v>00520</v>
      </c>
      <c r="N1431" t="s">
        <v>344</v>
      </c>
      <c r="O1431" s="1">
        <v>1400</v>
      </c>
      <c r="P1431">
        <v>20181206</v>
      </c>
      <c r="Q1431" t="s">
        <v>466</v>
      </c>
      <c r="R1431" t="s">
        <v>721</v>
      </c>
      <c r="S1431" t="s">
        <v>295</v>
      </c>
      <c r="T1431" t="s">
        <v>301</v>
      </c>
    </row>
    <row r="1432" spans="1:20" x14ac:dyDescent="0.25">
      <c r="A1432">
        <v>9</v>
      </c>
      <c r="B1432">
        <v>181</v>
      </c>
      <c r="C1432" t="str">
        <f t="shared" si="173"/>
        <v>36</v>
      </c>
      <c r="D1432">
        <v>6399</v>
      </c>
      <c r="E1432" t="str">
        <f>"3F"</f>
        <v>3F</v>
      </c>
      <c r="F1432" t="str">
        <f t="shared" si="191"/>
        <v>001</v>
      </c>
      <c r="G1432">
        <v>9</v>
      </c>
      <c r="H1432" t="str">
        <f t="shared" si="176"/>
        <v>91</v>
      </c>
      <c r="I1432" t="str">
        <f>"0"</f>
        <v>0</v>
      </c>
      <c r="J1432" t="str">
        <f>"39"</f>
        <v>39</v>
      </c>
      <c r="K1432">
        <v>20190129</v>
      </c>
      <c r="L1432" t="str">
        <f>"074875"</f>
        <v>074875</v>
      </c>
      <c r="M1432" t="str">
        <f>"00520"</f>
        <v>00520</v>
      </c>
      <c r="N1432" t="s">
        <v>344</v>
      </c>
      <c r="O1432" s="1">
        <v>-1400</v>
      </c>
      <c r="P1432">
        <v>20190129</v>
      </c>
      <c r="Q1432" t="s">
        <v>466</v>
      </c>
      <c r="R1432" t="s">
        <v>722</v>
      </c>
      <c r="S1432" t="s">
        <v>295</v>
      </c>
      <c r="T1432" t="s">
        <v>301</v>
      </c>
    </row>
    <row r="1433" spans="1:20" x14ac:dyDescent="0.25">
      <c r="A1433">
        <v>9</v>
      </c>
      <c r="B1433">
        <v>181</v>
      </c>
      <c r="C1433" t="str">
        <f t="shared" si="173"/>
        <v>36</v>
      </c>
      <c r="D1433">
        <v>6219</v>
      </c>
      <c r="E1433" t="str">
        <f>"3B"</f>
        <v>3B</v>
      </c>
      <c r="F1433" t="str">
        <f t="shared" si="191"/>
        <v>001</v>
      </c>
      <c r="G1433">
        <v>9</v>
      </c>
      <c r="H1433" t="str">
        <f t="shared" si="176"/>
        <v>91</v>
      </c>
      <c r="I1433" t="str">
        <f>"0"</f>
        <v>0</v>
      </c>
      <c r="J1433" t="str">
        <f>"39"</f>
        <v>39</v>
      </c>
      <c r="K1433">
        <v>20181207</v>
      </c>
      <c r="L1433" t="str">
        <f>"074877"</f>
        <v>074877</v>
      </c>
      <c r="M1433" t="str">
        <f>"28706"</f>
        <v>28706</v>
      </c>
      <c r="N1433" t="s">
        <v>617</v>
      </c>
      <c r="O1433">
        <v>265</v>
      </c>
      <c r="P1433">
        <v>20181206</v>
      </c>
      <c r="Q1433" t="s">
        <v>695</v>
      </c>
      <c r="R1433" t="s">
        <v>696</v>
      </c>
      <c r="S1433" t="s">
        <v>295</v>
      </c>
      <c r="T1433" t="s">
        <v>301</v>
      </c>
    </row>
    <row r="1434" spans="1:20" x14ac:dyDescent="0.25">
      <c r="A1434">
        <v>9</v>
      </c>
      <c r="B1434">
        <v>181</v>
      </c>
      <c r="C1434" t="str">
        <f t="shared" si="173"/>
        <v>36</v>
      </c>
      <c r="D1434">
        <v>6219</v>
      </c>
      <c r="E1434" t="str">
        <f>"3B"</f>
        <v>3B</v>
      </c>
      <c r="F1434" t="str">
        <f t="shared" si="191"/>
        <v>001</v>
      </c>
      <c r="G1434">
        <v>9</v>
      </c>
      <c r="H1434" t="str">
        <f t="shared" si="176"/>
        <v>91</v>
      </c>
      <c r="I1434" t="str">
        <f>"0"</f>
        <v>0</v>
      </c>
      <c r="J1434" t="str">
        <f>"39"</f>
        <v>39</v>
      </c>
      <c r="K1434">
        <v>20181207</v>
      </c>
      <c r="L1434" t="str">
        <f>"074878"</f>
        <v>074878</v>
      </c>
      <c r="M1434" t="str">
        <f>"00648"</f>
        <v>00648</v>
      </c>
      <c r="N1434" t="s">
        <v>723</v>
      </c>
      <c r="O1434">
        <v>100</v>
      </c>
      <c r="P1434">
        <v>20181206</v>
      </c>
      <c r="Q1434" t="s">
        <v>695</v>
      </c>
      <c r="R1434" t="s">
        <v>696</v>
      </c>
      <c r="S1434" t="s">
        <v>295</v>
      </c>
      <c r="T1434" t="s">
        <v>301</v>
      </c>
    </row>
    <row r="1435" spans="1:20" x14ac:dyDescent="0.25">
      <c r="A1435">
        <v>9</v>
      </c>
      <c r="B1435">
        <v>181</v>
      </c>
      <c r="C1435" t="str">
        <f t="shared" si="173"/>
        <v>36</v>
      </c>
      <c r="D1435">
        <v>6219</v>
      </c>
      <c r="E1435" t="str">
        <f>"02"</f>
        <v>02</v>
      </c>
      <c r="F1435" t="str">
        <f t="shared" si="191"/>
        <v>001</v>
      </c>
      <c r="G1435">
        <v>9</v>
      </c>
      <c r="H1435" t="str">
        <f t="shared" si="176"/>
        <v>91</v>
      </c>
      <c r="I1435" t="str">
        <f>"1"</f>
        <v>1</v>
      </c>
      <c r="J1435" t="str">
        <f>"42"</f>
        <v>42</v>
      </c>
      <c r="K1435">
        <v>20181207</v>
      </c>
      <c r="L1435" t="str">
        <f>"074882"</f>
        <v>074882</v>
      </c>
      <c r="M1435" t="str">
        <f>"30118"</f>
        <v>30118</v>
      </c>
      <c r="N1435" t="s">
        <v>347</v>
      </c>
      <c r="O1435">
        <v>140</v>
      </c>
      <c r="P1435">
        <v>20181206</v>
      </c>
      <c r="Q1435" t="s">
        <v>718</v>
      </c>
      <c r="R1435" t="s">
        <v>656</v>
      </c>
      <c r="S1435" t="s">
        <v>295</v>
      </c>
      <c r="T1435" t="s">
        <v>301</v>
      </c>
    </row>
    <row r="1436" spans="1:20" x14ac:dyDescent="0.25">
      <c r="A1436">
        <v>9</v>
      </c>
      <c r="B1436">
        <v>181</v>
      </c>
      <c r="C1436" t="str">
        <f t="shared" si="173"/>
        <v>36</v>
      </c>
      <c r="D1436">
        <v>6412</v>
      </c>
      <c r="E1436" t="str">
        <f>"3B"</f>
        <v>3B</v>
      </c>
      <c r="F1436" t="str">
        <f>"041"</f>
        <v>041</v>
      </c>
      <c r="G1436">
        <v>9</v>
      </c>
      <c r="H1436" t="str">
        <f t="shared" si="176"/>
        <v>91</v>
      </c>
      <c r="I1436" t="str">
        <f>"2"</f>
        <v>2</v>
      </c>
      <c r="J1436" t="str">
        <f>"41"</f>
        <v>41</v>
      </c>
      <c r="K1436">
        <v>20181207</v>
      </c>
      <c r="L1436" t="str">
        <f>"074883"</f>
        <v>074883</v>
      </c>
      <c r="M1436" t="str">
        <f>"30148"</f>
        <v>30148</v>
      </c>
      <c r="N1436" t="s">
        <v>308</v>
      </c>
      <c r="O1436">
        <v>250</v>
      </c>
      <c r="P1436">
        <v>20181206</v>
      </c>
      <c r="Q1436" t="s">
        <v>724</v>
      </c>
      <c r="R1436" t="s">
        <v>725</v>
      </c>
      <c r="S1436" t="s">
        <v>295</v>
      </c>
      <c r="T1436" t="s">
        <v>106</v>
      </c>
    </row>
    <row r="1437" spans="1:20" x14ac:dyDescent="0.25">
      <c r="A1437">
        <v>9</v>
      </c>
      <c r="B1437">
        <v>181</v>
      </c>
      <c r="C1437" t="str">
        <f t="shared" si="173"/>
        <v>36</v>
      </c>
      <c r="D1437">
        <v>6219</v>
      </c>
      <c r="E1437" t="str">
        <f>"3B"</f>
        <v>3B</v>
      </c>
      <c r="F1437" t="str">
        <f>"001"</f>
        <v>001</v>
      </c>
      <c r="G1437">
        <v>9</v>
      </c>
      <c r="H1437" t="str">
        <f t="shared" si="176"/>
        <v>91</v>
      </c>
      <c r="I1437" t="str">
        <f t="shared" ref="I1437:I1470" si="192">"0"</f>
        <v>0</v>
      </c>
      <c r="J1437" t="str">
        <f>"39"</f>
        <v>39</v>
      </c>
      <c r="K1437">
        <v>20181207</v>
      </c>
      <c r="L1437" t="str">
        <f>"074885"</f>
        <v>074885</v>
      </c>
      <c r="M1437" t="str">
        <f>"00649"</f>
        <v>00649</v>
      </c>
      <c r="N1437" t="s">
        <v>726</v>
      </c>
      <c r="O1437">
        <v>115</v>
      </c>
      <c r="P1437">
        <v>20181206</v>
      </c>
      <c r="Q1437" t="s">
        <v>695</v>
      </c>
      <c r="R1437" t="s">
        <v>696</v>
      </c>
      <c r="S1437" t="s">
        <v>295</v>
      </c>
      <c r="T1437" t="s">
        <v>301</v>
      </c>
    </row>
    <row r="1438" spans="1:20" x14ac:dyDescent="0.25">
      <c r="A1438">
        <v>9</v>
      </c>
      <c r="B1438">
        <v>181</v>
      </c>
      <c r="C1438" t="str">
        <f t="shared" si="173"/>
        <v>36</v>
      </c>
      <c r="D1438">
        <v>6219</v>
      </c>
      <c r="E1438" t="str">
        <f>"3D"</f>
        <v>3D</v>
      </c>
      <c r="F1438" t="str">
        <f>"001"</f>
        <v>001</v>
      </c>
      <c r="G1438">
        <v>9</v>
      </c>
      <c r="H1438" t="str">
        <f t="shared" si="176"/>
        <v>91</v>
      </c>
      <c r="I1438" t="str">
        <f t="shared" si="192"/>
        <v>0</v>
      </c>
      <c r="J1438" t="str">
        <f>"39"</f>
        <v>39</v>
      </c>
      <c r="K1438">
        <v>20181207</v>
      </c>
      <c r="L1438" t="str">
        <f>"074886"</f>
        <v>074886</v>
      </c>
      <c r="M1438" t="str">
        <f>"32855"</f>
        <v>32855</v>
      </c>
      <c r="N1438" t="s">
        <v>348</v>
      </c>
      <c r="O1438">
        <v>135</v>
      </c>
      <c r="P1438">
        <v>20181206</v>
      </c>
      <c r="Q1438" t="s">
        <v>700</v>
      </c>
      <c r="R1438" t="s">
        <v>727</v>
      </c>
      <c r="S1438" t="s">
        <v>295</v>
      </c>
      <c r="T1438" t="s">
        <v>301</v>
      </c>
    </row>
    <row r="1439" spans="1:20" x14ac:dyDescent="0.25">
      <c r="A1439">
        <v>9</v>
      </c>
      <c r="B1439">
        <v>181</v>
      </c>
      <c r="C1439" t="str">
        <f t="shared" si="173"/>
        <v>36</v>
      </c>
      <c r="D1439">
        <v>6219</v>
      </c>
      <c r="E1439" t="str">
        <f>"3B"</f>
        <v>3B</v>
      </c>
      <c r="F1439" t="str">
        <f>"001"</f>
        <v>001</v>
      </c>
      <c r="G1439">
        <v>9</v>
      </c>
      <c r="H1439" t="str">
        <f t="shared" si="176"/>
        <v>91</v>
      </c>
      <c r="I1439" t="str">
        <f t="shared" si="192"/>
        <v>0</v>
      </c>
      <c r="J1439" t="str">
        <f>"39"</f>
        <v>39</v>
      </c>
      <c r="K1439">
        <v>20181207</v>
      </c>
      <c r="L1439" t="str">
        <f>"074888"</f>
        <v>074888</v>
      </c>
      <c r="M1439" t="str">
        <f>"39268"</f>
        <v>39268</v>
      </c>
      <c r="N1439" t="s">
        <v>728</v>
      </c>
      <c r="O1439">
        <v>85</v>
      </c>
      <c r="P1439">
        <v>20181206</v>
      </c>
      <c r="Q1439" t="s">
        <v>695</v>
      </c>
      <c r="R1439" t="s">
        <v>729</v>
      </c>
      <c r="S1439" t="s">
        <v>295</v>
      </c>
      <c r="T1439" t="s">
        <v>301</v>
      </c>
    </row>
    <row r="1440" spans="1:20" x14ac:dyDescent="0.25">
      <c r="A1440">
        <v>9</v>
      </c>
      <c r="B1440">
        <v>181</v>
      </c>
      <c r="C1440" t="str">
        <f t="shared" ref="C1440:C1503" si="193">"36"</f>
        <v>36</v>
      </c>
      <c r="D1440">
        <v>6219</v>
      </c>
      <c r="E1440" t="str">
        <f>"3B"</f>
        <v>3B</v>
      </c>
      <c r="F1440" t="str">
        <f>"001"</f>
        <v>001</v>
      </c>
      <c r="G1440">
        <v>9</v>
      </c>
      <c r="H1440" t="str">
        <f t="shared" ref="H1440:H1503" si="194">"91"</f>
        <v>91</v>
      </c>
      <c r="I1440" t="str">
        <f t="shared" si="192"/>
        <v>0</v>
      </c>
      <c r="J1440" t="str">
        <f>"39"</f>
        <v>39</v>
      </c>
      <c r="K1440">
        <v>20181207</v>
      </c>
      <c r="L1440" t="str">
        <f>"074889"</f>
        <v>074889</v>
      </c>
      <c r="M1440" t="str">
        <f>"39427"</f>
        <v>39427</v>
      </c>
      <c r="N1440" t="s">
        <v>730</v>
      </c>
      <c r="O1440">
        <v>165</v>
      </c>
      <c r="P1440">
        <v>20181206</v>
      </c>
      <c r="Q1440" t="s">
        <v>695</v>
      </c>
      <c r="R1440" t="s">
        <v>696</v>
      </c>
      <c r="S1440" t="s">
        <v>295</v>
      </c>
      <c r="T1440" t="s">
        <v>301</v>
      </c>
    </row>
    <row r="1441" spans="1:20" x14ac:dyDescent="0.25">
      <c r="A1441">
        <v>9</v>
      </c>
      <c r="B1441">
        <v>181</v>
      </c>
      <c r="C1441" t="str">
        <f t="shared" si="193"/>
        <v>36</v>
      </c>
      <c r="D1441">
        <v>6219</v>
      </c>
      <c r="E1441" t="str">
        <f>"3D"</f>
        <v>3D</v>
      </c>
      <c r="F1441" t="str">
        <f>"041"</f>
        <v>041</v>
      </c>
      <c r="G1441">
        <v>9</v>
      </c>
      <c r="H1441" t="str">
        <f t="shared" si="194"/>
        <v>91</v>
      </c>
      <c r="I1441" t="str">
        <f t="shared" si="192"/>
        <v>0</v>
      </c>
      <c r="J1441" t="str">
        <f>"41"</f>
        <v>41</v>
      </c>
      <c r="K1441">
        <v>20181207</v>
      </c>
      <c r="L1441" t="str">
        <f>"074894"</f>
        <v>074894</v>
      </c>
      <c r="M1441" t="str">
        <f>"46224"</f>
        <v>46224</v>
      </c>
      <c r="N1441" t="s">
        <v>731</v>
      </c>
      <c r="O1441">
        <v>85</v>
      </c>
      <c r="P1441">
        <v>20181206</v>
      </c>
      <c r="Q1441" t="s">
        <v>704</v>
      </c>
      <c r="R1441" t="s">
        <v>705</v>
      </c>
      <c r="S1441" t="s">
        <v>295</v>
      </c>
      <c r="T1441" t="s">
        <v>106</v>
      </c>
    </row>
    <row r="1442" spans="1:20" x14ac:dyDescent="0.25">
      <c r="A1442">
        <v>9</v>
      </c>
      <c r="B1442">
        <v>181</v>
      </c>
      <c r="C1442" t="str">
        <f t="shared" si="193"/>
        <v>36</v>
      </c>
      <c r="D1442">
        <v>6219</v>
      </c>
      <c r="E1442" t="str">
        <f>"3B"</f>
        <v>3B</v>
      </c>
      <c r="F1442" t="str">
        <f>"001"</f>
        <v>001</v>
      </c>
      <c r="G1442">
        <v>9</v>
      </c>
      <c r="H1442" t="str">
        <f t="shared" si="194"/>
        <v>91</v>
      </c>
      <c r="I1442" t="str">
        <f t="shared" si="192"/>
        <v>0</v>
      </c>
      <c r="J1442" t="str">
        <f>"39"</f>
        <v>39</v>
      </c>
      <c r="K1442">
        <v>20181207</v>
      </c>
      <c r="L1442" t="str">
        <f>"074895"</f>
        <v>074895</v>
      </c>
      <c r="M1442" t="str">
        <f>"46226"</f>
        <v>46226</v>
      </c>
      <c r="N1442" t="s">
        <v>732</v>
      </c>
      <c r="O1442">
        <v>135</v>
      </c>
      <c r="P1442">
        <v>20181206</v>
      </c>
      <c r="Q1442" t="s">
        <v>695</v>
      </c>
      <c r="R1442" t="s">
        <v>698</v>
      </c>
      <c r="S1442" t="s">
        <v>295</v>
      </c>
      <c r="T1442" t="s">
        <v>301</v>
      </c>
    </row>
    <row r="1443" spans="1:20" x14ac:dyDescent="0.25">
      <c r="A1443">
        <v>9</v>
      </c>
      <c r="B1443">
        <v>181</v>
      </c>
      <c r="C1443" t="str">
        <f t="shared" si="193"/>
        <v>36</v>
      </c>
      <c r="D1443">
        <v>6219</v>
      </c>
      <c r="E1443" t="str">
        <f>"3D"</f>
        <v>3D</v>
      </c>
      <c r="F1443" t="str">
        <f>"041"</f>
        <v>041</v>
      </c>
      <c r="G1443">
        <v>9</v>
      </c>
      <c r="H1443" t="str">
        <f t="shared" si="194"/>
        <v>91</v>
      </c>
      <c r="I1443" t="str">
        <f t="shared" si="192"/>
        <v>0</v>
      </c>
      <c r="J1443" t="str">
        <f>"41"</f>
        <v>41</v>
      </c>
      <c r="K1443">
        <v>20181207</v>
      </c>
      <c r="L1443" t="str">
        <f>"074896"</f>
        <v>074896</v>
      </c>
      <c r="M1443" t="str">
        <f>"00650"</f>
        <v>00650</v>
      </c>
      <c r="N1443" t="s">
        <v>733</v>
      </c>
      <c r="O1443">
        <v>85</v>
      </c>
      <c r="P1443">
        <v>20181206</v>
      </c>
      <c r="Q1443" t="s">
        <v>704</v>
      </c>
      <c r="R1443" t="s">
        <v>705</v>
      </c>
      <c r="S1443" t="s">
        <v>295</v>
      </c>
      <c r="T1443" t="s">
        <v>106</v>
      </c>
    </row>
    <row r="1444" spans="1:20" x14ac:dyDescent="0.25">
      <c r="A1444">
        <v>9</v>
      </c>
      <c r="B1444">
        <v>181</v>
      </c>
      <c r="C1444" t="str">
        <f t="shared" si="193"/>
        <v>36</v>
      </c>
      <c r="D1444">
        <v>6219</v>
      </c>
      <c r="E1444" t="str">
        <f>"3B"</f>
        <v>3B</v>
      </c>
      <c r="F1444" t="str">
        <f>"041"</f>
        <v>041</v>
      </c>
      <c r="G1444">
        <v>9</v>
      </c>
      <c r="H1444" t="str">
        <f t="shared" si="194"/>
        <v>91</v>
      </c>
      <c r="I1444" t="str">
        <f t="shared" si="192"/>
        <v>0</v>
      </c>
      <c r="J1444" t="str">
        <f>"41"</f>
        <v>41</v>
      </c>
      <c r="K1444">
        <v>20181207</v>
      </c>
      <c r="L1444" t="str">
        <f>"074899"</f>
        <v>074899</v>
      </c>
      <c r="M1444" t="str">
        <f>"00633"</f>
        <v>00633</v>
      </c>
      <c r="N1444" t="s">
        <v>734</v>
      </c>
      <c r="O1444">
        <v>85</v>
      </c>
      <c r="P1444">
        <v>20181206</v>
      </c>
      <c r="Q1444" t="s">
        <v>711</v>
      </c>
      <c r="R1444" t="s">
        <v>712</v>
      </c>
      <c r="S1444" t="s">
        <v>295</v>
      </c>
      <c r="T1444" t="s">
        <v>106</v>
      </c>
    </row>
    <row r="1445" spans="1:20" x14ac:dyDescent="0.25">
      <c r="A1445">
        <v>9</v>
      </c>
      <c r="B1445">
        <v>181</v>
      </c>
      <c r="C1445" t="str">
        <f t="shared" si="193"/>
        <v>36</v>
      </c>
      <c r="D1445">
        <v>6219</v>
      </c>
      <c r="E1445" t="str">
        <f>"3B"</f>
        <v>3B</v>
      </c>
      <c r="F1445" t="str">
        <f t="shared" ref="F1445:F1461" si="195">"001"</f>
        <v>001</v>
      </c>
      <c r="G1445">
        <v>9</v>
      </c>
      <c r="H1445" t="str">
        <f t="shared" si="194"/>
        <v>91</v>
      </c>
      <c r="I1445" t="str">
        <f t="shared" si="192"/>
        <v>0</v>
      </c>
      <c r="J1445" t="str">
        <f>"39"</f>
        <v>39</v>
      </c>
      <c r="K1445">
        <v>20181207</v>
      </c>
      <c r="L1445" t="str">
        <f>"074900"</f>
        <v>074900</v>
      </c>
      <c r="M1445" t="str">
        <f>"48074"</f>
        <v>48074</v>
      </c>
      <c r="N1445" t="s">
        <v>735</v>
      </c>
      <c r="O1445">
        <v>135</v>
      </c>
      <c r="P1445">
        <v>20181206</v>
      </c>
      <c r="Q1445" t="s">
        <v>695</v>
      </c>
      <c r="R1445" t="s">
        <v>729</v>
      </c>
      <c r="S1445" t="s">
        <v>295</v>
      </c>
      <c r="T1445" t="s">
        <v>301</v>
      </c>
    </row>
    <row r="1446" spans="1:20" x14ac:dyDescent="0.25">
      <c r="A1446">
        <v>9</v>
      </c>
      <c r="B1446">
        <v>181</v>
      </c>
      <c r="C1446" t="str">
        <f t="shared" si="193"/>
        <v>36</v>
      </c>
      <c r="D1446">
        <v>6219</v>
      </c>
      <c r="E1446" t="str">
        <f>"3F"</f>
        <v>3F</v>
      </c>
      <c r="F1446" t="str">
        <f t="shared" si="195"/>
        <v>001</v>
      </c>
      <c r="G1446">
        <v>9</v>
      </c>
      <c r="H1446" t="str">
        <f t="shared" si="194"/>
        <v>91</v>
      </c>
      <c r="I1446" t="str">
        <f t="shared" si="192"/>
        <v>0</v>
      </c>
      <c r="J1446" t="str">
        <f>"39"</f>
        <v>39</v>
      </c>
      <c r="K1446">
        <v>20181207</v>
      </c>
      <c r="L1446" t="str">
        <f>"074902"</f>
        <v>074902</v>
      </c>
      <c r="M1446" t="str">
        <f>"48933"</f>
        <v>48933</v>
      </c>
      <c r="N1446" t="s">
        <v>736</v>
      </c>
      <c r="O1446">
        <v>65</v>
      </c>
      <c r="P1446">
        <v>20181206</v>
      </c>
      <c r="Q1446" t="s">
        <v>333</v>
      </c>
      <c r="R1446" t="s">
        <v>706</v>
      </c>
      <c r="S1446" t="s">
        <v>295</v>
      </c>
      <c r="T1446" t="s">
        <v>301</v>
      </c>
    </row>
    <row r="1447" spans="1:20" x14ac:dyDescent="0.25">
      <c r="A1447">
        <v>9</v>
      </c>
      <c r="B1447">
        <v>181</v>
      </c>
      <c r="C1447" t="str">
        <f t="shared" si="193"/>
        <v>36</v>
      </c>
      <c r="D1447">
        <v>6219</v>
      </c>
      <c r="E1447" t="str">
        <f>"02"</f>
        <v>02</v>
      </c>
      <c r="F1447" t="str">
        <f t="shared" si="195"/>
        <v>001</v>
      </c>
      <c r="G1447">
        <v>9</v>
      </c>
      <c r="H1447" t="str">
        <f t="shared" si="194"/>
        <v>91</v>
      </c>
      <c r="I1447" t="str">
        <f t="shared" si="192"/>
        <v>0</v>
      </c>
      <c r="J1447" t="str">
        <f>"42"</f>
        <v>42</v>
      </c>
      <c r="K1447">
        <v>20181207</v>
      </c>
      <c r="L1447" t="str">
        <f>"074905"</f>
        <v>074905</v>
      </c>
      <c r="M1447" t="str">
        <f>"00111"</f>
        <v>00111</v>
      </c>
      <c r="N1447" t="s">
        <v>737</v>
      </c>
      <c r="O1447">
        <v>100</v>
      </c>
      <c r="P1447">
        <v>20181206</v>
      </c>
      <c r="Q1447" t="s">
        <v>738</v>
      </c>
      <c r="R1447" t="s">
        <v>656</v>
      </c>
      <c r="S1447" t="s">
        <v>295</v>
      </c>
      <c r="T1447" t="s">
        <v>301</v>
      </c>
    </row>
    <row r="1448" spans="1:20" x14ac:dyDescent="0.25">
      <c r="A1448">
        <v>9</v>
      </c>
      <c r="B1448">
        <v>181</v>
      </c>
      <c r="C1448" t="str">
        <f t="shared" si="193"/>
        <v>36</v>
      </c>
      <c r="D1448">
        <v>6219</v>
      </c>
      <c r="E1448" t="str">
        <f>"3B"</f>
        <v>3B</v>
      </c>
      <c r="F1448" t="str">
        <f t="shared" si="195"/>
        <v>001</v>
      </c>
      <c r="G1448">
        <v>9</v>
      </c>
      <c r="H1448" t="str">
        <f t="shared" si="194"/>
        <v>91</v>
      </c>
      <c r="I1448" t="str">
        <f t="shared" si="192"/>
        <v>0</v>
      </c>
      <c r="J1448" t="str">
        <f>"39"</f>
        <v>39</v>
      </c>
      <c r="K1448">
        <v>20181207</v>
      </c>
      <c r="L1448" t="str">
        <f>"074906"</f>
        <v>074906</v>
      </c>
      <c r="M1448" t="str">
        <f>"00169"</f>
        <v>00169</v>
      </c>
      <c r="N1448" t="s">
        <v>739</v>
      </c>
      <c r="O1448">
        <v>165</v>
      </c>
      <c r="P1448">
        <v>20181206</v>
      </c>
      <c r="Q1448" t="s">
        <v>695</v>
      </c>
      <c r="R1448" t="s">
        <v>696</v>
      </c>
      <c r="S1448" t="s">
        <v>295</v>
      </c>
      <c r="T1448" t="s">
        <v>301</v>
      </c>
    </row>
    <row r="1449" spans="1:20" x14ac:dyDescent="0.25">
      <c r="A1449">
        <v>9</v>
      </c>
      <c r="B1449">
        <v>181</v>
      </c>
      <c r="C1449" t="str">
        <f t="shared" si="193"/>
        <v>36</v>
      </c>
      <c r="D1449">
        <v>6219</v>
      </c>
      <c r="E1449" t="str">
        <f>"3B"</f>
        <v>3B</v>
      </c>
      <c r="F1449" t="str">
        <f t="shared" si="195"/>
        <v>001</v>
      </c>
      <c r="G1449">
        <v>9</v>
      </c>
      <c r="H1449" t="str">
        <f t="shared" si="194"/>
        <v>91</v>
      </c>
      <c r="I1449" t="str">
        <f t="shared" si="192"/>
        <v>0</v>
      </c>
      <c r="J1449" t="str">
        <f>"39"</f>
        <v>39</v>
      </c>
      <c r="K1449">
        <v>20181207</v>
      </c>
      <c r="L1449" t="str">
        <f>"074910"</f>
        <v>074910</v>
      </c>
      <c r="M1449" t="str">
        <f>"53073"</f>
        <v>53073</v>
      </c>
      <c r="N1449" t="s">
        <v>740</v>
      </c>
      <c r="O1449">
        <v>205</v>
      </c>
      <c r="P1449">
        <v>20181206</v>
      </c>
      <c r="Q1449" t="s">
        <v>695</v>
      </c>
      <c r="R1449" t="s">
        <v>741</v>
      </c>
      <c r="S1449" t="s">
        <v>295</v>
      </c>
      <c r="T1449" t="s">
        <v>301</v>
      </c>
    </row>
    <row r="1450" spans="1:20" x14ac:dyDescent="0.25">
      <c r="A1450">
        <v>9</v>
      </c>
      <c r="B1450">
        <v>181</v>
      </c>
      <c r="C1450" t="str">
        <f t="shared" si="193"/>
        <v>36</v>
      </c>
      <c r="D1450">
        <v>6219</v>
      </c>
      <c r="E1450" t="str">
        <f>"3B"</f>
        <v>3B</v>
      </c>
      <c r="F1450" t="str">
        <f t="shared" si="195"/>
        <v>001</v>
      </c>
      <c r="G1450">
        <v>9</v>
      </c>
      <c r="H1450" t="str">
        <f t="shared" si="194"/>
        <v>91</v>
      </c>
      <c r="I1450" t="str">
        <f t="shared" si="192"/>
        <v>0</v>
      </c>
      <c r="J1450" t="str">
        <f>"39"</f>
        <v>39</v>
      </c>
      <c r="K1450">
        <v>20181207</v>
      </c>
      <c r="L1450" t="str">
        <f>"074911"</f>
        <v>074911</v>
      </c>
      <c r="M1450" t="str">
        <f>"53458"</f>
        <v>53458</v>
      </c>
      <c r="N1450" t="s">
        <v>742</v>
      </c>
      <c r="O1450">
        <v>135</v>
      </c>
      <c r="P1450">
        <v>20181206</v>
      </c>
      <c r="Q1450" t="s">
        <v>695</v>
      </c>
      <c r="R1450" t="s">
        <v>698</v>
      </c>
      <c r="S1450" t="s">
        <v>295</v>
      </c>
      <c r="T1450" t="s">
        <v>301</v>
      </c>
    </row>
    <row r="1451" spans="1:20" x14ac:dyDescent="0.25">
      <c r="A1451">
        <v>9</v>
      </c>
      <c r="B1451">
        <v>181</v>
      </c>
      <c r="C1451" t="str">
        <f t="shared" si="193"/>
        <v>36</v>
      </c>
      <c r="D1451">
        <v>6219</v>
      </c>
      <c r="E1451" t="str">
        <f>"3B"</f>
        <v>3B</v>
      </c>
      <c r="F1451" t="str">
        <f t="shared" si="195"/>
        <v>001</v>
      </c>
      <c r="G1451">
        <v>9</v>
      </c>
      <c r="H1451" t="str">
        <f t="shared" si="194"/>
        <v>91</v>
      </c>
      <c r="I1451" t="str">
        <f t="shared" si="192"/>
        <v>0</v>
      </c>
      <c r="J1451" t="str">
        <f>"39"</f>
        <v>39</v>
      </c>
      <c r="K1451">
        <v>20181207</v>
      </c>
      <c r="L1451" t="str">
        <f>"074918"</f>
        <v>074918</v>
      </c>
      <c r="M1451" t="str">
        <f>"57988"</f>
        <v>57988</v>
      </c>
      <c r="N1451" t="s">
        <v>743</v>
      </c>
      <c r="O1451">
        <v>115</v>
      </c>
      <c r="P1451">
        <v>20181206</v>
      </c>
      <c r="Q1451" t="s">
        <v>695</v>
      </c>
      <c r="R1451" t="s">
        <v>741</v>
      </c>
      <c r="S1451" t="s">
        <v>295</v>
      </c>
      <c r="T1451" t="s">
        <v>301</v>
      </c>
    </row>
    <row r="1452" spans="1:20" x14ac:dyDescent="0.25">
      <c r="A1452">
        <v>9</v>
      </c>
      <c r="B1452">
        <v>181</v>
      </c>
      <c r="C1452" t="str">
        <f t="shared" si="193"/>
        <v>36</v>
      </c>
      <c r="D1452">
        <v>6219</v>
      </c>
      <c r="E1452" t="str">
        <f>"02"</f>
        <v>02</v>
      </c>
      <c r="F1452" t="str">
        <f t="shared" si="195"/>
        <v>001</v>
      </c>
      <c r="G1452">
        <v>9</v>
      </c>
      <c r="H1452" t="str">
        <f t="shared" si="194"/>
        <v>91</v>
      </c>
      <c r="I1452" t="str">
        <f t="shared" si="192"/>
        <v>0</v>
      </c>
      <c r="J1452" t="str">
        <f>"42"</f>
        <v>42</v>
      </c>
      <c r="K1452">
        <v>20181207</v>
      </c>
      <c r="L1452" t="str">
        <f>"074919"</f>
        <v>074919</v>
      </c>
      <c r="M1452" t="str">
        <f>"57991"</f>
        <v>57991</v>
      </c>
      <c r="N1452" t="s">
        <v>372</v>
      </c>
      <c r="O1452">
        <v>100</v>
      </c>
      <c r="P1452">
        <v>20181206</v>
      </c>
      <c r="Q1452" t="s">
        <v>738</v>
      </c>
      <c r="R1452" t="s">
        <v>656</v>
      </c>
      <c r="S1452" t="s">
        <v>295</v>
      </c>
      <c r="T1452" t="s">
        <v>301</v>
      </c>
    </row>
    <row r="1453" spans="1:20" x14ac:dyDescent="0.25">
      <c r="A1453">
        <v>9</v>
      </c>
      <c r="B1453">
        <v>181</v>
      </c>
      <c r="C1453" t="str">
        <f t="shared" si="193"/>
        <v>36</v>
      </c>
      <c r="D1453">
        <v>6219</v>
      </c>
      <c r="E1453" t="str">
        <f>"02"</f>
        <v>02</v>
      </c>
      <c r="F1453" t="str">
        <f t="shared" si="195"/>
        <v>001</v>
      </c>
      <c r="G1453">
        <v>9</v>
      </c>
      <c r="H1453" t="str">
        <f t="shared" si="194"/>
        <v>91</v>
      </c>
      <c r="I1453" t="str">
        <f t="shared" si="192"/>
        <v>0</v>
      </c>
      <c r="J1453" t="str">
        <f>"42"</f>
        <v>42</v>
      </c>
      <c r="K1453">
        <v>20181207</v>
      </c>
      <c r="L1453" t="str">
        <f>"074920"</f>
        <v>074920</v>
      </c>
      <c r="M1453" t="str">
        <f>"57983"</f>
        <v>57983</v>
      </c>
      <c r="N1453" t="s">
        <v>744</v>
      </c>
      <c r="O1453">
        <v>100</v>
      </c>
      <c r="P1453">
        <v>20181206</v>
      </c>
      <c r="Q1453" t="s">
        <v>738</v>
      </c>
      <c r="R1453" t="s">
        <v>656</v>
      </c>
      <c r="S1453" t="s">
        <v>295</v>
      </c>
      <c r="T1453" t="s">
        <v>301</v>
      </c>
    </row>
    <row r="1454" spans="1:20" x14ac:dyDescent="0.25">
      <c r="A1454">
        <v>9</v>
      </c>
      <c r="B1454">
        <v>181</v>
      </c>
      <c r="C1454" t="str">
        <f t="shared" si="193"/>
        <v>36</v>
      </c>
      <c r="D1454">
        <v>6219</v>
      </c>
      <c r="E1454" t="str">
        <f>"3B"</f>
        <v>3B</v>
      </c>
      <c r="F1454" t="str">
        <f t="shared" si="195"/>
        <v>001</v>
      </c>
      <c r="G1454">
        <v>9</v>
      </c>
      <c r="H1454" t="str">
        <f t="shared" si="194"/>
        <v>91</v>
      </c>
      <c r="I1454" t="str">
        <f t="shared" si="192"/>
        <v>0</v>
      </c>
      <c r="J1454" t="str">
        <f>"39"</f>
        <v>39</v>
      </c>
      <c r="K1454">
        <v>20181207</v>
      </c>
      <c r="L1454" t="str">
        <f>"074926"</f>
        <v>074926</v>
      </c>
      <c r="M1454" t="str">
        <f>"62271"</f>
        <v>62271</v>
      </c>
      <c r="N1454" t="s">
        <v>745</v>
      </c>
      <c r="O1454">
        <v>165</v>
      </c>
      <c r="P1454">
        <v>20181206</v>
      </c>
      <c r="Q1454" t="s">
        <v>695</v>
      </c>
      <c r="R1454" t="s">
        <v>696</v>
      </c>
      <c r="S1454" t="s">
        <v>295</v>
      </c>
      <c r="T1454" t="s">
        <v>301</v>
      </c>
    </row>
    <row r="1455" spans="1:20" x14ac:dyDescent="0.25">
      <c r="A1455">
        <v>9</v>
      </c>
      <c r="B1455">
        <v>181</v>
      </c>
      <c r="C1455" t="str">
        <f t="shared" si="193"/>
        <v>36</v>
      </c>
      <c r="D1455">
        <v>6219</v>
      </c>
      <c r="E1455" t="str">
        <f>"3B"</f>
        <v>3B</v>
      </c>
      <c r="F1455" t="str">
        <f t="shared" si="195"/>
        <v>001</v>
      </c>
      <c r="G1455">
        <v>9</v>
      </c>
      <c r="H1455" t="str">
        <f t="shared" si="194"/>
        <v>91</v>
      </c>
      <c r="I1455" t="str">
        <f t="shared" si="192"/>
        <v>0</v>
      </c>
      <c r="J1455" t="str">
        <f>"39"</f>
        <v>39</v>
      </c>
      <c r="K1455">
        <v>20181207</v>
      </c>
      <c r="L1455" t="str">
        <f>"074926"</f>
        <v>074926</v>
      </c>
      <c r="M1455" t="str">
        <f>"62271"</f>
        <v>62271</v>
      </c>
      <c r="N1455" t="s">
        <v>745</v>
      </c>
      <c r="O1455">
        <v>135</v>
      </c>
      <c r="P1455">
        <v>20181206</v>
      </c>
      <c r="Q1455" t="s">
        <v>695</v>
      </c>
      <c r="R1455" t="s">
        <v>729</v>
      </c>
      <c r="S1455" t="s">
        <v>295</v>
      </c>
      <c r="T1455" t="s">
        <v>301</v>
      </c>
    </row>
    <row r="1456" spans="1:20" x14ac:dyDescent="0.25">
      <c r="A1456">
        <v>9</v>
      </c>
      <c r="B1456">
        <v>181</v>
      </c>
      <c r="C1456" t="str">
        <f t="shared" si="193"/>
        <v>36</v>
      </c>
      <c r="D1456">
        <v>6219</v>
      </c>
      <c r="E1456" t="str">
        <f>"02"</f>
        <v>02</v>
      </c>
      <c r="F1456" t="str">
        <f t="shared" si="195"/>
        <v>001</v>
      </c>
      <c r="G1456">
        <v>9</v>
      </c>
      <c r="H1456" t="str">
        <f t="shared" si="194"/>
        <v>91</v>
      </c>
      <c r="I1456" t="str">
        <f t="shared" si="192"/>
        <v>0</v>
      </c>
      <c r="J1456" t="str">
        <f>"42"</f>
        <v>42</v>
      </c>
      <c r="K1456">
        <v>20181207</v>
      </c>
      <c r="L1456" t="str">
        <f>"074928"</f>
        <v>074928</v>
      </c>
      <c r="M1456" t="str">
        <f>"62339"</f>
        <v>62339</v>
      </c>
      <c r="N1456" t="s">
        <v>746</v>
      </c>
      <c r="O1456">
        <v>100</v>
      </c>
      <c r="P1456">
        <v>20181206</v>
      </c>
      <c r="Q1456" t="s">
        <v>738</v>
      </c>
      <c r="R1456" t="s">
        <v>656</v>
      </c>
      <c r="S1456" t="s">
        <v>295</v>
      </c>
      <c r="T1456" t="s">
        <v>301</v>
      </c>
    </row>
    <row r="1457" spans="1:20" x14ac:dyDescent="0.25">
      <c r="A1457">
        <v>9</v>
      </c>
      <c r="B1457">
        <v>181</v>
      </c>
      <c r="C1457" t="str">
        <f t="shared" si="193"/>
        <v>36</v>
      </c>
      <c r="D1457">
        <v>6219</v>
      </c>
      <c r="E1457" t="str">
        <f>"02"</f>
        <v>02</v>
      </c>
      <c r="F1457" t="str">
        <f t="shared" si="195"/>
        <v>001</v>
      </c>
      <c r="G1457">
        <v>9</v>
      </c>
      <c r="H1457" t="str">
        <f t="shared" si="194"/>
        <v>91</v>
      </c>
      <c r="I1457" t="str">
        <f t="shared" si="192"/>
        <v>0</v>
      </c>
      <c r="J1457" t="str">
        <f>"42"</f>
        <v>42</v>
      </c>
      <c r="K1457">
        <v>20181207</v>
      </c>
      <c r="L1457" t="str">
        <f>"074929"</f>
        <v>074929</v>
      </c>
      <c r="M1457" t="str">
        <f>"00592"</f>
        <v>00592</v>
      </c>
      <c r="N1457" t="s">
        <v>534</v>
      </c>
      <c r="O1457">
        <v>100</v>
      </c>
      <c r="P1457">
        <v>20181206</v>
      </c>
      <c r="Q1457" t="s">
        <v>738</v>
      </c>
      <c r="R1457" t="s">
        <v>656</v>
      </c>
      <c r="S1457" t="s">
        <v>295</v>
      </c>
      <c r="T1457" t="s">
        <v>301</v>
      </c>
    </row>
    <row r="1458" spans="1:20" x14ac:dyDescent="0.25">
      <c r="A1458">
        <v>9</v>
      </c>
      <c r="B1458">
        <v>181</v>
      </c>
      <c r="C1458" t="str">
        <f t="shared" si="193"/>
        <v>36</v>
      </c>
      <c r="D1458">
        <v>6219</v>
      </c>
      <c r="E1458" t="str">
        <f>"3B"</f>
        <v>3B</v>
      </c>
      <c r="F1458" t="str">
        <f t="shared" si="195"/>
        <v>001</v>
      </c>
      <c r="G1458">
        <v>9</v>
      </c>
      <c r="H1458" t="str">
        <f t="shared" si="194"/>
        <v>91</v>
      </c>
      <c r="I1458" t="str">
        <f t="shared" si="192"/>
        <v>0</v>
      </c>
      <c r="J1458" t="str">
        <f>"39"</f>
        <v>39</v>
      </c>
      <c r="K1458">
        <v>20181207</v>
      </c>
      <c r="L1458" t="str">
        <f>"074932"</f>
        <v>074932</v>
      </c>
      <c r="M1458" t="str">
        <f>"63649"</f>
        <v>63649</v>
      </c>
      <c r="N1458" t="s">
        <v>747</v>
      </c>
      <c r="O1458">
        <v>115</v>
      </c>
      <c r="P1458">
        <v>20181206</v>
      </c>
      <c r="Q1458" t="s">
        <v>695</v>
      </c>
      <c r="R1458" t="s">
        <v>696</v>
      </c>
      <c r="S1458" t="s">
        <v>295</v>
      </c>
      <c r="T1458" t="s">
        <v>301</v>
      </c>
    </row>
    <row r="1459" spans="1:20" x14ac:dyDescent="0.25">
      <c r="A1459">
        <v>9</v>
      </c>
      <c r="B1459">
        <v>181</v>
      </c>
      <c r="C1459" t="str">
        <f t="shared" si="193"/>
        <v>36</v>
      </c>
      <c r="D1459">
        <v>6219</v>
      </c>
      <c r="E1459" t="str">
        <f>"02"</f>
        <v>02</v>
      </c>
      <c r="F1459" t="str">
        <f t="shared" si="195"/>
        <v>001</v>
      </c>
      <c r="G1459">
        <v>9</v>
      </c>
      <c r="H1459" t="str">
        <f t="shared" si="194"/>
        <v>91</v>
      </c>
      <c r="I1459" t="str">
        <f t="shared" si="192"/>
        <v>0</v>
      </c>
      <c r="J1459" t="str">
        <f>"42"</f>
        <v>42</v>
      </c>
      <c r="K1459">
        <v>20181207</v>
      </c>
      <c r="L1459" t="str">
        <f>"074933"</f>
        <v>074933</v>
      </c>
      <c r="M1459" t="str">
        <f>"63708"</f>
        <v>63708</v>
      </c>
      <c r="N1459" t="s">
        <v>748</v>
      </c>
      <c r="O1459">
        <v>100</v>
      </c>
      <c r="P1459">
        <v>20181206</v>
      </c>
      <c r="Q1459" t="s">
        <v>738</v>
      </c>
      <c r="R1459" t="s">
        <v>656</v>
      </c>
      <c r="S1459" t="s">
        <v>295</v>
      </c>
      <c r="T1459" t="s">
        <v>301</v>
      </c>
    </row>
    <row r="1460" spans="1:20" x14ac:dyDescent="0.25">
      <c r="A1460">
        <v>9</v>
      </c>
      <c r="B1460">
        <v>181</v>
      </c>
      <c r="C1460" t="str">
        <f t="shared" si="193"/>
        <v>36</v>
      </c>
      <c r="D1460">
        <v>6219</v>
      </c>
      <c r="E1460" t="str">
        <f>"3F"</f>
        <v>3F</v>
      </c>
      <c r="F1460" t="str">
        <f t="shared" si="195"/>
        <v>001</v>
      </c>
      <c r="G1460">
        <v>9</v>
      </c>
      <c r="H1460" t="str">
        <f t="shared" si="194"/>
        <v>91</v>
      </c>
      <c r="I1460" t="str">
        <f t="shared" si="192"/>
        <v>0</v>
      </c>
      <c r="J1460" t="str">
        <f>"39"</f>
        <v>39</v>
      </c>
      <c r="K1460">
        <v>20181207</v>
      </c>
      <c r="L1460" t="str">
        <f>"074934"</f>
        <v>074934</v>
      </c>
      <c r="M1460" t="str">
        <f>"63913"</f>
        <v>63913</v>
      </c>
      <c r="N1460" t="s">
        <v>385</v>
      </c>
      <c r="O1460">
        <v>65</v>
      </c>
      <c r="P1460">
        <v>20181206</v>
      </c>
      <c r="Q1460" t="s">
        <v>333</v>
      </c>
      <c r="R1460" t="s">
        <v>706</v>
      </c>
      <c r="S1460" t="s">
        <v>295</v>
      </c>
      <c r="T1460" t="s">
        <v>301</v>
      </c>
    </row>
    <row r="1461" spans="1:20" x14ac:dyDescent="0.25">
      <c r="A1461">
        <v>9</v>
      </c>
      <c r="B1461">
        <v>181</v>
      </c>
      <c r="C1461" t="str">
        <f t="shared" si="193"/>
        <v>36</v>
      </c>
      <c r="D1461">
        <v>6219</v>
      </c>
      <c r="E1461" t="str">
        <f>"02"</f>
        <v>02</v>
      </c>
      <c r="F1461" t="str">
        <f t="shared" si="195"/>
        <v>001</v>
      </c>
      <c r="G1461">
        <v>9</v>
      </c>
      <c r="H1461" t="str">
        <f t="shared" si="194"/>
        <v>91</v>
      </c>
      <c r="I1461" t="str">
        <f t="shared" si="192"/>
        <v>0</v>
      </c>
      <c r="J1461" t="str">
        <f>"42"</f>
        <v>42</v>
      </c>
      <c r="K1461">
        <v>20181207</v>
      </c>
      <c r="L1461" t="str">
        <f>"074935"</f>
        <v>074935</v>
      </c>
      <c r="M1461" t="str">
        <f>"00428"</f>
        <v>00428</v>
      </c>
      <c r="N1461" t="s">
        <v>536</v>
      </c>
      <c r="O1461">
        <v>100</v>
      </c>
      <c r="P1461">
        <v>20181206</v>
      </c>
      <c r="Q1461" t="s">
        <v>738</v>
      </c>
      <c r="R1461" t="s">
        <v>656</v>
      </c>
      <c r="S1461" t="s">
        <v>295</v>
      </c>
      <c r="T1461" t="s">
        <v>301</v>
      </c>
    </row>
    <row r="1462" spans="1:20" x14ac:dyDescent="0.25">
      <c r="A1462">
        <v>9</v>
      </c>
      <c r="B1462">
        <v>181</v>
      </c>
      <c r="C1462" t="str">
        <f t="shared" si="193"/>
        <v>36</v>
      </c>
      <c r="D1462">
        <v>6219</v>
      </c>
      <c r="E1462" t="str">
        <f>"3D"</f>
        <v>3D</v>
      </c>
      <c r="F1462" t="str">
        <f>"041"</f>
        <v>041</v>
      </c>
      <c r="G1462">
        <v>9</v>
      </c>
      <c r="H1462" t="str">
        <f t="shared" si="194"/>
        <v>91</v>
      </c>
      <c r="I1462" t="str">
        <f t="shared" si="192"/>
        <v>0</v>
      </c>
      <c r="J1462" t="str">
        <f>"41"</f>
        <v>41</v>
      </c>
      <c r="K1462">
        <v>20181207</v>
      </c>
      <c r="L1462" t="str">
        <f>"074936"</f>
        <v>074936</v>
      </c>
      <c r="M1462" t="str">
        <f>"00273"</f>
        <v>00273</v>
      </c>
      <c r="N1462" t="s">
        <v>749</v>
      </c>
      <c r="O1462">
        <v>85</v>
      </c>
      <c r="P1462">
        <v>20181206</v>
      </c>
      <c r="Q1462" t="s">
        <v>704</v>
      </c>
      <c r="R1462" t="s">
        <v>705</v>
      </c>
      <c r="S1462" t="s">
        <v>295</v>
      </c>
      <c r="T1462" t="s">
        <v>106</v>
      </c>
    </row>
    <row r="1463" spans="1:20" x14ac:dyDescent="0.25">
      <c r="A1463">
        <v>9</v>
      </c>
      <c r="B1463">
        <v>181</v>
      </c>
      <c r="C1463" t="str">
        <f t="shared" si="193"/>
        <v>36</v>
      </c>
      <c r="D1463">
        <v>6219</v>
      </c>
      <c r="E1463" t="str">
        <f>"3B"</f>
        <v>3B</v>
      </c>
      <c r="F1463" t="str">
        <f t="shared" ref="F1463:F1472" si="196">"001"</f>
        <v>001</v>
      </c>
      <c r="G1463">
        <v>9</v>
      </c>
      <c r="H1463" t="str">
        <f t="shared" si="194"/>
        <v>91</v>
      </c>
      <c r="I1463" t="str">
        <f t="shared" si="192"/>
        <v>0</v>
      </c>
      <c r="J1463" t="str">
        <f t="shared" ref="J1463:J1469" si="197">"39"</f>
        <v>39</v>
      </c>
      <c r="K1463">
        <v>20181207</v>
      </c>
      <c r="L1463" t="str">
        <f>"074937"</f>
        <v>074937</v>
      </c>
      <c r="M1463" t="str">
        <f>"65240"</f>
        <v>65240</v>
      </c>
      <c r="N1463" t="s">
        <v>750</v>
      </c>
      <c r="O1463">
        <v>85</v>
      </c>
      <c r="P1463">
        <v>20181206</v>
      </c>
      <c r="Q1463" t="s">
        <v>695</v>
      </c>
      <c r="R1463" t="s">
        <v>751</v>
      </c>
      <c r="S1463" t="s">
        <v>295</v>
      </c>
      <c r="T1463" t="s">
        <v>301</v>
      </c>
    </row>
    <row r="1464" spans="1:20" x14ac:dyDescent="0.25">
      <c r="A1464">
        <v>9</v>
      </c>
      <c r="B1464">
        <v>181</v>
      </c>
      <c r="C1464" t="str">
        <f t="shared" si="193"/>
        <v>36</v>
      </c>
      <c r="D1464">
        <v>6219</v>
      </c>
      <c r="E1464" t="str">
        <f>"3B"</f>
        <v>3B</v>
      </c>
      <c r="F1464" t="str">
        <f t="shared" si="196"/>
        <v>001</v>
      </c>
      <c r="G1464">
        <v>9</v>
      </c>
      <c r="H1464" t="str">
        <f t="shared" si="194"/>
        <v>91</v>
      </c>
      <c r="I1464" t="str">
        <f t="shared" si="192"/>
        <v>0</v>
      </c>
      <c r="J1464" t="str">
        <f t="shared" si="197"/>
        <v>39</v>
      </c>
      <c r="K1464">
        <v>20181207</v>
      </c>
      <c r="L1464" t="str">
        <f>"074938"</f>
        <v>074938</v>
      </c>
      <c r="M1464" t="str">
        <f>"74137"</f>
        <v>74137</v>
      </c>
      <c r="N1464" t="s">
        <v>752</v>
      </c>
      <c r="O1464">
        <v>165</v>
      </c>
      <c r="P1464">
        <v>20181206</v>
      </c>
      <c r="Q1464" t="s">
        <v>695</v>
      </c>
      <c r="R1464" t="s">
        <v>696</v>
      </c>
      <c r="S1464" t="s">
        <v>295</v>
      </c>
      <c r="T1464" t="s">
        <v>301</v>
      </c>
    </row>
    <row r="1465" spans="1:20" x14ac:dyDescent="0.25">
      <c r="A1465">
        <v>9</v>
      </c>
      <c r="B1465">
        <v>181</v>
      </c>
      <c r="C1465" t="str">
        <f t="shared" si="193"/>
        <v>36</v>
      </c>
      <c r="D1465">
        <v>6219</v>
      </c>
      <c r="E1465" t="str">
        <f>"3D"</f>
        <v>3D</v>
      </c>
      <c r="F1465" t="str">
        <f t="shared" si="196"/>
        <v>001</v>
      </c>
      <c r="G1465">
        <v>9</v>
      </c>
      <c r="H1465" t="str">
        <f t="shared" si="194"/>
        <v>91</v>
      </c>
      <c r="I1465" t="str">
        <f t="shared" si="192"/>
        <v>0</v>
      </c>
      <c r="J1465" t="str">
        <f t="shared" si="197"/>
        <v>39</v>
      </c>
      <c r="K1465">
        <v>20181207</v>
      </c>
      <c r="L1465" t="str">
        <f>"074938"</f>
        <v>074938</v>
      </c>
      <c r="M1465" t="str">
        <f>"74137"</f>
        <v>74137</v>
      </c>
      <c r="N1465" t="s">
        <v>752</v>
      </c>
      <c r="O1465">
        <v>85</v>
      </c>
      <c r="P1465">
        <v>20181206</v>
      </c>
      <c r="Q1465" t="s">
        <v>700</v>
      </c>
      <c r="R1465" t="s">
        <v>727</v>
      </c>
      <c r="S1465" t="s">
        <v>295</v>
      </c>
      <c r="T1465" t="s">
        <v>301</v>
      </c>
    </row>
    <row r="1466" spans="1:20" x14ac:dyDescent="0.25">
      <c r="A1466">
        <v>9</v>
      </c>
      <c r="B1466">
        <v>181</v>
      </c>
      <c r="C1466" t="str">
        <f t="shared" si="193"/>
        <v>36</v>
      </c>
      <c r="D1466">
        <v>6219</v>
      </c>
      <c r="E1466" t="str">
        <f>"3B"</f>
        <v>3B</v>
      </c>
      <c r="F1466" t="str">
        <f t="shared" si="196"/>
        <v>001</v>
      </c>
      <c r="G1466">
        <v>9</v>
      </c>
      <c r="H1466" t="str">
        <f t="shared" si="194"/>
        <v>91</v>
      </c>
      <c r="I1466" t="str">
        <f t="shared" si="192"/>
        <v>0</v>
      </c>
      <c r="J1466" t="str">
        <f t="shared" si="197"/>
        <v>39</v>
      </c>
      <c r="K1466">
        <v>20181207</v>
      </c>
      <c r="L1466" t="str">
        <f>"074940"</f>
        <v>074940</v>
      </c>
      <c r="M1466" t="str">
        <f>"67631"</f>
        <v>67631</v>
      </c>
      <c r="N1466" t="s">
        <v>753</v>
      </c>
      <c r="O1466">
        <v>115</v>
      </c>
      <c r="P1466">
        <v>20181206</v>
      </c>
      <c r="Q1466" t="s">
        <v>695</v>
      </c>
      <c r="R1466" t="s">
        <v>696</v>
      </c>
      <c r="S1466" t="s">
        <v>295</v>
      </c>
      <c r="T1466" t="s">
        <v>301</v>
      </c>
    </row>
    <row r="1467" spans="1:20" x14ac:dyDescent="0.25">
      <c r="A1467">
        <v>9</v>
      </c>
      <c r="B1467">
        <v>181</v>
      </c>
      <c r="C1467" t="str">
        <f t="shared" si="193"/>
        <v>36</v>
      </c>
      <c r="D1467">
        <v>6219</v>
      </c>
      <c r="E1467" t="str">
        <f>"3B"</f>
        <v>3B</v>
      </c>
      <c r="F1467" t="str">
        <f t="shared" si="196"/>
        <v>001</v>
      </c>
      <c r="G1467">
        <v>9</v>
      </c>
      <c r="H1467" t="str">
        <f t="shared" si="194"/>
        <v>91</v>
      </c>
      <c r="I1467" t="str">
        <f t="shared" si="192"/>
        <v>0</v>
      </c>
      <c r="J1467" t="str">
        <f t="shared" si="197"/>
        <v>39</v>
      </c>
      <c r="K1467">
        <v>20181207</v>
      </c>
      <c r="L1467" t="str">
        <f>"074941"</f>
        <v>074941</v>
      </c>
      <c r="M1467" t="str">
        <f>"70090"</f>
        <v>70090</v>
      </c>
      <c r="N1467" t="s">
        <v>754</v>
      </c>
      <c r="O1467">
        <v>77.5</v>
      </c>
      <c r="P1467">
        <v>20181206</v>
      </c>
      <c r="Q1467" t="s">
        <v>695</v>
      </c>
      <c r="R1467" t="s">
        <v>741</v>
      </c>
      <c r="S1467" t="s">
        <v>295</v>
      </c>
      <c r="T1467" t="s">
        <v>301</v>
      </c>
    </row>
    <row r="1468" spans="1:20" x14ac:dyDescent="0.25">
      <c r="A1468">
        <v>9</v>
      </c>
      <c r="B1468">
        <v>181</v>
      </c>
      <c r="C1468" t="str">
        <f t="shared" si="193"/>
        <v>36</v>
      </c>
      <c r="D1468">
        <v>6219</v>
      </c>
      <c r="E1468" t="str">
        <f>"3D"</f>
        <v>3D</v>
      </c>
      <c r="F1468" t="str">
        <f t="shared" si="196"/>
        <v>001</v>
      </c>
      <c r="G1468">
        <v>9</v>
      </c>
      <c r="H1468" t="str">
        <f t="shared" si="194"/>
        <v>91</v>
      </c>
      <c r="I1468" t="str">
        <f t="shared" si="192"/>
        <v>0</v>
      </c>
      <c r="J1468" t="str">
        <f t="shared" si="197"/>
        <v>39</v>
      </c>
      <c r="K1468">
        <v>20181207</v>
      </c>
      <c r="L1468" t="str">
        <f>"074941"</f>
        <v>074941</v>
      </c>
      <c r="M1468" t="str">
        <f>"70090"</f>
        <v>70090</v>
      </c>
      <c r="N1468" t="s">
        <v>754</v>
      </c>
      <c r="O1468">
        <v>77.5</v>
      </c>
      <c r="P1468">
        <v>20181206</v>
      </c>
      <c r="Q1468" t="s">
        <v>700</v>
      </c>
      <c r="R1468" t="s">
        <v>701</v>
      </c>
      <c r="S1468" t="s">
        <v>295</v>
      </c>
      <c r="T1468" t="s">
        <v>301</v>
      </c>
    </row>
    <row r="1469" spans="1:20" x14ac:dyDescent="0.25">
      <c r="A1469">
        <v>9</v>
      </c>
      <c r="B1469">
        <v>181</v>
      </c>
      <c r="C1469" t="str">
        <f t="shared" si="193"/>
        <v>36</v>
      </c>
      <c r="D1469">
        <v>6219</v>
      </c>
      <c r="E1469" t="str">
        <f>"3B"</f>
        <v>3B</v>
      </c>
      <c r="F1469" t="str">
        <f t="shared" si="196"/>
        <v>001</v>
      </c>
      <c r="G1469">
        <v>9</v>
      </c>
      <c r="H1469" t="str">
        <f t="shared" si="194"/>
        <v>91</v>
      </c>
      <c r="I1469" t="str">
        <f t="shared" si="192"/>
        <v>0</v>
      </c>
      <c r="J1469" t="str">
        <f t="shared" si="197"/>
        <v>39</v>
      </c>
      <c r="K1469">
        <v>20181207</v>
      </c>
      <c r="L1469" t="str">
        <f>"074946"</f>
        <v>074946</v>
      </c>
      <c r="M1469" t="str">
        <f>"00652"</f>
        <v>00652</v>
      </c>
      <c r="N1469" t="s">
        <v>755</v>
      </c>
      <c r="O1469">
        <v>115</v>
      </c>
      <c r="P1469">
        <v>20181206</v>
      </c>
      <c r="Q1469" t="s">
        <v>695</v>
      </c>
      <c r="R1469" t="s">
        <v>696</v>
      </c>
      <c r="S1469" t="s">
        <v>295</v>
      </c>
      <c r="T1469" t="s">
        <v>301</v>
      </c>
    </row>
    <row r="1470" spans="1:20" x14ac:dyDescent="0.25">
      <c r="A1470">
        <v>9</v>
      </c>
      <c r="B1470">
        <v>181</v>
      </c>
      <c r="C1470" t="str">
        <f t="shared" si="193"/>
        <v>36</v>
      </c>
      <c r="D1470">
        <v>6219</v>
      </c>
      <c r="E1470" t="str">
        <f>"02"</f>
        <v>02</v>
      </c>
      <c r="F1470" t="str">
        <f t="shared" si="196"/>
        <v>001</v>
      </c>
      <c r="G1470">
        <v>9</v>
      </c>
      <c r="H1470" t="str">
        <f t="shared" si="194"/>
        <v>91</v>
      </c>
      <c r="I1470" t="str">
        <f t="shared" si="192"/>
        <v>0</v>
      </c>
      <c r="J1470" t="str">
        <f>"42"</f>
        <v>42</v>
      </c>
      <c r="K1470">
        <v>20181207</v>
      </c>
      <c r="L1470" t="str">
        <f>"074947"</f>
        <v>074947</v>
      </c>
      <c r="M1470" t="str">
        <f>"00630"</f>
        <v>00630</v>
      </c>
      <c r="N1470" t="s">
        <v>660</v>
      </c>
      <c r="O1470">
        <v>100</v>
      </c>
      <c r="P1470">
        <v>20181206</v>
      </c>
      <c r="Q1470" t="s">
        <v>738</v>
      </c>
      <c r="R1470" t="s">
        <v>656</v>
      </c>
      <c r="S1470" t="s">
        <v>295</v>
      </c>
      <c r="T1470" t="s">
        <v>301</v>
      </c>
    </row>
    <row r="1471" spans="1:20" x14ac:dyDescent="0.25">
      <c r="A1471">
        <v>9</v>
      </c>
      <c r="B1471">
        <v>181</v>
      </c>
      <c r="C1471" t="str">
        <f t="shared" si="193"/>
        <v>36</v>
      </c>
      <c r="D1471">
        <v>6412</v>
      </c>
      <c r="E1471" t="str">
        <f>"3M"</f>
        <v>3M</v>
      </c>
      <c r="F1471" t="str">
        <f t="shared" si="196"/>
        <v>001</v>
      </c>
      <c r="G1471">
        <v>9</v>
      </c>
      <c r="H1471" t="str">
        <f t="shared" si="194"/>
        <v>91</v>
      </c>
      <c r="I1471" t="str">
        <f>"2"</f>
        <v>2</v>
      </c>
      <c r="J1471" t="str">
        <f>"39"</f>
        <v>39</v>
      </c>
      <c r="K1471">
        <v>20181207</v>
      </c>
      <c r="L1471" t="str">
        <f>"074949"</f>
        <v>074949</v>
      </c>
      <c r="M1471" t="str">
        <f>"78432"</f>
        <v>78432</v>
      </c>
      <c r="N1471" t="s">
        <v>427</v>
      </c>
      <c r="O1471">
        <v>75</v>
      </c>
      <c r="P1471">
        <v>20181206</v>
      </c>
      <c r="Q1471" t="s">
        <v>756</v>
      </c>
      <c r="R1471" t="s">
        <v>757</v>
      </c>
      <c r="S1471" t="s">
        <v>295</v>
      </c>
      <c r="T1471" t="s">
        <v>301</v>
      </c>
    </row>
    <row r="1472" spans="1:20" x14ac:dyDescent="0.25">
      <c r="A1472">
        <v>9</v>
      </c>
      <c r="B1472">
        <v>181</v>
      </c>
      <c r="C1472" t="str">
        <f t="shared" si="193"/>
        <v>36</v>
      </c>
      <c r="D1472">
        <v>6412</v>
      </c>
      <c r="E1472" t="str">
        <f>"3M"</f>
        <v>3M</v>
      </c>
      <c r="F1472" t="str">
        <f t="shared" si="196"/>
        <v>001</v>
      </c>
      <c r="G1472">
        <v>9</v>
      </c>
      <c r="H1472" t="str">
        <f t="shared" si="194"/>
        <v>91</v>
      </c>
      <c r="I1472" t="str">
        <f>"2"</f>
        <v>2</v>
      </c>
      <c r="J1472" t="str">
        <f>"39"</f>
        <v>39</v>
      </c>
      <c r="K1472">
        <v>20181207</v>
      </c>
      <c r="L1472" t="str">
        <f>"074950"</f>
        <v>074950</v>
      </c>
      <c r="M1472" t="str">
        <f>"75351"</f>
        <v>75351</v>
      </c>
      <c r="N1472" t="s">
        <v>644</v>
      </c>
      <c r="O1472">
        <v>75</v>
      </c>
      <c r="P1472">
        <v>20181206</v>
      </c>
      <c r="Q1472" t="s">
        <v>756</v>
      </c>
      <c r="R1472" t="s">
        <v>757</v>
      </c>
      <c r="S1472" t="s">
        <v>295</v>
      </c>
      <c r="T1472" t="s">
        <v>301</v>
      </c>
    </row>
    <row r="1473" spans="1:20" x14ac:dyDescent="0.25">
      <c r="A1473">
        <v>9</v>
      </c>
      <c r="B1473">
        <v>181</v>
      </c>
      <c r="C1473" t="str">
        <f t="shared" si="193"/>
        <v>36</v>
      </c>
      <c r="D1473">
        <v>6219</v>
      </c>
      <c r="E1473" t="str">
        <f>"3D"</f>
        <v>3D</v>
      </c>
      <c r="F1473" t="str">
        <f>"041"</f>
        <v>041</v>
      </c>
      <c r="G1473">
        <v>9</v>
      </c>
      <c r="H1473" t="str">
        <f t="shared" si="194"/>
        <v>91</v>
      </c>
      <c r="I1473" t="str">
        <f t="shared" ref="I1473:I1482" si="198">"0"</f>
        <v>0</v>
      </c>
      <c r="J1473" t="str">
        <f>"41"</f>
        <v>41</v>
      </c>
      <c r="K1473">
        <v>20181207</v>
      </c>
      <c r="L1473" t="str">
        <f>"074952"</f>
        <v>074952</v>
      </c>
      <c r="M1473" t="str">
        <f>"80470"</f>
        <v>80470</v>
      </c>
      <c r="N1473" t="s">
        <v>391</v>
      </c>
      <c r="O1473">
        <v>30</v>
      </c>
      <c r="P1473">
        <v>20181206</v>
      </c>
      <c r="Q1473" t="s">
        <v>704</v>
      </c>
      <c r="R1473" t="s">
        <v>705</v>
      </c>
      <c r="S1473" t="s">
        <v>295</v>
      </c>
      <c r="T1473" t="s">
        <v>106</v>
      </c>
    </row>
    <row r="1474" spans="1:20" x14ac:dyDescent="0.25">
      <c r="A1474">
        <v>9</v>
      </c>
      <c r="B1474">
        <v>181</v>
      </c>
      <c r="C1474" t="str">
        <f t="shared" si="193"/>
        <v>36</v>
      </c>
      <c r="D1474">
        <v>6219</v>
      </c>
      <c r="E1474" t="str">
        <f>"3B"</f>
        <v>3B</v>
      </c>
      <c r="F1474" t="str">
        <f>"001"</f>
        <v>001</v>
      </c>
      <c r="G1474">
        <v>9</v>
      </c>
      <c r="H1474" t="str">
        <f t="shared" si="194"/>
        <v>91</v>
      </c>
      <c r="I1474" t="str">
        <f t="shared" si="198"/>
        <v>0</v>
      </c>
      <c r="J1474" t="str">
        <f>"39"</f>
        <v>39</v>
      </c>
      <c r="K1474">
        <v>20181207</v>
      </c>
      <c r="L1474" t="str">
        <f>"074954"</f>
        <v>074954</v>
      </c>
      <c r="M1474" t="str">
        <f>"00634"</f>
        <v>00634</v>
      </c>
      <c r="N1474" t="s">
        <v>758</v>
      </c>
      <c r="O1474">
        <v>65</v>
      </c>
      <c r="P1474">
        <v>20181206</v>
      </c>
      <c r="Q1474" t="s">
        <v>695</v>
      </c>
      <c r="R1474" t="s">
        <v>751</v>
      </c>
      <c r="S1474" t="s">
        <v>295</v>
      </c>
      <c r="T1474" t="s">
        <v>301</v>
      </c>
    </row>
    <row r="1475" spans="1:20" x14ac:dyDescent="0.25">
      <c r="A1475">
        <v>9</v>
      </c>
      <c r="B1475">
        <v>181</v>
      </c>
      <c r="C1475" t="str">
        <f t="shared" si="193"/>
        <v>36</v>
      </c>
      <c r="D1475">
        <v>6219</v>
      </c>
      <c r="E1475" t="str">
        <f>"3B"</f>
        <v>3B</v>
      </c>
      <c r="F1475" t="str">
        <f>"041"</f>
        <v>041</v>
      </c>
      <c r="G1475">
        <v>9</v>
      </c>
      <c r="H1475" t="str">
        <f t="shared" si="194"/>
        <v>91</v>
      </c>
      <c r="I1475" t="str">
        <f t="shared" si="198"/>
        <v>0</v>
      </c>
      <c r="J1475" t="str">
        <f>"41"</f>
        <v>41</v>
      </c>
      <c r="K1475">
        <v>20181207</v>
      </c>
      <c r="L1475" t="str">
        <f>"074954"</f>
        <v>074954</v>
      </c>
      <c r="M1475" t="str">
        <f>"00634"</f>
        <v>00634</v>
      </c>
      <c r="N1475" t="s">
        <v>758</v>
      </c>
      <c r="O1475">
        <v>85</v>
      </c>
      <c r="P1475">
        <v>20181206</v>
      </c>
      <c r="Q1475" t="s">
        <v>711</v>
      </c>
      <c r="R1475" t="s">
        <v>712</v>
      </c>
      <c r="S1475" t="s">
        <v>295</v>
      </c>
      <c r="T1475" t="s">
        <v>106</v>
      </c>
    </row>
    <row r="1476" spans="1:20" x14ac:dyDescent="0.25">
      <c r="A1476">
        <v>9</v>
      </c>
      <c r="B1476">
        <v>181</v>
      </c>
      <c r="C1476" t="str">
        <f t="shared" si="193"/>
        <v>36</v>
      </c>
      <c r="D1476">
        <v>6219</v>
      </c>
      <c r="E1476" t="str">
        <f>"02"</f>
        <v>02</v>
      </c>
      <c r="F1476" t="str">
        <f t="shared" ref="F1476:F1499" si="199">"001"</f>
        <v>001</v>
      </c>
      <c r="G1476">
        <v>9</v>
      </c>
      <c r="H1476" t="str">
        <f t="shared" si="194"/>
        <v>91</v>
      </c>
      <c r="I1476" t="str">
        <f t="shared" si="198"/>
        <v>0</v>
      </c>
      <c r="J1476" t="str">
        <f>"42"</f>
        <v>42</v>
      </c>
      <c r="K1476">
        <v>20181207</v>
      </c>
      <c r="L1476" t="str">
        <f>"074955"</f>
        <v>074955</v>
      </c>
      <c r="M1476" t="str">
        <f>"80524"</f>
        <v>80524</v>
      </c>
      <c r="N1476" t="s">
        <v>759</v>
      </c>
      <c r="O1476">
        <v>100</v>
      </c>
      <c r="P1476">
        <v>20181206</v>
      </c>
      <c r="Q1476" t="s">
        <v>738</v>
      </c>
      <c r="R1476" t="s">
        <v>656</v>
      </c>
      <c r="S1476" t="s">
        <v>295</v>
      </c>
      <c r="T1476" t="s">
        <v>301</v>
      </c>
    </row>
    <row r="1477" spans="1:20" x14ac:dyDescent="0.25">
      <c r="A1477">
        <v>9</v>
      </c>
      <c r="B1477">
        <v>181</v>
      </c>
      <c r="C1477" t="str">
        <f t="shared" si="193"/>
        <v>36</v>
      </c>
      <c r="D1477">
        <v>6219</v>
      </c>
      <c r="E1477" t="str">
        <f>"02"</f>
        <v>02</v>
      </c>
      <c r="F1477" t="str">
        <f t="shared" si="199"/>
        <v>001</v>
      </c>
      <c r="G1477">
        <v>9</v>
      </c>
      <c r="H1477" t="str">
        <f t="shared" si="194"/>
        <v>91</v>
      </c>
      <c r="I1477" t="str">
        <f t="shared" si="198"/>
        <v>0</v>
      </c>
      <c r="J1477" t="str">
        <f>"42"</f>
        <v>42</v>
      </c>
      <c r="K1477">
        <v>20181207</v>
      </c>
      <c r="L1477" t="str">
        <f>"074956"</f>
        <v>074956</v>
      </c>
      <c r="M1477" t="str">
        <f>"80529"</f>
        <v>80529</v>
      </c>
      <c r="N1477" t="s">
        <v>760</v>
      </c>
      <c r="O1477">
        <v>100</v>
      </c>
      <c r="P1477">
        <v>20181206</v>
      </c>
      <c r="Q1477" t="s">
        <v>738</v>
      </c>
      <c r="R1477" t="s">
        <v>656</v>
      </c>
      <c r="S1477" t="s">
        <v>295</v>
      </c>
      <c r="T1477" t="s">
        <v>301</v>
      </c>
    </row>
    <row r="1478" spans="1:20" x14ac:dyDescent="0.25">
      <c r="A1478">
        <v>9</v>
      </c>
      <c r="B1478">
        <v>181</v>
      </c>
      <c r="C1478" t="str">
        <f t="shared" si="193"/>
        <v>36</v>
      </c>
      <c r="D1478">
        <v>6219</v>
      </c>
      <c r="E1478" t="str">
        <f>"3B"</f>
        <v>3B</v>
      </c>
      <c r="F1478" t="str">
        <f t="shared" si="199"/>
        <v>001</v>
      </c>
      <c r="G1478">
        <v>9</v>
      </c>
      <c r="H1478" t="str">
        <f t="shared" si="194"/>
        <v>91</v>
      </c>
      <c r="I1478" t="str">
        <f t="shared" si="198"/>
        <v>0</v>
      </c>
      <c r="J1478" t="str">
        <f t="shared" ref="J1478:J1499" si="200">"39"</f>
        <v>39</v>
      </c>
      <c r="K1478">
        <v>20181207</v>
      </c>
      <c r="L1478" t="str">
        <f>"074959"</f>
        <v>074959</v>
      </c>
      <c r="M1478" t="str">
        <f>"00653"</f>
        <v>00653</v>
      </c>
      <c r="N1478" t="s">
        <v>761</v>
      </c>
      <c r="O1478">
        <v>115</v>
      </c>
      <c r="P1478">
        <v>20181206</v>
      </c>
      <c r="Q1478" t="s">
        <v>695</v>
      </c>
      <c r="R1478" t="s">
        <v>696</v>
      </c>
      <c r="S1478" t="s">
        <v>295</v>
      </c>
      <c r="T1478" t="s">
        <v>301</v>
      </c>
    </row>
    <row r="1479" spans="1:20" x14ac:dyDescent="0.25">
      <c r="A1479">
        <v>9</v>
      </c>
      <c r="B1479">
        <v>181</v>
      </c>
      <c r="C1479" t="str">
        <f t="shared" si="193"/>
        <v>36</v>
      </c>
      <c r="D1479">
        <v>6219</v>
      </c>
      <c r="E1479" t="str">
        <f>"3D"</f>
        <v>3D</v>
      </c>
      <c r="F1479" t="str">
        <f t="shared" si="199"/>
        <v>001</v>
      </c>
      <c r="G1479">
        <v>9</v>
      </c>
      <c r="H1479" t="str">
        <f t="shared" si="194"/>
        <v>91</v>
      </c>
      <c r="I1479" t="str">
        <f t="shared" si="198"/>
        <v>0</v>
      </c>
      <c r="J1479" t="str">
        <f t="shared" si="200"/>
        <v>39</v>
      </c>
      <c r="K1479">
        <v>20181207</v>
      </c>
      <c r="L1479" t="str">
        <f>"074961"</f>
        <v>074961</v>
      </c>
      <c r="M1479" t="str">
        <f>"84557"</f>
        <v>84557</v>
      </c>
      <c r="N1479" t="s">
        <v>762</v>
      </c>
      <c r="O1479">
        <v>135</v>
      </c>
      <c r="P1479">
        <v>20181206</v>
      </c>
      <c r="Q1479" t="s">
        <v>700</v>
      </c>
      <c r="R1479" t="s">
        <v>727</v>
      </c>
      <c r="S1479" t="s">
        <v>295</v>
      </c>
      <c r="T1479" t="s">
        <v>301</v>
      </c>
    </row>
    <row r="1480" spans="1:20" x14ac:dyDescent="0.25">
      <c r="A1480">
        <v>9</v>
      </c>
      <c r="B1480">
        <v>181</v>
      </c>
      <c r="C1480" t="str">
        <f t="shared" si="193"/>
        <v>36</v>
      </c>
      <c r="D1480">
        <v>6219</v>
      </c>
      <c r="E1480" t="str">
        <f>"3B"</f>
        <v>3B</v>
      </c>
      <c r="F1480" t="str">
        <f t="shared" si="199"/>
        <v>001</v>
      </c>
      <c r="G1480">
        <v>9</v>
      </c>
      <c r="H1480" t="str">
        <f t="shared" si="194"/>
        <v>91</v>
      </c>
      <c r="I1480" t="str">
        <f t="shared" si="198"/>
        <v>0</v>
      </c>
      <c r="J1480" t="str">
        <f t="shared" si="200"/>
        <v>39</v>
      </c>
      <c r="K1480">
        <v>20181207</v>
      </c>
      <c r="L1480" t="str">
        <f>"074962"</f>
        <v>074962</v>
      </c>
      <c r="M1480" t="str">
        <f>"84572"</f>
        <v>84572</v>
      </c>
      <c r="N1480" t="s">
        <v>763</v>
      </c>
      <c r="O1480">
        <v>165</v>
      </c>
      <c r="P1480">
        <v>20181206</v>
      </c>
      <c r="Q1480" t="s">
        <v>695</v>
      </c>
      <c r="R1480" t="s">
        <v>696</v>
      </c>
      <c r="S1480" t="s">
        <v>295</v>
      </c>
      <c r="T1480" t="s">
        <v>301</v>
      </c>
    </row>
    <row r="1481" spans="1:20" x14ac:dyDescent="0.25">
      <c r="A1481">
        <v>9</v>
      </c>
      <c r="B1481">
        <v>181</v>
      </c>
      <c r="C1481" t="str">
        <f t="shared" si="193"/>
        <v>36</v>
      </c>
      <c r="D1481">
        <v>6219</v>
      </c>
      <c r="E1481" t="str">
        <f>"3B"</f>
        <v>3B</v>
      </c>
      <c r="F1481" t="str">
        <f t="shared" si="199"/>
        <v>001</v>
      </c>
      <c r="G1481">
        <v>9</v>
      </c>
      <c r="H1481" t="str">
        <f t="shared" si="194"/>
        <v>91</v>
      </c>
      <c r="I1481" t="str">
        <f t="shared" si="198"/>
        <v>0</v>
      </c>
      <c r="J1481" t="str">
        <f t="shared" si="200"/>
        <v>39</v>
      </c>
      <c r="K1481">
        <v>20181207</v>
      </c>
      <c r="L1481" t="str">
        <f>"074963"</f>
        <v>074963</v>
      </c>
      <c r="M1481" t="str">
        <f>"84559"</f>
        <v>84559</v>
      </c>
      <c r="N1481" t="s">
        <v>590</v>
      </c>
      <c r="O1481">
        <v>165</v>
      </c>
      <c r="P1481">
        <v>20181206</v>
      </c>
      <c r="Q1481" t="s">
        <v>695</v>
      </c>
      <c r="R1481" t="s">
        <v>696</v>
      </c>
      <c r="S1481" t="s">
        <v>295</v>
      </c>
      <c r="T1481" t="s">
        <v>301</v>
      </c>
    </row>
    <row r="1482" spans="1:20" x14ac:dyDescent="0.25">
      <c r="A1482">
        <v>9</v>
      </c>
      <c r="B1482">
        <v>181</v>
      </c>
      <c r="C1482" t="str">
        <f t="shared" si="193"/>
        <v>36</v>
      </c>
      <c r="D1482">
        <v>6219</v>
      </c>
      <c r="E1482" t="str">
        <f>"3B"</f>
        <v>3B</v>
      </c>
      <c r="F1482" t="str">
        <f t="shared" si="199"/>
        <v>001</v>
      </c>
      <c r="G1482">
        <v>9</v>
      </c>
      <c r="H1482" t="str">
        <f t="shared" si="194"/>
        <v>91</v>
      </c>
      <c r="I1482" t="str">
        <f t="shared" si="198"/>
        <v>0</v>
      </c>
      <c r="J1482" t="str">
        <f t="shared" si="200"/>
        <v>39</v>
      </c>
      <c r="K1482">
        <v>20181207</v>
      </c>
      <c r="L1482" t="str">
        <f>"074964"</f>
        <v>074964</v>
      </c>
      <c r="M1482" t="str">
        <f>"84400"</f>
        <v>84400</v>
      </c>
      <c r="N1482" t="s">
        <v>764</v>
      </c>
      <c r="O1482">
        <v>115</v>
      </c>
      <c r="P1482">
        <v>20181206</v>
      </c>
      <c r="Q1482" t="s">
        <v>695</v>
      </c>
      <c r="R1482" t="s">
        <v>696</v>
      </c>
      <c r="S1482" t="s">
        <v>295</v>
      </c>
      <c r="T1482" t="s">
        <v>301</v>
      </c>
    </row>
    <row r="1483" spans="1:20" x14ac:dyDescent="0.25">
      <c r="A1483">
        <v>9</v>
      </c>
      <c r="B1483">
        <v>181</v>
      </c>
      <c r="C1483" t="str">
        <f t="shared" si="193"/>
        <v>36</v>
      </c>
      <c r="D1483">
        <v>6412</v>
      </c>
      <c r="E1483" t="str">
        <f>"09"</f>
        <v>09</v>
      </c>
      <c r="F1483" t="str">
        <f t="shared" si="199"/>
        <v>001</v>
      </c>
      <c r="G1483">
        <v>9</v>
      </c>
      <c r="H1483" t="str">
        <f t="shared" si="194"/>
        <v>91</v>
      </c>
      <c r="I1483" t="str">
        <f>"V"</f>
        <v>V</v>
      </c>
      <c r="J1483" t="str">
        <f t="shared" si="200"/>
        <v>39</v>
      </c>
      <c r="K1483">
        <v>20181207</v>
      </c>
      <c r="L1483" t="str">
        <f>"074965"</f>
        <v>074965</v>
      </c>
      <c r="M1483" t="str">
        <f>"00640"</f>
        <v>00640</v>
      </c>
      <c r="N1483" t="s">
        <v>765</v>
      </c>
      <c r="O1483">
        <v>294.5</v>
      </c>
      <c r="P1483">
        <v>20181206</v>
      </c>
      <c r="Q1483" t="s">
        <v>766</v>
      </c>
      <c r="R1483" t="s">
        <v>681</v>
      </c>
      <c r="S1483" t="s">
        <v>295</v>
      </c>
      <c r="T1483" t="s">
        <v>301</v>
      </c>
    </row>
    <row r="1484" spans="1:20" x14ac:dyDescent="0.25">
      <c r="A1484">
        <v>9</v>
      </c>
      <c r="B1484">
        <v>181</v>
      </c>
      <c r="C1484" t="str">
        <f t="shared" si="193"/>
        <v>36</v>
      </c>
      <c r="D1484">
        <v>6412</v>
      </c>
      <c r="E1484" t="str">
        <f>"3N"</f>
        <v>3N</v>
      </c>
      <c r="F1484" t="str">
        <f t="shared" si="199"/>
        <v>001</v>
      </c>
      <c r="G1484">
        <v>9</v>
      </c>
      <c r="H1484" t="str">
        <f t="shared" si="194"/>
        <v>91</v>
      </c>
      <c r="I1484" t="str">
        <f>"2"</f>
        <v>2</v>
      </c>
      <c r="J1484" t="str">
        <f t="shared" si="200"/>
        <v>39</v>
      </c>
      <c r="K1484">
        <v>20181214</v>
      </c>
      <c r="L1484" t="str">
        <f>"074970"</f>
        <v>074970</v>
      </c>
      <c r="M1484" t="str">
        <f>"03693"</f>
        <v>03693</v>
      </c>
      <c r="N1484" t="s">
        <v>767</v>
      </c>
      <c r="O1484">
        <v>200</v>
      </c>
      <c r="P1484">
        <v>20181212</v>
      </c>
      <c r="Q1484" t="s">
        <v>768</v>
      </c>
      <c r="R1484" t="s">
        <v>769</v>
      </c>
      <c r="S1484" t="s">
        <v>295</v>
      </c>
      <c r="T1484" t="s">
        <v>301</v>
      </c>
    </row>
    <row r="1485" spans="1:20" x14ac:dyDescent="0.25">
      <c r="A1485">
        <v>9</v>
      </c>
      <c r="B1485">
        <v>181</v>
      </c>
      <c r="C1485" t="str">
        <f t="shared" si="193"/>
        <v>36</v>
      </c>
      <c r="D1485">
        <v>6411</v>
      </c>
      <c r="E1485" t="str">
        <f>"33"</f>
        <v>33</v>
      </c>
      <c r="F1485" t="str">
        <f t="shared" si="199"/>
        <v>001</v>
      </c>
      <c r="G1485">
        <v>9</v>
      </c>
      <c r="H1485" t="str">
        <f t="shared" si="194"/>
        <v>91</v>
      </c>
      <c r="I1485" t="str">
        <f>"0"</f>
        <v>0</v>
      </c>
      <c r="J1485" t="str">
        <f t="shared" si="200"/>
        <v>39</v>
      </c>
      <c r="K1485">
        <v>20181214</v>
      </c>
      <c r="L1485" t="str">
        <f>"074975"</f>
        <v>074975</v>
      </c>
      <c r="M1485" t="str">
        <f>"06777"</f>
        <v>06777</v>
      </c>
      <c r="N1485" t="s">
        <v>770</v>
      </c>
      <c r="O1485">
        <v>36.19</v>
      </c>
      <c r="P1485">
        <v>20181212</v>
      </c>
      <c r="Q1485" t="s">
        <v>306</v>
      </c>
      <c r="R1485" t="s">
        <v>593</v>
      </c>
      <c r="S1485" t="s">
        <v>295</v>
      </c>
      <c r="T1485" t="s">
        <v>301</v>
      </c>
    </row>
    <row r="1486" spans="1:20" x14ac:dyDescent="0.25">
      <c r="A1486">
        <v>9</v>
      </c>
      <c r="B1486">
        <v>181</v>
      </c>
      <c r="C1486" t="str">
        <f t="shared" si="193"/>
        <v>36</v>
      </c>
      <c r="D1486">
        <v>6412</v>
      </c>
      <c r="E1486" t="str">
        <f>"3S"</f>
        <v>3S</v>
      </c>
      <c r="F1486" t="str">
        <f t="shared" si="199"/>
        <v>001</v>
      </c>
      <c r="G1486">
        <v>9</v>
      </c>
      <c r="H1486" t="str">
        <f t="shared" si="194"/>
        <v>91</v>
      </c>
      <c r="I1486" t="str">
        <f>"1"</f>
        <v>1</v>
      </c>
      <c r="J1486" t="str">
        <f t="shared" si="200"/>
        <v>39</v>
      </c>
      <c r="K1486">
        <v>20181214</v>
      </c>
      <c r="L1486" t="str">
        <f>"074992"</f>
        <v>074992</v>
      </c>
      <c r="M1486" t="str">
        <f>"51345"</f>
        <v>51345</v>
      </c>
      <c r="N1486" t="s">
        <v>513</v>
      </c>
      <c r="O1486">
        <v>71.5</v>
      </c>
      <c r="P1486">
        <v>20181212</v>
      </c>
      <c r="Q1486" t="s">
        <v>514</v>
      </c>
      <c r="R1486" t="s">
        <v>649</v>
      </c>
      <c r="S1486" t="s">
        <v>295</v>
      </c>
      <c r="T1486" t="s">
        <v>301</v>
      </c>
    </row>
    <row r="1487" spans="1:20" x14ac:dyDescent="0.25">
      <c r="A1487">
        <v>9</v>
      </c>
      <c r="B1487">
        <v>181</v>
      </c>
      <c r="C1487" t="str">
        <f t="shared" si="193"/>
        <v>36</v>
      </c>
      <c r="D1487">
        <v>6399</v>
      </c>
      <c r="E1487" t="str">
        <f>"3F"</f>
        <v>3F</v>
      </c>
      <c r="F1487" t="str">
        <f t="shared" si="199"/>
        <v>001</v>
      </c>
      <c r="G1487">
        <v>9</v>
      </c>
      <c r="H1487" t="str">
        <f t="shared" si="194"/>
        <v>91</v>
      </c>
      <c r="I1487" t="str">
        <f>"0"</f>
        <v>0</v>
      </c>
      <c r="J1487" t="str">
        <f t="shared" si="200"/>
        <v>39</v>
      </c>
      <c r="K1487">
        <v>20181214</v>
      </c>
      <c r="L1487" t="str">
        <f>"074997"</f>
        <v>074997</v>
      </c>
      <c r="M1487" t="str">
        <f>"21072"</f>
        <v>21072</v>
      </c>
      <c r="N1487" t="s">
        <v>771</v>
      </c>
      <c r="O1487" s="1">
        <v>4805</v>
      </c>
      <c r="P1487">
        <v>20181212</v>
      </c>
      <c r="Q1487" t="s">
        <v>466</v>
      </c>
      <c r="R1487" t="s">
        <v>772</v>
      </c>
      <c r="S1487" t="s">
        <v>295</v>
      </c>
      <c r="T1487" t="s">
        <v>301</v>
      </c>
    </row>
    <row r="1488" spans="1:20" x14ac:dyDescent="0.25">
      <c r="A1488">
        <v>9</v>
      </c>
      <c r="B1488">
        <v>181</v>
      </c>
      <c r="C1488" t="str">
        <f t="shared" si="193"/>
        <v>36</v>
      </c>
      <c r="D1488">
        <v>6495</v>
      </c>
      <c r="E1488" t="str">
        <f>"30"</f>
        <v>30</v>
      </c>
      <c r="F1488" t="str">
        <f t="shared" si="199"/>
        <v>001</v>
      </c>
      <c r="G1488">
        <v>9</v>
      </c>
      <c r="H1488" t="str">
        <f t="shared" si="194"/>
        <v>91</v>
      </c>
      <c r="I1488" t="str">
        <f>"0"</f>
        <v>0</v>
      </c>
      <c r="J1488" t="str">
        <f t="shared" si="200"/>
        <v>39</v>
      </c>
      <c r="K1488">
        <v>20181214</v>
      </c>
      <c r="L1488" t="str">
        <f>"074999"</f>
        <v>074999</v>
      </c>
      <c r="M1488" t="str">
        <f>"21082"</f>
        <v>21082</v>
      </c>
      <c r="N1488" t="s">
        <v>773</v>
      </c>
      <c r="O1488">
        <v>250</v>
      </c>
      <c r="P1488">
        <v>20181212</v>
      </c>
      <c r="Q1488" t="s">
        <v>428</v>
      </c>
      <c r="R1488" t="s">
        <v>774</v>
      </c>
      <c r="S1488" t="s">
        <v>295</v>
      </c>
      <c r="T1488" t="s">
        <v>301</v>
      </c>
    </row>
    <row r="1489" spans="1:20" x14ac:dyDescent="0.25">
      <c r="A1489">
        <v>9</v>
      </c>
      <c r="B1489">
        <v>181</v>
      </c>
      <c r="C1489" t="str">
        <f t="shared" si="193"/>
        <v>36</v>
      </c>
      <c r="D1489">
        <v>6412</v>
      </c>
      <c r="E1489" t="str">
        <f>"3K"</f>
        <v>3K</v>
      </c>
      <c r="F1489" t="str">
        <f t="shared" si="199"/>
        <v>001</v>
      </c>
      <c r="G1489">
        <v>9</v>
      </c>
      <c r="H1489" t="str">
        <f t="shared" si="194"/>
        <v>91</v>
      </c>
      <c r="I1489" t="str">
        <f>"2"</f>
        <v>2</v>
      </c>
      <c r="J1489" t="str">
        <f t="shared" si="200"/>
        <v>39</v>
      </c>
      <c r="K1489">
        <v>20181214</v>
      </c>
      <c r="L1489" t="str">
        <f>"075004"</f>
        <v>075004</v>
      </c>
      <c r="M1489" t="str">
        <f>"22132"</f>
        <v>22132</v>
      </c>
      <c r="N1489" t="s">
        <v>775</v>
      </c>
      <c r="O1489">
        <v>100</v>
      </c>
      <c r="P1489">
        <v>20181212</v>
      </c>
      <c r="Q1489" t="s">
        <v>776</v>
      </c>
      <c r="R1489" t="s">
        <v>777</v>
      </c>
      <c r="S1489" t="s">
        <v>295</v>
      </c>
      <c r="T1489" t="s">
        <v>301</v>
      </c>
    </row>
    <row r="1490" spans="1:20" x14ac:dyDescent="0.25">
      <c r="A1490">
        <v>9</v>
      </c>
      <c r="B1490">
        <v>181</v>
      </c>
      <c r="C1490" t="str">
        <f t="shared" si="193"/>
        <v>36</v>
      </c>
      <c r="D1490">
        <v>6412</v>
      </c>
      <c r="E1490" t="str">
        <f>"3D"</f>
        <v>3D</v>
      </c>
      <c r="F1490" t="str">
        <f t="shared" si="199"/>
        <v>001</v>
      </c>
      <c r="G1490">
        <v>9</v>
      </c>
      <c r="H1490" t="str">
        <f t="shared" si="194"/>
        <v>91</v>
      </c>
      <c r="I1490" t="str">
        <f>"1"</f>
        <v>1</v>
      </c>
      <c r="J1490" t="str">
        <f t="shared" si="200"/>
        <v>39</v>
      </c>
      <c r="K1490">
        <v>20181214</v>
      </c>
      <c r="L1490" t="str">
        <f>"075007"</f>
        <v>075007</v>
      </c>
      <c r="M1490" t="str">
        <f>"24338"</f>
        <v>24338</v>
      </c>
      <c r="N1490" t="s">
        <v>778</v>
      </c>
      <c r="O1490">
        <v>86.45</v>
      </c>
      <c r="P1490">
        <v>20181212</v>
      </c>
      <c r="Q1490" t="s">
        <v>684</v>
      </c>
      <c r="R1490" t="s">
        <v>779</v>
      </c>
      <c r="S1490" t="s">
        <v>295</v>
      </c>
      <c r="T1490" t="s">
        <v>301</v>
      </c>
    </row>
    <row r="1491" spans="1:20" x14ac:dyDescent="0.25">
      <c r="A1491">
        <v>9</v>
      </c>
      <c r="B1491">
        <v>181</v>
      </c>
      <c r="C1491" t="str">
        <f t="shared" si="193"/>
        <v>36</v>
      </c>
      <c r="D1491">
        <v>6411</v>
      </c>
      <c r="E1491" t="str">
        <f>"33"</f>
        <v>33</v>
      </c>
      <c r="F1491" t="str">
        <f t="shared" si="199"/>
        <v>001</v>
      </c>
      <c r="G1491">
        <v>9</v>
      </c>
      <c r="H1491" t="str">
        <f t="shared" si="194"/>
        <v>91</v>
      </c>
      <c r="I1491" t="str">
        <f>"0"</f>
        <v>0</v>
      </c>
      <c r="J1491" t="str">
        <f t="shared" si="200"/>
        <v>39</v>
      </c>
      <c r="K1491">
        <v>20181214</v>
      </c>
      <c r="L1491" t="str">
        <f t="shared" ref="L1491:L1497" si="201">"075013"</f>
        <v>075013</v>
      </c>
      <c r="M1491" t="str">
        <f t="shared" ref="M1491:M1497" si="202">"28680"</f>
        <v>28680</v>
      </c>
      <c r="N1491" t="s">
        <v>482</v>
      </c>
      <c r="O1491">
        <v>77.239999999999995</v>
      </c>
      <c r="P1491">
        <v>20181212</v>
      </c>
      <c r="Q1491" t="s">
        <v>306</v>
      </c>
      <c r="R1491" t="s">
        <v>593</v>
      </c>
      <c r="S1491" t="s">
        <v>295</v>
      </c>
      <c r="T1491" t="s">
        <v>301</v>
      </c>
    </row>
    <row r="1492" spans="1:20" x14ac:dyDescent="0.25">
      <c r="A1492">
        <v>9</v>
      </c>
      <c r="B1492">
        <v>181</v>
      </c>
      <c r="C1492" t="str">
        <f t="shared" si="193"/>
        <v>36</v>
      </c>
      <c r="D1492">
        <v>6411</v>
      </c>
      <c r="E1492" t="str">
        <f>"33"</f>
        <v>33</v>
      </c>
      <c r="F1492" t="str">
        <f t="shared" si="199"/>
        <v>001</v>
      </c>
      <c r="G1492">
        <v>9</v>
      </c>
      <c r="H1492" t="str">
        <f t="shared" si="194"/>
        <v>91</v>
      </c>
      <c r="I1492" t="str">
        <f>"0"</f>
        <v>0</v>
      </c>
      <c r="J1492" t="str">
        <f t="shared" si="200"/>
        <v>39</v>
      </c>
      <c r="K1492">
        <v>20181214</v>
      </c>
      <c r="L1492" t="str">
        <f t="shared" si="201"/>
        <v>075013</v>
      </c>
      <c r="M1492" t="str">
        <f t="shared" si="202"/>
        <v>28680</v>
      </c>
      <c r="N1492" t="s">
        <v>482</v>
      </c>
      <c r="O1492">
        <v>52</v>
      </c>
      <c r="P1492">
        <v>20181212</v>
      </c>
      <c r="Q1492" t="s">
        <v>306</v>
      </c>
      <c r="R1492" t="s">
        <v>780</v>
      </c>
      <c r="S1492" t="s">
        <v>295</v>
      </c>
      <c r="T1492" t="s">
        <v>301</v>
      </c>
    </row>
    <row r="1493" spans="1:20" x14ac:dyDescent="0.25">
      <c r="A1493">
        <v>9</v>
      </c>
      <c r="B1493">
        <v>181</v>
      </c>
      <c r="C1493" t="str">
        <f t="shared" si="193"/>
        <v>36</v>
      </c>
      <c r="D1493">
        <v>6412</v>
      </c>
      <c r="E1493" t="str">
        <f>"3D"</f>
        <v>3D</v>
      </c>
      <c r="F1493" t="str">
        <f t="shared" si="199"/>
        <v>001</v>
      </c>
      <c r="G1493">
        <v>9</v>
      </c>
      <c r="H1493" t="str">
        <f t="shared" si="194"/>
        <v>91</v>
      </c>
      <c r="I1493" t="str">
        <f>"2"</f>
        <v>2</v>
      </c>
      <c r="J1493" t="str">
        <f t="shared" si="200"/>
        <v>39</v>
      </c>
      <c r="K1493">
        <v>20181214</v>
      </c>
      <c r="L1493" t="str">
        <f t="shared" si="201"/>
        <v>075013</v>
      </c>
      <c r="M1493" t="str">
        <f t="shared" si="202"/>
        <v>28680</v>
      </c>
      <c r="N1493" t="s">
        <v>482</v>
      </c>
      <c r="O1493">
        <v>186.83</v>
      </c>
      <c r="P1493">
        <v>20181212</v>
      </c>
      <c r="Q1493" t="s">
        <v>686</v>
      </c>
      <c r="R1493" t="s">
        <v>685</v>
      </c>
      <c r="S1493" t="s">
        <v>295</v>
      </c>
      <c r="T1493" t="s">
        <v>301</v>
      </c>
    </row>
    <row r="1494" spans="1:20" x14ac:dyDescent="0.25">
      <c r="A1494">
        <v>9</v>
      </c>
      <c r="B1494">
        <v>181</v>
      </c>
      <c r="C1494" t="str">
        <f t="shared" si="193"/>
        <v>36</v>
      </c>
      <c r="D1494">
        <v>6412</v>
      </c>
      <c r="E1494" t="str">
        <f>"3D"</f>
        <v>3D</v>
      </c>
      <c r="F1494" t="str">
        <f t="shared" si="199"/>
        <v>001</v>
      </c>
      <c r="G1494">
        <v>9</v>
      </c>
      <c r="H1494" t="str">
        <f t="shared" si="194"/>
        <v>91</v>
      </c>
      <c r="I1494" t="str">
        <f>"2"</f>
        <v>2</v>
      </c>
      <c r="J1494" t="str">
        <f t="shared" si="200"/>
        <v>39</v>
      </c>
      <c r="K1494">
        <v>20181214</v>
      </c>
      <c r="L1494" t="str">
        <f t="shared" si="201"/>
        <v>075013</v>
      </c>
      <c r="M1494" t="str">
        <f t="shared" si="202"/>
        <v>28680</v>
      </c>
      <c r="N1494" t="s">
        <v>482</v>
      </c>
      <c r="O1494">
        <v>186.83</v>
      </c>
      <c r="P1494">
        <v>20181212</v>
      </c>
      <c r="Q1494" t="s">
        <v>686</v>
      </c>
      <c r="R1494" t="s">
        <v>685</v>
      </c>
      <c r="S1494" t="s">
        <v>295</v>
      </c>
      <c r="T1494" t="s">
        <v>301</v>
      </c>
    </row>
    <row r="1495" spans="1:20" x14ac:dyDescent="0.25">
      <c r="A1495">
        <v>9</v>
      </c>
      <c r="B1495">
        <v>181</v>
      </c>
      <c r="C1495" t="str">
        <f t="shared" si="193"/>
        <v>36</v>
      </c>
      <c r="D1495">
        <v>6412</v>
      </c>
      <c r="E1495" t="str">
        <f>"3D"</f>
        <v>3D</v>
      </c>
      <c r="F1495" t="str">
        <f t="shared" si="199"/>
        <v>001</v>
      </c>
      <c r="G1495">
        <v>9</v>
      </c>
      <c r="H1495" t="str">
        <f t="shared" si="194"/>
        <v>91</v>
      </c>
      <c r="I1495" t="str">
        <f>"2"</f>
        <v>2</v>
      </c>
      <c r="J1495" t="str">
        <f t="shared" si="200"/>
        <v>39</v>
      </c>
      <c r="K1495">
        <v>20181214</v>
      </c>
      <c r="L1495" t="str">
        <f t="shared" si="201"/>
        <v>075013</v>
      </c>
      <c r="M1495" t="str">
        <f t="shared" si="202"/>
        <v>28680</v>
      </c>
      <c r="N1495" t="s">
        <v>482</v>
      </c>
      <c r="O1495">
        <v>186.83</v>
      </c>
      <c r="P1495">
        <v>20181212</v>
      </c>
      <c r="Q1495" t="s">
        <v>686</v>
      </c>
      <c r="R1495" t="s">
        <v>685</v>
      </c>
      <c r="S1495" t="s">
        <v>295</v>
      </c>
      <c r="T1495" t="s">
        <v>301</v>
      </c>
    </row>
    <row r="1496" spans="1:20" x14ac:dyDescent="0.25">
      <c r="A1496">
        <v>9</v>
      </c>
      <c r="B1496">
        <v>181</v>
      </c>
      <c r="C1496" t="str">
        <f t="shared" si="193"/>
        <v>36</v>
      </c>
      <c r="D1496">
        <v>6412</v>
      </c>
      <c r="E1496" t="str">
        <f>"3G"</f>
        <v>3G</v>
      </c>
      <c r="F1496" t="str">
        <f t="shared" si="199"/>
        <v>001</v>
      </c>
      <c r="G1496">
        <v>9</v>
      </c>
      <c r="H1496" t="str">
        <f t="shared" si="194"/>
        <v>91</v>
      </c>
      <c r="I1496" t="str">
        <f>"3"</f>
        <v>3</v>
      </c>
      <c r="J1496" t="str">
        <f t="shared" si="200"/>
        <v>39</v>
      </c>
      <c r="K1496">
        <v>20181214</v>
      </c>
      <c r="L1496" t="str">
        <f t="shared" si="201"/>
        <v>075013</v>
      </c>
      <c r="M1496" t="str">
        <f t="shared" si="202"/>
        <v>28680</v>
      </c>
      <c r="N1496" t="s">
        <v>482</v>
      </c>
      <c r="O1496">
        <v>124.55</v>
      </c>
      <c r="P1496">
        <v>20181212</v>
      </c>
      <c r="Q1496" t="s">
        <v>483</v>
      </c>
      <c r="R1496" t="s">
        <v>555</v>
      </c>
      <c r="S1496" t="s">
        <v>295</v>
      </c>
      <c r="T1496" t="s">
        <v>301</v>
      </c>
    </row>
    <row r="1497" spans="1:20" x14ac:dyDescent="0.25">
      <c r="A1497">
        <v>9</v>
      </c>
      <c r="B1497">
        <v>181</v>
      </c>
      <c r="C1497" t="str">
        <f t="shared" si="193"/>
        <v>36</v>
      </c>
      <c r="D1497">
        <v>6412</v>
      </c>
      <c r="E1497" t="str">
        <f>"3G"</f>
        <v>3G</v>
      </c>
      <c r="F1497" t="str">
        <f t="shared" si="199"/>
        <v>001</v>
      </c>
      <c r="G1497">
        <v>9</v>
      </c>
      <c r="H1497" t="str">
        <f t="shared" si="194"/>
        <v>91</v>
      </c>
      <c r="I1497" t="str">
        <f>"3"</f>
        <v>3</v>
      </c>
      <c r="J1497" t="str">
        <f t="shared" si="200"/>
        <v>39</v>
      </c>
      <c r="K1497">
        <v>20181214</v>
      </c>
      <c r="L1497" t="str">
        <f t="shared" si="201"/>
        <v>075013</v>
      </c>
      <c r="M1497" t="str">
        <f t="shared" si="202"/>
        <v>28680</v>
      </c>
      <c r="N1497" t="s">
        <v>482</v>
      </c>
      <c r="O1497">
        <v>52</v>
      </c>
      <c r="P1497">
        <v>20181212</v>
      </c>
      <c r="Q1497" t="s">
        <v>483</v>
      </c>
      <c r="R1497" t="s">
        <v>781</v>
      </c>
      <c r="S1497" t="s">
        <v>295</v>
      </c>
      <c r="T1497" t="s">
        <v>301</v>
      </c>
    </row>
    <row r="1498" spans="1:20" x14ac:dyDescent="0.25">
      <c r="A1498">
        <v>9</v>
      </c>
      <c r="B1498">
        <v>181</v>
      </c>
      <c r="C1498" t="str">
        <f t="shared" si="193"/>
        <v>36</v>
      </c>
      <c r="D1498">
        <v>6219</v>
      </c>
      <c r="E1498" t="str">
        <f>"3F"</f>
        <v>3F</v>
      </c>
      <c r="F1498" t="str">
        <f t="shared" si="199"/>
        <v>001</v>
      </c>
      <c r="G1498">
        <v>9</v>
      </c>
      <c r="H1498" t="str">
        <f t="shared" si="194"/>
        <v>91</v>
      </c>
      <c r="I1498" t="str">
        <f t="shared" ref="I1498:I1512" si="203">"0"</f>
        <v>0</v>
      </c>
      <c r="J1498" t="str">
        <f t="shared" si="200"/>
        <v>39</v>
      </c>
      <c r="K1498">
        <v>20181214</v>
      </c>
      <c r="L1498" t="str">
        <f>"075018"</f>
        <v>075018</v>
      </c>
      <c r="M1498" t="str">
        <f>"29675"</f>
        <v>29675</v>
      </c>
      <c r="N1498" t="s">
        <v>523</v>
      </c>
      <c r="O1498">
        <v>110</v>
      </c>
      <c r="P1498">
        <v>20181213</v>
      </c>
      <c r="Q1498" t="s">
        <v>333</v>
      </c>
      <c r="R1498" t="s">
        <v>531</v>
      </c>
      <c r="S1498" t="s">
        <v>295</v>
      </c>
      <c r="T1498" t="s">
        <v>301</v>
      </c>
    </row>
    <row r="1499" spans="1:20" x14ac:dyDescent="0.25">
      <c r="A1499">
        <v>9</v>
      </c>
      <c r="B1499">
        <v>181</v>
      </c>
      <c r="C1499" t="str">
        <f t="shared" si="193"/>
        <v>36</v>
      </c>
      <c r="D1499">
        <v>6219</v>
      </c>
      <c r="E1499" t="str">
        <f>"3F"</f>
        <v>3F</v>
      </c>
      <c r="F1499" t="str">
        <f t="shared" si="199"/>
        <v>001</v>
      </c>
      <c r="G1499">
        <v>9</v>
      </c>
      <c r="H1499" t="str">
        <f t="shared" si="194"/>
        <v>91</v>
      </c>
      <c r="I1499" t="str">
        <f t="shared" si="203"/>
        <v>0</v>
      </c>
      <c r="J1499" t="str">
        <f t="shared" si="200"/>
        <v>39</v>
      </c>
      <c r="K1499">
        <v>20181214</v>
      </c>
      <c r="L1499" t="str">
        <f>"075021"</f>
        <v>075021</v>
      </c>
      <c r="M1499" t="str">
        <f>"30849"</f>
        <v>30849</v>
      </c>
      <c r="N1499" t="s">
        <v>782</v>
      </c>
      <c r="O1499">
        <v>110</v>
      </c>
      <c r="P1499">
        <v>20181213</v>
      </c>
      <c r="Q1499" t="s">
        <v>333</v>
      </c>
      <c r="R1499" t="s">
        <v>531</v>
      </c>
      <c r="S1499" t="s">
        <v>295</v>
      </c>
      <c r="T1499" t="s">
        <v>301</v>
      </c>
    </row>
    <row r="1500" spans="1:20" x14ac:dyDescent="0.25">
      <c r="A1500">
        <v>9</v>
      </c>
      <c r="B1500">
        <v>181</v>
      </c>
      <c r="C1500" t="str">
        <f t="shared" si="193"/>
        <v>36</v>
      </c>
      <c r="D1500">
        <v>6219</v>
      </c>
      <c r="E1500" t="str">
        <f>"3B"</f>
        <v>3B</v>
      </c>
      <c r="F1500" t="str">
        <f>"041"</f>
        <v>041</v>
      </c>
      <c r="G1500">
        <v>9</v>
      </c>
      <c r="H1500" t="str">
        <f t="shared" si="194"/>
        <v>91</v>
      </c>
      <c r="I1500" t="str">
        <f t="shared" si="203"/>
        <v>0</v>
      </c>
      <c r="J1500" t="str">
        <f>"41"</f>
        <v>41</v>
      </c>
      <c r="K1500">
        <v>20181214</v>
      </c>
      <c r="L1500" t="str">
        <f>"075023"</f>
        <v>075023</v>
      </c>
      <c r="M1500" t="str">
        <f>"00649"</f>
        <v>00649</v>
      </c>
      <c r="N1500" t="s">
        <v>726</v>
      </c>
      <c r="O1500">
        <v>85</v>
      </c>
      <c r="P1500">
        <v>20181212</v>
      </c>
      <c r="Q1500" t="s">
        <v>711</v>
      </c>
      <c r="R1500" t="s">
        <v>783</v>
      </c>
      <c r="S1500" t="s">
        <v>295</v>
      </c>
      <c r="T1500" t="s">
        <v>106</v>
      </c>
    </row>
    <row r="1501" spans="1:20" x14ac:dyDescent="0.25">
      <c r="A1501">
        <v>9</v>
      </c>
      <c r="B1501">
        <v>181</v>
      </c>
      <c r="C1501" t="str">
        <f t="shared" si="193"/>
        <v>36</v>
      </c>
      <c r="D1501">
        <v>6219</v>
      </c>
      <c r="E1501" t="str">
        <f>"3D"</f>
        <v>3D</v>
      </c>
      <c r="F1501" t="str">
        <f t="shared" ref="F1501:F1513" si="204">"001"</f>
        <v>001</v>
      </c>
      <c r="G1501">
        <v>9</v>
      </c>
      <c r="H1501" t="str">
        <f t="shared" si="194"/>
        <v>91</v>
      </c>
      <c r="I1501" t="str">
        <f t="shared" si="203"/>
        <v>0</v>
      </c>
      <c r="J1501" t="str">
        <f t="shared" ref="J1501:J1509" si="205">"39"</f>
        <v>39</v>
      </c>
      <c r="K1501">
        <v>20181214</v>
      </c>
      <c r="L1501" t="str">
        <f>"075024"</f>
        <v>075024</v>
      </c>
      <c r="M1501" t="str">
        <f>"32855"</f>
        <v>32855</v>
      </c>
      <c r="N1501" t="s">
        <v>348</v>
      </c>
      <c r="O1501">
        <v>135</v>
      </c>
      <c r="P1501">
        <v>20181212</v>
      </c>
      <c r="Q1501" t="s">
        <v>700</v>
      </c>
      <c r="R1501" t="s">
        <v>784</v>
      </c>
      <c r="S1501" t="s">
        <v>295</v>
      </c>
      <c r="T1501" t="s">
        <v>301</v>
      </c>
    </row>
    <row r="1502" spans="1:20" x14ac:dyDescent="0.25">
      <c r="A1502">
        <v>9</v>
      </c>
      <c r="B1502">
        <v>181</v>
      </c>
      <c r="C1502" t="str">
        <f t="shared" si="193"/>
        <v>36</v>
      </c>
      <c r="D1502">
        <v>6411</v>
      </c>
      <c r="E1502" t="str">
        <f>"33"</f>
        <v>33</v>
      </c>
      <c r="F1502" t="str">
        <f t="shared" si="204"/>
        <v>001</v>
      </c>
      <c r="G1502">
        <v>9</v>
      </c>
      <c r="H1502" t="str">
        <f t="shared" si="194"/>
        <v>91</v>
      </c>
      <c r="I1502" t="str">
        <f t="shared" si="203"/>
        <v>0</v>
      </c>
      <c r="J1502" t="str">
        <f t="shared" si="205"/>
        <v>39</v>
      </c>
      <c r="K1502">
        <v>20181214</v>
      </c>
      <c r="L1502" t="str">
        <f>"075025"</f>
        <v>075025</v>
      </c>
      <c r="M1502" t="str">
        <f>"81632"</f>
        <v>81632</v>
      </c>
      <c r="N1502" t="s">
        <v>785</v>
      </c>
      <c r="O1502">
        <v>67.87</v>
      </c>
      <c r="P1502">
        <v>20181212</v>
      </c>
      <c r="Q1502" t="s">
        <v>306</v>
      </c>
      <c r="R1502" t="s">
        <v>593</v>
      </c>
      <c r="S1502" t="s">
        <v>295</v>
      </c>
      <c r="T1502" t="s">
        <v>301</v>
      </c>
    </row>
    <row r="1503" spans="1:20" x14ac:dyDescent="0.25">
      <c r="A1503">
        <v>9</v>
      </c>
      <c r="B1503">
        <v>181</v>
      </c>
      <c r="C1503" t="str">
        <f t="shared" si="193"/>
        <v>36</v>
      </c>
      <c r="D1503">
        <v>6219</v>
      </c>
      <c r="E1503" t="str">
        <f>"3B"</f>
        <v>3B</v>
      </c>
      <c r="F1503" t="str">
        <f t="shared" si="204"/>
        <v>001</v>
      </c>
      <c r="G1503">
        <v>9</v>
      </c>
      <c r="H1503" t="str">
        <f t="shared" si="194"/>
        <v>91</v>
      </c>
      <c r="I1503" t="str">
        <f t="shared" si="203"/>
        <v>0</v>
      </c>
      <c r="J1503" t="str">
        <f t="shared" si="205"/>
        <v>39</v>
      </c>
      <c r="K1503">
        <v>20181214</v>
      </c>
      <c r="L1503" t="str">
        <f>"075029"</f>
        <v>075029</v>
      </c>
      <c r="M1503" t="str">
        <f>"37896"</f>
        <v>37896</v>
      </c>
      <c r="N1503" t="s">
        <v>786</v>
      </c>
      <c r="O1503">
        <v>67.5</v>
      </c>
      <c r="P1503">
        <v>20181212</v>
      </c>
      <c r="Q1503" t="s">
        <v>695</v>
      </c>
      <c r="R1503" t="s">
        <v>751</v>
      </c>
      <c r="S1503" t="s">
        <v>295</v>
      </c>
      <c r="T1503" t="s">
        <v>301</v>
      </c>
    </row>
    <row r="1504" spans="1:20" x14ac:dyDescent="0.25">
      <c r="A1504">
        <v>9</v>
      </c>
      <c r="B1504">
        <v>181</v>
      </c>
      <c r="C1504" t="str">
        <f t="shared" ref="C1504:C1567" si="206">"36"</f>
        <v>36</v>
      </c>
      <c r="D1504">
        <v>6219</v>
      </c>
      <c r="E1504" t="str">
        <f>"3D"</f>
        <v>3D</v>
      </c>
      <c r="F1504" t="str">
        <f t="shared" si="204"/>
        <v>001</v>
      </c>
      <c r="G1504">
        <v>9</v>
      </c>
      <c r="H1504" t="str">
        <f t="shared" ref="H1504:H1567" si="207">"91"</f>
        <v>91</v>
      </c>
      <c r="I1504" t="str">
        <f t="shared" si="203"/>
        <v>0</v>
      </c>
      <c r="J1504" t="str">
        <f t="shared" si="205"/>
        <v>39</v>
      </c>
      <c r="K1504">
        <v>20181214</v>
      </c>
      <c r="L1504" t="str">
        <f>"075029"</f>
        <v>075029</v>
      </c>
      <c r="M1504" t="str">
        <f>"37896"</f>
        <v>37896</v>
      </c>
      <c r="N1504" t="s">
        <v>786</v>
      </c>
      <c r="O1504">
        <v>67.5</v>
      </c>
      <c r="P1504">
        <v>20181212</v>
      </c>
      <c r="Q1504" t="s">
        <v>700</v>
      </c>
      <c r="R1504" t="s">
        <v>727</v>
      </c>
      <c r="S1504" t="s">
        <v>295</v>
      </c>
      <c r="T1504" t="s">
        <v>301</v>
      </c>
    </row>
    <row r="1505" spans="1:20" x14ac:dyDescent="0.25">
      <c r="A1505">
        <v>9</v>
      </c>
      <c r="B1505">
        <v>181</v>
      </c>
      <c r="C1505" t="str">
        <f t="shared" si="206"/>
        <v>36</v>
      </c>
      <c r="D1505">
        <v>6219</v>
      </c>
      <c r="E1505" t="str">
        <f>"3F"</f>
        <v>3F</v>
      </c>
      <c r="F1505" t="str">
        <f t="shared" si="204"/>
        <v>001</v>
      </c>
      <c r="G1505">
        <v>9</v>
      </c>
      <c r="H1505" t="str">
        <f t="shared" si="207"/>
        <v>91</v>
      </c>
      <c r="I1505" t="str">
        <f t="shared" si="203"/>
        <v>0</v>
      </c>
      <c r="J1505" t="str">
        <f t="shared" si="205"/>
        <v>39</v>
      </c>
      <c r="K1505">
        <v>20181214</v>
      </c>
      <c r="L1505" t="str">
        <f>"075034"</f>
        <v>075034</v>
      </c>
      <c r="M1505" t="str">
        <f>"50555"</f>
        <v>50555</v>
      </c>
      <c r="N1505" t="s">
        <v>787</v>
      </c>
      <c r="O1505">
        <v>110</v>
      </c>
      <c r="P1505">
        <v>20181213</v>
      </c>
      <c r="Q1505" t="s">
        <v>333</v>
      </c>
      <c r="R1505" t="s">
        <v>531</v>
      </c>
      <c r="S1505" t="s">
        <v>295</v>
      </c>
      <c r="T1505" t="s">
        <v>301</v>
      </c>
    </row>
    <row r="1506" spans="1:20" x14ac:dyDescent="0.25">
      <c r="A1506">
        <v>9</v>
      </c>
      <c r="B1506">
        <v>181</v>
      </c>
      <c r="C1506" t="str">
        <f t="shared" si="206"/>
        <v>36</v>
      </c>
      <c r="D1506">
        <v>6219</v>
      </c>
      <c r="E1506" t="str">
        <f>"3D"</f>
        <v>3D</v>
      </c>
      <c r="F1506" t="str">
        <f t="shared" si="204"/>
        <v>001</v>
      </c>
      <c r="G1506">
        <v>9</v>
      </c>
      <c r="H1506" t="str">
        <f t="shared" si="207"/>
        <v>91</v>
      </c>
      <c r="I1506" t="str">
        <f t="shared" si="203"/>
        <v>0</v>
      </c>
      <c r="J1506" t="str">
        <f t="shared" si="205"/>
        <v>39</v>
      </c>
      <c r="K1506">
        <v>20181214</v>
      </c>
      <c r="L1506" t="str">
        <f>"075040"</f>
        <v>075040</v>
      </c>
      <c r="M1506" t="str">
        <f>"42199"</f>
        <v>42199</v>
      </c>
      <c r="N1506" t="s">
        <v>788</v>
      </c>
      <c r="O1506">
        <v>135</v>
      </c>
      <c r="P1506">
        <v>20181212</v>
      </c>
      <c r="Q1506" t="s">
        <v>700</v>
      </c>
      <c r="R1506" t="s">
        <v>784</v>
      </c>
      <c r="S1506" t="s">
        <v>295</v>
      </c>
      <c r="T1506" t="s">
        <v>301</v>
      </c>
    </row>
    <row r="1507" spans="1:20" x14ac:dyDescent="0.25">
      <c r="A1507">
        <v>9</v>
      </c>
      <c r="B1507">
        <v>181</v>
      </c>
      <c r="C1507" t="str">
        <f t="shared" si="206"/>
        <v>36</v>
      </c>
      <c r="D1507">
        <v>6219</v>
      </c>
      <c r="E1507" t="str">
        <f>"3D"</f>
        <v>3D</v>
      </c>
      <c r="F1507" t="str">
        <f t="shared" si="204"/>
        <v>001</v>
      </c>
      <c r="G1507">
        <v>9</v>
      </c>
      <c r="H1507" t="str">
        <f t="shared" si="207"/>
        <v>91</v>
      </c>
      <c r="I1507" t="str">
        <f t="shared" si="203"/>
        <v>0</v>
      </c>
      <c r="J1507" t="str">
        <f t="shared" si="205"/>
        <v>39</v>
      </c>
      <c r="K1507">
        <v>20181214</v>
      </c>
      <c r="L1507" t="str">
        <f>"075043"</f>
        <v>075043</v>
      </c>
      <c r="M1507" t="str">
        <f>"45175"</f>
        <v>45175</v>
      </c>
      <c r="N1507" t="s">
        <v>789</v>
      </c>
      <c r="O1507">
        <v>30</v>
      </c>
      <c r="P1507">
        <v>20181212</v>
      </c>
      <c r="Q1507" t="s">
        <v>700</v>
      </c>
      <c r="R1507" t="s">
        <v>784</v>
      </c>
      <c r="S1507" t="s">
        <v>295</v>
      </c>
      <c r="T1507" t="s">
        <v>301</v>
      </c>
    </row>
    <row r="1508" spans="1:20" x14ac:dyDescent="0.25">
      <c r="A1508">
        <v>9</v>
      </c>
      <c r="B1508">
        <v>181</v>
      </c>
      <c r="C1508" t="str">
        <f t="shared" si="206"/>
        <v>36</v>
      </c>
      <c r="D1508">
        <v>6411</v>
      </c>
      <c r="E1508" t="str">
        <f>"30"</f>
        <v>30</v>
      </c>
      <c r="F1508" t="str">
        <f t="shared" si="204"/>
        <v>001</v>
      </c>
      <c r="G1508">
        <v>9</v>
      </c>
      <c r="H1508" t="str">
        <f t="shared" si="207"/>
        <v>91</v>
      </c>
      <c r="I1508" t="str">
        <f t="shared" si="203"/>
        <v>0</v>
      </c>
      <c r="J1508" t="str">
        <f t="shared" si="205"/>
        <v>39</v>
      </c>
      <c r="K1508">
        <v>20181214</v>
      </c>
      <c r="L1508" t="str">
        <f>"075056"</f>
        <v>075056</v>
      </c>
      <c r="M1508" t="str">
        <f>"52196"</f>
        <v>52196</v>
      </c>
      <c r="N1508" t="s">
        <v>292</v>
      </c>
      <c r="O1508">
        <v>474</v>
      </c>
      <c r="P1508">
        <v>20181212</v>
      </c>
      <c r="Q1508" t="s">
        <v>790</v>
      </c>
      <c r="R1508" t="s">
        <v>791</v>
      </c>
      <c r="S1508" t="s">
        <v>295</v>
      </c>
      <c r="T1508" t="s">
        <v>301</v>
      </c>
    </row>
    <row r="1509" spans="1:20" x14ac:dyDescent="0.25">
      <c r="A1509">
        <v>9</v>
      </c>
      <c r="B1509">
        <v>181</v>
      </c>
      <c r="C1509" t="str">
        <f t="shared" si="206"/>
        <v>36</v>
      </c>
      <c r="D1509">
        <v>6219</v>
      </c>
      <c r="E1509" t="str">
        <f>"3B"</f>
        <v>3B</v>
      </c>
      <c r="F1509" t="str">
        <f t="shared" si="204"/>
        <v>001</v>
      </c>
      <c r="G1509">
        <v>9</v>
      </c>
      <c r="H1509" t="str">
        <f t="shared" si="207"/>
        <v>91</v>
      </c>
      <c r="I1509" t="str">
        <f t="shared" si="203"/>
        <v>0</v>
      </c>
      <c r="J1509" t="str">
        <f t="shared" si="205"/>
        <v>39</v>
      </c>
      <c r="K1509">
        <v>20181214</v>
      </c>
      <c r="L1509" t="str">
        <f>"075057"</f>
        <v>075057</v>
      </c>
      <c r="M1509" t="str">
        <f>"00651"</f>
        <v>00651</v>
      </c>
      <c r="N1509" t="s">
        <v>792</v>
      </c>
      <c r="O1509">
        <v>65</v>
      </c>
      <c r="P1509">
        <v>20181212</v>
      </c>
      <c r="Q1509" t="s">
        <v>695</v>
      </c>
      <c r="R1509" t="s">
        <v>751</v>
      </c>
      <c r="S1509" t="s">
        <v>295</v>
      </c>
      <c r="T1509" t="s">
        <v>301</v>
      </c>
    </row>
    <row r="1510" spans="1:20" x14ac:dyDescent="0.25">
      <c r="A1510">
        <v>9</v>
      </c>
      <c r="B1510">
        <v>181</v>
      </c>
      <c r="C1510" t="str">
        <f t="shared" si="206"/>
        <v>36</v>
      </c>
      <c r="D1510">
        <v>6219</v>
      </c>
      <c r="E1510" t="str">
        <f>"02"</f>
        <v>02</v>
      </c>
      <c r="F1510" t="str">
        <f t="shared" si="204"/>
        <v>001</v>
      </c>
      <c r="G1510">
        <v>9</v>
      </c>
      <c r="H1510" t="str">
        <f t="shared" si="207"/>
        <v>91</v>
      </c>
      <c r="I1510" t="str">
        <f t="shared" si="203"/>
        <v>0</v>
      </c>
      <c r="J1510" t="str">
        <f>"42"</f>
        <v>42</v>
      </c>
      <c r="K1510">
        <v>20181214</v>
      </c>
      <c r="L1510" t="str">
        <f>"075063"</f>
        <v>075063</v>
      </c>
      <c r="M1510" t="str">
        <f>"56571"</f>
        <v>56571</v>
      </c>
      <c r="N1510" t="s">
        <v>532</v>
      </c>
      <c r="O1510">
        <v>100</v>
      </c>
      <c r="P1510">
        <v>20181212</v>
      </c>
      <c r="Q1510" t="s">
        <v>738</v>
      </c>
      <c r="R1510" t="s">
        <v>656</v>
      </c>
      <c r="S1510" t="s">
        <v>295</v>
      </c>
      <c r="T1510" t="s">
        <v>301</v>
      </c>
    </row>
    <row r="1511" spans="1:20" x14ac:dyDescent="0.25">
      <c r="A1511">
        <v>9</v>
      </c>
      <c r="B1511">
        <v>181</v>
      </c>
      <c r="C1511" t="str">
        <f t="shared" si="206"/>
        <v>36</v>
      </c>
      <c r="D1511">
        <v>6219</v>
      </c>
      <c r="E1511" t="str">
        <f>"3B"</f>
        <v>3B</v>
      </c>
      <c r="F1511" t="str">
        <f t="shared" si="204"/>
        <v>001</v>
      </c>
      <c r="G1511">
        <v>9</v>
      </c>
      <c r="H1511" t="str">
        <f t="shared" si="207"/>
        <v>91</v>
      </c>
      <c r="I1511" t="str">
        <f t="shared" si="203"/>
        <v>0</v>
      </c>
      <c r="J1511" t="str">
        <f>"39"</f>
        <v>39</v>
      </c>
      <c r="K1511">
        <v>20181214</v>
      </c>
      <c r="L1511" t="str">
        <f>"075064"</f>
        <v>075064</v>
      </c>
      <c r="M1511" t="str">
        <f>"00670"</f>
        <v>00670</v>
      </c>
      <c r="N1511" t="s">
        <v>793</v>
      </c>
      <c r="O1511">
        <v>65</v>
      </c>
      <c r="P1511">
        <v>20181213</v>
      </c>
      <c r="Q1511" t="s">
        <v>695</v>
      </c>
      <c r="R1511" t="s">
        <v>751</v>
      </c>
      <c r="S1511" t="s">
        <v>295</v>
      </c>
      <c r="T1511" t="s">
        <v>301</v>
      </c>
    </row>
    <row r="1512" spans="1:20" x14ac:dyDescent="0.25">
      <c r="A1512">
        <v>9</v>
      </c>
      <c r="B1512">
        <v>181</v>
      </c>
      <c r="C1512" t="str">
        <f t="shared" si="206"/>
        <v>36</v>
      </c>
      <c r="D1512">
        <v>6219</v>
      </c>
      <c r="E1512" t="str">
        <f>"3D"</f>
        <v>3D</v>
      </c>
      <c r="F1512" t="str">
        <f t="shared" si="204"/>
        <v>001</v>
      </c>
      <c r="G1512">
        <v>9</v>
      </c>
      <c r="H1512" t="str">
        <f t="shared" si="207"/>
        <v>91</v>
      </c>
      <c r="I1512" t="str">
        <f t="shared" si="203"/>
        <v>0</v>
      </c>
      <c r="J1512" t="str">
        <f>"39"</f>
        <v>39</v>
      </c>
      <c r="K1512">
        <v>20181214</v>
      </c>
      <c r="L1512" t="str">
        <f>"075066"</f>
        <v>075066</v>
      </c>
      <c r="M1512" t="str">
        <f>"57988"</f>
        <v>57988</v>
      </c>
      <c r="N1512" t="s">
        <v>743</v>
      </c>
      <c r="O1512">
        <v>65</v>
      </c>
      <c r="P1512">
        <v>20181212</v>
      </c>
      <c r="Q1512" t="s">
        <v>700</v>
      </c>
      <c r="R1512" t="s">
        <v>784</v>
      </c>
      <c r="S1512" t="s">
        <v>295</v>
      </c>
      <c r="T1512" t="s">
        <v>301</v>
      </c>
    </row>
    <row r="1513" spans="1:20" x14ac:dyDescent="0.25">
      <c r="A1513">
        <v>9</v>
      </c>
      <c r="B1513">
        <v>181</v>
      </c>
      <c r="C1513" t="str">
        <f t="shared" si="206"/>
        <v>36</v>
      </c>
      <c r="D1513">
        <v>6219</v>
      </c>
      <c r="E1513" t="str">
        <f>"3D"</f>
        <v>3D</v>
      </c>
      <c r="F1513" t="str">
        <f t="shared" si="204"/>
        <v>001</v>
      </c>
      <c r="G1513">
        <v>9</v>
      </c>
      <c r="H1513" t="str">
        <f t="shared" si="207"/>
        <v>91</v>
      </c>
      <c r="I1513" t="str">
        <f>"1"</f>
        <v>1</v>
      </c>
      <c r="J1513" t="str">
        <f>"39"</f>
        <v>39</v>
      </c>
      <c r="K1513">
        <v>20181214</v>
      </c>
      <c r="L1513" t="str">
        <f>"075067"</f>
        <v>075067</v>
      </c>
      <c r="M1513" t="str">
        <f>"57974"</f>
        <v>57974</v>
      </c>
      <c r="N1513" t="s">
        <v>371</v>
      </c>
      <c r="O1513">
        <v>96</v>
      </c>
      <c r="P1513">
        <v>20181212</v>
      </c>
      <c r="Q1513" t="s">
        <v>794</v>
      </c>
      <c r="R1513" t="s">
        <v>784</v>
      </c>
      <c r="S1513" t="s">
        <v>295</v>
      </c>
      <c r="T1513" t="s">
        <v>301</v>
      </c>
    </row>
    <row r="1514" spans="1:20" x14ac:dyDescent="0.25">
      <c r="A1514">
        <v>9</v>
      </c>
      <c r="B1514">
        <v>181</v>
      </c>
      <c r="C1514" t="str">
        <f t="shared" si="206"/>
        <v>36</v>
      </c>
      <c r="D1514">
        <v>6219</v>
      </c>
      <c r="E1514" t="str">
        <f>"3B"</f>
        <v>3B</v>
      </c>
      <c r="F1514" t="str">
        <f>"041"</f>
        <v>041</v>
      </c>
      <c r="G1514">
        <v>9</v>
      </c>
      <c r="H1514" t="str">
        <f t="shared" si="207"/>
        <v>91</v>
      </c>
      <c r="I1514" t="str">
        <f t="shared" ref="I1514:I1519" si="208">"0"</f>
        <v>0</v>
      </c>
      <c r="J1514" t="str">
        <f>"41"</f>
        <v>41</v>
      </c>
      <c r="K1514">
        <v>20181214</v>
      </c>
      <c r="L1514" t="str">
        <f>"075068"</f>
        <v>075068</v>
      </c>
      <c r="M1514" t="str">
        <f>"00664"</f>
        <v>00664</v>
      </c>
      <c r="N1514" t="s">
        <v>795</v>
      </c>
      <c r="O1514">
        <v>85</v>
      </c>
      <c r="P1514">
        <v>20181212</v>
      </c>
      <c r="Q1514" t="s">
        <v>711</v>
      </c>
      <c r="R1514" t="s">
        <v>783</v>
      </c>
      <c r="S1514" t="s">
        <v>295</v>
      </c>
      <c r="T1514" t="s">
        <v>106</v>
      </c>
    </row>
    <row r="1515" spans="1:20" x14ac:dyDescent="0.25">
      <c r="A1515">
        <v>9</v>
      </c>
      <c r="B1515">
        <v>181</v>
      </c>
      <c r="C1515" t="str">
        <f t="shared" si="206"/>
        <v>36</v>
      </c>
      <c r="D1515">
        <v>6219</v>
      </c>
      <c r="E1515" t="str">
        <f>"3B"</f>
        <v>3B</v>
      </c>
      <c r="F1515" t="str">
        <f>"041"</f>
        <v>041</v>
      </c>
      <c r="G1515">
        <v>9</v>
      </c>
      <c r="H1515" t="str">
        <f t="shared" si="207"/>
        <v>91</v>
      </c>
      <c r="I1515" t="str">
        <f t="shared" si="208"/>
        <v>0</v>
      </c>
      <c r="J1515" t="str">
        <f>"41"</f>
        <v>41</v>
      </c>
      <c r="K1515">
        <v>20181214</v>
      </c>
      <c r="L1515" t="str">
        <f>"075080"</f>
        <v>075080</v>
      </c>
      <c r="M1515" t="str">
        <f>"00273"</f>
        <v>00273</v>
      </c>
      <c r="N1515" t="s">
        <v>749</v>
      </c>
      <c r="O1515">
        <v>85</v>
      </c>
      <c r="P1515">
        <v>20181213</v>
      </c>
      <c r="Q1515" t="s">
        <v>711</v>
      </c>
      <c r="R1515" t="s">
        <v>783</v>
      </c>
      <c r="S1515" t="s">
        <v>295</v>
      </c>
      <c r="T1515" t="s">
        <v>106</v>
      </c>
    </row>
    <row r="1516" spans="1:20" x14ac:dyDescent="0.25">
      <c r="A1516">
        <v>9</v>
      </c>
      <c r="B1516">
        <v>181</v>
      </c>
      <c r="C1516" t="str">
        <f t="shared" si="206"/>
        <v>36</v>
      </c>
      <c r="D1516">
        <v>6219</v>
      </c>
      <c r="E1516" t="str">
        <f>"3B"</f>
        <v>3B</v>
      </c>
      <c r="F1516" t="str">
        <f>"041"</f>
        <v>041</v>
      </c>
      <c r="G1516">
        <v>9</v>
      </c>
      <c r="H1516" t="str">
        <f t="shared" si="207"/>
        <v>91</v>
      </c>
      <c r="I1516" t="str">
        <f t="shared" si="208"/>
        <v>0</v>
      </c>
      <c r="J1516" t="str">
        <f>"41"</f>
        <v>41</v>
      </c>
      <c r="K1516">
        <v>20181214</v>
      </c>
      <c r="L1516" t="str">
        <f>"075085"</f>
        <v>075085</v>
      </c>
      <c r="M1516" t="str">
        <f>"62933"</f>
        <v>62933</v>
      </c>
      <c r="N1516" t="s">
        <v>796</v>
      </c>
      <c r="O1516">
        <v>85</v>
      </c>
      <c r="P1516">
        <v>20181213</v>
      </c>
      <c r="Q1516" t="s">
        <v>711</v>
      </c>
      <c r="R1516" t="s">
        <v>783</v>
      </c>
      <c r="S1516" t="s">
        <v>295</v>
      </c>
      <c r="T1516" t="s">
        <v>106</v>
      </c>
    </row>
    <row r="1517" spans="1:20" x14ac:dyDescent="0.25">
      <c r="A1517">
        <v>9</v>
      </c>
      <c r="B1517">
        <v>181</v>
      </c>
      <c r="C1517" t="str">
        <f t="shared" si="206"/>
        <v>36</v>
      </c>
      <c r="D1517">
        <v>6411</v>
      </c>
      <c r="E1517" t="str">
        <f>"33"</f>
        <v>33</v>
      </c>
      <c r="F1517" t="str">
        <f>"001"</f>
        <v>001</v>
      </c>
      <c r="G1517">
        <v>9</v>
      </c>
      <c r="H1517" t="str">
        <f t="shared" si="207"/>
        <v>91</v>
      </c>
      <c r="I1517" t="str">
        <f t="shared" si="208"/>
        <v>0</v>
      </c>
      <c r="J1517" t="str">
        <f>"39"</f>
        <v>39</v>
      </c>
      <c r="K1517">
        <v>20181214</v>
      </c>
      <c r="L1517" t="str">
        <f>"075088"</f>
        <v>075088</v>
      </c>
      <c r="M1517" t="str">
        <f>"69162"</f>
        <v>69162</v>
      </c>
      <c r="N1517" t="s">
        <v>491</v>
      </c>
      <c r="O1517">
        <v>131</v>
      </c>
      <c r="P1517">
        <v>20181213</v>
      </c>
      <c r="Q1517" t="s">
        <v>306</v>
      </c>
      <c r="R1517" t="s">
        <v>797</v>
      </c>
      <c r="S1517" t="s">
        <v>295</v>
      </c>
      <c r="T1517" t="s">
        <v>301</v>
      </c>
    </row>
    <row r="1518" spans="1:20" x14ac:dyDescent="0.25">
      <c r="A1518">
        <v>9</v>
      </c>
      <c r="B1518">
        <v>181</v>
      </c>
      <c r="C1518" t="str">
        <f t="shared" si="206"/>
        <v>36</v>
      </c>
      <c r="D1518">
        <v>6319</v>
      </c>
      <c r="E1518" t="str">
        <f>"30"</f>
        <v>30</v>
      </c>
      <c r="F1518" t="str">
        <f>"001"</f>
        <v>001</v>
      </c>
      <c r="G1518">
        <v>9</v>
      </c>
      <c r="H1518" t="str">
        <f t="shared" si="207"/>
        <v>91</v>
      </c>
      <c r="I1518" t="str">
        <f t="shared" si="208"/>
        <v>0</v>
      </c>
      <c r="J1518" t="str">
        <f>"39"</f>
        <v>39</v>
      </c>
      <c r="K1518">
        <v>20181214</v>
      </c>
      <c r="L1518" t="str">
        <f>"075098"</f>
        <v>075098</v>
      </c>
      <c r="M1518" t="str">
        <f>"79680"</f>
        <v>79680</v>
      </c>
      <c r="N1518" t="s">
        <v>500</v>
      </c>
      <c r="O1518">
        <v>80</v>
      </c>
      <c r="P1518">
        <v>20181213</v>
      </c>
      <c r="Q1518" t="s">
        <v>501</v>
      </c>
      <c r="R1518" t="s">
        <v>798</v>
      </c>
      <c r="S1518" t="s">
        <v>295</v>
      </c>
      <c r="T1518" t="s">
        <v>301</v>
      </c>
    </row>
    <row r="1519" spans="1:20" x14ac:dyDescent="0.25">
      <c r="A1519">
        <v>9</v>
      </c>
      <c r="B1519">
        <v>181</v>
      </c>
      <c r="C1519" t="str">
        <f t="shared" si="206"/>
        <v>36</v>
      </c>
      <c r="D1519">
        <v>6319</v>
      </c>
      <c r="E1519" t="str">
        <f>"30"</f>
        <v>30</v>
      </c>
      <c r="F1519" t="str">
        <f>"041"</f>
        <v>041</v>
      </c>
      <c r="G1519">
        <v>9</v>
      </c>
      <c r="H1519" t="str">
        <f t="shared" si="207"/>
        <v>91</v>
      </c>
      <c r="I1519" t="str">
        <f t="shared" si="208"/>
        <v>0</v>
      </c>
      <c r="J1519" t="str">
        <f>"41"</f>
        <v>41</v>
      </c>
      <c r="K1519">
        <v>20181214</v>
      </c>
      <c r="L1519" t="str">
        <f>"075098"</f>
        <v>075098</v>
      </c>
      <c r="M1519" t="str">
        <f>"79680"</f>
        <v>79680</v>
      </c>
      <c r="N1519" t="s">
        <v>500</v>
      </c>
      <c r="O1519">
        <v>80</v>
      </c>
      <c r="P1519">
        <v>20181213</v>
      </c>
      <c r="Q1519" t="s">
        <v>503</v>
      </c>
      <c r="R1519" t="s">
        <v>799</v>
      </c>
      <c r="S1519" t="s">
        <v>295</v>
      </c>
      <c r="T1519" t="s">
        <v>106</v>
      </c>
    </row>
    <row r="1520" spans="1:20" x14ac:dyDescent="0.25">
      <c r="A1520">
        <v>9</v>
      </c>
      <c r="B1520">
        <v>181</v>
      </c>
      <c r="C1520" t="str">
        <f t="shared" si="206"/>
        <v>36</v>
      </c>
      <c r="D1520">
        <v>6412</v>
      </c>
      <c r="E1520" t="str">
        <f>"3B"</f>
        <v>3B</v>
      </c>
      <c r="F1520" t="str">
        <f>"001"</f>
        <v>001</v>
      </c>
      <c r="G1520">
        <v>9</v>
      </c>
      <c r="H1520" t="str">
        <f t="shared" si="207"/>
        <v>91</v>
      </c>
      <c r="I1520" t="str">
        <f t="shared" ref="I1520:I1529" si="209">"1"</f>
        <v>1</v>
      </c>
      <c r="J1520" t="str">
        <f>"39"</f>
        <v>39</v>
      </c>
      <c r="K1520">
        <v>20181214</v>
      </c>
      <c r="L1520" t="str">
        <f t="shared" ref="L1520:L1529" si="210">"075109"</f>
        <v>075109</v>
      </c>
      <c r="M1520" t="str">
        <f t="shared" ref="M1520:M1529" si="211">"84370"</f>
        <v>84370</v>
      </c>
      <c r="N1520" t="s">
        <v>395</v>
      </c>
      <c r="O1520">
        <v>87.51</v>
      </c>
      <c r="P1520">
        <v>20181213</v>
      </c>
      <c r="Q1520" t="s">
        <v>668</v>
      </c>
      <c r="R1520" t="s">
        <v>800</v>
      </c>
      <c r="S1520" t="s">
        <v>295</v>
      </c>
      <c r="T1520" t="s">
        <v>301</v>
      </c>
    </row>
    <row r="1521" spans="1:20" x14ac:dyDescent="0.25">
      <c r="A1521">
        <v>9</v>
      </c>
      <c r="B1521">
        <v>181</v>
      </c>
      <c r="C1521" t="str">
        <f t="shared" si="206"/>
        <v>36</v>
      </c>
      <c r="D1521">
        <v>6412</v>
      </c>
      <c r="E1521" t="str">
        <f>"3B"</f>
        <v>3B</v>
      </c>
      <c r="F1521" t="str">
        <f>"041"</f>
        <v>041</v>
      </c>
      <c r="G1521">
        <v>9</v>
      </c>
      <c r="H1521" t="str">
        <f t="shared" si="207"/>
        <v>91</v>
      </c>
      <c r="I1521" t="str">
        <f t="shared" si="209"/>
        <v>1</v>
      </c>
      <c r="J1521" t="str">
        <f>"41"</f>
        <v>41</v>
      </c>
      <c r="K1521">
        <v>20181214</v>
      </c>
      <c r="L1521" t="str">
        <f t="shared" si="210"/>
        <v>075109</v>
      </c>
      <c r="M1521" t="str">
        <f t="shared" si="211"/>
        <v>84370</v>
      </c>
      <c r="N1521" t="s">
        <v>395</v>
      </c>
      <c r="O1521">
        <v>298.54000000000002</v>
      </c>
      <c r="P1521">
        <v>20181213</v>
      </c>
      <c r="Q1521" t="s">
        <v>801</v>
      </c>
      <c r="R1521" t="s">
        <v>802</v>
      </c>
      <c r="S1521" t="s">
        <v>295</v>
      </c>
      <c r="T1521" t="s">
        <v>106</v>
      </c>
    </row>
    <row r="1522" spans="1:20" x14ac:dyDescent="0.25">
      <c r="A1522">
        <v>9</v>
      </c>
      <c r="B1522">
        <v>181</v>
      </c>
      <c r="C1522" t="str">
        <f t="shared" si="206"/>
        <v>36</v>
      </c>
      <c r="D1522">
        <v>6412</v>
      </c>
      <c r="E1522" t="str">
        <f t="shared" ref="E1522:E1527" si="212">"3D"</f>
        <v>3D</v>
      </c>
      <c r="F1522" t="str">
        <f>"001"</f>
        <v>001</v>
      </c>
      <c r="G1522">
        <v>9</v>
      </c>
      <c r="H1522" t="str">
        <f t="shared" si="207"/>
        <v>91</v>
      </c>
      <c r="I1522" t="str">
        <f t="shared" si="209"/>
        <v>1</v>
      </c>
      <c r="J1522" t="str">
        <f>"39"</f>
        <v>39</v>
      </c>
      <c r="K1522">
        <v>20181214</v>
      </c>
      <c r="L1522" t="str">
        <f t="shared" si="210"/>
        <v>075109</v>
      </c>
      <c r="M1522" t="str">
        <f t="shared" si="211"/>
        <v>84370</v>
      </c>
      <c r="N1522" t="s">
        <v>395</v>
      </c>
      <c r="O1522">
        <v>118.22</v>
      </c>
      <c r="P1522">
        <v>20181213</v>
      </c>
      <c r="Q1522" t="s">
        <v>684</v>
      </c>
      <c r="R1522" t="s">
        <v>803</v>
      </c>
      <c r="S1522" t="s">
        <v>295</v>
      </c>
      <c r="T1522" t="s">
        <v>301</v>
      </c>
    </row>
    <row r="1523" spans="1:20" x14ac:dyDescent="0.25">
      <c r="A1523">
        <v>9</v>
      </c>
      <c r="B1523">
        <v>181</v>
      </c>
      <c r="C1523" t="str">
        <f t="shared" si="206"/>
        <v>36</v>
      </c>
      <c r="D1523">
        <v>6412</v>
      </c>
      <c r="E1523" t="str">
        <f t="shared" si="212"/>
        <v>3D</v>
      </c>
      <c r="F1523" t="str">
        <f>"001"</f>
        <v>001</v>
      </c>
      <c r="G1523">
        <v>9</v>
      </c>
      <c r="H1523" t="str">
        <f t="shared" si="207"/>
        <v>91</v>
      </c>
      <c r="I1523" t="str">
        <f t="shared" si="209"/>
        <v>1</v>
      </c>
      <c r="J1523" t="str">
        <f>"39"</f>
        <v>39</v>
      </c>
      <c r="K1523">
        <v>20181214</v>
      </c>
      <c r="L1523" t="str">
        <f t="shared" si="210"/>
        <v>075109</v>
      </c>
      <c r="M1523" t="str">
        <f t="shared" si="211"/>
        <v>84370</v>
      </c>
      <c r="N1523" t="s">
        <v>395</v>
      </c>
      <c r="O1523">
        <v>84.12</v>
      </c>
      <c r="P1523">
        <v>20181213</v>
      </c>
      <c r="Q1523" t="s">
        <v>684</v>
      </c>
      <c r="R1523" t="s">
        <v>804</v>
      </c>
      <c r="S1523" t="s">
        <v>295</v>
      </c>
      <c r="T1523" t="s">
        <v>301</v>
      </c>
    </row>
    <row r="1524" spans="1:20" x14ac:dyDescent="0.25">
      <c r="A1524">
        <v>9</v>
      </c>
      <c r="B1524">
        <v>181</v>
      </c>
      <c r="C1524" t="str">
        <f t="shared" si="206"/>
        <v>36</v>
      </c>
      <c r="D1524">
        <v>6412</v>
      </c>
      <c r="E1524" t="str">
        <f t="shared" si="212"/>
        <v>3D</v>
      </c>
      <c r="F1524" t="str">
        <f>"001"</f>
        <v>001</v>
      </c>
      <c r="G1524">
        <v>9</v>
      </c>
      <c r="H1524" t="str">
        <f t="shared" si="207"/>
        <v>91</v>
      </c>
      <c r="I1524" t="str">
        <f t="shared" si="209"/>
        <v>1</v>
      </c>
      <c r="J1524" t="str">
        <f>"39"</f>
        <v>39</v>
      </c>
      <c r="K1524">
        <v>20181214</v>
      </c>
      <c r="L1524" t="str">
        <f t="shared" si="210"/>
        <v>075109</v>
      </c>
      <c r="M1524" t="str">
        <f t="shared" si="211"/>
        <v>84370</v>
      </c>
      <c r="N1524" t="s">
        <v>395</v>
      </c>
      <c r="O1524">
        <v>65.349999999999994</v>
      </c>
      <c r="P1524">
        <v>20181213</v>
      </c>
      <c r="Q1524" t="s">
        <v>684</v>
      </c>
      <c r="R1524" t="s">
        <v>805</v>
      </c>
      <c r="S1524" t="s">
        <v>295</v>
      </c>
      <c r="T1524" t="s">
        <v>301</v>
      </c>
    </row>
    <row r="1525" spans="1:20" x14ac:dyDescent="0.25">
      <c r="A1525">
        <v>9</v>
      </c>
      <c r="B1525">
        <v>181</v>
      </c>
      <c r="C1525" t="str">
        <f t="shared" si="206"/>
        <v>36</v>
      </c>
      <c r="D1525">
        <v>6412</v>
      </c>
      <c r="E1525" t="str">
        <f t="shared" si="212"/>
        <v>3D</v>
      </c>
      <c r="F1525" t="str">
        <f>"001"</f>
        <v>001</v>
      </c>
      <c r="G1525">
        <v>9</v>
      </c>
      <c r="H1525" t="str">
        <f t="shared" si="207"/>
        <v>91</v>
      </c>
      <c r="I1525" t="str">
        <f t="shared" si="209"/>
        <v>1</v>
      </c>
      <c r="J1525" t="str">
        <f>"39"</f>
        <v>39</v>
      </c>
      <c r="K1525">
        <v>20181214</v>
      </c>
      <c r="L1525" t="str">
        <f t="shared" si="210"/>
        <v>075109</v>
      </c>
      <c r="M1525" t="str">
        <f t="shared" si="211"/>
        <v>84370</v>
      </c>
      <c r="N1525" t="s">
        <v>395</v>
      </c>
      <c r="O1525">
        <v>78.88</v>
      </c>
      <c r="P1525">
        <v>20181213</v>
      </c>
      <c r="Q1525" t="s">
        <v>684</v>
      </c>
      <c r="R1525" t="s">
        <v>806</v>
      </c>
      <c r="S1525" t="s">
        <v>295</v>
      </c>
      <c r="T1525" t="s">
        <v>301</v>
      </c>
    </row>
    <row r="1526" spans="1:20" x14ac:dyDescent="0.25">
      <c r="A1526">
        <v>9</v>
      </c>
      <c r="B1526">
        <v>181</v>
      </c>
      <c r="C1526" t="str">
        <f t="shared" si="206"/>
        <v>36</v>
      </c>
      <c r="D1526">
        <v>6412</v>
      </c>
      <c r="E1526" t="str">
        <f t="shared" si="212"/>
        <v>3D</v>
      </c>
      <c r="F1526" t="str">
        <f>"001"</f>
        <v>001</v>
      </c>
      <c r="G1526">
        <v>9</v>
      </c>
      <c r="H1526" t="str">
        <f t="shared" si="207"/>
        <v>91</v>
      </c>
      <c r="I1526" t="str">
        <f t="shared" si="209"/>
        <v>1</v>
      </c>
      <c r="J1526" t="str">
        <f>"39"</f>
        <v>39</v>
      </c>
      <c r="K1526">
        <v>20181214</v>
      </c>
      <c r="L1526" t="str">
        <f t="shared" si="210"/>
        <v>075109</v>
      </c>
      <c r="M1526" t="str">
        <f t="shared" si="211"/>
        <v>84370</v>
      </c>
      <c r="N1526" t="s">
        <v>395</v>
      </c>
      <c r="O1526">
        <v>82.06</v>
      </c>
      <c r="P1526">
        <v>20181213</v>
      </c>
      <c r="Q1526" t="s">
        <v>684</v>
      </c>
      <c r="R1526" t="s">
        <v>807</v>
      </c>
      <c r="S1526" t="s">
        <v>295</v>
      </c>
      <c r="T1526" t="s">
        <v>301</v>
      </c>
    </row>
    <row r="1527" spans="1:20" x14ac:dyDescent="0.25">
      <c r="A1527">
        <v>9</v>
      </c>
      <c r="B1527">
        <v>181</v>
      </c>
      <c r="C1527" t="str">
        <f t="shared" si="206"/>
        <v>36</v>
      </c>
      <c r="D1527">
        <v>6412</v>
      </c>
      <c r="E1527" t="str">
        <f t="shared" si="212"/>
        <v>3D</v>
      </c>
      <c r="F1527" t="str">
        <f>"041"</f>
        <v>041</v>
      </c>
      <c r="G1527">
        <v>9</v>
      </c>
      <c r="H1527" t="str">
        <f t="shared" si="207"/>
        <v>91</v>
      </c>
      <c r="I1527" t="str">
        <f t="shared" si="209"/>
        <v>1</v>
      </c>
      <c r="J1527" t="str">
        <f>"41"</f>
        <v>41</v>
      </c>
      <c r="K1527">
        <v>20181214</v>
      </c>
      <c r="L1527" t="str">
        <f t="shared" si="210"/>
        <v>075109</v>
      </c>
      <c r="M1527" t="str">
        <f t="shared" si="211"/>
        <v>84370</v>
      </c>
      <c r="N1527" t="s">
        <v>395</v>
      </c>
      <c r="O1527">
        <v>177</v>
      </c>
      <c r="P1527">
        <v>20181213</v>
      </c>
      <c r="Q1527" t="s">
        <v>808</v>
      </c>
      <c r="R1527" t="s">
        <v>809</v>
      </c>
      <c r="S1527" t="s">
        <v>295</v>
      </c>
      <c r="T1527" t="s">
        <v>106</v>
      </c>
    </row>
    <row r="1528" spans="1:20" x14ac:dyDescent="0.25">
      <c r="A1528">
        <v>9</v>
      </c>
      <c r="B1528">
        <v>181</v>
      </c>
      <c r="C1528" t="str">
        <f t="shared" si="206"/>
        <v>36</v>
      </c>
      <c r="D1528">
        <v>6412</v>
      </c>
      <c r="E1528" t="str">
        <f>"3F"</f>
        <v>3F</v>
      </c>
      <c r="F1528" t="str">
        <f>"001"</f>
        <v>001</v>
      </c>
      <c r="G1528">
        <v>9</v>
      </c>
      <c r="H1528" t="str">
        <f t="shared" si="207"/>
        <v>91</v>
      </c>
      <c r="I1528" t="str">
        <f t="shared" si="209"/>
        <v>1</v>
      </c>
      <c r="J1528" t="str">
        <f>"39"</f>
        <v>39</v>
      </c>
      <c r="K1528">
        <v>20181214</v>
      </c>
      <c r="L1528" t="str">
        <f t="shared" si="210"/>
        <v>075109</v>
      </c>
      <c r="M1528" t="str">
        <f t="shared" si="211"/>
        <v>84370</v>
      </c>
      <c r="N1528" t="s">
        <v>395</v>
      </c>
      <c r="O1528">
        <v>273.14999999999998</v>
      </c>
      <c r="P1528">
        <v>20181213</v>
      </c>
      <c r="Q1528" t="s">
        <v>342</v>
      </c>
      <c r="R1528" t="s">
        <v>810</v>
      </c>
      <c r="S1528" t="s">
        <v>295</v>
      </c>
      <c r="T1528" t="s">
        <v>301</v>
      </c>
    </row>
    <row r="1529" spans="1:20" x14ac:dyDescent="0.25">
      <c r="A1529">
        <v>9</v>
      </c>
      <c r="B1529">
        <v>181</v>
      </c>
      <c r="C1529" t="str">
        <f t="shared" si="206"/>
        <v>36</v>
      </c>
      <c r="D1529">
        <v>6412</v>
      </c>
      <c r="E1529" t="str">
        <f>"3V"</f>
        <v>3V</v>
      </c>
      <c r="F1529" t="str">
        <f>"041"</f>
        <v>041</v>
      </c>
      <c r="G1529">
        <v>9</v>
      </c>
      <c r="H1529" t="str">
        <f t="shared" si="207"/>
        <v>91</v>
      </c>
      <c r="I1529" t="str">
        <f t="shared" si="209"/>
        <v>1</v>
      </c>
      <c r="J1529" t="str">
        <f>"41"</f>
        <v>41</v>
      </c>
      <c r="K1529">
        <v>20181214</v>
      </c>
      <c r="L1529" t="str">
        <f t="shared" si="210"/>
        <v>075109</v>
      </c>
      <c r="M1529" t="str">
        <f t="shared" si="211"/>
        <v>84370</v>
      </c>
      <c r="N1529" t="s">
        <v>395</v>
      </c>
      <c r="O1529">
        <v>233.44</v>
      </c>
      <c r="P1529">
        <v>20181213</v>
      </c>
      <c r="Q1529" t="s">
        <v>811</v>
      </c>
      <c r="R1529" t="s">
        <v>575</v>
      </c>
      <c r="S1529" t="s">
        <v>295</v>
      </c>
      <c r="T1529" t="s">
        <v>106</v>
      </c>
    </row>
    <row r="1530" spans="1:20" x14ac:dyDescent="0.25">
      <c r="A1530">
        <v>9</v>
      </c>
      <c r="B1530">
        <v>181</v>
      </c>
      <c r="C1530" t="str">
        <f t="shared" si="206"/>
        <v>36</v>
      </c>
      <c r="D1530">
        <v>6219</v>
      </c>
      <c r="E1530" t="str">
        <f>"3D"</f>
        <v>3D</v>
      </c>
      <c r="F1530" t="str">
        <f t="shared" ref="F1530:F1545" si="213">"001"</f>
        <v>001</v>
      </c>
      <c r="G1530">
        <v>9</v>
      </c>
      <c r="H1530" t="str">
        <f t="shared" si="207"/>
        <v>91</v>
      </c>
      <c r="I1530" t="str">
        <f>"0"</f>
        <v>0</v>
      </c>
      <c r="J1530" t="str">
        <f t="shared" ref="J1530:J1545" si="214">"39"</f>
        <v>39</v>
      </c>
      <c r="K1530">
        <v>20181213</v>
      </c>
      <c r="L1530" t="str">
        <f>"075111"</f>
        <v>075111</v>
      </c>
      <c r="M1530" t="str">
        <f>"84400"</f>
        <v>84400</v>
      </c>
      <c r="N1530" t="s">
        <v>764</v>
      </c>
      <c r="O1530">
        <v>-135</v>
      </c>
      <c r="P1530">
        <v>20181213</v>
      </c>
      <c r="Q1530" t="s">
        <v>700</v>
      </c>
      <c r="R1530" t="s">
        <v>812</v>
      </c>
      <c r="S1530" t="s">
        <v>295</v>
      </c>
      <c r="T1530" t="s">
        <v>301</v>
      </c>
    </row>
    <row r="1531" spans="1:20" x14ac:dyDescent="0.25">
      <c r="A1531">
        <v>9</v>
      </c>
      <c r="B1531">
        <v>181</v>
      </c>
      <c r="C1531" t="str">
        <f t="shared" si="206"/>
        <v>36</v>
      </c>
      <c r="D1531">
        <v>6219</v>
      </c>
      <c r="E1531" t="str">
        <f>"3D"</f>
        <v>3D</v>
      </c>
      <c r="F1531" t="str">
        <f t="shared" si="213"/>
        <v>001</v>
      </c>
      <c r="G1531">
        <v>9</v>
      </c>
      <c r="H1531" t="str">
        <f t="shared" si="207"/>
        <v>91</v>
      </c>
      <c r="I1531" t="str">
        <f>"0"</f>
        <v>0</v>
      </c>
      <c r="J1531" t="str">
        <f t="shared" si="214"/>
        <v>39</v>
      </c>
      <c r="K1531">
        <v>20181214</v>
      </c>
      <c r="L1531" t="str">
        <f>"075111"</f>
        <v>075111</v>
      </c>
      <c r="M1531" t="str">
        <f>"84400"</f>
        <v>84400</v>
      </c>
      <c r="N1531" t="s">
        <v>764</v>
      </c>
      <c r="O1531">
        <v>135</v>
      </c>
      <c r="P1531">
        <v>20181213</v>
      </c>
      <c r="Q1531" t="s">
        <v>700</v>
      </c>
      <c r="R1531" t="s">
        <v>784</v>
      </c>
      <c r="S1531" t="s">
        <v>295</v>
      </c>
      <c r="T1531" t="s">
        <v>301</v>
      </c>
    </row>
    <row r="1532" spans="1:20" x14ac:dyDescent="0.25">
      <c r="A1532">
        <v>9</v>
      </c>
      <c r="B1532">
        <v>181</v>
      </c>
      <c r="C1532" t="str">
        <f t="shared" si="206"/>
        <v>36</v>
      </c>
      <c r="D1532">
        <v>6219</v>
      </c>
      <c r="E1532" t="str">
        <f>"3D"</f>
        <v>3D</v>
      </c>
      <c r="F1532" t="str">
        <f t="shared" si="213"/>
        <v>001</v>
      </c>
      <c r="G1532">
        <v>9</v>
      </c>
      <c r="H1532" t="str">
        <f t="shared" si="207"/>
        <v>91</v>
      </c>
      <c r="I1532" t="str">
        <f>"0"</f>
        <v>0</v>
      </c>
      <c r="J1532" t="str">
        <f t="shared" si="214"/>
        <v>39</v>
      </c>
      <c r="K1532">
        <v>20181214</v>
      </c>
      <c r="L1532" t="str">
        <f>"075112"</f>
        <v>075112</v>
      </c>
      <c r="M1532" t="str">
        <f>"84400"</f>
        <v>84400</v>
      </c>
      <c r="N1532" t="s">
        <v>764</v>
      </c>
      <c r="O1532">
        <v>135</v>
      </c>
      <c r="P1532">
        <v>20181213</v>
      </c>
      <c r="Q1532" t="s">
        <v>700</v>
      </c>
      <c r="R1532" t="s">
        <v>784</v>
      </c>
      <c r="S1532" t="s">
        <v>295</v>
      </c>
      <c r="T1532" t="s">
        <v>301</v>
      </c>
    </row>
    <row r="1533" spans="1:20" x14ac:dyDescent="0.25">
      <c r="A1533">
        <v>9</v>
      </c>
      <c r="B1533">
        <v>181</v>
      </c>
      <c r="C1533" t="str">
        <f t="shared" si="206"/>
        <v>36</v>
      </c>
      <c r="D1533">
        <v>6412</v>
      </c>
      <c r="E1533" t="str">
        <f>"3K"</f>
        <v>3K</v>
      </c>
      <c r="F1533" t="str">
        <f t="shared" si="213"/>
        <v>001</v>
      </c>
      <c r="G1533">
        <v>9</v>
      </c>
      <c r="H1533" t="str">
        <f t="shared" si="207"/>
        <v>91</v>
      </c>
      <c r="I1533" t="str">
        <f>"2"</f>
        <v>2</v>
      </c>
      <c r="J1533" t="str">
        <f t="shared" si="214"/>
        <v>39</v>
      </c>
      <c r="K1533">
        <v>20190104</v>
      </c>
      <c r="L1533" t="str">
        <f>"075126"</f>
        <v>075126</v>
      </c>
      <c r="M1533" t="str">
        <f>"46233"</f>
        <v>46233</v>
      </c>
      <c r="N1533" t="s">
        <v>813</v>
      </c>
      <c r="O1533">
        <v>200</v>
      </c>
      <c r="P1533">
        <v>20190104</v>
      </c>
      <c r="Q1533" t="s">
        <v>776</v>
      </c>
      <c r="R1533" t="s">
        <v>814</v>
      </c>
      <c r="S1533" t="s">
        <v>295</v>
      </c>
      <c r="T1533" t="s">
        <v>301</v>
      </c>
    </row>
    <row r="1534" spans="1:20" x14ac:dyDescent="0.25">
      <c r="A1534">
        <v>9</v>
      </c>
      <c r="B1534">
        <v>181</v>
      </c>
      <c r="C1534" t="str">
        <f t="shared" si="206"/>
        <v>36</v>
      </c>
      <c r="D1534">
        <v>6399</v>
      </c>
      <c r="E1534" t="str">
        <f>"30"</f>
        <v>30</v>
      </c>
      <c r="F1534" t="str">
        <f t="shared" si="213"/>
        <v>001</v>
      </c>
      <c r="G1534">
        <v>9</v>
      </c>
      <c r="H1534" t="str">
        <f t="shared" si="207"/>
        <v>91</v>
      </c>
      <c r="I1534" t="str">
        <f t="shared" ref="I1534:I1541" si="215">"0"</f>
        <v>0</v>
      </c>
      <c r="J1534" t="str">
        <f t="shared" si="214"/>
        <v>39</v>
      </c>
      <c r="K1534">
        <v>20190104</v>
      </c>
      <c r="L1534" t="str">
        <f t="shared" ref="L1534:L1541" si="216">"075131"</f>
        <v>075131</v>
      </c>
      <c r="M1534" t="str">
        <f t="shared" ref="M1534:M1541" si="217">"58207"</f>
        <v>58207</v>
      </c>
      <c r="N1534" t="s">
        <v>292</v>
      </c>
      <c r="O1534">
        <v>34.82</v>
      </c>
      <c r="P1534">
        <v>20190104</v>
      </c>
      <c r="Q1534" t="s">
        <v>640</v>
      </c>
      <c r="R1534" t="s">
        <v>815</v>
      </c>
      <c r="S1534" t="s">
        <v>295</v>
      </c>
      <c r="T1534" t="s">
        <v>301</v>
      </c>
    </row>
    <row r="1535" spans="1:20" x14ac:dyDescent="0.25">
      <c r="A1535">
        <v>9</v>
      </c>
      <c r="B1535">
        <v>181</v>
      </c>
      <c r="C1535" t="str">
        <f t="shared" si="206"/>
        <v>36</v>
      </c>
      <c r="D1535">
        <v>6399</v>
      </c>
      <c r="E1535" t="str">
        <f>"38"</f>
        <v>38</v>
      </c>
      <c r="F1535" t="str">
        <f t="shared" si="213"/>
        <v>001</v>
      </c>
      <c r="G1535">
        <v>9</v>
      </c>
      <c r="H1535" t="str">
        <f t="shared" si="207"/>
        <v>91</v>
      </c>
      <c r="I1535" t="str">
        <f t="shared" si="215"/>
        <v>0</v>
      </c>
      <c r="J1535" t="str">
        <f t="shared" si="214"/>
        <v>39</v>
      </c>
      <c r="K1535">
        <v>20190104</v>
      </c>
      <c r="L1535" t="str">
        <f t="shared" si="216"/>
        <v>075131</v>
      </c>
      <c r="M1535" t="str">
        <f t="shared" si="217"/>
        <v>58207</v>
      </c>
      <c r="N1535" t="s">
        <v>292</v>
      </c>
      <c r="O1535">
        <v>83.9</v>
      </c>
      <c r="P1535">
        <v>20190104</v>
      </c>
      <c r="Q1535" t="s">
        <v>462</v>
      </c>
      <c r="R1535" t="s">
        <v>816</v>
      </c>
      <c r="S1535" t="s">
        <v>295</v>
      </c>
      <c r="T1535" t="s">
        <v>301</v>
      </c>
    </row>
    <row r="1536" spans="1:20" x14ac:dyDescent="0.25">
      <c r="A1536">
        <v>9</v>
      </c>
      <c r="B1536">
        <v>181</v>
      </c>
      <c r="C1536" t="str">
        <f t="shared" si="206"/>
        <v>36</v>
      </c>
      <c r="D1536">
        <v>6399</v>
      </c>
      <c r="E1536" t="str">
        <f>"3B"</f>
        <v>3B</v>
      </c>
      <c r="F1536" t="str">
        <f t="shared" si="213"/>
        <v>001</v>
      </c>
      <c r="G1536">
        <v>9</v>
      </c>
      <c r="H1536" t="str">
        <f t="shared" si="207"/>
        <v>91</v>
      </c>
      <c r="I1536" t="str">
        <f t="shared" si="215"/>
        <v>0</v>
      </c>
      <c r="J1536" t="str">
        <f t="shared" si="214"/>
        <v>39</v>
      </c>
      <c r="K1536">
        <v>20190104</v>
      </c>
      <c r="L1536" t="str">
        <f t="shared" si="216"/>
        <v>075131</v>
      </c>
      <c r="M1536" t="str">
        <f t="shared" si="217"/>
        <v>58207</v>
      </c>
      <c r="N1536" t="s">
        <v>292</v>
      </c>
      <c r="O1536">
        <v>95.52</v>
      </c>
      <c r="P1536">
        <v>20190104</v>
      </c>
      <c r="Q1536" t="s">
        <v>475</v>
      </c>
      <c r="R1536" t="s">
        <v>817</v>
      </c>
      <c r="S1536" t="s">
        <v>295</v>
      </c>
      <c r="T1536" t="s">
        <v>301</v>
      </c>
    </row>
    <row r="1537" spans="1:20" x14ac:dyDescent="0.25">
      <c r="A1537">
        <v>9</v>
      </c>
      <c r="B1537">
        <v>181</v>
      </c>
      <c r="C1537" t="str">
        <f t="shared" si="206"/>
        <v>36</v>
      </c>
      <c r="D1537">
        <v>6399</v>
      </c>
      <c r="E1537" t="str">
        <f>"3D"</f>
        <v>3D</v>
      </c>
      <c r="F1537" t="str">
        <f t="shared" si="213"/>
        <v>001</v>
      </c>
      <c r="G1537">
        <v>9</v>
      </c>
      <c r="H1537" t="str">
        <f t="shared" si="207"/>
        <v>91</v>
      </c>
      <c r="I1537" t="str">
        <f t="shared" si="215"/>
        <v>0</v>
      </c>
      <c r="J1537" t="str">
        <f t="shared" si="214"/>
        <v>39</v>
      </c>
      <c r="K1537">
        <v>20190104</v>
      </c>
      <c r="L1537" t="str">
        <f t="shared" si="216"/>
        <v>075131</v>
      </c>
      <c r="M1537" t="str">
        <f t="shared" si="217"/>
        <v>58207</v>
      </c>
      <c r="N1537" t="s">
        <v>292</v>
      </c>
      <c r="O1537">
        <v>124.53</v>
      </c>
      <c r="P1537">
        <v>20190104</v>
      </c>
      <c r="Q1537" t="s">
        <v>818</v>
      </c>
      <c r="R1537" t="s">
        <v>819</v>
      </c>
      <c r="S1537" t="s">
        <v>295</v>
      </c>
      <c r="T1537" t="s">
        <v>301</v>
      </c>
    </row>
    <row r="1538" spans="1:20" x14ac:dyDescent="0.25">
      <c r="A1538">
        <v>9</v>
      </c>
      <c r="B1538">
        <v>181</v>
      </c>
      <c r="C1538" t="str">
        <f t="shared" si="206"/>
        <v>36</v>
      </c>
      <c r="D1538">
        <v>6399</v>
      </c>
      <c r="E1538" t="str">
        <f>"3F"</f>
        <v>3F</v>
      </c>
      <c r="F1538" t="str">
        <f t="shared" si="213"/>
        <v>001</v>
      </c>
      <c r="G1538">
        <v>9</v>
      </c>
      <c r="H1538" t="str">
        <f t="shared" si="207"/>
        <v>91</v>
      </c>
      <c r="I1538" t="str">
        <f t="shared" si="215"/>
        <v>0</v>
      </c>
      <c r="J1538" t="str">
        <f t="shared" si="214"/>
        <v>39</v>
      </c>
      <c r="K1538">
        <v>20190104</v>
      </c>
      <c r="L1538" t="str">
        <f t="shared" si="216"/>
        <v>075131</v>
      </c>
      <c r="M1538" t="str">
        <f t="shared" si="217"/>
        <v>58207</v>
      </c>
      <c r="N1538" t="s">
        <v>292</v>
      </c>
      <c r="O1538">
        <v>59.7</v>
      </c>
      <c r="P1538">
        <v>20190104</v>
      </c>
      <c r="Q1538" t="s">
        <v>466</v>
      </c>
      <c r="R1538" t="s">
        <v>820</v>
      </c>
      <c r="S1538" t="s">
        <v>295</v>
      </c>
      <c r="T1538" t="s">
        <v>301</v>
      </c>
    </row>
    <row r="1539" spans="1:20" x14ac:dyDescent="0.25">
      <c r="A1539">
        <v>9</v>
      </c>
      <c r="B1539">
        <v>181</v>
      </c>
      <c r="C1539" t="str">
        <f t="shared" si="206"/>
        <v>36</v>
      </c>
      <c r="D1539">
        <v>6399</v>
      </c>
      <c r="E1539" t="str">
        <f>"3F"</f>
        <v>3F</v>
      </c>
      <c r="F1539" t="str">
        <f t="shared" si="213"/>
        <v>001</v>
      </c>
      <c r="G1539">
        <v>9</v>
      </c>
      <c r="H1539" t="str">
        <f t="shared" si="207"/>
        <v>91</v>
      </c>
      <c r="I1539" t="str">
        <f t="shared" si="215"/>
        <v>0</v>
      </c>
      <c r="J1539" t="str">
        <f t="shared" si="214"/>
        <v>39</v>
      </c>
      <c r="K1539">
        <v>20190104</v>
      </c>
      <c r="L1539" t="str">
        <f t="shared" si="216"/>
        <v>075131</v>
      </c>
      <c r="M1539" t="str">
        <f t="shared" si="217"/>
        <v>58207</v>
      </c>
      <c r="N1539" t="s">
        <v>292</v>
      </c>
      <c r="O1539">
        <v>58.63</v>
      </c>
      <c r="P1539">
        <v>20190104</v>
      </c>
      <c r="Q1539" t="s">
        <v>466</v>
      </c>
      <c r="R1539" t="s">
        <v>820</v>
      </c>
      <c r="S1539" t="s">
        <v>295</v>
      </c>
      <c r="T1539" t="s">
        <v>301</v>
      </c>
    </row>
    <row r="1540" spans="1:20" x14ac:dyDescent="0.25">
      <c r="A1540">
        <v>9</v>
      </c>
      <c r="B1540">
        <v>181</v>
      </c>
      <c r="C1540" t="str">
        <f t="shared" si="206"/>
        <v>36</v>
      </c>
      <c r="D1540">
        <v>6399</v>
      </c>
      <c r="E1540" t="str">
        <f>"3F"</f>
        <v>3F</v>
      </c>
      <c r="F1540" t="str">
        <f t="shared" si="213"/>
        <v>001</v>
      </c>
      <c r="G1540">
        <v>9</v>
      </c>
      <c r="H1540" t="str">
        <f t="shared" si="207"/>
        <v>91</v>
      </c>
      <c r="I1540" t="str">
        <f t="shared" si="215"/>
        <v>0</v>
      </c>
      <c r="J1540" t="str">
        <f t="shared" si="214"/>
        <v>39</v>
      </c>
      <c r="K1540">
        <v>20190104</v>
      </c>
      <c r="L1540" t="str">
        <f t="shared" si="216"/>
        <v>075131</v>
      </c>
      <c r="M1540" t="str">
        <f t="shared" si="217"/>
        <v>58207</v>
      </c>
      <c r="N1540" t="s">
        <v>292</v>
      </c>
      <c r="O1540">
        <v>18.04</v>
      </c>
      <c r="P1540">
        <v>20190104</v>
      </c>
      <c r="Q1540" t="s">
        <v>466</v>
      </c>
      <c r="R1540" t="s">
        <v>641</v>
      </c>
      <c r="S1540" t="s">
        <v>295</v>
      </c>
      <c r="T1540" t="s">
        <v>301</v>
      </c>
    </row>
    <row r="1541" spans="1:20" x14ac:dyDescent="0.25">
      <c r="A1541">
        <v>9</v>
      </c>
      <c r="B1541">
        <v>181</v>
      </c>
      <c r="C1541" t="str">
        <f t="shared" si="206"/>
        <v>36</v>
      </c>
      <c r="D1541">
        <v>6399</v>
      </c>
      <c r="E1541" t="str">
        <f>"3Y"</f>
        <v>3Y</v>
      </c>
      <c r="F1541" t="str">
        <f t="shared" si="213"/>
        <v>001</v>
      </c>
      <c r="G1541">
        <v>9</v>
      </c>
      <c r="H1541" t="str">
        <f t="shared" si="207"/>
        <v>91</v>
      </c>
      <c r="I1541" t="str">
        <f t="shared" si="215"/>
        <v>0</v>
      </c>
      <c r="J1541" t="str">
        <f t="shared" si="214"/>
        <v>39</v>
      </c>
      <c r="K1541">
        <v>20190104</v>
      </c>
      <c r="L1541" t="str">
        <f t="shared" si="216"/>
        <v>075131</v>
      </c>
      <c r="M1541" t="str">
        <f t="shared" si="217"/>
        <v>58207</v>
      </c>
      <c r="N1541" t="s">
        <v>292</v>
      </c>
      <c r="O1541">
        <v>7.96</v>
      </c>
      <c r="P1541">
        <v>20190104</v>
      </c>
      <c r="Q1541" t="s">
        <v>821</v>
      </c>
      <c r="R1541" t="s">
        <v>822</v>
      </c>
      <c r="S1541" t="s">
        <v>295</v>
      </c>
      <c r="T1541" t="s">
        <v>301</v>
      </c>
    </row>
    <row r="1542" spans="1:20" x14ac:dyDescent="0.25">
      <c r="A1542">
        <v>9</v>
      </c>
      <c r="B1542">
        <v>181</v>
      </c>
      <c r="C1542" t="str">
        <f t="shared" si="206"/>
        <v>36</v>
      </c>
      <c r="D1542">
        <v>6412</v>
      </c>
      <c r="E1542" t="str">
        <f>"3M"</f>
        <v>3M</v>
      </c>
      <c r="F1542" t="str">
        <f t="shared" si="213"/>
        <v>001</v>
      </c>
      <c r="G1542">
        <v>9</v>
      </c>
      <c r="H1542" t="str">
        <f t="shared" si="207"/>
        <v>91</v>
      </c>
      <c r="I1542" t="str">
        <f>"2"</f>
        <v>2</v>
      </c>
      <c r="J1542" t="str">
        <f t="shared" si="214"/>
        <v>39</v>
      </c>
      <c r="K1542">
        <v>20190104</v>
      </c>
      <c r="L1542" t="str">
        <f>"075138"</f>
        <v>075138</v>
      </c>
      <c r="M1542" t="str">
        <f>"69038"</f>
        <v>69038</v>
      </c>
      <c r="N1542" t="s">
        <v>823</v>
      </c>
      <c r="O1542">
        <v>500</v>
      </c>
      <c r="P1542">
        <v>20190104</v>
      </c>
      <c r="Q1542" t="s">
        <v>756</v>
      </c>
      <c r="R1542" t="s">
        <v>824</v>
      </c>
      <c r="S1542" t="s">
        <v>295</v>
      </c>
      <c r="T1542" t="s">
        <v>301</v>
      </c>
    </row>
    <row r="1543" spans="1:20" x14ac:dyDescent="0.25">
      <c r="A1543">
        <v>9</v>
      </c>
      <c r="B1543">
        <v>181</v>
      </c>
      <c r="C1543" t="str">
        <f t="shared" si="206"/>
        <v>36</v>
      </c>
      <c r="D1543">
        <v>6399</v>
      </c>
      <c r="E1543" t="str">
        <f>"30"</f>
        <v>30</v>
      </c>
      <c r="F1543" t="str">
        <f t="shared" si="213"/>
        <v>001</v>
      </c>
      <c r="G1543">
        <v>9</v>
      </c>
      <c r="H1543" t="str">
        <f t="shared" si="207"/>
        <v>91</v>
      </c>
      <c r="I1543" t="str">
        <f t="shared" ref="I1543:I1556" si="218">"0"</f>
        <v>0</v>
      </c>
      <c r="J1543" t="str">
        <f t="shared" si="214"/>
        <v>39</v>
      </c>
      <c r="K1543">
        <v>20190111</v>
      </c>
      <c r="L1543" t="str">
        <f>"075151"</f>
        <v>075151</v>
      </c>
      <c r="M1543" t="str">
        <f>"04410"</f>
        <v>04410</v>
      </c>
      <c r="N1543" t="s">
        <v>410</v>
      </c>
      <c r="O1543">
        <v>22.99</v>
      </c>
      <c r="P1543">
        <v>20190109</v>
      </c>
      <c r="Q1543" t="s">
        <v>640</v>
      </c>
      <c r="R1543" t="s">
        <v>825</v>
      </c>
      <c r="S1543" t="s">
        <v>295</v>
      </c>
      <c r="T1543" t="s">
        <v>301</v>
      </c>
    </row>
    <row r="1544" spans="1:20" x14ac:dyDescent="0.25">
      <c r="A1544">
        <v>9</v>
      </c>
      <c r="B1544">
        <v>181</v>
      </c>
      <c r="C1544" t="str">
        <f t="shared" si="206"/>
        <v>36</v>
      </c>
      <c r="D1544">
        <v>6399</v>
      </c>
      <c r="E1544" t="str">
        <f>"3A"</f>
        <v>3A</v>
      </c>
      <c r="F1544" t="str">
        <f t="shared" si="213"/>
        <v>001</v>
      </c>
      <c r="G1544">
        <v>9</v>
      </c>
      <c r="H1544" t="str">
        <f t="shared" si="207"/>
        <v>91</v>
      </c>
      <c r="I1544" t="str">
        <f t="shared" si="218"/>
        <v>0</v>
      </c>
      <c r="J1544" t="str">
        <f t="shared" si="214"/>
        <v>39</v>
      </c>
      <c r="K1544">
        <v>20190111</v>
      </c>
      <c r="L1544" t="str">
        <f>"075158"</f>
        <v>075158</v>
      </c>
      <c r="M1544" t="str">
        <f>"10020"</f>
        <v>10020</v>
      </c>
      <c r="N1544" t="s">
        <v>594</v>
      </c>
      <c r="O1544">
        <v>718.2</v>
      </c>
      <c r="P1544">
        <v>20190109</v>
      </c>
      <c r="Q1544" t="s">
        <v>595</v>
      </c>
      <c r="R1544" t="s">
        <v>826</v>
      </c>
      <c r="S1544" t="s">
        <v>295</v>
      </c>
      <c r="T1544" t="s">
        <v>301</v>
      </c>
    </row>
    <row r="1545" spans="1:20" x14ac:dyDescent="0.25">
      <c r="A1545">
        <v>9</v>
      </c>
      <c r="B1545">
        <v>181</v>
      </c>
      <c r="C1545" t="str">
        <f t="shared" si="206"/>
        <v>36</v>
      </c>
      <c r="D1545">
        <v>6399</v>
      </c>
      <c r="E1545" t="str">
        <f>"3J"</f>
        <v>3J</v>
      </c>
      <c r="F1545" t="str">
        <f t="shared" si="213"/>
        <v>001</v>
      </c>
      <c r="G1545">
        <v>9</v>
      </c>
      <c r="H1545" t="str">
        <f t="shared" si="207"/>
        <v>91</v>
      </c>
      <c r="I1545" t="str">
        <f t="shared" si="218"/>
        <v>0</v>
      </c>
      <c r="J1545" t="str">
        <f t="shared" si="214"/>
        <v>39</v>
      </c>
      <c r="K1545">
        <v>20190111</v>
      </c>
      <c r="L1545" t="str">
        <f>"075158"</f>
        <v>075158</v>
      </c>
      <c r="M1545" t="str">
        <f>"10020"</f>
        <v>10020</v>
      </c>
      <c r="N1545" t="s">
        <v>594</v>
      </c>
      <c r="O1545">
        <v>778</v>
      </c>
      <c r="P1545">
        <v>20190109</v>
      </c>
      <c r="Q1545" t="s">
        <v>827</v>
      </c>
      <c r="R1545" t="s">
        <v>828</v>
      </c>
      <c r="S1545" t="s">
        <v>295</v>
      </c>
      <c r="T1545" t="s">
        <v>301</v>
      </c>
    </row>
    <row r="1546" spans="1:20" x14ac:dyDescent="0.25">
      <c r="A1546">
        <v>9</v>
      </c>
      <c r="B1546">
        <v>181</v>
      </c>
      <c r="C1546" t="str">
        <f t="shared" si="206"/>
        <v>36</v>
      </c>
      <c r="D1546">
        <v>6399</v>
      </c>
      <c r="E1546" t="str">
        <f>"3B"</f>
        <v>3B</v>
      </c>
      <c r="F1546" t="str">
        <f>"041"</f>
        <v>041</v>
      </c>
      <c r="G1546">
        <v>9</v>
      </c>
      <c r="H1546" t="str">
        <f t="shared" si="207"/>
        <v>91</v>
      </c>
      <c r="I1546" t="str">
        <f t="shared" si="218"/>
        <v>0</v>
      </c>
      <c r="J1546" t="str">
        <f>"41"</f>
        <v>41</v>
      </c>
      <c r="K1546">
        <v>20190111</v>
      </c>
      <c r="L1546" t="str">
        <f t="shared" ref="L1546:L1556" si="219">"075164"</f>
        <v>075164</v>
      </c>
      <c r="M1546" t="str">
        <f t="shared" ref="M1546:M1556" si="220">"08788"</f>
        <v>08788</v>
      </c>
      <c r="N1546" t="s">
        <v>473</v>
      </c>
      <c r="O1546" s="1">
        <v>1292.7</v>
      </c>
      <c r="P1546">
        <v>20190109</v>
      </c>
      <c r="Q1546" t="s">
        <v>829</v>
      </c>
      <c r="R1546" t="s">
        <v>830</v>
      </c>
      <c r="S1546" t="s">
        <v>295</v>
      </c>
      <c r="T1546" t="s">
        <v>106</v>
      </c>
    </row>
    <row r="1547" spans="1:20" x14ac:dyDescent="0.25">
      <c r="A1547">
        <v>9</v>
      </c>
      <c r="B1547">
        <v>181</v>
      </c>
      <c r="C1547" t="str">
        <f t="shared" si="206"/>
        <v>36</v>
      </c>
      <c r="D1547">
        <v>6399</v>
      </c>
      <c r="E1547" t="str">
        <f>"3C"</f>
        <v>3C</v>
      </c>
      <c r="F1547" t="str">
        <f>"001"</f>
        <v>001</v>
      </c>
      <c r="G1547">
        <v>9</v>
      </c>
      <c r="H1547" t="str">
        <f t="shared" si="207"/>
        <v>91</v>
      </c>
      <c r="I1547" t="str">
        <f t="shared" si="218"/>
        <v>0</v>
      </c>
      <c r="J1547" t="str">
        <f>"39"</f>
        <v>39</v>
      </c>
      <c r="K1547">
        <v>20190111</v>
      </c>
      <c r="L1547" t="str">
        <f t="shared" si="219"/>
        <v>075164</v>
      </c>
      <c r="M1547" t="str">
        <f t="shared" si="220"/>
        <v>08788</v>
      </c>
      <c r="N1547" t="s">
        <v>473</v>
      </c>
      <c r="O1547">
        <v>979.72</v>
      </c>
      <c r="P1547">
        <v>20190109</v>
      </c>
      <c r="Q1547" t="s">
        <v>831</v>
      </c>
      <c r="R1547" t="s">
        <v>832</v>
      </c>
      <c r="S1547" t="s">
        <v>295</v>
      </c>
      <c r="T1547" t="s">
        <v>301</v>
      </c>
    </row>
    <row r="1548" spans="1:20" x14ac:dyDescent="0.25">
      <c r="A1548">
        <v>9</v>
      </c>
      <c r="B1548">
        <v>181</v>
      </c>
      <c r="C1548" t="str">
        <f t="shared" si="206"/>
        <v>36</v>
      </c>
      <c r="D1548">
        <v>6399</v>
      </c>
      <c r="E1548" t="str">
        <f>"3C"</f>
        <v>3C</v>
      </c>
      <c r="F1548" t="str">
        <f>"041"</f>
        <v>041</v>
      </c>
      <c r="G1548">
        <v>9</v>
      </c>
      <c r="H1548" t="str">
        <f t="shared" si="207"/>
        <v>91</v>
      </c>
      <c r="I1548" t="str">
        <f t="shared" si="218"/>
        <v>0</v>
      </c>
      <c r="J1548" t="str">
        <f>"41"</f>
        <v>41</v>
      </c>
      <c r="K1548">
        <v>20190111</v>
      </c>
      <c r="L1548" t="str">
        <f t="shared" si="219"/>
        <v>075164</v>
      </c>
      <c r="M1548" t="str">
        <f t="shared" si="220"/>
        <v>08788</v>
      </c>
      <c r="N1548" t="s">
        <v>473</v>
      </c>
      <c r="O1548">
        <v>399.5</v>
      </c>
      <c r="P1548">
        <v>20190109</v>
      </c>
      <c r="Q1548" t="s">
        <v>597</v>
      </c>
      <c r="R1548" t="s">
        <v>833</v>
      </c>
      <c r="S1548" t="s">
        <v>295</v>
      </c>
      <c r="T1548" t="s">
        <v>106</v>
      </c>
    </row>
    <row r="1549" spans="1:20" x14ac:dyDescent="0.25">
      <c r="A1549">
        <v>9</v>
      </c>
      <c r="B1549">
        <v>181</v>
      </c>
      <c r="C1549" t="str">
        <f t="shared" si="206"/>
        <v>36</v>
      </c>
      <c r="D1549">
        <v>6399</v>
      </c>
      <c r="E1549" t="str">
        <f>"3D"</f>
        <v>3D</v>
      </c>
      <c r="F1549" t="str">
        <f>"001"</f>
        <v>001</v>
      </c>
      <c r="G1549">
        <v>9</v>
      </c>
      <c r="H1549" t="str">
        <f t="shared" si="207"/>
        <v>91</v>
      </c>
      <c r="I1549" t="str">
        <f t="shared" si="218"/>
        <v>0</v>
      </c>
      <c r="J1549" t="str">
        <f>"39"</f>
        <v>39</v>
      </c>
      <c r="K1549">
        <v>20190111</v>
      </c>
      <c r="L1549" t="str">
        <f t="shared" si="219"/>
        <v>075164</v>
      </c>
      <c r="M1549" t="str">
        <f t="shared" si="220"/>
        <v>08788</v>
      </c>
      <c r="N1549" t="s">
        <v>473</v>
      </c>
      <c r="O1549">
        <v>991.64</v>
      </c>
      <c r="P1549">
        <v>20190109</v>
      </c>
      <c r="Q1549" t="s">
        <v>818</v>
      </c>
      <c r="R1549" t="s">
        <v>834</v>
      </c>
      <c r="S1549" t="s">
        <v>295</v>
      </c>
      <c r="T1549" t="s">
        <v>301</v>
      </c>
    </row>
    <row r="1550" spans="1:20" x14ac:dyDescent="0.25">
      <c r="A1550">
        <v>9</v>
      </c>
      <c r="B1550">
        <v>181</v>
      </c>
      <c r="C1550" t="str">
        <f t="shared" si="206"/>
        <v>36</v>
      </c>
      <c r="D1550">
        <v>6399</v>
      </c>
      <c r="E1550" t="str">
        <f>"3D"</f>
        <v>3D</v>
      </c>
      <c r="F1550" t="str">
        <f>"041"</f>
        <v>041</v>
      </c>
      <c r="G1550">
        <v>9</v>
      </c>
      <c r="H1550" t="str">
        <f t="shared" si="207"/>
        <v>91</v>
      </c>
      <c r="I1550" t="str">
        <f t="shared" si="218"/>
        <v>0</v>
      </c>
      <c r="J1550" t="str">
        <f>"41"</f>
        <v>41</v>
      </c>
      <c r="K1550">
        <v>20190111</v>
      </c>
      <c r="L1550" t="str">
        <f t="shared" si="219"/>
        <v>075164</v>
      </c>
      <c r="M1550" t="str">
        <f t="shared" si="220"/>
        <v>08788</v>
      </c>
      <c r="N1550" t="s">
        <v>473</v>
      </c>
      <c r="O1550" s="1">
        <v>1163.33</v>
      </c>
      <c r="P1550">
        <v>20190109</v>
      </c>
      <c r="Q1550" t="s">
        <v>599</v>
      </c>
      <c r="R1550" t="s">
        <v>835</v>
      </c>
      <c r="S1550" t="s">
        <v>295</v>
      </c>
      <c r="T1550" t="s">
        <v>106</v>
      </c>
    </row>
    <row r="1551" spans="1:20" x14ac:dyDescent="0.25">
      <c r="A1551">
        <v>9</v>
      </c>
      <c r="B1551">
        <v>181</v>
      </c>
      <c r="C1551" t="str">
        <f t="shared" si="206"/>
        <v>36</v>
      </c>
      <c r="D1551">
        <v>6399</v>
      </c>
      <c r="E1551" t="str">
        <f>"3F"</f>
        <v>3F</v>
      </c>
      <c r="F1551" t="str">
        <f t="shared" ref="F1551:F1558" si="221">"001"</f>
        <v>001</v>
      </c>
      <c r="G1551">
        <v>9</v>
      </c>
      <c r="H1551" t="str">
        <f t="shared" si="207"/>
        <v>91</v>
      </c>
      <c r="I1551" t="str">
        <f t="shared" si="218"/>
        <v>0</v>
      </c>
      <c r="J1551" t="str">
        <f t="shared" ref="J1551:J1558" si="222">"39"</f>
        <v>39</v>
      </c>
      <c r="K1551">
        <v>20190111</v>
      </c>
      <c r="L1551" t="str">
        <f t="shared" si="219"/>
        <v>075164</v>
      </c>
      <c r="M1551" t="str">
        <f t="shared" si="220"/>
        <v>08788</v>
      </c>
      <c r="N1551" t="s">
        <v>473</v>
      </c>
      <c r="O1551">
        <v>417.94</v>
      </c>
      <c r="P1551">
        <v>20190109</v>
      </c>
      <c r="Q1551" t="s">
        <v>466</v>
      </c>
      <c r="R1551" t="s">
        <v>836</v>
      </c>
      <c r="S1551" t="s">
        <v>295</v>
      </c>
      <c r="T1551" t="s">
        <v>301</v>
      </c>
    </row>
    <row r="1552" spans="1:20" x14ac:dyDescent="0.25">
      <c r="A1552">
        <v>9</v>
      </c>
      <c r="B1552">
        <v>181</v>
      </c>
      <c r="C1552" t="str">
        <f t="shared" si="206"/>
        <v>36</v>
      </c>
      <c r="D1552">
        <v>6399</v>
      </c>
      <c r="E1552" t="str">
        <f>"3J"</f>
        <v>3J</v>
      </c>
      <c r="F1552" t="str">
        <f t="shared" si="221"/>
        <v>001</v>
      </c>
      <c r="G1552">
        <v>9</v>
      </c>
      <c r="H1552" t="str">
        <f t="shared" si="207"/>
        <v>91</v>
      </c>
      <c r="I1552" t="str">
        <f t="shared" si="218"/>
        <v>0</v>
      </c>
      <c r="J1552" t="str">
        <f t="shared" si="222"/>
        <v>39</v>
      </c>
      <c r="K1552">
        <v>20190111</v>
      </c>
      <c r="L1552" t="str">
        <f t="shared" si="219"/>
        <v>075164</v>
      </c>
      <c r="M1552" t="str">
        <f t="shared" si="220"/>
        <v>08788</v>
      </c>
      <c r="N1552" t="s">
        <v>473</v>
      </c>
      <c r="O1552" s="1">
        <v>2202.9</v>
      </c>
      <c r="P1552">
        <v>20190109</v>
      </c>
      <c r="Q1552" t="s">
        <v>827</v>
      </c>
      <c r="R1552" t="s">
        <v>837</v>
      </c>
      <c r="S1552" t="s">
        <v>295</v>
      </c>
      <c r="T1552" t="s">
        <v>301</v>
      </c>
    </row>
    <row r="1553" spans="1:20" x14ac:dyDescent="0.25">
      <c r="A1553">
        <v>9</v>
      </c>
      <c r="B1553">
        <v>181</v>
      </c>
      <c r="C1553" t="str">
        <f t="shared" si="206"/>
        <v>36</v>
      </c>
      <c r="D1553">
        <v>6399</v>
      </c>
      <c r="E1553" t="str">
        <f>"3J"</f>
        <v>3J</v>
      </c>
      <c r="F1553" t="str">
        <f t="shared" si="221"/>
        <v>001</v>
      </c>
      <c r="G1553">
        <v>9</v>
      </c>
      <c r="H1553" t="str">
        <f t="shared" si="207"/>
        <v>91</v>
      </c>
      <c r="I1553" t="str">
        <f t="shared" si="218"/>
        <v>0</v>
      </c>
      <c r="J1553" t="str">
        <f t="shared" si="222"/>
        <v>39</v>
      </c>
      <c r="K1553">
        <v>20190111</v>
      </c>
      <c r="L1553" t="str">
        <f t="shared" si="219"/>
        <v>075164</v>
      </c>
      <c r="M1553" t="str">
        <f t="shared" si="220"/>
        <v>08788</v>
      </c>
      <c r="N1553" t="s">
        <v>473</v>
      </c>
      <c r="O1553">
        <v>277.13</v>
      </c>
      <c r="P1553">
        <v>20190109</v>
      </c>
      <c r="Q1553" t="s">
        <v>827</v>
      </c>
      <c r="R1553" t="s">
        <v>838</v>
      </c>
      <c r="S1553" t="s">
        <v>295</v>
      </c>
      <c r="T1553" t="s">
        <v>301</v>
      </c>
    </row>
    <row r="1554" spans="1:20" x14ac:dyDescent="0.25">
      <c r="A1554">
        <v>9</v>
      </c>
      <c r="B1554">
        <v>181</v>
      </c>
      <c r="C1554" t="str">
        <f t="shared" si="206"/>
        <v>36</v>
      </c>
      <c r="D1554">
        <v>6399</v>
      </c>
      <c r="E1554" t="str">
        <f>"3P"</f>
        <v>3P</v>
      </c>
      <c r="F1554" t="str">
        <f t="shared" si="221"/>
        <v>001</v>
      </c>
      <c r="G1554">
        <v>9</v>
      </c>
      <c r="H1554" t="str">
        <f t="shared" si="207"/>
        <v>91</v>
      </c>
      <c r="I1554" t="str">
        <f t="shared" si="218"/>
        <v>0</v>
      </c>
      <c r="J1554" t="str">
        <f t="shared" si="222"/>
        <v>39</v>
      </c>
      <c r="K1554">
        <v>20190111</v>
      </c>
      <c r="L1554" t="str">
        <f t="shared" si="219"/>
        <v>075164</v>
      </c>
      <c r="M1554" t="str">
        <f t="shared" si="220"/>
        <v>08788</v>
      </c>
      <c r="N1554" t="s">
        <v>473</v>
      </c>
      <c r="O1554">
        <v>314.69</v>
      </c>
      <c r="P1554">
        <v>20190109</v>
      </c>
      <c r="Q1554" t="s">
        <v>839</v>
      </c>
      <c r="R1554" t="s">
        <v>840</v>
      </c>
      <c r="S1554" t="s">
        <v>295</v>
      </c>
      <c r="T1554" t="s">
        <v>301</v>
      </c>
    </row>
    <row r="1555" spans="1:20" x14ac:dyDescent="0.25">
      <c r="A1555">
        <v>9</v>
      </c>
      <c r="B1555">
        <v>181</v>
      </c>
      <c r="C1555" t="str">
        <f t="shared" si="206"/>
        <v>36</v>
      </c>
      <c r="D1555">
        <v>6399</v>
      </c>
      <c r="E1555" t="str">
        <f>"3W"</f>
        <v>3W</v>
      </c>
      <c r="F1555" t="str">
        <f t="shared" si="221"/>
        <v>001</v>
      </c>
      <c r="G1555">
        <v>9</v>
      </c>
      <c r="H1555" t="str">
        <f t="shared" si="207"/>
        <v>91</v>
      </c>
      <c r="I1555" t="str">
        <f t="shared" si="218"/>
        <v>0</v>
      </c>
      <c r="J1555" t="str">
        <f t="shared" si="222"/>
        <v>39</v>
      </c>
      <c r="K1555">
        <v>20190111</v>
      </c>
      <c r="L1555" t="str">
        <f t="shared" si="219"/>
        <v>075164</v>
      </c>
      <c r="M1555" t="str">
        <f t="shared" si="220"/>
        <v>08788</v>
      </c>
      <c r="N1555" t="s">
        <v>473</v>
      </c>
      <c r="O1555">
        <v>320</v>
      </c>
      <c r="P1555">
        <v>20190109</v>
      </c>
      <c r="Q1555" t="s">
        <v>841</v>
      </c>
      <c r="R1555" t="s">
        <v>842</v>
      </c>
      <c r="S1555" t="s">
        <v>295</v>
      </c>
      <c r="T1555" t="s">
        <v>301</v>
      </c>
    </row>
    <row r="1556" spans="1:20" x14ac:dyDescent="0.25">
      <c r="A1556">
        <v>9</v>
      </c>
      <c r="B1556">
        <v>181</v>
      </c>
      <c r="C1556" t="str">
        <f t="shared" si="206"/>
        <v>36</v>
      </c>
      <c r="D1556">
        <v>6399</v>
      </c>
      <c r="E1556" t="str">
        <f>"3W"</f>
        <v>3W</v>
      </c>
      <c r="F1556" t="str">
        <f t="shared" si="221"/>
        <v>001</v>
      </c>
      <c r="G1556">
        <v>9</v>
      </c>
      <c r="H1556" t="str">
        <f t="shared" si="207"/>
        <v>91</v>
      </c>
      <c r="I1556" t="str">
        <f t="shared" si="218"/>
        <v>0</v>
      </c>
      <c r="J1556" t="str">
        <f t="shared" si="222"/>
        <v>39</v>
      </c>
      <c r="K1556">
        <v>20190111</v>
      </c>
      <c r="L1556" t="str">
        <f t="shared" si="219"/>
        <v>075164</v>
      </c>
      <c r="M1556" t="str">
        <f t="shared" si="220"/>
        <v>08788</v>
      </c>
      <c r="N1556" t="s">
        <v>473</v>
      </c>
      <c r="O1556">
        <v>273.13</v>
      </c>
      <c r="P1556">
        <v>20190109</v>
      </c>
      <c r="Q1556" t="s">
        <v>841</v>
      </c>
      <c r="R1556" t="s">
        <v>843</v>
      </c>
      <c r="S1556" t="s">
        <v>295</v>
      </c>
      <c r="T1556" t="s">
        <v>301</v>
      </c>
    </row>
    <row r="1557" spans="1:20" x14ac:dyDescent="0.25">
      <c r="A1557">
        <v>9</v>
      </c>
      <c r="B1557">
        <v>181</v>
      </c>
      <c r="C1557" t="str">
        <f t="shared" si="206"/>
        <v>36</v>
      </c>
      <c r="D1557">
        <v>6412</v>
      </c>
      <c r="E1557" t="str">
        <f>"3G"</f>
        <v>3G</v>
      </c>
      <c r="F1557" t="str">
        <f t="shared" si="221"/>
        <v>001</v>
      </c>
      <c r="G1557">
        <v>9</v>
      </c>
      <c r="H1557" t="str">
        <f t="shared" si="207"/>
        <v>91</v>
      </c>
      <c r="I1557" t="str">
        <f>"3"</f>
        <v>3</v>
      </c>
      <c r="J1557" t="str">
        <f t="shared" si="222"/>
        <v>39</v>
      </c>
      <c r="K1557">
        <v>20190111</v>
      </c>
      <c r="L1557" t="str">
        <f>"075184"</f>
        <v>075184</v>
      </c>
      <c r="M1557" t="str">
        <f>"28680"</f>
        <v>28680</v>
      </c>
      <c r="N1557" t="s">
        <v>482</v>
      </c>
      <c r="O1557">
        <v>62.28</v>
      </c>
      <c r="P1557">
        <v>20190109</v>
      </c>
      <c r="Q1557" t="s">
        <v>483</v>
      </c>
      <c r="R1557" t="s">
        <v>636</v>
      </c>
      <c r="S1557" t="s">
        <v>295</v>
      </c>
      <c r="T1557" t="s">
        <v>301</v>
      </c>
    </row>
    <row r="1558" spans="1:20" x14ac:dyDescent="0.25">
      <c r="A1558">
        <v>9</v>
      </c>
      <c r="B1558">
        <v>181</v>
      </c>
      <c r="C1558" t="str">
        <f t="shared" si="206"/>
        <v>36</v>
      </c>
      <c r="D1558">
        <v>6412</v>
      </c>
      <c r="E1558" t="str">
        <f>"3G"</f>
        <v>3G</v>
      </c>
      <c r="F1558" t="str">
        <f t="shared" si="221"/>
        <v>001</v>
      </c>
      <c r="G1558">
        <v>9</v>
      </c>
      <c r="H1558" t="str">
        <f t="shared" si="207"/>
        <v>91</v>
      </c>
      <c r="I1558" t="str">
        <f>"3"</f>
        <v>3</v>
      </c>
      <c r="J1558" t="str">
        <f t="shared" si="222"/>
        <v>39</v>
      </c>
      <c r="K1558">
        <v>20190111</v>
      </c>
      <c r="L1558" t="str">
        <f>"075184"</f>
        <v>075184</v>
      </c>
      <c r="M1558" t="str">
        <f>"28680"</f>
        <v>28680</v>
      </c>
      <c r="N1558" t="s">
        <v>482</v>
      </c>
      <c r="O1558">
        <v>124.55</v>
      </c>
      <c r="P1558">
        <v>20190109</v>
      </c>
      <c r="Q1558" t="s">
        <v>483</v>
      </c>
      <c r="R1558" t="s">
        <v>667</v>
      </c>
      <c r="S1558" t="s">
        <v>295</v>
      </c>
      <c r="T1558" t="s">
        <v>301</v>
      </c>
    </row>
    <row r="1559" spans="1:20" x14ac:dyDescent="0.25">
      <c r="A1559">
        <v>9</v>
      </c>
      <c r="B1559">
        <v>181</v>
      </c>
      <c r="C1559" t="str">
        <f t="shared" si="206"/>
        <v>36</v>
      </c>
      <c r="D1559">
        <v>6412</v>
      </c>
      <c r="E1559" t="str">
        <f>"3B"</f>
        <v>3B</v>
      </c>
      <c r="F1559" t="str">
        <f>"041"</f>
        <v>041</v>
      </c>
      <c r="G1559">
        <v>9</v>
      </c>
      <c r="H1559" t="str">
        <f t="shared" si="207"/>
        <v>91</v>
      </c>
      <c r="I1559" t="str">
        <f>"2"</f>
        <v>2</v>
      </c>
      <c r="J1559" t="str">
        <f>"41"</f>
        <v>41</v>
      </c>
      <c r="K1559">
        <v>20190111</v>
      </c>
      <c r="L1559" t="str">
        <f>"075191"</f>
        <v>075191</v>
      </c>
      <c r="M1559" t="str">
        <f>"30148"</f>
        <v>30148</v>
      </c>
      <c r="N1559" t="s">
        <v>308</v>
      </c>
      <c r="O1559">
        <v>250</v>
      </c>
      <c r="P1559">
        <v>20190109</v>
      </c>
      <c r="Q1559" t="s">
        <v>724</v>
      </c>
      <c r="R1559" t="s">
        <v>844</v>
      </c>
      <c r="S1559" t="s">
        <v>295</v>
      </c>
      <c r="T1559" t="s">
        <v>106</v>
      </c>
    </row>
    <row r="1560" spans="1:20" x14ac:dyDescent="0.25">
      <c r="A1560">
        <v>9</v>
      </c>
      <c r="B1560">
        <v>181</v>
      </c>
      <c r="C1560" t="str">
        <f t="shared" si="206"/>
        <v>36</v>
      </c>
      <c r="D1560">
        <v>6412</v>
      </c>
      <c r="E1560" t="str">
        <f>"3B"</f>
        <v>3B</v>
      </c>
      <c r="F1560" t="str">
        <f>"041"</f>
        <v>041</v>
      </c>
      <c r="G1560">
        <v>9</v>
      </c>
      <c r="H1560" t="str">
        <f t="shared" si="207"/>
        <v>91</v>
      </c>
      <c r="I1560" t="str">
        <f>"2"</f>
        <v>2</v>
      </c>
      <c r="J1560" t="str">
        <f>"41"</f>
        <v>41</v>
      </c>
      <c r="K1560">
        <v>20190206</v>
      </c>
      <c r="L1560" t="str">
        <f>"075191"</f>
        <v>075191</v>
      </c>
      <c r="M1560" t="str">
        <f>"30148"</f>
        <v>30148</v>
      </c>
      <c r="N1560" t="s">
        <v>308</v>
      </c>
      <c r="O1560">
        <v>-250</v>
      </c>
      <c r="P1560">
        <v>20190206</v>
      </c>
      <c r="Q1560" t="s">
        <v>724</v>
      </c>
      <c r="R1560" t="s">
        <v>845</v>
      </c>
      <c r="S1560" t="s">
        <v>295</v>
      </c>
      <c r="T1560" t="s">
        <v>106</v>
      </c>
    </row>
    <row r="1561" spans="1:20" x14ac:dyDescent="0.25">
      <c r="A1561">
        <v>9</v>
      </c>
      <c r="B1561">
        <v>181</v>
      </c>
      <c r="C1561" t="str">
        <f t="shared" si="206"/>
        <v>36</v>
      </c>
      <c r="D1561">
        <v>6219</v>
      </c>
      <c r="E1561" t="str">
        <f>"3D"</f>
        <v>3D</v>
      </c>
      <c r="F1561" t="str">
        <f>"041"</f>
        <v>041</v>
      </c>
      <c r="G1561">
        <v>9</v>
      </c>
      <c r="H1561" t="str">
        <f t="shared" si="207"/>
        <v>91</v>
      </c>
      <c r="I1561" t="str">
        <f>"0"</f>
        <v>0</v>
      </c>
      <c r="J1561" t="str">
        <f>"41"</f>
        <v>41</v>
      </c>
      <c r="K1561">
        <v>20190111</v>
      </c>
      <c r="L1561" t="str">
        <f>"075201"</f>
        <v>075201</v>
      </c>
      <c r="M1561" t="str">
        <f>"33712"</f>
        <v>33712</v>
      </c>
      <c r="N1561" t="s">
        <v>846</v>
      </c>
      <c r="O1561">
        <v>85</v>
      </c>
      <c r="P1561">
        <v>20190109</v>
      </c>
      <c r="Q1561" t="s">
        <v>704</v>
      </c>
      <c r="R1561" t="s">
        <v>847</v>
      </c>
      <c r="S1561" t="s">
        <v>295</v>
      </c>
      <c r="T1561" t="s">
        <v>106</v>
      </c>
    </row>
    <row r="1562" spans="1:20" x14ac:dyDescent="0.25">
      <c r="A1562">
        <v>9</v>
      </c>
      <c r="B1562">
        <v>181</v>
      </c>
      <c r="C1562" t="str">
        <f t="shared" si="206"/>
        <v>36</v>
      </c>
      <c r="D1562">
        <v>6412</v>
      </c>
      <c r="E1562" t="str">
        <f>"3M"</f>
        <v>3M</v>
      </c>
      <c r="F1562" t="str">
        <f t="shared" ref="F1562:F1567" si="223">"001"</f>
        <v>001</v>
      </c>
      <c r="G1562">
        <v>9</v>
      </c>
      <c r="H1562" t="str">
        <f t="shared" si="207"/>
        <v>91</v>
      </c>
      <c r="I1562" t="str">
        <f>"2"</f>
        <v>2</v>
      </c>
      <c r="J1562" t="str">
        <f t="shared" ref="J1562:J1567" si="224">"39"</f>
        <v>39</v>
      </c>
      <c r="K1562">
        <v>20190111</v>
      </c>
      <c r="L1562" t="str">
        <f>"075204"</f>
        <v>075204</v>
      </c>
      <c r="M1562" t="str">
        <f>"34949"</f>
        <v>34949</v>
      </c>
      <c r="N1562" t="s">
        <v>423</v>
      </c>
      <c r="O1562">
        <v>500</v>
      </c>
      <c r="P1562">
        <v>20190109</v>
      </c>
      <c r="Q1562" t="s">
        <v>756</v>
      </c>
      <c r="R1562" t="s">
        <v>848</v>
      </c>
      <c r="S1562" t="s">
        <v>295</v>
      </c>
      <c r="T1562" t="s">
        <v>301</v>
      </c>
    </row>
    <row r="1563" spans="1:20" x14ac:dyDescent="0.25">
      <c r="A1563">
        <v>9</v>
      </c>
      <c r="B1563">
        <v>181</v>
      </c>
      <c r="C1563" t="str">
        <f t="shared" si="206"/>
        <v>36</v>
      </c>
      <c r="D1563">
        <v>6412</v>
      </c>
      <c r="E1563" t="str">
        <f>"3M"</f>
        <v>3M</v>
      </c>
      <c r="F1563" t="str">
        <f t="shared" si="223"/>
        <v>001</v>
      </c>
      <c r="G1563">
        <v>9</v>
      </c>
      <c r="H1563" t="str">
        <f t="shared" si="207"/>
        <v>91</v>
      </c>
      <c r="I1563" t="str">
        <f>"2"</f>
        <v>2</v>
      </c>
      <c r="J1563" t="str">
        <f t="shared" si="224"/>
        <v>39</v>
      </c>
      <c r="K1563">
        <v>20190115</v>
      </c>
      <c r="L1563" t="str">
        <f>"075204"</f>
        <v>075204</v>
      </c>
      <c r="M1563" t="str">
        <f>"34949"</f>
        <v>34949</v>
      </c>
      <c r="N1563" t="s">
        <v>423</v>
      </c>
      <c r="O1563">
        <v>-500</v>
      </c>
      <c r="P1563">
        <v>20190115</v>
      </c>
      <c r="Q1563" t="s">
        <v>756</v>
      </c>
      <c r="R1563" t="s">
        <v>849</v>
      </c>
      <c r="S1563" t="s">
        <v>295</v>
      </c>
      <c r="T1563" t="s">
        <v>301</v>
      </c>
    </row>
    <row r="1564" spans="1:20" x14ac:dyDescent="0.25">
      <c r="A1564">
        <v>9</v>
      </c>
      <c r="B1564">
        <v>181</v>
      </c>
      <c r="C1564" t="str">
        <f t="shared" si="206"/>
        <v>36</v>
      </c>
      <c r="D1564">
        <v>6399</v>
      </c>
      <c r="E1564" t="str">
        <f>"3A"</f>
        <v>3A</v>
      </c>
      <c r="F1564" t="str">
        <f t="shared" si="223"/>
        <v>001</v>
      </c>
      <c r="G1564">
        <v>9</v>
      </c>
      <c r="H1564" t="str">
        <f t="shared" si="207"/>
        <v>91</v>
      </c>
      <c r="I1564" t="str">
        <f t="shared" ref="I1564:I1574" si="225">"0"</f>
        <v>0</v>
      </c>
      <c r="J1564" t="str">
        <f t="shared" si="224"/>
        <v>39</v>
      </c>
      <c r="K1564">
        <v>20190111</v>
      </c>
      <c r="L1564" t="str">
        <f>"075238"</f>
        <v>075238</v>
      </c>
      <c r="M1564" t="str">
        <f>"52217"</f>
        <v>52217</v>
      </c>
      <c r="N1564" t="s">
        <v>630</v>
      </c>
      <c r="O1564">
        <v>264</v>
      </c>
      <c r="P1564">
        <v>20190110</v>
      </c>
      <c r="Q1564" t="s">
        <v>595</v>
      </c>
      <c r="R1564" t="s">
        <v>850</v>
      </c>
      <c r="S1564" t="s">
        <v>295</v>
      </c>
      <c r="T1564" t="s">
        <v>301</v>
      </c>
    </row>
    <row r="1565" spans="1:20" x14ac:dyDescent="0.25">
      <c r="A1565">
        <v>9</v>
      </c>
      <c r="B1565">
        <v>181</v>
      </c>
      <c r="C1565" t="str">
        <f t="shared" si="206"/>
        <v>36</v>
      </c>
      <c r="D1565">
        <v>6399</v>
      </c>
      <c r="E1565" t="str">
        <f>"3A"</f>
        <v>3A</v>
      </c>
      <c r="F1565" t="str">
        <f t="shared" si="223"/>
        <v>001</v>
      </c>
      <c r="G1565">
        <v>9</v>
      </c>
      <c r="H1565" t="str">
        <f t="shared" si="207"/>
        <v>91</v>
      </c>
      <c r="I1565" t="str">
        <f t="shared" si="225"/>
        <v>0</v>
      </c>
      <c r="J1565" t="str">
        <f t="shared" si="224"/>
        <v>39</v>
      </c>
      <c r="K1565">
        <v>20190111</v>
      </c>
      <c r="L1565" t="str">
        <f>"075238"</f>
        <v>075238</v>
      </c>
      <c r="M1565" t="str">
        <f>"52217"</f>
        <v>52217</v>
      </c>
      <c r="N1565" t="s">
        <v>630</v>
      </c>
      <c r="O1565" s="1">
        <v>1056</v>
      </c>
      <c r="P1565">
        <v>20190110</v>
      </c>
      <c r="Q1565" t="s">
        <v>595</v>
      </c>
      <c r="R1565" t="s">
        <v>850</v>
      </c>
      <c r="S1565" t="s">
        <v>295</v>
      </c>
      <c r="T1565" t="s">
        <v>301</v>
      </c>
    </row>
    <row r="1566" spans="1:20" x14ac:dyDescent="0.25">
      <c r="A1566">
        <v>9</v>
      </c>
      <c r="B1566">
        <v>181</v>
      </c>
      <c r="C1566" t="str">
        <f t="shared" si="206"/>
        <v>36</v>
      </c>
      <c r="D1566">
        <v>6399</v>
      </c>
      <c r="E1566" t="str">
        <f>"3P"</f>
        <v>3P</v>
      </c>
      <c r="F1566" t="str">
        <f t="shared" si="223"/>
        <v>001</v>
      </c>
      <c r="G1566">
        <v>9</v>
      </c>
      <c r="H1566" t="str">
        <f t="shared" si="207"/>
        <v>91</v>
      </c>
      <c r="I1566" t="str">
        <f t="shared" si="225"/>
        <v>0</v>
      </c>
      <c r="J1566" t="str">
        <f t="shared" si="224"/>
        <v>39</v>
      </c>
      <c r="K1566">
        <v>20190111</v>
      </c>
      <c r="L1566" t="str">
        <f>"075238"</f>
        <v>075238</v>
      </c>
      <c r="M1566" t="str">
        <f>"52217"</f>
        <v>52217</v>
      </c>
      <c r="N1566" t="s">
        <v>630</v>
      </c>
      <c r="O1566">
        <v>452</v>
      </c>
      <c r="P1566">
        <v>20190110</v>
      </c>
      <c r="Q1566" t="s">
        <v>839</v>
      </c>
      <c r="R1566" t="s">
        <v>851</v>
      </c>
      <c r="S1566" t="s">
        <v>295</v>
      </c>
      <c r="T1566" t="s">
        <v>301</v>
      </c>
    </row>
    <row r="1567" spans="1:20" x14ac:dyDescent="0.25">
      <c r="A1567">
        <v>9</v>
      </c>
      <c r="B1567">
        <v>181</v>
      </c>
      <c r="C1567" t="str">
        <f t="shared" si="206"/>
        <v>36</v>
      </c>
      <c r="D1567">
        <v>6399</v>
      </c>
      <c r="E1567" t="str">
        <f>"3P"</f>
        <v>3P</v>
      </c>
      <c r="F1567" t="str">
        <f t="shared" si="223"/>
        <v>001</v>
      </c>
      <c r="G1567">
        <v>9</v>
      </c>
      <c r="H1567" t="str">
        <f t="shared" si="207"/>
        <v>91</v>
      </c>
      <c r="I1567" t="str">
        <f t="shared" si="225"/>
        <v>0</v>
      </c>
      <c r="J1567" t="str">
        <f t="shared" si="224"/>
        <v>39</v>
      </c>
      <c r="K1567">
        <v>20190111</v>
      </c>
      <c r="L1567" t="str">
        <f>"075238"</f>
        <v>075238</v>
      </c>
      <c r="M1567" t="str">
        <f>"52217"</f>
        <v>52217</v>
      </c>
      <c r="N1567" t="s">
        <v>630</v>
      </c>
      <c r="O1567">
        <v>112</v>
      </c>
      <c r="P1567">
        <v>20190110</v>
      </c>
      <c r="Q1567" t="s">
        <v>839</v>
      </c>
      <c r="R1567" t="s">
        <v>852</v>
      </c>
      <c r="S1567" t="s">
        <v>295</v>
      </c>
      <c r="T1567" t="s">
        <v>301</v>
      </c>
    </row>
    <row r="1568" spans="1:20" x14ac:dyDescent="0.25">
      <c r="A1568">
        <v>9</v>
      </c>
      <c r="B1568">
        <v>181</v>
      </c>
      <c r="C1568" t="str">
        <f t="shared" ref="C1568:C1631" si="226">"36"</f>
        <v>36</v>
      </c>
      <c r="D1568">
        <v>6219</v>
      </c>
      <c r="E1568" t="str">
        <f>"3D"</f>
        <v>3D</v>
      </c>
      <c r="F1568" t="str">
        <f>"041"</f>
        <v>041</v>
      </c>
      <c r="G1568">
        <v>9</v>
      </c>
      <c r="H1568" t="str">
        <f t="shared" ref="H1568:H1631" si="227">"91"</f>
        <v>91</v>
      </c>
      <c r="I1568" t="str">
        <f t="shared" si="225"/>
        <v>0</v>
      </c>
      <c r="J1568" t="str">
        <f>"41"</f>
        <v>41</v>
      </c>
      <c r="K1568">
        <v>20190111</v>
      </c>
      <c r="L1568" t="str">
        <f>"075247"</f>
        <v>075247</v>
      </c>
      <c r="M1568" t="str">
        <f>"56205"</f>
        <v>56205</v>
      </c>
      <c r="N1568" t="s">
        <v>853</v>
      </c>
      <c r="O1568">
        <v>85</v>
      </c>
      <c r="P1568">
        <v>20190110</v>
      </c>
      <c r="Q1568" t="s">
        <v>704</v>
      </c>
      <c r="R1568" t="s">
        <v>847</v>
      </c>
      <c r="S1568" t="s">
        <v>295</v>
      </c>
      <c r="T1568" t="s">
        <v>106</v>
      </c>
    </row>
    <row r="1569" spans="1:20" x14ac:dyDescent="0.25">
      <c r="A1569">
        <v>9</v>
      </c>
      <c r="B1569">
        <v>181</v>
      </c>
      <c r="C1569" t="str">
        <f t="shared" si="226"/>
        <v>36</v>
      </c>
      <c r="D1569">
        <v>6411</v>
      </c>
      <c r="E1569" t="str">
        <f>"33"</f>
        <v>33</v>
      </c>
      <c r="F1569" t="str">
        <f>"001"</f>
        <v>001</v>
      </c>
      <c r="G1569">
        <v>9</v>
      </c>
      <c r="H1569" t="str">
        <f t="shared" si="227"/>
        <v>91</v>
      </c>
      <c r="I1569" t="str">
        <f t="shared" si="225"/>
        <v>0</v>
      </c>
      <c r="J1569" t="str">
        <f>"39"</f>
        <v>39</v>
      </c>
      <c r="K1569">
        <v>20190111</v>
      </c>
      <c r="L1569" t="str">
        <f>"075262"</f>
        <v>075262</v>
      </c>
      <c r="M1569" t="str">
        <f>"64786"</f>
        <v>64786</v>
      </c>
      <c r="N1569" t="s">
        <v>490</v>
      </c>
      <c r="O1569">
        <v>10.75</v>
      </c>
      <c r="P1569">
        <v>20190110</v>
      </c>
      <c r="Q1569" t="s">
        <v>306</v>
      </c>
      <c r="R1569" t="s">
        <v>562</v>
      </c>
      <c r="S1569" t="s">
        <v>295</v>
      </c>
      <c r="T1569" t="s">
        <v>301</v>
      </c>
    </row>
    <row r="1570" spans="1:20" x14ac:dyDescent="0.25">
      <c r="A1570">
        <v>9</v>
      </c>
      <c r="B1570">
        <v>181</v>
      </c>
      <c r="C1570" t="str">
        <f t="shared" si="226"/>
        <v>36</v>
      </c>
      <c r="D1570">
        <v>6411</v>
      </c>
      <c r="E1570" t="str">
        <f>"33"</f>
        <v>33</v>
      </c>
      <c r="F1570" t="str">
        <f>"001"</f>
        <v>001</v>
      </c>
      <c r="G1570">
        <v>9</v>
      </c>
      <c r="H1570" t="str">
        <f t="shared" si="227"/>
        <v>91</v>
      </c>
      <c r="I1570" t="str">
        <f t="shared" si="225"/>
        <v>0</v>
      </c>
      <c r="J1570" t="str">
        <f>"39"</f>
        <v>39</v>
      </c>
      <c r="K1570">
        <v>20190111</v>
      </c>
      <c r="L1570" t="str">
        <f>"075262"</f>
        <v>075262</v>
      </c>
      <c r="M1570" t="str">
        <f>"64786"</f>
        <v>64786</v>
      </c>
      <c r="N1570" t="s">
        <v>490</v>
      </c>
      <c r="O1570">
        <v>34</v>
      </c>
      <c r="P1570">
        <v>20190110</v>
      </c>
      <c r="Q1570" t="s">
        <v>306</v>
      </c>
      <c r="R1570" t="s">
        <v>583</v>
      </c>
      <c r="S1570" t="s">
        <v>295</v>
      </c>
      <c r="T1570" t="s">
        <v>301</v>
      </c>
    </row>
    <row r="1571" spans="1:20" x14ac:dyDescent="0.25">
      <c r="A1571">
        <v>9</v>
      </c>
      <c r="B1571">
        <v>181</v>
      </c>
      <c r="C1571" t="str">
        <f t="shared" si="226"/>
        <v>36</v>
      </c>
      <c r="D1571">
        <v>6219</v>
      </c>
      <c r="E1571" t="str">
        <f>"3B"</f>
        <v>3B</v>
      </c>
      <c r="F1571" t="str">
        <f>"041"</f>
        <v>041</v>
      </c>
      <c r="G1571">
        <v>9</v>
      </c>
      <c r="H1571" t="str">
        <f t="shared" si="227"/>
        <v>91</v>
      </c>
      <c r="I1571" t="str">
        <f t="shared" si="225"/>
        <v>0</v>
      </c>
      <c r="J1571" t="str">
        <f>"41"</f>
        <v>41</v>
      </c>
      <c r="K1571">
        <v>20190111</v>
      </c>
      <c r="L1571" t="str">
        <f>"075280"</f>
        <v>075280</v>
      </c>
      <c r="M1571" t="str">
        <f>"80470"</f>
        <v>80470</v>
      </c>
      <c r="N1571" t="s">
        <v>391</v>
      </c>
      <c r="O1571">
        <v>30</v>
      </c>
      <c r="P1571">
        <v>20190110</v>
      </c>
      <c r="Q1571" t="s">
        <v>711</v>
      </c>
      <c r="R1571" t="s">
        <v>783</v>
      </c>
      <c r="S1571" t="s">
        <v>295</v>
      </c>
      <c r="T1571" t="s">
        <v>106</v>
      </c>
    </row>
    <row r="1572" spans="1:20" x14ac:dyDescent="0.25">
      <c r="A1572">
        <v>9</v>
      </c>
      <c r="B1572">
        <v>181</v>
      </c>
      <c r="C1572" t="str">
        <f t="shared" si="226"/>
        <v>36</v>
      </c>
      <c r="D1572">
        <v>6219</v>
      </c>
      <c r="E1572" t="str">
        <f>"3D"</f>
        <v>3D</v>
      </c>
      <c r="F1572" t="str">
        <f>"041"</f>
        <v>041</v>
      </c>
      <c r="G1572">
        <v>9</v>
      </c>
      <c r="H1572" t="str">
        <f t="shared" si="227"/>
        <v>91</v>
      </c>
      <c r="I1572" t="str">
        <f t="shared" si="225"/>
        <v>0</v>
      </c>
      <c r="J1572" t="str">
        <f>"41"</f>
        <v>41</v>
      </c>
      <c r="K1572">
        <v>20190111</v>
      </c>
      <c r="L1572" t="str">
        <f>"075280"</f>
        <v>075280</v>
      </c>
      <c r="M1572" t="str">
        <f>"80470"</f>
        <v>80470</v>
      </c>
      <c r="N1572" t="s">
        <v>391</v>
      </c>
      <c r="O1572">
        <v>30</v>
      </c>
      <c r="P1572">
        <v>20190110</v>
      </c>
      <c r="Q1572" t="s">
        <v>704</v>
      </c>
      <c r="R1572" t="s">
        <v>847</v>
      </c>
      <c r="S1572" t="s">
        <v>295</v>
      </c>
      <c r="T1572" t="s">
        <v>106</v>
      </c>
    </row>
    <row r="1573" spans="1:20" x14ac:dyDescent="0.25">
      <c r="A1573">
        <v>9</v>
      </c>
      <c r="B1573">
        <v>181</v>
      </c>
      <c r="C1573" t="str">
        <f t="shared" si="226"/>
        <v>36</v>
      </c>
      <c r="D1573">
        <v>6395</v>
      </c>
      <c r="E1573" t="str">
        <f>"30"</f>
        <v>30</v>
      </c>
      <c r="F1573" t="str">
        <f>"001"</f>
        <v>001</v>
      </c>
      <c r="G1573">
        <v>9</v>
      </c>
      <c r="H1573" t="str">
        <f t="shared" si="227"/>
        <v>91</v>
      </c>
      <c r="I1573" t="str">
        <f t="shared" si="225"/>
        <v>0</v>
      </c>
      <c r="J1573" t="str">
        <f>"39"</f>
        <v>39</v>
      </c>
      <c r="K1573">
        <v>20190111</v>
      </c>
      <c r="L1573" t="str">
        <f>"075282"</f>
        <v>075282</v>
      </c>
      <c r="M1573" t="str">
        <f>"81303"</f>
        <v>81303</v>
      </c>
      <c r="N1573" t="s">
        <v>66</v>
      </c>
      <c r="O1573">
        <v>37.5</v>
      </c>
      <c r="P1573">
        <v>20190110</v>
      </c>
      <c r="Q1573" t="s">
        <v>854</v>
      </c>
      <c r="R1573" t="s">
        <v>855</v>
      </c>
      <c r="S1573" t="s">
        <v>295</v>
      </c>
      <c r="T1573" t="s">
        <v>301</v>
      </c>
    </row>
    <row r="1574" spans="1:20" x14ac:dyDescent="0.25">
      <c r="A1574">
        <v>9</v>
      </c>
      <c r="B1574">
        <v>181</v>
      </c>
      <c r="C1574" t="str">
        <f t="shared" si="226"/>
        <v>36</v>
      </c>
      <c r="D1574">
        <v>6395</v>
      </c>
      <c r="E1574" t="str">
        <f>"30"</f>
        <v>30</v>
      </c>
      <c r="F1574" t="str">
        <f t="shared" ref="F1574:F1580" si="228">"041"</f>
        <v>041</v>
      </c>
      <c r="G1574">
        <v>9</v>
      </c>
      <c r="H1574" t="str">
        <f t="shared" si="227"/>
        <v>91</v>
      </c>
      <c r="I1574" t="str">
        <f t="shared" si="225"/>
        <v>0</v>
      </c>
      <c r="J1574" t="str">
        <f t="shared" ref="J1574:J1580" si="229">"41"</f>
        <v>41</v>
      </c>
      <c r="K1574">
        <v>20190111</v>
      </c>
      <c r="L1574" t="str">
        <f>"075282"</f>
        <v>075282</v>
      </c>
      <c r="M1574" t="str">
        <f>"81303"</f>
        <v>81303</v>
      </c>
      <c r="N1574" t="s">
        <v>66</v>
      </c>
      <c r="O1574">
        <v>37.5</v>
      </c>
      <c r="P1574">
        <v>20190110</v>
      </c>
      <c r="Q1574" t="s">
        <v>856</v>
      </c>
      <c r="R1574" t="s">
        <v>855</v>
      </c>
      <c r="S1574" t="s">
        <v>295</v>
      </c>
      <c r="T1574" t="s">
        <v>106</v>
      </c>
    </row>
    <row r="1575" spans="1:20" x14ac:dyDescent="0.25">
      <c r="A1575">
        <v>9</v>
      </c>
      <c r="B1575">
        <v>181</v>
      </c>
      <c r="C1575" t="str">
        <f t="shared" si="226"/>
        <v>36</v>
      </c>
      <c r="D1575">
        <v>6412</v>
      </c>
      <c r="E1575" t="str">
        <f>"3B"</f>
        <v>3B</v>
      </c>
      <c r="F1575" t="str">
        <f t="shared" si="228"/>
        <v>041</v>
      </c>
      <c r="G1575">
        <v>9</v>
      </c>
      <c r="H1575" t="str">
        <f t="shared" si="227"/>
        <v>91</v>
      </c>
      <c r="I1575" t="str">
        <f>"1"</f>
        <v>1</v>
      </c>
      <c r="J1575" t="str">
        <f t="shared" si="229"/>
        <v>41</v>
      </c>
      <c r="K1575">
        <v>20190111</v>
      </c>
      <c r="L1575" t="str">
        <f>"075292"</f>
        <v>075292</v>
      </c>
      <c r="M1575" t="str">
        <f>"84370"</f>
        <v>84370</v>
      </c>
      <c r="N1575" t="s">
        <v>395</v>
      </c>
      <c r="O1575">
        <v>310.43</v>
      </c>
      <c r="P1575">
        <v>20190110</v>
      </c>
      <c r="Q1575" t="s">
        <v>801</v>
      </c>
      <c r="R1575" t="s">
        <v>857</v>
      </c>
      <c r="S1575" t="s">
        <v>295</v>
      </c>
      <c r="T1575" t="s">
        <v>106</v>
      </c>
    </row>
    <row r="1576" spans="1:20" x14ac:dyDescent="0.25">
      <c r="A1576">
        <v>9</v>
      </c>
      <c r="B1576">
        <v>181</v>
      </c>
      <c r="C1576" t="str">
        <f t="shared" si="226"/>
        <v>36</v>
      </c>
      <c r="D1576">
        <v>6412</v>
      </c>
      <c r="E1576" t="str">
        <f>"3B"</f>
        <v>3B</v>
      </c>
      <c r="F1576" t="str">
        <f t="shared" si="228"/>
        <v>041</v>
      </c>
      <c r="G1576">
        <v>9</v>
      </c>
      <c r="H1576" t="str">
        <f t="shared" si="227"/>
        <v>91</v>
      </c>
      <c r="I1576" t="str">
        <f>"1"</f>
        <v>1</v>
      </c>
      <c r="J1576" t="str">
        <f t="shared" si="229"/>
        <v>41</v>
      </c>
      <c r="K1576">
        <v>20190111</v>
      </c>
      <c r="L1576" t="str">
        <f>"075292"</f>
        <v>075292</v>
      </c>
      <c r="M1576" t="str">
        <f>"84370"</f>
        <v>84370</v>
      </c>
      <c r="N1576" t="s">
        <v>395</v>
      </c>
      <c r="O1576">
        <v>51.92</v>
      </c>
      <c r="P1576">
        <v>20190110</v>
      </c>
      <c r="Q1576" t="s">
        <v>801</v>
      </c>
      <c r="R1576" t="s">
        <v>858</v>
      </c>
      <c r="S1576" t="s">
        <v>295</v>
      </c>
      <c r="T1576" t="s">
        <v>106</v>
      </c>
    </row>
    <row r="1577" spans="1:20" x14ac:dyDescent="0.25">
      <c r="A1577">
        <v>9</v>
      </c>
      <c r="B1577">
        <v>181</v>
      </c>
      <c r="C1577" t="str">
        <f t="shared" si="226"/>
        <v>36</v>
      </c>
      <c r="D1577">
        <v>6412</v>
      </c>
      <c r="E1577" t="str">
        <f>"3B"</f>
        <v>3B</v>
      </c>
      <c r="F1577" t="str">
        <f t="shared" si="228"/>
        <v>041</v>
      </c>
      <c r="G1577">
        <v>9</v>
      </c>
      <c r="H1577" t="str">
        <f t="shared" si="227"/>
        <v>91</v>
      </c>
      <c r="I1577" t="str">
        <f>"1"</f>
        <v>1</v>
      </c>
      <c r="J1577" t="str">
        <f t="shared" si="229"/>
        <v>41</v>
      </c>
      <c r="K1577">
        <v>20190111</v>
      </c>
      <c r="L1577" t="str">
        <f>"075292"</f>
        <v>075292</v>
      </c>
      <c r="M1577" t="str">
        <f>"84370"</f>
        <v>84370</v>
      </c>
      <c r="N1577" t="s">
        <v>395</v>
      </c>
      <c r="O1577">
        <v>33.85</v>
      </c>
      <c r="P1577">
        <v>20190110</v>
      </c>
      <c r="Q1577" t="s">
        <v>801</v>
      </c>
      <c r="R1577" t="s">
        <v>859</v>
      </c>
      <c r="S1577" t="s">
        <v>295</v>
      </c>
      <c r="T1577" t="s">
        <v>106</v>
      </c>
    </row>
    <row r="1578" spans="1:20" x14ac:dyDescent="0.25">
      <c r="A1578">
        <v>9</v>
      </c>
      <c r="B1578">
        <v>181</v>
      </c>
      <c r="C1578" t="str">
        <f t="shared" si="226"/>
        <v>36</v>
      </c>
      <c r="D1578">
        <v>6412</v>
      </c>
      <c r="E1578" t="str">
        <f>"3D"</f>
        <v>3D</v>
      </c>
      <c r="F1578" t="str">
        <f t="shared" si="228"/>
        <v>041</v>
      </c>
      <c r="G1578">
        <v>9</v>
      </c>
      <c r="H1578" t="str">
        <f t="shared" si="227"/>
        <v>91</v>
      </c>
      <c r="I1578" t="str">
        <f>"1"</f>
        <v>1</v>
      </c>
      <c r="J1578" t="str">
        <f t="shared" si="229"/>
        <v>41</v>
      </c>
      <c r="K1578">
        <v>20190111</v>
      </c>
      <c r="L1578" t="str">
        <f>"075292"</f>
        <v>075292</v>
      </c>
      <c r="M1578" t="str">
        <f>"84370"</f>
        <v>84370</v>
      </c>
      <c r="N1578" t="s">
        <v>395</v>
      </c>
      <c r="O1578">
        <v>173.49</v>
      </c>
      <c r="P1578">
        <v>20190110</v>
      </c>
      <c r="Q1578" t="s">
        <v>808</v>
      </c>
      <c r="R1578" t="s">
        <v>860</v>
      </c>
      <c r="S1578" t="s">
        <v>295</v>
      </c>
      <c r="T1578" t="s">
        <v>106</v>
      </c>
    </row>
    <row r="1579" spans="1:20" x14ac:dyDescent="0.25">
      <c r="A1579">
        <v>9</v>
      </c>
      <c r="B1579">
        <v>181</v>
      </c>
      <c r="C1579" t="str">
        <f t="shared" si="226"/>
        <v>36</v>
      </c>
      <c r="D1579">
        <v>6219</v>
      </c>
      <c r="E1579" t="str">
        <f>"3D"</f>
        <v>3D</v>
      </c>
      <c r="F1579" t="str">
        <f t="shared" si="228"/>
        <v>041</v>
      </c>
      <c r="G1579">
        <v>9</v>
      </c>
      <c r="H1579" t="str">
        <f t="shared" si="227"/>
        <v>91</v>
      </c>
      <c r="I1579" t="str">
        <f>"0"</f>
        <v>0</v>
      </c>
      <c r="J1579" t="str">
        <f t="shared" si="229"/>
        <v>41</v>
      </c>
      <c r="K1579">
        <v>20190111</v>
      </c>
      <c r="L1579" t="str">
        <f>"075293"</f>
        <v>075293</v>
      </c>
      <c r="M1579" t="str">
        <f>"00173"</f>
        <v>00173</v>
      </c>
      <c r="N1579" t="s">
        <v>861</v>
      </c>
      <c r="O1579">
        <v>85</v>
      </c>
      <c r="P1579">
        <v>20190110</v>
      </c>
      <c r="Q1579" t="s">
        <v>704</v>
      </c>
      <c r="R1579" t="s">
        <v>847</v>
      </c>
      <c r="S1579" t="s">
        <v>295</v>
      </c>
      <c r="T1579" t="s">
        <v>106</v>
      </c>
    </row>
    <row r="1580" spans="1:20" x14ac:dyDescent="0.25">
      <c r="A1580">
        <v>9</v>
      </c>
      <c r="B1580">
        <v>181</v>
      </c>
      <c r="C1580" t="str">
        <f t="shared" si="226"/>
        <v>36</v>
      </c>
      <c r="D1580">
        <v>6219</v>
      </c>
      <c r="E1580" t="str">
        <f>"3D"</f>
        <v>3D</v>
      </c>
      <c r="F1580" t="str">
        <f t="shared" si="228"/>
        <v>041</v>
      </c>
      <c r="G1580">
        <v>9</v>
      </c>
      <c r="H1580" t="str">
        <f t="shared" si="227"/>
        <v>91</v>
      </c>
      <c r="I1580" t="str">
        <f>"0"</f>
        <v>0</v>
      </c>
      <c r="J1580" t="str">
        <f t="shared" si="229"/>
        <v>41</v>
      </c>
      <c r="K1580">
        <v>20190111</v>
      </c>
      <c r="L1580" t="str">
        <f>"075294"</f>
        <v>075294</v>
      </c>
      <c r="M1580" t="str">
        <f>"00672"</f>
        <v>00672</v>
      </c>
      <c r="N1580" t="s">
        <v>862</v>
      </c>
      <c r="O1580">
        <v>85</v>
      </c>
      <c r="P1580">
        <v>20190110</v>
      </c>
      <c r="Q1580" t="s">
        <v>704</v>
      </c>
      <c r="R1580" t="s">
        <v>847</v>
      </c>
      <c r="S1580" t="s">
        <v>295</v>
      </c>
      <c r="T1580" t="s">
        <v>106</v>
      </c>
    </row>
    <row r="1581" spans="1:20" x14ac:dyDescent="0.25">
      <c r="A1581">
        <v>9</v>
      </c>
      <c r="B1581">
        <v>181</v>
      </c>
      <c r="C1581" t="str">
        <f t="shared" si="226"/>
        <v>36</v>
      </c>
      <c r="D1581">
        <v>6412</v>
      </c>
      <c r="E1581" t="str">
        <f>"3M"</f>
        <v>3M</v>
      </c>
      <c r="F1581" t="str">
        <f>"001"</f>
        <v>001</v>
      </c>
      <c r="G1581">
        <v>9</v>
      </c>
      <c r="H1581" t="str">
        <f t="shared" si="227"/>
        <v>91</v>
      </c>
      <c r="I1581" t="str">
        <f>"2"</f>
        <v>2</v>
      </c>
      <c r="J1581" t="str">
        <f>"39"</f>
        <v>39</v>
      </c>
      <c r="K1581">
        <v>20190116</v>
      </c>
      <c r="L1581" t="str">
        <f>"075297"</f>
        <v>075297</v>
      </c>
      <c r="M1581" t="str">
        <f>"11149"</f>
        <v>11149</v>
      </c>
      <c r="N1581" t="s">
        <v>863</v>
      </c>
      <c r="O1581">
        <v>200</v>
      </c>
      <c r="P1581">
        <v>20190115</v>
      </c>
      <c r="Q1581" t="s">
        <v>756</v>
      </c>
      <c r="R1581" t="s">
        <v>864</v>
      </c>
      <c r="S1581" t="s">
        <v>295</v>
      </c>
      <c r="T1581" t="s">
        <v>301</v>
      </c>
    </row>
    <row r="1582" spans="1:20" x14ac:dyDescent="0.25">
      <c r="A1582">
        <v>9</v>
      </c>
      <c r="B1582">
        <v>181</v>
      </c>
      <c r="C1582" t="str">
        <f t="shared" si="226"/>
        <v>36</v>
      </c>
      <c r="D1582">
        <v>6329</v>
      </c>
      <c r="E1582" t="str">
        <f>"30"</f>
        <v>30</v>
      </c>
      <c r="F1582" t="str">
        <f>"001"</f>
        <v>001</v>
      </c>
      <c r="G1582">
        <v>9</v>
      </c>
      <c r="H1582" t="str">
        <f t="shared" si="227"/>
        <v>91</v>
      </c>
      <c r="I1582" t="str">
        <f>"0"</f>
        <v>0</v>
      </c>
      <c r="J1582" t="str">
        <f>"39"</f>
        <v>39</v>
      </c>
      <c r="K1582">
        <v>20190116</v>
      </c>
      <c r="L1582" t="str">
        <f>"075300"</f>
        <v>075300</v>
      </c>
      <c r="M1582" t="str">
        <f>"37891"</f>
        <v>37891</v>
      </c>
      <c r="N1582" t="s">
        <v>865</v>
      </c>
      <c r="O1582">
        <v>99</v>
      </c>
      <c r="P1582">
        <v>20190115</v>
      </c>
      <c r="Q1582" t="s">
        <v>866</v>
      </c>
      <c r="R1582" t="s">
        <v>867</v>
      </c>
      <c r="S1582" t="s">
        <v>295</v>
      </c>
      <c r="T1582" t="s">
        <v>301</v>
      </c>
    </row>
    <row r="1583" spans="1:20" x14ac:dyDescent="0.25">
      <c r="A1583">
        <v>9</v>
      </c>
      <c r="B1583">
        <v>181</v>
      </c>
      <c r="C1583" t="str">
        <f t="shared" si="226"/>
        <v>36</v>
      </c>
      <c r="D1583">
        <v>6411</v>
      </c>
      <c r="E1583" t="str">
        <f>"30"</f>
        <v>30</v>
      </c>
      <c r="F1583" t="str">
        <f>"001"</f>
        <v>001</v>
      </c>
      <c r="G1583">
        <v>9</v>
      </c>
      <c r="H1583" t="str">
        <f t="shared" si="227"/>
        <v>91</v>
      </c>
      <c r="I1583" t="str">
        <f>"0"</f>
        <v>0</v>
      </c>
      <c r="J1583" t="str">
        <f>"39"</f>
        <v>39</v>
      </c>
      <c r="K1583">
        <v>20190116</v>
      </c>
      <c r="L1583" t="str">
        <f>"075301"</f>
        <v>075301</v>
      </c>
      <c r="M1583" t="str">
        <f>"39422"</f>
        <v>39422</v>
      </c>
      <c r="N1583" t="s">
        <v>525</v>
      </c>
      <c r="O1583">
        <v>172.6</v>
      </c>
      <c r="P1583">
        <v>20190115</v>
      </c>
      <c r="Q1583" t="s">
        <v>790</v>
      </c>
      <c r="R1583" t="s">
        <v>868</v>
      </c>
      <c r="S1583" t="s">
        <v>295</v>
      </c>
      <c r="T1583" t="s">
        <v>301</v>
      </c>
    </row>
    <row r="1584" spans="1:20" x14ac:dyDescent="0.25">
      <c r="A1584">
        <v>9</v>
      </c>
      <c r="B1584">
        <v>181</v>
      </c>
      <c r="C1584" t="str">
        <f t="shared" si="226"/>
        <v>36</v>
      </c>
      <c r="D1584">
        <v>6412</v>
      </c>
      <c r="E1584" t="str">
        <f>"3V"</f>
        <v>3V</v>
      </c>
      <c r="F1584" t="str">
        <f>"041"</f>
        <v>041</v>
      </c>
      <c r="G1584">
        <v>9</v>
      </c>
      <c r="H1584" t="str">
        <f t="shared" si="227"/>
        <v>91</v>
      </c>
      <c r="I1584" t="str">
        <f>"2"</f>
        <v>2</v>
      </c>
      <c r="J1584" t="str">
        <f>"41"</f>
        <v>41</v>
      </c>
      <c r="K1584">
        <v>20190116</v>
      </c>
      <c r="L1584" t="str">
        <f>"075302"</f>
        <v>075302</v>
      </c>
      <c r="M1584" t="str">
        <f>"37513"</f>
        <v>37513</v>
      </c>
      <c r="N1584" t="s">
        <v>869</v>
      </c>
      <c r="O1584">
        <v>224</v>
      </c>
      <c r="P1584">
        <v>20190115</v>
      </c>
      <c r="Q1584" t="s">
        <v>574</v>
      </c>
      <c r="R1584" t="s">
        <v>870</v>
      </c>
      <c r="S1584" t="s">
        <v>295</v>
      </c>
      <c r="T1584" t="s">
        <v>106</v>
      </c>
    </row>
    <row r="1585" spans="1:20" x14ac:dyDescent="0.25">
      <c r="A1585">
        <v>9</v>
      </c>
      <c r="B1585">
        <v>181</v>
      </c>
      <c r="C1585" t="str">
        <f t="shared" si="226"/>
        <v>36</v>
      </c>
      <c r="D1585">
        <v>6412</v>
      </c>
      <c r="E1585" t="str">
        <f>"3M"</f>
        <v>3M</v>
      </c>
      <c r="F1585" t="str">
        <f t="shared" ref="F1585:F1597" si="230">"001"</f>
        <v>001</v>
      </c>
      <c r="G1585">
        <v>9</v>
      </c>
      <c r="H1585" t="str">
        <f t="shared" si="227"/>
        <v>91</v>
      </c>
      <c r="I1585" t="str">
        <f>"2"</f>
        <v>2</v>
      </c>
      <c r="J1585" t="str">
        <f t="shared" ref="J1585:J1597" si="231">"39"</f>
        <v>39</v>
      </c>
      <c r="K1585">
        <v>20190116</v>
      </c>
      <c r="L1585" t="str">
        <f>"075303"</f>
        <v>075303</v>
      </c>
      <c r="M1585" t="str">
        <f>"46233"</f>
        <v>46233</v>
      </c>
      <c r="N1585" t="s">
        <v>813</v>
      </c>
      <c r="O1585">
        <v>225</v>
      </c>
      <c r="P1585">
        <v>20190115</v>
      </c>
      <c r="Q1585" t="s">
        <v>756</v>
      </c>
      <c r="R1585" t="s">
        <v>871</v>
      </c>
      <c r="S1585" t="s">
        <v>295</v>
      </c>
      <c r="T1585" t="s">
        <v>301</v>
      </c>
    </row>
    <row r="1586" spans="1:20" x14ac:dyDescent="0.25">
      <c r="A1586">
        <v>9</v>
      </c>
      <c r="B1586">
        <v>181</v>
      </c>
      <c r="C1586" t="str">
        <f t="shared" si="226"/>
        <v>36</v>
      </c>
      <c r="D1586">
        <v>6412</v>
      </c>
      <c r="E1586" t="str">
        <f>"3G"</f>
        <v>3G</v>
      </c>
      <c r="F1586" t="str">
        <f t="shared" si="230"/>
        <v>001</v>
      </c>
      <c r="G1586">
        <v>9</v>
      </c>
      <c r="H1586" t="str">
        <f t="shared" si="227"/>
        <v>91</v>
      </c>
      <c r="I1586" t="str">
        <f>"2"</f>
        <v>2</v>
      </c>
      <c r="J1586" t="str">
        <f t="shared" si="231"/>
        <v>39</v>
      </c>
      <c r="K1586">
        <v>20190116</v>
      </c>
      <c r="L1586" t="str">
        <f>"075307"</f>
        <v>075307</v>
      </c>
      <c r="M1586" t="str">
        <f>"82511"</f>
        <v>82511</v>
      </c>
      <c r="N1586" t="s">
        <v>582</v>
      </c>
      <c r="O1586">
        <v>175</v>
      </c>
      <c r="P1586">
        <v>20190115</v>
      </c>
      <c r="Q1586" t="s">
        <v>309</v>
      </c>
      <c r="R1586" t="s">
        <v>872</v>
      </c>
      <c r="S1586" t="s">
        <v>295</v>
      </c>
      <c r="T1586" t="s">
        <v>301</v>
      </c>
    </row>
    <row r="1587" spans="1:20" x14ac:dyDescent="0.25">
      <c r="A1587">
        <v>9</v>
      </c>
      <c r="B1587">
        <v>181</v>
      </c>
      <c r="C1587" t="str">
        <f t="shared" si="226"/>
        <v>36</v>
      </c>
      <c r="D1587">
        <v>6396</v>
      </c>
      <c r="E1587" t="str">
        <f>"30"</f>
        <v>30</v>
      </c>
      <c r="F1587" t="str">
        <f t="shared" si="230"/>
        <v>001</v>
      </c>
      <c r="G1587">
        <v>9</v>
      </c>
      <c r="H1587" t="str">
        <f t="shared" si="227"/>
        <v>91</v>
      </c>
      <c r="I1587" t="str">
        <f>"0"</f>
        <v>0</v>
      </c>
      <c r="J1587" t="str">
        <f t="shared" si="231"/>
        <v>39</v>
      </c>
      <c r="K1587">
        <v>20190125</v>
      </c>
      <c r="L1587" t="str">
        <f>"075311"</f>
        <v>075311</v>
      </c>
      <c r="M1587" t="str">
        <f>"01240"</f>
        <v>01240</v>
      </c>
      <c r="N1587" t="s">
        <v>318</v>
      </c>
      <c r="O1587">
        <v>400</v>
      </c>
      <c r="P1587">
        <v>20190124</v>
      </c>
      <c r="Q1587" t="s">
        <v>319</v>
      </c>
      <c r="R1587" t="s">
        <v>873</v>
      </c>
      <c r="S1587" t="s">
        <v>295</v>
      </c>
      <c r="T1587" t="s">
        <v>301</v>
      </c>
    </row>
    <row r="1588" spans="1:20" x14ac:dyDescent="0.25">
      <c r="A1588">
        <v>9</v>
      </c>
      <c r="B1588">
        <v>181</v>
      </c>
      <c r="C1588" t="str">
        <f t="shared" si="226"/>
        <v>36</v>
      </c>
      <c r="D1588">
        <v>6412</v>
      </c>
      <c r="E1588" t="str">
        <f>"09"</f>
        <v>09</v>
      </c>
      <c r="F1588" t="str">
        <f t="shared" si="230"/>
        <v>001</v>
      </c>
      <c r="G1588">
        <v>9</v>
      </c>
      <c r="H1588" t="str">
        <f t="shared" si="227"/>
        <v>91</v>
      </c>
      <c r="I1588" t="str">
        <f>"S"</f>
        <v>S</v>
      </c>
      <c r="J1588" t="str">
        <f t="shared" si="231"/>
        <v>39</v>
      </c>
      <c r="K1588">
        <v>20190125</v>
      </c>
      <c r="L1588" t="str">
        <f>"075314"</f>
        <v>075314</v>
      </c>
      <c r="M1588" t="str">
        <f>"03332"</f>
        <v>03332</v>
      </c>
      <c r="N1588" t="s">
        <v>458</v>
      </c>
      <c r="O1588">
        <v>456</v>
      </c>
      <c r="P1588">
        <v>20190125</v>
      </c>
      <c r="Q1588" t="s">
        <v>874</v>
      </c>
      <c r="R1588" t="s">
        <v>875</v>
      </c>
      <c r="S1588" t="s">
        <v>295</v>
      </c>
      <c r="T1588" t="s">
        <v>301</v>
      </c>
    </row>
    <row r="1589" spans="1:20" x14ac:dyDescent="0.25">
      <c r="A1589">
        <v>9</v>
      </c>
      <c r="B1589">
        <v>181</v>
      </c>
      <c r="C1589" t="str">
        <f t="shared" si="226"/>
        <v>36</v>
      </c>
      <c r="D1589">
        <v>6412</v>
      </c>
      <c r="E1589" t="str">
        <f>"09"</f>
        <v>09</v>
      </c>
      <c r="F1589" t="str">
        <f t="shared" si="230"/>
        <v>001</v>
      </c>
      <c r="G1589">
        <v>9</v>
      </c>
      <c r="H1589" t="str">
        <f t="shared" si="227"/>
        <v>91</v>
      </c>
      <c r="I1589" t="str">
        <f>"S"</f>
        <v>S</v>
      </c>
      <c r="J1589" t="str">
        <f t="shared" si="231"/>
        <v>39</v>
      </c>
      <c r="K1589">
        <v>20190125</v>
      </c>
      <c r="L1589" t="str">
        <f>"075314"</f>
        <v>075314</v>
      </c>
      <c r="M1589" t="str">
        <f>"03332"</f>
        <v>03332</v>
      </c>
      <c r="N1589" t="s">
        <v>458</v>
      </c>
      <c r="O1589">
        <v>100</v>
      </c>
      <c r="P1589">
        <v>20190125</v>
      </c>
      <c r="Q1589" t="s">
        <v>874</v>
      </c>
      <c r="R1589" t="s">
        <v>875</v>
      </c>
      <c r="S1589" t="s">
        <v>295</v>
      </c>
      <c r="T1589" t="s">
        <v>301</v>
      </c>
    </row>
    <row r="1590" spans="1:20" x14ac:dyDescent="0.25">
      <c r="A1590">
        <v>9</v>
      </c>
      <c r="B1590">
        <v>181</v>
      </c>
      <c r="C1590" t="str">
        <f t="shared" si="226"/>
        <v>36</v>
      </c>
      <c r="D1590">
        <v>6399</v>
      </c>
      <c r="E1590" t="str">
        <f>"38"</f>
        <v>38</v>
      </c>
      <c r="F1590" t="str">
        <f t="shared" si="230"/>
        <v>001</v>
      </c>
      <c r="G1590">
        <v>9</v>
      </c>
      <c r="H1590" t="str">
        <f t="shared" si="227"/>
        <v>91</v>
      </c>
      <c r="I1590" t="str">
        <f>"0"</f>
        <v>0</v>
      </c>
      <c r="J1590" t="str">
        <f t="shared" si="231"/>
        <v>39</v>
      </c>
      <c r="K1590">
        <v>20190125</v>
      </c>
      <c r="L1590" t="str">
        <f>"075315"</f>
        <v>075315</v>
      </c>
      <c r="M1590" t="str">
        <f>"03450"</f>
        <v>03450</v>
      </c>
      <c r="N1590" t="s">
        <v>549</v>
      </c>
      <c r="O1590">
        <v>475.5</v>
      </c>
      <c r="P1590">
        <v>20190124</v>
      </c>
      <c r="Q1590" t="s">
        <v>462</v>
      </c>
      <c r="R1590" t="s">
        <v>876</v>
      </c>
      <c r="S1590" t="s">
        <v>295</v>
      </c>
      <c r="T1590" t="s">
        <v>301</v>
      </c>
    </row>
    <row r="1591" spans="1:20" x14ac:dyDescent="0.25">
      <c r="A1591">
        <v>9</v>
      </c>
      <c r="B1591">
        <v>181</v>
      </c>
      <c r="C1591" t="str">
        <f t="shared" si="226"/>
        <v>36</v>
      </c>
      <c r="D1591">
        <v>6411</v>
      </c>
      <c r="E1591" t="str">
        <f>"33"</f>
        <v>33</v>
      </c>
      <c r="F1591" t="str">
        <f t="shared" si="230"/>
        <v>001</v>
      </c>
      <c r="G1591">
        <v>9</v>
      </c>
      <c r="H1591" t="str">
        <f t="shared" si="227"/>
        <v>91</v>
      </c>
      <c r="I1591" t="str">
        <f>"0"</f>
        <v>0</v>
      </c>
      <c r="J1591" t="str">
        <f t="shared" si="231"/>
        <v>39</v>
      </c>
      <c r="K1591">
        <v>20190125</v>
      </c>
      <c r="L1591" t="str">
        <f>"075321"</f>
        <v>075321</v>
      </c>
      <c r="M1591" t="str">
        <f>"09170"</f>
        <v>09170</v>
      </c>
      <c r="N1591" t="s">
        <v>679</v>
      </c>
      <c r="O1591">
        <v>659.12</v>
      </c>
      <c r="P1591">
        <v>20190124</v>
      </c>
      <c r="Q1591" t="s">
        <v>306</v>
      </c>
      <c r="R1591" t="s">
        <v>877</v>
      </c>
      <c r="S1591" t="s">
        <v>295</v>
      </c>
      <c r="T1591" t="s">
        <v>301</v>
      </c>
    </row>
    <row r="1592" spans="1:20" x14ac:dyDescent="0.25">
      <c r="A1592">
        <v>9</v>
      </c>
      <c r="B1592">
        <v>181</v>
      </c>
      <c r="C1592" t="str">
        <f t="shared" si="226"/>
        <v>36</v>
      </c>
      <c r="D1592">
        <v>6399</v>
      </c>
      <c r="E1592" t="str">
        <f>"3F"</f>
        <v>3F</v>
      </c>
      <c r="F1592" t="str">
        <f t="shared" si="230"/>
        <v>001</v>
      </c>
      <c r="G1592">
        <v>9</v>
      </c>
      <c r="H1592" t="str">
        <f t="shared" si="227"/>
        <v>91</v>
      </c>
      <c r="I1592" t="str">
        <f>"0"</f>
        <v>0</v>
      </c>
      <c r="J1592" t="str">
        <f t="shared" si="231"/>
        <v>39</v>
      </c>
      <c r="K1592">
        <v>20190125</v>
      </c>
      <c r="L1592" t="str">
        <f>"075325"</f>
        <v>075325</v>
      </c>
      <c r="M1592" t="str">
        <f>"00669"</f>
        <v>00669</v>
      </c>
      <c r="N1592" t="s">
        <v>878</v>
      </c>
      <c r="O1592" s="1">
        <v>1020.25</v>
      </c>
      <c r="P1592">
        <v>20190124</v>
      </c>
      <c r="Q1592" t="s">
        <v>466</v>
      </c>
      <c r="R1592" t="s">
        <v>879</v>
      </c>
      <c r="S1592" t="s">
        <v>295</v>
      </c>
      <c r="T1592" t="s">
        <v>301</v>
      </c>
    </row>
    <row r="1593" spans="1:20" x14ac:dyDescent="0.25">
      <c r="A1593">
        <v>9</v>
      </c>
      <c r="B1593">
        <v>181</v>
      </c>
      <c r="C1593" t="str">
        <f t="shared" si="226"/>
        <v>36</v>
      </c>
      <c r="D1593">
        <v>6399</v>
      </c>
      <c r="E1593" t="str">
        <f>"3N"</f>
        <v>3N</v>
      </c>
      <c r="F1593" t="str">
        <f t="shared" si="230"/>
        <v>001</v>
      </c>
      <c r="G1593">
        <v>9</v>
      </c>
      <c r="H1593" t="str">
        <f t="shared" si="227"/>
        <v>91</v>
      </c>
      <c r="I1593" t="str">
        <f>"0"</f>
        <v>0</v>
      </c>
      <c r="J1593" t="str">
        <f t="shared" si="231"/>
        <v>39</v>
      </c>
      <c r="K1593">
        <v>20190125</v>
      </c>
      <c r="L1593" t="str">
        <f>"075327"</f>
        <v>075327</v>
      </c>
      <c r="M1593" t="str">
        <f>"08788"</f>
        <v>08788</v>
      </c>
      <c r="N1593" t="s">
        <v>473</v>
      </c>
      <c r="O1593">
        <v>285.64999999999998</v>
      </c>
      <c r="P1593">
        <v>20190124</v>
      </c>
      <c r="Q1593" t="s">
        <v>880</v>
      </c>
      <c r="R1593" t="s">
        <v>881</v>
      </c>
      <c r="S1593" t="s">
        <v>295</v>
      </c>
      <c r="T1593" t="s">
        <v>301</v>
      </c>
    </row>
    <row r="1594" spans="1:20" x14ac:dyDescent="0.25">
      <c r="A1594">
        <v>9</v>
      </c>
      <c r="B1594">
        <v>181</v>
      </c>
      <c r="C1594" t="str">
        <f t="shared" si="226"/>
        <v>36</v>
      </c>
      <c r="D1594">
        <v>6412</v>
      </c>
      <c r="E1594" t="str">
        <f>"3D"</f>
        <v>3D</v>
      </c>
      <c r="F1594" t="str">
        <f t="shared" si="230"/>
        <v>001</v>
      </c>
      <c r="G1594">
        <v>9</v>
      </c>
      <c r="H1594" t="str">
        <f t="shared" si="227"/>
        <v>91</v>
      </c>
      <c r="I1594" t="str">
        <f>"1"</f>
        <v>1</v>
      </c>
      <c r="J1594" t="str">
        <f t="shared" si="231"/>
        <v>39</v>
      </c>
      <c r="K1594">
        <v>20190125</v>
      </c>
      <c r="L1594" t="str">
        <f>"075329"</f>
        <v>075329</v>
      </c>
      <c r="M1594" t="str">
        <f>"00682"</f>
        <v>00682</v>
      </c>
      <c r="N1594" t="s">
        <v>882</v>
      </c>
      <c r="O1594">
        <v>88.52</v>
      </c>
      <c r="P1594">
        <v>20190124</v>
      </c>
      <c r="Q1594" t="s">
        <v>684</v>
      </c>
      <c r="R1594" t="s">
        <v>883</v>
      </c>
      <c r="S1594" t="s">
        <v>295</v>
      </c>
      <c r="T1594" t="s">
        <v>301</v>
      </c>
    </row>
    <row r="1595" spans="1:20" x14ac:dyDescent="0.25">
      <c r="A1595">
        <v>9</v>
      </c>
      <c r="B1595">
        <v>181</v>
      </c>
      <c r="C1595" t="str">
        <f t="shared" si="226"/>
        <v>36</v>
      </c>
      <c r="D1595">
        <v>6411</v>
      </c>
      <c r="E1595" t="str">
        <f>"33"</f>
        <v>33</v>
      </c>
      <c r="F1595" t="str">
        <f t="shared" si="230"/>
        <v>001</v>
      </c>
      <c r="G1595">
        <v>9</v>
      </c>
      <c r="H1595" t="str">
        <f t="shared" si="227"/>
        <v>91</v>
      </c>
      <c r="I1595" t="str">
        <f>"0"</f>
        <v>0</v>
      </c>
      <c r="J1595" t="str">
        <f t="shared" si="231"/>
        <v>39</v>
      </c>
      <c r="K1595">
        <v>20190125</v>
      </c>
      <c r="L1595" t="str">
        <f>"075333"</f>
        <v>075333</v>
      </c>
      <c r="M1595" t="str">
        <f>"21082"</f>
        <v>21082</v>
      </c>
      <c r="N1595" t="s">
        <v>773</v>
      </c>
      <c r="O1595">
        <v>370</v>
      </c>
      <c r="P1595">
        <v>20190124</v>
      </c>
      <c r="Q1595" t="s">
        <v>306</v>
      </c>
      <c r="R1595" t="s">
        <v>884</v>
      </c>
      <c r="S1595" t="s">
        <v>295</v>
      </c>
      <c r="T1595" t="s">
        <v>301</v>
      </c>
    </row>
    <row r="1596" spans="1:20" x14ac:dyDescent="0.25">
      <c r="A1596">
        <v>9</v>
      </c>
      <c r="B1596">
        <v>181</v>
      </c>
      <c r="C1596" t="str">
        <f t="shared" si="226"/>
        <v>36</v>
      </c>
      <c r="D1596">
        <v>6412</v>
      </c>
      <c r="E1596" t="str">
        <f>"3S"</f>
        <v>3S</v>
      </c>
      <c r="F1596" t="str">
        <f t="shared" si="230"/>
        <v>001</v>
      </c>
      <c r="G1596">
        <v>9</v>
      </c>
      <c r="H1596" t="str">
        <f t="shared" si="227"/>
        <v>91</v>
      </c>
      <c r="I1596" t="str">
        <f>"1"</f>
        <v>1</v>
      </c>
      <c r="J1596" t="str">
        <f t="shared" si="231"/>
        <v>39</v>
      </c>
      <c r="K1596">
        <v>20190125</v>
      </c>
      <c r="L1596" t="str">
        <f>"075376"</f>
        <v>075376</v>
      </c>
      <c r="M1596" t="str">
        <f>"45093"</f>
        <v>45093</v>
      </c>
      <c r="N1596" t="s">
        <v>885</v>
      </c>
      <c r="O1596">
        <v>98.85</v>
      </c>
      <c r="P1596">
        <v>20190124</v>
      </c>
      <c r="Q1596" t="s">
        <v>514</v>
      </c>
      <c r="R1596" t="s">
        <v>649</v>
      </c>
      <c r="S1596" t="s">
        <v>295</v>
      </c>
      <c r="T1596" t="s">
        <v>301</v>
      </c>
    </row>
    <row r="1597" spans="1:20" x14ac:dyDescent="0.25">
      <c r="A1597">
        <v>9</v>
      </c>
      <c r="B1597">
        <v>181</v>
      </c>
      <c r="C1597" t="str">
        <f t="shared" si="226"/>
        <v>36</v>
      </c>
      <c r="D1597">
        <v>6412</v>
      </c>
      <c r="E1597" t="str">
        <f>"3T"</f>
        <v>3T</v>
      </c>
      <c r="F1597" t="str">
        <f t="shared" si="230"/>
        <v>001</v>
      </c>
      <c r="G1597">
        <v>9</v>
      </c>
      <c r="H1597" t="str">
        <f t="shared" si="227"/>
        <v>91</v>
      </c>
      <c r="I1597" t="str">
        <f>"1"</f>
        <v>1</v>
      </c>
      <c r="J1597" t="str">
        <f t="shared" si="231"/>
        <v>39</v>
      </c>
      <c r="K1597">
        <v>20190125</v>
      </c>
      <c r="L1597" t="str">
        <f>"075376"</f>
        <v>075376</v>
      </c>
      <c r="M1597" t="str">
        <f>"45093"</f>
        <v>45093</v>
      </c>
      <c r="N1597" t="s">
        <v>885</v>
      </c>
      <c r="O1597">
        <v>161.80000000000001</v>
      </c>
      <c r="P1597">
        <v>20190124</v>
      </c>
      <c r="Q1597" t="s">
        <v>419</v>
      </c>
      <c r="R1597" t="s">
        <v>886</v>
      </c>
      <c r="S1597" t="s">
        <v>295</v>
      </c>
      <c r="T1597" t="s">
        <v>301</v>
      </c>
    </row>
    <row r="1598" spans="1:20" x14ac:dyDescent="0.25">
      <c r="A1598">
        <v>9</v>
      </c>
      <c r="B1598">
        <v>181</v>
      </c>
      <c r="C1598" t="str">
        <f t="shared" si="226"/>
        <v>36</v>
      </c>
      <c r="D1598">
        <v>6219</v>
      </c>
      <c r="E1598" t="str">
        <f>"3D"</f>
        <v>3D</v>
      </c>
      <c r="F1598" t="str">
        <f>"041"</f>
        <v>041</v>
      </c>
      <c r="G1598">
        <v>9</v>
      </c>
      <c r="H1598" t="str">
        <f t="shared" si="227"/>
        <v>91</v>
      </c>
      <c r="I1598" t="str">
        <f>"0"</f>
        <v>0</v>
      </c>
      <c r="J1598" t="str">
        <f>"41"</f>
        <v>41</v>
      </c>
      <c r="K1598">
        <v>20190125</v>
      </c>
      <c r="L1598" t="str">
        <f>"075395"</f>
        <v>075395</v>
      </c>
      <c r="M1598" t="str">
        <f>"00683"</f>
        <v>00683</v>
      </c>
      <c r="N1598" t="s">
        <v>887</v>
      </c>
      <c r="O1598">
        <v>85</v>
      </c>
      <c r="P1598">
        <v>20190124</v>
      </c>
      <c r="Q1598" t="s">
        <v>704</v>
      </c>
      <c r="R1598" t="s">
        <v>888</v>
      </c>
      <c r="S1598" t="s">
        <v>295</v>
      </c>
      <c r="T1598" t="s">
        <v>106</v>
      </c>
    </row>
    <row r="1599" spans="1:20" x14ac:dyDescent="0.25">
      <c r="A1599">
        <v>9</v>
      </c>
      <c r="B1599">
        <v>181</v>
      </c>
      <c r="C1599" t="str">
        <f t="shared" si="226"/>
        <v>36</v>
      </c>
      <c r="D1599">
        <v>6219</v>
      </c>
      <c r="E1599" t="str">
        <f>"3D"</f>
        <v>3D</v>
      </c>
      <c r="F1599" t="str">
        <f>"041"</f>
        <v>041</v>
      </c>
      <c r="G1599">
        <v>9</v>
      </c>
      <c r="H1599" t="str">
        <f t="shared" si="227"/>
        <v>91</v>
      </c>
      <c r="I1599" t="str">
        <f>"0"</f>
        <v>0</v>
      </c>
      <c r="J1599" t="str">
        <f>"41"</f>
        <v>41</v>
      </c>
      <c r="K1599">
        <v>20190125</v>
      </c>
      <c r="L1599" t="str">
        <f>"075396"</f>
        <v>075396</v>
      </c>
      <c r="M1599" t="str">
        <f>"57991"</f>
        <v>57991</v>
      </c>
      <c r="N1599" t="s">
        <v>372</v>
      </c>
      <c r="O1599">
        <v>85</v>
      </c>
      <c r="P1599">
        <v>20190124</v>
      </c>
      <c r="Q1599" t="s">
        <v>704</v>
      </c>
      <c r="R1599" t="s">
        <v>888</v>
      </c>
      <c r="S1599" t="s">
        <v>295</v>
      </c>
      <c r="T1599" t="s">
        <v>106</v>
      </c>
    </row>
    <row r="1600" spans="1:20" x14ac:dyDescent="0.25">
      <c r="A1600">
        <v>9</v>
      </c>
      <c r="B1600">
        <v>181</v>
      </c>
      <c r="C1600" t="str">
        <f t="shared" si="226"/>
        <v>36</v>
      </c>
      <c r="D1600">
        <v>6219</v>
      </c>
      <c r="E1600" t="str">
        <f>"3D"</f>
        <v>3D</v>
      </c>
      <c r="F1600" t="str">
        <f>"041"</f>
        <v>041</v>
      </c>
      <c r="G1600">
        <v>9</v>
      </c>
      <c r="H1600" t="str">
        <f t="shared" si="227"/>
        <v>91</v>
      </c>
      <c r="I1600" t="str">
        <f>"0"</f>
        <v>0</v>
      </c>
      <c r="J1600" t="str">
        <f>"41"</f>
        <v>41</v>
      </c>
      <c r="K1600">
        <v>20190125</v>
      </c>
      <c r="L1600" t="str">
        <f>"075404"</f>
        <v>075404</v>
      </c>
      <c r="M1600" t="str">
        <f>"64822"</f>
        <v>64822</v>
      </c>
      <c r="N1600" t="s">
        <v>889</v>
      </c>
      <c r="O1600">
        <v>85</v>
      </c>
      <c r="P1600">
        <v>20190124</v>
      </c>
      <c r="Q1600" t="s">
        <v>704</v>
      </c>
      <c r="R1600" t="s">
        <v>888</v>
      </c>
      <c r="S1600" t="s">
        <v>295</v>
      </c>
      <c r="T1600" t="s">
        <v>106</v>
      </c>
    </row>
    <row r="1601" spans="1:20" x14ac:dyDescent="0.25">
      <c r="A1601">
        <v>9</v>
      </c>
      <c r="B1601">
        <v>181</v>
      </c>
      <c r="C1601" t="str">
        <f t="shared" si="226"/>
        <v>36</v>
      </c>
      <c r="D1601">
        <v>6219</v>
      </c>
      <c r="E1601" t="str">
        <f>"3D"</f>
        <v>3D</v>
      </c>
      <c r="F1601" t="str">
        <f>"041"</f>
        <v>041</v>
      </c>
      <c r="G1601">
        <v>9</v>
      </c>
      <c r="H1601" t="str">
        <f t="shared" si="227"/>
        <v>91</v>
      </c>
      <c r="I1601" t="str">
        <f>"0"</f>
        <v>0</v>
      </c>
      <c r="J1601" t="str">
        <f>"41"</f>
        <v>41</v>
      </c>
      <c r="K1601">
        <v>20190125</v>
      </c>
      <c r="L1601" t="str">
        <f>"075416"</f>
        <v>075416</v>
      </c>
      <c r="M1601" t="str">
        <f>"80470"</f>
        <v>80470</v>
      </c>
      <c r="N1601" t="s">
        <v>391</v>
      </c>
      <c r="O1601">
        <v>30</v>
      </c>
      <c r="P1601">
        <v>20190124</v>
      </c>
      <c r="Q1601" t="s">
        <v>704</v>
      </c>
      <c r="R1601" t="s">
        <v>888</v>
      </c>
      <c r="S1601" t="s">
        <v>295</v>
      </c>
      <c r="T1601" t="s">
        <v>106</v>
      </c>
    </row>
    <row r="1602" spans="1:20" x14ac:dyDescent="0.25">
      <c r="A1602">
        <v>9</v>
      </c>
      <c r="B1602">
        <v>181</v>
      </c>
      <c r="C1602" t="str">
        <f t="shared" si="226"/>
        <v>36</v>
      </c>
      <c r="D1602">
        <v>6412</v>
      </c>
      <c r="E1602" t="str">
        <f>"3G"</f>
        <v>3G</v>
      </c>
      <c r="F1602" t="str">
        <f>"001"</f>
        <v>001</v>
      </c>
      <c r="G1602">
        <v>9</v>
      </c>
      <c r="H1602" t="str">
        <f t="shared" si="227"/>
        <v>91</v>
      </c>
      <c r="I1602" t="str">
        <f>"2"</f>
        <v>2</v>
      </c>
      <c r="J1602" t="str">
        <f>"39"</f>
        <v>39</v>
      </c>
      <c r="K1602">
        <v>20190125</v>
      </c>
      <c r="L1602" t="str">
        <f>"075422"</f>
        <v>075422</v>
      </c>
      <c r="M1602" t="str">
        <f>"82510"</f>
        <v>82510</v>
      </c>
      <c r="N1602" t="s">
        <v>890</v>
      </c>
      <c r="O1602">
        <v>190</v>
      </c>
      <c r="P1602">
        <v>20190125</v>
      </c>
      <c r="Q1602" t="s">
        <v>309</v>
      </c>
      <c r="R1602" t="s">
        <v>891</v>
      </c>
      <c r="S1602" t="s">
        <v>295</v>
      </c>
      <c r="T1602" t="s">
        <v>301</v>
      </c>
    </row>
    <row r="1603" spans="1:20" x14ac:dyDescent="0.25">
      <c r="A1603">
        <v>9</v>
      </c>
      <c r="B1603">
        <v>181</v>
      </c>
      <c r="C1603" t="str">
        <f t="shared" si="226"/>
        <v>36</v>
      </c>
      <c r="D1603">
        <v>6219</v>
      </c>
      <c r="E1603" t="str">
        <f>"3D"</f>
        <v>3D</v>
      </c>
      <c r="F1603" t="str">
        <f>"041"</f>
        <v>041</v>
      </c>
      <c r="G1603">
        <v>9</v>
      </c>
      <c r="H1603" t="str">
        <f t="shared" si="227"/>
        <v>91</v>
      </c>
      <c r="I1603" t="str">
        <f>"0"</f>
        <v>0</v>
      </c>
      <c r="J1603" t="str">
        <f>"41"</f>
        <v>41</v>
      </c>
      <c r="K1603">
        <v>20190125</v>
      </c>
      <c r="L1603" t="str">
        <f>"075426"</f>
        <v>075426</v>
      </c>
      <c r="M1603" t="str">
        <f>"00173"</f>
        <v>00173</v>
      </c>
      <c r="N1603" t="s">
        <v>861</v>
      </c>
      <c r="O1603">
        <v>85</v>
      </c>
      <c r="P1603">
        <v>20190124</v>
      </c>
      <c r="Q1603" t="s">
        <v>704</v>
      </c>
      <c r="R1603" t="s">
        <v>888</v>
      </c>
      <c r="S1603" t="s">
        <v>295</v>
      </c>
      <c r="T1603" t="s">
        <v>106</v>
      </c>
    </row>
    <row r="1604" spans="1:20" x14ac:dyDescent="0.25">
      <c r="A1604">
        <v>9</v>
      </c>
      <c r="B1604">
        <v>181</v>
      </c>
      <c r="C1604" t="str">
        <f t="shared" si="226"/>
        <v>36</v>
      </c>
      <c r="D1604">
        <v>6219</v>
      </c>
      <c r="E1604" t="str">
        <f>"3D"</f>
        <v>3D</v>
      </c>
      <c r="F1604" t="str">
        <f>"041"</f>
        <v>041</v>
      </c>
      <c r="G1604">
        <v>9</v>
      </c>
      <c r="H1604" t="str">
        <f t="shared" si="227"/>
        <v>91</v>
      </c>
      <c r="I1604" t="str">
        <f>"0"</f>
        <v>0</v>
      </c>
      <c r="J1604" t="str">
        <f>"41"</f>
        <v>41</v>
      </c>
      <c r="K1604">
        <v>20190131</v>
      </c>
      <c r="L1604" t="str">
        <f>"075431"</f>
        <v>075431</v>
      </c>
      <c r="M1604" t="str">
        <f>"00646"</f>
        <v>00646</v>
      </c>
      <c r="N1604" t="s">
        <v>694</v>
      </c>
      <c r="O1604">
        <v>85</v>
      </c>
      <c r="P1604">
        <v>20190130</v>
      </c>
      <c r="Q1604" t="s">
        <v>704</v>
      </c>
      <c r="R1604" t="s">
        <v>892</v>
      </c>
      <c r="S1604" t="s">
        <v>295</v>
      </c>
      <c r="T1604" t="s">
        <v>106</v>
      </c>
    </row>
    <row r="1605" spans="1:20" x14ac:dyDescent="0.25">
      <c r="A1605">
        <v>9</v>
      </c>
      <c r="B1605">
        <v>181</v>
      </c>
      <c r="C1605" t="str">
        <f t="shared" si="226"/>
        <v>36</v>
      </c>
      <c r="D1605">
        <v>6411</v>
      </c>
      <c r="E1605" t="str">
        <f>"33"</f>
        <v>33</v>
      </c>
      <c r="F1605" t="str">
        <f>"001"</f>
        <v>001</v>
      </c>
      <c r="G1605">
        <v>9</v>
      </c>
      <c r="H1605" t="str">
        <f t="shared" si="227"/>
        <v>91</v>
      </c>
      <c r="I1605" t="str">
        <f>"0"</f>
        <v>0</v>
      </c>
      <c r="J1605" t="str">
        <f>"39"</f>
        <v>39</v>
      </c>
      <c r="K1605">
        <v>20190131</v>
      </c>
      <c r="L1605" t="str">
        <f>"075432"</f>
        <v>075432</v>
      </c>
      <c r="M1605" t="str">
        <f>"00257"</f>
        <v>00257</v>
      </c>
      <c r="N1605" t="s">
        <v>893</v>
      </c>
      <c r="O1605">
        <v>46.65</v>
      </c>
      <c r="P1605">
        <v>20190130</v>
      </c>
      <c r="Q1605" t="s">
        <v>306</v>
      </c>
      <c r="R1605" t="s">
        <v>877</v>
      </c>
      <c r="S1605" t="s">
        <v>295</v>
      </c>
      <c r="T1605" t="s">
        <v>301</v>
      </c>
    </row>
    <row r="1606" spans="1:20" x14ac:dyDescent="0.25">
      <c r="A1606">
        <v>9</v>
      </c>
      <c r="B1606">
        <v>181</v>
      </c>
      <c r="C1606" t="str">
        <f t="shared" si="226"/>
        <v>36</v>
      </c>
      <c r="D1606">
        <v>6412</v>
      </c>
      <c r="E1606" t="str">
        <f>"3G"</f>
        <v>3G</v>
      </c>
      <c r="F1606" t="str">
        <f>"001"</f>
        <v>001</v>
      </c>
      <c r="G1606">
        <v>9</v>
      </c>
      <c r="H1606" t="str">
        <f t="shared" si="227"/>
        <v>91</v>
      </c>
      <c r="I1606" t="str">
        <f>"2"</f>
        <v>2</v>
      </c>
      <c r="J1606" t="str">
        <f>"39"</f>
        <v>39</v>
      </c>
      <c r="K1606">
        <v>20190131</v>
      </c>
      <c r="L1606" t="str">
        <f>"075433"</f>
        <v>075433</v>
      </c>
      <c r="M1606" t="str">
        <f>"03693"</f>
        <v>03693</v>
      </c>
      <c r="N1606" t="s">
        <v>767</v>
      </c>
      <c r="O1606">
        <v>390</v>
      </c>
      <c r="P1606">
        <v>20190130</v>
      </c>
      <c r="Q1606" t="s">
        <v>309</v>
      </c>
      <c r="R1606" t="s">
        <v>894</v>
      </c>
      <c r="S1606" t="s">
        <v>295</v>
      </c>
      <c r="T1606" t="s">
        <v>301</v>
      </c>
    </row>
    <row r="1607" spans="1:20" x14ac:dyDescent="0.25">
      <c r="A1607">
        <v>9</v>
      </c>
      <c r="B1607">
        <v>181</v>
      </c>
      <c r="C1607" t="str">
        <f t="shared" si="226"/>
        <v>36</v>
      </c>
      <c r="D1607">
        <v>6411</v>
      </c>
      <c r="E1607" t="str">
        <f>"33"</f>
        <v>33</v>
      </c>
      <c r="F1607" t="str">
        <f>"001"</f>
        <v>001</v>
      </c>
      <c r="G1607">
        <v>9</v>
      </c>
      <c r="H1607" t="str">
        <f t="shared" si="227"/>
        <v>91</v>
      </c>
      <c r="I1607" t="str">
        <f>"0"</f>
        <v>0</v>
      </c>
      <c r="J1607" t="str">
        <f>"39"</f>
        <v>39</v>
      </c>
      <c r="K1607">
        <v>20190131</v>
      </c>
      <c r="L1607" t="str">
        <f>"075437"</f>
        <v>075437</v>
      </c>
      <c r="M1607" t="str">
        <f>"08440"</f>
        <v>08440</v>
      </c>
      <c r="N1607" t="s">
        <v>895</v>
      </c>
      <c r="O1607">
        <v>62.33</v>
      </c>
      <c r="P1607">
        <v>20190130</v>
      </c>
      <c r="Q1607" t="s">
        <v>306</v>
      </c>
      <c r="R1607" t="s">
        <v>877</v>
      </c>
      <c r="S1607" t="s">
        <v>295</v>
      </c>
      <c r="T1607" t="s">
        <v>301</v>
      </c>
    </row>
    <row r="1608" spans="1:20" x14ac:dyDescent="0.25">
      <c r="A1608">
        <v>9</v>
      </c>
      <c r="B1608">
        <v>181</v>
      </c>
      <c r="C1608" t="str">
        <f t="shared" si="226"/>
        <v>36</v>
      </c>
      <c r="D1608">
        <v>6219</v>
      </c>
      <c r="E1608" t="str">
        <f>"3D"</f>
        <v>3D</v>
      </c>
      <c r="F1608" t="str">
        <f>"041"</f>
        <v>041</v>
      </c>
      <c r="G1608">
        <v>9</v>
      </c>
      <c r="H1608" t="str">
        <f t="shared" si="227"/>
        <v>91</v>
      </c>
      <c r="I1608" t="str">
        <f>"0"</f>
        <v>0</v>
      </c>
      <c r="J1608" t="str">
        <f>"41"</f>
        <v>41</v>
      </c>
      <c r="K1608">
        <v>20190131</v>
      </c>
      <c r="L1608" t="str">
        <f>"075439"</f>
        <v>075439</v>
      </c>
      <c r="M1608" t="str">
        <f>"10167"</f>
        <v>10167</v>
      </c>
      <c r="N1608" t="s">
        <v>896</v>
      </c>
      <c r="O1608">
        <v>85</v>
      </c>
      <c r="P1608">
        <v>20190130</v>
      </c>
      <c r="Q1608" t="s">
        <v>704</v>
      </c>
      <c r="R1608" t="s">
        <v>892</v>
      </c>
      <c r="S1608" t="s">
        <v>295</v>
      </c>
      <c r="T1608" t="s">
        <v>106</v>
      </c>
    </row>
    <row r="1609" spans="1:20" x14ac:dyDescent="0.25">
      <c r="A1609">
        <v>9</v>
      </c>
      <c r="B1609">
        <v>181</v>
      </c>
      <c r="C1609" t="str">
        <f t="shared" si="226"/>
        <v>36</v>
      </c>
      <c r="D1609">
        <v>6412</v>
      </c>
      <c r="E1609" t="str">
        <f>"3M"</f>
        <v>3M</v>
      </c>
      <c r="F1609" t="str">
        <f t="shared" ref="F1609:F1616" si="232">"001"</f>
        <v>001</v>
      </c>
      <c r="G1609">
        <v>9</v>
      </c>
      <c r="H1609" t="str">
        <f t="shared" si="227"/>
        <v>91</v>
      </c>
      <c r="I1609" t="str">
        <f>"2"</f>
        <v>2</v>
      </c>
      <c r="J1609" t="str">
        <f t="shared" ref="J1609:J1616" si="233">"39"</f>
        <v>39</v>
      </c>
      <c r="K1609">
        <v>20190131</v>
      </c>
      <c r="L1609" t="str">
        <f>"075443"</f>
        <v>075443</v>
      </c>
      <c r="M1609" t="str">
        <f>"18251"</f>
        <v>18251</v>
      </c>
      <c r="N1609" t="s">
        <v>302</v>
      </c>
      <c r="O1609">
        <v>510</v>
      </c>
      <c r="P1609">
        <v>20190131</v>
      </c>
      <c r="Q1609" t="s">
        <v>756</v>
      </c>
      <c r="R1609" t="s">
        <v>897</v>
      </c>
      <c r="S1609" t="s">
        <v>295</v>
      </c>
      <c r="T1609" t="s">
        <v>301</v>
      </c>
    </row>
    <row r="1610" spans="1:20" x14ac:dyDescent="0.25">
      <c r="A1610">
        <v>9</v>
      </c>
      <c r="B1610">
        <v>181</v>
      </c>
      <c r="C1610" t="str">
        <f t="shared" si="226"/>
        <v>36</v>
      </c>
      <c r="D1610">
        <v>6412</v>
      </c>
      <c r="E1610" t="str">
        <f>"3K"</f>
        <v>3K</v>
      </c>
      <c r="F1610" t="str">
        <f t="shared" si="232"/>
        <v>001</v>
      </c>
      <c r="G1610">
        <v>9</v>
      </c>
      <c r="H1610" t="str">
        <f t="shared" si="227"/>
        <v>91</v>
      </c>
      <c r="I1610" t="str">
        <f>"1"</f>
        <v>1</v>
      </c>
      <c r="J1610" t="str">
        <f t="shared" si="233"/>
        <v>39</v>
      </c>
      <c r="K1610">
        <v>20190131</v>
      </c>
      <c r="L1610" t="str">
        <f>"075449"</f>
        <v>075449</v>
      </c>
      <c r="M1610" t="str">
        <f>"20463"</f>
        <v>20463</v>
      </c>
      <c r="N1610" t="s">
        <v>509</v>
      </c>
      <c r="O1610">
        <v>134.13</v>
      </c>
      <c r="P1610">
        <v>20190130</v>
      </c>
      <c r="Q1610" t="s">
        <v>898</v>
      </c>
      <c r="R1610" t="s">
        <v>899</v>
      </c>
      <c r="S1610" t="s">
        <v>295</v>
      </c>
      <c r="T1610" t="s">
        <v>301</v>
      </c>
    </row>
    <row r="1611" spans="1:20" x14ac:dyDescent="0.25">
      <c r="A1611">
        <v>9</v>
      </c>
      <c r="B1611">
        <v>181</v>
      </c>
      <c r="C1611" t="str">
        <f t="shared" si="226"/>
        <v>36</v>
      </c>
      <c r="D1611">
        <v>6412</v>
      </c>
      <c r="E1611" t="str">
        <f>"3K"</f>
        <v>3K</v>
      </c>
      <c r="F1611" t="str">
        <f t="shared" si="232"/>
        <v>001</v>
      </c>
      <c r="G1611">
        <v>9</v>
      </c>
      <c r="H1611" t="str">
        <f t="shared" si="227"/>
        <v>91</v>
      </c>
      <c r="I1611" t="str">
        <f>"1"</f>
        <v>1</v>
      </c>
      <c r="J1611" t="str">
        <f t="shared" si="233"/>
        <v>39</v>
      </c>
      <c r="K1611">
        <v>20190131</v>
      </c>
      <c r="L1611" t="str">
        <f>"075449"</f>
        <v>075449</v>
      </c>
      <c r="M1611" t="str">
        <f>"20463"</f>
        <v>20463</v>
      </c>
      <c r="N1611" t="s">
        <v>509</v>
      </c>
      <c r="O1611">
        <v>117.25</v>
      </c>
      <c r="P1611">
        <v>20190130</v>
      </c>
      <c r="Q1611" t="s">
        <v>898</v>
      </c>
      <c r="R1611" t="s">
        <v>900</v>
      </c>
      <c r="S1611" t="s">
        <v>295</v>
      </c>
      <c r="T1611" t="s">
        <v>301</v>
      </c>
    </row>
    <row r="1612" spans="1:20" x14ac:dyDescent="0.25">
      <c r="A1612">
        <v>9</v>
      </c>
      <c r="B1612">
        <v>181</v>
      </c>
      <c r="C1612" t="str">
        <f t="shared" si="226"/>
        <v>36</v>
      </c>
      <c r="D1612">
        <v>6412</v>
      </c>
      <c r="E1612" t="str">
        <f>"3K"</f>
        <v>3K</v>
      </c>
      <c r="F1612" t="str">
        <f t="shared" si="232"/>
        <v>001</v>
      </c>
      <c r="G1612">
        <v>9</v>
      </c>
      <c r="H1612" t="str">
        <f t="shared" si="227"/>
        <v>91</v>
      </c>
      <c r="I1612" t="str">
        <f>"1"</f>
        <v>1</v>
      </c>
      <c r="J1612" t="str">
        <f t="shared" si="233"/>
        <v>39</v>
      </c>
      <c r="K1612">
        <v>20190131</v>
      </c>
      <c r="L1612" t="str">
        <f>"075451"</f>
        <v>075451</v>
      </c>
      <c r="M1612" t="str">
        <f>"51349"</f>
        <v>51349</v>
      </c>
      <c r="N1612" t="s">
        <v>558</v>
      </c>
      <c r="O1612">
        <v>91</v>
      </c>
      <c r="P1612">
        <v>20190130</v>
      </c>
      <c r="Q1612" t="s">
        <v>898</v>
      </c>
      <c r="R1612" t="s">
        <v>901</v>
      </c>
      <c r="S1612" t="s">
        <v>295</v>
      </c>
      <c r="T1612" t="s">
        <v>301</v>
      </c>
    </row>
    <row r="1613" spans="1:20" x14ac:dyDescent="0.25">
      <c r="A1613">
        <v>9</v>
      </c>
      <c r="B1613">
        <v>181</v>
      </c>
      <c r="C1613" t="str">
        <f t="shared" si="226"/>
        <v>36</v>
      </c>
      <c r="D1613">
        <v>6411</v>
      </c>
      <c r="E1613" t="str">
        <f>"33"</f>
        <v>33</v>
      </c>
      <c r="F1613" t="str">
        <f t="shared" si="232"/>
        <v>001</v>
      </c>
      <c r="G1613">
        <v>9</v>
      </c>
      <c r="H1613" t="str">
        <f t="shared" si="227"/>
        <v>91</v>
      </c>
      <c r="I1613" t="str">
        <f>"0"</f>
        <v>0</v>
      </c>
      <c r="J1613" t="str">
        <f t="shared" si="233"/>
        <v>39</v>
      </c>
      <c r="K1613">
        <v>20190131</v>
      </c>
      <c r="L1613" t="str">
        <f>"075455"</f>
        <v>075455</v>
      </c>
      <c r="M1613" t="str">
        <f>"24120"</f>
        <v>24120</v>
      </c>
      <c r="N1613" t="s">
        <v>902</v>
      </c>
      <c r="O1613">
        <v>34.799999999999997</v>
      </c>
      <c r="P1613">
        <v>20190130</v>
      </c>
      <c r="Q1613" t="s">
        <v>306</v>
      </c>
      <c r="R1613" t="s">
        <v>877</v>
      </c>
      <c r="S1613" t="s">
        <v>295</v>
      </c>
      <c r="T1613" t="s">
        <v>301</v>
      </c>
    </row>
    <row r="1614" spans="1:20" x14ac:dyDescent="0.25">
      <c r="A1614">
        <v>9</v>
      </c>
      <c r="B1614">
        <v>181</v>
      </c>
      <c r="C1614" t="str">
        <f t="shared" si="226"/>
        <v>36</v>
      </c>
      <c r="D1614">
        <v>6412</v>
      </c>
      <c r="E1614" t="str">
        <f>"3B"</f>
        <v>3B</v>
      </c>
      <c r="F1614" t="str">
        <f t="shared" si="232"/>
        <v>001</v>
      </c>
      <c r="G1614">
        <v>9</v>
      </c>
      <c r="H1614" t="str">
        <f t="shared" si="227"/>
        <v>91</v>
      </c>
      <c r="I1614" t="str">
        <f>"1"</f>
        <v>1</v>
      </c>
      <c r="J1614" t="str">
        <f t="shared" si="233"/>
        <v>39</v>
      </c>
      <c r="K1614">
        <v>20190131</v>
      </c>
      <c r="L1614" t="str">
        <f>"075456"</f>
        <v>075456</v>
      </c>
      <c r="M1614" t="str">
        <f>"24335"</f>
        <v>24335</v>
      </c>
      <c r="N1614" t="s">
        <v>516</v>
      </c>
      <c r="O1614">
        <v>247.9</v>
      </c>
      <c r="P1614">
        <v>20190130</v>
      </c>
      <c r="Q1614" t="s">
        <v>668</v>
      </c>
      <c r="R1614" t="s">
        <v>903</v>
      </c>
      <c r="S1614" t="s">
        <v>295</v>
      </c>
      <c r="T1614" t="s">
        <v>301</v>
      </c>
    </row>
    <row r="1615" spans="1:20" x14ac:dyDescent="0.25">
      <c r="A1615">
        <v>9</v>
      </c>
      <c r="B1615">
        <v>181</v>
      </c>
      <c r="C1615" t="str">
        <f t="shared" si="226"/>
        <v>36</v>
      </c>
      <c r="D1615">
        <v>6412</v>
      </c>
      <c r="E1615" t="str">
        <f>"3K"</f>
        <v>3K</v>
      </c>
      <c r="F1615" t="str">
        <f t="shared" si="232"/>
        <v>001</v>
      </c>
      <c r="G1615">
        <v>9</v>
      </c>
      <c r="H1615" t="str">
        <f t="shared" si="227"/>
        <v>91</v>
      </c>
      <c r="I1615" t="str">
        <f>"1"</f>
        <v>1</v>
      </c>
      <c r="J1615" t="str">
        <f t="shared" si="233"/>
        <v>39</v>
      </c>
      <c r="K1615">
        <v>20190131</v>
      </c>
      <c r="L1615" t="str">
        <f>"075457"</f>
        <v>075457</v>
      </c>
      <c r="M1615" t="str">
        <f>"24351"</f>
        <v>24351</v>
      </c>
      <c r="N1615" t="s">
        <v>904</v>
      </c>
      <c r="O1615">
        <v>166.69</v>
      </c>
      <c r="P1615">
        <v>20190130</v>
      </c>
      <c r="Q1615" t="s">
        <v>898</v>
      </c>
      <c r="R1615" t="s">
        <v>905</v>
      </c>
      <c r="S1615" t="s">
        <v>295</v>
      </c>
      <c r="T1615" t="s">
        <v>301</v>
      </c>
    </row>
    <row r="1616" spans="1:20" x14ac:dyDescent="0.25">
      <c r="A1616">
        <v>9</v>
      </c>
      <c r="B1616">
        <v>181</v>
      </c>
      <c r="C1616" t="str">
        <f t="shared" si="226"/>
        <v>36</v>
      </c>
      <c r="D1616">
        <v>6412</v>
      </c>
      <c r="E1616" t="str">
        <f>"3M"</f>
        <v>3M</v>
      </c>
      <c r="F1616" t="str">
        <f t="shared" si="232"/>
        <v>001</v>
      </c>
      <c r="G1616">
        <v>9</v>
      </c>
      <c r="H1616" t="str">
        <f t="shared" si="227"/>
        <v>91</v>
      </c>
      <c r="I1616" t="str">
        <f>"1"</f>
        <v>1</v>
      </c>
      <c r="J1616" t="str">
        <f t="shared" si="233"/>
        <v>39</v>
      </c>
      <c r="K1616">
        <v>20190131</v>
      </c>
      <c r="L1616" t="str">
        <f>"075458"</f>
        <v>075458</v>
      </c>
      <c r="M1616" t="str">
        <f>"24339"</f>
        <v>24339</v>
      </c>
      <c r="N1616" t="s">
        <v>906</v>
      </c>
      <c r="O1616">
        <v>104.45</v>
      </c>
      <c r="P1616">
        <v>20190130</v>
      </c>
      <c r="Q1616" t="s">
        <v>907</v>
      </c>
      <c r="R1616" t="s">
        <v>864</v>
      </c>
      <c r="S1616" t="s">
        <v>295</v>
      </c>
      <c r="T1616" t="s">
        <v>301</v>
      </c>
    </row>
    <row r="1617" spans="1:20" x14ac:dyDescent="0.25">
      <c r="A1617">
        <v>9</v>
      </c>
      <c r="B1617">
        <v>181</v>
      </c>
      <c r="C1617" t="str">
        <f t="shared" si="226"/>
        <v>36</v>
      </c>
      <c r="D1617">
        <v>6412</v>
      </c>
      <c r="E1617" t="str">
        <f>"3D"</f>
        <v>3D</v>
      </c>
      <c r="F1617" t="str">
        <f>"041"</f>
        <v>041</v>
      </c>
      <c r="G1617">
        <v>9</v>
      </c>
      <c r="H1617" t="str">
        <f t="shared" si="227"/>
        <v>91</v>
      </c>
      <c r="I1617" t="str">
        <f>"1"</f>
        <v>1</v>
      </c>
      <c r="J1617" t="str">
        <f>"41"</f>
        <v>41</v>
      </c>
      <c r="K1617">
        <v>20190131</v>
      </c>
      <c r="L1617" t="str">
        <f>"075459"</f>
        <v>075459</v>
      </c>
      <c r="M1617" t="str">
        <f>"24343"</f>
        <v>24343</v>
      </c>
      <c r="N1617" t="s">
        <v>518</v>
      </c>
      <c r="O1617">
        <v>167.87</v>
      </c>
      <c r="P1617">
        <v>20190130</v>
      </c>
      <c r="Q1617" t="s">
        <v>808</v>
      </c>
      <c r="R1617" t="s">
        <v>908</v>
      </c>
      <c r="S1617" t="s">
        <v>295</v>
      </c>
      <c r="T1617" t="s">
        <v>106</v>
      </c>
    </row>
    <row r="1618" spans="1:20" x14ac:dyDescent="0.25">
      <c r="A1618">
        <v>9</v>
      </c>
      <c r="B1618">
        <v>181</v>
      </c>
      <c r="C1618" t="str">
        <f t="shared" si="226"/>
        <v>36</v>
      </c>
      <c r="D1618">
        <v>6399</v>
      </c>
      <c r="E1618" t="str">
        <f>"3F"</f>
        <v>3F</v>
      </c>
      <c r="F1618" t="str">
        <f>"001"</f>
        <v>001</v>
      </c>
      <c r="G1618">
        <v>9</v>
      </c>
      <c r="H1618" t="str">
        <f t="shared" si="227"/>
        <v>91</v>
      </c>
      <c r="I1618" t="str">
        <f t="shared" ref="I1618:I1625" si="234">"0"</f>
        <v>0</v>
      </c>
      <c r="J1618" t="str">
        <f>"39"</f>
        <v>39</v>
      </c>
      <c r="K1618">
        <v>20190131</v>
      </c>
      <c r="L1618" t="str">
        <f>"075466"</f>
        <v>075466</v>
      </c>
      <c r="M1618" t="str">
        <f>"00520"</f>
        <v>00520</v>
      </c>
      <c r="N1618" t="s">
        <v>344</v>
      </c>
      <c r="O1618" s="1">
        <v>1400</v>
      </c>
      <c r="P1618">
        <v>20190130</v>
      </c>
      <c r="Q1618" t="s">
        <v>466</v>
      </c>
      <c r="R1618" t="s">
        <v>721</v>
      </c>
      <c r="S1618" t="s">
        <v>295</v>
      </c>
      <c r="T1618" t="s">
        <v>301</v>
      </c>
    </row>
    <row r="1619" spans="1:20" x14ac:dyDescent="0.25">
      <c r="A1619">
        <v>9</v>
      </c>
      <c r="B1619">
        <v>181</v>
      </c>
      <c r="C1619" t="str">
        <f t="shared" si="226"/>
        <v>36</v>
      </c>
      <c r="D1619">
        <v>6219</v>
      </c>
      <c r="E1619" t="str">
        <f>"3B"</f>
        <v>3B</v>
      </c>
      <c r="F1619" t="str">
        <f>"041"</f>
        <v>041</v>
      </c>
      <c r="G1619">
        <v>9</v>
      </c>
      <c r="H1619" t="str">
        <f t="shared" si="227"/>
        <v>91</v>
      </c>
      <c r="I1619" t="str">
        <f t="shared" si="234"/>
        <v>0</v>
      </c>
      <c r="J1619" t="str">
        <f>"41"</f>
        <v>41</v>
      </c>
      <c r="K1619">
        <v>20190131</v>
      </c>
      <c r="L1619" t="str">
        <f>"075470"</f>
        <v>075470</v>
      </c>
      <c r="M1619" t="str">
        <f>"29710"</f>
        <v>29710</v>
      </c>
      <c r="N1619" t="s">
        <v>909</v>
      </c>
      <c r="O1619">
        <v>95</v>
      </c>
      <c r="P1619">
        <v>20190130</v>
      </c>
      <c r="Q1619" t="s">
        <v>711</v>
      </c>
      <c r="R1619" t="s">
        <v>910</v>
      </c>
      <c r="S1619" t="s">
        <v>295</v>
      </c>
      <c r="T1619" t="s">
        <v>106</v>
      </c>
    </row>
    <row r="1620" spans="1:20" x14ac:dyDescent="0.25">
      <c r="A1620">
        <v>9</v>
      </c>
      <c r="B1620">
        <v>181</v>
      </c>
      <c r="C1620" t="str">
        <f t="shared" si="226"/>
        <v>36</v>
      </c>
      <c r="D1620">
        <v>6411</v>
      </c>
      <c r="E1620" t="str">
        <f>"33"</f>
        <v>33</v>
      </c>
      <c r="F1620" t="str">
        <f>"001"</f>
        <v>001</v>
      </c>
      <c r="G1620">
        <v>9</v>
      </c>
      <c r="H1620" t="str">
        <f t="shared" si="227"/>
        <v>91</v>
      </c>
      <c r="I1620" t="str">
        <f t="shared" si="234"/>
        <v>0</v>
      </c>
      <c r="J1620" t="str">
        <f>"39"</f>
        <v>39</v>
      </c>
      <c r="K1620">
        <v>20190131</v>
      </c>
      <c r="L1620" t="str">
        <f>"075472"</f>
        <v>075472</v>
      </c>
      <c r="M1620" t="str">
        <f>"30744"</f>
        <v>30744</v>
      </c>
      <c r="N1620" t="s">
        <v>422</v>
      </c>
      <c r="O1620">
        <v>31.82</v>
      </c>
      <c r="P1620">
        <v>20190130</v>
      </c>
      <c r="Q1620" t="s">
        <v>306</v>
      </c>
      <c r="R1620" t="s">
        <v>877</v>
      </c>
      <c r="S1620" t="s">
        <v>295</v>
      </c>
      <c r="T1620" t="s">
        <v>301</v>
      </c>
    </row>
    <row r="1621" spans="1:20" x14ac:dyDescent="0.25">
      <c r="A1621">
        <v>9</v>
      </c>
      <c r="B1621">
        <v>181</v>
      </c>
      <c r="C1621" t="str">
        <f t="shared" si="226"/>
        <v>36</v>
      </c>
      <c r="D1621">
        <v>6411</v>
      </c>
      <c r="E1621" t="str">
        <f>"33"</f>
        <v>33</v>
      </c>
      <c r="F1621" t="str">
        <f>"001"</f>
        <v>001</v>
      </c>
      <c r="G1621">
        <v>9</v>
      </c>
      <c r="H1621" t="str">
        <f t="shared" si="227"/>
        <v>91</v>
      </c>
      <c r="I1621" t="str">
        <f t="shared" si="234"/>
        <v>0</v>
      </c>
      <c r="J1621" t="str">
        <f>"39"</f>
        <v>39</v>
      </c>
      <c r="K1621">
        <v>20190131</v>
      </c>
      <c r="L1621" t="str">
        <f>"075472"</f>
        <v>075472</v>
      </c>
      <c r="M1621" t="str">
        <f>"30744"</f>
        <v>30744</v>
      </c>
      <c r="N1621" t="s">
        <v>422</v>
      </c>
      <c r="O1621">
        <v>33.86</v>
      </c>
      <c r="P1621">
        <v>20190130</v>
      </c>
      <c r="Q1621" t="s">
        <v>306</v>
      </c>
      <c r="R1621" t="s">
        <v>877</v>
      </c>
      <c r="S1621" t="s">
        <v>295</v>
      </c>
      <c r="T1621" t="s">
        <v>301</v>
      </c>
    </row>
    <row r="1622" spans="1:20" x14ac:dyDescent="0.25">
      <c r="A1622">
        <v>9</v>
      </c>
      <c r="B1622">
        <v>181</v>
      </c>
      <c r="C1622" t="str">
        <f t="shared" si="226"/>
        <v>36</v>
      </c>
      <c r="D1622">
        <v>6411</v>
      </c>
      <c r="E1622" t="str">
        <f>"33"</f>
        <v>33</v>
      </c>
      <c r="F1622" t="str">
        <f>"001"</f>
        <v>001</v>
      </c>
      <c r="G1622">
        <v>9</v>
      </c>
      <c r="H1622" t="str">
        <f t="shared" si="227"/>
        <v>91</v>
      </c>
      <c r="I1622" t="str">
        <f t="shared" si="234"/>
        <v>0</v>
      </c>
      <c r="J1622" t="str">
        <f>"39"</f>
        <v>39</v>
      </c>
      <c r="K1622">
        <v>20190131</v>
      </c>
      <c r="L1622" t="str">
        <f>"075472"</f>
        <v>075472</v>
      </c>
      <c r="M1622" t="str">
        <f>"30744"</f>
        <v>30744</v>
      </c>
      <c r="N1622" t="s">
        <v>422</v>
      </c>
      <c r="O1622">
        <v>30.89</v>
      </c>
      <c r="P1622">
        <v>20190130</v>
      </c>
      <c r="Q1622" t="s">
        <v>306</v>
      </c>
      <c r="R1622" t="s">
        <v>877</v>
      </c>
      <c r="S1622" t="s">
        <v>295</v>
      </c>
      <c r="T1622" t="s">
        <v>301</v>
      </c>
    </row>
    <row r="1623" spans="1:20" x14ac:dyDescent="0.25">
      <c r="A1623">
        <v>9</v>
      </c>
      <c r="B1623">
        <v>181</v>
      </c>
      <c r="C1623" t="str">
        <f t="shared" si="226"/>
        <v>36</v>
      </c>
      <c r="D1623">
        <v>6219</v>
      </c>
      <c r="E1623" t="str">
        <f>"3D"</f>
        <v>3D</v>
      </c>
      <c r="F1623" t="str">
        <f>"041"</f>
        <v>041</v>
      </c>
      <c r="G1623">
        <v>9</v>
      </c>
      <c r="H1623" t="str">
        <f t="shared" si="227"/>
        <v>91</v>
      </c>
      <c r="I1623" t="str">
        <f t="shared" si="234"/>
        <v>0</v>
      </c>
      <c r="J1623" t="str">
        <f>"41"</f>
        <v>41</v>
      </c>
      <c r="K1623">
        <v>20190131</v>
      </c>
      <c r="L1623" t="str">
        <f>"075474"</f>
        <v>075474</v>
      </c>
      <c r="M1623" t="str">
        <f>"33712"</f>
        <v>33712</v>
      </c>
      <c r="N1623" t="s">
        <v>846</v>
      </c>
      <c r="O1623">
        <v>85</v>
      </c>
      <c r="P1623">
        <v>20190130</v>
      </c>
      <c r="Q1623" t="s">
        <v>704</v>
      </c>
      <c r="R1623" t="s">
        <v>892</v>
      </c>
      <c r="S1623" t="s">
        <v>295</v>
      </c>
      <c r="T1623" t="s">
        <v>106</v>
      </c>
    </row>
    <row r="1624" spans="1:20" x14ac:dyDescent="0.25">
      <c r="A1624">
        <v>9</v>
      </c>
      <c r="B1624">
        <v>181</v>
      </c>
      <c r="C1624" t="str">
        <f t="shared" si="226"/>
        <v>36</v>
      </c>
      <c r="D1624">
        <v>6411</v>
      </c>
      <c r="E1624" t="str">
        <f>"33"</f>
        <v>33</v>
      </c>
      <c r="F1624" t="str">
        <f>"001"</f>
        <v>001</v>
      </c>
      <c r="G1624">
        <v>9</v>
      </c>
      <c r="H1624" t="str">
        <f t="shared" si="227"/>
        <v>91</v>
      </c>
      <c r="I1624" t="str">
        <f t="shared" si="234"/>
        <v>0</v>
      </c>
      <c r="J1624" t="str">
        <f>"39"</f>
        <v>39</v>
      </c>
      <c r="K1624">
        <v>20190131</v>
      </c>
      <c r="L1624" t="str">
        <f>"075488"</f>
        <v>075488</v>
      </c>
      <c r="M1624" t="str">
        <f>"49955"</f>
        <v>49955</v>
      </c>
      <c r="N1624" t="s">
        <v>282</v>
      </c>
      <c r="O1624">
        <v>106.07</v>
      </c>
      <c r="P1624">
        <v>20190130</v>
      </c>
      <c r="Q1624" t="s">
        <v>306</v>
      </c>
      <c r="R1624" t="s">
        <v>877</v>
      </c>
      <c r="S1624" t="s">
        <v>295</v>
      </c>
      <c r="T1624" t="s">
        <v>301</v>
      </c>
    </row>
    <row r="1625" spans="1:20" x14ac:dyDescent="0.25">
      <c r="A1625">
        <v>9</v>
      </c>
      <c r="B1625">
        <v>181</v>
      </c>
      <c r="C1625" t="str">
        <f t="shared" si="226"/>
        <v>36</v>
      </c>
      <c r="D1625">
        <v>6219</v>
      </c>
      <c r="E1625" t="str">
        <f>"3B"</f>
        <v>3B</v>
      </c>
      <c r="F1625" t="str">
        <f>"041"</f>
        <v>041</v>
      </c>
      <c r="G1625">
        <v>9</v>
      </c>
      <c r="H1625" t="str">
        <f t="shared" si="227"/>
        <v>91</v>
      </c>
      <c r="I1625" t="str">
        <f t="shared" si="234"/>
        <v>0</v>
      </c>
      <c r="J1625" t="str">
        <f>"41"</f>
        <v>41</v>
      </c>
      <c r="K1625">
        <v>20190131</v>
      </c>
      <c r="L1625" t="str">
        <f>"075489"</f>
        <v>075489</v>
      </c>
      <c r="M1625" t="str">
        <f>"49950"</f>
        <v>49950</v>
      </c>
      <c r="N1625" t="s">
        <v>911</v>
      </c>
      <c r="O1625">
        <v>85</v>
      </c>
      <c r="P1625">
        <v>20190130</v>
      </c>
      <c r="Q1625" t="s">
        <v>711</v>
      </c>
      <c r="R1625" t="s">
        <v>910</v>
      </c>
      <c r="S1625" t="s">
        <v>295</v>
      </c>
      <c r="T1625" t="s">
        <v>106</v>
      </c>
    </row>
    <row r="1626" spans="1:20" x14ac:dyDescent="0.25">
      <c r="A1626">
        <v>9</v>
      </c>
      <c r="B1626">
        <v>181</v>
      </c>
      <c r="C1626" t="str">
        <f t="shared" si="226"/>
        <v>36</v>
      </c>
      <c r="D1626">
        <v>6412</v>
      </c>
      <c r="E1626" t="str">
        <f>"3M"</f>
        <v>3M</v>
      </c>
      <c r="F1626" t="str">
        <f>"001"</f>
        <v>001</v>
      </c>
      <c r="G1626">
        <v>9</v>
      </c>
      <c r="H1626" t="str">
        <f t="shared" si="227"/>
        <v>91</v>
      </c>
      <c r="I1626" t="str">
        <f>"2"</f>
        <v>2</v>
      </c>
      <c r="J1626" t="str">
        <f>"39"</f>
        <v>39</v>
      </c>
      <c r="K1626">
        <v>20190131</v>
      </c>
      <c r="L1626" t="str">
        <f>"075490"</f>
        <v>075490</v>
      </c>
      <c r="M1626" t="str">
        <f>"00228"</f>
        <v>00228</v>
      </c>
      <c r="N1626" t="s">
        <v>912</v>
      </c>
      <c r="O1626">
        <v>500</v>
      </c>
      <c r="P1626">
        <v>20190130</v>
      </c>
      <c r="Q1626" t="s">
        <v>756</v>
      </c>
      <c r="R1626" t="s">
        <v>913</v>
      </c>
      <c r="S1626" t="s">
        <v>295</v>
      </c>
      <c r="T1626" t="s">
        <v>301</v>
      </c>
    </row>
    <row r="1627" spans="1:20" x14ac:dyDescent="0.25">
      <c r="A1627">
        <v>9</v>
      </c>
      <c r="B1627">
        <v>181</v>
      </c>
      <c r="C1627" t="str">
        <f t="shared" si="226"/>
        <v>36</v>
      </c>
      <c r="D1627">
        <v>6219</v>
      </c>
      <c r="E1627" t="str">
        <f>"3B"</f>
        <v>3B</v>
      </c>
      <c r="F1627" t="str">
        <f>"041"</f>
        <v>041</v>
      </c>
      <c r="G1627">
        <v>9</v>
      </c>
      <c r="H1627" t="str">
        <f t="shared" si="227"/>
        <v>91</v>
      </c>
      <c r="I1627" t="str">
        <f t="shared" ref="I1627:I1634" si="235">"0"</f>
        <v>0</v>
      </c>
      <c r="J1627" t="str">
        <f>"41"</f>
        <v>41</v>
      </c>
      <c r="K1627">
        <v>20190131</v>
      </c>
      <c r="L1627" t="str">
        <f>"075492"</f>
        <v>075492</v>
      </c>
      <c r="M1627" t="str">
        <f>"53073"</f>
        <v>53073</v>
      </c>
      <c r="N1627" t="s">
        <v>740</v>
      </c>
      <c r="O1627">
        <v>95</v>
      </c>
      <c r="P1627">
        <v>20190130</v>
      </c>
      <c r="Q1627" t="s">
        <v>711</v>
      </c>
      <c r="R1627" t="s">
        <v>914</v>
      </c>
      <c r="S1627" t="s">
        <v>295</v>
      </c>
      <c r="T1627" t="s">
        <v>106</v>
      </c>
    </row>
    <row r="1628" spans="1:20" x14ac:dyDescent="0.25">
      <c r="A1628">
        <v>9</v>
      </c>
      <c r="B1628">
        <v>181</v>
      </c>
      <c r="C1628" t="str">
        <f t="shared" si="226"/>
        <v>36</v>
      </c>
      <c r="D1628">
        <v>6219</v>
      </c>
      <c r="E1628" t="str">
        <f>"3B"</f>
        <v>3B</v>
      </c>
      <c r="F1628" t="str">
        <f>"041"</f>
        <v>041</v>
      </c>
      <c r="G1628">
        <v>9</v>
      </c>
      <c r="H1628" t="str">
        <f t="shared" si="227"/>
        <v>91</v>
      </c>
      <c r="I1628" t="str">
        <f t="shared" si="235"/>
        <v>0</v>
      </c>
      <c r="J1628" t="str">
        <f>"41"</f>
        <v>41</v>
      </c>
      <c r="K1628">
        <v>20190131</v>
      </c>
      <c r="L1628" t="str">
        <f>"075493"</f>
        <v>075493</v>
      </c>
      <c r="M1628" t="str">
        <f>"00695"</f>
        <v>00695</v>
      </c>
      <c r="N1628" t="s">
        <v>915</v>
      </c>
      <c r="O1628">
        <v>95</v>
      </c>
      <c r="P1628">
        <v>20190130</v>
      </c>
      <c r="Q1628" t="s">
        <v>711</v>
      </c>
      <c r="R1628" t="s">
        <v>914</v>
      </c>
      <c r="S1628" t="s">
        <v>295</v>
      </c>
      <c r="T1628" t="s">
        <v>106</v>
      </c>
    </row>
    <row r="1629" spans="1:20" x14ac:dyDescent="0.25">
      <c r="A1629">
        <v>9</v>
      </c>
      <c r="B1629">
        <v>181</v>
      </c>
      <c r="C1629" t="str">
        <f t="shared" si="226"/>
        <v>36</v>
      </c>
      <c r="D1629">
        <v>6219</v>
      </c>
      <c r="E1629" t="str">
        <f>"3B"</f>
        <v>3B</v>
      </c>
      <c r="F1629" t="str">
        <f>"041"</f>
        <v>041</v>
      </c>
      <c r="G1629">
        <v>9</v>
      </c>
      <c r="H1629" t="str">
        <f t="shared" si="227"/>
        <v>91</v>
      </c>
      <c r="I1629" t="str">
        <f t="shared" si="235"/>
        <v>0</v>
      </c>
      <c r="J1629" t="str">
        <f>"41"</f>
        <v>41</v>
      </c>
      <c r="K1629">
        <v>20190131</v>
      </c>
      <c r="L1629" t="str">
        <f>"075494"</f>
        <v>075494</v>
      </c>
      <c r="M1629" t="str">
        <f>"53458"</f>
        <v>53458</v>
      </c>
      <c r="N1629" t="s">
        <v>742</v>
      </c>
      <c r="O1629">
        <v>95</v>
      </c>
      <c r="P1629">
        <v>20190130</v>
      </c>
      <c r="Q1629" t="s">
        <v>711</v>
      </c>
      <c r="R1629" t="s">
        <v>910</v>
      </c>
      <c r="S1629" t="s">
        <v>295</v>
      </c>
      <c r="T1629" t="s">
        <v>106</v>
      </c>
    </row>
    <row r="1630" spans="1:20" x14ac:dyDescent="0.25">
      <c r="A1630">
        <v>9</v>
      </c>
      <c r="B1630">
        <v>181</v>
      </c>
      <c r="C1630" t="str">
        <f t="shared" si="226"/>
        <v>36</v>
      </c>
      <c r="D1630">
        <v>6219</v>
      </c>
      <c r="E1630" t="str">
        <f>"3B"</f>
        <v>3B</v>
      </c>
      <c r="F1630" t="str">
        <f>"041"</f>
        <v>041</v>
      </c>
      <c r="G1630">
        <v>9</v>
      </c>
      <c r="H1630" t="str">
        <f t="shared" si="227"/>
        <v>91</v>
      </c>
      <c r="I1630" t="str">
        <f t="shared" si="235"/>
        <v>0</v>
      </c>
      <c r="J1630" t="str">
        <f>"41"</f>
        <v>41</v>
      </c>
      <c r="K1630">
        <v>20190131</v>
      </c>
      <c r="L1630" t="str">
        <f>"075495"</f>
        <v>075495</v>
      </c>
      <c r="M1630" t="str">
        <f>"56205"</f>
        <v>56205</v>
      </c>
      <c r="N1630" t="s">
        <v>853</v>
      </c>
      <c r="O1630">
        <v>85</v>
      </c>
      <c r="P1630">
        <v>20190130</v>
      </c>
      <c r="Q1630" t="s">
        <v>711</v>
      </c>
      <c r="R1630" t="s">
        <v>914</v>
      </c>
      <c r="S1630" t="s">
        <v>295</v>
      </c>
      <c r="T1630" t="s">
        <v>106</v>
      </c>
    </row>
    <row r="1631" spans="1:20" x14ac:dyDescent="0.25">
      <c r="A1631">
        <v>9</v>
      </c>
      <c r="B1631">
        <v>181</v>
      </c>
      <c r="C1631" t="str">
        <f t="shared" si="226"/>
        <v>36</v>
      </c>
      <c r="D1631">
        <v>6219</v>
      </c>
      <c r="E1631" t="str">
        <f>"3D"</f>
        <v>3D</v>
      </c>
      <c r="F1631" t="str">
        <f>"041"</f>
        <v>041</v>
      </c>
      <c r="G1631">
        <v>9</v>
      </c>
      <c r="H1631" t="str">
        <f t="shared" si="227"/>
        <v>91</v>
      </c>
      <c r="I1631" t="str">
        <f t="shared" si="235"/>
        <v>0</v>
      </c>
      <c r="J1631" t="str">
        <f>"41"</f>
        <v>41</v>
      </c>
      <c r="K1631">
        <v>20190131</v>
      </c>
      <c r="L1631" t="str">
        <f>"075498"</f>
        <v>075498</v>
      </c>
      <c r="M1631" t="str">
        <f>"00688"</f>
        <v>00688</v>
      </c>
      <c r="N1631" t="s">
        <v>916</v>
      </c>
      <c r="O1631">
        <v>85</v>
      </c>
      <c r="P1631">
        <v>20190130</v>
      </c>
      <c r="Q1631" t="s">
        <v>704</v>
      </c>
      <c r="R1631" t="s">
        <v>892</v>
      </c>
      <c r="S1631" t="s">
        <v>295</v>
      </c>
      <c r="T1631" t="s">
        <v>106</v>
      </c>
    </row>
    <row r="1632" spans="1:20" x14ac:dyDescent="0.25">
      <c r="A1632">
        <v>9</v>
      </c>
      <c r="B1632">
        <v>181</v>
      </c>
      <c r="C1632" t="str">
        <f t="shared" ref="C1632:C1695" si="236">"36"</f>
        <v>36</v>
      </c>
      <c r="D1632">
        <v>6319</v>
      </c>
      <c r="E1632" t="str">
        <f>"30"</f>
        <v>30</v>
      </c>
      <c r="F1632" t="str">
        <f>"001"</f>
        <v>001</v>
      </c>
      <c r="G1632">
        <v>9</v>
      </c>
      <c r="H1632" t="str">
        <f t="shared" ref="H1632:H1695" si="237">"91"</f>
        <v>91</v>
      </c>
      <c r="I1632" t="str">
        <f t="shared" si="235"/>
        <v>0</v>
      </c>
      <c r="J1632" t="str">
        <f>"39"</f>
        <v>39</v>
      </c>
      <c r="K1632">
        <v>20190131</v>
      </c>
      <c r="L1632" t="str">
        <f>"075515"</f>
        <v>075515</v>
      </c>
      <c r="M1632" t="str">
        <f>"78726"</f>
        <v>78726</v>
      </c>
      <c r="N1632" t="s">
        <v>917</v>
      </c>
      <c r="O1632" s="1">
        <v>1440</v>
      </c>
      <c r="P1632">
        <v>20190131</v>
      </c>
      <c r="Q1632" t="s">
        <v>501</v>
      </c>
      <c r="R1632" t="s">
        <v>918</v>
      </c>
      <c r="S1632" t="s">
        <v>295</v>
      </c>
      <c r="T1632" t="s">
        <v>301</v>
      </c>
    </row>
    <row r="1633" spans="1:20" x14ac:dyDescent="0.25">
      <c r="A1633">
        <v>9</v>
      </c>
      <c r="B1633">
        <v>181</v>
      </c>
      <c r="C1633" t="str">
        <f t="shared" si="236"/>
        <v>36</v>
      </c>
      <c r="D1633">
        <v>6219</v>
      </c>
      <c r="E1633" t="str">
        <f>"3B"</f>
        <v>3B</v>
      </c>
      <c r="F1633" t="str">
        <f>"041"</f>
        <v>041</v>
      </c>
      <c r="G1633">
        <v>9</v>
      </c>
      <c r="H1633" t="str">
        <f t="shared" si="237"/>
        <v>91</v>
      </c>
      <c r="I1633" t="str">
        <f t="shared" si="235"/>
        <v>0</v>
      </c>
      <c r="J1633" t="str">
        <f>"41"</f>
        <v>41</v>
      </c>
      <c r="K1633">
        <v>20190131</v>
      </c>
      <c r="L1633" t="str">
        <f>"075517"</f>
        <v>075517</v>
      </c>
      <c r="M1633" t="str">
        <f>"80470"</f>
        <v>80470</v>
      </c>
      <c r="N1633" t="s">
        <v>391</v>
      </c>
      <c r="O1633">
        <v>30</v>
      </c>
      <c r="P1633">
        <v>20190131</v>
      </c>
      <c r="Q1633" t="s">
        <v>711</v>
      </c>
      <c r="R1633" t="s">
        <v>914</v>
      </c>
      <c r="S1633" t="s">
        <v>295</v>
      </c>
      <c r="T1633" t="s">
        <v>106</v>
      </c>
    </row>
    <row r="1634" spans="1:20" x14ac:dyDescent="0.25">
      <c r="A1634">
        <v>9</v>
      </c>
      <c r="B1634">
        <v>181</v>
      </c>
      <c r="C1634" t="str">
        <f t="shared" si="236"/>
        <v>36</v>
      </c>
      <c r="D1634">
        <v>6219</v>
      </c>
      <c r="E1634" t="str">
        <f>"3D"</f>
        <v>3D</v>
      </c>
      <c r="F1634" t="str">
        <f>"041"</f>
        <v>041</v>
      </c>
      <c r="G1634">
        <v>9</v>
      </c>
      <c r="H1634" t="str">
        <f t="shared" si="237"/>
        <v>91</v>
      </c>
      <c r="I1634" t="str">
        <f t="shared" si="235"/>
        <v>0</v>
      </c>
      <c r="J1634" t="str">
        <f>"41"</f>
        <v>41</v>
      </c>
      <c r="K1634">
        <v>20190131</v>
      </c>
      <c r="L1634" t="str">
        <f>"075517"</f>
        <v>075517</v>
      </c>
      <c r="M1634" t="str">
        <f>"80470"</f>
        <v>80470</v>
      </c>
      <c r="N1634" t="s">
        <v>391</v>
      </c>
      <c r="O1634">
        <v>30</v>
      </c>
      <c r="P1634">
        <v>20190131</v>
      </c>
      <c r="Q1634" t="s">
        <v>704</v>
      </c>
      <c r="R1634" t="s">
        <v>892</v>
      </c>
      <c r="S1634" t="s">
        <v>295</v>
      </c>
      <c r="T1634" t="s">
        <v>106</v>
      </c>
    </row>
    <row r="1635" spans="1:20" x14ac:dyDescent="0.25">
      <c r="A1635">
        <v>9</v>
      </c>
      <c r="B1635">
        <v>181</v>
      </c>
      <c r="C1635" t="str">
        <f t="shared" si="236"/>
        <v>36</v>
      </c>
      <c r="D1635">
        <v>6412</v>
      </c>
      <c r="E1635" t="str">
        <f>"3N"</f>
        <v>3N</v>
      </c>
      <c r="F1635" t="str">
        <f t="shared" ref="F1635:F1640" si="238">"001"</f>
        <v>001</v>
      </c>
      <c r="G1635">
        <v>9</v>
      </c>
      <c r="H1635" t="str">
        <f t="shared" si="237"/>
        <v>91</v>
      </c>
      <c r="I1635" t="str">
        <f t="shared" ref="I1635:I1652" si="239">"1"</f>
        <v>1</v>
      </c>
      <c r="J1635" t="str">
        <f t="shared" ref="J1635:J1640" si="240">"39"</f>
        <v>39</v>
      </c>
      <c r="K1635">
        <v>20190131</v>
      </c>
      <c r="L1635" t="str">
        <f>"075522"</f>
        <v>075522</v>
      </c>
      <c r="M1635" t="str">
        <f>"84367"</f>
        <v>84367</v>
      </c>
      <c r="N1635" t="s">
        <v>919</v>
      </c>
      <c r="O1635">
        <v>164.46</v>
      </c>
      <c r="P1635">
        <v>20190131</v>
      </c>
      <c r="Q1635" t="s">
        <v>920</v>
      </c>
      <c r="R1635" t="s">
        <v>921</v>
      </c>
      <c r="S1635" t="s">
        <v>295</v>
      </c>
      <c r="T1635" t="s">
        <v>301</v>
      </c>
    </row>
    <row r="1636" spans="1:20" x14ac:dyDescent="0.25">
      <c r="A1636">
        <v>9</v>
      </c>
      <c r="B1636">
        <v>181</v>
      </c>
      <c r="C1636" t="str">
        <f t="shared" si="236"/>
        <v>36</v>
      </c>
      <c r="D1636">
        <v>6412</v>
      </c>
      <c r="E1636" t="str">
        <f>"3N"</f>
        <v>3N</v>
      </c>
      <c r="F1636" t="str">
        <f t="shared" si="238"/>
        <v>001</v>
      </c>
      <c r="G1636">
        <v>9</v>
      </c>
      <c r="H1636" t="str">
        <f t="shared" si="237"/>
        <v>91</v>
      </c>
      <c r="I1636" t="str">
        <f t="shared" si="239"/>
        <v>1</v>
      </c>
      <c r="J1636" t="str">
        <f t="shared" si="240"/>
        <v>39</v>
      </c>
      <c r="K1636">
        <v>20190131</v>
      </c>
      <c r="L1636" t="str">
        <f>"075522"</f>
        <v>075522</v>
      </c>
      <c r="M1636" t="str">
        <f>"84367"</f>
        <v>84367</v>
      </c>
      <c r="N1636" t="s">
        <v>919</v>
      </c>
      <c r="O1636">
        <v>139.75</v>
      </c>
      <c r="P1636">
        <v>20190131</v>
      </c>
      <c r="Q1636" t="s">
        <v>920</v>
      </c>
      <c r="R1636" t="s">
        <v>922</v>
      </c>
      <c r="S1636" t="s">
        <v>295</v>
      </c>
      <c r="T1636" t="s">
        <v>301</v>
      </c>
    </row>
    <row r="1637" spans="1:20" x14ac:dyDescent="0.25">
      <c r="A1637">
        <v>9</v>
      </c>
      <c r="B1637">
        <v>181</v>
      </c>
      <c r="C1637" t="str">
        <f t="shared" si="236"/>
        <v>36</v>
      </c>
      <c r="D1637">
        <v>6412</v>
      </c>
      <c r="E1637" t="str">
        <f t="shared" ref="E1637:E1643" si="241">"3B"</f>
        <v>3B</v>
      </c>
      <c r="F1637" t="str">
        <f t="shared" si="238"/>
        <v>001</v>
      </c>
      <c r="G1637">
        <v>9</v>
      </c>
      <c r="H1637" t="str">
        <f t="shared" si="237"/>
        <v>91</v>
      </c>
      <c r="I1637" t="str">
        <f t="shared" si="239"/>
        <v>1</v>
      </c>
      <c r="J1637" t="str">
        <f t="shared" si="240"/>
        <v>39</v>
      </c>
      <c r="K1637">
        <v>20190131</v>
      </c>
      <c r="L1637" t="str">
        <f t="shared" ref="L1637:L1652" si="242">"075523"</f>
        <v>075523</v>
      </c>
      <c r="M1637" t="str">
        <f t="shared" ref="M1637:M1652" si="243">"84370"</f>
        <v>84370</v>
      </c>
      <c r="N1637" t="s">
        <v>395</v>
      </c>
      <c r="O1637">
        <v>205.01</v>
      </c>
      <c r="P1637">
        <v>20190131</v>
      </c>
      <c r="Q1637" t="s">
        <v>668</v>
      </c>
      <c r="R1637" t="s">
        <v>923</v>
      </c>
      <c r="S1637" t="s">
        <v>295</v>
      </c>
      <c r="T1637" t="s">
        <v>301</v>
      </c>
    </row>
    <row r="1638" spans="1:20" x14ac:dyDescent="0.25">
      <c r="A1638">
        <v>9</v>
      </c>
      <c r="B1638">
        <v>181</v>
      </c>
      <c r="C1638" t="str">
        <f t="shared" si="236"/>
        <v>36</v>
      </c>
      <c r="D1638">
        <v>6412</v>
      </c>
      <c r="E1638" t="str">
        <f t="shared" si="241"/>
        <v>3B</v>
      </c>
      <c r="F1638" t="str">
        <f t="shared" si="238"/>
        <v>001</v>
      </c>
      <c r="G1638">
        <v>9</v>
      </c>
      <c r="H1638" t="str">
        <f t="shared" si="237"/>
        <v>91</v>
      </c>
      <c r="I1638" t="str">
        <f t="shared" si="239"/>
        <v>1</v>
      </c>
      <c r="J1638" t="str">
        <f t="shared" si="240"/>
        <v>39</v>
      </c>
      <c r="K1638">
        <v>20190131</v>
      </c>
      <c r="L1638" t="str">
        <f t="shared" si="242"/>
        <v>075523</v>
      </c>
      <c r="M1638" t="str">
        <f t="shared" si="243"/>
        <v>84370</v>
      </c>
      <c r="N1638" t="s">
        <v>395</v>
      </c>
      <c r="O1638">
        <v>240.87</v>
      </c>
      <c r="P1638">
        <v>20190131</v>
      </c>
      <c r="Q1638" t="s">
        <v>668</v>
      </c>
      <c r="R1638" t="s">
        <v>924</v>
      </c>
      <c r="S1638" t="s">
        <v>295</v>
      </c>
      <c r="T1638" t="s">
        <v>301</v>
      </c>
    </row>
    <row r="1639" spans="1:20" x14ac:dyDescent="0.25">
      <c r="A1639">
        <v>9</v>
      </c>
      <c r="B1639">
        <v>181</v>
      </c>
      <c r="C1639" t="str">
        <f t="shared" si="236"/>
        <v>36</v>
      </c>
      <c r="D1639">
        <v>6412</v>
      </c>
      <c r="E1639" t="str">
        <f t="shared" si="241"/>
        <v>3B</v>
      </c>
      <c r="F1639" t="str">
        <f t="shared" si="238"/>
        <v>001</v>
      </c>
      <c r="G1639">
        <v>9</v>
      </c>
      <c r="H1639" t="str">
        <f t="shared" si="237"/>
        <v>91</v>
      </c>
      <c r="I1639" t="str">
        <f t="shared" si="239"/>
        <v>1</v>
      </c>
      <c r="J1639" t="str">
        <f t="shared" si="240"/>
        <v>39</v>
      </c>
      <c r="K1639">
        <v>20190131</v>
      </c>
      <c r="L1639" t="str">
        <f t="shared" si="242"/>
        <v>075523</v>
      </c>
      <c r="M1639" t="str">
        <f t="shared" si="243"/>
        <v>84370</v>
      </c>
      <c r="N1639" t="s">
        <v>395</v>
      </c>
      <c r="O1639">
        <v>72</v>
      </c>
      <c r="P1639">
        <v>20190131</v>
      </c>
      <c r="Q1639" t="s">
        <v>668</v>
      </c>
      <c r="R1639" t="s">
        <v>925</v>
      </c>
      <c r="S1639" t="s">
        <v>295</v>
      </c>
      <c r="T1639" t="s">
        <v>301</v>
      </c>
    </row>
    <row r="1640" spans="1:20" x14ac:dyDescent="0.25">
      <c r="A1640">
        <v>9</v>
      </c>
      <c r="B1640">
        <v>181</v>
      </c>
      <c r="C1640" t="str">
        <f t="shared" si="236"/>
        <v>36</v>
      </c>
      <c r="D1640">
        <v>6412</v>
      </c>
      <c r="E1640" t="str">
        <f t="shared" si="241"/>
        <v>3B</v>
      </c>
      <c r="F1640" t="str">
        <f t="shared" si="238"/>
        <v>001</v>
      </c>
      <c r="G1640">
        <v>9</v>
      </c>
      <c r="H1640" t="str">
        <f t="shared" si="237"/>
        <v>91</v>
      </c>
      <c r="I1640" t="str">
        <f t="shared" si="239"/>
        <v>1</v>
      </c>
      <c r="J1640" t="str">
        <f t="shared" si="240"/>
        <v>39</v>
      </c>
      <c r="K1640">
        <v>20190131</v>
      </c>
      <c r="L1640" t="str">
        <f t="shared" si="242"/>
        <v>075523</v>
      </c>
      <c r="M1640" t="str">
        <f t="shared" si="243"/>
        <v>84370</v>
      </c>
      <c r="N1640" t="s">
        <v>395</v>
      </c>
      <c r="O1640">
        <v>100.35</v>
      </c>
      <c r="P1640">
        <v>20190131</v>
      </c>
      <c r="Q1640" t="s">
        <v>668</v>
      </c>
      <c r="R1640" t="s">
        <v>926</v>
      </c>
      <c r="S1640" t="s">
        <v>295</v>
      </c>
      <c r="T1640" t="s">
        <v>301</v>
      </c>
    </row>
    <row r="1641" spans="1:20" x14ac:dyDescent="0.25">
      <c r="A1641">
        <v>9</v>
      </c>
      <c r="B1641">
        <v>181</v>
      </c>
      <c r="C1641" t="str">
        <f t="shared" si="236"/>
        <v>36</v>
      </c>
      <c r="D1641">
        <v>6412</v>
      </c>
      <c r="E1641" t="str">
        <f t="shared" si="241"/>
        <v>3B</v>
      </c>
      <c r="F1641" t="str">
        <f>"041"</f>
        <v>041</v>
      </c>
      <c r="G1641">
        <v>9</v>
      </c>
      <c r="H1641" t="str">
        <f t="shared" si="237"/>
        <v>91</v>
      </c>
      <c r="I1641" t="str">
        <f t="shared" si="239"/>
        <v>1</v>
      </c>
      <c r="J1641" t="str">
        <f>"41"</f>
        <v>41</v>
      </c>
      <c r="K1641">
        <v>20190131</v>
      </c>
      <c r="L1641" t="str">
        <f t="shared" si="242"/>
        <v>075523</v>
      </c>
      <c r="M1641" t="str">
        <f t="shared" si="243"/>
        <v>84370</v>
      </c>
      <c r="N1641" t="s">
        <v>395</v>
      </c>
      <c r="O1641">
        <v>37.25</v>
      </c>
      <c r="P1641">
        <v>20190131</v>
      </c>
      <c r="Q1641" t="s">
        <v>801</v>
      </c>
      <c r="R1641" t="s">
        <v>927</v>
      </c>
      <c r="S1641" t="s">
        <v>295</v>
      </c>
      <c r="T1641" t="s">
        <v>106</v>
      </c>
    </row>
    <row r="1642" spans="1:20" x14ac:dyDescent="0.25">
      <c r="A1642">
        <v>9</v>
      </c>
      <c r="B1642">
        <v>181</v>
      </c>
      <c r="C1642" t="str">
        <f t="shared" si="236"/>
        <v>36</v>
      </c>
      <c r="D1642">
        <v>6412</v>
      </c>
      <c r="E1642" t="str">
        <f t="shared" si="241"/>
        <v>3B</v>
      </c>
      <c r="F1642" t="str">
        <f>"041"</f>
        <v>041</v>
      </c>
      <c r="G1642">
        <v>9</v>
      </c>
      <c r="H1642" t="str">
        <f t="shared" si="237"/>
        <v>91</v>
      </c>
      <c r="I1642" t="str">
        <f t="shared" si="239"/>
        <v>1</v>
      </c>
      <c r="J1642" t="str">
        <f>"41"</f>
        <v>41</v>
      </c>
      <c r="K1642">
        <v>20190131</v>
      </c>
      <c r="L1642" t="str">
        <f t="shared" si="242"/>
        <v>075523</v>
      </c>
      <c r="M1642" t="str">
        <f t="shared" si="243"/>
        <v>84370</v>
      </c>
      <c r="N1642" t="s">
        <v>395</v>
      </c>
      <c r="O1642">
        <v>311.52</v>
      </c>
      <c r="P1642">
        <v>20190131</v>
      </c>
      <c r="Q1642" t="s">
        <v>801</v>
      </c>
      <c r="R1642" t="s">
        <v>928</v>
      </c>
      <c r="S1642" t="s">
        <v>295</v>
      </c>
      <c r="T1642" t="s">
        <v>106</v>
      </c>
    </row>
    <row r="1643" spans="1:20" x14ac:dyDescent="0.25">
      <c r="A1643">
        <v>9</v>
      </c>
      <c r="B1643">
        <v>181</v>
      </c>
      <c r="C1643" t="str">
        <f t="shared" si="236"/>
        <v>36</v>
      </c>
      <c r="D1643">
        <v>6412</v>
      </c>
      <c r="E1643" t="str">
        <f t="shared" si="241"/>
        <v>3B</v>
      </c>
      <c r="F1643" t="str">
        <f>"041"</f>
        <v>041</v>
      </c>
      <c r="G1643">
        <v>9</v>
      </c>
      <c r="H1643" t="str">
        <f t="shared" si="237"/>
        <v>91</v>
      </c>
      <c r="I1643" t="str">
        <f t="shared" si="239"/>
        <v>1</v>
      </c>
      <c r="J1643" t="str">
        <f>"41"</f>
        <v>41</v>
      </c>
      <c r="K1643">
        <v>20190131</v>
      </c>
      <c r="L1643" t="str">
        <f t="shared" si="242"/>
        <v>075523</v>
      </c>
      <c r="M1643" t="str">
        <f t="shared" si="243"/>
        <v>84370</v>
      </c>
      <c r="N1643" t="s">
        <v>395</v>
      </c>
      <c r="O1643">
        <v>64.45</v>
      </c>
      <c r="P1643">
        <v>20190131</v>
      </c>
      <c r="Q1643" t="s">
        <v>801</v>
      </c>
      <c r="R1643" t="s">
        <v>929</v>
      </c>
      <c r="S1643" t="s">
        <v>295</v>
      </c>
      <c r="T1643" t="s">
        <v>106</v>
      </c>
    </row>
    <row r="1644" spans="1:20" x14ac:dyDescent="0.25">
      <c r="A1644">
        <v>9</v>
      </c>
      <c r="B1644">
        <v>181</v>
      </c>
      <c r="C1644" t="str">
        <f t="shared" si="236"/>
        <v>36</v>
      </c>
      <c r="D1644">
        <v>6412</v>
      </c>
      <c r="E1644" t="str">
        <f>"3K"</f>
        <v>3K</v>
      </c>
      <c r="F1644" t="str">
        <f t="shared" ref="F1644:F1651" si="244">"001"</f>
        <v>001</v>
      </c>
      <c r="G1644">
        <v>9</v>
      </c>
      <c r="H1644" t="str">
        <f t="shared" si="237"/>
        <v>91</v>
      </c>
      <c r="I1644" t="str">
        <f t="shared" si="239"/>
        <v>1</v>
      </c>
      <c r="J1644" t="str">
        <f t="shared" ref="J1644:J1651" si="245">"39"</f>
        <v>39</v>
      </c>
      <c r="K1644">
        <v>20190131</v>
      </c>
      <c r="L1644" t="str">
        <f t="shared" si="242"/>
        <v>075523</v>
      </c>
      <c r="M1644" t="str">
        <f t="shared" si="243"/>
        <v>84370</v>
      </c>
      <c r="N1644" t="s">
        <v>395</v>
      </c>
      <c r="O1644">
        <v>184.11</v>
      </c>
      <c r="P1644">
        <v>20190131</v>
      </c>
      <c r="Q1644" t="s">
        <v>898</v>
      </c>
      <c r="R1644" t="s">
        <v>930</v>
      </c>
      <c r="S1644" t="s">
        <v>295</v>
      </c>
      <c r="T1644" t="s">
        <v>301</v>
      </c>
    </row>
    <row r="1645" spans="1:20" x14ac:dyDescent="0.25">
      <c r="A1645">
        <v>9</v>
      </c>
      <c r="B1645">
        <v>181</v>
      </c>
      <c r="C1645" t="str">
        <f t="shared" si="236"/>
        <v>36</v>
      </c>
      <c r="D1645">
        <v>6412</v>
      </c>
      <c r="E1645" t="str">
        <f>"3K"</f>
        <v>3K</v>
      </c>
      <c r="F1645" t="str">
        <f t="shared" si="244"/>
        <v>001</v>
      </c>
      <c r="G1645">
        <v>9</v>
      </c>
      <c r="H1645" t="str">
        <f t="shared" si="237"/>
        <v>91</v>
      </c>
      <c r="I1645" t="str">
        <f t="shared" si="239"/>
        <v>1</v>
      </c>
      <c r="J1645" t="str">
        <f t="shared" si="245"/>
        <v>39</v>
      </c>
      <c r="K1645">
        <v>20190131</v>
      </c>
      <c r="L1645" t="str">
        <f t="shared" si="242"/>
        <v>075523</v>
      </c>
      <c r="M1645" t="str">
        <f t="shared" si="243"/>
        <v>84370</v>
      </c>
      <c r="N1645" t="s">
        <v>395</v>
      </c>
      <c r="O1645">
        <v>144.93</v>
      </c>
      <c r="P1645">
        <v>20190131</v>
      </c>
      <c r="Q1645" t="s">
        <v>898</v>
      </c>
      <c r="R1645" t="s">
        <v>931</v>
      </c>
      <c r="S1645" t="s">
        <v>295</v>
      </c>
      <c r="T1645" t="s">
        <v>301</v>
      </c>
    </row>
    <row r="1646" spans="1:20" x14ac:dyDescent="0.25">
      <c r="A1646">
        <v>9</v>
      </c>
      <c r="B1646">
        <v>181</v>
      </c>
      <c r="C1646" t="str">
        <f t="shared" si="236"/>
        <v>36</v>
      </c>
      <c r="D1646">
        <v>6412</v>
      </c>
      <c r="E1646" t="str">
        <f>"3K"</f>
        <v>3K</v>
      </c>
      <c r="F1646" t="str">
        <f t="shared" si="244"/>
        <v>001</v>
      </c>
      <c r="G1646">
        <v>9</v>
      </c>
      <c r="H1646" t="str">
        <f t="shared" si="237"/>
        <v>91</v>
      </c>
      <c r="I1646" t="str">
        <f t="shared" si="239"/>
        <v>1</v>
      </c>
      <c r="J1646" t="str">
        <f t="shared" si="245"/>
        <v>39</v>
      </c>
      <c r="K1646">
        <v>20190131</v>
      </c>
      <c r="L1646" t="str">
        <f t="shared" si="242"/>
        <v>075523</v>
      </c>
      <c r="M1646" t="str">
        <f t="shared" si="243"/>
        <v>84370</v>
      </c>
      <c r="N1646" t="s">
        <v>395</v>
      </c>
      <c r="O1646">
        <v>91.91</v>
      </c>
      <c r="P1646">
        <v>20190131</v>
      </c>
      <c r="Q1646" t="s">
        <v>898</v>
      </c>
      <c r="R1646" t="s">
        <v>932</v>
      </c>
      <c r="S1646" t="s">
        <v>295</v>
      </c>
      <c r="T1646" t="s">
        <v>301</v>
      </c>
    </row>
    <row r="1647" spans="1:20" x14ac:dyDescent="0.25">
      <c r="A1647">
        <v>9</v>
      </c>
      <c r="B1647">
        <v>181</v>
      </c>
      <c r="C1647" t="str">
        <f t="shared" si="236"/>
        <v>36</v>
      </c>
      <c r="D1647">
        <v>6412</v>
      </c>
      <c r="E1647" t="str">
        <f>"3M"</f>
        <v>3M</v>
      </c>
      <c r="F1647" t="str">
        <f t="shared" si="244"/>
        <v>001</v>
      </c>
      <c r="G1647">
        <v>9</v>
      </c>
      <c r="H1647" t="str">
        <f t="shared" si="237"/>
        <v>91</v>
      </c>
      <c r="I1647" t="str">
        <f t="shared" si="239"/>
        <v>1</v>
      </c>
      <c r="J1647" t="str">
        <f t="shared" si="245"/>
        <v>39</v>
      </c>
      <c r="K1647">
        <v>20190131</v>
      </c>
      <c r="L1647" t="str">
        <f t="shared" si="242"/>
        <v>075523</v>
      </c>
      <c r="M1647" t="str">
        <f t="shared" si="243"/>
        <v>84370</v>
      </c>
      <c r="N1647" t="s">
        <v>395</v>
      </c>
      <c r="O1647">
        <v>143.04</v>
      </c>
      <c r="P1647">
        <v>20190131</v>
      </c>
      <c r="Q1647" t="s">
        <v>907</v>
      </c>
      <c r="R1647" t="s">
        <v>871</v>
      </c>
      <c r="S1647" t="s">
        <v>295</v>
      </c>
      <c r="T1647" t="s">
        <v>301</v>
      </c>
    </row>
    <row r="1648" spans="1:20" x14ac:dyDescent="0.25">
      <c r="A1648">
        <v>9</v>
      </c>
      <c r="B1648">
        <v>181</v>
      </c>
      <c r="C1648" t="str">
        <f t="shared" si="236"/>
        <v>36</v>
      </c>
      <c r="D1648">
        <v>6412</v>
      </c>
      <c r="E1648" t="str">
        <f>"3M"</f>
        <v>3M</v>
      </c>
      <c r="F1648" t="str">
        <f t="shared" si="244"/>
        <v>001</v>
      </c>
      <c r="G1648">
        <v>9</v>
      </c>
      <c r="H1648" t="str">
        <f t="shared" si="237"/>
        <v>91</v>
      </c>
      <c r="I1648" t="str">
        <f t="shared" si="239"/>
        <v>1</v>
      </c>
      <c r="J1648" t="str">
        <f t="shared" si="245"/>
        <v>39</v>
      </c>
      <c r="K1648">
        <v>20190131</v>
      </c>
      <c r="L1648" t="str">
        <f t="shared" si="242"/>
        <v>075523</v>
      </c>
      <c r="M1648" t="str">
        <f t="shared" si="243"/>
        <v>84370</v>
      </c>
      <c r="N1648" t="s">
        <v>395</v>
      </c>
      <c r="O1648">
        <v>206.14</v>
      </c>
      <c r="P1648">
        <v>20190131</v>
      </c>
      <c r="Q1648" t="s">
        <v>907</v>
      </c>
      <c r="R1648" t="s">
        <v>824</v>
      </c>
      <c r="S1648" t="s">
        <v>295</v>
      </c>
      <c r="T1648" t="s">
        <v>301</v>
      </c>
    </row>
    <row r="1649" spans="1:20" x14ac:dyDescent="0.25">
      <c r="A1649">
        <v>9</v>
      </c>
      <c r="B1649">
        <v>181</v>
      </c>
      <c r="C1649" t="str">
        <f t="shared" si="236"/>
        <v>36</v>
      </c>
      <c r="D1649">
        <v>6412</v>
      </c>
      <c r="E1649" t="str">
        <f>"3N"</f>
        <v>3N</v>
      </c>
      <c r="F1649" t="str">
        <f t="shared" si="244"/>
        <v>001</v>
      </c>
      <c r="G1649">
        <v>9</v>
      </c>
      <c r="H1649" t="str">
        <f t="shared" si="237"/>
        <v>91</v>
      </c>
      <c r="I1649" t="str">
        <f t="shared" si="239"/>
        <v>1</v>
      </c>
      <c r="J1649" t="str">
        <f t="shared" si="245"/>
        <v>39</v>
      </c>
      <c r="K1649">
        <v>20190131</v>
      </c>
      <c r="L1649" t="str">
        <f t="shared" si="242"/>
        <v>075523</v>
      </c>
      <c r="M1649" t="str">
        <f t="shared" si="243"/>
        <v>84370</v>
      </c>
      <c r="N1649" t="s">
        <v>395</v>
      </c>
      <c r="O1649">
        <v>128.61000000000001</v>
      </c>
      <c r="P1649">
        <v>20190131</v>
      </c>
      <c r="Q1649" t="s">
        <v>920</v>
      </c>
      <c r="R1649" t="s">
        <v>933</v>
      </c>
      <c r="S1649" t="s">
        <v>295</v>
      </c>
      <c r="T1649" t="s">
        <v>301</v>
      </c>
    </row>
    <row r="1650" spans="1:20" x14ac:dyDescent="0.25">
      <c r="A1650">
        <v>9</v>
      </c>
      <c r="B1650">
        <v>181</v>
      </c>
      <c r="C1650" t="str">
        <f t="shared" si="236"/>
        <v>36</v>
      </c>
      <c r="D1650">
        <v>6412</v>
      </c>
      <c r="E1650" t="str">
        <f>"3N"</f>
        <v>3N</v>
      </c>
      <c r="F1650" t="str">
        <f t="shared" si="244"/>
        <v>001</v>
      </c>
      <c r="G1650">
        <v>9</v>
      </c>
      <c r="H1650" t="str">
        <f t="shared" si="237"/>
        <v>91</v>
      </c>
      <c r="I1650" t="str">
        <f t="shared" si="239"/>
        <v>1</v>
      </c>
      <c r="J1650" t="str">
        <f t="shared" si="245"/>
        <v>39</v>
      </c>
      <c r="K1650">
        <v>20190131</v>
      </c>
      <c r="L1650" t="str">
        <f t="shared" si="242"/>
        <v>075523</v>
      </c>
      <c r="M1650" t="str">
        <f t="shared" si="243"/>
        <v>84370</v>
      </c>
      <c r="N1650" t="s">
        <v>395</v>
      </c>
      <c r="O1650">
        <v>259.94</v>
      </c>
      <c r="P1650">
        <v>20190131</v>
      </c>
      <c r="Q1650" t="s">
        <v>920</v>
      </c>
      <c r="R1650" t="s">
        <v>934</v>
      </c>
      <c r="S1650" t="s">
        <v>295</v>
      </c>
      <c r="T1650" t="s">
        <v>301</v>
      </c>
    </row>
    <row r="1651" spans="1:20" x14ac:dyDescent="0.25">
      <c r="A1651">
        <v>9</v>
      </c>
      <c r="B1651">
        <v>181</v>
      </c>
      <c r="C1651" t="str">
        <f t="shared" si="236"/>
        <v>36</v>
      </c>
      <c r="D1651">
        <v>6412</v>
      </c>
      <c r="E1651" t="str">
        <f>"3N"</f>
        <v>3N</v>
      </c>
      <c r="F1651" t="str">
        <f t="shared" si="244"/>
        <v>001</v>
      </c>
      <c r="G1651">
        <v>9</v>
      </c>
      <c r="H1651" t="str">
        <f t="shared" si="237"/>
        <v>91</v>
      </c>
      <c r="I1651" t="str">
        <f t="shared" si="239"/>
        <v>1</v>
      </c>
      <c r="J1651" t="str">
        <f t="shared" si="245"/>
        <v>39</v>
      </c>
      <c r="K1651">
        <v>20190131</v>
      </c>
      <c r="L1651" t="str">
        <f t="shared" si="242"/>
        <v>075523</v>
      </c>
      <c r="M1651" t="str">
        <f t="shared" si="243"/>
        <v>84370</v>
      </c>
      <c r="N1651" t="s">
        <v>395</v>
      </c>
      <c r="O1651">
        <v>136.29</v>
      </c>
      <c r="P1651">
        <v>20190131</v>
      </c>
      <c r="Q1651" t="s">
        <v>920</v>
      </c>
      <c r="R1651" t="s">
        <v>935</v>
      </c>
      <c r="S1651" t="s">
        <v>295</v>
      </c>
      <c r="T1651" t="s">
        <v>301</v>
      </c>
    </row>
    <row r="1652" spans="1:20" x14ac:dyDescent="0.25">
      <c r="A1652">
        <v>9</v>
      </c>
      <c r="B1652">
        <v>181</v>
      </c>
      <c r="C1652" t="str">
        <f t="shared" si="236"/>
        <v>36</v>
      </c>
      <c r="D1652">
        <v>6412</v>
      </c>
      <c r="E1652" t="str">
        <f>"3V"</f>
        <v>3V</v>
      </c>
      <c r="F1652" t="str">
        <f>"041"</f>
        <v>041</v>
      </c>
      <c r="G1652">
        <v>9</v>
      </c>
      <c r="H1652" t="str">
        <f t="shared" si="237"/>
        <v>91</v>
      </c>
      <c r="I1652" t="str">
        <f t="shared" si="239"/>
        <v>1</v>
      </c>
      <c r="J1652" t="str">
        <f>"41"</f>
        <v>41</v>
      </c>
      <c r="K1652">
        <v>20190131</v>
      </c>
      <c r="L1652" t="str">
        <f t="shared" si="242"/>
        <v>075523</v>
      </c>
      <c r="M1652" t="str">
        <f t="shared" si="243"/>
        <v>84370</v>
      </c>
      <c r="N1652" t="s">
        <v>395</v>
      </c>
      <c r="O1652">
        <v>186.71</v>
      </c>
      <c r="P1652">
        <v>20190131</v>
      </c>
      <c r="Q1652" t="s">
        <v>811</v>
      </c>
      <c r="R1652" t="s">
        <v>936</v>
      </c>
      <c r="S1652" t="s">
        <v>295</v>
      </c>
      <c r="T1652" t="s">
        <v>106</v>
      </c>
    </row>
    <row r="1653" spans="1:20" x14ac:dyDescent="0.25">
      <c r="A1653">
        <v>9</v>
      </c>
      <c r="B1653">
        <v>181</v>
      </c>
      <c r="C1653" t="str">
        <f t="shared" si="236"/>
        <v>36</v>
      </c>
      <c r="D1653">
        <v>6219</v>
      </c>
      <c r="E1653" t="str">
        <f>"3B"</f>
        <v>3B</v>
      </c>
      <c r="F1653" t="str">
        <f>"041"</f>
        <v>041</v>
      </c>
      <c r="G1653">
        <v>9</v>
      </c>
      <c r="H1653" t="str">
        <f t="shared" si="237"/>
        <v>91</v>
      </c>
      <c r="I1653" t="str">
        <f t="shared" ref="I1653:I1659" si="246">"0"</f>
        <v>0</v>
      </c>
      <c r="J1653" t="str">
        <f>"41"</f>
        <v>41</v>
      </c>
      <c r="K1653">
        <v>20190131</v>
      </c>
      <c r="L1653" t="str">
        <f>"075524"</f>
        <v>075524</v>
      </c>
      <c r="M1653" t="str">
        <f>"00603"</f>
        <v>00603</v>
      </c>
      <c r="N1653" t="s">
        <v>591</v>
      </c>
      <c r="O1653">
        <v>85</v>
      </c>
      <c r="P1653">
        <v>20190131</v>
      </c>
      <c r="Q1653" t="s">
        <v>711</v>
      </c>
      <c r="R1653" t="s">
        <v>910</v>
      </c>
      <c r="S1653" t="s">
        <v>295</v>
      </c>
      <c r="T1653" t="s">
        <v>106</v>
      </c>
    </row>
    <row r="1654" spans="1:20" x14ac:dyDescent="0.25">
      <c r="A1654">
        <v>9</v>
      </c>
      <c r="B1654">
        <v>181</v>
      </c>
      <c r="C1654" t="str">
        <f t="shared" si="236"/>
        <v>36</v>
      </c>
      <c r="D1654">
        <v>6219</v>
      </c>
      <c r="E1654" t="str">
        <f>"3B"</f>
        <v>3B</v>
      </c>
      <c r="F1654" t="str">
        <f>"041"</f>
        <v>041</v>
      </c>
      <c r="G1654">
        <v>9</v>
      </c>
      <c r="H1654" t="str">
        <f t="shared" si="237"/>
        <v>91</v>
      </c>
      <c r="I1654" t="str">
        <f t="shared" si="246"/>
        <v>0</v>
      </c>
      <c r="J1654" t="str">
        <f>"41"</f>
        <v>41</v>
      </c>
      <c r="K1654">
        <v>20190131</v>
      </c>
      <c r="L1654" t="str">
        <f>"075524"</f>
        <v>075524</v>
      </c>
      <c r="M1654" t="str">
        <f>"00603"</f>
        <v>00603</v>
      </c>
      <c r="N1654" t="s">
        <v>591</v>
      </c>
      <c r="O1654">
        <v>85</v>
      </c>
      <c r="P1654">
        <v>20190131</v>
      </c>
      <c r="Q1654" t="s">
        <v>711</v>
      </c>
      <c r="R1654" t="s">
        <v>914</v>
      </c>
      <c r="S1654" t="s">
        <v>295</v>
      </c>
      <c r="T1654" t="s">
        <v>106</v>
      </c>
    </row>
    <row r="1655" spans="1:20" x14ac:dyDescent="0.25">
      <c r="A1655">
        <v>9</v>
      </c>
      <c r="B1655">
        <v>181</v>
      </c>
      <c r="C1655" t="str">
        <f t="shared" si="236"/>
        <v>36</v>
      </c>
      <c r="D1655">
        <v>6219</v>
      </c>
      <c r="E1655" t="str">
        <f>"3S"</f>
        <v>3S</v>
      </c>
      <c r="F1655" t="str">
        <f t="shared" ref="F1655:F1686" si="247">"001"</f>
        <v>001</v>
      </c>
      <c r="G1655">
        <v>9</v>
      </c>
      <c r="H1655" t="str">
        <f t="shared" si="237"/>
        <v>91</v>
      </c>
      <c r="I1655" t="str">
        <f t="shared" si="246"/>
        <v>0</v>
      </c>
      <c r="J1655" t="str">
        <f t="shared" ref="J1655:J1686" si="248">"39"</f>
        <v>39</v>
      </c>
      <c r="K1655">
        <v>20190208</v>
      </c>
      <c r="L1655" t="str">
        <f>"075526"</f>
        <v>075526</v>
      </c>
      <c r="M1655" t="str">
        <f>"00190"</f>
        <v>00190</v>
      </c>
      <c r="N1655" t="s">
        <v>937</v>
      </c>
      <c r="O1655">
        <v>45</v>
      </c>
      <c r="P1655">
        <v>20190208</v>
      </c>
      <c r="Q1655" t="s">
        <v>609</v>
      </c>
      <c r="R1655" t="s">
        <v>938</v>
      </c>
      <c r="S1655" t="s">
        <v>295</v>
      </c>
      <c r="T1655" t="s">
        <v>301</v>
      </c>
    </row>
    <row r="1656" spans="1:20" x14ac:dyDescent="0.25">
      <c r="A1656">
        <v>9</v>
      </c>
      <c r="B1656">
        <v>181</v>
      </c>
      <c r="C1656" t="str">
        <f t="shared" si="236"/>
        <v>36</v>
      </c>
      <c r="D1656">
        <v>6219</v>
      </c>
      <c r="E1656" t="str">
        <f>"3S"</f>
        <v>3S</v>
      </c>
      <c r="F1656" t="str">
        <f t="shared" si="247"/>
        <v>001</v>
      </c>
      <c r="G1656">
        <v>9</v>
      </c>
      <c r="H1656" t="str">
        <f t="shared" si="237"/>
        <v>91</v>
      </c>
      <c r="I1656" t="str">
        <f t="shared" si="246"/>
        <v>0</v>
      </c>
      <c r="J1656" t="str">
        <f t="shared" si="248"/>
        <v>39</v>
      </c>
      <c r="K1656">
        <v>20190208</v>
      </c>
      <c r="L1656" t="str">
        <f>"075526"</f>
        <v>075526</v>
      </c>
      <c r="M1656" t="str">
        <f>"00190"</f>
        <v>00190</v>
      </c>
      <c r="N1656" t="s">
        <v>937</v>
      </c>
      <c r="O1656">
        <v>45</v>
      </c>
      <c r="P1656">
        <v>20190208</v>
      </c>
      <c r="Q1656" t="s">
        <v>609</v>
      </c>
      <c r="R1656" t="s">
        <v>938</v>
      </c>
      <c r="S1656" t="s">
        <v>295</v>
      </c>
      <c r="T1656" t="s">
        <v>301</v>
      </c>
    </row>
    <row r="1657" spans="1:20" x14ac:dyDescent="0.25">
      <c r="A1657">
        <v>9</v>
      </c>
      <c r="B1657">
        <v>181</v>
      </c>
      <c r="C1657" t="str">
        <f t="shared" si="236"/>
        <v>36</v>
      </c>
      <c r="D1657">
        <v>6219</v>
      </c>
      <c r="E1657" t="str">
        <f>"3B"</f>
        <v>3B</v>
      </c>
      <c r="F1657" t="str">
        <f t="shared" si="247"/>
        <v>001</v>
      </c>
      <c r="G1657">
        <v>9</v>
      </c>
      <c r="H1657" t="str">
        <f t="shared" si="237"/>
        <v>91</v>
      </c>
      <c r="I1657" t="str">
        <f t="shared" si="246"/>
        <v>0</v>
      </c>
      <c r="J1657" t="str">
        <f t="shared" si="248"/>
        <v>39</v>
      </c>
      <c r="K1657">
        <v>20190208</v>
      </c>
      <c r="L1657" t="str">
        <f>"075527"</f>
        <v>075527</v>
      </c>
      <c r="M1657" t="str">
        <f>"00646"</f>
        <v>00646</v>
      </c>
      <c r="N1657" t="s">
        <v>694</v>
      </c>
      <c r="O1657">
        <v>65</v>
      </c>
      <c r="P1657">
        <v>20190207</v>
      </c>
      <c r="Q1657" t="s">
        <v>695</v>
      </c>
      <c r="R1657" t="s">
        <v>939</v>
      </c>
      <c r="S1657" t="s">
        <v>295</v>
      </c>
      <c r="T1657" t="s">
        <v>301</v>
      </c>
    </row>
    <row r="1658" spans="1:20" x14ac:dyDescent="0.25">
      <c r="A1658">
        <v>9</v>
      </c>
      <c r="B1658">
        <v>181</v>
      </c>
      <c r="C1658" t="str">
        <f t="shared" si="236"/>
        <v>36</v>
      </c>
      <c r="D1658">
        <v>6219</v>
      </c>
      <c r="E1658" t="str">
        <f>"3D"</f>
        <v>3D</v>
      </c>
      <c r="F1658" t="str">
        <f t="shared" si="247"/>
        <v>001</v>
      </c>
      <c r="G1658">
        <v>9</v>
      </c>
      <c r="H1658" t="str">
        <f t="shared" si="237"/>
        <v>91</v>
      </c>
      <c r="I1658" t="str">
        <f t="shared" si="246"/>
        <v>0</v>
      </c>
      <c r="J1658" t="str">
        <f t="shared" si="248"/>
        <v>39</v>
      </c>
      <c r="K1658">
        <v>20190208</v>
      </c>
      <c r="L1658" t="str">
        <f>"075527"</f>
        <v>075527</v>
      </c>
      <c r="M1658" t="str">
        <f>"00646"</f>
        <v>00646</v>
      </c>
      <c r="N1658" t="s">
        <v>694</v>
      </c>
      <c r="O1658">
        <v>65</v>
      </c>
      <c r="P1658">
        <v>20190207</v>
      </c>
      <c r="Q1658" t="s">
        <v>700</v>
      </c>
      <c r="R1658" t="s">
        <v>940</v>
      </c>
      <c r="S1658" t="s">
        <v>295</v>
      </c>
      <c r="T1658" t="s">
        <v>301</v>
      </c>
    </row>
    <row r="1659" spans="1:20" x14ac:dyDescent="0.25">
      <c r="A1659">
        <v>9</v>
      </c>
      <c r="B1659">
        <v>181</v>
      </c>
      <c r="C1659" t="str">
        <f t="shared" si="236"/>
        <v>36</v>
      </c>
      <c r="D1659">
        <v>6219</v>
      </c>
      <c r="E1659" t="str">
        <f>"3N"</f>
        <v>3N</v>
      </c>
      <c r="F1659" t="str">
        <f t="shared" si="247"/>
        <v>001</v>
      </c>
      <c r="G1659">
        <v>9</v>
      </c>
      <c r="H1659" t="str">
        <f t="shared" si="237"/>
        <v>91</v>
      </c>
      <c r="I1659" t="str">
        <f t="shared" si="246"/>
        <v>0</v>
      </c>
      <c r="J1659" t="str">
        <f t="shared" si="248"/>
        <v>39</v>
      </c>
      <c r="K1659">
        <v>20190208</v>
      </c>
      <c r="L1659" t="str">
        <f>"075528"</f>
        <v>075528</v>
      </c>
      <c r="M1659" t="str">
        <f>"49981"</f>
        <v>49981</v>
      </c>
      <c r="N1659" t="s">
        <v>941</v>
      </c>
      <c r="O1659">
        <v>75</v>
      </c>
      <c r="P1659">
        <v>20190207</v>
      </c>
      <c r="Q1659" t="s">
        <v>942</v>
      </c>
      <c r="R1659" t="s">
        <v>943</v>
      </c>
      <c r="S1659" t="s">
        <v>295</v>
      </c>
      <c r="T1659" t="s">
        <v>301</v>
      </c>
    </row>
    <row r="1660" spans="1:20" x14ac:dyDescent="0.25">
      <c r="A1660">
        <v>9</v>
      </c>
      <c r="B1660">
        <v>181</v>
      </c>
      <c r="C1660" t="str">
        <f t="shared" si="236"/>
        <v>36</v>
      </c>
      <c r="D1660">
        <v>6412</v>
      </c>
      <c r="E1660" t="str">
        <f>"09"</f>
        <v>09</v>
      </c>
      <c r="F1660" t="str">
        <f t="shared" si="247"/>
        <v>001</v>
      </c>
      <c r="G1660">
        <v>9</v>
      </c>
      <c r="H1660" t="str">
        <f t="shared" si="237"/>
        <v>91</v>
      </c>
      <c r="I1660" t="str">
        <f>"S"</f>
        <v>S</v>
      </c>
      <c r="J1660" t="str">
        <f t="shared" si="248"/>
        <v>39</v>
      </c>
      <c r="K1660">
        <v>20190208</v>
      </c>
      <c r="L1660" t="str">
        <f>"075529"</f>
        <v>075529</v>
      </c>
      <c r="M1660" t="str">
        <f>"03332"</f>
        <v>03332</v>
      </c>
      <c r="N1660" t="s">
        <v>458</v>
      </c>
      <c r="O1660">
        <v>792</v>
      </c>
      <c r="P1660">
        <v>20190207</v>
      </c>
      <c r="Q1660" t="s">
        <v>874</v>
      </c>
      <c r="R1660" t="s">
        <v>944</v>
      </c>
      <c r="S1660" t="s">
        <v>295</v>
      </c>
      <c r="T1660" t="s">
        <v>301</v>
      </c>
    </row>
    <row r="1661" spans="1:20" x14ac:dyDescent="0.25">
      <c r="A1661">
        <v>9</v>
      </c>
      <c r="B1661">
        <v>181</v>
      </c>
      <c r="C1661" t="str">
        <f t="shared" si="236"/>
        <v>36</v>
      </c>
      <c r="D1661">
        <v>6412</v>
      </c>
      <c r="E1661" t="str">
        <f>"09"</f>
        <v>09</v>
      </c>
      <c r="F1661" t="str">
        <f t="shared" si="247"/>
        <v>001</v>
      </c>
      <c r="G1661">
        <v>9</v>
      </c>
      <c r="H1661" t="str">
        <f t="shared" si="237"/>
        <v>91</v>
      </c>
      <c r="I1661" t="str">
        <f>"S"</f>
        <v>S</v>
      </c>
      <c r="J1661" t="str">
        <f t="shared" si="248"/>
        <v>39</v>
      </c>
      <c r="K1661">
        <v>20190208</v>
      </c>
      <c r="L1661" t="str">
        <f>"075529"</f>
        <v>075529</v>
      </c>
      <c r="M1661" t="str">
        <f>"03332"</f>
        <v>03332</v>
      </c>
      <c r="N1661" t="s">
        <v>458</v>
      </c>
      <c r="O1661">
        <v>150</v>
      </c>
      <c r="P1661">
        <v>20190207</v>
      </c>
      <c r="Q1661" t="s">
        <v>874</v>
      </c>
      <c r="R1661" t="s">
        <v>944</v>
      </c>
      <c r="S1661" t="s">
        <v>295</v>
      </c>
      <c r="T1661" t="s">
        <v>301</v>
      </c>
    </row>
    <row r="1662" spans="1:20" x14ac:dyDescent="0.25">
      <c r="A1662">
        <v>9</v>
      </c>
      <c r="B1662">
        <v>181</v>
      </c>
      <c r="C1662" t="str">
        <f t="shared" si="236"/>
        <v>36</v>
      </c>
      <c r="D1662">
        <v>6649</v>
      </c>
      <c r="E1662" t="str">
        <f>"3F"</f>
        <v>3F</v>
      </c>
      <c r="F1662" t="str">
        <f t="shared" si="247"/>
        <v>001</v>
      </c>
      <c r="G1662">
        <v>9</v>
      </c>
      <c r="H1662" t="str">
        <f t="shared" si="237"/>
        <v>91</v>
      </c>
      <c r="I1662" t="str">
        <f t="shared" ref="I1662:I1667" si="249">"0"</f>
        <v>0</v>
      </c>
      <c r="J1662" t="str">
        <f t="shared" si="248"/>
        <v>39</v>
      </c>
      <c r="K1662">
        <v>20190208</v>
      </c>
      <c r="L1662" t="str">
        <f>"075532"</f>
        <v>075532</v>
      </c>
      <c r="M1662" t="str">
        <f>"04410"</f>
        <v>04410</v>
      </c>
      <c r="N1662" t="s">
        <v>410</v>
      </c>
      <c r="O1662">
        <v>685.31</v>
      </c>
      <c r="P1662">
        <v>20190207</v>
      </c>
      <c r="Q1662" t="s">
        <v>945</v>
      </c>
      <c r="R1662" t="s">
        <v>946</v>
      </c>
      <c r="S1662" t="s">
        <v>295</v>
      </c>
      <c r="T1662" t="s">
        <v>301</v>
      </c>
    </row>
    <row r="1663" spans="1:20" x14ac:dyDescent="0.25">
      <c r="A1663">
        <v>9</v>
      </c>
      <c r="B1663">
        <v>181</v>
      </c>
      <c r="C1663" t="str">
        <f t="shared" si="236"/>
        <v>36</v>
      </c>
      <c r="D1663">
        <v>6399</v>
      </c>
      <c r="E1663" t="str">
        <f>"3K"</f>
        <v>3K</v>
      </c>
      <c r="F1663" t="str">
        <f t="shared" si="247"/>
        <v>001</v>
      </c>
      <c r="G1663">
        <v>9</v>
      </c>
      <c r="H1663" t="str">
        <f t="shared" si="237"/>
        <v>91</v>
      </c>
      <c r="I1663" t="str">
        <f t="shared" si="249"/>
        <v>0</v>
      </c>
      <c r="J1663" t="str">
        <f t="shared" si="248"/>
        <v>39</v>
      </c>
      <c r="K1663">
        <v>20190208</v>
      </c>
      <c r="L1663" t="str">
        <f>"075533"</f>
        <v>075533</v>
      </c>
      <c r="M1663" t="str">
        <f>"05530"</f>
        <v>05530</v>
      </c>
      <c r="N1663" t="s">
        <v>947</v>
      </c>
      <c r="O1663">
        <v>100</v>
      </c>
      <c r="P1663">
        <v>20190207</v>
      </c>
      <c r="Q1663" t="s">
        <v>948</v>
      </c>
      <c r="R1663" t="s">
        <v>949</v>
      </c>
      <c r="S1663" t="s">
        <v>295</v>
      </c>
      <c r="T1663" t="s">
        <v>301</v>
      </c>
    </row>
    <row r="1664" spans="1:20" x14ac:dyDescent="0.25">
      <c r="A1664">
        <v>9</v>
      </c>
      <c r="B1664">
        <v>181</v>
      </c>
      <c r="C1664" t="str">
        <f t="shared" si="236"/>
        <v>36</v>
      </c>
      <c r="D1664">
        <v>6219</v>
      </c>
      <c r="E1664" t="str">
        <f>"3K"</f>
        <v>3K</v>
      </c>
      <c r="F1664" t="str">
        <f t="shared" si="247"/>
        <v>001</v>
      </c>
      <c r="G1664">
        <v>9</v>
      </c>
      <c r="H1664" t="str">
        <f t="shared" si="237"/>
        <v>91</v>
      </c>
      <c r="I1664" t="str">
        <f t="shared" si="249"/>
        <v>0</v>
      </c>
      <c r="J1664" t="str">
        <f t="shared" si="248"/>
        <v>39</v>
      </c>
      <c r="K1664">
        <v>20190208</v>
      </c>
      <c r="L1664" t="str">
        <f>"075541"</f>
        <v>075541</v>
      </c>
      <c r="M1664" t="str">
        <f>"10072"</f>
        <v>10072</v>
      </c>
      <c r="N1664" t="s">
        <v>950</v>
      </c>
      <c r="O1664">
        <v>115</v>
      </c>
      <c r="P1664">
        <v>20190207</v>
      </c>
      <c r="Q1664" t="s">
        <v>951</v>
      </c>
      <c r="R1664" t="s">
        <v>952</v>
      </c>
      <c r="S1664" t="s">
        <v>295</v>
      </c>
      <c r="T1664" t="s">
        <v>301</v>
      </c>
    </row>
    <row r="1665" spans="1:20" x14ac:dyDescent="0.25">
      <c r="A1665">
        <v>9</v>
      </c>
      <c r="B1665">
        <v>181</v>
      </c>
      <c r="C1665" t="str">
        <f t="shared" si="236"/>
        <v>36</v>
      </c>
      <c r="D1665">
        <v>6219</v>
      </c>
      <c r="E1665" t="str">
        <f>"3K"</f>
        <v>3K</v>
      </c>
      <c r="F1665" t="str">
        <f t="shared" si="247"/>
        <v>001</v>
      </c>
      <c r="G1665">
        <v>9</v>
      </c>
      <c r="H1665" t="str">
        <f t="shared" si="237"/>
        <v>91</v>
      </c>
      <c r="I1665" t="str">
        <f t="shared" si="249"/>
        <v>0</v>
      </c>
      <c r="J1665" t="str">
        <f t="shared" si="248"/>
        <v>39</v>
      </c>
      <c r="K1665">
        <v>20190208</v>
      </c>
      <c r="L1665" t="str">
        <f>"075541"</f>
        <v>075541</v>
      </c>
      <c r="M1665" t="str">
        <f>"10072"</f>
        <v>10072</v>
      </c>
      <c r="N1665" t="s">
        <v>950</v>
      </c>
      <c r="O1665">
        <v>115</v>
      </c>
      <c r="P1665">
        <v>20190207</v>
      </c>
      <c r="Q1665" t="s">
        <v>951</v>
      </c>
      <c r="R1665" t="s">
        <v>953</v>
      </c>
      <c r="S1665" t="s">
        <v>295</v>
      </c>
      <c r="T1665" t="s">
        <v>301</v>
      </c>
    </row>
    <row r="1666" spans="1:20" x14ac:dyDescent="0.25">
      <c r="A1666">
        <v>9</v>
      </c>
      <c r="B1666">
        <v>181</v>
      </c>
      <c r="C1666" t="str">
        <f t="shared" si="236"/>
        <v>36</v>
      </c>
      <c r="D1666">
        <v>6219</v>
      </c>
      <c r="E1666" t="str">
        <f>"3N"</f>
        <v>3N</v>
      </c>
      <c r="F1666" t="str">
        <f t="shared" si="247"/>
        <v>001</v>
      </c>
      <c r="G1666">
        <v>9</v>
      </c>
      <c r="H1666" t="str">
        <f t="shared" si="237"/>
        <v>91</v>
      </c>
      <c r="I1666" t="str">
        <f t="shared" si="249"/>
        <v>0</v>
      </c>
      <c r="J1666" t="str">
        <f t="shared" si="248"/>
        <v>39</v>
      </c>
      <c r="K1666">
        <v>20190208</v>
      </c>
      <c r="L1666" t="str">
        <f>"075547"</f>
        <v>075547</v>
      </c>
      <c r="M1666" t="str">
        <f>"18991"</f>
        <v>18991</v>
      </c>
      <c r="N1666" t="s">
        <v>324</v>
      </c>
      <c r="O1666">
        <v>55</v>
      </c>
      <c r="P1666">
        <v>20190207</v>
      </c>
      <c r="Q1666" t="s">
        <v>942</v>
      </c>
      <c r="R1666" t="s">
        <v>943</v>
      </c>
      <c r="S1666" t="s">
        <v>295</v>
      </c>
      <c r="T1666" t="s">
        <v>301</v>
      </c>
    </row>
    <row r="1667" spans="1:20" x14ac:dyDescent="0.25">
      <c r="A1667">
        <v>9</v>
      </c>
      <c r="B1667">
        <v>181</v>
      </c>
      <c r="C1667" t="str">
        <f t="shared" si="236"/>
        <v>36</v>
      </c>
      <c r="D1667">
        <v>6219</v>
      </c>
      <c r="E1667" t="str">
        <f>"3N"</f>
        <v>3N</v>
      </c>
      <c r="F1667" t="str">
        <f t="shared" si="247"/>
        <v>001</v>
      </c>
      <c r="G1667">
        <v>9</v>
      </c>
      <c r="H1667" t="str">
        <f t="shared" si="237"/>
        <v>91</v>
      </c>
      <c r="I1667" t="str">
        <f t="shared" si="249"/>
        <v>0</v>
      </c>
      <c r="J1667" t="str">
        <f t="shared" si="248"/>
        <v>39</v>
      </c>
      <c r="K1667">
        <v>20190208</v>
      </c>
      <c r="L1667" t="str">
        <f>"075547"</f>
        <v>075547</v>
      </c>
      <c r="M1667" t="str">
        <f>"18991"</f>
        <v>18991</v>
      </c>
      <c r="N1667" t="s">
        <v>324</v>
      </c>
      <c r="O1667">
        <v>55</v>
      </c>
      <c r="P1667">
        <v>20190207</v>
      </c>
      <c r="Q1667" t="s">
        <v>942</v>
      </c>
      <c r="R1667" t="s">
        <v>954</v>
      </c>
      <c r="S1667" t="s">
        <v>295</v>
      </c>
      <c r="T1667" t="s">
        <v>301</v>
      </c>
    </row>
    <row r="1668" spans="1:20" x14ac:dyDescent="0.25">
      <c r="A1668">
        <v>9</v>
      </c>
      <c r="B1668">
        <v>181</v>
      </c>
      <c r="C1668" t="str">
        <f t="shared" si="236"/>
        <v>36</v>
      </c>
      <c r="D1668">
        <v>6219</v>
      </c>
      <c r="E1668" t="str">
        <f>"3B"</f>
        <v>3B</v>
      </c>
      <c r="F1668" t="str">
        <f t="shared" si="247"/>
        <v>001</v>
      </c>
      <c r="G1668">
        <v>9</v>
      </c>
      <c r="H1668" t="str">
        <f t="shared" si="237"/>
        <v>91</v>
      </c>
      <c r="I1668" t="str">
        <f>"1"</f>
        <v>1</v>
      </c>
      <c r="J1668" t="str">
        <f t="shared" si="248"/>
        <v>39</v>
      </c>
      <c r="K1668">
        <v>20190208</v>
      </c>
      <c r="L1668" t="str">
        <f>"075548"</f>
        <v>075548</v>
      </c>
      <c r="M1668" t="str">
        <f>"19079"</f>
        <v>19079</v>
      </c>
      <c r="N1668" t="s">
        <v>326</v>
      </c>
      <c r="O1668">
        <v>64</v>
      </c>
      <c r="P1668">
        <v>20190207</v>
      </c>
      <c r="Q1668" t="s">
        <v>713</v>
      </c>
      <c r="R1668" t="s">
        <v>955</v>
      </c>
      <c r="S1668" t="s">
        <v>295</v>
      </c>
      <c r="T1668" t="s">
        <v>301</v>
      </c>
    </row>
    <row r="1669" spans="1:20" x14ac:dyDescent="0.25">
      <c r="A1669">
        <v>9</v>
      </c>
      <c r="B1669">
        <v>181</v>
      </c>
      <c r="C1669" t="str">
        <f t="shared" si="236"/>
        <v>36</v>
      </c>
      <c r="D1669">
        <v>6219</v>
      </c>
      <c r="E1669" t="str">
        <f>"3D"</f>
        <v>3D</v>
      </c>
      <c r="F1669" t="str">
        <f t="shared" si="247"/>
        <v>001</v>
      </c>
      <c r="G1669">
        <v>9</v>
      </c>
      <c r="H1669" t="str">
        <f t="shared" si="237"/>
        <v>91</v>
      </c>
      <c r="I1669" t="str">
        <f>"1"</f>
        <v>1</v>
      </c>
      <c r="J1669" t="str">
        <f t="shared" si="248"/>
        <v>39</v>
      </c>
      <c r="K1669">
        <v>20190208</v>
      </c>
      <c r="L1669" t="str">
        <f>"075548"</f>
        <v>075548</v>
      </c>
      <c r="M1669" t="str">
        <f>"19079"</f>
        <v>19079</v>
      </c>
      <c r="N1669" t="s">
        <v>326</v>
      </c>
      <c r="O1669">
        <v>64</v>
      </c>
      <c r="P1669">
        <v>20190207</v>
      </c>
      <c r="Q1669" t="s">
        <v>794</v>
      </c>
      <c r="R1669" t="s">
        <v>956</v>
      </c>
      <c r="S1669" t="s">
        <v>295</v>
      </c>
      <c r="T1669" t="s">
        <v>301</v>
      </c>
    </row>
    <row r="1670" spans="1:20" x14ac:dyDescent="0.25">
      <c r="A1670">
        <v>9</v>
      </c>
      <c r="B1670">
        <v>181</v>
      </c>
      <c r="C1670" t="str">
        <f t="shared" si="236"/>
        <v>36</v>
      </c>
      <c r="D1670">
        <v>6412</v>
      </c>
      <c r="E1670" t="str">
        <f>"09"</f>
        <v>09</v>
      </c>
      <c r="F1670" t="str">
        <f t="shared" si="247"/>
        <v>001</v>
      </c>
      <c r="G1670">
        <v>9</v>
      </c>
      <c r="H1670" t="str">
        <f t="shared" si="237"/>
        <v>91</v>
      </c>
      <c r="I1670" t="str">
        <f>"S"</f>
        <v>S</v>
      </c>
      <c r="J1670" t="str">
        <f t="shared" si="248"/>
        <v>39</v>
      </c>
      <c r="K1670">
        <v>20190208</v>
      </c>
      <c r="L1670" t="str">
        <f>"075551"</f>
        <v>075551</v>
      </c>
      <c r="M1670" t="str">
        <f>"22120"</f>
        <v>22120</v>
      </c>
      <c r="N1670" t="s">
        <v>556</v>
      </c>
      <c r="O1670">
        <v>276</v>
      </c>
      <c r="P1670">
        <v>20190207</v>
      </c>
      <c r="Q1670" t="s">
        <v>874</v>
      </c>
      <c r="R1670" t="s">
        <v>875</v>
      </c>
      <c r="S1670" t="s">
        <v>295</v>
      </c>
      <c r="T1670" t="s">
        <v>301</v>
      </c>
    </row>
    <row r="1671" spans="1:20" x14ac:dyDescent="0.25">
      <c r="A1671">
        <v>9</v>
      </c>
      <c r="B1671">
        <v>181</v>
      </c>
      <c r="C1671" t="str">
        <f t="shared" si="236"/>
        <v>36</v>
      </c>
      <c r="D1671">
        <v>6219</v>
      </c>
      <c r="E1671" t="str">
        <f>"3N"</f>
        <v>3N</v>
      </c>
      <c r="F1671" t="str">
        <f t="shared" si="247"/>
        <v>001</v>
      </c>
      <c r="G1671">
        <v>9</v>
      </c>
      <c r="H1671" t="str">
        <f t="shared" si="237"/>
        <v>91</v>
      </c>
      <c r="I1671" t="str">
        <f>"0"</f>
        <v>0</v>
      </c>
      <c r="J1671" t="str">
        <f t="shared" si="248"/>
        <v>39</v>
      </c>
      <c r="K1671">
        <v>20190208</v>
      </c>
      <c r="L1671" t="str">
        <f>"075552"</f>
        <v>075552</v>
      </c>
      <c r="M1671" t="str">
        <f>"00708"</f>
        <v>00708</v>
      </c>
      <c r="N1671" t="s">
        <v>957</v>
      </c>
      <c r="O1671">
        <v>55</v>
      </c>
      <c r="P1671">
        <v>20190207</v>
      </c>
      <c r="Q1671" t="s">
        <v>942</v>
      </c>
      <c r="R1671" t="s">
        <v>943</v>
      </c>
      <c r="S1671" t="s">
        <v>295</v>
      </c>
      <c r="T1671" t="s">
        <v>301</v>
      </c>
    </row>
    <row r="1672" spans="1:20" x14ac:dyDescent="0.25">
      <c r="A1672">
        <v>9</v>
      </c>
      <c r="B1672">
        <v>181</v>
      </c>
      <c r="C1672" t="str">
        <f t="shared" si="236"/>
        <v>36</v>
      </c>
      <c r="D1672">
        <v>6412</v>
      </c>
      <c r="E1672" t="str">
        <f>"3U"</f>
        <v>3U</v>
      </c>
      <c r="F1672" t="str">
        <f t="shared" si="247"/>
        <v>001</v>
      </c>
      <c r="G1672">
        <v>9</v>
      </c>
      <c r="H1672" t="str">
        <f t="shared" si="237"/>
        <v>91</v>
      </c>
      <c r="I1672" t="str">
        <f>"2"</f>
        <v>2</v>
      </c>
      <c r="J1672" t="str">
        <f t="shared" si="248"/>
        <v>39</v>
      </c>
      <c r="K1672">
        <v>20190208</v>
      </c>
      <c r="L1672" t="str">
        <f>"075555"</f>
        <v>075555</v>
      </c>
      <c r="M1672" t="str">
        <f>"22132"</f>
        <v>22132</v>
      </c>
      <c r="N1672" t="s">
        <v>775</v>
      </c>
      <c r="O1672">
        <v>192</v>
      </c>
      <c r="P1672">
        <v>20190207</v>
      </c>
      <c r="Q1672" t="s">
        <v>958</v>
      </c>
      <c r="R1672" t="s">
        <v>959</v>
      </c>
      <c r="S1672" t="s">
        <v>295</v>
      </c>
      <c r="T1672" t="s">
        <v>301</v>
      </c>
    </row>
    <row r="1673" spans="1:20" x14ac:dyDescent="0.25">
      <c r="A1673">
        <v>9</v>
      </c>
      <c r="B1673">
        <v>181</v>
      </c>
      <c r="C1673" t="str">
        <f t="shared" si="236"/>
        <v>36</v>
      </c>
      <c r="D1673">
        <v>6219</v>
      </c>
      <c r="E1673" t="str">
        <f>"3P"</f>
        <v>3P</v>
      </c>
      <c r="F1673" t="str">
        <f t="shared" si="247"/>
        <v>001</v>
      </c>
      <c r="G1673">
        <v>9</v>
      </c>
      <c r="H1673" t="str">
        <f t="shared" si="237"/>
        <v>91</v>
      </c>
      <c r="I1673" t="str">
        <f t="shared" ref="I1673:I1681" si="250">"0"</f>
        <v>0</v>
      </c>
      <c r="J1673" t="str">
        <f t="shared" si="248"/>
        <v>39</v>
      </c>
      <c r="K1673">
        <v>20190208</v>
      </c>
      <c r="L1673" t="str">
        <f>"075556"</f>
        <v>075556</v>
      </c>
      <c r="M1673" t="str">
        <f>"22231"</f>
        <v>22231</v>
      </c>
      <c r="N1673" t="s">
        <v>960</v>
      </c>
      <c r="O1673">
        <v>175</v>
      </c>
      <c r="P1673">
        <v>20190207</v>
      </c>
      <c r="Q1673" t="s">
        <v>961</v>
      </c>
      <c r="R1673" t="s">
        <v>962</v>
      </c>
      <c r="S1673" t="s">
        <v>295</v>
      </c>
      <c r="T1673" t="s">
        <v>301</v>
      </c>
    </row>
    <row r="1674" spans="1:20" x14ac:dyDescent="0.25">
      <c r="A1674">
        <v>9</v>
      </c>
      <c r="B1674">
        <v>181</v>
      </c>
      <c r="C1674" t="str">
        <f t="shared" si="236"/>
        <v>36</v>
      </c>
      <c r="D1674">
        <v>6219</v>
      </c>
      <c r="E1674" t="str">
        <f>"3K"</f>
        <v>3K</v>
      </c>
      <c r="F1674" t="str">
        <f t="shared" si="247"/>
        <v>001</v>
      </c>
      <c r="G1674">
        <v>9</v>
      </c>
      <c r="H1674" t="str">
        <f t="shared" si="237"/>
        <v>91</v>
      </c>
      <c r="I1674" t="str">
        <f t="shared" si="250"/>
        <v>0</v>
      </c>
      <c r="J1674" t="str">
        <f t="shared" si="248"/>
        <v>39</v>
      </c>
      <c r="K1674">
        <v>20190208</v>
      </c>
      <c r="L1674" t="str">
        <f>"075558"</f>
        <v>075558</v>
      </c>
      <c r="M1674" t="str">
        <f>"00705"</f>
        <v>00705</v>
      </c>
      <c r="N1674" t="s">
        <v>963</v>
      </c>
      <c r="O1674">
        <v>55</v>
      </c>
      <c r="P1674">
        <v>20190207</v>
      </c>
      <c r="Q1674" t="s">
        <v>951</v>
      </c>
      <c r="R1674" t="s">
        <v>964</v>
      </c>
      <c r="S1674" t="s">
        <v>295</v>
      </c>
      <c r="T1674" t="s">
        <v>301</v>
      </c>
    </row>
    <row r="1675" spans="1:20" x14ac:dyDescent="0.25">
      <c r="A1675">
        <v>9</v>
      </c>
      <c r="B1675">
        <v>181</v>
      </c>
      <c r="C1675" t="str">
        <f t="shared" si="236"/>
        <v>36</v>
      </c>
      <c r="D1675">
        <v>6219</v>
      </c>
      <c r="E1675" t="str">
        <f>"3B"</f>
        <v>3B</v>
      </c>
      <c r="F1675" t="str">
        <f t="shared" si="247"/>
        <v>001</v>
      </c>
      <c r="G1675">
        <v>9</v>
      </c>
      <c r="H1675" t="str">
        <f t="shared" si="237"/>
        <v>91</v>
      </c>
      <c r="I1675" t="str">
        <f t="shared" si="250"/>
        <v>0</v>
      </c>
      <c r="J1675" t="str">
        <f t="shared" si="248"/>
        <v>39</v>
      </c>
      <c r="K1675">
        <v>20190208</v>
      </c>
      <c r="L1675" t="str">
        <f>"075560"</f>
        <v>075560</v>
      </c>
      <c r="M1675" t="str">
        <f>"25230"</f>
        <v>25230</v>
      </c>
      <c r="N1675" t="s">
        <v>965</v>
      </c>
      <c r="O1675">
        <v>135</v>
      </c>
      <c r="P1675">
        <v>20190207</v>
      </c>
      <c r="Q1675" t="s">
        <v>695</v>
      </c>
      <c r="R1675" t="s">
        <v>966</v>
      </c>
      <c r="S1675" t="s">
        <v>295</v>
      </c>
      <c r="T1675" t="s">
        <v>301</v>
      </c>
    </row>
    <row r="1676" spans="1:20" x14ac:dyDescent="0.25">
      <c r="A1676">
        <v>9</v>
      </c>
      <c r="B1676">
        <v>181</v>
      </c>
      <c r="C1676" t="str">
        <f t="shared" si="236"/>
        <v>36</v>
      </c>
      <c r="D1676">
        <v>6219</v>
      </c>
      <c r="E1676" t="str">
        <f>"3B"</f>
        <v>3B</v>
      </c>
      <c r="F1676" t="str">
        <f t="shared" si="247"/>
        <v>001</v>
      </c>
      <c r="G1676">
        <v>9</v>
      </c>
      <c r="H1676" t="str">
        <f t="shared" si="237"/>
        <v>91</v>
      </c>
      <c r="I1676" t="str">
        <f t="shared" si="250"/>
        <v>0</v>
      </c>
      <c r="J1676" t="str">
        <f t="shared" si="248"/>
        <v>39</v>
      </c>
      <c r="K1676">
        <v>20190208</v>
      </c>
      <c r="L1676" t="str">
        <f>"075560"</f>
        <v>075560</v>
      </c>
      <c r="M1676" t="str">
        <f>"25230"</f>
        <v>25230</v>
      </c>
      <c r="N1676" t="s">
        <v>965</v>
      </c>
      <c r="O1676">
        <v>135</v>
      </c>
      <c r="P1676">
        <v>20190207</v>
      </c>
      <c r="Q1676" t="s">
        <v>695</v>
      </c>
      <c r="R1676" t="s">
        <v>939</v>
      </c>
      <c r="S1676" t="s">
        <v>295</v>
      </c>
      <c r="T1676" t="s">
        <v>301</v>
      </c>
    </row>
    <row r="1677" spans="1:20" x14ac:dyDescent="0.25">
      <c r="A1677">
        <v>9</v>
      </c>
      <c r="B1677">
        <v>181</v>
      </c>
      <c r="C1677" t="str">
        <f t="shared" si="236"/>
        <v>36</v>
      </c>
      <c r="D1677">
        <v>6219</v>
      </c>
      <c r="E1677" t="str">
        <f>"3D"</f>
        <v>3D</v>
      </c>
      <c r="F1677" t="str">
        <f t="shared" si="247"/>
        <v>001</v>
      </c>
      <c r="G1677">
        <v>9</v>
      </c>
      <c r="H1677" t="str">
        <f t="shared" si="237"/>
        <v>91</v>
      </c>
      <c r="I1677" t="str">
        <f t="shared" si="250"/>
        <v>0</v>
      </c>
      <c r="J1677" t="str">
        <f t="shared" si="248"/>
        <v>39</v>
      </c>
      <c r="K1677">
        <v>20190208</v>
      </c>
      <c r="L1677" t="str">
        <f>"075560"</f>
        <v>075560</v>
      </c>
      <c r="M1677" t="str">
        <f>"25230"</f>
        <v>25230</v>
      </c>
      <c r="N1677" t="s">
        <v>965</v>
      </c>
      <c r="O1677">
        <v>70</v>
      </c>
      <c r="P1677">
        <v>20190207</v>
      </c>
      <c r="Q1677" t="s">
        <v>700</v>
      </c>
      <c r="R1677" t="s">
        <v>967</v>
      </c>
      <c r="S1677" t="s">
        <v>295</v>
      </c>
      <c r="T1677" t="s">
        <v>301</v>
      </c>
    </row>
    <row r="1678" spans="1:20" x14ac:dyDescent="0.25">
      <c r="A1678">
        <v>9</v>
      </c>
      <c r="B1678">
        <v>181</v>
      </c>
      <c r="C1678" t="str">
        <f t="shared" si="236"/>
        <v>36</v>
      </c>
      <c r="D1678">
        <v>6219</v>
      </c>
      <c r="E1678" t="str">
        <f>"3S"</f>
        <v>3S</v>
      </c>
      <c r="F1678" t="str">
        <f t="shared" si="247"/>
        <v>001</v>
      </c>
      <c r="G1678">
        <v>9</v>
      </c>
      <c r="H1678" t="str">
        <f t="shared" si="237"/>
        <v>91</v>
      </c>
      <c r="I1678" t="str">
        <f t="shared" si="250"/>
        <v>0</v>
      </c>
      <c r="J1678" t="str">
        <f t="shared" si="248"/>
        <v>39</v>
      </c>
      <c r="K1678">
        <v>20190208</v>
      </c>
      <c r="L1678" t="str">
        <f>"075566"</f>
        <v>075566</v>
      </c>
      <c r="M1678" t="str">
        <f>"00704"</f>
        <v>00704</v>
      </c>
      <c r="N1678" t="s">
        <v>968</v>
      </c>
      <c r="O1678">
        <v>40</v>
      </c>
      <c r="P1678">
        <v>20190207</v>
      </c>
      <c r="Q1678" t="s">
        <v>609</v>
      </c>
      <c r="R1678" t="s">
        <v>938</v>
      </c>
      <c r="S1678" t="s">
        <v>295</v>
      </c>
      <c r="T1678" t="s">
        <v>301</v>
      </c>
    </row>
    <row r="1679" spans="1:20" x14ac:dyDescent="0.25">
      <c r="A1679">
        <v>9</v>
      </c>
      <c r="B1679">
        <v>181</v>
      </c>
      <c r="C1679" t="str">
        <f t="shared" si="236"/>
        <v>36</v>
      </c>
      <c r="D1679">
        <v>6219</v>
      </c>
      <c r="E1679" t="str">
        <f>"3S"</f>
        <v>3S</v>
      </c>
      <c r="F1679" t="str">
        <f t="shared" si="247"/>
        <v>001</v>
      </c>
      <c r="G1679">
        <v>9</v>
      </c>
      <c r="H1679" t="str">
        <f t="shared" si="237"/>
        <v>91</v>
      </c>
      <c r="I1679" t="str">
        <f t="shared" si="250"/>
        <v>0</v>
      </c>
      <c r="J1679" t="str">
        <f t="shared" si="248"/>
        <v>39</v>
      </c>
      <c r="K1679">
        <v>20190208</v>
      </c>
      <c r="L1679" t="str">
        <f>"075566"</f>
        <v>075566</v>
      </c>
      <c r="M1679" t="str">
        <f>"00704"</f>
        <v>00704</v>
      </c>
      <c r="N1679" t="s">
        <v>968</v>
      </c>
      <c r="O1679">
        <v>40</v>
      </c>
      <c r="P1679">
        <v>20190207</v>
      </c>
      <c r="Q1679" t="s">
        <v>609</v>
      </c>
      <c r="R1679" t="s">
        <v>938</v>
      </c>
      <c r="S1679" t="s">
        <v>295</v>
      </c>
      <c r="T1679" t="s">
        <v>301</v>
      </c>
    </row>
    <row r="1680" spans="1:20" x14ac:dyDescent="0.25">
      <c r="A1680">
        <v>9</v>
      </c>
      <c r="B1680">
        <v>181</v>
      </c>
      <c r="C1680" t="str">
        <f t="shared" si="236"/>
        <v>36</v>
      </c>
      <c r="D1680">
        <v>6219</v>
      </c>
      <c r="E1680" t="str">
        <f>"3B"</f>
        <v>3B</v>
      </c>
      <c r="F1680" t="str">
        <f t="shared" si="247"/>
        <v>001</v>
      </c>
      <c r="G1680">
        <v>9</v>
      </c>
      <c r="H1680" t="str">
        <f t="shared" si="237"/>
        <v>91</v>
      </c>
      <c r="I1680" t="str">
        <f t="shared" si="250"/>
        <v>0</v>
      </c>
      <c r="J1680" t="str">
        <f t="shared" si="248"/>
        <v>39</v>
      </c>
      <c r="K1680">
        <v>20190208</v>
      </c>
      <c r="L1680" t="str">
        <f>"075573"</f>
        <v>075573</v>
      </c>
      <c r="M1680" t="str">
        <f>"30134"</f>
        <v>30134</v>
      </c>
      <c r="N1680" t="s">
        <v>969</v>
      </c>
      <c r="O1680">
        <v>70</v>
      </c>
      <c r="P1680">
        <v>20190207</v>
      </c>
      <c r="Q1680" t="s">
        <v>695</v>
      </c>
      <c r="R1680" t="s">
        <v>970</v>
      </c>
      <c r="S1680" t="s">
        <v>295</v>
      </c>
      <c r="T1680" t="s">
        <v>301</v>
      </c>
    </row>
    <row r="1681" spans="1:20" x14ac:dyDescent="0.25">
      <c r="A1681">
        <v>9</v>
      </c>
      <c r="B1681">
        <v>181</v>
      </c>
      <c r="C1681" t="str">
        <f t="shared" si="236"/>
        <v>36</v>
      </c>
      <c r="D1681">
        <v>6219</v>
      </c>
      <c r="E1681" t="str">
        <f>"3D"</f>
        <v>3D</v>
      </c>
      <c r="F1681" t="str">
        <f t="shared" si="247"/>
        <v>001</v>
      </c>
      <c r="G1681">
        <v>9</v>
      </c>
      <c r="H1681" t="str">
        <f t="shared" si="237"/>
        <v>91</v>
      </c>
      <c r="I1681" t="str">
        <f t="shared" si="250"/>
        <v>0</v>
      </c>
      <c r="J1681" t="str">
        <f t="shared" si="248"/>
        <v>39</v>
      </c>
      <c r="K1681">
        <v>20190208</v>
      </c>
      <c r="L1681" t="str">
        <f>"075573"</f>
        <v>075573</v>
      </c>
      <c r="M1681" t="str">
        <f>"30134"</f>
        <v>30134</v>
      </c>
      <c r="N1681" t="s">
        <v>969</v>
      </c>
      <c r="O1681">
        <v>135</v>
      </c>
      <c r="P1681">
        <v>20190207</v>
      </c>
      <c r="Q1681" t="s">
        <v>700</v>
      </c>
      <c r="R1681" t="s">
        <v>971</v>
      </c>
      <c r="S1681" t="s">
        <v>295</v>
      </c>
      <c r="T1681" t="s">
        <v>301</v>
      </c>
    </row>
    <row r="1682" spans="1:20" x14ac:dyDescent="0.25">
      <c r="A1682">
        <v>9</v>
      </c>
      <c r="B1682">
        <v>181</v>
      </c>
      <c r="C1682" t="str">
        <f t="shared" si="236"/>
        <v>36</v>
      </c>
      <c r="D1682">
        <v>6219</v>
      </c>
      <c r="E1682" t="str">
        <f>"3B"</f>
        <v>3B</v>
      </c>
      <c r="F1682" t="str">
        <f t="shared" si="247"/>
        <v>001</v>
      </c>
      <c r="G1682">
        <v>9</v>
      </c>
      <c r="H1682" t="str">
        <f t="shared" si="237"/>
        <v>91</v>
      </c>
      <c r="I1682" t="str">
        <f>"1"</f>
        <v>1</v>
      </c>
      <c r="J1682" t="str">
        <f t="shared" si="248"/>
        <v>39</v>
      </c>
      <c r="K1682">
        <v>20190208</v>
      </c>
      <c r="L1682" t="str">
        <f>"075574"</f>
        <v>075574</v>
      </c>
      <c r="M1682" t="str">
        <f>"30118"</f>
        <v>30118</v>
      </c>
      <c r="N1682" t="s">
        <v>347</v>
      </c>
      <c r="O1682">
        <v>64</v>
      </c>
      <c r="P1682">
        <v>20190207</v>
      </c>
      <c r="Q1682" t="s">
        <v>713</v>
      </c>
      <c r="R1682" t="s">
        <v>972</v>
      </c>
      <c r="S1682" t="s">
        <v>295</v>
      </c>
      <c r="T1682" t="s">
        <v>301</v>
      </c>
    </row>
    <row r="1683" spans="1:20" x14ac:dyDescent="0.25">
      <c r="A1683">
        <v>9</v>
      </c>
      <c r="B1683">
        <v>181</v>
      </c>
      <c r="C1683" t="str">
        <f t="shared" si="236"/>
        <v>36</v>
      </c>
      <c r="D1683">
        <v>6219</v>
      </c>
      <c r="E1683" t="str">
        <f>"3D"</f>
        <v>3D</v>
      </c>
      <c r="F1683" t="str">
        <f t="shared" si="247"/>
        <v>001</v>
      </c>
      <c r="G1683">
        <v>9</v>
      </c>
      <c r="H1683" t="str">
        <f t="shared" si="237"/>
        <v>91</v>
      </c>
      <c r="I1683" t="str">
        <f>"1"</f>
        <v>1</v>
      </c>
      <c r="J1683" t="str">
        <f t="shared" si="248"/>
        <v>39</v>
      </c>
      <c r="K1683">
        <v>20190208</v>
      </c>
      <c r="L1683" t="str">
        <f>"075574"</f>
        <v>075574</v>
      </c>
      <c r="M1683" t="str">
        <f>"30118"</f>
        <v>30118</v>
      </c>
      <c r="N1683" t="s">
        <v>347</v>
      </c>
      <c r="O1683">
        <v>64</v>
      </c>
      <c r="P1683">
        <v>20190207</v>
      </c>
      <c r="Q1683" t="s">
        <v>794</v>
      </c>
      <c r="R1683" t="s">
        <v>973</v>
      </c>
      <c r="S1683" t="s">
        <v>295</v>
      </c>
      <c r="T1683" t="s">
        <v>301</v>
      </c>
    </row>
    <row r="1684" spans="1:20" x14ac:dyDescent="0.25">
      <c r="A1684">
        <v>9</v>
      </c>
      <c r="B1684">
        <v>181</v>
      </c>
      <c r="C1684" t="str">
        <f t="shared" si="236"/>
        <v>36</v>
      </c>
      <c r="D1684">
        <v>6412</v>
      </c>
      <c r="E1684" t="str">
        <f>"3A"</f>
        <v>3A</v>
      </c>
      <c r="F1684" t="str">
        <f t="shared" si="247"/>
        <v>001</v>
      </c>
      <c r="G1684">
        <v>9</v>
      </c>
      <c r="H1684" t="str">
        <f t="shared" si="237"/>
        <v>91</v>
      </c>
      <c r="I1684" t="str">
        <f>"2"</f>
        <v>2</v>
      </c>
      <c r="J1684" t="str">
        <f t="shared" si="248"/>
        <v>39</v>
      </c>
      <c r="K1684">
        <v>20190208</v>
      </c>
      <c r="L1684" t="str">
        <f>"075575"</f>
        <v>075575</v>
      </c>
      <c r="M1684" t="str">
        <f>"30148"</f>
        <v>30148</v>
      </c>
      <c r="N1684" t="s">
        <v>308</v>
      </c>
      <c r="O1684">
        <v>250</v>
      </c>
      <c r="P1684">
        <v>20190207</v>
      </c>
      <c r="Q1684" t="s">
        <v>974</v>
      </c>
      <c r="R1684" t="s">
        <v>975</v>
      </c>
      <c r="S1684" t="s">
        <v>295</v>
      </c>
      <c r="T1684" t="s">
        <v>301</v>
      </c>
    </row>
    <row r="1685" spans="1:20" x14ac:dyDescent="0.25">
      <c r="A1685">
        <v>9</v>
      </c>
      <c r="B1685">
        <v>181</v>
      </c>
      <c r="C1685" t="str">
        <f t="shared" si="236"/>
        <v>36</v>
      </c>
      <c r="D1685">
        <v>6412</v>
      </c>
      <c r="E1685" t="str">
        <f>"3U"</f>
        <v>3U</v>
      </c>
      <c r="F1685" t="str">
        <f t="shared" si="247"/>
        <v>001</v>
      </c>
      <c r="G1685">
        <v>9</v>
      </c>
      <c r="H1685" t="str">
        <f t="shared" si="237"/>
        <v>91</v>
      </c>
      <c r="I1685" t="str">
        <f>"2"</f>
        <v>2</v>
      </c>
      <c r="J1685" t="str">
        <f t="shared" si="248"/>
        <v>39</v>
      </c>
      <c r="K1685">
        <v>20190208</v>
      </c>
      <c r="L1685" t="str">
        <f>"075576"</f>
        <v>075576</v>
      </c>
      <c r="M1685" t="str">
        <f>"30155"</f>
        <v>30155</v>
      </c>
      <c r="N1685" t="s">
        <v>648</v>
      </c>
      <c r="O1685">
        <v>125</v>
      </c>
      <c r="P1685">
        <v>20190207</v>
      </c>
      <c r="Q1685" t="s">
        <v>958</v>
      </c>
      <c r="R1685" t="s">
        <v>976</v>
      </c>
      <c r="S1685" t="s">
        <v>295</v>
      </c>
      <c r="T1685" t="s">
        <v>301</v>
      </c>
    </row>
    <row r="1686" spans="1:20" x14ac:dyDescent="0.25">
      <c r="A1686">
        <v>9</v>
      </c>
      <c r="B1686">
        <v>181</v>
      </c>
      <c r="C1686" t="str">
        <f t="shared" si="236"/>
        <v>36</v>
      </c>
      <c r="D1686">
        <v>6412</v>
      </c>
      <c r="E1686" t="str">
        <f>"3U"</f>
        <v>3U</v>
      </c>
      <c r="F1686" t="str">
        <f t="shared" si="247"/>
        <v>001</v>
      </c>
      <c r="G1686">
        <v>9</v>
      </c>
      <c r="H1686" t="str">
        <f t="shared" si="237"/>
        <v>91</v>
      </c>
      <c r="I1686" t="str">
        <f>"2"</f>
        <v>2</v>
      </c>
      <c r="J1686" t="str">
        <f t="shared" si="248"/>
        <v>39</v>
      </c>
      <c r="K1686">
        <v>20190208</v>
      </c>
      <c r="L1686" t="str">
        <f>"075576"</f>
        <v>075576</v>
      </c>
      <c r="M1686" t="str">
        <f>"30155"</f>
        <v>30155</v>
      </c>
      <c r="N1686" t="s">
        <v>648</v>
      </c>
      <c r="O1686">
        <v>125</v>
      </c>
      <c r="P1686">
        <v>20190207</v>
      </c>
      <c r="Q1686" t="s">
        <v>958</v>
      </c>
      <c r="R1686" t="s">
        <v>977</v>
      </c>
      <c r="S1686" t="s">
        <v>295</v>
      </c>
      <c r="T1686" t="s">
        <v>301</v>
      </c>
    </row>
    <row r="1687" spans="1:20" x14ac:dyDescent="0.25">
      <c r="A1687">
        <v>9</v>
      </c>
      <c r="B1687">
        <v>181</v>
      </c>
      <c r="C1687" t="str">
        <f t="shared" si="236"/>
        <v>36</v>
      </c>
      <c r="D1687">
        <v>6219</v>
      </c>
      <c r="E1687" t="str">
        <f>"3D"</f>
        <v>3D</v>
      </c>
      <c r="F1687" t="str">
        <f t="shared" ref="F1687:F1718" si="251">"001"</f>
        <v>001</v>
      </c>
      <c r="G1687">
        <v>9</v>
      </c>
      <c r="H1687" t="str">
        <f t="shared" si="237"/>
        <v>91</v>
      </c>
      <c r="I1687" t="str">
        <f>"0"</f>
        <v>0</v>
      </c>
      <c r="J1687" t="str">
        <f t="shared" ref="J1687:J1718" si="252">"39"</f>
        <v>39</v>
      </c>
      <c r="K1687">
        <v>20190208</v>
      </c>
      <c r="L1687" t="str">
        <f>"075581"</f>
        <v>075581</v>
      </c>
      <c r="M1687" t="str">
        <f>"31310"</f>
        <v>31310</v>
      </c>
      <c r="N1687" t="s">
        <v>624</v>
      </c>
      <c r="O1687">
        <v>135</v>
      </c>
      <c r="P1687">
        <v>20190207</v>
      </c>
      <c r="Q1687" t="s">
        <v>700</v>
      </c>
      <c r="R1687" t="s">
        <v>940</v>
      </c>
      <c r="S1687" t="s">
        <v>295</v>
      </c>
      <c r="T1687" t="s">
        <v>301</v>
      </c>
    </row>
    <row r="1688" spans="1:20" x14ac:dyDescent="0.25">
      <c r="A1688">
        <v>9</v>
      </c>
      <c r="B1688">
        <v>181</v>
      </c>
      <c r="C1688" t="str">
        <f t="shared" si="236"/>
        <v>36</v>
      </c>
      <c r="D1688">
        <v>6412</v>
      </c>
      <c r="E1688" t="str">
        <f>"3A"</f>
        <v>3A</v>
      </c>
      <c r="F1688" t="str">
        <f t="shared" si="251"/>
        <v>001</v>
      </c>
      <c r="G1688">
        <v>9</v>
      </c>
      <c r="H1688" t="str">
        <f t="shared" si="237"/>
        <v>91</v>
      </c>
      <c r="I1688" t="str">
        <f>"2"</f>
        <v>2</v>
      </c>
      <c r="J1688" t="str">
        <f t="shared" si="252"/>
        <v>39</v>
      </c>
      <c r="K1688">
        <v>20190208</v>
      </c>
      <c r="L1688" t="str">
        <f>"075583"</f>
        <v>075583</v>
      </c>
      <c r="M1688" t="str">
        <f>"00231"</f>
        <v>00231</v>
      </c>
      <c r="N1688" t="s">
        <v>978</v>
      </c>
      <c r="O1688">
        <v>300</v>
      </c>
      <c r="P1688">
        <v>20190207</v>
      </c>
      <c r="Q1688" t="s">
        <v>974</v>
      </c>
      <c r="R1688" t="s">
        <v>979</v>
      </c>
      <c r="S1688" t="s">
        <v>295</v>
      </c>
      <c r="T1688" t="s">
        <v>301</v>
      </c>
    </row>
    <row r="1689" spans="1:20" x14ac:dyDescent="0.25">
      <c r="A1689">
        <v>9</v>
      </c>
      <c r="B1689">
        <v>181</v>
      </c>
      <c r="C1689" t="str">
        <f t="shared" si="236"/>
        <v>36</v>
      </c>
      <c r="D1689">
        <v>6219</v>
      </c>
      <c r="E1689" t="str">
        <f>"3B"</f>
        <v>3B</v>
      </c>
      <c r="F1689" t="str">
        <f t="shared" si="251"/>
        <v>001</v>
      </c>
      <c r="G1689">
        <v>9</v>
      </c>
      <c r="H1689" t="str">
        <f t="shared" si="237"/>
        <v>91</v>
      </c>
      <c r="I1689" t="str">
        <f>"0"</f>
        <v>0</v>
      </c>
      <c r="J1689" t="str">
        <f t="shared" si="252"/>
        <v>39</v>
      </c>
      <c r="K1689">
        <v>20190208</v>
      </c>
      <c r="L1689" t="str">
        <f>"075584"</f>
        <v>075584</v>
      </c>
      <c r="M1689" t="str">
        <f>"33712"</f>
        <v>33712</v>
      </c>
      <c r="N1689" t="s">
        <v>846</v>
      </c>
      <c r="O1689">
        <v>77.5</v>
      </c>
      <c r="P1689">
        <v>20190207</v>
      </c>
      <c r="Q1689" t="s">
        <v>695</v>
      </c>
      <c r="R1689" t="s">
        <v>970</v>
      </c>
      <c r="S1689" t="s">
        <v>295</v>
      </c>
      <c r="T1689" t="s">
        <v>301</v>
      </c>
    </row>
    <row r="1690" spans="1:20" x14ac:dyDescent="0.25">
      <c r="A1690">
        <v>9</v>
      </c>
      <c r="B1690">
        <v>181</v>
      </c>
      <c r="C1690" t="str">
        <f t="shared" si="236"/>
        <v>36</v>
      </c>
      <c r="D1690">
        <v>6219</v>
      </c>
      <c r="E1690" t="str">
        <f>"3B"</f>
        <v>3B</v>
      </c>
      <c r="F1690" t="str">
        <f t="shared" si="251"/>
        <v>001</v>
      </c>
      <c r="G1690">
        <v>9</v>
      </c>
      <c r="H1690" t="str">
        <f t="shared" si="237"/>
        <v>91</v>
      </c>
      <c r="I1690" t="str">
        <f>"0"</f>
        <v>0</v>
      </c>
      <c r="J1690" t="str">
        <f t="shared" si="252"/>
        <v>39</v>
      </c>
      <c r="K1690">
        <v>20190208</v>
      </c>
      <c r="L1690" t="str">
        <f>"075584"</f>
        <v>075584</v>
      </c>
      <c r="M1690" t="str">
        <f>"33712"</f>
        <v>33712</v>
      </c>
      <c r="N1690" t="s">
        <v>846</v>
      </c>
      <c r="O1690">
        <v>135</v>
      </c>
      <c r="P1690">
        <v>20190207</v>
      </c>
      <c r="Q1690" t="s">
        <v>695</v>
      </c>
      <c r="R1690" t="s">
        <v>966</v>
      </c>
      <c r="S1690" t="s">
        <v>295</v>
      </c>
      <c r="T1690" t="s">
        <v>301</v>
      </c>
    </row>
    <row r="1691" spans="1:20" x14ac:dyDescent="0.25">
      <c r="A1691">
        <v>9</v>
      </c>
      <c r="B1691">
        <v>181</v>
      </c>
      <c r="C1691" t="str">
        <f t="shared" si="236"/>
        <v>36</v>
      </c>
      <c r="D1691">
        <v>6219</v>
      </c>
      <c r="E1691" t="str">
        <f>"3D"</f>
        <v>3D</v>
      </c>
      <c r="F1691" t="str">
        <f t="shared" si="251"/>
        <v>001</v>
      </c>
      <c r="G1691">
        <v>9</v>
      </c>
      <c r="H1691" t="str">
        <f t="shared" si="237"/>
        <v>91</v>
      </c>
      <c r="I1691" t="str">
        <f>"0"</f>
        <v>0</v>
      </c>
      <c r="J1691" t="str">
        <f t="shared" si="252"/>
        <v>39</v>
      </c>
      <c r="K1691">
        <v>20190208</v>
      </c>
      <c r="L1691" t="str">
        <f>"075584"</f>
        <v>075584</v>
      </c>
      <c r="M1691" t="str">
        <f>"33712"</f>
        <v>33712</v>
      </c>
      <c r="N1691" t="s">
        <v>846</v>
      </c>
      <c r="O1691">
        <v>77.5</v>
      </c>
      <c r="P1691">
        <v>20190207</v>
      </c>
      <c r="Q1691" t="s">
        <v>700</v>
      </c>
      <c r="R1691" t="s">
        <v>971</v>
      </c>
      <c r="S1691" t="s">
        <v>295</v>
      </c>
      <c r="T1691" t="s">
        <v>301</v>
      </c>
    </row>
    <row r="1692" spans="1:20" x14ac:dyDescent="0.25">
      <c r="A1692">
        <v>9</v>
      </c>
      <c r="B1692">
        <v>181</v>
      </c>
      <c r="C1692" t="str">
        <f t="shared" si="236"/>
        <v>36</v>
      </c>
      <c r="D1692">
        <v>6219</v>
      </c>
      <c r="E1692" t="str">
        <f>"3D"</f>
        <v>3D</v>
      </c>
      <c r="F1692" t="str">
        <f t="shared" si="251"/>
        <v>001</v>
      </c>
      <c r="G1692">
        <v>9</v>
      </c>
      <c r="H1692" t="str">
        <f t="shared" si="237"/>
        <v>91</v>
      </c>
      <c r="I1692" t="str">
        <f>"0"</f>
        <v>0</v>
      </c>
      <c r="J1692" t="str">
        <f t="shared" si="252"/>
        <v>39</v>
      </c>
      <c r="K1692">
        <v>20190208</v>
      </c>
      <c r="L1692" t="str">
        <f>"075584"</f>
        <v>075584</v>
      </c>
      <c r="M1692" t="str">
        <f>"33712"</f>
        <v>33712</v>
      </c>
      <c r="N1692" t="s">
        <v>846</v>
      </c>
      <c r="O1692">
        <v>70</v>
      </c>
      <c r="P1692">
        <v>20190207</v>
      </c>
      <c r="Q1692" t="s">
        <v>700</v>
      </c>
      <c r="R1692" t="s">
        <v>967</v>
      </c>
      <c r="S1692" t="s">
        <v>295</v>
      </c>
      <c r="T1692" t="s">
        <v>301</v>
      </c>
    </row>
    <row r="1693" spans="1:20" x14ac:dyDescent="0.25">
      <c r="A1693">
        <v>9</v>
      </c>
      <c r="B1693">
        <v>181</v>
      </c>
      <c r="C1693" t="str">
        <f t="shared" si="236"/>
        <v>36</v>
      </c>
      <c r="D1693">
        <v>6219</v>
      </c>
      <c r="E1693" t="str">
        <f>"3K"</f>
        <v>3K</v>
      </c>
      <c r="F1693" t="str">
        <f t="shared" si="251"/>
        <v>001</v>
      </c>
      <c r="G1693">
        <v>9</v>
      </c>
      <c r="H1693" t="str">
        <f t="shared" si="237"/>
        <v>91</v>
      </c>
      <c r="I1693" t="str">
        <f>"0"</f>
        <v>0</v>
      </c>
      <c r="J1693" t="str">
        <f t="shared" si="252"/>
        <v>39</v>
      </c>
      <c r="K1693">
        <v>20190208</v>
      </c>
      <c r="L1693" t="str">
        <f>"075586"</f>
        <v>075586</v>
      </c>
      <c r="M1693" t="str">
        <f>"33769"</f>
        <v>33769</v>
      </c>
      <c r="N1693" t="s">
        <v>980</v>
      </c>
      <c r="O1693">
        <v>75</v>
      </c>
      <c r="P1693">
        <v>20190207</v>
      </c>
      <c r="Q1693" t="s">
        <v>951</v>
      </c>
      <c r="R1693" t="s">
        <v>981</v>
      </c>
      <c r="S1693" t="s">
        <v>295</v>
      </c>
      <c r="T1693" t="s">
        <v>301</v>
      </c>
    </row>
    <row r="1694" spans="1:20" x14ac:dyDescent="0.25">
      <c r="A1694">
        <v>9</v>
      </c>
      <c r="B1694">
        <v>181</v>
      </c>
      <c r="C1694" t="str">
        <f t="shared" si="236"/>
        <v>36</v>
      </c>
      <c r="D1694">
        <v>6412</v>
      </c>
      <c r="E1694" t="str">
        <f>"3U"</f>
        <v>3U</v>
      </c>
      <c r="F1694" t="str">
        <f t="shared" si="251"/>
        <v>001</v>
      </c>
      <c r="G1694">
        <v>9</v>
      </c>
      <c r="H1694" t="str">
        <f t="shared" si="237"/>
        <v>91</v>
      </c>
      <c r="I1694" t="str">
        <f>"2"</f>
        <v>2</v>
      </c>
      <c r="J1694" t="str">
        <f t="shared" si="252"/>
        <v>39</v>
      </c>
      <c r="K1694">
        <v>20190208</v>
      </c>
      <c r="L1694" t="str">
        <f>"075588"</f>
        <v>075588</v>
      </c>
      <c r="M1694" t="str">
        <f>"34949"</f>
        <v>34949</v>
      </c>
      <c r="N1694" t="s">
        <v>423</v>
      </c>
      <c r="O1694">
        <v>150</v>
      </c>
      <c r="P1694">
        <v>20190207</v>
      </c>
      <c r="Q1694" t="s">
        <v>958</v>
      </c>
      <c r="R1694" t="s">
        <v>982</v>
      </c>
      <c r="S1694" t="s">
        <v>295</v>
      </c>
      <c r="T1694" t="s">
        <v>301</v>
      </c>
    </row>
    <row r="1695" spans="1:20" x14ac:dyDescent="0.25">
      <c r="A1695">
        <v>9</v>
      </c>
      <c r="B1695">
        <v>181</v>
      </c>
      <c r="C1695" t="str">
        <f t="shared" si="236"/>
        <v>36</v>
      </c>
      <c r="D1695">
        <v>6219</v>
      </c>
      <c r="E1695" t="str">
        <f>"3D"</f>
        <v>3D</v>
      </c>
      <c r="F1695" t="str">
        <f t="shared" si="251"/>
        <v>001</v>
      </c>
      <c r="G1695">
        <v>9</v>
      </c>
      <c r="H1695" t="str">
        <f t="shared" si="237"/>
        <v>91</v>
      </c>
      <c r="I1695" t="str">
        <f>"0"</f>
        <v>0</v>
      </c>
      <c r="J1695" t="str">
        <f t="shared" si="252"/>
        <v>39</v>
      </c>
      <c r="K1695">
        <v>20190208</v>
      </c>
      <c r="L1695" t="str">
        <f>"075589"</f>
        <v>075589</v>
      </c>
      <c r="M1695" t="str">
        <f>"36704"</f>
        <v>36704</v>
      </c>
      <c r="N1695" t="s">
        <v>485</v>
      </c>
      <c r="O1695">
        <v>135</v>
      </c>
      <c r="P1695">
        <v>20190207</v>
      </c>
      <c r="Q1695" t="s">
        <v>700</v>
      </c>
      <c r="R1695" t="s">
        <v>940</v>
      </c>
      <c r="S1695" t="s">
        <v>295</v>
      </c>
      <c r="T1695" t="s">
        <v>301</v>
      </c>
    </row>
    <row r="1696" spans="1:20" x14ac:dyDescent="0.25">
      <c r="A1696">
        <v>9</v>
      </c>
      <c r="B1696">
        <v>181</v>
      </c>
      <c r="C1696" t="str">
        <f t="shared" ref="C1696:C1759" si="253">"36"</f>
        <v>36</v>
      </c>
      <c r="D1696">
        <v>6219</v>
      </c>
      <c r="E1696" t="str">
        <f>"3S"</f>
        <v>3S</v>
      </c>
      <c r="F1696" t="str">
        <f t="shared" si="251"/>
        <v>001</v>
      </c>
      <c r="G1696">
        <v>9</v>
      </c>
      <c r="H1696" t="str">
        <f t="shared" ref="H1696:H1759" si="254">"91"</f>
        <v>91</v>
      </c>
      <c r="I1696" t="str">
        <f>"0"</f>
        <v>0</v>
      </c>
      <c r="J1696" t="str">
        <f t="shared" si="252"/>
        <v>39</v>
      </c>
      <c r="K1696">
        <v>20190208</v>
      </c>
      <c r="L1696" t="str">
        <f>"075599"</f>
        <v>075599</v>
      </c>
      <c r="M1696" t="str">
        <f>"40790"</f>
        <v>40790</v>
      </c>
      <c r="N1696" t="s">
        <v>983</v>
      </c>
      <c r="O1696">
        <v>130</v>
      </c>
      <c r="P1696">
        <v>20190207</v>
      </c>
      <c r="Q1696" t="s">
        <v>609</v>
      </c>
      <c r="R1696" t="s">
        <v>938</v>
      </c>
      <c r="S1696" t="s">
        <v>295</v>
      </c>
      <c r="T1696" t="s">
        <v>301</v>
      </c>
    </row>
    <row r="1697" spans="1:20" x14ac:dyDescent="0.25">
      <c r="A1697">
        <v>9</v>
      </c>
      <c r="B1697">
        <v>181</v>
      </c>
      <c r="C1697" t="str">
        <f t="shared" si="253"/>
        <v>36</v>
      </c>
      <c r="D1697">
        <v>6219</v>
      </c>
      <c r="E1697" t="str">
        <f>"3D"</f>
        <v>3D</v>
      </c>
      <c r="F1697" t="str">
        <f t="shared" si="251"/>
        <v>001</v>
      </c>
      <c r="G1697">
        <v>9</v>
      </c>
      <c r="H1697" t="str">
        <f t="shared" si="254"/>
        <v>91</v>
      </c>
      <c r="I1697" t="str">
        <f>"0"</f>
        <v>0</v>
      </c>
      <c r="J1697" t="str">
        <f t="shared" si="252"/>
        <v>39</v>
      </c>
      <c r="K1697">
        <v>20190208</v>
      </c>
      <c r="L1697" t="str">
        <f>"075603"</f>
        <v>075603</v>
      </c>
      <c r="M1697" t="str">
        <f>"45175"</f>
        <v>45175</v>
      </c>
      <c r="N1697" t="s">
        <v>789</v>
      </c>
      <c r="O1697">
        <v>15</v>
      </c>
      <c r="P1697">
        <v>20190207</v>
      </c>
      <c r="Q1697" t="s">
        <v>700</v>
      </c>
      <c r="R1697" t="s">
        <v>973</v>
      </c>
      <c r="S1697" t="s">
        <v>295</v>
      </c>
      <c r="T1697" t="s">
        <v>301</v>
      </c>
    </row>
    <row r="1698" spans="1:20" x14ac:dyDescent="0.25">
      <c r="A1698">
        <v>9</v>
      </c>
      <c r="B1698">
        <v>181</v>
      </c>
      <c r="C1698" t="str">
        <f t="shared" si="253"/>
        <v>36</v>
      </c>
      <c r="D1698">
        <v>6219</v>
      </c>
      <c r="E1698" t="str">
        <f>"3D"</f>
        <v>3D</v>
      </c>
      <c r="F1698" t="str">
        <f t="shared" si="251"/>
        <v>001</v>
      </c>
      <c r="G1698">
        <v>9</v>
      </c>
      <c r="H1698" t="str">
        <f t="shared" si="254"/>
        <v>91</v>
      </c>
      <c r="I1698" t="str">
        <f>"0"</f>
        <v>0</v>
      </c>
      <c r="J1698" t="str">
        <f t="shared" si="252"/>
        <v>39</v>
      </c>
      <c r="K1698">
        <v>20190208</v>
      </c>
      <c r="L1698" t="str">
        <f>"075603"</f>
        <v>075603</v>
      </c>
      <c r="M1698" t="str">
        <f>"45175"</f>
        <v>45175</v>
      </c>
      <c r="N1698" t="s">
        <v>789</v>
      </c>
      <c r="O1698">
        <v>30</v>
      </c>
      <c r="P1698">
        <v>20190207</v>
      </c>
      <c r="Q1698" t="s">
        <v>700</v>
      </c>
      <c r="R1698" t="s">
        <v>940</v>
      </c>
      <c r="S1698" t="s">
        <v>295</v>
      </c>
      <c r="T1698" t="s">
        <v>301</v>
      </c>
    </row>
    <row r="1699" spans="1:20" x14ac:dyDescent="0.25">
      <c r="A1699">
        <v>9</v>
      </c>
      <c r="B1699">
        <v>181</v>
      </c>
      <c r="C1699" t="str">
        <f t="shared" si="253"/>
        <v>36</v>
      </c>
      <c r="D1699">
        <v>6219</v>
      </c>
      <c r="E1699" t="str">
        <f>"3K"</f>
        <v>3K</v>
      </c>
      <c r="F1699" t="str">
        <f t="shared" si="251"/>
        <v>001</v>
      </c>
      <c r="G1699">
        <v>9</v>
      </c>
      <c r="H1699" t="str">
        <f t="shared" si="254"/>
        <v>91</v>
      </c>
      <c r="I1699" t="str">
        <f>"0"</f>
        <v>0</v>
      </c>
      <c r="J1699" t="str">
        <f t="shared" si="252"/>
        <v>39</v>
      </c>
      <c r="K1699">
        <v>20190208</v>
      </c>
      <c r="L1699" t="str">
        <f>"075608"</f>
        <v>075608</v>
      </c>
      <c r="M1699" t="str">
        <f>"46392"</f>
        <v>46392</v>
      </c>
      <c r="N1699" t="s">
        <v>984</v>
      </c>
      <c r="O1699">
        <v>135</v>
      </c>
      <c r="P1699">
        <v>20190207</v>
      </c>
      <c r="Q1699" t="s">
        <v>951</v>
      </c>
      <c r="R1699" t="s">
        <v>964</v>
      </c>
      <c r="S1699" t="s">
        <v>295</v>
      </c>
      <c r="T1699" t="s">
        <v>301</v>
      </c>
    </row>
    <row r="1700" spans="1:20" x14ac:dyDescent="0.25">
      <c r="A1700">
        <v>9</v>
      </c>
      <c r="B1700">
        <v>181</v>
      </c>
      <c r="C1700" t="str">
        <f t="shared" si="253"/>
        <v>36</v>
      </c>
      <c r="D1700">
        <v>6412</v>
      </c>
      <c r="E1700" t="str">
        <f>"09"</f>
        <v>09</v>
      </c>
      <c r="F1700" t="str">
        <f t="shared" si="251"/>
        <v>001</v>
      </c>
      <c r="G1700">
        <v>9</v>
      </c>
      <c r="H1700" t="str">
        <f t="shared" si="254"/>
        <v>91</v>
      </c>
      <c r="I1700" t="str">
        <f>"S"</f>
        <v>S</v>
      </c>
      <c r="J1700" t="str">
        <f t="shared" si="252"/>
        <v>39</v>
      </c>
      <c r="K1700">
        <v>20190208</v>
      </c>
      <c r="L1700" t="str">
        <f>"075609"</f>
        <v>075609</v>
      </c>
      <c r="M1700" t="str">
        <f>"47176"</f>
        <v>47176</v>
      </c>
      <c r="N1700" t="s">
        <v>985</v>
      </c>
      <c r="O1700" s="1">
        <v>1855.5</v>
      </c>
      <c r="P1700">
        <v>20190207</v>
      </c>
      <c r="Q1700" t="s">
        <v>874</v>
      </c>
      <c r="R1700" t="s">
        <v>944</v>
      </c>
      <c r="S1700" t="s">
        <v>295</v>
      </c>
      <c r="T1700" t="s">
        <v>301</v>
      </c>
    </row>
    <row r="1701" spans="1:20" x14ac:dyDescent="0.25">
      <c r="A1701">
        <v>9</v>
      </c>
      <c r="B1701">
        <v>181</v>
      </c>
      <c r="C1701" t="str">
        <f t="shared" si="253"/>
        <v>36</v>
      </c>
      <c r="D1701">
        <v>6399</v>
      </c>
      <c r="E1701" t="str">
        <f>"3J"</f>
        <v>3J</v>
      </c>
      <c r="F1701" t="str">
        <f t="shared" si="251"/>
        <v>001</v>
      </c>
      <c r="G1701">
        <v>9</v>
      </c>
      <c r="H1701" t="str">
        <f t="shared" si="254"/>
        <v>91</v>
      </c>
      <c r="I1701" t="str">
        <f t="shared" ref="I1701:I1706" si="255">"0"</f>
        <v>0</v>
      </c>
      <c r="J1701" t="str">
        <f t="shared" si="252"/>
        <v>39</v>
      </c>
      <c r="K1701">
        <v>20190208</v>
      </c>
      <c r="L1701" t="str">
        <f>"075612"</f>
        <v>075612</v>
      </c>
      <c r="M1701" t="str">
        <f>"49445"</f>
        <v>49445</v>
      </c>
      <c r="N1701" t="s">
        <v>986</v>
      </c>
      <c r="O1701">
        <v>97.5</v>
      </c>
      <c r="P1701">
        <v>20190207</v>
      </c>
      <c r="Q1701" t="s">
        <v>827</v>
      </c>
      <c r="R1701" t="s">
        <v>987</v>
      </c>
      <c r="S1701" t="s">
        <v>295</v>
      </c>
      <c r="T1701" t="s">
        <v>301</v>
      </c>
    </row>
    <row r="1702" spans="1:20" x14ac:dyDescent="0.25">
      <c r="A1702">
        <v>9</v>
      </c>
      <c r="B1702">
        <v>181</v>
      </c>
      <c r="C1702" t="str">
        <f t="shared" si="253"/>
        <v>36</v>
      </c>
      <c r="D1702">
        <v>6399</v>
      </c>
      <c r="E1702" t="str">
        <f>"3W"</f>
        <v>3W</v>
      </c>
      <c r="F1702" t="str">
        <f t="shared" si="251"/>
        <v>001</v>
      </c>
      <c r="G1702">
        <v>9</v>
      </c>
      <c r="H1702" t="str">
        <f t="shared" si="254"/>
        <v>91</v>
      </c>
      <c r="I1702" t="str">
        <f t="shared" si="255"/>
        <v>0</v>
      </c>
      <c r="J1702" t="str">
        <f t="shared" si="252"/>
        <v>39</v>
      </c>
      <c r="K1702">
        <v>20190208</v>
      </c>
      <c r="L1702" t="str">
        <f>"075612"</f>
        <v>075612</v>
      </c>
      <c r="M1702" t="str">
        <f>"49445"</f>
        <v>49445</v>
      </c>
      <c r="N1702" t="s">
        <v>986</v>
      </c>
      <c r="O1702">
        <v>413.5</v>
      </c>
      <c r="P1702">
        <v>20190207</v>
      </c>
      <c r="Q1702" t="s">
        <v>841</v>
      </c>
      <c r="R1702" t="s">
        <v>987</v>
      </c>
      <c r="S1702" t="s">
        <v>295</v>
      </c>
      <c r="T1702" t="s">
        <v>301</v>
      </c>
    </row>
    <row r="1703" spans="1:20" x14ac:dyDescent="0.25">
      <c r="A1703">
        <v>9</v>
      </c>
      <c r="B1703">
        <v>181</v>
      </c>
      <c r="C1703" t="str">
        <f t="shared" si="253"/>
        <v>36</v>
      </c>
      <c r="D1703">
        <v>6219</v>
      </c>
      <c r="E1703" t="str">
        <f>"3D"</f>
        <v>3D</v>
      </c>
      <c r="F1703" t="str">
        <f t="shared" si="251"/>
        <v>001</v>
      </c>
      <c r="G1703">
        <v>9</v>
      </c>
      <c r="H1703" t="str">
        <f t="shared" si="254"/>
        <v>91</v>
      </c>
      <c r="I1703" t="str">
        <f t="shared" si="255"/>
        <v>0</v>
      </c>
      <c r="J1703" t="str">
        <f t="shared" si="252"/>
        <v>39</v>
      </c>
      <c r="K1703">
        <v>20190208</v>
      </c>
      <c r="L1703" t="str">
        <f>"075615"</f>
        <v>075615</v>
      </c>
      <c r="M1703" t="str">
        <f>"51335"</f>
        <v>51335</v>
      </c>
      <c r="N1703" t="s">
        <v>988</v>
      </c>
      <c r="O1703">
        <v>85</v>
      </c>
      <c r="P1703">
        <v>20190207</v>
      </c>
      <c r="Q1703" t="s">
        <v>700</v>
      </c>
      <c r="R1703" t="s">
        <v>989</v>
      </c>
      <c r="S1703" t="s">
        <v>295</v>
      </c>
      <c r="T1703" t="s">
        <v>301</v>
      </c>
    </row>
    <row r="1704" spans="1:20" x14ac:dyDescent="0.25">
      <c r="A1704">
        <v>9</v>
      </c>
      <c r="B1704">
        <v>181</v>
      </c>
      <c r="C1704" t="str">
        <f t="shared" si="253"/>
        <v>36</v>
      </c>
      <c r="D1704">
        <v>6219</v>
      </c>
      <c r="E1704" t="str">
        <f>"3S"</f>
        <v>3S</v>
      </c>
      <c r="F1704" t="str">
        <f t="shared" si="251"/>
        <v>001</v>
      </c>
      <c r="G1704">
        <v>9</v>
      </c>
      <c r="H1704" t="str">
        <f t="shared" si="254"/>
        <v>91</v>
      </c>
      <c r="I1704" t="str">
        <f t="shared" si="255"/>
        <v>0</v>
      </c>
      <c r="J1704" t="str">
        <f t="shared" si="252"/>
        <v>39</v>
      </c>
      <c r="K1704">
        <v>20190208</v>
      </c>
      <c r="L1704" t="str">
        <f>"075616"</f>
        <v>075616</v>
      </c>
      <c r="M1704" t="str">
        <f>"51489"</f>
        <v>51489</v>
      </c>
      <c r="N1704" t="s">
        <v>990</v>
      </c>
      <c r="O1704">
        <v>40</v>
      </c>
      <c r="P1704">
        <v>20190207</v>
      </c>
      <c r="Q1704" t="s">
        <v>609</v>
      </c>
      <c r="R1704" t="s">
        <v>938</v>
      </c>
      <c r="S1704" t="s">
        <v>295</v>
      </c>
      <c r="T1704" t="s">
        <v>301</v>
      </c>
    </row>
    <row r="1705" spans="1:20" x14ac:dyDescent="0.25">
      <c r="A1705">
        <v>9</v>
      </c>
      <c r="B1705">
        <v>181</v>
      </c>
      <c r="C1705" t="str">
        <f t="shared" si="253"/>
        <v>36</v>
      </c>
      <c r="D1705">
        <v>6219</v>
      </c>
      <c r="E1705" t="str">
        <f>"3B"</f>
        <v>3B</v>
      </c>
      <c r="F1705" t="str">
        <f t="shared" si="251"/>
        <v>001</v>
      </c>
      <c r="G1705">
        <v>9</v>
      </c>
      <c r="H1705" t="str">
        <f t="shared" si="254"/>
        <v>91</v>
      </c>
      <c r="I1705" t="str">
        <f t="shared" si="255"/>
        <v>0</v>
      </c>
      <c r="J1705" t="str">
        <f t="shared" si="252"/>
        <v>39</v>
      </c>
      <c r="K1705">
        <v>20190208</v>
      </c>
      <c r="L1705" t="str">
        <f>"075619"</f>
        <v>075619</v>
      </c>
      <c r="M1705" t="str">
        <f>"53073"</f>
        <v>53073</v>
      </c>
      <c r="N1705" t="s">
        <v>740</v>
      </c>
      <c r="O1705">
        <v>77.5</v>
      </c>
      <c r="P1705">
        <v>20190207</v>
      </c>
      <c r="Q1705" t="s">
        <v>695</v>
      </c>
      <c r="R1705" t="s">
        <v>955</v>
      </c>
      <c r="S1705" t="s">
        <v>295</v>
      </c>
      <c r="T1705" t="s">
        <v>301</v>
      </c>
    </row>
    <row r="1706" spans="1:20" x14ac:dyDescent="0.25">
      <c r="A1706">
        <v>9</v>
      </c>
      <c r="B1706">
        <v>181</v>
      </c>
      <c r="C1706" t="str">
        <f t="shared" si="253"/>
        <v>36</v>
      </c>
      <c r="D1706">
        <v>6219</v>
      </c>
      <c r="E1706" t="str">
        <f>"3D"</f>
        <v>3D</v>
      </c>
      <c r="F1706" t="str">
        <f t="shared" si="251"/>
        <v>001</v>
      </c>
      <c r="G1706">
        <v>9</v>
      </c>
      <c r="H1706" t="str">
        <f t="shared" si="254"/>
        <v>91</v>
      </c>
      <c r="I1706" t="str">
        <f t="shared" si="255"/>
        <v>0</v>
      </c>
      <c r="J1706" t="str">
        <f t="shared" si="252"/>
        <v>39</v>
      </c>
      <c r="K1706">
        <v>20190208</v>
      </c>
      <c r="L1706" t="str">
        <f>"075619"</f>
        <v>075619</v>
      </c>
      <c r="M1706" t="str">
        <f>"53073"</f>
        <v>53073</v>
      </c>
      <c r="N1706" t="s">
        <v>740</v>
      </c>
      <c r="O1706">
        <v>77.5</v>
      </c>
      <c r="P1706">
        <v>20190207</v>
      </c>
      <c r="Q1706" t="s">
        <v>700</v>
      </c>
      <c r="R1706" t="s">
        <v>956</v>
      </c>
      <c r="S1706" t="s">
        <v>295</v>
      </c>
      <c r="T1706" t="s">
        <v>301</v>
      </c>
    </row>
    <row r="1707" spans="1:20" x14ac:dyDescent="0.25">
      <c r="A1707">
        <v>9</v>
      </c>
      <c r="B1707">
        <v>181</v>
      </c>
      <c r="C1707" t="str">
        <f t="shared" si="253"/>
        <v>36</v>
      </c>
      <c r="D1707">
        <v>6412</v>
      </c>
      <c r="E1707" t="str">
        <f>"3A"</f>
        <v>3A</v>
      </c>
      <c r="F1707" t="str">
        <f t="shared" si="251"/>
        <v>001</v>
      </c>
      <c r="G1707">
        <v>9</v>
      </c>
      <c r="H1707" t="str">
        <f t="shared" si="254"/>
        <v>91</v>
      </c>
      <c r="I1707" t="str">
        <f>"2"</f>
        <v>2</v>
      </c>
      <c r="J1707" t="str">
        <f t="shared" si="252"/>
        <v>39</v>
      </c>
      <c r="K1707">
        <v>20190208</v>
      </c>
      <c r="L1707" t="str">
        <f>"075620"</f>
        <v>075620</v>
      </c>
      <c r="M1707" t="str">
        <f>"53201"</f>
        <v>53201</v>
      </c>
      <c r="N1707" t="s">
        <v>991</v>
      </c>
      <c r="O1707">
        <v>25</v>
      </c>
      <c r="P1707">
        <v>20190207</v>
      </c>
      <c r="Q1707" t="s">
        <v>974</v>
      </c>
      <c r="R1707" t="s">
        <v>992</v>
      </c>
      <c r="S1707" t="s">
        <v>295</v>
      </c>
      <c r="T1707" t="s">
        <v>301</v>
      </c>
    </row>
    <row r="1708" spans="1:20" x14ac:dyDescent="0.25">
      <c r="A1708">
        <v>9</v>
      </c>
      <c r="B1708">
        <v>181</v>
      </c>
      <c r="C1708" t="str">
        <f t="shared" si="253"/>
        <v>36</v>
      </c>
      <c r="D1708">
        <v>6219</v>
      </c>
      <c r="E1708" t="str">
        <f>"3D"</f>
        <v>3D</v>
      </c>
      <c r="F1708" t="str">
        <f t="shared" si="251"/>
        <v>001</v>
      </c>
      <c r="G1708">
        <v>9</v>
      </c>
      <c r="H1708" t="str">
        <f t="shared" si="254"/>
        <v>91</v>
      </c>
      <c r="I1708" t="str">
        <f t="shared" ref="I1708:I1713" si="256">"0"</f>
        <v>0</v>
      </c>
      <c r="J1708" t="str">
        <f t="shared" si="252"/>
        <v>39</v>
      </c>
      <c r="K1708">
        <v>20190208</v>
      </c>
      <c r="L1708" t="str">
        <f>"075621"</f>
        <v>075621</v>
      </c>
      <c r="M1708" t="str">
        <f>"53458"</f>
        <v>53458</v>
      </c>
      <c r="N1708" t="s">
        <v>742</v>
      </c>
      <c r="O1708">
        <v>135</v>
      </c>
      <c r="P1708">
        <v>20190207</v>
      </c>
      <c r="Q1708" t="s">
        <v>700</v>
      </c>
      <c r="R1708" t="s">
        <v>989</v>
      </c>
      <c r="S1708" t="s">
        <v>295</v>
      </c>
      <c r="T1708" t="s">
        <v>301</v>
      </c>
    </row>
    <row r="1709" spans="1:20" x14ac:dyDescent="0.25">
      <c r="A1709">
        <v>9</v>
      </c>
      <c r="B1709">
        <v>181</v>
      </c>
      <c r="C1709" t="str">
        <f t="shared" si="253"/>
        <v>36</v>
      </c>
      <c r="D1709">
        <v>6219</v>
      </c>
      <c r="E1709" t="str">
        <f>"3S"</f>
        <v>3S</v>
      </c>
      <c r="F1709" t="str">
        <f t="shared" si="251"/>
        <v>001</v>
      </c>
      <c r="G1709">
        <v>9</v>
      </c>
      <c r="H1709" t="str">
        <f t="shared" si="254"/>
        <v>91</v>
      </c>
      <c r="I1709" t="str">
        <f t="shared" si="256"/>
        <v>0</v>
      </c>
      <c r="J1709" t="str">
        <f t="shared" si="252"/>
        <v>39</v>
      </c>
      <c r="K1709">
        <v>20190208</v>
      </c>
      <c r="L1709" t="str">
        <f>"075623"</f>
        <v>075623</v>
      </c>
      <c r="M1709" t="str">
        <f>"54558"</f>
        <v>54558</v>
      </c>
      <c r="N1709" t="s">
        <v>632</v>
      </c>
      <c r="O1709">
        <v>100</v>
      </c>
      <c r="P1709">
        <v>20190207</v>
      </c>
      <c r="Q1709" t="s">
        <v>609</v>
      </c>
      <c r="R1709" t="s">
        <v>938</v>
      </c>
      <c r="S1709" t="s">
        <v>295</v>
      </c>
      <c r="T1709" t="s">
        <v>301</v>
      </c>
    </row>
    <row r="1710" spans="1:20" x14ac:dyDescent="0.25">
      <c r="A1710">
        <v>9</v>
      </c>
      <c r="B1710">
        <v>181</v>
      </c>
      <c r="C1710" t="str">
        <f t="shared" si="253"/>
        <v>36</v>
      </c>
      <c r="D1710">
        <v>6219</v>
      </c>
      <c r="E1710" t="str">
        <f>"3S"</f>
        <v>3S</v>
      </c>
      <c r="F1710" t="str">
        <f t="shared" si="251"/>
        <v>001</v>
      </c>
      <c r="G1710">
        <v>9</v>
      </c>
      <c r="H1710" t="str">
        <f t="shared" si="254"/>
        <v>91</v>
      </c>
      <c r="I1710" t="str">
        <f t="shared" si="256"/>
        <v>0</v>
      </c>
      <c r="J1710" t="str">
        <f t="shared" si="252"/>
        <v>39</v>
      </c>
      <c r="K1710">
        <v>20190208</v>
      </c>
      <c r="L1710" t="str">
        <f>"075623"</f>
        <v>075623</v>
      </c>
      <c r="M1710" t="str">
        <f>"54558"</f>
        <v>54558</v>
      </c>
      <c r="N1710" t="s">
        <v>632</v>
      </c>
      <c r="O1710">
        <v>100</v>
      </c>
      <c r="P1710">
        <v>20190207</v>
      </c>
      <c r="Q1710" t="s">
        <v>609</v>
      </c>
      <c r="R1710" t="s">
        <v>938</v>
      </c>
      <c r="S1710" t="s">
        <v>295</v>
      </c>
      <c r="T1710" t="s">
        <v>301</v>
      </c>
    </row>
    <row r="1711" spans="1:20" x14ac:dyDescent="0.25">
      <c r="A1711">
        <v>9</v>
      </c>
      <c r="B1711">
        <v>181</v>
      </c>
      <c r="C1711" t="str">
        <f t="shared" si="253"/>
        <v>36</v>
      </c>
      <c r="D1711">
        <v>6219</v>
      </c>
      <c r="E1711" t="str">
        <f>"3K"</f>
        <v>3K</v>
      </c>
      <c r="F1711" t="str">
        <f t="shared" si="251"/>
        <v>001</v>
      </c>
      <c r="G1711">
        <v>9</v>
      </c>
      <c r="H1711" t="str">
        <f t="shared" si="254"/>
        <v>91</v>
      </c>
      <c r="I1711" t="str">
        <f t="shared" si="256"/>
        <v>0</v>
      </c>
      <c r="J1711" t="str">
        <f t="shared" si="252"/>
        <v>39</v>
      </c>
      <c r="K1711">
        <v>20190208</v>
      </c>
      <c r="L1711" t="str">
        <f>"075627"</f>
        <v>075627</v>
      </c>
      <c r="M1711" t="str">
        <f>"00189"</f>
        <v>00189</v>
      </c>
      <c r="N1711" t="s">
        <v>993</v>
      </c>
      <c r="O1711">
        <v>135</v>
      </c>
      <c r="P1711">
        <v>20190207</v>
      </c>
      <c r="Q1711" t="s">
        <v>951</v>
      </c>
      <c r="R1711" t="s">
        <v>964</v>
      </c>
      <c r="S1711" t="s">
        <v>295</v>
      </c>
      <c r="T1711" t="s">
        <v>301</v>
      </c>
    </row>
    <row r="1712" spans="1:20" x14ac:dyDescent="0.25">
      <c r="A1712">
        <v>9</v>
      </c>
      <c r="B1712">
        <v>181</v>
      </c>
      <c r="C1712" t="str">
        <f t="shared" si="253"/>
        <v>36</v>
      </c>
      <c r="D1712">
        <v>6219</v>
      </c>
      <c r="E1712" t="str">
        <f>"3D"</f>
        <v>3D</v>
      </c>
      <c r="F1712" t="str">
        <f t="shared" si="251"/>
        <v>001</v>
      </c>
      <c r="G1712">
        <v>9</v>
      </c>
      <c r="H1712" t="str">
        <f t="shared" si="254"/>
        <v>91</v>
      </c>
      <c r="I1712" t="str">
        <f t="shared" si="256"/>
        <v>0</v>
      </c>
      <c r="J1712" t="str">
        <f t="shared" si="252"/>
        <v>39</v>
      </c>
      <c r="K1712">
        <v>20190208</v>
      </c>
      <c r="L1712" t="str">
        <f>"075629"</f>
        <v>075629</v>
      </c>
      <c r="M1712" t="str">
        <f>"56568"</f>
        <v>56568</v>
      </c>
      <c r="N1712" t="s">
        <v>994</v>
      </c>
      <c r="O1712">
        <v>85</v>
      </c>
      <c r="P1712">
        <v>20190207</v>
      </c>
      <c r="Q1712" t="s">
        <v>700</v>
      </c>
      <c r="R1712" t="s">
        <v>940</v>
      </c>
      <c r="S1712" t="s">
        <v>295</v>
      </c>
      <c r="T1712" t="s">
        <v>301</v>
      </c>
    </row>
    <row r="1713" spans="1:20" x14ac:dyDescent="0.25">
      <c r="A1713">
        <v>9</v>
      </c>
      <c r="B1713">
        <v>181</v>
      </c>
      <c r="C1713" t="str">
        <f t="shared" si="253"/>
        <v>36</v>
      </c>
      <c r="D1713">
        <v>6219</v>
      </c>
      <c r="E1713" t="str">
        <f>"3K"</f>
        <v>3K</v>
      </c>
      <c r="F1713" t="str">
        <f t="shared" si="251"/>
        <v>001</v>
      </c>
      <c r="G1713">
        <v>9</v>
      </c>
      <c r="H1713" t="str">
        <f t="shared" si="254"/>
        <v>91</v>
      </c>
      <c r="I1713" t="str">
        <f t="shared" si="256"/>
        <v>0</v>
      </c>
      <c r="J1713" t="str">
        <f t="shared" si="252"/>
        <v>39</v>
      </c>
      <c r="K1713">
        <v>20190208</v>
      </c>
      <c r="L1713" t="str">
        <f>"075630"</f>
        <v>075630</v>
      </c>
      <c r="M1713" t="str">
        <f>"00363"</f>
        <v>00363</v>
      </c>
      <c r="N1713" t="s">
        <v>995</v>
      </c>
      <c r="O1713">
        <v>75</v>
      </c>
      <c r="P1713">
        <v>20190207</v>
      </c>
      <c r="Q1713" t="s">
        <v>951</v>
      </c>
      <c r="R1713" t="s">
        <v>953</v>
      </c>
      <c r="S1713" t="s">
        <v>295</v>
      </c>
      <c r="T1713" t="s">
        <v>301</v>
      </c>
    </row>
    <row r="1714" spans="1:20" x14ac:dyDescent="0.25">
      <c r="A1714">
        <v>9</v>
      </c>
      <c r="B1714">
        <v>181</v>
      </c>
      <c r="C1714" t="str">
        <f t="shared" si="253"/>
        <v>36</v>
      </c>
      <c r="D1714">
        <v>6219</v>
      </c>
      <c r="E1714" t="str">
        <f>"3B"</f>
        <v>3B</v>
      </c>
      <c r="F1714" t="str">
        <f t="shared" si="251"/>
        <v>001</v>
      </c>
      <c r="G1714">
        <v>9</v>
      </c>
      <c r="H1714" t="str">
        <f t="shared" si="254"/>
        <v>91</v>
      </c>
      <c r="I1714" t="str">
        <f t="shared" ref="I1714:I1723" si="257">"1"</f>
        <v>1</v>
      </c>
      <c r="J1714" t="str">
        <f t="shared" si="252"/>
        <v>39</v>
      </c>
      <c r="K1714">
        <v>20190208</v>
      </c>
      <c r="L1714" t="str">
        <f t="shared" ref="L1714:L1721" si="258">"075631"</f>
        <v>075631</v>
      </c>
      <c r="M1714" t="str">
        <f t="shared" ref="M1714:M1721" si="259">"57974"</f>
        <v>57974</v>
      </c>
      <c r="N1714" t="s">
        <v>371</v>
      </c>
      <c r="O1714">
        <v>48</v>
      </c>
      <c r="P1714">
        <v>20190207</v>
      </c>
      <c r="Q1714" t="s">
        <v>713</v>
      </c>
      <c r="R1714" t="s">
        <v>972</v>
      </c>
      <c r="S1714" t="s">
        <v>295</v>
      </c>
      <c r="T1714" t="s">
        <v>301</v>
      </c>
    </row>
    <row r="1715" spans="1:20" x14ac:dyDescent="0.25">
      <c r="A1715">
        <v>9</v>
      </c>
      <c r="B1715">
        <v>181</v>
      </c>
      <c r="C1715" t="str">
        <f t="shared" si="253"/>
        <v>36</v>
      </c>
      <c r="D1715">
        <v>6219</v>
      </c>
      <c r="E1715" t="str">
        <f>"3B"</f>
        <v>3B</v>
      </c>
      <c r="F1715" t="str">
        <f t="shared" si="251"/>
        <v>001</v>
      </c>
      <c r="G1715">
        <v>9</v>
      </c>
      <c r="H1715" t="str">
        <f t="shared" si="254"/>
        <v>91</v>
      </c>
      <c r="I1715" t="str">
        <f t="shared" si="257"/>
        <v>1</v>
      </c>
      <c r="J1715" t="str">
        <f t="shared" si="252"/>
        <v>39</v>
      </c>
      <c r="K1715">
        <v>20190208</v>
      </c>
      <c r="L1715" t="str">
        <f t="shared" si="258"/>
        <v>075631</v>
      </c>
      <c r="M1715" t="str">
        <f t="shared" si="259"/>
        <v>57974</v>
      </c>
      <c r="N1715" t="s">
        <v>371</v>
      </c>
      <c r="O1715">
        <v>64</v>
      </c>
      <c r="P1715">
        <v>20190207</v>
      </c>
      <c r="Q1715" t="s">
        <v>713</v>
      </c>
      <c r="R1715" t="s">
        <v>970</v>
      </c>
      <c r="S1715" t="s">
        <v>295</v>
      </c>
      <c r="T1715" t="s">
        <v>301</v>
      </c>
    </row>
    <row r="1716" spans="1:20" x14ac:dyDescent="0.25">
      <c r="A1716">
        <v>9</v>
      </c>
      <c r="B1716">
        <v>181</v>
      </c>
      <c r="C1716" t="str">
        <f t="shared" si="253"/>
        <v>36</v>
      </c>
      <c r="D1716">
        <v>6219</v>
      </c>
      <c r="E1716" t="str">
        <f>"3B"</f>
        <v>3B</v>
      </c>
      <c r="F1716" t="str">
        <f t="shared" si="251"/>
        <v>001</v>
      </c>
      <c r="G1716">
        <v>9</v>
      </c>
      <c r="H1716" t="str">
        <f t="shared" si="254"/>
        <v>91</v>
      </c>
      <c r="I1716" t="str">
        <f t="shared" si="257"/>
        <v>1</v>
      </c>
      <c r="J1716" t="str">
        <f t="shared" si="252"/>
        <v>39</v>
      </c>
      <c r="K1716">
        <v>20190208</v>
      </c>
      <c r="L1716" t="str">
        <f t="shared" si="258"/>
        <v>075631</v>
      </c>
      <c r="M1716" t="str">
        <f t="shared" si="259"/>
        <v>57974</v>
      </c>
      <c r="N1716" t="s">
        <v>371</v>
      </c>
      <c r="O1716">
        <v>64</v>
      </c>
      <c r="P1716">
        <v>20190207</v>
      </c>
      <c r="Q1716" t="s">
        <v>713</v>
      </c>
      <c r="R1716" t="s">
        <v>996</v>
      </c>
      <c r="S1716" t="s">
        <v>295</v>
      </c>
      <c r="T1716" t="s">
        <v>301</v>
      </c>
    </row>
    <row r="1717" spans="1:20" x14ac:dyDescent="0.25">
      <c r="A1717">
        <v>9</v>
      </c>
      <c r="B1717">
        <v>181</v>
      </c>
      <c r="C1717" t="str">
        <f t="shared" si="253"/>
        <v>36</v>
      </c>
      <c r="D1717">
        <v>6219</v>
      </c>
      <c r="E1717" t="str">
        <f>"3B"</f>
        <v>3B</v>
      </c>
      <c r="F1717" t="str">
        <f t="shared" si="251"/>
        <v>001</v>
      </c>
      <c r="G1717">
        <v>9</v>
      </c>
      <c r="H1717" t="str">
        <f t="shared" si="254"/>
        <v>91</v>
      </c>
      <c r="I1717" t="str">
        <f t="shared" si="257"/>
        <v>1</v>
      </c>
      <c r="J1717" t="str">
        <f t="shared" si="252"/>
        <v>39</v>
      </c>
      <c r="K1717">
        <v>20190208</v>
      </c>
      <c r="L1717" t="str">
        <f t="shared" si="258"/>
        <v>075631</v>
      </c>
      <c r="M1717" t="str">
        <f t="shared" si="259"/>
        <v>57974</v>
      </c>
      <c r="N1717" t="s">
        <v>371</v>
      </c>
      <c r="O1717">
        <v>64</v>
      </c>
      <c r="P1717">
        <v>20190207</v>
      </c>
      <c r="Q1717" t="s">
        <v>713</v>
      </c>
      <c r="R1717" t="s">
        <v>955</v>
      </c>
      <c r="S1717" t="s">
        <v>295</v>
      </c>
      <c r="T1717" t="s">
        <v>301</v>
      </c>
    </row>
    <row r="1718" spans="1:20" x14ac:dyDescent="0.25">
      <c r="A1718">
        <v>9</v>
      </c>
      <c r="B1718">
        <v>181</v>
      </c>
      <c r="C1718" t="str">
        <f t="shared" si="253"/>
        <v>36</v>
      </c>
      <c r="D1718">
        <v>6219</v>
      </c>
      <c r="E1718" t="str">
        <f>"3D"</f>
        <v>3D</v>
      </c>
      <c r="F1718" t="str">
        <f t="shared" si="251"/>
        <v>001</v>
      </c>
      <c r="G1718">
        <v>9</v>
      </c>
      <c r="H1718" t="str">
        <f t="shared" si="254"/>
        <v>91</v>
      </c>
      <c r="I1718" t="str">
        <f t="shared" si="257"/>
        <v>1</v>
      </c>
      <c r="J1718" t="str">
        <f t="shared" si="252"/>
        <v>39</v>
      </c>
      <c r="K1718">
        <v>20190208</v>
      </c>
      <c r="L1718" t="str">
        <f t="shared" si="258"/>
        <v>075631</v>
      </c>
      <c r="M1718" t="str">
        <f t="shared" si="259"/>
        <v>57974</v>
      </c>
      <c r="N1718" t="s">
        <v>371</v>
      </c>
      <c r="O1718">
        <v>48</v>
      </c>
      <c r="P1718">
        <v>20190207</v>
      </c>
      <c r="Q1718" t="s">
        <v>794</v>
      </c>
      <c r="R1718" t="s">
        <v>973</v>
      </c>
      <c r="S1718" t="s">
        <v>295</v>
      </c>
      <c r="T1718" t="s">
        <v>301</v>
      </c>
    </row>
    <row r="1719" spans="1:20" x14ac:dyDescent="0.25">
      <c r="A1719">
        <v>9</v>
      </c>
      <c r="B1719">
        <v>181</v>
      </c>
      <c r="C1719" t="str">
        <f t="shared" si="253"/>
        <v>36</v>
      </c>
      <c r="D1719">
        <v>6219</v>
      </c>
      <c r="E1719" t="str">
        <f>"3D"</f>
        <v>3D</v>
      </c>
      <c r="F1719" t="str">
        <f t="shared" ref="F1719:F1750" si="260">"001"</f>
        <v>001</v>
      </c>
      <c r="G1719">
        <v>9</v>
      </c>
      <c r="H1719" t="str">
        <f t="shared" si="254"/>
        <v>91</v>
      </c>
      <c r="I1719" t="str">
        <f t="shared" si="257"/>
        <v>1</v>
      </c>
      <c r="J1719" t="str">
        <f t="shared" ref="J1719:J1750" si="261">"39"</f>
        <v>39</v>
      </c>
      <c r="K1719">
        <v>20190208</v>
      </c>
      <c r="L1719" t="str">
        <f t="shared" si="258"/>
        <v>075631</v>
      </c>
      <c r="M1719" t="str">
        <f t="shared" si="259"/>
        <v>57974</v>
      </c>
      <c r="N1719" t="s">
        <v>371</v>
      </c>
      <c r="O1719">
        <v>64</v>
      </c>
      <c r="P1719">
        <v>20190207</v>
      </c>
      <c r="Q1719" t="s">
        <v>794</v>
      </c>
      <c r="R1719" t="s">
        <v>971</v>
      </c>
      <c r="S1719" t="s">
        <v>295</v>
      </c>
      <c r="T1719" t="s">
        <v>301</v>
      </c>
    </row>
    <row r="1720" spans="1:20" x14ac:dyDescent="0.25">
      <c r="A1720">
        <v>9</v>
      </c>
      <c r="B1720">
        <v>181</v>
      </c>
      <c r="C1720" t="str">
        <f t="shared" si="253"/>
        <v>36</v>
      </c>
      <c r="D1720">
        <v>6219</v>
      </c>
      <c r="E1720" t="str">
        <f>"3D"</f>
        <v>3D</v>
      </c>
      <c r="F1720" t="str">
        <f t="shared" si="260"/>
        <v>001</v>
      </c>
      <c r="G1720">
        <v>9</v>
      </c>
      <c r="H1720" t="str">
        <f t="shared" si="254"/>
        <v>91</v>
      </c>
      <c r="I1720" t="str">
        <f t="shared" si="257"/>
        <v>1</v>
      </c>
      <c r="J1720" t="str">
        <f t="shared" si="261"/>
        <v>39</v>
      </c>
      <c r="K1720">
        <v>20190208</v>
      </c>
      <c r="L1720" t="str">
        <f t="shared" si="258"/>
        <v>075631</v>
      </c>
      <c r="M1720" t="str">
        <f t="shared" si="259"/>
        <v>57974</v>
      </c>
      <c r="N1720" t="s">
        <v>371</v>
      </c>
      <c r="O1720">
        <v>64</v>
      </c>
      <c r="P1720">
        <v>20190207</v>
      </c>
      <c r="Q1720" t="s">
        <v>794</v>
      </c>
      <c r="R1720" t="s">
        <v>989</v>
      </c>
      <c r="S1720" t="s">
        <v>295</v>
      </c>
      <c r="T1720" t="s">
        <v>301</v>
      </c>
    </row>
    <row r="1721" spans="1:20" x14ac:dyDescent="0.25">
      <c r="A1721">
        <v>9</v>
      </c>
      <c r="B1721">
        <v>181</v>
      </c>
      <c r="C1721" t="str">
        <f t="shared" si="253"/>
        <v>36</v>
      </c>
      <c r="D1721">
        <v>6219</v>
      </c>
      <c r="E1721" t="str">
        <f>"3D"</f>
        <v>3D</v>
      </c>
      <c r="F1721" t="str">
        <f t="shared" si="260"/>
        <v>001</v>
      </c>
      <c r="G1721">
        <v>9</v>
      </c>
      <c r="H1721" t="str">
        <f t="shared" si="254"/>
        <v>91</v>
      </c>
      <c r="I1721" t="str">
        <f t="shared" si="257"/>
        <v>1</v>
      </c>
      <c r="J1721" t="str">
        <f t="shared" si="261"/>
        <v>39</v>
      </c>
      <c r="K1721">
        <v>20190208</v>
      </c>
      <c r="L1721" t="str">
        <f t="shared" si="258"/>
        <v>075631</v>
      </c>
      <c r="M1721" t="str">
        <f t="shared" si="259"/>
        <v>57974</v>
      </c>
      <c r="N1721" t="s">
        <v>371</v>
      </c>
      <c r="O1721">
        <v>64</v>
      </c>
      <c r="P1721">
        <v>20190207</v>
      </c>
      <c r="Q1721" t="s">
        <v>794</v>
      </c>
      <c r="R1721" t="s">
        <v>956</v>
      </c>
      <c r="S1721" t="s">
        <v>295</v>
      </c>
      <c r="T1721" t="s">
        <v>301</v>
      </c>
    </row>
    <row r="1722" spans="1:20" x14ac:dyDescent="0.25">
      <c r="A1722">
        <v>9</v>
      </c>
      <c r="B1722">
        <v>181</v>
      </c>
      <c r="C1722" t="str">
        <f t="shared" si="253"/>
        <v>36</v>
      </c>
      <c r="D1722">
        <v>6219</v>
      </c>
      <c r="E1722" t="str">
        <f>"3B"</f>
        <v>3B</v>
      </c>
      <c r="F1722" t="str">
        <f t="shared" si="260"/>
        <v>001</v>
      </c>
      <c r="G1722">
        <v>9</v>
      </c>
      <c r="H1722" t="str">
        <f t="shared" si="254"/>
        <v>91</v>
      </c>
      <c r="I1722" t="str">
        <f t="shared" si="257"/>
        <v>1</v>
      </c>
      <c r="J1722" t="str">
        <f t="shared" si="261"/>
        <v>39</v>
      </c>
      <c r="K1722">
        <v>20190208</v>
      </c>
      <c r="L1722" t="str">
        <f>"075632"</f>
        <v>075632</v>
      </c>
      <c r="M1722" t="str">
        <f>"00107"</f>
        <v>00107</v>
      </c>
      <c r="N1722" t="s">
        <v>448</v>
      </c>
      <c r="O1722">
        <v>64</v>
      </c>
      <c r="P1722">
        <v>20190207</v>
      </c>
      <c r="Q1722" t="s">
        <v>713</v>
      </c>
      <c r="R1722" t="s">
        <v>970</v>
      </c>
      <c r="S1722" t="s">
        <v>295</v>
      </c>
      <c r="T1722" t="s">
        <v>301</v>
      </c>
    </row>
    <row r="1723" spans="1:20" x14ac:dyDescent="0.25">
      <c r="A1723">
        <v>9</v>
      </c>
      <c r="B1723">
        <v>181</v>
      </c>
      <c r="C1723" t="str">
        <f t="shared" si="253"/>
        <v>36</v>
      </c>
      <c r="D1723">
        <v>6219</v>
      </c>
      <c r="E1723" t="str">
        <f>"3D"</f>
        <v>3D</v>
      </c>
      <c r="F1723" t="str">
        <f t="shared" si="260"/>
        <v>001</v>
      </c>
      <c r="G1723">
        <v>9</v>
      </c>
      <c r="H1723" t="str">
        <f t="shared" si="254"/>
        <v>91</v>
      </c>
      <c r="I1723" t="str">
        <f t="shared" si="257"/>
        <v>1</v>
      </c>
      <c r="J1723" t="str">
        <f t="shared" si="261"/>
        <v>39</v>
      </c>
      <c r="K1723">
        <v>20190208</v>
      </c>
      <c r="L1723" t="str">
        <f>"075632"</f>
        <v>075632</v>
      </c>
      <c r="M1723" t="str">
        <f>"00107"</f>
        <v>00107</v>
      </c>
      <c r="N1723" t="s">
        <v>448</v>
      </c>
      <c r="O1723">
        <v>64</v>
      </c>
      <c r="P1723">
        <v>20190207</v>
      </c>
      <c r="Q1723" t="s">
        <v>794</v>
      </c>
      <c r="R1723" t="s">
        <v>971</v>
      </c>
      <c r="S1723" t="s">
        <v>295</v>
      </c>
      <c r="T1723" t="s">
        <v>301</v>
      </c>
    </row>
    <row r="1724" spans="1:20" x14ac:dyDescent="0.25">
      <c r="A1724">
        <v>9</v>
      </c>
      <c r="B1724">
        <v>181</v>
      </c>
      <c r="C1724" t="str">
        <f t="shared" si="253"/>
        <v>36</v>
      </c>
      <c r="D1724">
        <v>6219</v>
      </c>
      <c r="E1724" t="str">
        <f>"3S"</f>
        <v>3S</v>
      </c>
      <c r="F1724" t="str">
        <f t="shared" si="260"/>
        <v>001</v>
      </c>
      <c r="G1724">
        <v>9</v>
      </c>
      <c r="H1724" t="str">
        <f t="shared" si="254"/>
        <v>91</v>
      </c>
      <c r="I1724" t="str">
        <f>"0"</f>
        <v>0</v>
      </c>
      <c r="J1724" t="str">
        <f t="shared" si="261"/>
        <v>39</v>
      </c>
      <c r="K1724">
        <v>20190208</v>
      </c>
      <c r="L1724" t="str">
        <f>"075634"</f>
        <v>075634</v>
      </c>
      <c r="M1724" t="str">
        <f>"59036"</f>
        <v>59036</v>
      </c>
      <c r="N1724" t="s">
        <v>997</v>
      </c>
      <c r="O1724">
        <v>90</v>
      </c>
      <c r="P1724">
        <v>20190207</v>
      </c>
      <c r="Q1724" t="s">
        <v>609</v>
      </c>
      <c r="R1724" t="s">
        <v>938</v>
      </c>
      <c r="S1724" t="s">
        <v>295</v>
      </c>
      <c r="T1724" t="s">
        <v>301</v>
      </c>
    </row>
    <row r="1725" spans="1:20" x14ac:dyDescent="0.25">
      <c r="A1725">
        <v>9</v>
      </c>
      <c r="B1725">
        <v>181</v>
      </c>
      <c r="C1725" t="str">
        <f t="shared" si="253"/>
        <v>36</v>
      </c>
      <c r="D1725">
        <v>6219</v>
      </c>
      <c r="E1725" t="str">
        <f>"3B"</f>
        <v>3B</v>
      </c>
      <c r="F1725" t="str">
        <f t="shared" si="260"/>
        <v>001</v>
      </c>
      <c r="G1725">
        <v>9</v>
      </c>
      <c r="H1725" t="str">
        <f t="shared" si="254"/>
        <v>91</v>
      </c>
      <c r="I1725" t="str">
        <f>"0"</f>
        <v>0</v>
      </c>
      <c r="J1725" t="str">
        <f t="shared" si="261"/>
        <v>39</v>
      </c>
      <c r="K1725">
        <v>20190208</v>
      </c>
      <c r="L1725" t="str">
        <f>"075642"</f>
        <v>075642</v>
      </c>
      <c r="M1725" t="str">
        <f>"63913"</f>
        <v>63913</v>
      </c>
      <c r="N1725" t="s">
        <v>385</v>
      </c>
      <c r="O1725">
        <v>77.5</v>
      </c>
      <c r="P1725">
        <v>20190207</v>
      </c>
      <c r="Q1725" t="s">
        <v>695</v>
      </c>
      <c r="R1725" t="s">
        <v>966</v>
      </c>
      <c r="S1725" t="s">
        <v>295</v>
      </c>
      <c r="T1725" t="s">
        <v>301</v>
      </c>
    </row>
    <row r="1726" spans="1:20" x14ac:dyDescent="0.25">
      <c r="A1726">
        <v>9</v>
      </c>
      <c r="B1726">
        <v>181</v>
      </c>
      <c r="C1726" t="str">
        <f t="shared" si="253"/>
        <v>36</v>
      </c>
      <c r="D1726">
        <v>6219</v>
      </c>
      <c r="E1726" t="str">
        <f>"3D"</f>
        <v>3D</v>
      </c>
      <c r="F1726" t="str">
        <f t="shared" si="260"/>
        <v>001</v>
      </c>
      <c r="G1726">
        <v>9</v>
      </c>
      <c r="H1726" t="str">
        <f t="shared" si="254"/>
        <v>91</v>
      </c>
      <c r="I1726" t="str">
        <f>"0"</f>
        <v>0</v>
      </c>
      <c r="J1726" t="str">
        <f t="shared" si="261"/>
        <v>39</v>
      </c>
      <c r="K1726">
        <v>20190208</v>
      </c>
      <c r="L1726" t="str">
        <f>"075642"</f>
        <v>075642</v>
      </c>
      <c r="M1726" t="str">
        <f>"63913"</f>
        <v>63913</v>
      </c>
      <c r="N1726" t="s">
        <v>385</v>
      </c>
      <c r="O1726">
        <v>77.5</v>
      </c>
      <c r="P1726">
        <v>20190207</v>
      </c>
      <c r="Q1726" t="s">
        <v>700</v>
      </c>
      <c r="R1726" t="s">
        <v>967</v>
      </c>
      <c r="S1726" t="s">
        <v>295</v>
      </c>
      <c r="T1726" t="s">
        <v>301</v>
      </c>
    </row>
    <row r="1727" spans="1:20" x14ac:dyDescent="0.25">
      <c r="A1727">
        <v>9</v>
      </c>
      <c r="B1727">
        <v>181</v>
      </c>
      <c r="C1727" t="str">
        <f t="shared" si="253"/>
        <v>36</v>
      </c>
      <c r="D1727">
        <v>6412</v>
      </c>
      <c r="E1727" t="str">
        <f>"3G"</f>
        <v>3G</v>
      </c>
      <c r="F1727" t="str">
        <f t="shared" si="260"/>
        <v>001</v>
      </c>
      <c r="G1727">
        <v>9</v>
      </c>
      <c r="H1727" t="str">
        <f t="shared" si="254"/>
        <v>91</v>
      </c>
      <c r="I1727" t="str">
        <f>"2"</f>
        <v>2</v>
      </c>
      <c r="J1727" t="str">
        <f t="shared" si="261"/>
        <v>39</v>
      </c>
      <c r="K1727">
        <v>20190208</v>
      </c>
      <c r="L1727" t="str">
        <f>"075643"</f>
        <v>075643</v>
      </c>
      <c r="M1727" t="str">
        <f>"64004"</f>
        <v>64004</v>
      </c>
      <c r="N1727" t="s">
        <v>488</v>
      </c>
      <c r="O1727">
        <v>280</v>
      </c>
      <c r="P1727">
        <v>20190207</v>
      </c>
      <c r="Q1727" t="s">
        <v>309</v>
      </c>
      <c r="R1727" t="s">
        <v>998</v>
      </c>
      <c r="S1727" t="s">
        <v>295</v>
      </c>
      <c r="T1727" t="s">
        <v>301</v>
      </c>
    </row>
    <row r="1728" spans="1:20" x14ac:dyDescent="0.25">
      <c r="A1728">
        <v>9</v>
      </c>
      <c r="B1728">
        <v>181</v>
      </c>
      <c r="C1728" t="str">
        <f t="shared" si="253"/>
        <v>36</v>
      </c>
      <c r="D1728">
        <v>6219</v>
      </c>
      <c r="E1728" t="str">
        <f>"3N"</f>
        <v>3N</v>
      </c>
      <c r="F1728" t="str">
        <f t="shared" si="260"/>
        <v>001</v>
      </c>
      <c r="G1728">
        <v>9</v>
      </c>
      <c r="H1728" t="str">
        <f t="shared" si="254"/>
        <v>91</v>
      </c>
      <c r="I1728" t="str">
        <f t="shared" ref="I1728:I1754" si="262">"0"</f>
        <v>0</v>
      </c>
      <c r="J1728" t="str">
        <f t="shared" si="261"/>
        <v>39</v>
      </c>
      <c r="K1728">
        <v>20190208</v>
      </c>
      <c r="L1728" t="str">
        <f>"075644"</f>
        <v>075644</v>
      </c>
      <c r="M1728" t="str">
        <f>"00354"</f>
        <v>00354</v>
      </c>
      <c r="N1728" t="s">
        <v>999</v>
      </c>
      <c r="O1728">
        <v>115</v>
      </c>
      <c r="P1728">
        <v>20190207</v>
      </c>
      <c r="Q1728" t="s">
        <v>942</v>
      </c>
      <c r="R1728" t="s">
        <v>954</v>
      </c>
      <c r="S1728" t="s">
        <v>295</v>
      </c>
      <c r="T1728" t="s">
        <v>301</v>
      </c>
    </row>
    <row r="1729" spans="1:20" x14ac:dyDescent="0.25">
      <c r="A1729">
        <v>9</v>
      </c>
      <c r="B1729">
        <v>181</v>
      </c>
      <c r="C1729" t="str">
        <f t="shared" si="253"/>
        <v>36</v>
      </c>
      <c r="D1729">
        <v>6219</v>
      </c>
      <c r="E1729" t="str">
        <f>"3B"</f>
        <v>3B</v>
      </c>
      <c r="F1729" t="str">
        <f t="shared" si="260"/>
        <v>001</v>
      </c>
      <c r="G1729">
        <v>9</v>
      </c>
      <c r="H1729" t="str">
        <f t="shared" si="254"/>
        <v>91</v>
      </c>
      <c r="I1729" t="str">
        <f t="shared" si="262"/>
        <v>0</v>
      </c>
      <c r="J1729" t="str">
        <f t="shared" si="261"/>
        <v>39</v>
      </c>
      <c r="K1729">
        <v>20190208</v>
      </c>
      <c r="L1729" t="str">
        <f>"075646"</f>
        <v>075646</v>
      </c>
      <c r="M1729" t="str">
        <f>"65240"</f>
        <v>65240</v>
      </c>
      <c r="N1729" t="s">
        <v>750</v>
      </c>
      <c r="O1729">
        <v>102.5</v>
      </c>
      <c r="P1729">
        <v>20190207</v>
      </c>
      <c r="Q1729" t="s">
        <v>695</v>
      </c>
      <c r="R1729" t="s">
        <v>972</v>
      </c>
      <c r="S1729" t="s">
        <v>295</v>
      </c>
      <c r="T1729" t="s">
        <v>301</v>
      </c>
    </row>
    <row r="1730" spans="1:20" x14ac:dyDescent="0.25">
      <c r="A1730">
        <v>9</v>
      </c>
      <c r="B1730">
        <v>181</v>
      </c>
      <c r="C1730" t="str">
        <f t="shared" si="253"/>
        <v>36</v>
      </c>
      <c r="D1730">
        <v>6219</v>
      </c>
      <c r="E1730" t="str">
        <f>"3D"</f>
        <v>3D</v>
      </c>
      <c r="F1730" t="str">
        <f t="shared" si="260"/>
        <v>001</v>
      </c>
      <c r="G1730">
        <v>9</v>
      </c>
      <c r="H1730" t="str">
        <f t="shared" si="254"/>
        <v>91</v>
      </c>
      <c r="I1730" t="str">
        <f t="shared" si="262"/>
        <v>0</v>
      </c>
      <c r="J1730" t="str">
        <f t="shared" si="261"/>
        <v>39</v>
      </c>
      <c r="K1730">
        <v>20190208</v>
      </c>
      <c r="L1730" t="str">
        <f>"075646"</f>
        <v>075646</v>
      </c>
      <c r="M1730" t="str">
        <f>"65240"</f>
        <v>65240</v>
      </c>
      <c r="N1730" t="s">
        <v>750</v>
      </c>
      <c r="O1730">
        <v>102.5</v>
      </c>
      <c r="P1730">
        <v>20190207</v>
      </c>
      <c r="Q1730" t="s">
        <v>700</v>
      </c>
      <c r="R1730" t="s">
        <v>973</v>
      </c>
      <c r="S1730" t="s">
        <v>295</v>
      </c>
      <c r="T1730" t="s">
        <v>301</v>
      </c>
    </row>
    <row r="1731" spans="1:20" x14ac:dyDescent="0.25">
      <c r="A1731">
        <v>9</v>
      </c>
      <c r="B1731">
        <v>181</v>
      </c>
      <c r="C1731" t="str">
        <f t="shared" si="253"/>
        <v>36</v>
      </c>
      <c r="D1731">
        <v>6411</v>
      </c>
      <c r="E1731" t="str">
        <f>"30"</f>
        <v>30</v>
      </c>
      <c r="F1731" t="str">
        <f t="shared" si="260"/>
        <v>001</v>
      </c>
      <c r="G1731">
        <v>9</v>
      </c>
      <c r="H1731" t="str">
        <f t="shared" si="254"/>
        <v>91</v>
      </c>
      <c r="I1731" t="str">
        <f t="shared" si="262"/>
        <v>0</v>
      </c>
      <c r="J1731" t="str">
        <f t="shared" si="261"/>
        <v>39</v>
      </c>
      <c r="K1731">
        <v>20190208</v>
      </c>
      <c r="L1731" t="str">
        <f>"075648"</f>
        <v>075648</v>
      </c>
      <c r="M1731" t="str">
        <f>"68107"</f>
        <v>68107</v>
      </c>
      <c r="N1731" t="s">
        <v>449</v>
      </c>
      <c r="O1731">
        <v>144</v>
      </c>
      <c r="P1731">
        <v>20190207</v>
      </c>
      <c r="Q1731" t="s">
        <v>790</v>
      </c>
      <c r="R1731" t="s">
        <v>1000</v>
      </c>
      <c r="S1731" t="s">
        <v>295</v>
      </c>
      <c r="T1731" t="s">
        <v>301</v>
      </c>
    </row>
    <row r="1732" spans="1:20" x14ac:dyDescent="0.25">
      <c r="A1732">
        <v>9</v>
      </c>
      <c r="B1732">
        <v>181</v>
      </c>
      <c r="C1732" t="str">
        <f t="shared" si="253"/>
        <v>36</v>
      </c>
      <c r="D1732">
        <v>6219</v>
      </c>
      <c r="E1732" t="str">
        <f>"3K"</f>
        <v>3K</v>
      </c>
      <c r="F1732" t="str">
        <f t="shared" si="260"/>
        <v>001</v>
      </c>
      <c r="G1732">
        <v>9</v>
      </c>
      <c r="H1732" t="str">
        <f t="shared" si="254"/>
        <v>91</v>
      </c>
      <c r="I1732" t="str">
        <f t="shared" si="262"/>
        <v>0</v>
      </c>
      <c r="J1732" t="str">
        <f t="shared" si="261"/>
        <v>39</v>
      </c>
      <c r="K1732">
        <v>20190208</v>
      </c>
      <c r="L1732" t="str">
        <f>"075651"</f>
        <v>075651</v>
      </c>
      <c r="M1732" t="str">
        <f>"00707"</f>
        <v>00707</v>
      </c>
      <c r="N1732" t="s">
        <v>1001</v>
      </c>
      <c r="O1732">
        <v>115</v>
      </c>
      <c r="P1732">
        <v>20190207</v>
      </c>
      <c r="Q1732" t="s">
        <v>951</v>
      </c>
      <c r="R1732" t="s">
        <v>952</v>
      </c>
      <c r="S1732" t="s">
        <v>295</v>
      </c>
      <c r="T1732" t="s">
        <v>301</v>
      </c>
    </row>
    <row r="1733" spans="1:20" x14ac:dyDescent="0.25">
      <c r="A1733">
        <v>9</v>
      </c>
      <c r="B1733">
        <v>181</v>
      </c>
      <c r="C1733" t="str">
        <f t="shared" si="253"/>
        <v>36</v>
      </c>
      <c r="D1733">
        <v>6219</v>
      </c>
      <c r="E1733" t="str">
        <f>"3K"</f>
        <v>3K</v>
      </c>
      <c r="F1733" t="str">
        <f t="shared" si="260"/>
        <v>001</v>
      </c>
      <c r="G1733">
        <v>9</v>
      </c>
      <c r="H1733" t="str">
        <f t="shared" si="254"/>
        <v>91</v>
      </c>
      <c r="I1733" t="str">
        <f t="shared" si="262"/>
        <v>0</v>
      </c>
      <c r="J1733" t="str">
        <f t="shared" si="261"/>
        <v>39</v>
      </c>
      <c r="K1733">
        <v>20190208</v>
      </c>
      <c r="L1733" t="str">
        <f>"075652"</f>
        <v>075652</v>
      </c>
      <c r="M1733" t="str">
        <f>"00618"</f>
        <v>00618</v>
      </c>
      <c r="N1733" t="s">
        <v>638</v>
      </c>
      <c r="O1733">
        <v>55</v>
      </c>
      <c r="P1733">
        <v>20190207</v>
      </c>
      <c r="Q1733" t="s">
        <v>951</v>
      </c>
      <c r="R1733" t="s">
        <v>981</v>
      </c>
      <c r="S1733" t="s">
        <v>295</v>
      </c>
      <c r="T1733" t="s">
        <v>301</v>
      </c>
    </row>
    <row r="1734" spans="1:20" x14ac:dyDescent="0.25">
      <c r="A1734">
        <v>9</v>
      </c>
      <c r="B1734">
        <v>181</v>
      </c>
      <c r="C1734" t="str">
        <f t="shared" si="253"/>
        <v>36</v>
      </c>
      <c r="D1734">
        <v>6219</v>
      </c>
      <c r="E1734" t="str">
        <f>"3K"</f>
        <v>3K</v>
      </c>
      <c r="F1734" t="str">
        <f t="shared" si="260"/>
        <v>001</v>
      </c>
      <c r="G1734">
        <v>9</v>
      </c>
      <c r="H1734" t="str">
        <f t="shared" si="254"/>
        <v>91</v>
      </c>
      <c r="I1734" t="str">
        <f t="shared" si="262"/>
        <v>0</v>
      </c>
      <c r="J1734" t="str">
        <f t="shared" si="261"/>
        <v>39</v>
      </c>
      <c r="K1734">
        <v>20190208</v>
      </c>
      <c r="L1734" t="str">
        <f>"075652"</f>
        <v>075652</v>
      </c>
      <c r="M1734" t="str">
        <f>"00618"</f>
        <v>00618</v>
      </c>
      <c r="N1734" t="s">
        <v>638</v>
      </c>
      <c r="O1734">
        <v>115</v>
      </c>
      <c r="P1734">
        <v>20190207</v>
      </c>
      <c r="Q1734" t="s">
        <v>951</v>
      </c>
      <c r="R1734" t="s">
        <v>953</v>
      </c>
      <c r="S1734" t="s">
        <v>295</v>
      </c>
      <c r="T1734" t="s">
        <v>301</v>
      </c>
    </row>
    <row r="1735" spans="1:20" x14ac:dyDescent="0.25">
      <c r="A1735">
        <v>9</v>
      </c>
      <c r="B1735">
        <v>181</v>
      </c>
      <c r="C1735" t="str">
        <f t="shared" si="253"/>
        <v>36</v>
      </c>
      <c r="D1735">
        <v>6219</v>
      </c>
      <c r="E1735" t="str">
        <f>"3S"</f>
        <v>3S</v>
      </c>
      <c r="F1735" t="str">
        <f t="shared" si="260"/>
        <v>001</v>
      </c>
      <c r="G1735">
        <v>9</v>
      </c>
      <c r="H1735" t="str">
        <f t="shared" si="254"/>
        <v>91</v>
      </c>
      <c r="I1735" t="str">
        <f t="shared" si="262"/>
        <v>0</v>
      </c>
      <c r="J1735" t="str">
        <f t="shared" si="261"/>
        <v>39</v>
      </c>
      <c r="K1735">
        <v>20190208</v>
      </c>
      <c r="L1735" t="str">
        <f>"075663"</f>
        <v>075663</v>
      </c>
      <c r="M1735" t="str">
        <f>"00703"</f>
        <v>00703</v>
      </c>
      <c r="N1735" t="s">
        <v>1002</v>
      </c>
      <c r="O1735">
        <v>50</v>
      </c>
      <c r="P1735">
        <v>20190207</v>
      </c>
      <c r="Q1735" t="s">
        <v>609</v>
      </c>
      <c r="R1735" t="s">
        <v>938</v>
      </c>
      <c r="S1735" t="s">
        <v>295</v>
      </c>
      <c r="T1735" t="s">
        <v>301</v>
      </c>
    </row>
    <row r="1736" spans="1:20" x14ac:dyDescent="0.25">
      <c r="A1736">
        <v>9</v>
      </c>
      <c r="B1736">
        <v>181</v>
      </c>
      <c r="C1736" t="str">
        <f t="shared" si="253"/>
        <v>36</v>
      </c>
      <c r="D1736">
        <v>6495</v>
      </c>
      <c r="E1736" t="str">
        <f>"30"</f>
        <v>30</v>
      </c>
      <c r="F1736" t="str">
        <f t="shared" si="260"/>
        <v>001</v>
      </c>
      <c r="G1736">
        <v>9</v>
      </c>
      <c r="H1736" t="str">
        <f t="shared" si="254"/>
        <v>91</v>
      </c>
      <c r="I1736" t="str">
        <f t="shared" si="262"/>
        <v>0</v>
      </c>
      <c r="J1736" t="str">
        <f t="shared" si="261"/>
        <v>39</v>
      </c>
      <c r="K1736">
        <v>20190208</v>
      </c>
      <c r="L1736" t="str">
        <f>"075664"</f>
        <v>075664</v>
      </c>
      <c r="M1736" t="str">
        <f>"77120"</f>
        <v>77120</v>
      </c>
      <c r="N1736" t="s">
        <v>1003</v>
      </c>
      <c r="O1736">
        <v>160</v>
      </c>
      <c r="P1736">
        <v>20190207</v>
      </c>
      <c r="Q1736" t="s">
        <v>428</v>
      </c>
      <c r="R1736" t="s">
        <v>1004</v>
      </c>
      <c r="S1736" t="s">
        <v>295</v>
      </c>
      <c r="T1736" t="s">
        <v>301</v>
      </c>
    </row>
    <row r="1737" spans="1:20" x14ac:dyDescent="0.25">
      <c r="A1737">
        <v>9</v>
      </c>
      <c r="B1737">
        <v>181</v>
      </c>
      <c r="C1737" t="str">
        <f t="shared" si="253"/>
        <v>36</v>
      </c>
      <c r="D1737">
        <v>6219</v>
      </c>
      <c r="E1737" t="str">
        <f>"3S"</f>
        <v>3S</v>
      </c>
      <c r="F1737" t="str">
        <f t="shared" si="260"/>
        <v>001</v>
      </c>
      <c r="G1737">
        <v>9</v>
      </c>
      <c r="H1737" t="str">
        <f t="shared" si="254"/>
        <v>91</v>
      </c>
      <c r="I1737" t="str">
        <f t="shared" si="262"/>
        <v>0</v>
      </c>
      <c r="J1737" t="str">
        <f t="shared" si="261"/>
        <v>39</v>
      </c>
      <c r="K1737">
        <v>20190208</v>
      </c>
      <c r="L1737" t="str">
        <f>"075667"</f>
        <v>075667</v>
      </c>
      <c r="M1737" t="str">
        <f>"82384"</f>
        <v>82384</v>
      </c>
      <c r="N1737" t="s">
        <v>1005</v>
      </c>
      <c r="O1737">
        <v>40</v>
      </c>
      <c r="P1737">
        <v>20190207</v>
      </c>
      <c r="Q1737" t="s">
        <v>609</v>
      </c>
      <c r="R1737" t="s">
        <v>938</v>
      </c>
      <c r="S1737" t="s">
        <v>295</v>
      </c>
      <c r="T1737" t="s">
        <v>301</v>
      </c>
    </row>
    <row r="1738" spans="1:20" x14ac:dyDescent="0.25">
      <c r="A1738">
        <v>9</v>
      </c>
      <c r="B1738">
        <v>181</v>
      </c>
      <c r="C1738" t="str">
        <f t="shared" si="253"/>
        <v>36</v>
      </c>
      <c r="D1738">
        <v>6219</v>
      </c>
      <c r="E1738" t="str">
        <f>"3S"</f>
        <v>3S</v>
      </c>
      <c r="F1738" t="str">
        <f t="shared" si="260"/>
        <v>001</v>
      </c>
      <c r="G1738">
        <v>9</v>
      </c>
      <c r="H1738" t="str">
        <f t="shared" si="254"/>
        <v>91</v>
      </c>
      <c r="I1738" t="str">
        <f t="shared" si="262"/>
        <v>0</v>
      </c>
      <c r="J1738" t="str">
        <f t="shared" si="261"/>
        <v>39</v>
      </c>
      <c r="K1738">
        <v>20190208</v>
      </c>
      <c r="L1738" t="str">
        <f>"075667"</f>
        <v>075667</v>
      </c>
      <c r="M1738" t="str">
        <f>"82384"</f>
        <v>82384</v>
      </c>
      <c r="N1738" t="s">
        <v>1005</v>
      </c>
      <c r="O1738">
        <v>40</v>
      </c>
      <c r="P1738">
        <v>20190207</v>
      </c>
      <c r="Q1738" t="s">
        <v>609</v>
      </c>
      <c r="R1738" t="s">
        <v>938</v>
      </c>
      <c r="S1738" t="s">
        <v>295</v>
      </c>
      <c r="T1738" t="s">
        <v>301</v>
      </c>
    </row>
    <row r="1739" spans="1:20" x14ac:dyDescent="0.25">
      <c r="A1739">
        <v>9</v>
      </c>
      <c r="B1739">
        <v>181</v>
      </c>
      <c r="C1739" t="str">
        <f t="shared" si="253"/>
        <v>36</v>
      </c>
      <c r="D1739">
        <v>6219</v>
      </c>
      <c r="E1739" t="str">
        <f>"3B"</f>
        <v>3B</v>
      </c>
      <c r="F1739" t="str">
        <f t="shared" si="260"/>
        <v>001</v>
      </c>
      <c r="G1739">
        <v>9</v>
      </c>
      <c r="H1739" t="str">
        <f t="shared" si="254"/>
        <v>91</v>
      </c>
      <c r="I1739" t="str">
        <f t="shared" si="262"/>
        <v>0</v>
      </c>
      <c r="J1739" t="str">
        <f t="shared" si="261"/>
        <v>39</v>
      </c>
      <c r="K1739">
        <v>20190208</v>
      </c>
      <c r="L1739" t="str">
        <f>"075668"</f>
        <v>075668</v>
      </c>
      <c r="M1739" t="str">
        <f>"00706"</f>
        <v>00706</v>
      </c>
      <c r="N1739" t="s">
        <v>1006</v>
      </c>
      <c r="O1739">
        <v>82.5</v>
      </c>
      <c r="P1739">
        <v>20190207</v>
      </c>
      <c r="Q1739" t="s">
        <v>695</v>
      </c>
      <c r="R1739" t="s">
        <v>955</v>
      </c>
      <c r="S1739" t="s">
        <v>295</v>
      </c>
      <c r="T1739" t="s">
        <v>301</v>
      </c>
    </row>
    <row r="1740" spans="1:20" x14ac:dyDescent="0.25">
      <c r="A1740">
        <v>9</v>
      </c>
      <c r="B1740">
        <v>181</v>
      </c>
      <c r="C1740" t="str">
        <f t="shared" si="253"/>
        <v>36</v>
      </c>
      <c r="D1740">
        <v>6219</v>
      </c>
      <c r="E1740" t="str">
        <f>"3D"</f>
        <v>3D</v>
      </c>
      <c r="F1740" t="str">
        <f t="shared" si="260"/>
        <v>001</v>
      </c>
      <c r="G1740">
        <v>9</v>
      </c>
      <c r="H1740" t="str">
        <f t="shared" si="254"/>
        <v>91</v>
      </c>
      <c r="I1740" t="str">
        <f t="shared" si="262"/>
        <v>0</v>
      </c>
      <c r="J1740" t="str">
        <f t="shared" si="261"/>
        <v>39</v>
      </c>
      <c r="K1740">
        <v>20190208</v>
      </c>
      <c r="L1740" t="str">
        <f>"075668"</f>
        <v>075668</v>
      </c>
      <c r="M1740" t="str">
        <f>"00706"</f>
        <v>00706</v>
      </c>
      <c r="N1740" t="s">
        <v>1006</v>
      </c>
      <c r="O1740">
        <v>82.5</v>
      </c>
      <c r="P1740">
        <v>20190207</v>
      </c>
      <c r="Q1740" t="s">
        <v>700</v>
      </c>
      <c r="R1740" t="s">
        <v>956</v>
      </c>
      <c r="S1740" t="s">
        <v>295</v>
      </c>
      <c r="T1740" t="s">
        <v>301</v>
      </c>
    </row>
    <row r="1741" spans="1:20" x14ac:dyDescent="0.25">
      <c r="A1741">
        <v>9</v>
      </c>
      <c r="B1741">
        <v>181</v>
      </c>
      <c r="C1741" t="str">
        <f t="shared" si="253"/>
        <v>36</v>
      </c>
      <c r="D1741">
        <v>6219</v>
      </c>
      <c r="E1741" t="str">
        <f>"3K"</f>
        <v>3K</v>
      </c>
      <c r="F1741" t="str">
        <f t="shared" si="260"/>
        <v>001</v>
      </c>
      <c r="G1741">
        <v>9</v>
      </c>
      <c r="H1741" t="str">
        <f t="shared" si="254"/>
        <v>91</v>
      </c>
      <c r="I1741" t="str">
        <f t="shared" si="262"/>
        <v>0</v>
      </c>
      <c r="J1741" t="str">
        <f t="shared" si="261"/>
        <v>39</v>
      </c>
      <c r="K1741">
        <v>20190208</v>
      </c>
      <c r="L1741" t="str">
        <f>"075669"</f>
        <v>075669</v>
      </c>
      <c r="M1741" t="str">
        <f>"82418"</f>
        <v>82418</v>
      </c>
      <c r="N1741" t="s">
        <v>1007</v>
      </c>
      <c r="O1741">
        <v>75</v>
      </c>
      <c r="P1741">
        <v>20190207</v>
      </c>
      <c r="Q1741" t="s">
        <v>951</v>
      </c>
      <c r="R1741" t="s">
        <v>952</v>
      </c>
      <c r="S1741" t="s">
        <v>295</v>
      </c>
      <c r="T1741" t="s">
        <v>301</v>
      </c>
    </row>
    <row r="1742" spans="1:20" x14ac:dyDescent="0.25">
      <c r="A1742">
        <v>9</v>
      </c>
      <c r="B1742">
        <v>181</v>
      </c>
      <c r="C1742" t="str">
        <f t="shared" si="253"/>
        <v>36</v>
      </c>
      <c r="D1742">
        <v>6219</v>
      </c>
      <c r="E1742" t="str">
        <f>"3N"</f>
        <v>3N</v>
      </c>
      <c r="F1742" t="str">
        <f t="shared" si="260"/>
        <v>001</v>
      </c>
      <c r="G1742">
        <v>9</v>
      </c>
      <c r="H1742" t="str">
        <f t="shared" si="254"/>
        <v>91</v>
      </c>
      <c r="I1742" t="str">
        <f t="shared" si="262"/>
        <v>0</v>
      </c>
      <c r="J1742" t="str">
        <f t="shared" si="261"/>
        <v>39</v>
      </c>
      <c r="K1742">
        <v>20190208</v>
      </c>
      <c r="L1742" t="str">
        <f>"075669"</f>
        <v>075669</v>
      </c>
      <c r="M1742" t="str">
        <f>"82418"</f>
        <v>82418</v>
      </c>
      <c r="N1742" t="s">
        <v>1007</v>
      </c>
      <c r="O1742">
        <v>75</v>
      </c>
      <c r="P1742">
        <v>20190207</v>
      </c>
      <c r="Q1742" t="s">
        <v>942</v>
      </c>
      <c r="R1742" t="s">
        <v>954</v>
      </c>
      <c r="S1742" t="s">
        <v>295</v>
      </c>
      <c r="T1742" t="s">
        <v>301</v>
      </c>
    </row>
    <row r="1743" spans="1:20" x14ac:dyDescent="0.25">
      <c r="A1743">
        <v>9</v>
      </c>
      <c r="B1743">
        <v>181</v>
      </c>
      <c r="C1743" t="str">
        <f t="shared" si="253"/>
        <v>36</v>
      </c>
      <c r="D1743">
        <v>6219</v>
      </c>
      <c r="E1743" t="str">
        <f>"3K"</f>
        <v>3K</v>
      </c>
      <c r="F1743" t="str">
        <f t="shared" si="260"/>
        <v>001</v>
      </c>
      <c r="G1743">
        <v>9</v>
      </c>
      <c r="H1743" t="str">
        <f t="shared" si="254"/>
        <v>91</v>
      </c>
      <c r="I1743" t="str">
        <f t="shared" si="262"/>
        <v>0</v>
      </c>
      <c r="J1743" t="str">
        <f t="shared" si="261"/>
        <v>39</v>
      </c>
      <c r="K1743">
        <v>20190208</v>
      </c>
      <c r="L1743" t="str">
        <f>"075670"</f>
        <v>075670</v>
      </c>
      <c r="M1743" t="str">
        <f>"00709"</f>
        <v>00709</v>
      </c>
      <c r="N1743" t="s">
        <v>1008</v>
      </c>
      <c r="O1743">
        <v>55</v>
      </c>
      <c r="P1743">
        <v>20190207</v>
      </c>
      <c r="Q1743" t="s">
        <v>951</v>
      </c>
      <c r="R1743" t="s">
        <v>981</v>
      </c>
      <c r="S1743" t="s">
        <v>295</v>
      </c>
      <c r="T1743" t="s">
        <v>301</v>
      </c>
    </row>
    <row r="1744" spans="1:20" x14ac:dyDescent="0.25">
      <c r="A1744">
        <v>9</v>
      </c>
      <c r="B1744">
        <v>181</v>
      </c>
      <c r="C1744" t="str">
        <f t="shared" si="253"/>
        <v>36</v>
      </c>
      <c r="D1744">
        <v>6219</v>
      </c>
      <c r="E1744" t="str">
        <f>"3B"</f>
        <v>3B</v>
      </c>
      <c r="F1744" t="str">
        <f t="shared" si="260"/>
        <v>001</v>
      </c>
      <c r="G1744">
        <v>9</v>
      </c>
      <c r="H1744" t="str">
        <f t="shared" si="254"/>
        <v>91</v>
      </c>
      <c r="I1744" t="str">
        <f t="shared" si="262"/>
        <v>0</v>
      </c>
      <c r="J1744" t="str">
        <f t="shared" si="261"/>
        <v>39</v>
      </c>
      <c r="K1744">
        <v>20190208</v>
      </c>
      <c r="L1744" t="str">
        <f>"075671"</f>
        <v>075671</v>
      </c>
      <c r="M1744" t="str">
        <f>"82482"</f>
        <v>82482</v>
      </c>
      <c r="N1744" t="s">
        <v>1009</v>
      </c>
      <c r="O1744">
        <v>77.5</v>
      </c>
      <c r="P1744">
        <v>20190208</v>
      </c>
      <c r="Q1744" t="s">
        <v>695</v>
      </c>
      <c r="R1744" t="s">
        <v>972</v>
      </c>
      <c r="S1744" t="s">
        <v>295</v>
      </c>
      <c r="T1744" t="s">
        <v>301</v>
      </c>
    </row>
    <row r="1745" spans="1:20" x14ac:dyDescent="0.25">
      <c r="A1745">
        <v>9</v>
      </c>
      <c r="B1745">
        <v>181</v>
      </c>
      <c r="C1745" t="str">
        <f t="shared" si="253"/>
        <v>36</v>
      </c>
      <c r="D1745">
        <v>6219</v>
      </c>
      <c r="E1745" t="str">
        <f>"3D"</f>
        <v>3D</v>
      </c>
      <c r="F1745" t="str">
        <f t="shared" si="260"/>
        <v>001</v>
      </c>
      <c r="G1745">
        <v>9</v>
      </c>
      <c r="H1745" t="str">
        <f t="shared" si="254"/>
        <v>91</v>
      </c>
      <c r="I1745" t="str">
        <f t="shared" si="262"/>
        <v>0</v>
      </c>
      <c r="J1745" t="str">
        <f t="shared" si="261"/>
        <v>39</v>
      </c>
      <c r="K1745">
        <v>20190208</v>
      </c>
      <c r="L1745" t="str">
        <f>"075671"</f>
        <v>075671</v>
      </c>
      <c r="M1745" t="str">
        <f>"82482"</f>
        <v>82482</v>
      </c>
      <c r="N1745" t="s">
        <v>1009</v>
      </c>
      <c r="O1745">
        <v>77.5</v>
      </c>
      <c r="P1745">
        <v>20190208</v>
      </c>
      <c r="Q1745" t="s">
        <v>700</v>
      </c>
      <c r="R1745" t="s">
        <v>973</v>
      </c>
      <c r="S1745" t="s">
        <v>295</v>
      </c>
      <c r="T1745" t="s">
        <v>301</v>
      </c>
    </row>
    <row r="1746" spans="1:20" x14ac:dyDescent="0.25">
      <c r="A1746">
        <v>9</v>
      </c>
      <c r="B1746">
        <v>181</v>
      </c>
      <c r="C1746" t="str">
        <f t="shared" si="253"/>
        <v>36</v>
      </c>
      <c r="D1746">
        <v>6219</v>
      </c>
      <c r="E1746" t="str">
        <f>"3D"</f>
        <v>3D</v>
      </c>
      <c r="F1746" t="str">
        <f t="shared" si="260"/>
        <v>001</v>
      </c>
      <c r="G1746">
        <v>9</v>
      </c>
      <c r="H1746" t="str">
        <f t="shared" si="254"/>
        <v>91</v>
      </c>
      <c r="I1746" t="str">
        <f t="shared" si="262"/>
        <v>0</v>
      </c>
      <c r="J1746" t="str">
        <f t="shared" si="261"/>
        <v>39</v>
      </c>
      <c r="K1746">
        <v>20190208</v>
      </c>
      <c r="L1746" t="str">
        <f>"075674"</f>
        <v>075674</v>
      </c>
      <c r="M1746" t="str">
        <f>"00173"</f>
        <v>00173</v>
      </c>
      <c r="N1746" t="s">
        <v>861</v>
      </c>
      <c r="O1746">
        <v>65</v>
      </c>
      <c r="P1746">
        <v>20190207</v>
      </c>
      <c r="Q1746" t="s">
        <v>700</v>
      </c>
      <c r="R1746" t="s">
        <v>940</v>
      </c>
      <c r="S1746" t="s">
        <v>295</v>
      </c>
      <c r="T1746" t="s">
        <v>301</v>
      </c>
    </row>
    <row r="1747" spans="1:20" x14ac:dyDescent="0.25">
      <c r="A1747">
        <v>9</v>
      </c>
      <c r="B1747">
        <v>181</v>
      </c>
      <c r="C1747" t="str">
        <f t="shared" si="253"/>
        <v>36</v>
      </c>
      <c r="D1747">
        <v>6219</v>
      </c>
      <c r="E1747" t="str">
        <f>"3B"</f>
        <v>3B</v>
      </c>
      <c r="F1747" t="str">
        <f t="shared" si="260"/>
        <v>001</v>
      </c>
      <c r="G1747">
        <v>9</v>
      </c>
      <c r="H1747" t="str">
        <f t="shared" si="254"/>
        <v>91</v>
      </c>
      <c r="I1747" t="str">
        <f t="shared" si="262"/>
        <v>0</v>
      </c>
      <c r="J1747" t="str">
        <f t="shared" si="261"/>
        <v>39</v>
      </c>
      <c r="K1747">
        <v>20190208</v>
      </c>
      <c r="L1747" t="str">
        <f>"075675"</f>
        <v>075675</v>
      </c>
      <c r="M1747" t="str">
        <f>"84559"</f>
        <v>84559</v>
      </c>
      <c r="N1747" t="s">
        <v>590</v>
      </c>
      <c r="O1747">
        <v>135</v>
      </c>
      <c r="P1747">
        <v>20190207</v>
      </c>
      <c r="Q1747" t="s">
        <v>695</v>
      </c>
      <c r="R1747" t="s">
        <v>955</v>
      </c>
      <c r="S1747" t="s">
        <v>295</v>
      </c>
      <c r="T1747" t="s">
        <v>301</v>
      </c>
    </row>
    <row r="1748" spans="1:20" x14ac:dyDescent="0.25">
      <c r="A1748">
        <v>9</v>
      </c>
      <c r="B1748">
        <v>181</v>
      </c>
      <c r="C1748" t="str">
        <f t="shared" si="253"/>
        <v>36</v>
      </c>
      <c r="D1748">
        <v>6219</v>
      </c>
      <c r="E1748" t="str">
        <f>"3D"</f>
        <v>3D</v>
      </c>
      <c r="F1748" t="str">
        <f t="shared" si="260"/>
        <v>001</v>
      </c>
      <c r="G1748">
        <v>9</v>
      </c>
      <c r="H1748" t="str">
        <f t="shared" si="254"/>
        <v>91</v>
      </c>
      <c r="I1748" t="str">
        <f t="shared" si="262"/>
        <v>0</v>
      </c>
      <c r="J1748" t="str">
        <f t="shared" si="261"/>
        <v>39</v>
      </c>
      <c r="K1748">
        <v>20190208</v>
      </c>
      <c r="L1748" t="str">
        <f>"075675"</f>
        <v>075675</v>
      </c>
      <c r="M1748" t="str">
        <f>"84559"</f>
        <v>84559</v>
      </c>
      <c r="N1748" t="s">
        <v>590</v>
      </c>
      <c r="O1748">
        <v>135</v>
      </c>
      <c r="P1748">
        <v>20190207</v>
      </c>
      <c r="Q1748" t="s">
        <v>700</v>
      </c>
      <c r="R1748" t="s">
        <v>981</v>
      </c>
      <c r="S1748" t="s">
        <v>295</v>
      </c>
      <c r="T1748" t="s">
        <v>301</v>
      </c>
    </row>
    <row r="1749" spans="1:20" x14ac:dyDescent="0.25">
      <c r="A1749">
        <v>9</v>
      </c>
      <c r="B1749">
        <v>181</v>
      </c>
      <c r="C1749" t="str">
        <f t="shared" si="253"/>
        <v>36</v>
      </c>
      <c r="D1749">
        <v>6219</v>
      </c>
      <c r="E1749" t="str">
        <f>"3D"</f>
        <v>3D</v>
      </c>
      <c r="F1749" t="str">
        <f t="shared" si="260"/>
        <v>001</v>
      </c>
      <c r="G1749">
        <v>9</v>
      </c>
      <c r="H1749" t="str">
        <f t="shared" si="254"/>
        <v>91</v>
      </c>
      <c r="I1749" t="str">
        <f t="shared" si="262"/>
        <v>0</v>
      </c>
      <c r="J1749" t="str">
        <f t="shared" si="261"/>
        <v>39</v>
      </c>
      <c r="K1749">
        <v>20190208</v>
      </c>
      <c r="L1749" t="str">
        <f>"075675"</f>
        <v>075675</v>
      </c>
      <c r="M1749" t="str">
        <f>"84559"</f>
        <v>84559</v>
      </c>
      <c r="N1749" t="s">
        <v>590</v>
      </c>
      <c r="O1749">
        <v>70</v>
      </c>
      <c r="P1749">
        <v>20190207</v>
      </c>
      <c r="Q1749" t="s">
        <v>700</v>
      </c>
      <c r="R1749" t="s">
        <v>956</v>
      </c>
      <c r="S1749" t="s">
        <v>295</v>
      </c>
      <c r="T1749" t="s">
        <v>301</v>
      </c>
    </row>
    <row r="1750" spans="1:20" x14ac:dyDescent="0.25">
      <c r="A1750">
        <v>9</v>
      </c>
      <c r="B1750">
        <v>181</v>
      </c>
      <c r="C1750" t="str">
        <f t="shared" si="253"/>
        <v>36</v>
      </c>
      <c r="D1750">
        <v>6219</v>
      </c>
      <c r="E1750" t="str">
        <f>"3B"</f>
        <v>3B</v>
      </c>
      <c r="F1750" t="str">
        <f t="shared" si="260"/>
        <v>001</v>
      </c>
      <c r="G1750">
        <v>9</v>
      </c>
      <c r="H1750" t="str">
        <f t="shared" si="254"/>
        <v>91</v>
      </c>
      <c r="I1750" t="str">
        <f t="shared" si="262"/>
        <v>0</v>
      </c>
      <c r="J1750" t="str">
        <f t="shared" si="261"/>
        <v>39</v>
      </c>
      <c r="K1750">
        <v>20190208</v>
      </c>
      <c r="L1750" t="str">
        <f>"075676"</f>
        <v>075676</v>
      </c>
      <c r="M1750" t="str">
        <f>"84400"</f>
        <v>84400</v>
      </c>
      <c r="N1750" t="s">
        <v>764</v>
      </c>
      <c r="O1750">
        <v>115</v>
      </c>
      <c r="P1750">
        <v>20190207</v>
      </c>
      <c r="Q1750" t="s">
        <v>695</v>
      </c>
      <c r="R1750" t="s">
        <v>966</v>
      </c>
      <c r="S1750" t="s">
        <v>295</v>
      </c>
      <c r="T1750" t="s">
        <v>301</v>
      </c>
    </row>
    <row r="1751" spans="1:20" x14ac:dyDescent="0.25">
      <c r="A1751">
        <v>9</v>
      </c>
      <c r="B1751">
        <v>181</v>
      </c>
      <c r="C1751" t="str">
        <f t="shared" si="253"/>
        <v>36</v>
      </c>
      <c r="D1751">
        <v>6219</v>
      </c>
      <c r="E1751" t="str">
        <f>"3D"</f>
        <v>3D</v>
      </c>
      <c r="F1751" t="str">
        <f t="shared" ref="F1751:F1763" si="263">"001"</f>
        <v>001</v>
      </c>
      <c r="G1751">
        <v>9</v>
      </c>
      <c r="H1751" t="str">
        <f t="shared" si="254"/>
        <v>91</v>
      </c>
      <c r="I1751" t="str">
        <f t="shared" si="262"/>
        <v>0</v>
      </c>
      <c r="J1751" t="str">
        <f t="shared" ref="J1751:J1763" si="264">"39"</f>
        <v>39</v>
      </c>
      <c r="K1751">
        <v>20190208</v>
      </c>
      <c r="L1751" t="str">
        <f>"075676"</f>
        <v>075676</v>
      </c>
      <c r="M1751" t="str">
        <f>"84400"</f>
        <v>84400</v>
      </c>
      <c r="N1751" t="s">
        <v>764</v>
      </c>
      <c r="O1751">
        <v>50</v>
      </c>
      <c r="P1751">
        <v>20190207</v>
      </c>
      <c r="Q1751" t="s">
        <v>700</v>
      </c>
      <c r="R1751" t="s">
        <v>967</v>
      </c>
      <c r="S1751" t="s">
        <v>295</v>
      </c>
      <c r="T1751" t="s">
        <v>301</v>
      </c>
    </row>
    <row r="1752" spans="1:20" x14ac:dyDescent="0.25">
      <c r="A1752">
        <v>9</v>
      </c>
      <c r="B1752">
        <v>181</v>
      </c>
      <c r="C1752" t="str">
        <f t="shared" si="253"/>
        <v>36</v>
      </c>
      <c r="D1752">
        <v>6219</v>
      </c>
      <c r="E1752" t="str">
        <f>"3B"</f>
        <v>3B</v>
      </c>
      <c r="F1752" t="str">
        <f t="shared" si="263"/>
        <v>001</v>
      </c>
      <c r="G1752">
        <v>9</v>
      </c>
      <c r="H1752" t="str">
        <f t="shared" si="254"/>
        <v>91</v>
      </c>
      <c r="I1752" t="str">
        <f t="shared" si="262"/>
        <v>0</v>
      </c>
      <c r="J1752" t="str">
        <f t="shared" si="264"/>
        <v>39</v>
      </c>
      <c r="K1752">
        <v>20190215</v>
      </c>
      <c r="L1752" t="str">
        <f>"075685"</f>
        <v>075685</v>
      </c>
      <c r="M1752" t="str">
        <f>"00403"</f>
        <v>00403</v>
      </c>
      <c r="N1752" t="s">
        <v>504</v>
      </c>
      <c r="O1752">
        <v>115</v>
      </c>
      <c r="P1752">
        <v>20190214</v>
      </c>
      <c r="Q1752" t="s">
        <v>695</v>
      </c>
      <c r="R1752" t="s">
        <v>970</v>
      </c>
      <c r="S1752" t="s">
        <v>295</v>
      </c>
      <c r="T1752" t="s">
        <v>301</v>
      </c>
    </row>
    <row r="1753" spans="1:20" x14ac:dyDescent="0.25">
      <c r="A1753">
        <v>9</v>
      </c>
      <c r="B1753">
        <v>181</v>
      </c>
      <c r="C1753" t="str">
        <f t="shared" si="253"/>
        <v>36</v>
      </c>
      <c r="D1753">
        <v>6219</v>
      </c>
      <c r="E1753" t="str">
        <f>"3B"</f>
        <v>3B</v>
      </c>
      <c r="F1753" t="str">
        <f t="shared" si="263"/>
        <v>001</v>
      </c>
      <c r="G1753">
        <v>9</v>
      </c>
      <c r="H1753" t="str">
        <f t="shared" si="254"/>
        <v>91</v>
      </c>
      <c r="I1753" t="str">
        <f t="shared" si="262"/>
        <v>0</v>
      </c>
      <c r="J1753" t="str">
        <f t="shared" si="264"/>
        <v>39</v>
      </c>
      <c r="K1753">
        <v>20190215</v>
      </c>
      <c r="L1753" t="str">
        <f>"075685"</f>
        <v>075685</v>
      </c>
      <c r="M1753" t="str">
        <f>"00403"</f>
        <v>00403</v>
      </c>
      <c r="N1753" t="s">
        <v>504</v>
      </c>
      <c r="O1753">
        <v>50</v>
      </c>
      <c r="P1753">
        <v>20190214</v>
      </c>
      <c r="Q1753" t="s">
        <v>695</v>
      </c>
      <c r="R1753" t="s">
        <v>955</v>
      </c>
      <c r="S1753" t="s">
        <v>295</v>
      </c>
      <c r="T1753" t="s">
        <v>301</v>
      </c>
    </row>
    <row r="1754" spans="1:20" x14ac:dyDescent="0.25">
      <c r="A1754">
        <v>9</v>
      </c>
      <c r="B1754">
        <v>181</v>
      </c>
      <c r="C1754" t="str">
        <f t="shared" si="253"/>
        <v>36</v>
      </c>
      <c r="D1754">
        <v>6219</v>
      </c>
      <c r="E1754" t="str">
        <f>"3D"</f>
        <v>3D</v>
      </c>
      <c r="F1754" t="str">
        <f t="shared" si="263"/>
        <v>001</v>
      </c>
      <c r="G1754">
        <v>9</v>
      </c>
      <c r="H1754" t="str">
        <f t="shared" si="254"/>
        <v>91</v>
      </c>
      <c r="I1754" t="str">
        <f t="shared" si="262"/>
        <v>0</v>
      </c>
      <c r="J1754" t="str">
        <f t="shared" si="264"/>
        <v>39</v>
      </c>
      <c r="K1754">
        <v>20190215</v>
      </c>
      <c r="L1754" t="str">
        <f>"075685"</f>
        <v>075685</v>
      </c>
      <c r="M1754" t="str">
        <f>"00403"</f>
        <v>00403</v>
      </c>
      <c r="N1754" t="s">
        <v>504</v>
      </c>
      <c r="O1754">
        <v>115</v>
      </c>
      <c r="P1754">
        <v>20190214</v>
      </c>
      <c r="Q1754" t="s">
        <v>700</v>
      </c>
      <c r="R1754" t="s">
        <v>956</v>
      </c>
      <c r="S1754" t="s">
        <v>295</v>
      </c>
      <c r="T1754" t="s">
        <v>301</v>
      </c>
    </row>
    <row r="1755" spans="1:20" x14ac:dyDescent="0.25">
      <c r="A1755">
        <v>9</v>
      </c>
      <c r="B1755">
        <v>181</v>
      </c>
      <c r="C1755" t="str">
        <f t="shared" si="253"/>
        <v>36</v>
      </c>
      <c r="D1755">
        <v>6412</v>
      </c>
      <c r="E1755" t="str">
        <f>"3J"</f>
        <v>3J</v>
      </c>
      <c r="F1755" t="str">
        <f t="shared" si="263"/>
        <v>001</v>
      </c>
      <c r="G1755">
        <v>9</v>
      </c>
      <c r="H1755" t="str">
        <f t="shared" si="254"/>
        <v>91</v>
      </c>
      <c r="I1755" t="str">
        <f>"2"</f>
        <v>2</v>
      </c>
      <c r="J1755" t="str">
        <f t="shared" si="264"/>
        <v>39</v>
      </c>
      <c r="K1755">
        <v>20190215</v>
      </c>
      <c r="L1755" t="str">
        <f>"075688"</f>
        <v>075688</v>
      </c>
      <c r="M1755" t="str">
        <f>"09210"</f>
        <v>09210</v>
      </c>
      <c r="N1755" t="s">
        <v>1010</v>
      </c>
      <c r="O1755">
        <v>325</v>
      </c>
      <c r="P1755">
        <v>20190213</v>
      </c>
      <c r="Q1755" t="s">
        <v>1011</v>
      </c>
      <c r="R1755" t="s">
        <v>1012</v>
      </c>
      <c r="S1755" t="s">
        <v>295</v>
      </c>
      <c r="T1755" t="s">
        <v>301</v>
      </c>
    </row>
    <row r="1756" spans="1:20" x14ac:dyDescent="0.25">
      <c r="A1756">
        <v>9</v>
      </c>
      <c r="B1756">
        <v>181</v>
      </c>
      <c r="C1756" t="str">
        <f t="shared" si="253"/>
        <v>36</v>
      </c>
      <c r="D1756">
        <v>6412</v>
      </c>
      <c r="E1756" t="str">
        <f>"3W"</f>
        <v>3W</v>
      </c>
      <c r="F1756" t="str">
        <f t="shared" si="263"/>
        <v>001</v>
      </c>
      <c r="G1756">
        <v>9</v>
      </c>
      <c r="H1756" t="str">
        <f t="shared" si="254"/>
        <v>91</v>
      </c>
      <c r="I1756" t="str">
        <f>"2"</f>
        <v>2</v>
      </c>
      <c r="J1756" t="str">
        <f t="shared" si="264"/>
        <v>39</v>
      </c>
      <c r="K1756">
        <v>20190215</v>
      </c>
      <c r="L1756" t="str">
        <f>"075688"</f>
        <v>075688</v>
      </c>
      <c r="M1756" t="str">
        <f>"09210"</f>
        <v>09210</v>
      </c>
      <c r="N1756" t="s">
        <v>1010</v>
      </c>
      <c r="O1756">
        <v>325</v>
      </c>
      <c r="P1756">
        <v>20190213</v>
      </c>
      <c r="Q1756" t="s">
        <v>1013</v>
      </c>
      <c r="R1756" t="s">
        <v>1014</v>
      </c>
      <c r="S1756" t="s">
        <v>295</v>
      </c>
      <c r="T1756" t="s">
        <v>301</v>
      </c>
    </row>
    <row r="1757" spans="1:20" x14ac:dyDescent="0.25">
      <c r="A1757">
        <v>9</v>
      </c>
      <c r="B1757">
        <v>181</v>
      </c>
      <c r="C1757" t="str">
        <f t="shared" si="253"/>
        <v>36</v>
      </c>
      <c r="D1757">
        <v>6412</v>
      </c>
      <c r="E1757" t="str">
        <f>"3M"</f>
        <v>3M</v>
      </c>
      <c r="F1757" t="str">
        <f t="shared" si="263"/>
        <v>001</v>
      </c>
      <c r="G1757">
        <v>9</v>
      </c>
      <c r="H1757" t="str">
        <f t="shared" si="254"/>
        <v>91</v>
      </c>
      <c r="I1757" t="str">
        <f>"2"</f>
        <v>2</v>
      </c>
      <c r="J1757" t="str">
        <f t="shared" si="264"/>
        <v>39</v>
      </c>
      <c r="K1757">
        <v>20190215</v>
      </c>
      <c r="L1757" t="str">
        <f>"075689"</f>
        <v>075689</v>
      </c>
      <c r="M1757" t="str">
        <f>"10235"</f>
        <v>10235</v>
      </c>
      <c r="N1757" t="s">
        <v>297</v>
      </c>
      <c r="O1757">
        <v>448</v>
      </c>
      <c r="P1757">
        <v>20190213</v>
      </c>
      <c r="Q1757" t="s">
        <v>756</v>
      </c>
      <c r="R1757" t="s">
        <v>1015</v>
      </c>
      <c r="S1757" t="s">
        <v>295</v>
      </c>
      <c r="T1757" t="s">
        <v>301</v>
      </c>
    </row>
    <row r="1758" spans="1:20" x14ac:dyDescent="0.25">
      <c r="A1758">
        <v>9</v>
      </c>
      <c r="B1758">
        <v>181</v>
      </c>
      <c r="C1758" t="str">
        <f t="shared" si="253"/>
        <v>36</v>
      </c>
      <c r="D1758">
        <v>6412</v>
      </c>
      <c r="E1758" t="str">
        <f>"3J"</f>
        <v>3J</v>
      </c>
      <c r="F1758" t="str">
        <f t="shared" si="263"/>
        <v>001</v>
      </c>
      <c r="G1758">
        <v>9</v>
      </c>
      <c r="H1758" t="str">
        <f t="shared" si="254"/>
        <v>91</v>
      </c>
      <c r="I1758" t="str">
        <f>"2"</f>
        <v>2</v>
      </c>
      <c r="J1758" t="str">
        <f t="shared" si="264"/>
        <v>39</v>
      </c>
      <c r="K1758">
        <v>20190215</v>
      </c>
      <c r="L1758" t="str">
        <f>"075692"</f>
        <v>075692</v>
      </c>
      <c r="M1758" t="str">
        <f>"18251"</f>
        <v>18251</v>
      </c>
      <c r="N1758" t="s">
        <v>302</v>
      </c>
      <c r="O1758">
        <v>250</v>
      </c>
      <c r="P1758">
        <v>20190213</v>
      </c>
      <c r="Q1758" t="s">
        <v>1011</v>
      </c>
      <c r="R1758" t="s">
        <v>1016</v>
      </c>
      <c r="S1758" t="s">
        <v>295</v>
      </c>
      <c r="T1758" t="s">
        <v>301</v>
      </c>
    </row>
    <row r="1759" spans="1:20" x14ac:dyDescent="0.25">
      <c r="A1759">
        <v>9</v>
      </c>
      <c r="B1759">
        <v>181</v>
      </c>
      <c r="C1759" t="str">
        <f t="shared" si="253"/>
        <v>36</v>
      </c>
      <c r="D1759">
        <v>6412</v>
      </c>
      <c r="E1759" t="str">
        <f>"3W"</f>
        <v>3W</v>
      </c>
      <c r="F1759" t="str">
        <f t="shared" si="263"/>
        <v>001</v>
      </c>
      <c r="G1759">
        <v>9</v>
      </c>
      <c r="H1759" t="str">
        <f t="shared" si="254"/>
        <v>91</v>
      </c>
      <c r="I1759" t="str">
        <f>"2"</f>
        <v>2</v>
      </c>
      <c r="J1759" t="str">
        <f t="shared" si="264"/>
        <v>39</v>
      </c>
      <c r="K1759">
        <v>20190215</v>
      </c>
      <c r="L1759" t="str">
        <f>"075692"</f>
        <v>075692</v>
      </c>
      <c r="M1759" t="str">
        <f>"18251"</f>
        <v>18251</v>
      </c>
      <c r="N1759" t="s">
        <v>302</v>
      </c>
      <c r="O1759">
        <v>250</v>
      </c>
      <c r="P1759">
        <v>20190213</v>
      </c>
      <c r="Q1759" t="s">
        <v>1013</v>
      </c>
      <c r="R1759" t="s">
        <v>1017</v>
      </c>
      <c r="S1759" t="s">
        <v>295</v>
      </c>
      <c r="T1759" t="s">
        <v>301</v>
      </c>
    </row>
    <row r="1760" spans="1:20" x14ac:dyDescent="0.25">
      <c r="A1760">
        <v>9</v>
      </c>
      <c r="B1760">
        <v>181</v>
      </c>
      <c r="C1760" t="str">
        <f t="shared" ref="C1760:C1823" si="265">"36"</f>
        <v>36</v>
      </c>
      <c r="D1760">
        <v>6412</v>
      </c>
      <c r="E1760" t="str">
        <f>"3N"</f>
        <v>3N</v>
      </c>
      <c r="F1760" t="str">
        <f t="shared" si="263"/>
        <v>001</v>
      </c>
      <c r="G1760">
        <v>9</v>
      </c>
      <c r="H1760" t="str">
        <f t="shared" ref="H1760:H1823" si="266">"91"</f>
        <v>91</v>
      </c>
      <c r="I1760" t="str">
        <f>"1"</f>
        <v>1</v>
      </c>
      <c r="J1760" t="str">
        <f t="shared" si="264"/>
        <v>39</v>
      </c>
      <c r="K1760">
        <v>20190215</v>
      </c>
      <c r="L1760" t="str">
        <f>"075697"</f>
        <v>075697</v>
      </c>
      <c r="M1760" t="str">
        <f>"51346"</f>
        <v>51346</v>
      </c>
      <c r="N1760" t="s">
        <v>418</v>
      </c>
      <c r="O1760">
        <v>99.16</v>
      </c>
      <c r="P1760">
        <v>20190213</v>
      </c>
      <c r="Q1760" t="s">
        <v>920</v>
      </c>
      <c r="R1760" t="s">
        <v>933</v>
      </c>
      <c r="S1760" t="s">
        <v>295</v>
      </c>
      <c r="T1760" t="s">
        <v>301</v>
      </c>
    </row>
    <row r="1761" spans="1:20" x14ac:dyDescent="0.25">
      <c r="A1761">
        <v>9</v>
      </c>
      <c r="B1761">
        <v>181</v>
      </c>
      <c r="C1761" t="str">
        <f t="shared" si="265"/>
        <v>36</v>
      </c>
      <c r="D1761">
        <v>6412</v>
      </c>
      <c r="E1761" t="str">
        <f>"3P"</f>
        <v>3P</v>
      </c>
      <c r="F1761" t="str">
        <f t="shared" si="263"/>
        <v>001</v>
      </c>
      <c r="G1761">
        <v>9</v>
      </c>
      <c r="H1761" t="str">
        <f t="shared" si="266"/>
        <v>91</v>
      </c>
      <c r="I1761" t="str">
        <f>"2"</f>
        <v>2</v>
      </c>
      <c r="J1761" t="str">
        <f t="shared" si="264"/>
        <v>39</v>
      </c>
      <c r="K1761">
        <v>20190215</v>
      </c>
      <c r="L1761" t="str">
        <f>"075705"</f>
        <v>075705</v>
      </c>
      <c r="M1761" t="str">
        <f>"22132"</f>
        <v>22132</v>
      </c>
      <c r="N1761" t="s">
        <v>775</v>
      </c>
      <c r="O1761">
        <v>100</v>
      </c>
      <c r="P1761">
        <v>20190213</v>
      </c>
      <c r="Q1761" t="s">
        <v>1018</v>
      </c>
      <c r="R1761" t="s">
        <v>1019</v>
      </c>
      <c r="S1761" t="s">
        <v>295</v>
      </c>
      <c r="T1761" t="s">
        <v>301</v>
      </c>
    </row>
    <row r="1762" spans="1:20" x14ac:dyDescent="0.25">
      <c r="A1762">
        <v>9</v>
      </c>
      <c r="B1762">
        <v>181</v>
      </c>
      <c r="C1762" t="str">
        <f t="shared" si="265"/>
        <v>36</v>
      </c>
      <c r="D1762">
        <v>6412</v>
      </c>
      <c r="E1762" t="str">
        <f>"3P"</f>
        <v>3P</v>
      </c>
      <c r="F1762" t="str">
        <f t="shared" si="263"/>
        <v>001</v>
      </c>
      <c r="G1762">
        <v>9</v>
      </c>
      <c r="H1762" t="str">
        <f t="shared" si="266"/>
        <v>91</v>
      </c>
      <c r="I1762" t="str">
        <f>"2"</f>
        <v>2</v>
      </c>
      <c r="J1762" t="str">
        <f t="shared" si="264"/>
        <v>39</v>
      </c>
      <c r="K1762">
        <v>20190215</v>
      </c>
      <c r="L1762" t="str">
        <f>"075705"</f>
        <v>075705</v>
      </c>
      <c r="M1762" t="str">
        <f>"22132"</f>
        <v>22132</v>
      </c>
      <c r="N1762" t="s">
        <v>775</v>
      </c>
      <c r="O1762">
        <v>200</v>
      </c>
      <c r="P1762">
        <v>20190213</v>
      </c>
      <c r="Q1762" t="s">
        <v>1018</v>
      </c>
      <c r="R1762" t="s">
        <v>1020</v>
      </c>
      <c r="S1762" t="s">
        <v>295</v>
      </c>
      <c r="T1762" t="s">
        <v>301</v>
      </c>
    </row>
    <row r="1763" spans="1:20" x14ac:dyDescent="0.25">
      <c r="A1763">
        <v>9</v>
      </c>
      <c r="B1763">
        <v>181</v>
      </c>
      <c r="C1763" t="str">
        <f t="shared" si="265"/>
        <v>36</v>
      </c>
      <c r="D1763">
        <v>6412</v>
      </c>
      <c r="E1763" t="str">
        <f>"3B"</f>
        <v>3B</v>
      </c>
      <c r="F1763" t="str">
        <f t="shared" si="263"/>
        <v>001</v>
      </c>
      <c r="G1763">
        <v>9</v>
      </c>
      <c r="H1763" t="str">
        <f t="shared" si="266"/>
        <v>91</v>
      </c>
      <c r="I1763" t="str">
        <f>"1"</f>
        <v>1</v>
      </c>
      <c r="J1763" t="str">
        <f t="shared" si="264"/>
        <v>39</v>
      </c>
      <c r="K1763">
        <v>20190215</v>
      </c>
      <c r="L1763" t="str">
        <f>"075708"</f>
        <v>075708</v>
      </c>
      <c r="M1763" t="str">
        <f>"24335"</f>
        <v>24335</v>
      </c>
      <c r="N1763" t="s">
        <v>516</v>
      </c>
      <c r="O1763">
        <v>275.64999999999998</v>
      </c>
      <c r="P1763">
        <v>20190213</v>
      </c>
      <c r="Q1763" t="s">
        <v>668</v>
      </c>
      <c r="R1763" t="s">
        <v>1021</v>
      </c>
      <c r="S1763" t="s">
        <v>295</v>
      </c>
      <c r="T1763" t="s">
        <v>301</v>
      </c>
    </row>
    <row r="1764" spans="1:20" x14ac:dyDescent="0.25">
      <c r="A1764">
        <v>9</v>
      </c>
      <c r="B1764">
        <v>181</v>
      </c>
      <c r="C1764" t="str">
        <f t="shared" si="265"/>
        <v>36</v>
      </c>
      <c r="D1764">
        <v>6412</v>
      </c>
      <c r="E1764" t="str">
        <f>"3D"</f>
        <v>3D</v>
      </c>
      <c r="F1764" t="str">
        <f>"041"</f>
        <v>041</v>
      </c>
      <c r="G1764">
        <v>9</v>
      </c>
      <c r="H1764" t="str">
        <f t="shared" si="266"/>
        <v>91</v>
      </c>
      <c r="I1764" t="str">
        <f>"1"</f>
        <v>1</v>
      </c>
      <c r="J1764" t="str">
        <f>"41"</f>
        <v>41</v>
      </c>
      <c r="K1764">
        <v>20190215</v>
      </c>
      <c r="L1764" t="str">
        <f>"075708"</f>
        <v>075708</v>
      </c>
      <c r="M1764" t="str">
        <f>"24335"</f>
        <v>24335</v>
      </c>
      <c r="N1764" t="s">
        <v>516</v>
      </c>
      <c r="O1764">
        <v>301.60000000000002</v>
      </c>
      <c r="P1764">
        <v>20190213</v>
      </c>
      <c r="Q1764" t="s">
        <v>808</v>
      </c>
      <c r="R1764" t="s">
        <v>1022</v>
      </c>
      <c r="S1764" t="s">
        <v>295</v>
      </c>
      <c r="T1764" t="s">
        <v>106</v>
      </c>
    </row>
    <row r="1765" spans="1:20" x14ac:dyDescent="0.25">
      <c r="A1765">
        <v>9</v>
      </c>
      <c r="B1765">
        <v>181</v>
      </c>
      <c r="C1765" t="str">
        <f t="shared" si="265"/>
        <v>36</v>
      </c>
      <c r="D1765">
        <v>6411</v>
      </c>
      <c r="E1765" t="str">
        <f>"33"</f>
        <v>33</v>
      </c>
      <c r="F1765" t="str">
        <f t="shared" ref="F1765:F1779" si="267">"001"</f>
        <v>001</v>
      </c>
      <c r="G1765">
        <v>9</v>
      </c>
      <c r="H1765" t="str">
        <f t="shared" si="266"/>
        <v>91</v>
      </c>
      <c r="I1765" t="str">
        <f>"0"</f>
        <v>0</v>
      </c>
      <c r="J1765" t="str">
        <f t="shared" ref="J1765:J1779" si="268">"39"</f>
        <v>39</v>
      </c>
      <c r="K1765">
        <v>20190215</v>
      </c>
      <c r="L1765" t="str">
        <f>"075714"</f>
        <v>075714</v>
      </c>
      <c r="M1765" t="str">
        <f>"28680"</f>
        <v>28680</v>
      </c>
      <c r="N1765" t="s">
        <v>482</v>
      </c>
      <c r="O1765">
        <v>310.16000000000003</v>
      </c>
      <c r="P1765">
        <v>20190213</v>
      </c>
      <c r="Q1765" t="s">
        <v>306</v>
      </c>
      <c r="R1765" t="s">
        <v>877</v>
      </c>
      <c r="S1765" t="s">
        <v>295</v>
      </c>
      <c r="T1765" t="s">
        <v>301</v>
      </c>
    </row>
    <row r="1766" spans="1:20" x14ac:dyDescent="0.25">
      <c r="A1766">
        <v>9</v>
      </c>
      <c r="B1766">
        <v>181</v>
      </c>
      <c r="C1766" t="str">
        <f t="shared" si="265"/>
        <v>36</v>
      </c>
      <c r="D1766">
        <v>6412</v>
      </c>
      <c r="E1766" t="str">
        <f>"3G"</f>
        <v>3G</v>
      </c>
      <c r="F1766" t="str">
        <f t="shared" si="267"/>
        <v>001</v>
      </c>
      <c r="G1766">
        <v>9</v>
      </c>
      <c r="H1766" t="str">
        <f t="shared" si="266"/>
        <v>91</v>
      </c>
      <c r="I1766" t="str">
        <f>"3"</f>
        <v>3</v>
      </c>
      <c r="J1766" t="str">
        <f t="shared" si="268"/>
        <v>39</v>
      </c>
      <c r="K1766">
        <v>20190215</v>
      </c>
      <c r="L1766" t="str">
        <f>"075714"</f>
        <v>075714</v>
      </c>
      <c r="M1766" t="str">
        <f>"28680"</f>
        <v>28680</v>
      </c>
      <c r="N1766" t="s">
        <v>482</v>
      </c>
      <c r="O1766">
        <v>89</v>
      </c>
      <c r="P1766">
        <v>20190213</v>
      </c>
      <c r="Q1766" t="s">
        <v>483</v>
      </c>
      <c r="R1766" t="s">
        <v>872</v>
      </c>
      <c r="S1766" t="s">
        <v>295</v>
      </c>
      <c r="T1766" t="s">
        <v>301</v>
      </c>
    </row>
    <row r="1767" spans="1:20" x14ac:dyDescent="0.25">
      <c r="A1767">
        <v>9</v>
      </c>
      <c r="B1767">
        <v>181</v>
      </c>
      <c r="C1767" t="str">
        <f t="shared" si="265"/>
        <v>36</v>
      </c>
      <c r="D1767">
        <v>6219</v>
      </c>
      <c r="E1767" t="str">
        <f>"3B"</f>
        <v>3B</v>
      </c>
      <c r="F1767" t="str">
        <f t="shared" si="267"/>
        <v>001</v>
      </c>
      <c r="G1767">
        <v>9</v>
      </c>
      <c r="H1767" t="str">
        <f t="shared" si="266"/>
        <v>91</v>
      </c>
      <c r="I1767" t="str">
        <f>"0"</f>
        <v>0</v>
      </c>
      <c r="J1767" t="str">
        <f t="shared" si="268"/>
        <v>39</v>
      </c>
      <c r="K1767">
        <v>20190215</v>
      </c>
      <c r="L1767" t="str">
        <f>"075717"</f>
        <v>075717</v>
      </c>
      <c r="M1767" t="str">
        <f>"31310"</f>
        <v>31310</v>
      </c>
      <c r="N1767" t="s">
        <v>624</v>
      </c>
      <c r="O1767">
        <v>70</v>
      </c>
      <c r="P1767">
        <v>20190214</v>
      </c>
      <c r="Q1767" t="s">
        <v>695</v>
      </c>
      <c r="R1767" t="s">
        <v>972</v>
      </c>
      <c r="S1767" t="s">
        <v>295</v>
      </c>
      <c r="T1767" t="s">
        <v>301</v>
      </c>
    </row>
    <row r="1768" spans="1:20" x14ac:dyDescent="0.25">
      <c r="A1768">
        <v>9</v>
      </c>
      <c r="B1768">
        <v>181</v>
      </c>
      <c r="C1768" t="str">
        <f t="shared" si="265"/>
        <v>36</v>
      </c>
      <c r="D1768">
        <v>6219</v>
      </c>
      <c r="E1768" t="str">
        <f>"3D"</f>
        <v>3D</v>
      </c>
      <c r="F1768" t="str">
        <f t="shared" si="267"/>
        <v>001</v>
      </c>
      <c r="G1768">
        <v>9</v>
      </c>
      <c r="H1768" t="str">
        <f t="shared" si="266"/>
        <v>91</v>
      </c>
      <c r="I1768" t="str">
        <f>"0"</f>
        <v>0</v>
      </c>
      <c r="J1768" t="str">
        <f t="shared" si="268"/>
        <v>39</v>
      </c>
      <c r="K1768">
        <v>20190215</v>
      </c>
      <c r="L1768" t="str">
        <f>"075717"</f>
        <v>075717</v>
      </c>
      <c r="M1768" t="str">
        <f>"31310"</f>
        <v>31310</v>
      </c>
      <c r="N1768" t="s">
        <v>624</v>
      </c>
      <c r="O1768">
        <v>135</v>
      </c>
      <c r="P1768">
        <v>20190214</v>
      </c>
      <c r="Q1768" t="s">
        <v>700</v>
      </c>
      <c r="R1768" t="s">
        <v>973</v>
      </c>
      <c r="S1768" t="s">
        <v>295</v>
      </c>
      <c r="T1768" t="s">
        <v>301</v>
      </c>
    </row>
    <row r="1769" spans="1:20" x14ac:dyDescent="0.25">
      <c r="A1769">
        <v>9</v>
      </c>
      <c r="B1769">
        <v>181</v>
      </c>
      <c r="C1769" t="str">
        <f t="shared" si="265"/>
        <v>36</v>
      </c>
      <c r="D1769">
        <v>6412</v>
      </c>
      <c r="E1769" t="str">
        <f>"3J"</f>
        <v>3J</v>
      </c>
      <c r="F1769" t="str">
        <f t="shared" si="267"/>
        <v>001</v>
      </c>
      <c r="G1769">
        <v>9</v>
      </c>
      <c r="H1769" t="str">
        <f t="shared" si="266"/>
        <v>91</v>
      </c>
      <c r="I1769" t="str">
        <f>"2"</f>
        <v>2</v>
      </c>
      <c r="J1769" t="str">
        <f t="shared" si="268"/>
        <v>39</v>
      </c>
      <c r="K1769">
        <v>20190215</v>
      </c>
      <c r="L1769" t="str">
        <f>"075721"</f>
        <v>075721</v>
      </c>
      <c r="M1769" t="str">
        <f>"34949"</f>
        <v>34949</v>
      </c>
      <c r="N1769" t="s">
        <v>423</v>
      </c>
      <c r="O1769">
        <v>300</v>
      </c>
      <c r="P1769">
        <v>20190213</v>
      </c>
      <c r="Q1769" t="s">
        <v>1011</v>
      </c>
      <c r="R1769" t="s">
        <v>1023</v>
      </c>
      <c r="S1769" t="s">
        <v>295</v>
      </c>
      <c r="T1769" t="s">
        <v>301</v>
      </c>
    </row>
    <row r="1770" spans="1:20" x14ac:dyDescent="0.25">
      <c r="A1770">
        <v>9</v>
      </c>
      <c r="B1770">
        <v>181</v>
      </c>
      <c r="C1770" t="str">
        <f t="shared" si="265"/>
        <v>36</v>
      </c>
      <c r="D1770">
        <v>6412</v>
      </c>
      <c r="E1770" t="str">
        <f>"3W"</f>
        <v>3W</v>
      </c>
      <c r="F1770" t="str">
        <f t="shared" si="267"/>
        <v>001</v>
      </c>
      <c r="G1770">
        <v>9</v>
      </c>
      <c r="H1770" t="str">
        <f t="shared" si="266"/>
        <v>91</v>
      </c>
      <c r="I1770" t="str">
        <f>"2"</f>
        <v>2</v>
      </c>
      <c r="J1770" t="str">
        <f t="shared" si="268"/>
        <v>39</v>
      </c>
      <c r="K1770">
        <v>20190215</v>
      </c>
      <c r="L1770" t="str">
        <f>"075721"</f>
        <v>075721</v>
      </c>
      <c r="M1770" t="str">
        <f>"34949"</f>
        <v>34949</v>
      </c>
      <c r="N1770" t="s">
        <v>423</v>
      </c>
      <c r="O1770">
        <v>300</v>
      </c>
      <c r="P1770">
        <v>20190213</v>
      </c>
      <c r="Q1770" t="s">
        <v>1013</v>
      </c>
      <c r="R1770" t="s">
        <v>1024</v>
      </c>
      <c r="S1770" t="s">
        <v>295</v>
      </c>
      <c r="T1770" t="s">
        <v>301</v>
      </c>
    </row>
    <row r="1771" spans="1:20" x14ac:dyDescent="0.25">
      <c r="A1771">
        <v>9</v>
      </c>
      <c r="B1771">
        <v>181</v>
      </c>
      <c r="C1771" t="str">
        <f t="shared" si="265"/>
        <v>36</v>
      </c>
      <c r="D1771">
        <v>6412</v>
      </c>
      <c r="E1771" t="str">
        <f>"3J"</f>
        <v>3J</v>
      </c>
      <c r="F1771" t="str">
        <f t="shared" si="267"/>
        <v>001</v>
      </c>
      <c r="G1771">
        <v>9</v>
      </c>
      <c r="H1771" t="str">
        <f t="shared" si="266"/>
        <v>91</v>
      </c>
      <c r="I1771" t="str">
        <f>"2"</f>
        <v>2</v>
      </c>
      <c r="J1771" t="str">
        <f t="shared" si="268"/>
        <v>39</v>
      </c>
      <c r="K1771">
        <v>20190215</v>
      </c>
      <c r="L1771" t="str">
        <f>"075726"</f>
        <v>075726</v>
      </c>
      <c r="M1771" t="str">
        <f>"43521"</f>
        <v>43521</v>
      </c>
      <c r="N1771" t="s">
        <v>1025</v>
      </c>
      <c r="O1771">
        <v>275</v>
      </c>
      <c r="P1771">
        <v>20190213</v>
      </c>
      <c r="Q1771" t="s">
        <v>1011</v>
      </c>
      <c r="R1771" t="s">
        <v>1026</v>
      </c>
      <c r="S1771" t="s">
        <v>295</v>
      </c>
      <c r="T1771" t="s">
        <v>301</v>
      </c>
    </row>
    <row r="1772" spans="1:20" x14ac:dyDescent="0.25">
      <c r="A1772">
        <v>9</v>
      </c>
      <c r="B1772">
        <v>181</v>
      </c>
      <c r="C1772" t="str">
        <f t="shared" si="265"/>
        <v>36</v>
      </c>
      <c r="D1772">
        <v>6412</v>
      </c>
      <c r="E1772" t="str">
        <f>"3W"</f>
        <v>3W</v>
      </c>
      <c r="F1772" t="str">
        <f t="shared" si="267"/>
        <v>001</v>
      </c>
      <c r="G1772">
        <v>9</v>
      </c>
      <c r="H1772" t="str">
        <f t="shared" si="266"/>
        <v>91</v>
      </c>
      <c r="I1772" t="str">
        <f>"2"</f>
        <v>2</v>
      </c>
      <c r="J1772" t="str">
        <f t="shared" si="268"/>
        <v>39</v>
      </c>
      <c r="K1772">
        <v>20190215</v>
      </c>
      <c r="L1772" t="str">
        <f>"075726"</f>
        <v>075726</v>
      </c>
      <c r="M1772" t="str">
        <f>"43521"</f>
        <v>43521</v>
      </c>
      <c r="N1772" t="s">
        <v>1025</v>
      </c>
      <c r="O1772">
        <v>275</v>
      </c>
      <c r="P1772">
        <v>20190213</v>
      </c>
      <c r="Q1772" t="s">
        <v>1013</v>
      </c>
      <c r="R1772" t="s">
        <v>1027</v>
      </c>
      <c r="S1772" t="s">
        <v>295</v>
      </c>
      <c r="T1772" t="s">
        <v>301</v>
      </c>
    </row>
    <row r="1773" spans="1:20" x14ac:dyDescent="0.25">
      <c r="A1773">
        <v>9</v>
      </c>
      <c r="B1773">
        <v>181</v>
      </c>
      <c r="C1773" t="str">
        <f t="shared" si="265"/>
        <v>36</v>
      </c>
      <c r="D1773">
        <v>6219</v>
      </c>
      <c r="E1773" t="str">
        <f>"3B"</f>
        <v>3B</v>
      </c>
      <c r="F1773" t="str">
        <f t="shared" si="267"/>
        <v>001</v>
      </c>
      <c r="G1773">
        <v>9</v>
      </c>
      <c r="H1773" t="str">
        <f t="shared" si="266"/>
        <v>91</v>
      </c>
      <c r="I1773" t="str">
        <f>"0"</f>
        <v>0</v>
      </c>
      <c r="J1773" t="str">
        <f t="shared" si="268"/>
        <v>39</v>
      </c>
      <c r="K1773">
        <v>20190215</v>
      </c>
      <c r="L1773" t="str">
        <f>"075727"</f>
        <v>075727</v>
      </c>
      <c r="M1773" t="str">
        <f>"45175"</f>
        <v>45175</v>
      </c>
      <c r="N1773" t="s">
        <v>789</v>
      </c>
      <c r="O1773">
        <v>15</v>
      </c>
      <c r="P1773">
        <v>20190213</v>
      </c>
      <c r="Q1773" t="s">
        <v>695</v>
      </c>
      <c r="R1773" t="s">
        <v>966</v>
      </c>
      <c r="S1773" t="s">
        <v>295</v>
      </c>
      <c r="T1773" t="s">
        <v>301</v>
      </c>
    </row>
    <row r="1774" spans="1:20" x14ac:dyDescent="0.25">
      <c r="A1774">
        <v>9</v>
      </c>
      <c r="B1774">
        <v>181</v>
      </c>
      <c r="C1774" t="str">
        <f t="shared" si="265"/>
        <v>36</v>
      </c>
      <c r="D1774">
        <v>6219</v>
      </c>
      <c r="E1774" t="str">
        <f>"3D"</f>
        <v>3D</v>
      </c>
      <c r="F1774" t="str">
        <f t="shared" si="267"/>
        <v>001</v>
      </c>
      <c r="G1774">
        <v>9</v>
      </c>
      <c r="H1774" t="str">
        <f t="shared" si="266"/>
        <v>91</v>
      </c>
      <c r="I1774" t="str">
        <f>"0"</f>
        <v>0</v>
      </c>
      <c r="J1774" t="str">
        <f t="shared" si="268"/>
        <v>39</v>
      </c>
      <c r="K1774">
        <v>20190215</v>
      </c>
      <c r="L1774" t="str">
        <f>"075727"</f>
        <v>075727</v>
      </c>
      <c r="M1774" t="str">
        <f>"45175"</f>
        <v>45175</v>
      </c>
      <c r="N1774" t="s">
        <v>789</v>
      </c>
      <c r="O1774">
        <v>30</v>
      </c>
      <c r="P1774">
        <v>20190213</v>
      </c>
      <c r="Q1774" t="s">
        <v>700</v>
      </c>
      <c r="R1774" t="s">
        <v>967</v>
      </c>
      <c r="S1774" t="s">
        <v>295</v>
      </c>
      <c r="T1774" t="s">
        <v>301</v>
      </c>
    </row>
    <row r="1775" spans="1:20" x14ac:dyDescent="0.25">
      <c r="A1775">
        <v>9</v>
      </c>
      <c r="B1775">
        <v>181</v>
      </c>
      <c r="C1775" t="str">
        <f t="shared" si="265"/>
        <v>36</v>
      </c>
      <c r="D1775">
        <v>6219</v>
      </c>
      <c r="E1775" t="str">
        <f>"3B"</f>
        <v>3B</v>
      </c>
      <c r="F1775" t="str">
        <f t="shared" si="267"/>
        <v>001</v>
      </c>
      <c r="G1775">
        <v>9</v>
      </c>
      <c r="H1775" t="str">
        <f t="shared" si="266"/>
        <v>91</v>
      </c>
      <c r="I1775" t="str">
        <f>"0"</f>
        <v>0</v>
      </c>
      <c r="J1775" t="str">
        <f t="shared" si="268"/>
        <v>39</v>
      </c>
      <c r="K1775">
        <v>20190215</v>
      </c>
      <c r="L1775" t="str">
        <f>"075728"</f>
        <v>075728</v>
      </c>
      <c r="M1775" t="str">
        <f>"46224"</f>
        <v>46224</v>
      </c>
      <c r="N1775" t="s">
        <v>731</v>
      </c>
      <c r="O1775">
        <v>115</v>
      </c>
      <c r="P1775">
        <v>20190214</v>
      </c>
      <c r="Q1775" t="s">
        <v>695</v>
      </c>
      <c r="R1775" t="s">
        <v>972</v>
      </c>
      <c r="S1775" t="s">
        <v>295</v>
      </c>
      <c r="T1775" t="s">
        <v>301</v>
      </c>
    </row>
    <row r="1776" spans="1:20" x14ac:dyDescent="0.25">
      <c r="A1776">
        <v>9</v>
      </c>
      <c r="B1776">
        <v>181</v>
      </c>
      <c r="C1776" t="str">
        <f t="shared" si="265"/>
        <v>36</v>
      </c>
      <c r="D1776">
        <v>6219</v>
      </c>
      <c r="E1776" t="str">
        <f>"3D"</f>
        <v>3D</v>
      </c>
      <c r="F1776" t="str">
        <f t="shared" si="267"/>
        <v>001</v>
      </c>
      <c r="G1776">
        <v>9</v>
      </c>
      <c r="H1776" t="str">
        <f t="shared" si="266"/>
        <v>91</v>
      </c>
      <c r="I1776" t="str">
        <f>"0"</f>
        <v>0</v>
      </c>
      <c r="J1776" t="str">
        <f t="shared" si="268"/>
        <v>39</v>
      </c>
      <c r="K1776">
        <v>20190215</v>
      </c>
      <c r="L1776" t="str">
        <f>"075728"</f>
        <v>075728</v>
      </c>
      <c r="M1776" t="str">
        <f>"46224"</f>
        <v>46224</v>
      </c>
      <c r="N1776" t="s">
        <v>731</v>
      </c>
      <c r="O1776">
        <v>50</v>
      </c>
      <c r="P1776">
        <v>20190214</v>
      </c>
      <c r="Q1776" t="s">
        <v>700</v>
      </c>
      <c r="R1776" t="s">
        <v>973</v>
      </c>
      <c r="S1776" t="s">
        <v>295</v>
      </c>
      <c r="T1776" t="s">
        <v>301</v>
      </c>
    </row>
    <row r="1777" spans="1:20" x14ac:dyDescent="0.25">
      <c r="A1777">
        <v>9</v>
      </c>
      <c r="B1777">
        <v>181</v>
      </c>
      <c r="C1777" t="str">
        <f t="shared" si="265"/>
        <v>36</v>
      </c>
      <c r="D1777">
        <v>6412</v>
      </c>
      <c r="E1777" t="str">
        <f>"09"</f>
        <v>09</v>
      </c>
      <c r="F1777" t="str">
        <f t="shared" si="267"/>
        <v>001</v>
      </c>
      <c r="G1777">
        <v>9</v>
      </c>
      <c r="H1777" t="str">
        <f t="shared" si="266"/>
        <v>91</v>
      </c>
      <c r="I1777" t="str">
        <f>"P"</f>
        <v>P</v>
      </c>
      <c r="J1777" t="str">
        <f t="shared" si="268"/>
        <v>39</v>
      </c>
      <c r="K1777">
        <v>20190215</v>
      </c>
      <c r="L1777" t="str">
        <f>"075732"</f>
        <v>075732</v>
      </c>
      <c r="M1777" t="str">
        <f>"00723"</f>
        <v>00723</v>
      </c>
      <c r="N1777" t="s">
        <v>985</v>
      </c>
      <c r="O1777">
        <v>856</v>
      </c>
      <c r="P1777">
        <v>20190213</v>
      </c>
      <c r="Q1777" t="s">
        <v>1028</v>
      </c>
      <c r="R1777" t="s">
        <v>1029</v>
      </c>
      <c r="S1777" t="s">
        <v>295</v>
      </c>
      <c r="T1777" t="s">
        <v>301</v>
      </c>
    </row>
    <row r="1778" spans="1:20" x14ac:dyDescent="0.25">
      <c r="A1778">
        <v>9</v>
      </c>
      <c r="B1778">
        <v>181</v>
      </c>
      <c r="C1778" t="str">
        <f t="shared" si="265"/>
        <v>36</v>
      </c>
      <c r="D1778">
        <v>6412</v>
      </c>
      <c r="E1778" t="str">
        <f>"3P"</f>
        <v>3P</v>
      </c>
      <c r="F1778" t="str">
        <f t="shared" si="267"/>
        <v>001</v>
      </c>
      <c r="G1778">
        <v>9</v>
      </c>
      <c r="H1778" t="str">
        <f t="shared" si="266"/>
        <v>91</v>
      </c>
      <c r="I1778" t="str">
        <f>"2"</f>
        <v>2</v>
      </c>
      <c r="J1778" t="str">
        <f t="shared" si="268"/>
        <v>39</v>
      </c>
      <c r="K1778">
        <v>20190215</v>
      </c>
      <c r="L1778" t="str">
        <f>"075733"</f>
        <v>075733</v>
      </c>
      <c r="M1778" t="str">
        <f>"00730"</f>
        <v>00730</v>
      </c>
      <c r="N1778" t="s">
        <v>1030</v>
      </c>
      <c r="O1778">
        <v>300</v>
      </c>
      <c r="P1778">
        <v>20190213</v>
      </c>
      <c r="Q1778" t="s">
        <v>1018</v>
      </c>
      <c r="R1778" t="s">
        <v>1031</v>
      </c>
      <c r="S1778" t="s">
        <v>295</v>
      </c>
      <c r="T1778" t="s">
        <v>301</v>
      </c>
    </row>
    <row r="1779" spans="1:20" x14ac:dyDescent="0.25">
      <c r="A1779">
        <v>9</v>
      </c>
      <c r="B1779">
        <v>181</v>
      </c>
      <c r="C1779" t="str">
        <f t="shared" si="265"/>
        <v>36</v>
      </c>
      <c r="D1779">
        <v>6412</v>
      </c>
      <c r="E1779" t="str">
        <f>"3G"</f>
        <v>3G</v>
      </c>
      <c r="F1779" t="str">
        <f t="shared" si="267"/>
        <v>001</v>
      </c>
      <c r="G1779">
        <v>9</v>
      </c>
      <c r="H1779" t="str">
        <f t="shared" si="266"/>
        <v>91</v>
      </c>
      <c r="I1779" t="str">
        <f>"2"</f>
        <v>2</v>
      </c>
      <c r="J1779" t="str">
        <f t="shared" si="268"/>
        <v>39</v>
      </c>
      <c r="K1779">
        <v>20190215</v>
      </c>
      <c r="L1779" t="str">
        <f>"075737"</f>
        <v>075737</v>
      </c>
      <c r="M1779" t="str">
        <f>"53201"</f>
        <v>53201</v>
      </c>
      <c r="N1779" t="s">
        <v>991</v>
      </c>
      <c r="O1779">
        <v>280</v>
      </c>
      <c r="P1779">
        <v>20190213</v>
      </c>
      <c r="Q1779" t="s">
        <v>309</v>
      </c>
      <c r="R1779" t="s">
        <v>1032</v>
      </c>
      <c r="S1779" t="s">
        <v>295</v>
      </c>
      <c r="T1779" t="s">
        <v>301</v>
      </c>
    </row>
    <row r="1780" spans="1:20" x14ac:dyDescent="0.25">
      <c r="A1780">
        <v>9</v>
      </c>
      <c r="B1780">
        <v>181</v>
      </c>
      <c r="C1780" t="str">
        <f t="shared" si="265"/>
        <v>36</v>
      </c>
      <c r="D1780">
        <v>6319</v>
      </c>
      <c r="E1780" t="str">
        <f>"30"</f>
        <v>30</v>
      </c>
      <c r="F1780" t="str">
        <f>"041"</f>
        <v>041</v>
      </c>
      <c r="G1780">
        <v>9</v>
      </c>
      <c r="H1780" t="str">
        <f t="shared" si="266"/>
        <v>91</v>
      </c>
      <c r="I1780" t="str">
        <f>"0"</f>
        <v>0</v>
      </c>
      <c r="J1780" t="str">
        <f>"41"</f>
        <v>41</v>
      </c>
      <c r="K1780">
        <v>20190215</v>
      </c>
      <c r="L1780" t="str">
        <f>"075741"</f>
        <v>075741</v>
      </c>
      <c r="M1780" t="str">
        <f>"58207"</f>
        <v>58207</v>
      </c>
      <c r="N1780" t="s">
        <v>292</v>
      </c>
      <c r="O1780">
        <v>35.799999999999997</v>
      </c>
      <c r="P1780">
        <v>20190213</v>
      </c>
      <c r="Q1780" t="s">
        <v>503</v>
      </c>
      <c r="R1780" t="s">
        <v>1033</v>
      </c>
      <c r="S1780" t="s">
        <v>295</v>
      </c>
      <c r="T1780" t="s">
        <v>106</v>
      </c>
    </row>
    <row r="1781" spans="1:20" x14ac:dyDescent="0.25">
      <c r="A1781">
        <v>9</v>
      </c>
      <c r="B1781">
        <v>181</v>
      </c>
      <c r="C1781" t="str">
        <f t="shared" si="265"/>
        <v>36</v>
      </c>
      <c r="D1781">
        <v>6249</v>
      </c>
      <c r="E1781" t="str">
        <f>"30"</f>
        <v>30</v>
      </c>
      <c r="F1781" t="str">
        <f t="shared" ref="F1781:F1807" si="269">"001"</f>
        <v>001</v>
      </c>
      <c r="G1781">
        <v>9</v>
      </c>
      <c r="H1781" t="str">
        <f t="shared" si="266"/>
        <v>91</v>
      </c>
      <c r="I1781" t="str">
        <f>"0"</f>
        <v>0</v>
      </c>
      <c r="J1781" t="str">
        <f t="shared" ref="J1781:J1807" si="270">"39"</f>
        <v>39</v>
      </c>
      <c r="K1781">
        <v>20190215</v>
      </c>
      <c r="L1781" t="str">
        <f>"075747"</f>
        <v>075747</v>
      </c>
      <c r="M1781" t="str">
        <f>"62795"</f>
        <v>62795</v>
      </c>
      <c r="N1781" t="s">
        <v>1034</v>
      </c>
      <c r="O1781" s="1">
        <v>8523.2199999999993</v>
      </c>
      <c r="P1781">
        <v>20190213</v>
      </c>
      <c r="Q1781" t="s">
        <v>1035</v>
      </c>
      <c r="R1781" t="s">
        <v>1036</v>
      </c>
      <c r="S1781" t="s">
        <v>295</v>
      </c>
      <c r="T1781" t="s">
        <v>301</v>
      </c>
    </row>
    <row r="1782" spans="1:20" x14ac:dyDescent="0.25">
      <c r="A1782">
        <v>9</v>
      </c>
      <c r="B1782">
        <v>181</v>
      </c>
      <c r="C1782" t="str">
        <f t="shared" si="265"/>
        <v>36</v>
      </c>
      <c r="D1782">
        <v>6412</v>
      </c>
      <c r="E1782" t="str">
        <f>"09"</f>
        <v>09</v>
      </c>
      <c r="F1782" t="str">
        <f t="shared" si="269"/>
        <v>001</v>
      </c>
      <c r="G1782">
        <v>9</v>
      </c>
      <c r="H1782" t="str">
        <f t="shared" si="266"/>
        <v>91</v>
      </c>
      <c r="I1782" t="str">
        <f>"P"</f>
        <v>P</v>
      </c>
      <c r="J1782" t="str">
        <f t="shared" si="270"/>
        <v>39</v>
      </c>
      <c r="K1782">
        <v>20190215</v>
      </c>
      <c r="L1782" t="str">
        <f>"075751"</f>
        <v>075751</v>
      </c>
      <c r="M1782" t="str">
        <f>"00237"</f>
        <v>00237</v>
      </c>
      <c r="N1782" t="s">
        <v>275</v>
      </c>
      <c r="O1782">
        <v>480</v>
      </c>
      <c r="P1782">
        <v>20190213</v>
      </c>
      <c r="Q1782" t="s">
        <v>1028</v>
      </c>
      <c r="R1782" t="s">
        <v>1029</v>
      </c>
      <c r="S1782" t="s">
        <v>295</v>
      </c>
      <c r="T1782" t="s">
        <v>301</v>
      </c>
    </row>
    <row r="1783" spans="1:20" x14ac:dyDescent="0.25">
      <c r="A1783">
        <v>9</v>
      </c>
      <c r="B1783">
        <v>181</v>
      </c>
      <c r="C1783" t="str">
        <f t="shared" si="265"/>
        <v>36</v>
      </c>
      <c r="D1783">
        <v>6412</v>
      </c>
      <c r="E1783" t="str">
        <f>"09"</f>
        <v>09</v>
      </c>
      <c r="F1783" t="str">
        <f t="shared" si="269"/>
        <v>001</v>
      </c>
      <c r="G1783">
        <v>9</v>
      </c>
      <c r="H1783" t="str">
        <f t="shared" si="266"/>
        <v>91</v>
      </c>
      <c r="I1783" t="str">
        <f>"P"</f>
        <v>P</v>
      </c>
      <c r="J1783" t="str">
        <f t="shared" si="270"/>
        <v>39</v>
      </c>
      <c r="K1783">
        <v>20190215</v>
      </c>
      <c r="L1783" t="str">
        <f>"075751"</f>
        <v>075751</v>
      </c>
      <c r="M1783" t="str">
        <f>"00237"</f>
        <v>00237</v>
      </c>
      <c r="N1783" t="s">
        <v>275</v>
      </c>
      <c r="O1783">
        <v>150</v>
      </c>
      <c r="P1783">
        <v>20190213</v>
      </c>
      <c r="Q1783" t="s">
        <v>1028</v>
      </c>
      <c r="R1783" t="s">
        <v>1029</v>
      </c>
      <c r="S1783" t="s">
        <v>295</v>
      </c>
      <c r="T1783" t="s">
        <v>301</v>
      </c>
    </row>
    <row r="1784" spans="1:20" x14ac:dyDescent="0.25">
      <c r="A1784">
        <v>9</v>
      </c>
      <c r="B1784">
        <v>181</v>
      </c>
      <c r="C1784" t="str">
        <f t="shared" si="265"/>
        <v>36</v>
      </c>
      <c r="D1784">
        <v>6319</v>
      </c>
      <c r="E1784" t="str">
        <f>"30"</f>
        <v>30</v>
      </c>
      <c r="F1784" t="str">
        <f t="shared" si="269"/>
        <v>001</v>
      </c>
      <c r="G1784">
        <v>9</v>
      </c>
      <c r="H1784" t="str">
        <f t="shared" si="266"/>
        <v>91</v>
      </c>
      <c r="I1784" t="str">
        <f>"0"</f>
        <v>0</v>
      </c>
      <c r="J1784" t="str">
        <f t="shared" si="270"/>
        <v>39</v>
      </c>
      <c r="K1784">
        <v>20190215</v>
      </c>
      <c r="L1784" t="str">
        <f>"075759"</f>
        <v>075759</v>
      </c>
      <c r="M1784" t="str">
        <f>"79680"</f>
        <v>79680</v>
      </c>
      <c r="N1784" t="s">
        <v>500</v>
      </c>
      <c r="O1784">
        <v>125</v>
      </c>
      <c r="P1784">
        <v>20190213</v>
      </c>
      <c r="Q1784" t="s">
        <v>501</v>
      </c>
      <c r="R1784" t="s">
        <v>1037</v>
      </c>
      <c r="S1784" t="s">
        <v>295</v>
      </c>
      <c r="T1784" t="s">
        <v>301</v>
      </c>
    </row>
    <row r="1785" spans="1:20" x14ac:dyDescent="0.25">
      <c r="A1785">
        <v>9</v>
      </c>
      <c r="B1785">
        <v>181</v>
      </c>
      <c r="C1785" t="str">
        <f t="shared" si="265"/>
        <v>36</v>
      </c>
      <c r="D1785">
        <v>6412</v>
      </c>
      <c r="E1785" t="str">
        <f>"3P"</f>
        <v>3P</v>
      </c>
      <c r="F1785" t="str">
        <f t="shared" si="269"/>
        <v>001</v>
      </c>
      <c r="G1785">
        <v>9</v>
      </c>
      <c r="H1785" t="str">
        <f t="shared" si="266"/>
        <v>91</v>
      </c>
      <c r="I1785" t="str">
        <f>"2"</f>
        <v>2</v>
      </c>
      <c r="J1785" t="str">
        <f t="shared" si="270"/>
        <v>39</v>
      </c>
      <c r="K1785">
        <v>20190215</v>
      </c>
      <c r="L1785" t="str">
        <f>"075764"</f>
        <v>075764</v>
      </c>
      <c r="M1785" t="str">
        <f>"82491"</f>
        <v>82491</v>
      </c>
      <c r="N1785" t="s">
        <v>666</v>
      </c>
      <c r="O1785">
        <v>250</v>
      </c>
      <c r="P1785">
        <v>20190213</v>
      </c>
      <c r="Q1785" t="s">
        <v>1018</v>
      </c>
      <c r="R1785" t="s">
        <v>1038</v>
      </c>
      <c r="S1785" t="s">
        <v>295</v>
      </c>
      <c r="T1785" t="s">
        <v>301</v>
      </c>
    </row>
    <row r="1786" spans="1:20" x14ac:dyDescent="0.25">
      <c r="A1786">
        <v>9</v>
      </c>
      <c r="B1786">
        <v>181</v>
      </c>
      <c r="C1786" t="str">
        <f t="shared" si="265"/>
        <v>36</v>
      </c>
      <c r="D1786">
        <v>6412</v>
      </c>
      <c r="E1786" t="str">
        <f>"3A"</f>
        <v>3A</v>
      </c>
      <c r="F1786" t="str">
        <f t="shared" si="269"/>
        <v>001</v>
      </c>
      <c r="G1786">
        <v>9</v>
      </c>
      <c r="H1786" t="str">
        <f t="shared" si="266"/>
        <v>91</v>
      </c>
      <c r="I1786" t="str">
        <f>"2"</f>
        <v>2</v>
      </c>
      <c r="J1786" t="str">
        <f t="shared" si="270"/>
        <v>39</v>
      </c>
      <c r="K1786">
        <v>20190215</v>
      </c>
      <c r="L1786" t="str">
        <f>"075766"</f>
        <v>075766</v>
      </c>
      <c r="M1786" t="str">
        <f>"82511"</f>
        <v>82511</v>
      </c>
      <c r="N1786" t="s">
        <v>582</v>
      </c>
      <c r="O1786">
        <v>300</v>
      </c>
      <c r="P1786">
        <v>20190213</v>
      </c>
      <c r="Q1786" t="s">
        <v>974</v>
      </c>
      <c r="R1786" t="s">
        <v>1039</v>
      </c>
      <c r="S1786" t="s">
        <v>295</v>
      </c>
      <c r="T1786" t="s">
        <v>301</v>
      </c>
    </row>
    <row r="1787" spans="1:20" x14ac:dyDescent="0.25">
      <c r="A1787">
        <v>9</v>
      </c>
      <c r="B1787">
        <v>181</v>
      </c>
      <c r="C1787" t="str">
        <f t="shared" si="265"/>
        <v>36</v>
      </c>
      <c r="D1787">
        <v>6412</v>
      </c>
      <c r="E1787" t="str">
        <f>"3A"</f>
        <v>3A</v>
      </c>
      <c r="F1787" t="str">
        <f t="shared" si="269"/>
        <v>001</v>
      </c>
      <c r="G1787">
        <v>9</v>
      </c>
      <c r="H1787" t="str">
        <f t="shared" si="266"/>
        <v>91</v>
      </c>
      <c r="I1787" t="str">
        <f>"2"</f>
        <v>2</v>
      </c>
      <c r="J1787" t="str">
        <f t="shared" si="270"/>
        <v>39</v>
      </c>
      <c r="K1787">
        <v>20190319</v>
      </c>
      <c r="L1787" t="str">
        <f>"075766"</f>
        <v>075766</v>
      </c>
      <c r="M1787" t="str">
        <f>"82511"</f>
        <v>82511</v>
      </c>
      <c r="N1787" t="s">
        <v>582</v>
      </c>
      <c r="O1787">
        <v>-300</v>
      </c>
      <c r="P1787">
        <v>20190319</v>
      </c>
      <c r="Q1787" t="s">
        <v>974</v>
      </c>
      <c r="R1787" t="s">
        <v>1040</v>
      </c>
      <c r="S1787" t="s">
        <v>295</v>
      </c>
      <c r="T1787" t="s">
        <v>301</v>
      </c>
    </row>
    <row r="1788" spans="1:20" x14ac:dyDescent="0.25">
      <c r="A1788">
        <v>9</v>
      </c>
      <c r="B1788">
        <v>181</v>
      </c>
      <c r="C1788" t="str">
        <f t="shared" si="265"/>
        <v>36</v>
      </c>
      <c r="D1788">
        <v>6219</v>
      </c>
      <c r="E1788" t="str">
        <f>"3B"</f>
        <v>3B</v>
      </c>
      <c r="F1788" t="str">
        <f t="shared" si="269"/>
        <v>001</v>
      </c>
      <c r="G1788">
        <v>9</v>
      </c>
      <c r="H1788" t="str">
        <f t="shared" si="266"/>
        <v>91</v>
      </c>
      <c r="I1788" t="str">
        <f>"0"</f>
        <v>0</v>
      </c>
      <c r="J1788" t="str">
        <f t="shared" si="270"/>
        <v>39</v>
      </c>
      <c r="K1788">
        <v>20190215</v>
      </c>
      <c r="L1788" t="str">
        <f>"075767"</f>
        <v>075767</v>
      </c>
      <c r="M1788" t="str">
        <f>"00653"</f>
        <v>00653</v>
      </c>
      <c r="N1788" t="s">
        <v>761</v>
      </c>
      <c r="O1788">
        <v>115</v>
      </c>
      <c r="P1788">
        <v>20190214</v>
      </c>
      <c r="Q1788" t="s">
        <v>695</v>
      </c>
      <c r="R1788" t="s">
        <v>972</v>
      </c>
      <c r="S1788" t="s">
        <v>295</v>
      </c>
      <c r="T1788" t="s">
        <v>301</v>
      </c>
    </row>
    <row r="1789" spans="1:20" x14ac:dyDescent="0.25">
      <c r="A1789">
        <v>9</v>
      </c>
      <c r="B1789">
        <v>181</v>
      </c>
      <c r="C1789" t="str">
        <f t="shared" si="265"/>
        <v>36</v>
      </c>
      <c r="D1789">
        <v>6219</v>
      </c>
      <c r="E1789" t="str">
        <f>"3D"</f>
        <v>3D</v>
      </c>
      <c r="F1789" t="str">
        <f t="shared" si="269"/>
        <v>001</v>
      </c>
      <c r="G1789">
        <v>9</v>
      </c>
      <c r="H1789" t="str">
        <f t="shared" si="266"/>
        <v>91</v>
      </c>
      <c r="I1789" t="str">
        <f>"0"</f>
        <v>0</v>
      </c>
      <c r="J1789" t="str">
        <f t="shared" si="270"/>
        <v>39</v>
      </c>
      <c r="K1789">
        <v>20190215</v>
      </c>
      <c r="L1789" t="str">
        <f>"075767"</f>
        <v>075767</v>
      </c>
      <c r="M1789" t="str">
        <f>"00653"</f>
        <v>00653</v>
      </c>
      <c r="N1789" t="s">
        <v>761</v>
      </c>
      <c r="O1789">
        <v>50</v>
      </c>
      <c r="P1789">
        <v>20190214</v>
      </c>
      <c r="Q1789" t="s">
        <v>700</v>
      </c>
      <c r="R1789" t="s">
        <v>973</v>
      </c>
      <c r="S1789" t="s">
        <v>295</v>
      </c>
      <c r="T1789" t="s">
        <v>301</v>
      </c>
    </row>
    <row r="1790" spans="1:20" x14ac:dyDescent="0.25">
      <c r="A1790">
        <v>9</v>
      </c>
      <c r="B1790">
        <v>181</v>
      </c>
      <c r="C1790" t="str">
        <f t="shared" si="265"/>
        <v>36</v>
      </c>
      <c r="D1790">
        <v>6412</v>
      </c>
      <c r="E1790" t="str">
        <f>"3A"</f>
        <v>3A</v>
      </c>
      <c r="F1790" t="str">
        <f t="shared" si="269"/>
        <v>001</v>
      </c>
      <c r="G1790">
        <v>9</v>
      </c>
      <c r="H1790" t="str">
        <f t="shared" si="266"/>
        <v>91</v>
      </c>
      <c r="I1790" t="str">
        <f>"2"</f>
        <v>2</v>
      </c>
      <c r="J1790" t="str">
        <f t="shared" si="270"/>
        <v>39</v>
      </c>
      <c r="K1790">
        <v>20190215</v>
      </c>
      <c r="L1790" t="str">
        <f>"075768"</f>
        <v>075768</v>
      </c>
      <c r="M1790" t="str">
        <f>"82970"</f>
        <v>82970</v>
      </c>
      <c r="N1790" t="s">
        <v>1041</v>
      </c>
      <c r="O1790">
        <v>200</v>
      </c>
      <c r="P1790">
        <v>20190213</v>
      </c>
      <c r="Q1790" t="s">
        <v>974</v>
      </c>
      <c r="R1790" t="s">
        <v>1042</v>
      </c>
      <c r="S1790" t="s">
        <v>295</v>
      </c>
      <c r="T1790" t="s">
        <v>301</v>
      </c>
    </row>
    <row r="1791" spans="1:20" x14ac:dyDescent="0.25">
      <c r="A1791">
        <v>9</v>
      </c>
      <c r="B1791">
        <v>181</v>
      </c>
      <c r="C1791" t="str">
        <f t="shared" si="265"/>
        <v>36</v>
      </c>
      <c r="D1791">
        <v>6412</v>
      </c>
      <c r="E1791" t="str">
        <f>"3J"</f>
        <v>3J</v>
      </c>
      <c r="F1791" t="str">
        <f t="shared" si="269"/>
        <v>001</v>
      </c>
      <c r="G1791">
        <v>9</v>
      </c>
      <c r="H1791" t="str">
        <f t="shared" si="266"/>
        <v>91</v>
      </c>
      <c r="I1791" t="str">
        <f>"2"</f>
        <v>2</v>
      </c>
      <c r="J1791" t="str">
        <f t="shared" si="270"/>
        <v>39</v>
      </c>
      <c r="K1791">
        <v>20190222</v>
      </c>
      <c r="L1791" t="str">
        <f>"075772"</f>
        <v>075772</v>
      </c>
      <c r="M1791" t="str">
        <f>"03693"</f>
        <v>03693</v>
      </c>
      <c r="N1791" t="s">
        <v>767</v>
      </c>
      <c r="O1791">
        <v>125</v>
      </c>
      <c r="P1791">
        <v>20190221</v>
      </c>
      <c r="Q1791" t="s">
        <v>1011</v>
      </c>
      <c r="R1791" t="s">
        <v>1043</v>
      </c>
      <c r="S1791" t="s">
        <v>295</v>
      </c>
      <c r="T1791" t="s">
        <v>301</v>
      </c>
    </row>
    <row r="1792" spans="1:20" x14ac:dyDescent="0.25">
      <c r="A1792">
        <v>9</v>
      </c>
      <c r="B1792">
        <v>181</v>
      </c>
      <c r="C1792" t="str">
        <f t="shared" si="265"/>
        <v>36</v>
      </c>
      <c r="D1792">
        <v>6412</v>
      </c>
      <c r="E1792" t="str">
        <f>"3W"</f>
        <v>3W</v>
      </c>
      <c r="F1792" t="str">
        <f t="shared" si="269"/>
        <v>001</v>
      </c>
      <c r="G1792">
        <v>9</v>
      </c>
      <c r="H1792" t="str">
        <f t="shared" si="266"/>
        <v>91</v>
      </c>
      <c r="I1792" t="str">
        <f>"2"</f>
        <v>2</v>
      </c>
      <c r="J1792" t="str">
        <f t="shared" si="270"/>
        <v>39</v>
      </c>
      <c r="K1792">
        <v>20190222</v>
      </c>
      <c r="L1792" t="str">
        <f>"075772"</f>
        <v>075772</v>
      </c>
      <c r="M1792" t="str">
        <f>"03693"</f>
        <v>03693</v>
      </c>
      <c r="N1792" t="s">
        <v>767</v>
      </c>
      <c r="O1792">
        <v>125</v>
      </c>
      <c r="P1792">
        <v>20190221</v>
      </c>
      <c r="Q1792" t="s">
        <v>1013</v>
      </c>
      <c r="R1792" t="s">
        <v>1044</v>
      </c>
      <c r="S1792" t="s">
        <v>295</v>
      </c>
      <c r="T1792" t="s">
        <v>301</v>
      </c>
    </row>
    <row r="1793" spans="1:20" x14ac:dyDescent="0.25">
      <c r="A1793">
        <v>9</v>
      </c>
      <c r="B1793">
        <v>181</v>
      </c>
      <c r="C1793" t="str">
        <f t="shared" si="265"/>
        <v>36</v>
      </c>
      <c r="D1793">
        <v>6412</v>
      </c>
      <c r="E1793" t="str">
        <f>"3J"</f>
        <v>3J</v>
      </c>
      <c r="F1793" t="str">
        <f t="shared" si="269"/>
        <v>001</v>
      </c>
      <c r="G1793">
        <v>9</v>
      </c>
      <c r="H1793" t="str">
        <f t="shared" si="266"/>
        <v>91</v>
      </c>
      <c r="I1793" t="str">
        <f>"2"</f>
        <v>2</v>
      </c>
      <c r="J1793" t="str">
        <f t="shared" si="270"/>
        <v>39</v>
      </c>
      <c r="K1793">
        <v>20190410</v>
      </c>
      <c r="L1793" t="str">
        <f>"075772"</f>
        <v>075772</v>
      </c>
      <c r="M1793" t="str">
        <f>"03693"</f>
        <v>03693</v>
      </c>
      <c r="N1793" t="s">
        <v>767</v>
      </c>
      <c r="O1793">
        <v>-125</v>
      </c>
      <c r="P1793">
        <v>20190410</v>
      </c>
      <c r="Q1793" t="s">
        <v>1011</v>
      </c>
      <c r="R1793" t="s">
        <v>845</v>
      </c>
      <c r="S1793" t="s">
        <v>295</v>
      </c>
      <c r="T1793" t="s">
        <v>301</v>
      </c>
    </row>
    <row r="1794" spans="1:20" x14ac:dyDescent="0.25">
      <c r="A1794">
        <v>9</v>
      </c>
      <c r="B1794">
        <v>181</v>
      </c>
      <c r="C1794" t="str">
        <f t="shared" si="265"/>
        <v>36</v>
      </c>
      <c r="D1794">
        <v>6412</v>
      </c>
      <c r="E1794" t="str">
        <f>"3W"</f>
        <v>3W</v>
      </c>
      <c r="F1794" t="str">
        <f t="shared" si="269"/>
        <v>001</v>
      </c>
      <c r="G1794">
        <v>9</v>
      </c>
      <c r="H1794" t="str">
        <f t="shared" si="266"/>
        <v>91</v>
      </c>
      <c r="I1794" t="str">
        <f>"2"</f>
        <v>2</v>
      </c>
      <c r="J1794" t="str">
        <f t="shared" si="270"/>
        <v>39</v>
      </c>
      <c r="K1794">
        <v>20190410</v>
      </c>
      <c r="L1794" t="str">
        <f>"075772"</f>
        <v>075772</v>
      </c>
      <c r="M1794" t="str">
        <f>"03693"</f>
        <v>03693</v>
      </c>
      <c r="N1794" t="s">
        <v>767</v>
      </c>
      <c r="O1794">
        <v>-125</v>
      </c>
      <c r="P1794">
        <v>20190410</v>
      </c>
      <c r="Q1794" t="s">
        <v>1013</v>
      </c>
      <c r="R1794" t="s">
        <v>845</v>
      </c>
      <c r="S1794" t="s">
        <v>295</v>
      </c>
      <c r="T1794" t="s">
        <v>301</v>
      </c>
    </row>
    <row r="1795" spans="1:20" x14ac:dyDescent="0.25">
      <c r="A1795">
        <v>9</v>
      </c>
      <c r="B1795">
        <v>181</v>
      </c>
      <c r="C1795" t="str">
        <f t="shared" si="265"/>
        <v>36</v>
      </c>
      <c r="D1795">
        <v>6412</v>
      </c>
      <c r="E1795" t="str">
        <f>"3P"</f>
        <v>3P</v>
      </c>
      <c r="F1795" t="str">
        <f t="shared" si="269"/>
        <v>001</v>
      </c>
      <c r="G1795">
        <v>9</v>
      </c>
      <c r="H1795" t="str">
        <f t="shared" si="266"/>
        <v>91</v>
      </c>
      <c r="I1795" t="str">
        <f>"1"</f>
        <v>1</v>
      </c>
      <c r="J1795" t="str">
        <f t="shared" si="270"/>
        <v>39</v>
      </c>
      <c r="K1795">
        <v>20190222</v>
      </c>
      <c r="L1795" t="str">
        <f>"075775"</f>
        <v>075775</v>
      </c>
      <c r="M1795" t="str">
        <f>"10210"</f>
        <v>10210</v>
      </c>
      <c r="N1795" t="s">
        <v>1045</v>
      </c>
      <c r="O1795">
        <v>149.13</v>
      </c>
      <c r="P1795">
        <v>20190221</v>
      </c>
      <c r="Q1795" t="s">
        <v>1046</v>
      </c>
      <c r="R1795" t="s">
        <v>1047</v>
      </c>
      <c r="S1795" t="s">
        <v>295</v>
      </c>
      <c r="T1795" t="s">
        <v>301</v>
      </c>
    </row>
    <row r="1796" spans="1:20" x14ac:dyDescent="0.25">
      <c r="A1796">
        <v>9</v>
      </c>
      <c r="B1796">
        <v>181</v>
      </c>
      <c r="C1796" t="str">
        <f t="shared" si="265"/>
        <v>36</v>
      </c>
      <c r="D1796">
        <v>6412</v>
      </c>
      <c r="E1796" t="str">
        <f>"3K"</f>
        <v>3K</v>
      </c>
      <c r="F1796" t="str">
        <f t="shared" si="269"/>
        <v>001</v>
      </c>
      <c r="G1796">
        <v>9</v>
      </c>
      <c r="H1796" t="str">
        <f t="shared" si="266"/>
        <v>91</v>
      </c>
      <c r="I1796" t="str">
        <f>"1"</f>
        <v>1</v>
      </c>
      <c r="J1796" t="str">
        <f t="shared" si="270"/>
        <v>39</v>
      </c>
      <c r="K1796">
        <v>20190222</v>
      </c>
      <c r="L1796" t="str">
        <f>"075780"</f>
        <v>075780</v>
      </c>
      <c r="M1796" t="str">
        <f>"20465"</f>
        <v>20465</v>
      </c>
      <c r="N1796" t="s">
        <v>417</v>
      </c>
      <c r="O1796">
        <v>208</v>
      </c>
      <c r="P1796">
        <v>20190221</v>
      </c>
      <c r="Q1796" t="s">
        <v>898</v>
      </c>
      <c r="R1796" t="s">
        <v>1048</v>
      </c>
      <c r="S1796" t="s">
        <v>295</v>
      </c>
      <c r="T1796" t="s">
        <v>301</v>
      </c>
    </row>
    <row r="1797" spans="1:20" x14ac:dyDescent="0.25">
      <c r="A1797">
        <v>9</v>
      </c>
      <c r="B1797">
        <v>181</v>
      </c>
      <c r="C1797" t="str">
        <f t="shared" si="265"/>
        <v>36</v>
      </c>
      <c r="D1797">
        <v>6412</v>
      </c>
      <c r="E1797" t="str">
        <f>"3N"</f>
        <v>3N</v>
      </c>
      <c r="F1797" t="str">
        <f t="shared" si="269"/>
        <v>001</v>
      </c>
      <c r="G1797">
        <v>9</v>
      </c>
      <c r="H1797" t="str">
        <f t="shared" si="266"/>
        <v>91</v>
      </c>
      <c r="I1797" t="str">
        <f>"1"</f>
        <v>1</v>
      </c>
      <c r="J1797" t="str">
        <f t="shared" si="270"/>
        <v>39</v>
      </c>
      <c r="K1797">
        <v>20190222</v>
      </c>
      <c r="L1797" t="str">
        <f>"075780"</f>
        <v>075780</v>
      </c>
      <c r="M1797" t="str">
        <f>"20465"</f>
        <v>20465</v>
      </c>
      <c r="N1797" t="s">
        <v>417</v>
      </c>
      <c r="O1797">
        <v>196.54</v>
      </c>
      <c r="P1797">
        <v>20190221</v>
      </c>
      <c r="Q1797" t="s">
        <v>920</v>
      </c>
      <c r="R1797" t="s">
        <v>1049</v>
      </c>
      <c r="S1797" t="s">
        <v>295</v>
      </c>
      <c r="T1797" t="s">
        <v>301</v>
      </c>
    </row>
    <row r="1798" spans="1:20" x14ac:dyDescent="0.25">
      <c r="A1798">
        <v>9</v>
      </c>
      <c r="B1798">
        <v>181</v>
      </c>
      <c r="C1798" t="str">
        <f t="shared" si="265"/>
        <v>36</v>
      </c>
      <c r="D1798">
        <v>6412</v>
      </c>
      <c r="E1798" t="str">
        <f>"3M"</f>
        <v>3M</v>
      </c>
      <c r="F1798" t="str">
        <f t="shared" si="269"/>
        <v>001</v>
      </c>
      <c r="G1798">
        <v>9</v>
      </c>
      <c r="H1798" t="str">
        <f t="shared" si="266"/>
        <v>91</v>
      </c>
      <c r="I1798" t="str">
        <f>"1"</f>
        <v>1</v>
      </c>
      <c r="J1798" t="str">
        <f t="shared" si="270"/>
        <v>39</v>
      </c>
      <c r="K1798">
        <v>20190222</v>
      </c>
      <c r="L1798" t="str">
        <f>"075781"</f>
        <v>075781</v>
      </c>
      <c r="M1798" t="str">
        <f>"51346"</f>
        <v>51346</v>
      </c>
      <c r="N1798" t="s">
        <v>418</v>
      </c>
      <c r="O1798">
        <v>169</v>
      </c>
      <c r="P1798">
        <v>20190221</v>
      </c>
      <c r="Q1798" t="s">
        <v>907</v>
      </c>
      <c r="R1798" t="s">
        <v>897</v>
      </c>
      <c r="S1798" t="s">
        <v>295</v>
      </c>
      <c r="T1798" t="s">
        <v>301</v>
      </c>
    </row>
    <row r="1799" spans="1:20" x14ac:dyDescent="0.25">
      <c r="A1799">
        <v>9</v>
      </c>
      <c r="B1799">
        <v>181</v>
      </c>
      <c r="C1799" t="str">
        <f t="shared" si="265"/>
        <v>36</v>
      </c>
      <c r="D1799">
        <v>6219</v>
      </c>
      <c r="E1799" t="str">
        <f>"3P"</f>
        <v>3P</v>
      </c>
      <c r="F1799" t="str">
        <f t="shared" si="269"/>
        <v>001</v>
      </c>
      <c r="G1799">
        <v>9</v>
      </c>
      <c r="H1799" t="str">
        <f t="shared" si="266"/>
        <v>91</v>
      </c>
      <c r="I1799" t="str">
        <f>"0"</f>
        <v>0</v>
      </c>
      <c r="J1799" t="str">
        <f t="shared" si="270"/>
        <v>39</v>
      </c>
      <c r="K1799">
        <v>20190222</v>
      </c>
      <c r="L1799" t="str">
        <f>"075783"</f>
        <v>075783</v>
      </c>
      <c r="M1799" t="str">
        <f>"22231"</f>
        <v>22231</v>
      </c>
      <c r="N1799" t="s">
        <v>960</v>
      </c>
      <c r="O1799">
        <v>75</v>
      </c>
      <c r="P1799">
        <v>20190221</v>
      </c>
      <c r="Q1799" t="s">
        <v>961</v>
      </c>
      <c r="R1799" t="s">
        <v>1050</v>
      </c>
      <c r="S1799" t="s">
        <v>295</v>
      </c>
      <c r="T1799" t="s">
        <v>301</v>
      </c>
    </row>
    <row r="1800" spans="1:20" x14ac:dyDescent="0.25">
      <c r="A1800">
        <v>9</v>
      </c>
      <c r="B1800">
        <v>181</v>
      </c>
      <c r="C1800" t="str">
        <f t="shared" si="265"/>
        <v>36</v>
      </c>
      <c r="D1800">
        <v>6219</v>
      </c>
      <c r="E1800" t="str">
        <f>"3P"</f>
        <v>3P</v>
      </c>
      <c r="F1800" t="str">
        <f t="shared" si="269"/>
        <v>001</v>
      </c>
      <c r="G1800">
        <v>9</v>
      </c>
      <c r="H1800" t="str">
        <f t="shared" si="266"/>
        <v>91</v>
      </c>
      <c r="I1800" t="str">
        <f>"0"</f>
        <v>0</v>
      </c>
      <c r="J1800" t="str">
        <f t="shared" si="270"/>
        <v>39</v>
      </c>
      <c r="K1800">
        <v>20190222</v>
      </c>
      <c r="L1800" t="str">
        <f>"075783"</f>
        <v>075783</v>
      </c>
      <c r="M1800" t="str">
        <f>"22231"</f>
        <v>22231</v>
      </c>
      <c r="N1800" t="s">
        <v>960</v>
      </c>
      <c r="O1800">
        <v>75</v>
      </c>
      <c r="P1800">
        <v>20190221</v>
      </c>
      <c r="Q1800" t="s">
        <v>961</v>
      </c>
      <c r="R1800" t="s">
        <v>1051</v>
      </c>
      <c r="S1800" t="s">
        <v>295</v>
      </c>
      <c r="T1800" t="s">
        <v>301</v>
      </c>
    </row>
    <row r="1801" spans="1:20" x14ac:dyDescent="0.25">
      <c r="A1801">
        <v>9</v>
      </c>
      <c r="B1801">
        <v>181</v>
      </c>
      <c r="C1801" t="str">
        <f t="shared" si="265"/>
        <v>36</v>
      </c>
      <c r="D1801">
        <v>6219</v>
      </c>
      <c r="E1801" t="str">
        <f>"3P"</f>
        <v>3P</v>
      </c>
      <c r="F1801" t="str">
        <f t="shared" si="269"/>
        <v>001</v>
      </c>
      <c r="G1801">
        <v>9</v>
      </c>
      <c r="H1801" t="str">
        <f t="shared" si="266"/>
        <v>91</v>
      </c>
      <c r="I1801" t="str">
        <f>"0"</f>
        <v>0</v>
      </c>
      <c r="J1801" t="str">
        <f t="shared" si="270"/>
        <v>39</v>
      </c>
      <c r="K1801">
        <v>20190222</v>
      </c>
      <c r="L1801" t="str">
        <f>"075784"</f>
        <v>075784</v>
      </c>
      <c r="M1801" t="str">
        <f>"22231"</f>
        <v>22231</v>
      </c>
      <c r="N1801" t="s">
        <v>960</v>
      </c>
      <c r="O1801">
        <v>175</v>
      </c>
      <c r="P1801">
        <v>20190221</v>
      </c>
      <c r="Q1801" t="s">
        <v>961</v>
      </c>
      <c r="R1801" t="s">
        <v>1052</v>
      </c>
      <c r="S1801" t="s">
        <v>295</v>
      </c>
      <c r="T1801" t="s">
        <v>301</v>
      </c>
    </row>
    <row r="1802" spans="1:20" x14ac:dyDescent="0.25">
      <c r="A1802">
        <v>9</v>
      </c>
      <c r="B1802">
        <v>181</v>
      </c>
      <c r="C1802" t="str">
        <f t="shared" si="265"/>
        <v>36</v>
      </c>
      <c r="D1802">
        <v>6412</v>
      </c>
      <c r="E1802" t="str">
        <f>"3K"</f>
        <v>3K</v>
      </c>
      <c r="F1802" t="str">
        <f t="shared" si="269"/>
        <v>001</v>
      </c>
      <c r="G1802">
        <v>9</v>
      </c>
      <c r="H1802" t="str">
        <f t="shared" si="266"/>
        <v>91</v>
      </c>
      <c r="I1802" t="str">
        <f>"1"</f>
        <v>1</v>
      </c>
      <c r="J1802" t="str">
        <f t="shared" si="270"/>
        <v>39</v>
      </c>
      <c r="K1802">
        <v>20190222</v>
      </c>
      <c r="L1802" t="str">
        <f>"075786"</f>
        <v>075786</v>
      </c>
      <c r="M1802" t="str">
        <f>"24335"</f>
        <v>24335</v>
      </c>
      <c r="N1802" t="s">
        <v>516</v>
      </c>
      <c r="O1802">
        <v>222.84</v>
      </c>
      <c r="P1802">
        <v>20190221</v>
      </c>
      <c r="Q1802" t="s">
        <v>898</v>
      </c>
      <c r="R1802" t="s">
        <v>1053</v>
      </c>
      <c r="S1802" t="s">
        <v>295</v>
      </c>
      <c r="T1802" t="s">
        <v>301</v>
      </c>
    </row>
    <row r="1803" spans="1:20" x14ac:dyDescent="0.25">
      <c r="A1803">
        <v>9</v>
      </c>
      <c r="B1803">
        <v>181</v>
      </c>
      <c r="C1803" t="str">
        <f t="shared" si="265"/>
        <v>36</v>
      </c>
      <c r="D1803">
        <v>6412</v>
      </c>
      <c r="E1803" t="str">
        <f>"3K"</f>
        <v>3K</v>
      </c>
      <c r="F1803" t="str">
        <f t="shared" si="269"/>
        <v>001</v>
      </c>
      <c r="G1803">
        <v>9</v>
      </c>
      <c r="H1803" t="str">
        <f t="shared" si="266"/>
        <v>91</v>
      </c>
      <c r="I1803" t="str">
        <f>"1"</f>
        <v>1</v>
      </c>
      <c r="J1803" t="str">
        <f t="shared" si="270"/>
        <v>39</v>
      </c>
      <c r="K1803">
        <v>20190222</v>
      </c>
      <c r="L1803" t="str">
        <f>"075787"</f>
        <v>075787</v>
      </c>
      <c r="M1803" t="str">
        <f>"24338"</f>
        <v>24338</v>
      </c>
      <c r="N1803" t="s">
        <v>778</v>
      </c>
      <c r="O1803">
        <v>100.45</v>
      </c>
      <c r="P1803">
        <v>20190221</v>
      </c>
      <c r="Q1803" t="s">
        <v>898</v>
      </c>
      <c r="R1803" t="s">
        <v>1054</v>
      </c>
      <c r="S1803" t="s">
        <v>295</v>
      </c>
      <c r="T1803" t="s">
        <v>301</v>
      </c>
    </row>
    <row r="1804" spans="1:20" x14ac:dyDescent="0.25">
      <c r="A1804">
        <v>9</v>
      </c>
      <c r="B1804">
        <v>181</v>
      </c>
      <c r="C1804" t="str">
        <f t="shared" si="265"/>
        <v>36</v>
      </c>
      <c r="D1804">
        <v>6399</v>
      </c>
      <c r="E1804" t="str">
        <f>"3B"</f>
        <v>3B</v>
      </c>
      <c r="F1804" t="str">
        <f t="shared" si="269"/>
        <v>001</v>
      </c>
      <c r="G1804">
        <v>9</v>
      </c>
      <c r="H1804" t="str">
        <f t="shared" si="266"/>
        <v>91</v>
      </c>
      <c r="I1804" t="str">
        <f>"0"</f>
        <v>0</v>
      </c>
      <c r="J1804" t="str">
        <f t="shared" si="270"/>
        <v>39</v>
      </c>
      <c r="K1804">
        <v>20190222</v>
      </c>
      <c r="L1804" t="str">
        <f>"075790"</f>
        <v>075790</v>
      </c>
      <c r="M1804" t="str">
        <f>"27135"</f>
        <v>27135</v>
      </c>
      <c r="N1804" t="s">
        <v>521</v>
      </c>
      <c r="O1804">
        <v>124.95</v>
      </c>
      <c r="P1804">
        <v>20190221</v>
      </c>
      <c r="Q1804" t="s">
        <v>475</v>
      </c>
      <c r="R1804" t="s">
        <v>1055</v>
      </c>
      <c r="S1804" t="s">
        <v>295</v>
      </c>
      <c r="T1804" t="s">
        <v>301</v>
      </c>
    </row>
    <row r="1805" spans="1:20" x14ac:dyDescent="0.25">
      <c r="A1805">
        <v>9</v>
      </c>
      <c r="B1805">
        <v>181</v>
      </c>
      <c r="C1805" t="str">
        <f t="shared" si="265"/>
        <v>36</v>
      </c>
      <c r="D1805">
        <v>6412</v>
      </c>
      <c r="E1805" t="str">
        <f>"09"</f>
        <v>09</v>
      </c>
      <c r="F1805" t="str">
        <f t="shared" si="269"/>
        <v>001</v>
      </c>
      <c r="G1805">
        <v>9</v>
      </c>
      <c r="H1805" t="str">
        <f t="shared" si="266"/>
        <v>91</v>
      </c>
      <c r="I1805" t="str">
        <f>"P"</f>
        <v>P</v>
      </c>
      <c r="J1805" t="str">
        <f t="shared" si="270"/>
        <v>39</v>
      </c>
      <c r="K1805">
        <v>20190222</v>
      </c>
      <c r="L1805" t="str">
        <f>"075791"</f>
        <v>075791</v>
      </c>
      <c r="M1805" t="str">
        <f>"27598"</f>
        <v>27598</v>
      </c>
      <c r="N1805" t="s">
        <v>1056</v>
      </c>
      <c r="O1805">
        <v>350</v>
      </c>
      <c r="P1805">
        <v>20190221</v>
      </c>
      <c r="Q1805" t="s">
        <v>1028</v>
      </c>
      <c r="R1805" t="s">
        <v>1029</v>
      </c>
      <c r="S1805" t="s">
        <v>295</v>
      </c>
      <c r="T1805" t="s">
        <v>301</v>
      </c>
    </row>
    <row r="1806" spans="1:20" x14ac:dyDescent="0.25">
      <c r="A1806">
        <v>9</v>
      </c>
      <c r="B1806">
        <v>181</v>
      </c>
      <c r="C1806" t="str">
        <f t="shared" si="265"/>
        <v>36</v>
      </c>
      <c r="D1806">
        <v>6412</v>
      </c>
      <c r="E1806" t="str">
        <f>"09"</f>
        <v>09</v>
      </c>
      <c r="F1806" t="str">
        <f t="shared" si="269"/>
        <v>001</v>
      </c>
      <c r="G1806">
        <v>9</v>
      </c>
      <c r="H1806" t="str">
        <f t="shared" si="266"/>
        <v>91</v>
      </c>
      <c r="I1806" t="str">
        <f>"P"</f>
        <v>P</v>
      </c>
      <c r="J1806" t="str">
        <f t="shared" si="270"/>
        <v>39</v>
      </c>
      <c r="K1806">
        <v>20190227</v>
      </c>
      <c r="L1806" t="str">
        <f>"075791"</f>
        <v>075791</v>
      </c>
      <c r="M1806" t="str">
        <f>"27598"</f>
        <v>27598</v>
      </c>
      <c r="N1806" t="s">
        <v>1056</v>
      </c>
      <c r="O1806">
        <v>-350</v>
      </c>
      <c r="P1806">
        <v>20190227</v>
      </c>
      <c r="Q1806" t="s">
        <v>1028</v>
      </c>
      <c r="R1806" t="s">
        <v>138</v>
      </c>
      <c r="S1806" t="s">
        <v>295</v>
      </c>
      <c r="T1806" t="s">
        <v>301</v>
      </c>
    </row>
    <row r="1807" spans="1:20" x14ac:dyDescent="0.25">
      <c r="A1807">
        <v>9</v>
      </c>
      <c r="B1807">
        <v>181</v>
      </c>
      <c r="C1807" t="str">
        <f t="shared" si="265"/>
        <v>36</v>
      </c>
      <c r="D1807">
        <v>6412</v>
      </c>
      <c r="E1807" t="str">
        <f>"09"</f>
        <v>09</v>
      </c>
      <c r="F1807" t="str">
        <f t="shared" si="269"/>
        <v>001</v>
      </c>
      <c r="G1807">
        <v>9</v>
      </c>
      <c r="H1807" t="str">
        <f t="shared" si="266"/>
        <v>91</v>
      </c>
      <c r="I1807" t="str">
        <f>"P"</f>
        <v>P</v>
      </c>
      <c r="J1807" t="str">
        <f t="shared" si="270"/>
        <v>39</v>
      </c>
      <c r="K1807">
        <v>20190222</v>
      </c>
      <c r="L1807" t="str">
        <f>"075800"</f>
        <v>075800</v>
      </c>
      <c r="M1807" t="str">
        <f>"00253"</f>
        <v>00253</v>
      </c>
      <c r="N1807" t="s">
        <v>592</v>
      </c>
      <c r="O1807">
        <v>630.25</v>
      </c>
      <c r="P1807">
        <v>20190221</v>
      </c>
      <c r="Q1807" t="s">
        <v>1028</v>
      </c>
      <c r="R1807" t="s">
        <v>1057</v>
      </c>
      <c r="S1807" t="s">
        <v>295</v>
      </c>
      <c r="T1807" t="s">
        <v>301</v>
      </c>
    </row>
    <row r="1808" spans="1:20" x14ac:dyDescent="0.25">
      <c r="A1808">
        <v>9</v>
      </c>
      <c r="B1808">
        <v>181</v>
      </c>
      <c r="C1808" t="str">
        <f t="shared" si="265"/>
        <v>36</v>
      </c>
      <c r="D1808">
        <v>6412</v>
      </c>
      <c r="E1808" t="str">
        <f>"3S"</f>
        <v>3S</v>
      </c>
      <c r="F1808" t="str">
        <f>"041"</f>
        <v>041</v>
      </c>
      <c r="G1808">
        <v>9</v>
      </c>
      <c r="H1808" t="str">
        <f t="shared" si="266"/>
        <v>91</v>
      </c>
      <c r="I1808" t="str">
        <f>"2"</f>
        <v>2</v>
      </c>
      <c r="J1808" t="str">
        <f>"41"</f>
        <v>41</v>
      </c>
      <c r="K1808">
        <v>20190222</v>
      </c>
      <c r="L1808" t="str">
        <f>"075803"</f>
        <v>075803</v>
      </c>
      <c r="M1808" t="str">
        <f>"44798"</f>
        <v>44798</v>
      </c>
      <c r="N1808" t="s">
        <v>1058</v>
      </c>
      <c r="O1808">
        <v>336</v>
      </c>
      <c r="P1808">
        <v>20190221</v>
      </c>
      <c r="Q1808" t="s">
        <v>1059</v>
      </c>
      <c r="R1808" t="s">
        <v>1060</v>
      </c>
      <c r="S1808" t="s">
        <v>295</v>
      </c>
      <c r="T1808" t="s">
        <v>106</v>
      </c>
    </row>
    <row r="1809" spans="1:20" x14ac:dyDescent="0.25">
      <c r="A1809">
        <v>9</v>
      </c>
      <c r="B1809">
        <v>181</v>
      </c>
      <c r="C1809" t="str">
        <f t="shared" si="265"/>
        <v>36</v>
      </c>
      <c r="D1809">
        <v>6219</v>
      </c>
      <c r="E1809" t="str">
        <f>"3B"</f>
        <v>3B</v>
      </c>
      <c r="F1809" t="str">
        <f t="shared" ref="F1809:F1817" si="271">"001"</f>
        <v>001</v>
      </c>
      <c r="G1809">
        <v>9</v>
      </c>
      <c r="H1809" t="str">
        <f t="shared" si="266"/>
        <v>91</v>
      </c>
      <c r="I1809" t="str">
        <f>"0"</f>
        <v>0</v>
      </c>
      <c r="J1809" t="str">
        <f t="shared" ref="J1809:J1817" si="272">"39"</f>
        <v>39</v>
      </c>
      <c r="K1809">
        <v>20190222</v>
      </c>
      <c r="L1809" t="str">
        <f>"075814"</f>
        <v>075814</v>
      </c>
      <c r="M1809" t="str">
        <f>"00185"</f>
        <v>00185</v>
      </c>
      <c r="N1809" t="s">
        <v>1061</v>
      </c>
      <c r="O1809">
        <v>70</v>
      </c>
      <c r="P1809">
        <v>20190221</v>
      </c>
      <c r="Q1809" t="s">
        <v>695</v>
      </c>
      <c r="R1809" t="s">
        <v>970</v>
      </c>
      <c r="S1809" t="s">
        <v>295</v>
      </c>
      <c r="T1809" t="s">
        <v>301</v>
      </c>
    </row>
    <row r="1810" spans="1:20" x14ac:dyDescent="0.25">
      <c r="A1810">
        <v>9</v>
      </c>
      <c r="B1810">
        <v>181</v>
      </c>
      <c r="C1810" t="str">
        <f t="shared" si="265"/>
        <v>36</v>
      </c>
      <c r="D1810">
        <v>6219</v>
      </c>
      <c r="E1810" t="str">
        <f>"3D"</f>
        <v>3D</v>
      </c>
      <c r="F1810" t="str">
        <f t="shared" si="271"/>
        <v>001</v>
      </c>
      <c r="G1810">
        <v>9</v>
      </c>
      <c r="H1810" t="str">
        <f t="shared" si="266"/>
        <v>91</v>
      </c>
      <c r="I1810" t="str">
        <f>"0"</f>
        <v>0</v>
      </c>
      <c r="J1810" t="str">
        <f t="shared" si="272"/>
        <v>39</v>
      </c>
      <c r="K1810">
        <v>20190222</v>
      </c>
      <c r="L1810" t="str">
        <f>"075814"</f>
        <v>075814</v>
      </c>
      <c r="M1810" t="str">
        <f>"00185"</f>
        <v>00185</v>
      </c>
      <c r="N1810" t="s">
        <v>1061</v>
      </c>
      <c r="O1810">
        <v>135</v>
      </c>
      <c r="P1810">
        <v>20190221</v>
      </c>
      <c r="Q1810" t="s">
        <v>700</v>
      </c>
      <c r="R1810" t="s">
        <v>971</v>
      </c>
      <c r="S1810" t="s">
        <v>295</v>
      </c>
      <c r="T1810" t="s">
        <v>301</v>
      </c>
    </row>
    <row r="1811" spans="1:20" x14ac:dyDescent="0.25">
      <c r="A1811">
        <v>9</v>
      </c>
      <c r="B1811">
        <v>181</v>
      </c>
      <c r="C1811" t="str">
        <f t="shared" si="265"/>
        <v>36</v>
      </c>
      <c r="D1811">
        <v>6412</v>
      </c>
      <c r="E1811" t="str">
        <f>"3M"</f>
        <v>3M</v>
      </c>
      <c r="F1811" t="str">
        <f t="shared" si="271"/>
        <v>001</v>
      </c>
      <c r="G1811">
        <v>9</v>
      </c>
      <c r="H1811" t="str">
        <f t="shared" si="266"/>
        <v>91</v>
      </c>
      <c r="I1811" t="str">
        <f>"1"</f>
        <v>1</v>
      </c>
      <c r="J1811" t="str">
        <f t="shared" si="272"/>
        <v>39</v>
      </c>
      <c r="K1811">
        <v>20190222</v>
      </c>
      <c r="L1811" t="str">
        <f>"075822"</f>
        <v>075822</v>
      </c>
      <c r="M1811" t="str">
        <f>"64610"</f>
        <v>64610</v>
      </c>
      <c r="N1811" t="s">
        <v>1062</v>
      </c>
      <c r="O1811">
        <v>114</v>
      </c>
      <c r="P1811">
        <v>20190221</v>
      </c>
      <c r="Q1811" t="s">
        <v>907</v>
      </c>
      <c r="R1811" t="s">
        <v>1063</v>
      </c>
      <c r="S1811" t="s">
        <v>295</v>
      </c>
      <c r="T1811" t="s">
        <v>301</v>
      </c>
    </row>
    <row r="1812" spans="1:20" x14ac:dyDescent="0.25">
      <c r="A1812">
        <v>9</v>
      </c>
      <c r="B1812">
        <v>181</v>
      </c>
      <c r="C1812" t="str">
        <f t="shared" si="265"/>
        <v>36</v>
      </c>
      <c r="D1812">
        <v>6412</v>
      </c>
      <c r="E1812" t="str">
        <f>"09"</f>
        <v>09</v>
      </c>
      <c r="F1812" t="str">
        <f t="shared" si="271"/>
        <v>001</v>
      </c>
      <c r="G1812">
        <v>9</v>
      </c>
      <c r="H1812" t="str">
        <f t="shared" si="266"/>
        <v>91</v>
      </c>
      <c r="I1812" t="str">
        <f>"P"</f>
        <v>P</v>
      </c>
      <c r="J1812" t="str">
        <f t="shared" si="272"/>
        <v>39</v>
      </c>
      <c r="K1812">
        <v>20190222</v>
      </c>
      <c r="L1812" t="str">
        <f>"075826"</f>
        <v>075826</v>
      </c>
      <c r="M1812" t="str">
        <f>"00237"</f>
        <v>00237</v>
      </c>
      <c r="N1812" t="s">
        <v>275</v>
      </c>
      <c r="O1812">
        <v>160</v>
      </c>
      <c r="P1812">
        <v>20190221</v>
      </c>
      <c r="Q1812" t="s">
        <v>1028</v>
      </c>
      <c r="R1812" t="s">
        <v>1057</v>
      </c>
      <c r="S1812" t="s">
        <v>295</v>
      </c>
      <c r="T1812" t="s">
        <v>301</v>
      </c>
    </row>
    <row r="1813" spans="1:20" x14ac:dyDescent="0.25">
      <c r="A1813">
        <v>9</v>
      </c>
      <c r="B1813">
        <v>181</v>
      </c>
      <c r="C1813" t="str">
        <f t="shared" si="265"/>
        <v>36</v>
      </c>
      <c r="D1813">
        <v>6412</v>
      </c>
      <c r="E1813" t="str">
        <f>"09"</f>
        <v>09</v>
      </c>
      <c r="F1813" t="str">
        <f t="shared" si="271"/>
        <v>001</v>
      </c>
      <c r="G1813">
        <v>9</v>
      </c>
      <c r="H1813" t="str">
        <f t="shared" si="266"/>
        <v>91</v>
      </c>
      <c r="I1813" t="str">
        <f>"P"</f>
        <v>P</v>
      </c>
      <c r="J1813" t="str">
        <f t="shared" si="272"/>
        <v>39</v>
      </c>
      <c r="K1813">
        <v>20190222</v>
      </c>
      <c r="L1813" t="str">
        <f>"075826"</f>
        <v>075826</v>
      </c>
      <c r="M1813" t="str">
        <f>"00237"</f>
        <v>00237</v>
      </c>
      <c r="N1813" t="s">
        <v>275</v>
      </c>
      <c r="O1813">
        <v>150</v>
      </c>
      <c r="P1813">
        <v>20190221</v>
      </c>
      <c r="Q1813" t="s">
        <v>1028</v>
      </c>
      <c r="R1813" t="s">
        <v>1057</v>
      </c>
      <c r="S1813" t="s">
        <v>295</v>
      </c>
      <c r="T1813" t="s">
        <v>301</v>
      </c>
    </row>
    <row r="1814" spans="1:20" x14ac:dyDescent="0.25">
      <c r="A1814">
        <v>9</v>
      </c>
      <c r="B1814">
        <v>181</v>
      </c>
      <c r="C1814" t="str">
        <f t="shared" si="265"/>
        <v>36</v>
      </c>
      <c r="D1814">
        <v>6412</v>
      </c>
      <c r="E1814" t="str">
        <f>"3A"</f>
        <v>3A</v>
      </c>
      <c r="F1814" t="str">
        <f t="shared" si="271"/>
        <v>001</v>
      </c>
      <c r="G1814">
        <v>9</v>
      </c>
      <c r="H1814" t="str">
        <f t="shared" si="266"/>
        <v>91</v>
      </c>
      <c r="I1814" t="str">
        <f>"2"</f>
        <v>2</v>
      </c>
      <c r="J1814" t="str">
        <f t="shared" si="272"/>
        <v>39</v>
      </c>
      <c r="K1814">
        <v>20190222</v>
      </c>
      <c r="L1814" t="str">
        <f>"075840"</f>
        <v>075840</v>
      </c>
      <c r="M1814" t="str">
        <f>"82511"</f>
        <v>82511</v>
      </c>
      <c r="N1814" t="s">
        <v>582</v>
      </c>
      <c r="O1814">
        <v>300</v>
      </c>
      <c r="P1814">
        <v>20190221</v>
      </c>
      <c r="Q1814" t="s">
        <v>974</v>
      </c>
      <c r="R1814" t="s">
        <v>1064</v>
      </c>
      <c r="S1814" t="s">
        <v>295</v>
      </c>
      <c r="T1814" t="s">
        <v>301</v>
      </c>
    </row>
    <row r="1815" spans="1:20" x14ac:dyDescent="0.25">
      <c r="A1815">
        <v>9</v>
      </c>
      <c r="B1815">
        <v>181</v>
      </c>
      <c r="C1815" t="str">
        <f t="shared" si="265"/>
        <v>36</v>
      </c>
      <c r="D1815">
        <v>6412</v>
      </c>
      <c r="E1815" t="str">
        <f>"3B"</f>
        <v>3B</v>
      </c>
      <c r="F1815" t="str">
        <f t="shared" si="271"/>
        <v>001</v>
      </c>
      <c r="G1815">
        <v>9</v>
      </c>
      <c r="H1815" t="str">
        <f t="shared" si="266"/>
        <v>91</v>
      </c>
      <c r="I1815" t="str">
        <f t="shared" ref="I1815:I1823" si="273">"1"</f>
        <v>1</v>
      </c>
      <c r="J1815" t="str">
        <f t="shared" si="272"/>
        <v>39</v>
      </c>
      <c r="K1815">
        <v>20190222</v>
      </c>
      <c r="L1815" t="str">
        <f t="shared" ref="L1815:L1823" si="274">"075847"</f>
        <v>075847</v>
      </c>
      <c r="M1815" t="str">
        <f t="shared" ref="M1815:M1823" si="275">"84370"</f>
        <v>84370</v>
      </c>
      <c r="N1815" t="s">
        <v>395</v>
      </c>
      <c r="O1815">
        <v>47.88</v>
      </c>
      <c r="P1815">
        <v>20190221</v>
      </c>
      <c r="Q1815" t="s">
        <v>668</v>
      </c>
      <c r="R1815" t="s">
        <v>1065</v>
      </c>
      <c r="S1815" t="s">
        <v>295</v>
      </c>
      <c r="T1815" t="s">
        <v>301</v>
      </c>
    </row>
    <row r="1816" spans="1:20" x14ac:dyDescent="0.25">
      <c r="A1816">
        <v>9</v>
      </c>
      <c r="B1816">
        <v>181</v>
      </c>
      <c r="C1816" t="str">
        <f t="shared" si="265"/>
        <v>36</v>
      </c>
      <c r="D1816">
        <v>6412</v>
      </c>
      <c r="E1816" t="str">
        <f>"3B"</f>
        <v>3B</v>
      </c>
      <c r="F1816" t="str">
        <f t="shared" si="271"/>
        <v>001</v>
      </c>
      <c r="G1816">
        <v>9</v>
      </c>
      <c r="H1816" t="str">
        <f t="shared" si="266"/>
        <v>91</v>
      </c>
      <c r="I1816" t="str">
        <f t="shared" si="273"/>
        <v>1</v>
      </c>
      <c r="J1816" t="str">
        <f t="shared" si="272"/>
        <v>39</v>
      </c>
      <c r="K1816">
        <v>20190222</v>
      </c>
      <c r="L1816" t="str">
        <f t="shared" si="274"/>
        <v>075847</v>
      </c>
      <c r="M1816" t="str">
        <f t="shared" si="275"/>
        <v>84370</v>
      </c>
      <c r="N1816" t="s">
        <v>395</v>
      </c>
      <c r="O1816">
        <v>157.32</v>
      </c>
      <c r="P1816">
        <v>20190221</v>
      </c>
      <c r="Q1816" t="s">
        <v>668</v>
      </c>
      <c r="R1816" t="s">
        <v>1066</v>
      </c>
      <c r="S1816" t="s">
        <v>295</v>
      </c>
      <c r="T1816" t="s">
        <v>301</v>
      </c>
    </row>
    <row r="1817" spans="1:20" x14ac:dyDescent="0.25">
      <c r="A1817">
        <v>9</v>
      </c>
      <c r="B1817">
        <v>181</v>
      </c>
      <c r="C1817" t="str">
        <f t="shared" si="265"/>
        <v>36</v>
      </c>
      <c r="D1817">
        <v>6412</v>
      </c>
      <c r="E1817" t="str">
        <f>"3B"</f>
        <v>3B</v>
      </c>
      <c r="F1817" t="str">
        <f t="shared" si="271"/>
        <v>001</v>
      </c>
      <c r="G1817">
        <v>9</v>
      </c>
      <c r="H1817" t="str">
        <f t="shared" si="266"/>
        <v>91</v>
      </c>
      <c r="I1817" t="str">
        <f t="shared" si="273"/>
        <v>1</v>
      </c>
      <c r="J1817" t="str">
        <f t="shared" si="272"/>
        <v>39</v>
      </c>
      <c r="K1817">
        <v>20190222</v>
      </c>
      <c r="L1817" t="str">
        <f t="shared" si="274"/>
        <v>075847</v>
      </c>
      <c r="M1817" t="str">
        <f t="shared" si="275"/>
        <v>84370</v>
      </c>
      <c r="N1817" t="s">
        <v>395</v>
      </c>
      <c r="O1817">
        <v>224.57</v>
      </c>
      <c r="P1817">
        <v>20190221</v>
      </c>
      <c r="Q1817" t="s">
        <v>668</v>
      </c>
      <c r="R1817" t="s">
        <v>1067</v>
      </c>
      <c r="S1817" t="s">
        <v>295</v>
      </c>
      <c r="T1817" t="s">
        <v>301</v>
      </c>
    </row>
    <row r="1818" spans="1:20" x14ac:dyDescent="0.25">
      <c r="A1818">
        <v>9</v>
      </c>
      <c r="B1818">
        <v>181</v>
      </c>
      <c r="C1818" t="str">
        <f t="shared" si="265"/>
        <v>36</v>
      </c>
      <c r="D1818">
        <v>6412</v>
      </c>
      <c r="E1818" t="str">
        <f>"3B"</f>
        <v>3B</v>
      </c>
      <c r="F1818" t="str">
        <f>"041"</f>
        <v>041</v>
      </c>
      <c r="G1818">
        <v>9</v>
      </c>
      <c r="H1818" t="str">
        <f t="shared" si="266"/>
        <v>91</v>
      </c>
      <c r="I1818" t="str">
        <f t="shared" si="273"/>
        <v>1</v>
      </c>
      <c r="J1818" t="str">
        <f>"41"</f>
        <v>41</v>
      </c>
      <c r="K1818">
        <v>20190222</v>
      </c>
      <c r="L1818" t="str">
        <f t="shared" si="274"/>
        <v>075847</v>
      </c>
      <c r="M1818" t="str">
        <f t="shared" si="275"/>
        <v>84370</v>
      </c>
      <c r="N1818" t="s">
        <v>395</v>
      </c>
      <c r="O1818">
        <v>162.25</v>
      </c>
      <c r="P1818">
        <v>20190221</v>
      </c>
      <c r="Q1818" t="s">
        <v>801</v>
      </c>
      <c r="R1818" t="s">
        <v>1068</v>
      </c>
      <c r="S1818" t="s">
        <v>295</v>
      </c>
      <c r="T1818" t="s">
        <v>106</v>
      </c>
    </row>
    <row r="1819" spans="1:20" x14ac:dyDescent="0.25">
      <c r="A1819">
        <v>9</v>
      </c>
      <c r="B1819">
        <v>181</v>
      </c>
      <c r="C1819" t="str">
        <f t="shared" si="265"/>
        <v>36</v>
      </c>
      <c r="D1819">
        <v>6412</v>
      </c>
      <c r="E1819" t="str">
        <f>"3G"</f>
        <v>3G</v>
      </c>
      <c r="F1819" t="str">
        <f>"001"</f>
        <v>001</v>
      </c>
      <c r="G1819">
        <v>9</v>
      </c>
      <c r="H1819" t="str">
        <f t="shared" si="266"/>
        <v>91</v>
      </c>
      <c r="I1819" t="str">
        <f t="shared" si="273"/>
        <v>1</v>
      </c>
      <c r="J1819" t="str">
        <f>"39"</f>
        <v>39</v>
      </c>
      <c r="K1819">
        <v>20190222</v>
      </c>
      <c r="L1819" t="str">
        <f t="shared" si="274"/>
        <v>075847</v>
      </c>
      <c r="M1819" t="str">
        <f t="shared" si="275"/>
        <v>84370</v>
      </c>
      <c r="N1819" t="s">
        <v>395</v>
      </c>
      <c r="O1819">
        <v>36.549999999999997</v>
      </c>
      <c r="P1819">
        <v>20190221</v>
      </c>
      <c r="Q1819" t="s">
        <v>588</v>
      </c>
      <c r="R1819" t="s">
        <v>872</v>
      </c>
      <c r="S1819" t="s">
        <v>295</v>
      </c>
      <c r="T1819" t="s">
        <v>301</v>
      </c>
    </row>
    <row r="1820" spans="1:20" x14ac:dyDescent="0.25">
      <c r="A1820">
        <v>9</v>
      </c>
      <c r="B1820">
        <v>181</v>
      </c>
      <c r="C1820" t="str">
        <f t="shared" si="265"/>
        <v>36</v>
      </c>
      <c r="D1820">
        <v>6412</v>
      </c>
      <c r="E1820" t="str">
        <f>"3M"</f>
        <v>3M</v>
      </c>
      <c r="F1820" t="str">
        <f>"001"</f>
        <v>001</v>
      </c>
      <c r="G1820">
        <v>9</v>
      </c>
      <c r="H1820" t="str">
        <f t="shared" si="266"/>
        <v>91</v>
      </c>
      <c r="I1820" t="str">
        <f t="shared" si="273"/>
        <v>1</v>
      </c>
      <c r="J1820" t="str">
        <f>"39"</f>
        <v>39</v>
      </c>
      <c r="K1820">
        <v>20190222</v>
      </c>
      <c r="L1820" t="str">
        <f t="shared" si="274"/>
        <v>075847</v>
      </c>
      <c r="M1820" t="str">
        <f t="shared" si="275"/>
        <v>84370</v>
      </c>
      <c r="N1820" t="s">
        <v>395</v>
      </c>
      <c r="O1820">
        <v>166.9</v>
      </c>
      <c r="P1820">
        <v>20190221</v>
      </c>
      <c r="Q1820" t="s">
        <v>907</v>
      </c>
      <c r="R1820" t="s">
        <v>913</v>
      </c>
      <c r="S1820" t="s">
        <v>295</v>
      </c>
      <c r="T1820" t="s">
        <v>301</v>
      </c>
    </row>
    <row r="1821" spans="1:20" x14ac:dyDescent="0.25">
      <c r="A1821">
        <v>9</v>
      </c>
      <c r="B1821">
        <v>181</v>
      </c>
      <c r="C1821" t="str">
        <f t="shared" si="265"/>
        <v>36</v>
      </c>
      <c r="D1821">
        <v>6412</v>
      </c>
      <c r="E1821" t="str">
        <f>"3N"</f>
        <v>3N</v>
      </c>
      <c r="F1821" t="str">
        <f>"001"</f>
        <v>001</v>
      </c>
      <c r="G1821">
        <v>9</v>
      </c>
      <c r="H1821" t="str">
        <f t="shared" si="266"/>
        <v>91</v>
      </c>
      <c r="I1821" t="str">
        <f t="shared" si="273"/>
        <v>1</v>
      </c>
      <c r="J1821" t="str">
        <f>"39"</f>
        <v>39</v>
      </c>
      <c r="K1821">
        <v>20190222</v>
      </c>
      <c r="L1821" t="str">
        <f t="shared" si="274"/>
        <v>075847</v>
      </c>
      <c r="M1821" t="str">
        <f t="shared" si="275"/>
        <v>84370</v>
      </c>
      <c r="N1821" t="s">
        <v>395</v>
      </c>
      <c r="O1821">
        <v>207.68</v>
      </c>
      <c r="P1821">
        <v>20190221</v>
      </c>
      <c r="Q1821" t="s">
        <v>920</v>
      </c>
      <c r="R1821" t="s">
        <v>1069</v>
      </c>
      <c r="S1821" t="s">
        <v>295</v>
      </c>
      <c r="T1821" t="s">
        <v>301</v>
      </c>
    </row>
    <row r="1822" spans="1:20" x14ac:dyDescent="0.25">
      <c r="A1822">
        <v>9</v>
      </c>
      <c r="B1822">
        <v>181</v>
      </c>
      <c r="C1822" t="str">
        <f t="shared" si="265"/>
        <v>36</v>
      </c>
      <c r="D1822">
        <v>6412</v>
      </c>
      <c r="E1822" t="str">
        <f>"3P"</f>
        <v>3P</v>
      </c>
      <c r="F1822" t="str">
        <f>"001"</f>
        <v>001</v>
      </c>
      <c r="G1822">
        <v>9</v>
      </c>
      <c r="H1822" t="str">
        <f t="shared" si="266"/>
        <v>91</v>
      </c>
      <c r="I1822" t="str">
        <f t="shared" si="273"/>
        <v>1</v>
      </c>
      <c r="J1822" t="str">
        <f>"39"</f>
        <v>39</v>
      </c>
      <c r="K1822">
        <v>20190222</v>
      </c>
      <c r="L1822" t="str">
        <f t="shared" si="274"/>
        <v>075847</v>
      </c>
      <c r="M1822" t="str">
        <f t="shared" si="275"/>
        <v>84370</v>
      </c>
      <c r="N1822" t="s">
        <v>395</v>
      </c>
      <c r="O1822">
        <v>93.31</v>
      </c>
      <c r="P1822">
        <v>20190221</v>
      </c>
      <c r="Q1822" t="s">
        <v>1046</v>
      </c>
      <c r="R1822" t="s">
        <v>1070</v>
      </c>
      <c r="S1822" t="s">
        <v>295</v>
      </c>
      <c r="T1822" t="s">
        <v>301</v>
      </c>
    </row>
    <row r="1823" spans="1:20" x14ac:dyDescent="0.25">
      <c r="A1823">
        <v>9</v>
      </c>
      <c r="B1823">
        <v>181</v>
      </c>
      <c r="C1823" t="str">
        <f t="shared" si="265"/>
        <v>36</v>
      </c>
      <c r="D1823">
        <v>6412</v>
      </c>
      <c r="E1823" t="str">
        <f>"3V"</f>
        <v>3V</v>
      </c>
      <c r="F1823" t="str">
        <f>"041"</f>
        <v>041</v>
      </c>
      <c r="G1823">
        <v>9</v>
      </c>
      <c r="H1823" t="str">
        <f t="shared" si="266"/>
        <v>91</v>
      </c>
      <c r="I1823" t="str">
        <f t="shared" si="273"/>
        <v>1</v>
      </c>
      <c r="J1823" t="str">
        <f>"41"</f>
        <v>41</v>
      </c>
      <c r="K1823">
        <v>20190222</v>
      </c>
      <c r="L1823" t="str">
        <f t="shared" si="274"/>
        <v>075847</v>
      </c>
      <c r="M1823" t="str">
        <f t="shared" si="275"/>
        <v>84370</v>
      </c>
      <c r="N1823" t="s">
        <v>395</v>
      </c>
      <c r="O1823">
        <v>216.82</v>
      </c>
      <c r="P1823">
        <v>20190221</v>
      </c>
      <c r="Q1823" t="s">
        <v>811</v>
      </c>
      <c r="R1823" t="s">
        <v>1071</v>
      </c>
      <c r="S1823" t="s">
        <v>295</v>
      </c>
      <c r="T1823" t="s">
        <v>106</v>
      </c>
    </row>
    <row r="1824" spans="1:20" x14ac:dyDescent="0.25">
      <c r="A1824">
        <v>9</v>
      </c>
      <c r="B1824">
        <v>181</v>
      </c>
      <c r="C1824" t="str">
        <f t="shared" ref="C1824:C1887" si="276">"36"</f>
        <v>36</v>
      </c>
      <c r="D1824">
        <v>6412</v>
      </c>
      <c r="E1824" t="str">
        <f>"09"</f>
        <v>09</v>
      </c>
      <c r="F1824" t="str">
        <f t="shared" ref="F1824:F1855" si="277">"001"</f>
        <v>001</v>
      </c>
      <c r="G1824">
        <v>9</v>
      </c>
      <c r="H1824" t="str">
        <f t="shared" ref="H1824:H1887" si="278">"91"</f>
        <v>91</v>
      </c>
      <c r="I1824" t="str">
        <f>"P"</f>
        <v>P</v>
      </c>
      <c r="J1824" t="str">
        <f t="shared" ref="J1824:J1855" si="279">"39"</f>
        <v>39</v>
      </c>
      <c r="K1824">
        <v>20190227</v>
      </c>
      <c r="L1824" t="str">
        <f>"075851"</f>
        <v>075851</v>
      </c>
      <c r="M1824" t="str">
        <f>"27598"</f>
        <v>27598</v>
      </c>
      <c r="N1824" t="s">
        <v>1056</v>
      </c>
      <c r="O1824">
        <v>280</v>
      </c>
      <c r="P1824">
        <v>20190227</v>
      </c>
      <c r="Q1824" t="s">
        <v>1028</v>
      </c>
      <c r="R1824" t="s">
        <v>1029</v>
      </c>
      <c r="S1824" t="s">
        <v>295</v>
      </c>
      <c r="T1824" t="s">
        <v>301</v>
      </c>
    </row>
    <row r="1825" spans="1:20" x14ac:dyDescent="0.25">
      <c r="A1825">
        <v>9</v>
      </c>
      <c r="B1825">
        <v>181</v>
      </c>
      <c r="C1825" t="str">
        <f t="shared" si="276"/>
        <v>36</v>
      </c>
      <c r="D1825">
        <v>6411</v>
      </c>
      <c r="E1825" t="str">
        <f>"33"</f>
        <v>33</v>
      </c>
      <c r="F1825" t="str">
        <f t="shared" si="277"/>
        <v>001</v>
      </c>
      <c r="G1825">
        <v>9</v>
      </c>
      <c r="H1825" t="str">
        <f t="shared" si="278"/>
        <v>91</v>
      </c>
      <c r="I1825" t="str">
        <f>"0"</f>
        <v>0</v>
      </c>
      <c r="J1825" t="str">
        <f t="shared" si="279"/>
        <v>39</v>
      </c>
      <c r="K1825">
        <v>20190307</v>
      </c>
      <c r="L1825" t="str">
        <f>"075852"</f>
        <v>075852</v>
      </c>
      <c r="M1825" t="str">
        <f>"28573"</f>
        <v>28573</v>
      </c>
      <c r="N1825" t="s">
        <v>1072</v>
      </c>
      <c r="O1825">
        <v>378</v>
      </c>
      <c r="P1825">
        <v>20190307</v>
      </c>
      <c r="Q1825" t="s">
        <v>306</v>
      </c>
      <c r="R1825" t="s">
        <v>1073</v>
      </c>
      <c r="S1825" t="s">
        <v>295</v>
      </c>
      <c r="T1825" t="s">
        <v>301</v>
      </c>
    </row>
    <row r="1826" spans="1:20" x14ac:dyDescent="0.25">
      <c r="A1826">
        <v>9</v>
      </c>
      <c r="B1826">
        <v>181</v>
      </c>
      <c r="C1826" t="str">
        <f t="shared" si="276"/>
        <v>36</v>
      </c>
      <c r="D1826">
        <v>6219</v>
      </c>
      <c r="E1826" t="str">
        <f>"3B"</f>
        <v>3B</v>
      </c>
      <c r="F1826" t="str">
        <f t="shared" si="277"/>
        <v>001</v>
      </c>
      <c r="G1826">
        <v>9</v>
      </c>
      <c r="H1826" t="str">
        <f t="shared" si="278"/>
        <v>91</v>
      </c>
      <c r="I1826" t="str">
        <f>"0"</f>
        <v>0</v>
      </c>
      <c r="J1826" t="str">
        <f t="shared" si="279"/>
        <v>39</v>
      </c>
      <c r="K1826">
        <v>20190308</v>
      </c>
      <c r="L1826" t="str">
        <f>"075857"</f>
        <v>075857</v>
      </c>
      <c r="M1826" t="str">
        <f>"00646"</f>
        <v>00646</v>
      </c>
      <c r="N1826" t="s">
        <v>694</v>
      </c>
      <c r="O1826">
        <v>65</v>
      </c>
      <c r="P1826">
        <v>20190305</v>
      </c>
      <c r="Q1826" t="s">
        <v>695</v>
      </c>
      <c r="R1826" t="s">
        <v>1074</v>
      </c>
      <c r="S1826" t="s">
        <v>295</v>
      </c>
      <c r="T1826" t="s">
        <v>301</v>
      </c>
    </row>
    <row r="1827" spans="1:20" x14ac:dyDescent="0.25">
      <c r="A1827">
        <v>9</v>
      </c>
      <c r="B1827">
        <v>181</v>
      </c>
      <c r="C1827" t="str">
        <f t="shared" si="276"/>
        <v>36</v>
      </c>
      <c r="D1827">
        <v>6219</v>
      </c>
      <c r="E1827" t="str">
        <f>"3B"</f>
        <v>3B</v>
      </c>
      <c r="F1827" t="str">
        <f t="shared" si="277"/>
        <v>001</v>
      </c>
      <c r="G1827">
        <v>9</v>
      </c>
      <c r="H1827" t="str">
        <f t="shared" si="278"/>
        <v>91</v>
      </c>
      <c r="I1827" t="str">
        <f>"0"</f>
        <v>0</v>
      </c>
      <c r="J1827" t="str">
        <f t="shared" si="279"/>
        <v>39</v>
      </c>
      <c r="K1827">
        <v>20190308</v>
      </c>
      <c r="L1827" t="str">
        <f>"075859"</f>
        <v>075859</v>
      </c>
      <c r="M1827" t="str">
        <f>"46928"</f>
        <v>46928</v>
      </c>
      <c r="N1827" t="s">
        <v>697</v>
      </c>
      <c r="O1827">
        <v>85</v>
      </c>
      <c r="P1827">
        <v>20190305</v>
      </c>
      <c r="Q1827" t="s">
        <v>695</v>
      </c>
      <c r="R1827" t="s">
        <v>1075</v>
      </c>
      <c r="S1827" t="s">
        <v>295</v>
      </c>
      <c r="T1827" t="s">
        <v>301</v>
      </c>
    </row>
    <row r="1828" spans="1:20" x14ac:dyDescent="0.25">
      <c r="A1828">
        <v>9</v>
      </c>
      <c r="B1828">
        <v>181</v>
      </c>
      <c r="C1828" t="str">
        <f t="shared" si="276"/>
        <v>36</v>
      </c>
      <c r="D1828">
        <v>6399</v>
      </c>
      <c r="E1828" t="str">
        <f>"38"</f>
        <v>38</v>
      </c>
      <c r="F1828" t="str">
        <f t="shared" si="277"/>
        <v>001</v>
      </c>
      <c r="G1828">
        <v>9</v>
      </c>
      <c r="H1828" t="str">
        <f t="shared" si="278"/>
        <v>91</v>
      </c>
      <c r="I1828" t="str">
        <f>"0"</f>
        <v>0</v>
      </c>
      <c r="J1828" t="str">
        <f t="shared" si="279"/>
        <v>39</v>
      </c>
      <c r="K1828">
        <v>20190308</v>
      </c>
      <c r="L1828" t="str">
        <f>"075860"</f>
        <v>075860</v>
      </c>
      <c r="M1828" t="str">
        <f>"03450"</f>
        <v>03450</v>
      </c>
      <c r="N1828" t="s">
        <v>549</v>
      </c>
      <c r="O1828">
        <v>225</v>
      </c>
      <c r="P1828">
        <v>20190305</v>
      </c>
      <c r="Q1828" t="s">
        <v>462</v>
      </c>
      <c r="R1828" t="s">
        <v>1076</v>
      </c>
      <c r="S1828" t="s">
        <v>295</v>
      </c>
      <c r="T1828" t="s">
        <v>301</v>
      </c>
    </row>
    <row r="1829" spans="1:20" x14ac:dyDescent="0.25">
      <c r="A1829">
        <v>9</v>
      </c>
      <c r="B1829">
        <v>181</v>
      </c>
      <c r="C1829" t="str">
        <f t="shared" si="276"/>
        <v>36</v>
      </c>
      <c r="D1829">
        <v>6399</v>
      </c>
      <c r="E1829" t="str">
        <f>"38"</f>
        <v>38</v>
      </c>
      <c r="F1829" t="str">
        <f t="shared" si="277"/>
        <v>001</v>
      </c>
      <c r="G1829">
        <v>9</v>
      </c>
      <c r="H1829" t="str">
        <f t="shared" si="278"/>
        <v>91</v>
      </c>
      <c r="I1829" t="str">
        <f>"0"</f>
        <v>0</v>
      </c>
      <c r="J1829" t="str">
        <f t="shared" si="279"/>
        <v>39</v>
      </c>
      <c r="K1829">
        <v>20190308</v>
      </c>
      <c r="L1829" t="str">
        <f>"075860"</f>
        <v>075860</v>
      </c>
      <c r="M1829" t="str">
        <f>"03450"</f>
        <v>03450</v>
      </c>
      <c r="N1829" t="s">
        <v>549</v>
      </c>
      <c r="O1829">
        <v>215.5</v>
      </c>
      <c r="P1829">
        <v>20190305</v>
      </c>
      <c r="Q1829" t="s">
        <v>462</v>
      </c>
      <c r="R1829" t="s">
        <v>1077</v>
      </c>
      <c r="S1829" t="s">
        <v>295</v>
      </c>
      <c r="T1829" t="s">
        <v>301</v>
      </c>
    </row>
    <row r="1830" spans="1:20" x14ac:dyDescent="0.25">
      <c r="A1830">
        <v>9</v>
      </c>
      <c r="B1830">
        <v>181</v>
      </c>
      <c r="C1830" t="str">
        <f t="shared" si="276"/>
        <v>36</v>
      </c>
      <c r="D1830">
        <v>6399</v>
      </c>
      <c r="E1830" t="str">
        <f>"38"</f>
        <v>38</v>
      </c>
      <c r="F1830" t="str">
        <f t="shared" si="277"/>
        <v>001</v>
      </c>
      <c r="G1830">
        <v>9</v>
      </c>
      <c r="H1830" t="str">
        <f t="shared" si="278"/>
        <v>91</v>
      </c>
      <c r="I1830" t="str">
        <f>"1"</f>
        <v>1</v>
      </c>
      <c r="J1830" t="str">
        <f t="shared" si="279"/>
        <v>39</v>
      </c>
      <c r="K1830">
        <v>20190308</v>
      </c>
      <c r="L1830" t="str">
        <f>"075860"</f>
        <v>075860</v>
      </c>
      <c r="M1830" t="str">
        <f>"03450"</f>
        <v>03450</v>
      </c>
      <c r="N1830" t="s">
        <v>549</v>
      </c>
      <c r="O1830">
        <v>36</v>
      </c>
      <c r="P1830">
        <v>20190305</v>
      </c>
      <c r="Q1830" t="s">
        <v>464</v>
      </c>
      <c r="R1830" t="s">
        <v>1077</v>
      </c>
      <c r="S1830" t="s">
        <v>295</v>
      </c>
      <c r="T1830" t="s">
        <v>301</v>
      </c>
    </row>
    <row r="1831" spans="1:20" x14ac:dyDescent="0.25">
      <c r="A1831">
        <v>9</v>
      </c>
      <c r="B1831">
        <v>181</v>
      </c>
      <c r="C1831" t="str">
        <f t="shared" si="276"/>
        <v>36</v>
      </c>
      <c r="D1831">
        <v>6219</v>
      </c>
      <c r="E1831" t="str">
        <f>"3K"</f>
        <v>3K</v>
      </c>
      <c r="F1831" t="str">
        <f t="shared" si="277"/>
        <v>001</v>
      </c>
      <c r="G1831">
        <v>9</v>
      </c>
      <c r="H1831" t="str">
        <f t="shared" si="278"/>
        <v>91</v>
      </c>
      <c r="I1831" t="str">
        <f>"0"</f>
        <v>0</v>
      </c>
      <c r="J1831" t="str">
        <f t="shared" si="279"/>
        <v>39</v>
      </c>
      <c r="K1831">
        <v>20190308</v>
      </c>
      <c r="L1831" t="str">
        <f>"075873"</f>
        <v>075873</v>
      </c>
      <c r="M1831" t="str">
        <f>"10431"</f>
        <v>10431</v>
      </c>
      <c r="N1831" t="s">
        <v>1078</v>
      </c>
      <c r="O1831">
        <v>75</v>
      </c>
      <c r="P1831">
        <v>20190305</v>
      </c>
      <c r="Q1831" t="s">
        <v>951</v>
      </c>
      <c r="R1831" t="s">
        <v>1079</v>
      </c>
      <c r="S1831" t="s">
        <v>295</v>
      </c>
      <c r="T1831" t="s">
        <v>301</v>
      </c>
    </row>
    <row r="1832" spans="1:20" x14ac:dyDescent="0.25">
      <c r="A1832">
        <v>9</v>
      </c>
      <c r="B1832">
        <v>181</v>
      </c>
      <c r="C1832" t="str">
        <f t="shared" si="276"/>
        <v>36</v>
      </c>
      <c r="D1832">
        <v>6219</v>
      </c>
      <c r="E1832" t="str">
        <f>"09"</f>
        <v>09</v>
      </c>
      <c r="F1832" t="str">
        <f t="shared" si="277"/>
        <v>001</v>
      </c>
      <c r="G1832">
        <v>9</v>
      </c>
      <c r="H1832" t="str">
        <f t="shared" si="278"/>
        <v>91</v>
      </c>
      <c r="I1832" t="str">
        <f>"D"</f>
        <v>D</v>
      </c>
      <c r="J1832" t="str">
        <f t="shared" si="279"/>
        <v>39</v>
      </c>
      <c r="K1832">
        <v>20190308</v>
      </c>
      <c r="L1832" t="str">
        <f>"075874"</f>
        <v>075874</v>
      </c>
      <c r="M1832" t="str">
        <f>"10490"</f>
        <v>10490</v>
      </c>
      <c r="N1832" t="s">
        <v>1080</v>
      </c>
      <c r="O1832">
        <v>90</v>
      </c>
      <c r="P1832">
        <v>20190305</v>
      </c>
      <c r="Q1832" t="s">
        <v>1081</v>
      </c>
      <c r="R1832" t="s">
        <v>1082</v>
      </c>
      <c r="S1832" t="s">
        <v>295</v>
      </c>
      <c r="T1832" t="s">
        <v>301</v>
      </c>
    </row>
    <row r="1833" spans="1:20" x14ac:dyDescent="0.25">
      <c r="A1833">
        <v>9</v>
      </c>
      <c r="B1833">
        <v>181</v>
      </c>
      <c r="C1833" t="str">
        <f t="shared" si="276"/>
        <v>36</v>
      </c>
      <c r="D1833">
        <v>6399</v>
      </c>
      <c r="E1833" t="str">
        <f>"38"</f>
        <v>38</v>
      </c>
      <c r="F1833" t="str">
        <f t="shared" si="277"/>
        <v>001</v>
      </c>
      <c r="G1833">
        <v>9</v>
      </c>
      <c r="H1833" t="str">
        <f t="shared" si="278"/>
        <v>91</v>
      </c>
      <c r="I1833" t="str">
        <f>"0"</f>
        <v>0</v>
      </c>
      <c r="J1833" t="str">
        <f t="shared" si="279"/>
        <v>39</v>
      </c>
      <c r="K1833">
        <v>20190308</v>
      </c>
      <c r="L1833" t="str">
        <f>"075876"</f>
        <v>075876</v>
      </c>
      <c r="M1833" t="str">
        <f>"08788"</f>
        <v>08788</v>
      </c>
      <c r="N1833" t="s">
        <v>473</v>
      </c>
      <c r="O1833">
        <v>118.65</v>
      </c>
      <c r="P1833">
        <v>20190305</v>
      </c>
      <c r="Q1833" t="s">
        <v>462</v>
      </c>
      <c r="R1833" t="s">
        <v>1083</v>
      </c>
      <c r="S1833" t="s">
        <v>295</v>
      </c>
      <c r="T1833" t="s">
        <v>301</v>
      </c>
    </row>
    <row r="1834" spans="1:20" x14ac:dyDescent="0.25">
      <c r="A1834">
        <v>9</v>
      </c>
      <c r="B1834">
        <v>181</v>
      </c>
      <c r="C1834" t="str">
        <f t="shared" si="276"/>
        <v>36</v>
      </c>
      <c r="D1834">
        <v>6399</v>
      </c>
      <c r="E1834" t="str">
        <f>"3K"</f>
        <v>3K</v>
      </c>
      <c r="F1834" t="str">
        <f t="shared" si="277"/>
        <v>001</v>
      </c>
      <c r="G1834">
        <v>9</v>
      </c>
      <c r="H1834" t="str">
        <f t="shared" si="278"/>
        <v>91</v>
      </c>
      <c r="I1834" t="str">
        <f>"0"</f>
        <v>0</v>
      </c>
      <c r="J1834" t="str">
        <f t="shared" si="279"/>
        <v>39</v>
      </c>
      <c r="K1834">
        <v>20190308</v>
      </c>
      <c r="L1834" t="str">
        <f>"075876"</f>
        <v>075876</v>
      </c>
      <c r="M1834" t="str">
        <f>"08788"</f>
        <v>08788</v>
      </c>
      <c r="N1834" t="s">
        <v>473</v>
      </c>
      <c r="O1834" s="1">
        <v>2100</v>
      </c>
      <c r="P1834">
        <v>20190305</v>
      </c>
      <c r="Q1834" t="s">
        <v>948</v>
      </c>
      <c r="R1834" t="s">
        <v>1084</v>
      </c>
      <c r="S1834" t="s">
        <v>295</v>
      </c>
      <c r="T1834" t="s">
        <v>301</v>
      </c>
    </row>
    <row r="1835" spans="1:20" x14ac:dyDescent="0.25">
      <c r="A1835">
        <v>9</v>
      </c>
      <c r="B1835">
        <v>181</v>
      </c>
      <c r="C1835" t="str">
        <f t="shared" si="276"/>
        <v>36</v>
      </c>
      <c r="D1835">
        <v>6399</v>
      </c>
      <c r="E1835" t="str">
        <f>"3W"</f>
        <v>3W</v>
      </c>
      <c r="F1835" t="str">
        <f t="shared" si="277"/>
        <v>001</v>
      </c>
      <c r="G1835">
        <v>9</v>
      </c>
      <c r="H1835" t="str">
        <f t="shared" si="278"/>
        <v>91</v>
      </c>
      <c r="I1835" t="str">
        <f>"0"</f>
        <v>0</v>
      </c>
      <c r="J1835" t="str">
        <f t="shared" si="279"/>
        <v>39</v>
      </c>
      <c r="K1835">
        <v>20190308</v>
      </c>
      <c r="L1835" t="str">
        <f>"075876"</f>
        <v>075876</v>
      </c>
      <c r="M1835" t="str">
        <f>"08788"</f>
        <v>08788</v>
      </c>
      <c r="N1835" t="s">
        <v>473</v>
      </c>
      <c r="O1835">
        <v>850.03</v>
      </c>
      <c r="P1835">
        <v>20190305</v>
      </c>
      <c r="Q1835" t="s">
        <v>841</v>
      </c>
      <c r="R1835" t="s">
        <v>1085</v>
      </c>
      <c r="S1835" t="s">
        <v>295</v>
      </c>
      <c r="T1835" t="s">
        <v>301</v>
      </c>
    </row>
    <row r="1836" spans="1:20" x14ac:dyDescent="0.25">
      <c r="A1836">
        <v>9</v>
      </c>
      <c r="B1836">
        <v>181</v>
      </c>
      <c r="C1836" t="str">
        <f t="shared" si="276"/>
        <v>36</v>
      </c>
      <c r="D1836">
        <v>6219</v>
      </c>
      <c r="E1836" t="str">
        <f>"3N"</f>
        <v>3N</v>
      </c>
      <c r="F1836" t="str">
        <f t="shared" si="277"/>
        <v>001</v>
      </c>
      <c r="G1836">
        <v>9</v>
      </c>
      <c r="H1836" t="str">
        <f t="shared" si="278"/>
        <v>91</v>
      </c>
      <c r="I1836" t="str">
        <f>"0"</f>
        <v>0</v>
      </c>
      <c r="J1836" t="str">
        <f t="shared" si="279"/>
        <v>39</v>
      </c>
      <c r="K1836">
        <v>20190308</v>
      </c>
      <c r="L1836" t="str">
        <f>"075879"</f>
        <v>075879</v>
      </c>
      <c r="M1836" t="str">
        <f>"18991"</f>
        <v>18991</v>
      </c>
      <c r="N1836" t="s">
        <v>324</v>
      </c>
      <c r="O1836">
        <v>60</v>
      </c>
      <c r="P1836">
        <v>20190306</v>
      </c>
      <c r="Q1836" t="s">
        <v>942</v>
      </c>
      <c r="R1836" t="s">
        <v>954</v>
      </c>
      <c r="S1836" t="s">
        <v>295</v>
      </c>
      <c r="T1836" t="s">
        <v>301</v>
      </c>
    </row>
    <row r="1837" spans="1:20" x14ac:dyDescent="0.25">
      <c r="A1837">
        <v>9</v>
      </c>
      <c r="B1837">
        <v>181</v>
      </c>
      <c r="C1837" t="str">
        <f t="shared" si="276"/>
        <v>36</v>
      </c>
      <c r="D1837">
        <v>6219</v>
      </c>
      <c r="E1837" t="str">
        <f>"09"</f>
        <v>09</v>
      </c>
      <c r="F1837" t="str">
        <f t="shared" si="277"/>
        <v>001</v>
      </c>
      <c r="G1837">
        <v>9</v>
      </c>
      <c r="H1837" t="str">
        <f t="shared" si="278"/>
        <v>91</v>
      </c>
      <c r="I1837" t="str">
        <f>"D"</f>
        <v>D</v>
      </c>
      <c r="J1837" t="str">
        <f t="shared" si="279"/>
        <v>39</v>
      </c>
      <c r="K1837">
        <v>20190308</v>
      </c>
      <c r="L1837" t="str">
        <f>"075880"</f>
        <v>075880</v>
      </c>
      <c r="M1837" t="str">
        <f>"19079"</f>
        <v>19079</v>
      </c>
      <c r="N1837" t="s">
        <v>326</v>
      </c>
      <c r="O1837">
        <v>96</v>
      </c>
      <c r="P1837">
        <v>20190305</v>
      </c>
      <c r="Q1837" t="s">
        <v>1081</v>
      </c>
      <c r="R1837" t="s">
        <v>1082</v>
      </c>
      <c r="S1837" t="s">
        <v>295</v>
      </c>
      <c r="T1837" t="s">
        <v>301</v>
      </c>
    </row>
    <row r="1838" spans="1:20" x14ac:dyDescent="0.25">
      <c r="A1838">
        <v>9</v>
      </c>
      <c r="B1838">
        <v>181</v>
      </c>
      <c r="C1838" t="str">
        <f t="shared" si="276"/>
        <v>36</v>
      </c>
      <c r="D1838">
        <v>6219</v>
      </c>
      <c r="E1838" t="str">
        <f>"3B"</f>
        <v>3B</v>
      </c>
      <c r="F1838" t="str">
        <f t="shared" si="277"/>
        <v>001</v>
      </c>
      <c r="G1838">
        <v>9</v>
      </c>
      <c r="H1838" t="str">
        <f t="shared" si="278"/>
        <v>91</v>
      </c>
      <c r="I1838" t="str">
        <f>"0"</f>
        <v>0</v>
      </c>
      <c r="J1838" t="str">
        <f t="shared" si="279"/>
        <v>39</v>
      </c>
      <c r="K1838">
        <v>20190308</v>
      </c>
      <c r="L1838" t="str">
        <f>"075880"</f>
        <v>075880</v>
      </c>
      <c r="M1838" t="str">
        <f>"19079"</f>
        <v>19079</v>
      </c>
      <c r="N1838" t="s">
        <v>326</v>
      </c>
      <c r="O1838">
        <v>128</v>
      </c>
      <c r="P1838">
        <v>20190305</v>
      </c>
      <c r="Q1838" t="s">
        <v>695</v>
      </c>
      <c r="R1838" t="s">
        <v>966</v>
      </c>
      <c r="S1838" t="s">
        <v>295</v>
      </c>
      <c r="T1838" t="s">
        <v>301</v>
      </c>
    </row>
    <row r="1839" spans="1:20" x14ac:dyDescent="0.25">
      <c r="A1839">
        <v>9</v>
      </c>
      <c r="B1839">
        <v>181</v>
      </c>
      <c r="C1839" t="str">
        <f t="shared" si="276"/>
        <v>36</v>
      </c>
      <c r="D1839">
        <v>6219</v>
      </c>
      <c r="E1839" t="str">
        <f>"3P"</f>
        <v>3P</v>
      </c>
      <c r="F1839" t="str">
        <f t="shared" si="277"/>
        <v>001</v>
      </c>
      <c r="G1839">
        <v>9</v>
      </c>
      <c r="H1839" t="str">
        <f t="shared" si="278"/>
        <v>91</v>
      </c>
      <c r="I1839" t="str">
        <f>"0"</f>
        <v>0</v>
      </c>
      <c r="J1839" t="str">
        <f t="shared" si="279"/>
        <v>39</v>
      </c>
      <c r="K1839">
        <v>20190308</v>
      </c>
      <c r="L1839" t="str">
        <f>"075884"</f>
        <v>075884</v>
      </c>
      <c r="M1839" t="str">
        <f>"19294"</f>
        <v>19294</v>
      </c>
      <c r="N1839" t="s">
        <v>329</v>
      </c>
      <c r="O1839">
        <v>145</v>
      </c>
      <c r="P1839">
        <v>20190305</v>
      </c>
      <c r="Q1839" t="s">
        <v>961</v>
      </c>
      <c r="R1839" t="s">
        <v>1086</v>
      </c>
      <c r="S1839" t="s">
        <v>295</v>
      </c>
      <c r="T1839" t="s">
        <v>301</v>
      </c>
    </row>
    <row r="1840" spans="1:20" x14ac:dyDescent="0.25">
      <c r="A1840">
        <v>9</v>
      </c>
      <c r="B1840">
        <v>181</v>
      </c>
      <c r="C1840" t="str">
        <f t="shared" si="276"/>
        <v>36</v>
      </c>
      <c r="D1840">
        <v>6219</v>
      </c>
      <c r="E1840" t="str">
        <f>"3N"</f>
        <v>3N</v>
      </c>
      <c r="F1840" t="str">
        <f t="shared" si="277"/>
        <v>001</v>
      </c>
      <c r="G1840">
        <v>9</v>
      </c>
      <c r="H1840" t="str">
        <f t="shared" si="278"/>
        <v>91</v>
      </c>
      <c r="I1840" t="str">
        <f>"0"</f>
        <v>0</v>
      </c>
      <c r="J1840" t="str">
        <f t="shared" si="279"/>
        <v>39</v>
      </c>
      <c r="K1840">
        <v>20190308</v>
      </c>
      <c r="L1840" t="str">
        <f>"075885"</f>
        <v>075885</v>
      </c>
      <c r="M1840" t="str">
        <f>"00708"</f>
        <v>00708</v>
      </c>
      <c r="N1840" t="s">
        <v>957</v>
      </c>
      <c r="O1840">
        <v>135</v>
      </c>
      <c r="P1840">
        <v>20190305</v>
      </c>
      <c r="Q1840" t="s">
        <v>942</v>
      </c>
      <c r="R1840" t="s">
        <v>1087</v>
      </c>
      <c r="S1840" t="s">
        <v>295</v>
      </c>
      <c r="T1840" t="s">
        <v>301</v>
      </c>
    </row>
    <row r="1841" spans="1:20" x14ac:dyDescent="0.25">
      <c r="A1841">
        <v>9</v>
      </c>
      <c r="B1841">
        <v>181</v>
      </c>
      <c r="C1841" t="str">
        <f t="shared" si="276"/>
        <v>36</v>
      </c>
      <c r="D1841">
        <v>6219</v>
      </c>
      <c r="E1841" t="str">
        <f>"3A"</f>
        <v>3A</v>
      </c>
      <c r="F1841" t="str">
        <f t="shared" si="277"/>
        <v>001</v>
      </c>
      <c r="G1841">
        <v>9</v>
      </c>
      <c r="H1841" t="str">
        <f t="shared" si="278"/>
        <v>91</v>
      </c>
      <c r="I1841" t="str">
        <f>"0"</f>
        <v>0</v>
      </c>
      <c r="J1841" t="str">
        <f t="shared" si="279"/>
        <v>39</v>
      </c>
      <c r="K1841">
        <v>20190308</v>
      </c>
      <c r="L1841" t="str">
        <f>"075889"</f>
        <v>075889</v>
      </c>
      <c r="M1841" t="str">
        <f>"20433"</f>
        <v>20433</v>
      </c>
      <c r="N1841" t="s">
        <v>332</v>
      </c>
      <c r="O1841">
        <v>25</v>
      </c>
      <c r="P1841">
        <v>20190305</v>
      </c>
      <c r="Q1841" t="s">
        <v>1088</v>
      </c>
      <c r="R1841" t="s">
        <v>1089</v>
      </c>
      <c r="S1841" t="s">
        <v>295</v>
      </c>
      <c r="T1841" t="s">
        <v>301</v>
      </c>
    </row>
    <row r="1842" spans="1:20" x14ac:dyDescent="0.25">
      <c r="A1842">
        <v>9</v>
      </c>
      <c r="B1842">
        <v>181</v>
      </c>
      <c r="C1842" t="str">
        <f t="shared" si="276"/>
        <v>36</v>
      </c>
      <c r="D1842">
        <v>6219</v>
      </c>
      <c r="E1842" t="str">
        <f>"3P"</f>
        <v>3P</v>
      </c>
      <c r="F1842" t="str">
        <f t="shared" si="277"/>
        <v>001</v>
      </c>
      <c r="G1842">
        <v>9</v>
      </c>
      <c r="H1842" t="str">
        <f t="shared" si="278"/>
        <v>91</v>
      </c>
      <c r="I1842" t="str">
        <f>"0"</f>
        <v>0</v>
      </c>
      <c r="J1842" t="str">
        <f t="shared" si="279"/>
        <v>39</v>
      </c>
      <c r="K1842">
        <v>20190308</v>
      </c>
      <c r="L1842" t="str">
        <f>"075889"</f>
        <v>075889</v>
      </c>
      <c r="M1842" t="str">
        <f>"20433"</f>
        <v>20433</v>
      </c>
      <c r="N1842" t="s">
        <v>332</v>
      </c>
      <c r="O1842">
        <v>25</v>
      </c>
      <c r="P1842">
        <v>20190305</v>
      </c>
      <c r="Q1842" t="s">
        <v>961</v>
      </c>
      <c r="R1842" t="s">
        <v>1086</v>
      </c>
      <c r="S1842" t="s">
        <v>295</v>
      </c>
      <c r="T1842" t="s">
        <v>301</v>
      </c>
    </row>
    <row r="1843" spans="1:20" x14ac:dyDescent="0.25">
      <c r="A1843">
        <v>9</v>
      </c>
      <c r="B1843">
        <v>181</v>
      </c>
      <c r="C1843" t="str">
        <f t="shared" si="276"/>
        <v>36</v>
      </c>
      <c r="D1843">
        <v>6412</v>
      </c>
      <c r="E1843" t="str">
        <f>"3P"</f>
        <v>3P</v>
      </c>
      <c r="F1843" t="str">
        <f t="shared" si="277"/>
        <v>001</v>
      </c>
      <c r="G1843">
        <v>9</v>
      </c>
      <c r="H1843" t="str">
        <f t="shared" si="278"/>
        <v>91</v>
      </c>
      <c r="I1843" t="str">
        <f>"1"</f>
        <v>1</v>
      </c>
      <c r="J1843" t="str">
        <f t="shared" si="279"/>
        <v>39</v>
      </c>
      <c r="K1843">
        <v>20190308</v>
      </c>
      <c r="L1843" t="str">
        <f>"075890"</f>
        <v>075890</v>
      </c>
      <c r="M1843" t="str">
        <f>"00694"</f>
        <v>00694</v>
      </c>
      <c r="N1843" t="s">
        <v>417</v>
      </c>
      <c r="O1843">
        <v>57.71</v>
      </c>
      <c r="P1843">
        <v>20190305</v>
      </c>
      <c r="Q1843" t="s">
        <v>1046</v>
      </c>
      <c r="R1843" t="s">
        <v>1090</v>
      </c>
      <c r="S1843" t="s">
        <v>295</v>
      </c>
      <c r="T1843" t="s">
        <v>301</v>
      </c>
    </row>
    <row r="1844" spans="1:20" x14ac:dyDescent="0.25">
      <c r="A1844">
        <v>9</v>
      </c>
      <c r="B1844">
        <v>181</v>
      </c>
      <c r="C1844" t="str">
        <f t="shared" si="276"/>
        <v>36</v>
      </c>
      <c r="D1844">
        <v>6412</v>
      </c>
      <c r="E1844" t="str">
        <f>"3U"</f>
        <v>3U</v>
      </c>
      <c r="F1844" t="str">
        <f t="shared" si="277"/>
        <v>001</v>
      </c>
      <c r="G1844">
        <v>9</v>
      </c>
      <c r="H1844" t="str">
        <f t="shared" si="278"/>
        <v>91</v>
      </c>
      <c r="I1844" t="str">
        <f>"1"</f>
        <v>1</v>
      </c>
      <c r="J1844" t="str">
        <f t="shared" si="279"/>
        <v>39</v>
      </c>
      <c r="K1844">
        <v>20190308</v>
      </c>
      <c r="L1844" t="str">
        <f>"075891"</f>
        <v>075891</v>
      </c>
      <c r="M1844" t="str">
        <f>"20463"</f>
        <v>20463</v>
      </c>
      <c r="N1844" t="s">
        <v>509</v>
      </c>
      <c r="O1844">
        <v>114</v>
      </c>
      <c r="P1844">
        <v>20190305</v>
      </c>
      <c r="Q1844" t="s">
        <v>1091</v>
      </c>
      <c r="R1844" t="s">
        <v>1092</v>
      </c>
      <c r="S1844" t="s">
        <v>295</v>
      </c>
      <c r="T1844" t="s">
        <v>301</v>
      </c>
    </row>
    <row r="1845" spans="1:20" x14ac:dyDescent="0.25">
      <c r="A1845">
        <v>9</v>
      </c>
      <c r="B1845">
        <v>181</v>
      </c>
      <c r="C1845" t="str">
        <f t="shared" si="276"/>
        <v>36</v>
      </c>
      <c r="D1845">
        <v>6412</v>
      </c>
      <c r="E1845" t="str">
        <f>"3P"</f>
        <v>3P</v>
      </c>
      <c r="F1845" t="str">
        <f t="shared" si="277"/>
        <v>001</v>
      </c>
      <c r="G1845">
        <v>9</v>
      </c>
      <c r="H1845" t="str">
        <f t="shared" si="278"/>
        <v>91</v>
      </c>
      <c r="I1845" t="str">
        <f>"1"</f>
        <v>1</v>
      </c>
      <c r="J1845" t="str">
        <f t="shared" si="279"/>
        <v>39</v>
      </c>
      <c r="K1845">
        <v>20190308</v>
      </c>
      <c r="L1845" t="str">
        <f>"075892"</f>
        <v>075892</v>
      </c>
      <c r="M1845" t="str">
        <f>"51345"</f>
        <v>51345</v>
      </c>
      <c r="N1845" t="s">
        <v>513</v>
      </c>
      <c r="O1845">
        <v>32.5</v>
      </c>
      <c r="P1845">
        <v>20190305</v>
      </c>
      <c r="Q1845" t="s">
        <v>1046</v>
      </c>
      <c r="R1845" t="s">
        <v>1093</v>
      </c>
      <c r="S1845" t="s">
        <v>295</v>
      </c>
      <c r="T1845" t="s">
        <v>301</v>
      </c>
    </row>
    <row r="1846" spans="1:20" x14ac:dyDescent="0.25">
      <c r="A1846">
        <v>9</v>
      </c>
      <c r="B1846">
        <v>181</v>
      </c>
      <c r="C1846" t="str">
        <f t="shared" si="276"/>
        <v>36</v>
      </c>
      <c r="D1846">
        <v>6412</v>
      </c>
      <c r="E1846" t="str">
        <f>"3N"</f>
        <v>3N</v>
      </c>
      <c r="F1846" t="str">
        <f t="shared" si="277"/>
        <v>001</v>
      </c>
      <c r="G1846">
        <v>9</v>
      </c>
      <c r="H1846" t="str">
        <f t="shared" si="278"/>
        <v>91</v>
      </c>
      <c r="I1846" t="str">
        <f>"1"</f>
        <v>1</v>
      </c>
      <c r="J1846" t="str">
        <f t="shared" si="279"/>
        <v>39</v>
      </c>
      <c r="K1846">
        <v>20190308</v>
      </c>
      <c r="L1846" t="str">
        <f>"075893"</f>
        <v>075893</v>
      </c>
      <c r="M1846" t="str">
        <f>"51346"</f>
        <v>51346</v>
      </c>
      <c r="N1846" t="s">
        <v>418</v>
      </c>
      <c r="O1846">
        <v>224</v>
      </c>
      <c r="P1846">
        <v>20190305</v>
      </c>
      <c r="Q1846" t="s">
        <v>920</v>
      </c>
      <c r="R1846" t="s">
        <v>1094</v>
      </c>
      <c r="S1846" t="s">
        <v>295</v>
      </c>
      <c r="T1846" t="s">
        <v>301</v>
      </c>
    </row>
    <row r="1847" spans="1:20" x14ac:dyDescent="0.25">
      <c r="A1847">
        <v>9</v>
      </c>
      <c r="B1847">
        <v>181</v>
      </c>
      <c r="C1847" t="str">
        <f t="shared" si="276"/>
        <v>36</v>
      </c>
      <c r="D1847">
        <v>6219</v>
      </c>
      <c r="E1847" t="str">
        <f>"3N"</f>
        <v>3N</v>
      </c>
      <c r="F1847" t="str">
        <f t="shared" si="277"/>
        <v>001</v>
      </c>
      <c r="G1847">
        <v>9</v>
      </c>
      <c r="H1847" t="str">
        <f t="shared" si="278"/>
        <v>91</v>
      </c>
      <c r="I1847" t="str">
        <f>"0"</f>
        <v>0</v>
      </c>
      <c r="J1847" t="str">
        <f t="shared" si="279"/>
        <v>39</v>
      </c>
      <c r="K1847">
        <v>20190308</v>
      </c>
      <c r="L1847" t="str">
        <f>"075896"</f>
        <v>075896</v>
      </c>
      <c r="M1847" t="str">
        <f>"21087"</f>
        <v>21087</v>
      </c>
      <c r="N1847" t="s">
        <v>1095</v>
      </c>
      <c r="O1847">
        <v>50</v>
      </c>
      <c r="P1847">
        <v>20190306</v>
      </c>
      <c r="Q1847" t="s">
        <v>942</v>
      </c>
      <c r="R1847" t="s">
        <v>1096</v>
      </c>
      <c r="S1847" t="s">
        <v>295</v>
      </c>
      <c r="T1847" t="s">
        <v>301</v>
      </c>
    </row>
    <row r="1848" spans="1:20" x14ac:dyDescent="0.25">
      <c r="A1848">
        <v>9</v>
      </c>
      <c r="B1848">
        <v>181</v>
      </c>
      <c r="C1848" t="str">
        <f t="shared" si="276"/>
        <v>36</v>
      </c>
      <c r="D1848">
        <v>6219</v>
      </c>
      <c r="E1848" t="str">
        <f>"3N"</f>
        <v>3N</v>
      </c>
      <c r="F1848" t="str">
        <f t="shared" si="277"/>
        <v>001</v>
      </c>
      <c r="G1848">
        <v>9</v>
      </c>
      <c r="H1848" t="str">
        <f t="shared" si="278"/>
        <v>91</v>
      </c>
      <c r="I1848" t="str">
        <f>"0"</f>
        <v>0</v>
      </c>
      <c r="J1848" t="str">
        <f t="shared" si="279"/>
        <v>39</v>
      </c>
      <c r="K1848">
        <v>20190308</v>
      </c>
      <c r="L1848" t="str">
        <f>"075896"</f>
        <v>075896</v>
      </c>
      <c r="M1848" t="str">
        <f>"21087"</f>
        <v>21087</v>
      </c>
      <c r="N1848" t="s">
        <v>1095</v>
      </c>
      <c r="O1848">
        <v>50</v>
      </c>
      <c r="P1848">
        <v>20190306</v>
      </c>
      <c r="Q1848" t="s">
        <v>942</v>
      </c>
      <c r="R1848" t="s">
        <v>1096</v>
      </c>
      <c r="S1848" t="s">
        <v>295</v>
      </c>
      <c r="T1848" t="s">
        <v>301</v>
      </c>
    </row>
    <row r="1849" spans="1:20" x14ac:dyDescent="0.25">
      <c r="A1849">
        <v>9</v>
      </c>
      <c r="B1849">
        <v>181</v>
      </c>
      <c r="C1849" t="str">
        <f t="shared" si="276"/>
        <v>36</v>
      </c>
      <c r="D1849">
        <v>6219</v>
      </c>
      <c r="E1849" t="str">
        <f>"3B"</f>
        <v>3B</v>
      </c>
      <c r="F1849" t="str">
        <f t="shared" si="277"/>
        <v>001</v>
      </c>
      <c r="G1849">
        <v>9</v>
      </c>
      <c r="H1849" t="str">
        <f t="shared" si="278"/>
        <v>91</v>
      </c>
      <c r="I1849" t="str">
        <f>"0"</f>
        <v>0</v>
      </c>
      <c r="J1849" t="str">
        <f t="shared" si="279"/>
        <v>39</v>
      </c>
      <c r="K1849">
        <v>20190308</v>
      </c>
      <c r="L1849" t="str">
        <f>"075899"</f>
        <v>075899</v>
      </c>
      <c r="M1849" t="str">
        <f>"22252"</f>
        <v>22252</v>
      </c>
      <c r="N1849" t="s">
        <v>1097</v>
      </c>
      <c r="O1849">
        <v>135</v>
      </c>
      <c r="P1849">
        <v>20190306</v>
      </c>
      <c r="Q1849" t="s">
        <v>695</v>
      </c>
      <c r="R1849" t="s">
        <v>939</v>
      </c>
      <c r="S1849" t="s">
        <v>295</v>
      </c>
      <c r="T1849" t="s">
        <v>301</v>
      </c>
    </row>
    <row r="1850" spans="1:20" x14ac:dyDescent="0.25">
      <c r="A1850">
        <v>9</v>
      </c>
      <c r="B1850">
        <v>181</v>
      </c>
      <c r="C1850" t="str">
        <f t="shared" si="276"/>
        <v>36</v>
      </c>
      <c r="D1850">
        <v>6412</v>
      </c>
      <c r="E1850" t="str">
        <f>"3M"</f>
        <v>3M</v>
      </c>
      <c r="F1850" t="str">
        <f t="shared" si="277"/>
        <v>001</v>
      </c>
      <c r="G1850">
        <v>9</v>
      </c>
      <c r="H1850" t="str">
        <f t="shared" si="278"/>
        <v>91</v>
      </c>
      <c r="I1850" t="str">
        <f>"1"</f>
        <v>1</v>
      </c>
      <c r="J1850" t="str">
        <f t="shared" si="279"/>
        <v>39</v>
      </c>
      <c r="K1850">
        <v>20190308</v>
      </c>
      <c r="L1850" t="str">
        <f>"075907"</f>
        <v>075907</v>
      </c>
      <c r="M1850" t="str">
        <f>"24339"</f>
        <v>24339</v>
      </c>
      <c r="N1850" t="s">
        <v>906</v>
      </c>
      <c r="O1850">
        <v>82.69</v>
      </c>
      <c r="P1850">
        <v>20190306</v>
      </c>
      <c r="Q1850" t="s">
        <v>907</v>
      </c>
      <c r="R1850" t="s">
        <v>864</v>
      </c>
      <c r="S1850" t="s">
        <v>295</v>
      </c>
      <c r="T1850" t="s">
        <v>301</v>
      </c>
    </row>
    <row r="1851" spans="1:20" x14ac:dyDescent="0.25">
      <c r="A1851">
        <v>9</v>
      </c>
      <c r="B1851">
        <v>181</v>
      </c>
      <c r="C1851" t="str">
        <f t="shared" si="276"/>
        <v>36</v>
      </c>
      <c r="D1851">
        <v>6219</v>
      </c>
      <c r="E1851" t="str">
        <f>"3N"</f>
        <v>3N</v>
      </c>
      <c r="F1851" t="str">
        <f t="shared" si="277"/>
        <v>001</v>
      </c>
      <c r="G1851">
        <v>9</v>
      </c>
      <c r="H1851" t="str">
        <f t="shared" si="278"/>
        <v>91</v>
      </c>
      <c r="I1851" t="str">
        <f>"0"</f>
        <v>0</v>
      </c>
      <c r="J1851" t="str">
        <f t="shared" si="279"/>
        <v>39</v>
      </c>
      <c r="K1851">
        <v>20190308</v>
      </c>
      <c r="L1851" t="str">
        <f>"075908"</f>
        <v>075908</v>
      </c>
      <c r="M1851" t="str">
        <f>"00705"</f>
        <v>00705</v>
      </c>
      <c r="N1851" t="s">
        <v>963</v>
      </c>
      <c r="O1851">
        <v>55</v>
      </c>
      <c r="P1851">
        <v>20190306</v>
      </c>
      <c r="Q1851" t="s">
        <v>942</v>
      </c>
      <c r="R1851" t="s">
        <v>1087</v>
      </c>
      <c r="S1851" t="s">
        <v>295</v>
      </c>
      <c r="T1851" t="s">
        <v>301</v>
      </c>
    </row>
    <row r="1852" spans="1:20" x14ac:dyDescent="0.25">
      <c r="A1852">
        <v>9</v>
      </c>
      <c r="B1852">
        <v>181</v>
      </c>
      <c r="C1852" t="str">
        <f t="shared" si="276"/>
        <v>36</v>
      </c>
      <c r="D1852">
        <v>6219</v>
      </c>
      <c r="E1852" t="str">
        <f>"3B"</f>
        <v>3B</v>
      </c>
      <c r="F1852" t="str">
        <f t="shared" si="277"/>
        <v>001</v>
      </c>
      <c r="G1852">
        <v>9</v>
      </c>
      <c r="H1852" t="str">
        <f t="shared" si="278"/>
        <v>91</v>
      </c>
      <c r="I1852" t="str">
        <f>"0"</f>
        <v>0</v>
      </c>
      <c r="J1852" t="str">
        <f t="shared" si="279"/>
        <v>39</v>
      </c>
      <c r="K1852">
        <v>20190308</v>
      </c>
      <c r="L1852" t="str">
        <f>"075909"</f>
        <v>075909</v>
      </c>
      <c r="M1852" t="str">
        <f>"25100"</f>
        <v>25100</v>
      </c>
      <c r="N1852" t="s">
        <v>1098</v>
      </c>
      <c r="O1852">
        <v>135</v>
      </c>
      <c r="P1852">
        <v>20190306</v>
      </c>
      <c r="Q1852" t="s">
        <v>695</v>
      </c>
      <c r="R1852" t="s">
        <v>939</v>
      </c>
      <c r="S1852" t="s">
        <v>295</v>
      </c>
      <c r="T1852" t="s">
        <v>301</v>
      </c>
    </row>
    <row r="1853" spans="1:20" x14ac:dyDescent="0.25">
      <c r="A1853">
        <v>9</v>
      </c>
      <c r="B1853">
        <v>181</v>
      </c>
      <c r="C1853" t="str">
        <f t="shared" si="276"/>
        <v>36</v>
      </c>
      <c r="D1853">
        <v>6412</v>
      </c>
      <c r="E1853" t="str">
        <f>"09"</f>
        <v>09</v>
      </c>
      <c r="F1853" t="str">
        <f t="shared" si="277"/>
        <v>001</v>
      </c>
      <c r="G1853">
        <v>9</v>
      </c>
      <c r="H1853" t="str">
        <f t="shared" si="278"/>
        <v>91</v>
      </c>
      <c r="I1853" t="str">
        <f>"S"</f>
        <v>S</v>
      </c>
      <c r="J1853" t="str">
        <f t="shared" si="279"/>
        <v>39</v>
      </c>
      <c r="K1853">
        <v>20190308</v>
      </c>
      <c r="L1853" t="str">
        <f>"075915"</f>
        <v>075915</v>
      </c>
      <c r="M1853" t="str">
        <f>"28680"</f>
        <v>28680</v>
      </c>
      <c r="N1853" t="s">
        <v>482</v>
      </c>
      <c r="O1853">
        <v>249.11</v>
      </c>
      <c r="P1853">
        <v>20190306</v>
      </c>
      <c r="Q1853" t="s">
        <v>874</v>
      </c>
      <c r="R1853" t="s">
        <v>944</v>
      </c>
      <c r="S1853" t="s">
        <v>295</v>
      </c>
      <c r="T1853" t="s">
        <v>301</v>
      </c>
    </row>
    <row r="1854" spans="1:20" x14ac:dyDescent="0.25">
      <c r="A1854">
        <v>9</v>
      </c>
      <c r="B1854">
        <v>181</v>
      </c>
      <c r="C1854" t="str">
        <f t="shared" si="276"/>
        <v>36</v>
      </c>
      <c r="D1854">
        <v>6412</v>
      </c>
      <c r="E1854" t="str">
        <f>"09"</f>
        <v>09</v>
      </c>
      <c r="F1854" t="str">
        <f t="shared" si="277"/>
        <v>001</v>
      </c>
      <c r="G1854">
        <v>9</v>
      </c>
      <c r="H1854" t="str">
        <f t="shared" si="278"/>
        <v>91</v>
      </c>
      <c r="I1854" t="str">
        <f>"S"</f>
        <v>S</v>
      </c>
      <c r="J1854" t="str">
        <f t="shared" si="279"/>
        <v>39</v>
      </c>
      <c r="K1854">
        <v>20190308</v>
      </c>
      <c r="L1854" t="str">
        <f>"075915"</f>
        <v>075915</v>
      </c>
      <c r="M1854" t="str">
        <f>"28680"</f>
        <v>28680</v>
      </c>
      <c r="N1854" t="s">
        <v>482</v>
      </c>
      <c r="O1854">
        <v>249.11</v>
      </c>
      <c r="P1854">
        <v>20190306</v>
      </c>
      <c r="Q1854" t="s">
        <v>874</v>
      </c>
      <c r="R1854" t="s">
        <v>944</v>
      </c>
      <c r="S1854" t="s">
        <v>295</v>
      </c>
      <c r="T1854" t="s">
        <v>301</v>
      </c>
    </row>
    <row r="1855" spans="1:20" x14ac:dyDescent="0.25">
      <c r="A1855">
        <v>9</v>
      </c>
      <c r="B1855">
        <v>181</v>
      </c>
      <c r="C1855" t="str">
        <f t="shared" si="276"/>
        <v>36</v>
      </c>
      <c r="D1855">
        <v>6412</v>
      </c>
      <c r="E1855" t="str">
        <f>"3G"</f>
        <v>3G</v>
      </c>
      <c r="F1855" t="str">
        <f t="shared" si="277"/>
        <v>001</v>
      </c>
      <c r="G1855">
        <v>9</v>
      </c>
      <c r="H1855" t="str">
        <f t="shared" si="278"/>
        <v>91</v>
      </c>
      <c r="I1855" t="str">
        <f>"3"</f>
        <v>3</v>
      </c>
      <c r="J1855" t="str">
        <f t="shared" si="279"/>
        <v>39</v>
      </c>
      <c r="K1855">
        <v>20190308</v>
      </c>
      <c r="L1855" t="str">
        <f>"075915"</f>
        <v>075915</v>
      </c>
      <c r="M1855" t="str">
        <f>"28680"</f>
        <v>28680</v>
      </c>
      <c r="N1855" t="s">
        <v>482</v>
      </c>
      <c r="O1855">
        <v>85.84</v>
      </c>
      <c r="P1855">
        <v>20190306</v>
      </c>
      <c r="Q1855" t="s">
        <v>483</v>
      </c>
      <c r="R1855" t="s">
        <v>894</v>
      </c>
      <c r="S1855" t="s">
        <v>295</v>
      </c>
      <c r="T1855" t="s">
        <v>301</v>
      </c>
    </row>
    <row r="1856" spans="1:20" x14ac:dyDescent="0.25">
      <c r="A1856">
        <v>9</v>
      </c>
      <c r="B1856">
        <v>181</v>
      </c>
      <c r="C1856" t="str">
        <f t="shared" si="276"/>
        <v>36</v>
      </c>
      <c r="D1856">
        <v>6412</v>
      </c>
      <c r="E1856" t="str">
        <f>"3G"</f>
        <v>3G</v>
      </c>
      <c r="F1856" t="str">
        <f t="shared" ref="F1856:F1883" si="280">"001"</f>
        <v>001</v>
      </c>
      <c r="G1856">
        <v>9</v>
      </c>
      <c r="H1856" t="str">
        <f t="shared" si="278"/>
        <v>91</v>
      </c>
      <c r="I1856" t="str">
        <f>"3"</f>
        <v>3</v>
      </c>
      <c r="J1856" t="str">
        <f t="shared" ref="J1856:J1879" si="281">"39"</f>
        <v>39</v>
      </c>
      <c r="K1856">
        <v>20190308</v>
      </c>
      <c r="L1856" t="str">
        <f>"075915"</f>
        <v>075915</v>
      </c>
      <c r="M1856" t="str">
        <f>"28680"</f>
        <v>28680</v>
      </c>
      <c r="N1856" t="s">
        <v>482</v>
      </c>
      <c r="O1856">
        <v>85.84</v>
      </c>
      <c r="P1856">
        <v>20190306</v>
      </c>
      <c r="Q1856" t="s">
        <v>483</v>
      </c>
      <c r="R1856" t="s">
        <v>998</v>
      </c>
      <c r="S1856" t="s">
        <v>295</v>
      </c>
      <c r="T1856" t="s">
        <v>301</v>
      </c>
    </row>
    <row r="1857" spans="1:20" x14ac:dyDescent="0.25">
      <c r="A1857">
        <v>9</v>
      </c>
      <c r="B1857">
        <v>181</v>
      </c>
      <c r="C1857" t="str">
        <f t="shared" si="276"/>
        <v>36</v>
      </c>
      <c r="D1857">
        <v>6219</v>
      </c>
      <c r="E1857" t="str">
        <f>"09"</f>
        <v>09</v>
      </c>
      <c r="F1857" t="str">
        <f t="shared" si="280"/>
        <v>001</v>
      </c>
      <c r="G1857">
        <v>9</v>
      </c>
      <c r="H1857" t="str">
        <f t="shared" si="278"/>
        <v>91</v>
      </c>
      <c r="I1857" t="str">
        <f>"D"</f>
        <v>D</v>
      </c>
      <c r="J1857" t="str">
        <f t="shared" si="281"/>
        <v>39</v>
      </c>
      <c r="K1857">
        <v>20190308</v>
      </c>
      <c r="L1857" t="str">
        <f>"075923"</f>
        <v>075923</v>
      </c>
      <c r="M1857" t="str">
        <f>"30118"</f>
        <v>30118</v>
      </c>
      <c r="N1857" t="s">
        <v>347</v>
      </c>
      <c r="O1857">
        <v>96</v>
      </c>
      <c r="P1857">
        <v>20190306</v>
      </c>
      <c r="Q1857" t="s">
        <v>1081</v>
      </c>
      <c r="R1857" t="s">
        <v>1082</v>
      </c>
      <c r="S1857" t="s">
        <v>295</v>
      </c>
      <c r="T1857" t="s">
        <v>301</v>
      </c>
    </row>
    <row r="1858" spans="1:20" x14ac:dyDescent="0.25">
      <c r="A1858">
        <v>9</v>
      </c>
      <c r="B1858">
        <v>181</v>
      </c>
      <c r="C1858" t="str">
        <f t="shared" si="276"/>
        <v>36</v>
      </c>
      <c r="D1858">
        <v>6219</v>
      </c>
      <c r="E1858" t="str">
        <f>"3B"</f>
        <v>3B</v>
      </c>
      <c r="F1858" t="str">
        <f t="shared" si="280"/>
        <v>001</v>
      </c>
      <c r="G1858">
        <v>9</v>
      </c>
      <c r="H1858" t="str">
        <f t="shared" si="278"/>
        <v>91</v>
      </c>
      <c r="I1858" t="str">
        <f>"1"</f>
        <v>1</v>
      </c>
      <c r="J1858" t="str">
        <f t="shared" si="281"/>
        <v>39</v>
      </c>
      <c r="K1858">
        <v>20190308</v>
      </c>
      <c r="L1858" t="str">
        <f>"075923"</f>
        <v>075923</v>
      </c>
      <c r="M1858" t="str">
        <f>"30118"</f>
        <v>30118</v>
      </c>
      <c r="N1858" t="s">
        <v>347</v>
      </c>
      <c r="O1858">
        <v>128</v>
      </c>
      <c r="P1858">
        <v>20190306</v>
      </c>
      <c r="Q1858" t="s">
        <v>713</v>
      </c>
      <c r="R1858" t="s">
        <v>966</v>
      </c>
      <c r="S1858" t="s">
        <v>295</v>
      </c>
      <c r="T1858" t="s">
        <v>301</v>
      </c>
    </row>
    <row r="1859" spans="1:20" x14ac:dyDescent="0.25">
      <c r="A1859">
        <v>9</v>
      </c>
      <c r="B1859">
        <v>181</v>
      </c>
      <c r="C1859" t="str">
        <f t="shared" si="276"/>
        <v>36</v>
      </c>
      <c r="D1859">
        <v>6219</v>
      </c>
      <c r="E1859" t="str">
        <f>"3K"</f>
        <v>3K</v>
      </c>
      <c r="F1859" t="str">
        <f t="shared" si="280"/>
        <v>001</v>
      </c>
      <c r="G1859">
        <v>9</v>
      </c>
      <c r="H1859" t="str">
        <f t="shared" si="278"/>
        <v>91</v>
      </c>
      <c r="I1859" t="str">
        <f>"0"</f>
        <v>0</v>
      </c>
      <c r="J1859" t="str">
        <f t="shared" si="281"/>
        <v>39</v>
      </c>
      <c r="K1859">
        <v>20190308</v>
      </c>
      <c r="L1859" t="str">
        <f>"075925"</f>
        <v>075925</v>
      </c>
      <c r="M1859" t="str">
        <f>"31399"</f>
        <v>31399</v>
      </c>
      <c r="N1859" t="s">
        <v>1099</v>
      </c>
      <c r="O1859">
        <v>130</v>
      </c>
      <c r="P1859">
        <v>20190306</v>
      </c>
      <c r="Q1859" t="s">
        <v>951</v>
      </c>
      <c r="R1859" t="s">
        <v>1100</v>
      </c>
      <c r="S1859" t="s">
        <v>295</v>
      </c>
      <c r="T1859" t="s">
        <v>301</v>
      </c>
    </row>
    <row r="1860" spans="1:20" x14ac:dyDescent="0.25">
      <c r="A1860">
        <v>9</v>
      </c>
      <c r="B1860">
        <v>181</v>
      </c>
      <c r="C1860" t="str">
        <f t="shared" si="276"/>
        <v>36</v>
      </c>
      <c r="D1860">
        <v>6219</v>
      </c>
      <c r="E1860" t="str">
        <f>"3K"</f>
        <v>3K</v>
      </c>
      <c r="F1860" t="str">
        <f t="shared" si="280"/>
        <v>001</v>
      </c>
      <c r="G1860">
        <v>9</v>
      </c>
      <c r="H1860" t="str">
        <f t="shared" si="278"/>
        <v>91</v>
      </c>
      <c r="I1860" t="str">
        <f>"0"</f>
        <v>0</v>
      </c>
      <c r="J1860" t="str">
        <f t="shared" si="281"/>
        <v>39</v>
      </c>
      <c r="K1860">
        <v>20190308</v>
      </c>
      <c r="L1860" t="str">
        <f>"075925"</f>
        <v>075925</v>
      </c>
      <c r="M1860" t="str">
        <f>"31399"</f>
        <v>31399</v>
      </c>
      <c r="N1860" t="s">
        <v>1099</v>
      </c>
      <c r="O1860">
        <v>55</v>
      </c>
      <c r="P1860">
        <v>20190306</v>
      </c>
      <c r="Q1860" t="s">
        <v>951</v>
      </c>
      <c r="R1860" t="s">
        <v>1101</v>
      </c>
      <c r="S1860" t="s">
        <v>295</v>
      </c>
      <c r="T1860" t="s">
        <v>301</v>
      </c>
    </row>
    <row r="1861" spans="1:20" x14ac:dyDescent="0.25">
      <c r="A1861">
        <v>9</v>
      </c>
      <c r="B1861">
        <v>181</v>
      </c>
      <c r="C1861" t="str">
        <f t="shared" si="276"/>
        <v>36</v>
      </c>
      <c r="D1861">
        <v>6219</v>
      </c>
      <c r="E1861" t="str">
        <f>"3P"</f>
        <v>3P</v>
      </c>
      <c r="F1861" t="str">
        <f t="shared" si="280"/>
        <v>001</v>
      </c>
      <c r="G1861">
        <v>9</v>
      </c>
      <c r="H1861" t="str">
        <f t="shared" si="278"/>
        <v>91</v>
      </c>
      <c r="I1861" t="str">
        <f>"0"</f>
        <v>0</v>
      </c>
      <c r="J1861" t="str">
        <f t="shared" si="281"/>
        <v>39</v>
      </c>
      <c r="K1861">
        <v>20190308</v>
      </c>
      <c r="L1861" t="str">
        <f>"075927"</f>
        <v>075927</v>
      </c>
      <c r="M1861" t="str">
        <f>"00749"</f>
        <v>00749</v>
      </c>
      <c r="N1861" t="s">
        <v>1102</v>
      </c>
      <c r="O1861">
        <v>96</v>
      </c>
      <c r="P1861">
        <v>20190306</v>
      </c>
      <c r="Q1861" t="s">
        <v>961</v>
      </c>
      <c r="R1861" t="s">
        <v>1086</v>
      </c>
      <c r="S1861" t="s">
        <v>295</v>
      </c>
      <c r="T1861" t="s">
        <v>301</v>
      </c>
    </row>
    <row r="1862" spans="1:20" x14ac:dyDescent="0.25">
      <c r="A1862">
        <v>9</v>
      </c>
      <c r="B1862">
        <v>181</v>
      </c>
      <c r="C1862" t="str">
        <f t="shared" si="276"/>
        <v>36</v>
      </c>
      <c r="D1862">
        <v>6219</v>
      </c>
      <c r="E1862" t="str">
        <f>"3K"</f>
        <v>3K</v>
      </c>
      <c r="F1862" t="str">
        <f t="shared" si="280"/>
        <v>001</v>
      </c>
      <c r="G1862">
        <v>9</v>
      </c>
      <c r="H1862" t="str">
        <f t="shared" si="278"/>
        <v>91</v>
      </c>
      <c r="I1862" t="str">
        <f>"0"</f>
        <v>0</v>
      </c>
      <c r="J1862" t="str">
        <f t="shared" si="281"/>
        <v>39</v>
      </c>
      <c r="K1862">
        <v>20190308</v>
      </c>
      <c r="L1862" t="str">
        <f>"075929"</f>
        <v>075929</v>
      </c>
      <c r="M1862" t="str">
        <f>"00750"</f>
        <v>00750</v>
      </c>
      <c r="N1862" t="s">
        <v>1103</v>
      </c>
      <c r="O1862">
        <v>115</v>
      </c>
      <c r="P1862">
        <v>20190306</v>
      </c>
      <c r="Q1862" t="s">
        <v>951</v>
      </c>
      <c r="R1862" t="s">
        <v>1104</v>
      </c>
      <c r="S1862" t="s">
        <v>295</v>
      </c>
      <c r="T1862" t="s">
        <v>301</v>
      </c>
    </row>
    <row r="1863" spans="1:20" x14ac:dyDescent="0.25">
      <c r="A1863">
        <v>9</v>
      </c>
      <c r="B1863">
        <v>181</v>
      </c>
      <c r="C1863" t="str">
        <f t="shared" si="276"/>
        <v>36</v>
      </c>
      <c r="D1863">
        <v>6219</v>
      </c>
      <c r="E1863" t="str">
        <f>"09"</f>
        <v>09</v>
      </c>
      <c r="F1863" t="str">
        <f t="shared" si="280"/>
        <v>001</v>
      </c>
      <c r="G1863">
        <v>9</v>
      </c>
      <c r="H1863" t="str">
        <f t="shared" si="278"/>
        <v>91</v>
      </c>
      <c r="I1863" t="str">
        <f>"D"</f>
        <v>D</v>
      </c>
      <c r="J1863" t="str">
        <f t="shared" si="281"/>
        <v>39</v>
      </c>
      <c r="K1863">
        <v>20190308</v>
      </c>
      <c r="L1863" t="str">
        <f>"075930"</f>
        <v>075930</v>
      </c>
      <c r="M1863" t="str">
        <f>"36704"</f>
        <v>36704</v>
      </c>
      <c r="N1863" t="s">
        <v>485</v>
      </c>
      <c r="O1863">
        <v>90</v>
      </c>
      <c r="P1863">
        <v>20190306</v>
      </c>
      <c r="Q1863" t="s">
        <v>1081</v>
      </c>
      <c r="R1863" t="s">
        <v>1082</v>
      </c>
      <c r="S1863" t="s">
        <v>295</v>
      </c>
      <c r="T1863" t="s">
        <v>301</v>
      </c>
    </row>
    <row r="1864" spans="1:20" x14ac:dyDescent="0.25">
      <c r="A1864">
        <v>9</v>
      </c>
      <c r="B1864">
        <v>181</v>
      </c>
      <c r="C1864" t="str">
        <f t="shared" si="276"/>
        <v>36</v>
      </c>
      <c r="D1864">
        <v>6219</v>
      </c>
      <c r="E1864" t="str">
        <f>"3B"</f>
        <v>3B</v>
      </c>
      <c r="F1864" t="str">
        <f t="shared" si="280"/>
        <v>001</v>
      </c>
      <c r="G1864">
        <v>9</v>
      </c>
      <c r="H1864" t="str">
        <f t="shared" si="278"/>
        <v>91</v>
      </c>
      <c r="I1864" t="str">
        <f>"0"</f>
        <v>0</v>
      </c>
      <c r="J1864" t="str">
        <f t="shared" si="281"/>
        <v>39</v>
      </c>
      <c r="K1864">
        <v>20190308</v>
      </c>
      <c r="L1864" t="str">
        <f>"075930"</f>
        <v>075930</v>
      </c>
      <c r="M1864" t="str">
        <f>"36704"</f>
        <v>36704</v>
      </c>
      <c r="N1864" t="s">
        <v>485</v>
      </c>
      <c r="O1864">
        <v>115</v>
      </c>
      <c r="P1864">
        <v>20190306</v>
      </c>
      <c r="Q1864" t="s">
        <v>695</v>
      </c>
      <c r="R1864" t="s">
        <v>1074</v>
      </c>
      <c r="S1864" t="s">
        <v>295</v>
      </c>
      <c r="T1864" t="s">
        <v>301</v>
      </c>
    </row>
    <row r="1865" spans="1:20" x14ac:dyDescent="0.25">
      <c r="A1865">
        <v>9</v>
      </c>
      <c r="B1865">
        <v>181</v>
      </c>
      <c r="C1865" t="str">
        <f t="shared" si="276"/>
        <v>36</v>
      </c>
      <c r="D1865">
        <v>6219</v>
      </c>
      <c r="E1865" t="str">
        <f>"3B"</f>
        <v>3B</v>
      </c>
      <c r="F1865" t="str">
        <f t="shared" si="280"/>
        <v>001</v>
      </c>
      <c r="G1865">
        <v>9</v>
      </c>
      <c r="H1865" t="str">
        <f t="shared" si="278"/>
        <v>91</v>
      </c>
      <c r="I1865" t="str">
        <f>"0"</f>
        <v>0</v>
      </c>
      <c r="J1865" t="str">
        <f t="shared" si="281"/>
        <v>39</v>
      </c>
      <c r="K1865">
        <v>20190308</v>
      </c>
      <c r="L1865" t="str">
        <f>"075930"</f>
        <v>075930</v>
      </c>
      <c r="M1865" t="str">
        <f>"36704"</f>
        <v>36704</v>
      </c>
      <c r="N1865" t="s">
        <v>485</v>
      </c>
      <c r="O1865">
        <v>135</v>
      </c>
      <c r="P1865">
        <v>20190306</v>
      </c>
      <c r="Q1865" t="s">
        <v>695</v>
      </c>
      <c r="R1865" t="s">
        <v>1075</v>
      </c>
      <c r="S1865" t="s">
        <v>295</v>
      </c>
      <c r="T1865" t="s">
        <v>301</v>
      </c>
    </row>
    <row r="1866" spans="1:20" x14ac:dyDescent="0.25">
      <c r="A1866">
        <v>9</v>
      </c>
      <c r="B1866">
        <v>181</v>
      </c>
      <c r="C1866" t="str">
        <f t="shared" si="276"/>
        <v>36</v>
      </c>
      <c r="D1866">
        <v>6219</v>
      </c>
      <c r="E1866" t="str">
        <f>"3B"</f>
        <v>3B</v>
      </c>
      <c r="F1866" t="str">
        <f t="shared" si="280"/>
        <v>001</v>
      </c>
      <c r="G1866">
        <v>9</v>
      </c>
      <c r="H1866" t="str">
        <f t="shared" si="278"/>
        <v>91</v>
      </c>
      <c r="I1866" t="str">
        <f>"0"</f>
        <v>0</v>
      </c>
      <c r="J1866" t="str">
        <f t="shared" si="281"/>
        <v>39</v>
      </c>
      <c r="K1866">
        <v>20190308</v>
      </c>
      <c r="L1866" t="str">
        <f>"075932"</f>
        <v>075932</v>
      </c>
      <c r="M1866" t="str">
        <f>"39405"</f>
        <v>39405</v>
      </c>
      <c r="N1866" t="s">
        <v>354</v>
      </c>
      <c r="O1866">
        <v>115</v>
      </c>
      <c r="P1866">
        <v>20190306</v>
      </c>
      <c r="Q1866" t="s">
        <v>695</v>
      </c>
      <c r="R1866" t="s">
        <v>1075</v>
      </c>
      <c r="S1866" t="s">
        <v>295</v>
      </c>
      <c r="T1866" t="s">
        <v>301</v>
      </c>
    </row>
    <row r="1867" spans="1:20" x14ac:dyDescent="0.25">
      <c r="A1867">
        <v>9</v>
      </c>
      <c r="B1867">
        <v>181</v>
      </c>
      <c r="C1867" t="str">
        <f t="shared" si="276"/>
        <v>36</v>
      </c>
      <c r="D1867">
        <v>6219</v>
      </c>
      <c r="E1867" t="str">
        <f>"3K"</f>
        <v>3K</v>
      </c>
      <c r="F1867" t="str">
        <f t="shared" si="280"/>
        <v>001</v>
      </c>
      <c r="G1867">
        <v>9</v>
      </c>
      <c r="H1867" t="str">
        <f t="shared" si="278"/>
        <v>91</v>
      </c>
      <c r="I1867" t="str">
        <f>"0"</f>
        <v>0</v>
      </c>
      <c r="J1867" t="str">
        <f t="shared" si="281"/>
        <v>39</v>
      </c>
      <c r="K1867">
        <v>20190308</v>
      </c>
      <c r="L1867" t="str">
        <f>"075933"</f>
        <v>075933</v>
      </c>
      <c r="M1867" t="str">
        <f>"00119"</f>
        <v>00119</v>
      </c>
      <c r="N1867" t="s">
        <v>1105</v>
      </c>
      <c r="O1867">
        <v>75</v>
      </c>
      <c r="P1867">
        <v>20190306</v>
      </c>
      <c r="Q1867" t="s">
        <v>951</v>
      </c>
      <c r="R1867" t="s">
        <v>1100</v>
      </c>
      <c r="S1867" t="s">
        <v>295</v>
      </c>
      <c r="T1867" t="s">
        <v>301</v>
      </c>
    </row>
    <row r="1868" spans="1:20" x14ac:dyDescent="0.25">
      <c r="A1868">
        <v>9</v>
      </c>
      <c r="B1868">
        <v>181</v>
      </c>
      <c r="C1868" t="str">
        <f t="shared" si="276"/>
        <v>36</v>
      </c>
      <c r="D1868">
        <v>6412</v>
      </c>
      <c r="E1868" t="str">
        <f>"3U"</f>
        <v>3U</v>
      </c>
      <c r="F1868" t="str">
        <f t="shared" si="280"/>
        <v>001</v>
      </c>
      <c r="G1868">
        <v>9</v>
      </c>
      <c r="H1868" t="str">
        <f t="shared" si="278"/>
        <v>91</v>
      </c>
      <c r="I1868" t="str">
        <f>"2"</f>
        <v>2</v>
      </c>
      <c r="J1868" t="str">
        <f t="shared" si="281"/>
        <v>39</v>
      </c>
      <c r="K1868">
        <v>20190308</v>
      </c>
      <c r="L1868" t="str">
        <f>"075936"</f>
        <v>075936</v>
      </c>
      <c r="M1868" t="str">
        <f>"37513"</f>
        <v>37513</v>
      </c>
      <c r="N1868" t="s">
        <v>869</v>
      </c>
      <c r="O1868">
        <v>168</v>
      </c>
      <c r="P1868">
        <v>20190306</v>
      </c>
      <c r="Q1868" t="s">
        <v>958</v>
      </c>
      <c r="R1868" t="s">
        <v>1106</v>
      </c>
      <c r="S1868" t="s">
        <v>295</v>
      </c>
      <c r="T1868" t="s">
        <v>301</v>
      </c>
    </row>
    <row r="1869" spans="1:20" x14ac:dyDescent="0.25">
      <c r="A1869">
        <v>9</v>
      </c>
      <c r="B1869">
        <v>181</v>
      </c>
      <c r="C1869" t="str">
        <f t="shared" si="276"/>
        <v>36</v>
      </c>
      <c r="D1869">
        <v>6412</v>
      </c>
      <c r="E1869" t="str">
        <f>"3T"</f>
        <v>3T</v>
      </c>
      <c r="F1869" t="str">
        <f t="shared" si="280"/>
        <v>001</v>
      </c>
      <c r="G1869">
        <v>9</v>
      </c>
      <c r="H1869" t="str">
        <f t="shared" si="278"/>
        <v>91</v>
      </c>
      <c r="I1869" t="str">
        <f>"1"</f>
        <v>1</v>
      </c>
      <c r="J1869" t="str">
        <f t="shared" si="281"/>
        <v>39</v>
      </c>
      <c r="K1869">
        <v>20190308</v>
      </c>
      <c r="L1869" t="str">
        <f>"075942"</f>
        <v>075942</v>
      </c>
      <c r="M1869" t="str">
        <f>"45093"</f>
        <v>45093</v>
      </c>
      <c r="N1869" t="s">
        <v>885</v>
      </c>
      <c r="O1869">
        <v>273.8</v>
      </c>
      <c r="P1869">
        <v>20190306</v>
      </c>
      <c r="Q1869" t="s">
        <v>419</v>
      </c>
      <c r="R1869" t="s">
        <v>1107</v>
      </c>
      <c r="S1869" t="s">
        <v>295</v>
      </c>
      <c r="T1869" t="s">
        <v>301</v>
      </c>
    </row>
    <row r="1870" spans="1:20" x14ac:dyDescent="0.25">
      <c r="A1870">
        <v>9</v>
      </c>
      <c r="B1870">
        <v>181</v>
      </c>
      <c r="C1870" t="str">
        <f t="shared" si="276"/>
        <v>36</v>
      </c>
      <c r="D1870">
        <v>6412</v>
      </c>
      <c r="E1870" t="str">
        <f>"3U"</f>
        <v>3U</v>
      </c>
      <c r="F1870" t="str">
        <f t="shared" si="280"/>
        <v>001</v>
      </c>
      <c r="G1870">
        <v>9</v>
      </c>
      <c r="H1870" t="str">
        <f t="shared" si="278"/>
        <v>91</v>
      </c>
      <c r="I1870" t="str">
        <f>"1"</f>
        <v>1</v>
      </c>
      <c r="J1870" t="str">
        <f t="shared" si="281"/>
        <v>39</v>
      </c>
      <c r="K1870">
        <v>20190308</v>
      </c>
      <c r="L1870" t="str">
        <f>"075942"</f>
        <v>075942</v>
      </c>
      <c r="M1870" t="str">
        <f>"45093"</f>
        <v>45093</v>
      </c>
      <c r="N1870" t="s">
        <v>885</v>
      </c>
      <c r="O1870">
        <v>166.8</v>
      </c>
      <c r="P1870">
        <v>20190306</v>
      </c>
      <c r="Q1870" t="s">
        <v>1091</v>
      </c>
      <c r="R1870" t="s">
        <v>1108</v>
      </c>
      <c r="S1870" t="s">
        <v>295</v>
      </c>
      <c r="T1870" t="s">
        <v>301</v>
      </c>
    </row>
    <row r="1871" spans="1:20" x14ac:dyDescent="0.25">
      <c r="A1871">
        <v>9</v>
      </c>
      <c r="B1871">
        <v>181</v>
      </c>
      <c r="C1871" t="str">
        <f t="shared" si="276"/>
        <v>36</v>
      </c>
      <c r="D1871">
        <v>6219</v>
      </c>
      <c r="E1871" t="str">
        <f>"3B"</f>
        <v>3B</v>
      </c>
      <c r="F1871" t="str">
        <f t="shared" si="280"/>
        <v>001</v>
      </c>
      <c r="G1871">
        <v>9</v>
      </c>
      <c r="H1871" t="str">
        <f t="shared" si="278"/>
        <v>91</v>
      </c>
      <c r="I1871" t="str">
        <f t="shared" ref="I1871:I1880" si="282">"0"</f>
        <v>0</v>
      </c>
      <c r="J1871" t="str">
        <f t="shared" si="281"/>
        <v>39</v>
      </c>
      <c r="K1871">
        <v>20190308</v>
      </c>
      <c r="L1871" t="str">
        <f>"075943"</f>
        <v>075943</v>
      </c>
      <c r="M1871" t="str">
        <f>"45251"</f>
        <v>45251</v>
      </c>
      <c r="N1871" t="s">
        <v>1109</v>
      </c>
      <c r="O1871">
        <v>115</v>
      </c>
      <c r="P1871">
        <v>20190306</v>
      </c>
      <c r="Q1871" t="s">
        <v>695</v>
      </c>
      <c r="R1871" t="s">
        <v>970</v>
      </c>
      <c r="S1871" t="s">
        <v>295</v>
      </c>
      <c r="T1871" t="s">
        <v>301</v>
      </c>
    </row>
    <row r="1872" spans="1:20" x14ac:dyDescent="0.25">
      <c r="A1872">
        <v>9</v>
      </c>
      <c r="B1872">
        <v>181</v>
      </c>
      <c r="C1872" t="str">
        <f t="shared" si="276"/>
        <v>36</v>
      </c>
      <c r="D1872">
        <v>6219</v>
      </c>
      <c r="E1872" t="str">
        <f>"3B"</f>
        <v>3B</v>
      </c>
      <c r="F1872" t="str">
        <f t="shared" si="280"/>
        <v>001</v>
      </c>
      <c r="G1872">
        <v>9</v>
      </c>
      <c r="H1872" t="str">
        <f t="shared" si="278"/>
        <v>91</v>
      </c>
      <c r="I1872" t="str">
        <f t="shared" si="282"/>
        <v>0</v>
      </c>
      <c r="J1872" t="str">
        <f t="shared" si="281"/>
        <v>39</v>
      </c>
      <c r="K1872">
        <v>20190308</v>
      </c>
      <c r="L1872" t="str">
        <f>"075943"</f>
        <v>075943</v>
      </c>
      <c r="M1872" t="str">
        <f>"45251"</f>
        <v>45251</v>
      </c>
      <c r="N1872" t="s">
        <v>1109</v>
      </c>
      <c r="O1872">
        <v>135</v>
      </c>
      <c r="P1872">
        <v>20190306</v>
      </c>
      <c r="Q1872" t="s">
        <v>695</v>
      </c>
      <c r="R1872" t="s">
        <v>1074</v>
      </c>
      <c r="S1872" t="s">
        <v>295</v>
      </c>
      <c r="T1872" t="s">
        <v>301</v>
      </c>
    </row>
    <row r="1873" spans="1:20" x14ac:dyDescent="0.25">
      <c r="A1873">
        <v>9</v>
      </c>
      <c r="B1873">
        <v>181</v>
      </c>
      <c r="C1873" t="str">
        <f t="shared" si="276"/>
        <v>36</v>
      </c>
      <c r="D1873">
        <v>6219</v>
      </c>
      <c r="E1873" t="str">
        <f>"3K"</f>
        <v>3K</v>
      </c>
      <c r="F1873" t="str">
        <f t="shared" si="280"/>
        <v>001</v>
      </c>
      <c r="G1873">
        <v>9</v>
      </c>
      <c r="H1873" t="str">
        <f t="shared" si="278"/>
        <v>91</v>
      </c>
      <c r="I1873" t="str">
        <f t="shared" si="282"/>
        <v>0</v>
      </c>
      <c r="J1873" t="str">
        <f t="shared" si="281"/>
        <v>39</v>
      </c>
      <c r="K1873">
        <v>20190308</v>
      </c>
      <c r="L1873" t="str">
        <f>"075955"</f>
        <v>075955</v>
      </c>
      <c r="M1873" t="str">
        <f>"50001"</f>
        <v>50001</v>
      </c>
      <c r="N1873" t="s">
        <v>1110</v>
      </c>
      <c r="O1873">
        <v>75</v>
      </c>
      <c r="P1873">
        <v>20190306</v>
      </c>
      <c r="Q1873" t="s">
        <v>951</v>
      </c>
      <c r="R1873" t="s">
        <v>1101</v>
      </c>
      <c r="S1873" t="s">
        <v>295</v>
      </c>
      <c r="T1873" t="s">
        <v>301</v>
      </c>
    </row>
    <row r="1874" spans="1:20" x14ac:dyDescent="0.25">
      <c r="A1874">
        <v>9</v>
      </c>
      <c r="B1874">
        <v>181</v>
      </c>
      <c r="C1874" t="str">
        <f t="shared" si="276"/>
        <v>36</v>
      </c>
      <c r="D1874">
        <v>6399</v>
      </c>
      <c r="E1874" t="str">
        <f>"3U"</f>
        <v>3U</v>
      </c>
      <c r="F1874" t="str">
        <f t="shared" si="280"/>
        <v>001</v>
      </c>
      <c r="G1874">
        <v>9</v>
      </c>
      <c r="H1874" t="str">
        <f t="shared" si="278"/>
        <v>91</v>
      </c>
      <c r="I1874" t="str">
        <f t="shared" si="282"/>
        <v>0</v>
      </c>
      <c r="J1874" t="str">
        <f t="shared" si="281"/>
        <v>39</v>
      </c>
      <c r="K1874">
        <v>20190308</v>
      </c>
      <c r="L1874" t="str">
        <f>"075959"</f>
        <v>075959</v>
      </c>
      <c r="M1874" t="str">
        <f>"52217"</f>
        <v>52217</v>
      </c>
      <c r="N1874" t="s">
        <v>630</v>
      </c>
      <c r="O1874">
        <v>99.96</v>
      </c>
      <c r="P1874">
        <v>20190306</v>
      </c>
      <c r="Q1874" t="s">
        <v>1111</v>
      </c>
      <c r="R1874" t="s">
        <v>1112</v>
      </c>
      <c r="S1874" t="s">
        <v>295</v>
      </c>
      <c r="T1874" t="s">
        <v>301</v>
      </c>
    </row>
    <row r="1875" spans="1:20" x14ac:dyDescent="0.25">
      <c r="A1875">
        <v>9</v>
      </c>
      <c r="B1875">
        <v>181</v>
      </c>
      <c r="C1875" t="str">
        <f t="shared" si="276"/>
        <v>36</v>
      </c>
      <c r="D1875">
        <v>6219</v>
      </c>
      <c r="E1875" t="str">
        <f>"3K"</f>
        <v>3K</v>
      </c>
      <c r="F1875" t="str">
        <f t="shared" si="280"/>
        <v>001</v>
      </c>
      <c r="G1875">
        <v>9</v>
      </c>
      <c r="H1875" t="str">
        <f t="shared" si="278"/>
        <v>91</v>
      </c>
      <c r="I1875" t="str">
        <f t="shared" si="282"/>
        <v>0</v>
      </c>
      <c r="J1875" t="str">
        <f t="shared" si="281"/>
        <v>39</v>
      </c>
      <c r="K1875">
        <v>20190308</v>
      </c>
      <c r="L1875" t="str">
        <f>"075961"</f>
        <v>075961</v>
      </c>
      <c r="M1875" t="str">
        <f>"00752"</f>
        <v>00752</v>
      </c>
      <c r="N1875" t="s">
        <v>1113</v>
      </c>
      <c r="O1875">
        <v>115</v>
      </c>
      <c r="P1875">
        <v>20190306</v>
      </c>
      <c r="Q1875" t="s">
        <v>951</v>
      </c>
      <c r="R1875" t="s">
        <v>1101</v>
      </c>
      <c r="S1875" t="s">
        <v>295</v>
      </c>
      <c r="T1875" t="s">
        <v>301</v>
      </c>
    </row>
    <row r="1876" spans="1:20" x14ac:dyDescent="0.25">
      <c r="A1876">
        <v>9</v>
      </c>
      <c r="B1876">
        <v>181</v>
      </c>
      <c r="C1876" t="str">
        <f t="shared" si="276"/>
        <v>36</v>
      </c>
      <c r="D1876">
        <v>6219</v>
      </c>
      <c r="E1876" t="str">
        <f>"3K"</f>
        <v>3K</v>
      </c>
      <c r="F1876" t="str">
        <f t="shared" si="280"/>
        <v>001</v>
      </c>
      <c r="G1876">
        <v>9</v>
      </c>
      <c r="H1876" t="str">
        <f t="shared" si="278"/>
        <v>91</v>
      </c>
      <c r="I1876" t="str">
        <f t="shared" si="282"/>
        <v>0</v>
      </c>
      <c r="J1876" t="str">
        <f t="shared" si="281"/>
        <v>39</v>
      </c>
      <c r="K1876">
        <v>20190308</v>
      </c>
      <c r="L1876" t="str">
        <f>"075967"</f>
        <v>075967</v>
      </c>
      <c r="M1876" t="str">
        <f>"00189"</f>
        <v>00189</v>
      </c>
      <c r="N1876" t="s">
        <v>993</v>
      </c>
      <c r="O1876">
        <v>130</v>
      </c>
      <c r="P1876">
        <v>20190306</v>
      </c>
      <c r="Q1876" t="s">
        <v>951</v>
      </c>
      <c r="R1876" t="s">
        <v>1114</v>
      </c>
      <c r="S1876" t="s">
        <v>295</v>
      </c>
      <c r="T1876" t="s">
        <v>301</v>
      </c>
    </row>
    <row r="1877" spans="1:20" x14ac:dyDescent="0.25">
      <c r="A1877">
        <v>9</v>
      </c>
      <c r="B1877">
        <v>181</v>
      </c>
      <c r="C1877" t="str">
        <f t="shared" si="276"/>
        <v>36</v>
      </c>
      <c r="D1877">
        <v>6219</v>
      </c>
      <c r="E1877" t="str">
        <f>"3K"</f>
        <v>3K</v>
      </c>
      <c r="F1877" t="str">
        <f t="shared" si="280"/>
        <v>001</v>
      </c>
      <c r="G1877">
        <v>9</v>
      </c>
      <c r="H1877" t="str">
        <f t="shared" si="278"/>
        <v>91</v>
      </c>
      <c r="I1877" t="str">
        <f t="shared" si="282"/>
        <v>0</v>
      </c>
      <c r="J1877" t="str">
        <f t="shared" si="281"/>
        <v>39</v>
      </c>
      <c r="K1877">
        <v>20190308</v>
      </c>
      <c r="L1877" t="str">
        <f>"075967"</f>
        <v>075967</v>
      </c>
      <c r="M1877" t="str">
        <f>"00189"</f>
        <v>00189</v>
      </c>
      <c r="N1877" t="s">
        <v>993</v>
      </c>
      <c r="O1877">
        <v>115</v>
      </c>
      <c r="P1877">
        <v>20190306</v>
      </c>
      <c r="Q1877" t="s">
        <v>951</v>
      </c>
      <c r="R1877" t="s">
        <v>1101</v>
      </c>
      <c r="S1877" t="s">
        <v>295</v>
      </c>
      <c r="T1877" t="s">
        <v>301</v>
      </c>
    </row>
    <row r="1878" spans="1:20" x14ac:dyDescent="0.25">
      <c r="A1878">
        <v>9</v>
      </c>
      <c r="B1878">
        <v>181</v>
      </c>
      <c r="C1878" t="str">
        <f t="shared" si="276"/>
        <v>36</v>
      </c>
      <c r="D1878">
        <v>6219</v>
      </c>
      <c r="E1878" t="str">
        <f>"3K"</f>
        <v>3K</v>
      </c>
      <c r="F1878" t="str">
        <f t="shared" si="280"/>
        <v>001</v>
      </c>
      <c r="G1878">
        <v>9</v>
      </c>
      <c r="H1878" t="str">
        <f t="shared" si="278"/>
        <v>91</v>
      </c>
      <c r="I1878" t="str">
        <f t="shared" si="282"/>
        <v>0</v>
      </c>
      <c r="J1878" t="str">
        <f t="shared" si="281"/>
        <v>39</v>
      </c>
      <c r="K1878">
        <v>20190308</v>
      </c>
      <c r="L1878" t="str">
        <f>"075968"</f>
        <v>075968</v>
      </c>
      <c r="M1878" t="str">
        <f>"56340"</f>
        <v>56340</v>
      </c>
      <c r="N1878" t="s">
        <v>1115</v>
      </c>
      <c r="O1878">
        <v>95</v>
      </c>
      <c r="P1878">
        <v>20190306</v>
      </c>
      <c r="Q1878" t="s">
        <v>951</v>
      </c>
      <c r="R1878" t="s">
        <v>1114</v>
      </c>
      <c r="S1878" t="s">
        <v>295</v>
      </c>
      <c r="T1878" t="s">
        <v>301</v>
      </c>
    </row>
    <row r="1879" spans="1:20" x14ac:dyDescent="0.25">
      <c r="A1879">
        <v>9</v>
      </c>
      <c r="B1879">
        <v>181</v>
      </c>
      <c r="C1879" t="str">
        <f t="shared" si="276"/>
        <v>36</v>
      </c>
      <c r="D1879">
        <v>6219</v>
      </c>
      <c r="E1879" t="str">
        <f>"3K"</f>
        <v>3K</v>
      </c>
      <c r="F1879" t="str">
        <f t="shared" si="280"/>
        <v>001</v>
      </c>
      <c r="G1879">
        <v>9</v>
      </c>
      <c r="H1879" t="str">
        <f t="shared" si="278"/>
        <v>91</v>
      </c>
      <c r="I1879" t="str">
        <f t="shared" si="282"/>
        <v>0</v>
      </c>
      <c r="J1879" t="str">
        <f t="shared" si="281"/>
        <v>39</v>
      </c>
      <c r="K1879">
        <v>20190308</v>
      </c>
      <c r="L1879" t="str">
        <f>"075969"</f>
        <v>075969</v>
      </c>
      <c r="M1879" t="str">
        <f>"00363"</f>
        <v>00363</v>
      </c>
      <c r="N1879" t="s">
        <v>995</v>
      </c>
      <c r="O1879">
        <v>130</v>
      </c>
      <c r="P1879">
        <v>20190306</v>
      </c>
      <c r="Q1879" t="s">
        <v>951</v>
      </c>
      <c r="R1879" t="s">
        <v>1100</v>
      </c>
      <c r="S1879" t="s">
        <v>295</v>
      </c>
      <c r="T1879" t="s">
        <v>301</v>
      </c>
    </row>
    <row r="1880" spans="1:20" x14ac:dyDescent="0.25">
      <c r="A1880">
        <v>9</v>
      </c>
      <c r="B1880">
        <v>181</v>
      </c>
      <c r="C1880" t="str">
        <f t="shared" si="276"/>
        <v>36</v>
      </c>
      <c r="D1880">
        <v>6219</v>
      </c>
      <c r="E1880" t="str">
        <f>"03"</f>
        <v>03</v>
      </c>
      <c r="F1880" t="str">
        <f t="shared" si="280"/>
        <v>001</v>
      </c>
      <c r="G1880">
        <v>9</v>
      </c>
      <c r="H1880" t="str">
        <f t="shared" si="278"/>
        <v>91</v>
      </c>
      <c r="I1880" t="str">
        <f t="shared" si="282"/>
        <v>0</v>
      </c>
      <c r="J1880" t="str">
        <f>"42"</f>
        <v>42</v>
      </c>
      <c r="K1880">
        <v>20190308</v>
      </c>
      <c r="L1880" t="str">
        <f>"075971"</f>
        <v>075971</v>
      </c>
      <c r="M1880" t="str">
        <f>"57974"</f>
        <v>57974</v>
      </c>
      <c r="N1880" t="s">
        <v>371</v>
      </c>
      <c r="O1880">
        <v>96</v>
      </c>
      <c r="P1880">
        <v>20190306</v>
      </c>
      <c r="Q1880" t="s">
        <v>1116</v>
      </c>
      <c r="R1880" t="s">
        <v>1117</v>
      </c>
      <c r="S1880" t="s">
        <v>295</v>
      </c>
      <c r="T1880" t="s">
        <v>301</v>
      </c>
    </row>
    <row r="1881" spans="1:20" x14ac:dyDescent="0.25">
      <c r="A1881">
        <v>9</v>
      </c>
      <c r="B1881">
        <v>181</v>
      </c>
      <c r="C1881" t="str">
        <f t="shared" si="276"/>
        <v>36</v>
      </c>
      <c r="D1881">
        <v>6219</v>
      </c>
      <c r="E1881" t="str">
        <f>"09"</f>
        <v>09</v>
      </c>
      <c r="F1881" t="str">
        <f t="shared" si="280"/>
        <v>001</v>
      </c>
      <c r="G1881">
        <v>9</v>
      </c>
      <c r="H1881" t="str">
        <f t="shared" si="278"/>
        <v>91</v>
      </c>
      <c r="I1881" t="str">
        <f>"D"</f>
        <v>D</v>
      </c>
      <c r="J1881" t="str">
        <f>"39"</f>
        <v>39</v>
      </c>
      <c r="K1881">
        <v>20190308</v>
      </c>
      <c r="L1881" t="str">
        <f>"075971"</f>
        <v>075971</v>
      </c>
      <c r="M1881" t="str">
        <f>"57974"</f>
        <v>57974</v>
      </c>
      <c r="N1881" t="s">
        <v>371</v>
      </c>
      <c r="O1881">
        <v>96</v>
      </c>
      <c r="P1881">
        <v>20190306</v>
      </c>
      <c r="Q1881" t="s">
        <v>1081</v>
      </c>
      <c r="R1881" t="s">
        <v>1082</v>
      </c>
      <c r="S1881" t="s">
        <v>295</v>
      </c>
      <c r="T1881" t="s">
        <v>301</v>
      </c>
    </row>
    <row r="1882" spans="1:20" x14ac:dyDescent="0.25">
      <c r="A1882">
        <v>9</v>
      </c>
      <c r="B1882">
        <v>181</v>
      </c>
      <c r="C1882" t="str">
        <f t="shared" si="276"/>
        <v>36</v>
      </c>
      <c r="D1882">
        <v>6219</v>
      </c>
      <c r="E1882" t="str">
        <f>"3B"</f>
        <v>3B</v>
      </c>
      <c r="F1882" t="str">
        <f t="shared" si="280"/>
        <v>001</v>
      </c>
      <c r="G1882">
        <v>9</v>
      </c>
      <c r="H1882" t="str">
        <f t="shared" si="278"/>
        <v>91</v>
      </c>
      <c r="I1882" t="str">
        <f>"1"</f>
        <v>1</v>
      </c>
      <c r="J1882" t="str">
        <f>"39"</f>
        <v>39</v>
      </c>
      <c r="K1882">
        <v>20190308</v>
      </c>
      <c r="L1882" t="str">
        <f>"075972"</f>
        <v>075972</v>
      </c>
      <c r="M1882" t="str">
        <f>"57964"</f>
        <v>57964</v>
      </c>
      <c r="N1882" t="s">
        <v>578</v>
      </c>
      <c r="O1882">
        <v>96</v>
      </c>
      <c r="P1882">
        <v>20190306</v>
      </c>
      <c r="Q1882" t="s">
        <v>713</v>
      </c>
      <c r="R1882" t="s">
        <v>939</v>
      </c>
      <c r="S1882" t="s">
        <v>295</v>
      </c>
      <c r="T1882" t="s">
        <v>301</v>
      </c>
    </row>
    <row r="1883" spans="1:20" x14ac:dyDescent="0.25">
      <c r="A1883">
        <v>9</v>
      </c>
      <c r="B1883">
        <v>181</v>
      </c>
      <c r="C1883" t="str">
        <f t="shared" si="276"/>
        <v>36</v>
      </c>
      <c r="D1883">
        <v>6219</v>
      </c>
      <c r="E1883" t="str">
        <f>"3B"</f>
        <v>3B</v>
      </c>
      <c r="F1883" t="str">
        <f t="shared" si="280"/>
        <v>001</v>
      </c>
      <c r="G1883">
        <v>9</v>
      </c>
      <c r="H1883" t="str">
        <f t="shared" si="278"/>
        <v>91</v>
      </c>
      <c r="I1883" t="str">
        <f t="shared" ref="I1883:I1893" si="283">"0"</f>
        <v>0</v>
      </c>
      <c r="J1883" t="str">
        <f>"39"</f>
        <v>39</v>
      </c>
      <c r="K1883">
        <v>20190308</v>
      </c>
      <c r="L1883" t="str">
        <f>"075979"</f>
        <v>075979</v>
      </c>
      <c r="M1883" t="str">
        <f>"62271"</f>
        <v>62271</v>
      </c>
      <c r="N1883" t="s">
        <v>745</v>
      </c>
      <c r="O1883">
        <v>85</v>
      </c>
      <c r="P1883">
        <v>20190306</v>
      </c>
      <c r="Q1883" t="s">
        <v>695</v>
      </c>
      <c r="R1883" t="s">
        <v>1074</v>
      </c>
      <c r="S1883" t="s">
        <v>295</v>
      </c>
      <c r="T1883" t="s">
        <v>301</v>
      </c>
    </row>
    <row r="1884" spans="1:20" x14ac:dyDescent="0.25">
      <c r="A1884">
        <v>9</v>
      </c>
      <c r="B1884">
        <v>181</v>
      </c>
      <c r="C1884" t="str">
        <f t="shared" si="276"/>
        <v>36</v>
      </c>
      <c r="D1884">
        <v>6249</v>
      </c>
      <c r="E1884" t="str">
        <f>"3F"</f>
        <v>3F</v>
      </c>
      <c r="F1884" t="str">
        <f>"041"</f>
        <v>041</v>
      </c>
      <c r="G1884">
        <v>9</v>
      </c>
      <c r="H1884" t="str">
        <f t="shared" si="278"/>
        <v>91</v>
      </c>
      <c r="I1884" t="str">
        <f t="shared" si="283"/>
        <v>0</v>
      </c>
      <c r="J1884" t="str">
        <f>"41"</f>
        <v>41</v>
      </c>
      <c r="K1884">
        <v>20190308</v>
      </c>
      <c r="L1884" t="str">
        <f>"075980"</f>
        <v>075980</v>
      </c>
      <c r="M1884" t="str">
        <f>"62795"</f>
        <v>62795</v>
      </c>
      <c r="N1884" t="s">
        <v>1034</v>
      </c>
      <c r="O1884" s="1">
        <v>2196</v>
      </c>
      <c r="P1884">
        <v>20190306</v>
      </c>
      <c r="Q1884" t="s">
        <v>1118</v>
      </c>
      <c r="R1884" t="s">
        <v>1036</v>
      </c>
      <c r="S1884" t="s">
        <v>295</v>
      </c>
      <c r="T1884" t="s">
        <v>106</v>
      </c>
    </row>
    <row r="1885" spans="1:20" x14ac:dyDescent="0.25">
      <c r="A1885">
        <v>9</v>
      </c>
      <c r="B1885">
        <v>181</v>
      </c>
      <c r="C1885" t="str">
        <f t="shared" si="276"/>
        <v>36</v>
      </c>
      <c r="D1885">
        <v>6399</v>
      </c>
      <c r="E1885" t="str">
        <f>"3F"</f>
        <v>3F</v>
      </c>
      <c r="F1885" t="str">
        <f>"001"</f>
        <v>001</v>
      </c>
      <c r="G1885">
        <v>9</v>
      </c>
      <c r="H1885" t="str">
        <f t="shared" si="278"/>
        <v>91</v>
      </c>
      <c r="I1885" t="str">
        <f t="shared" si="283"/>
        <v>0</v>
      </c>
      <c r="J1885" t="str">
        <f>"39"</f>
        <v>39</v>
      </c>
      <c r="K1885">
        <v>20190308</v>
      </c>
      <c r="L1885" t="str">
        <f>"075980"</f>
        <v>075980</v>
      </c>
      <c r="M1885" t="str">
        <f>"62795"</f>
        <v>62795</v>
      </c>
      <c r="N1885" t="s">
        <v>1034</v>
      </c>
      <c r="O1885">
        <v>107.08</v>
      </c>
      <c r="P1885">
        <v>20190306</v>
      </c>
      <c r="Q1885" t="s">
        <v>466</v>
      </c>
      <c r="R1885" t="s">
        <v>1119</v>
      </c>
      <c r="S1885" t="s">
        <v>295</v>
      </c>
      <c r="T1885" t="s">
        <v>301</v>
      </c>
    </row>
    <row r="1886" spans="1:20" x14ac:dyDescent="0.25">
      <c r="A1886">
        <v>9</v>
      </c>
      <c r="B1886">
        <v>181</v>
      </c>
      <c r="C1886" t="str">
        <f t="shared" si="276"/>
        <v>36</v>
      </c>
      <c r="D1886">
        <v>6399</v>
      </c>
      <c r="E1886" t="str">
        <f>"3F"</f>
        <v>3F</v>
      </c>
      <c r="F1886" t="str">
        <f>"001"</f>
        <v>001</v>
      </c>
      <c r="G1886">
        <v>9</v>
      </c>
      <c r="H1886" t="str">
        <f t="shared" si="278"/>
        <v>91</v>
      </c>
      <c r="I1886" t="str">
        <f t="shared" si="283"/>
        <v>0</v>
      </c>
      <c r="J1886" t="str">
        <f>"39"</f>
        <v>39</v>
      </c>
      <c r="K1886">
        <v>20190308</v>
      </c>
      <c r="L1886" t="str">
        <f>"075980"</f>
        <v>075980</v>
      </c>
      <c r="M1886" t="str">
        <f>"62795"</f>
        <v>62795</v>
      </c>
      <c r="N1886" t="s">
        <v>1034</v>
      </c>
      <c r="O1886" s="1">
        <v>2729.75</v>
      </c>
      <c r="P1886">
        <v>20190306</v>
      </c>
      <c r="Q1886" t="s">
        <v>466</v>
      </c>
      <c r="R1886" t="s">
        <v>1120</v>
      </c>
      <c r="S1886" t="s">
        <v>295</v>
      </c>
      <c r="T1886" t="s">
        <v>301</v>
      </c>
    </row>
    <row r="1887" spans="1:20" x14ac:dyDescent="0.25">
      <c r="A1887">
        <v>9</v>
      </c>
      <c r="B1887">
        <v>181</v>
      </c>
      <c r="C1887" t="str">
        <f t="shared" si="276"/>
        <v>36</v>
      </c>
      <c r="D1887">
        <v>6399</v>
      </c>
      <c r="E1887" t="str">
        <f>"3F"</f>
        <v>3F</v>
      </c>
      <c r="F1887" t="str">
        <f>"041"</f>
        <v>041</v>
      </c>
      <c r="G1887">
        <v>9</v>
      </c>
      <c r="H1887" t="str">
        <f t="shared" si="278"/>
        <v>91</v>
      </c>
      <c r="I1887" t="str">
        <f t="shared" si="283"/>
        <v>0</v>
      </c>
      <c r="J1887" t="str">
        <f>"41"</f>
        <v>41</v>
      </c>
      <c r="K1887">
        <v>20190308</v>
      </c>
      <c r="L1887" t="str">
        <f>"075980"</f>
        <v>075980</v>
      </c>
      <c r="M1887" t="str">
        <f>"62795"</f>
        <v>62795</v>
      </c>
      <c r="N1887" t="s">
        <v>1034</v>
      </c>
      <c r="O1887" s="1">
        <v>1998</v>
      </c>
      <c r="P1887">
        <v>20190306</v>
      </c>
      <c r="Q1887" t="s">
        <v>1121</v>
      </c>
      <c r="R1887" t="s">
        <v>1122</v>
      </c>
      <c r="S1887" t="s">
        <v>295</v>
      </c>
      <c r="T1887" t="s">
        <v>106</v>
      </c>
    </row>
    <row r="1888" spans="1:20" x14ac:dyDescent="0.25">
      <c r="A1888">
        <v>9</v>
      </c>
      <c r="B1888">
        <v>181</v>
      </c>
      <c r="C1888" t="str">
        <f t="shared" ref="C1888:C1951" si="284">"36"</f>
        <v>36</v>
      </c>
      <c r="D1888">
        <v>6219</v>
      </c>
      <c r="E1888" t="str">
        <f>"3K"</f>
        <v>3K</v>
      </c>
      <c r="F1888" t="str">
        <f t="shared" ref="F1888:F1918" si="285">"001"</f>
        <v>001</v>
      </c>
      <c r="G1888">
        <v>9</v>
      </c>
      <c r="H1888" t="str">
        <f t="shared" ref="H1888:H1951" si="286">"91"</f>
        <v>91</v>
      </c>
      <c r="I1888" t="str">
        <f t="shared" si="283"/>
        <v>0</v>
      </c>
      <c r="J1888" t="str">
        <f t="shared" ref="J1888:J1896" si="287">"39"</f>
        <v>39</v>
      </c>
      <c r="K1888">
        <v>20190308</v>
      </c>
      <c r="L1888" t="str">
        <f>"075981"</f>
        <v>075981</v>
      </c>
      <c r="M1888" t="str">
        <f>"63716"</f>
        <v>63716</v>
      </c>
      <c r="N1888" t="s">
        <v>1123</v>
      </c>
      <c r="O1888">
        <v>115</v>
      </c>
      <c r="P1888">
        <v>20190306</v>
      </c>
      <c r="Q1888" t="s">
        <v>951</v>
      </c>
      <c r="R1888" t="s">
        <v>1124</v>
      </c>
      <c r="S1888" t="s">
        <v>295</v>
      </c>
      <c r="T1888" t="s">
        <v>301</v>
      </c>
    </row>
    <row r="1889" spans="1:20" x14ac:dyDescent="0.25">
      <c r="A1889">
        <v>9</v>
      </c>
      <c r="B1889">
        <v>181</v>
      </c>
      <c r="C1889" t="str">
        <f t="shared" si="284"/>
        <v>36</v>
      </c>
      <c r="D1889">
        <v>6219</v>
      </c>
      <c r="E1889" t="str">
        <f>"3B"</f>
        <v>3B</v>
      </c>
      <c r="F1889" t="str">
        <f t="shared" si="285"/>
        <v>001</v>
      </c>
      <c r="G1889">
        <v>9</v>
      </c>
      <c r="H1889" t="str">
        <f t="shared" si="286"/>
        <v>91</v>
      </c>
      <c r="I1889" t="str">
        <f t="shared" si="283"/>
        <v>0</v>
      </c>
      <c r="J1889" t="str">
        <f t="shared" si="287"/>
        <v>39</v>
      </c>
      <c r="K1889">
        <v>20190308</v>
      </c>
      <c r="L1889" t="str">
        <f>"075984"</f>
        <v>075984</v>
      </c>
      <c r="M1889" t="str">
        <f>"65240"</f>
        <v>65240</v>
      </c>
      <c r="N1889" t="s">
        <v>750</v>
      </c>
      <c r="O1889">
        <v>85</v>
      </c>
      <c r="P1889">
        <v>20190306</v>
      </c>
      <c r="Q1889" t="s">
        <v>695</v>
      </c>
      <c r="R1889" t="s">
        <v>1075</v>
      </c>
      <c r="S1889" t="s">
        <v>295</v>
      </c>
      <c r="T1889" t="s">
        <v>301</v>
      </c>
    </row>
    <row r="1890" spans="1:20" x14ac:dyDescent="0.25">
      <c r="A1890">
        <v>9</v>
      </c>
      <c r="B1890">
        <v>181</v>
      </c>
      <c r="C1890" t="str">
        <f t="shared" si="284"/>
        <v>36</v>
      </c>
      <c r="D1890">
        <v>6219</v>
      </c>
      <c r="E1890" t="str">
        <f>"3P"</f>
        <v>3P</v>
      </c>
      <c r="F1890" t="str">
        <f t="shared" si="285"/>
        <v>001</v>
      </c>
      <c r="G1890">
        <v>9</v>
      </c>
      <c r="H1890" t="str">
        <f t="shared" si="286"/>
        <v>91</v>
      </c>
      <c r="I1890" t="str">
        <f t="shared" si="283"/>
        <v>0</v>
      </c>
      <c r="J1890" t="str">
        <f t="shared" si="287"/>
        <v>39</v>
      </c>
      <c r="K1890">
        <v>20190308</v>
      </c>
      <c r="L1890" t="str">
        <f>"075985"</f>
        <v>075985</v>
      </c>
      <c r="M1890" t="str">
        <f>"65239"</f>
        <v>65239</v>
      </c>
      <c r="N1890" t="s">
        <v>1125</v>
      </c>
      <c r="O1890">
        <v>145</v>
      </c>
      <c r="P1890">
        <v>20190306</v>
      </c>
      <c r="Q1890" t="s">
        <v>961</v>
      </c>
      <c r="R1890" t="s">
        <v>1086</v>
      </c>
      <c r="S1890" t="s">
        <v>295</v>
      </c>
      <c r="T1890" t="s">
        <v>301</v>
      </c>
    </row>
    <row r="1891" spans="1:20" x14ac:dyDescent="0.25">
      <c r="A1891">
        <v>9</v>
      </c>
      <c r="B1891">
        <v>181</v>
      </c>
      <c r="C1891" t="str">
        <f t="shared" si="284"/>
        <v>36</v>
      </c>
      <c r="D1891">
        <v>6219</v>
      </c>
      <c r="E1891" t="str">
        <f>"3B"</f>
        <v>3B</v>
      </c>
      <c r="F1891" t="str">
        <f t="shared" si="285"/>
        <v>001</v>
      </c>
      <c r="G1891">
        <v>9</v>
      </c>
      <c r="H1891" t="str">
        <f t="shared" si="286"/>
        <v>91</v>
      </c>
      <c r="I1891" t="str">
        <f t="shared" si="283"/>
        <v>0</v>
      </c>
      <c r="J1891" t="str">
        <f t="shared" si="287"/>
        <v>39</v>
      </c>
      <c r="K1891">
        <v>20190308</v>
      </c>
      <c r="L1891" t="str">
        <f>"075986"</f>
        <v>075986</v>
      </c>
      <c r="M1891" t="str">
        <f>"74137"</f>
        <v>74137</v>
      </c>
      <c r="N1891" t="s">
        <v>752</v>
      </c>
      <c r="O1891">
        <v>135</v>
      </c>
      <c r="P1891">
        <v>20190306</v>
      </c>
      <c r="Q1891" t="s">
        <v>695</v>
      </c>
      <c r="R1891" t="s">
        <v>955</v>
      </c>
      <c r="S1891" t="s">
        <v>295</v>
      </c>
      <c r="T1891" t="s">
        <v>301</v>
      </c>
    </row>
    <row r="1892" spans="1:20" x14ac:dyDescent="0.25">
      <c r="A1892">
        <v>9</v>
      </c>
      <c r="B1892">
        <v>181</v>
      </c>
      <c r="C1892" t="str">
        <f t="shared" si="284"/>
        <v>36</v>
      </c>
      <c r="D1892">
        <v>6219</v>
      </c>
      <c r="E1892" t="str">
        <f>"3D"</f>
        <v>3D</v>
      </c>
      <c r="F1892" t="str">
        <f t="shared" si="285"/>
        <v>001</v>
      </c>
      <c r="G1892">
        <v>9</v>
      </c>
      <c r="H1892" t="str">
        <f t="shared" si="286"/>
        <v>91</v>
      </c>
      <c r="I1892" t="str">
        <f t="shared" si="283"/>
        <v>0</v>
      </c>
      <c r="J1892" t="str">
        <f t="shared" si="287"/>
        <v>39</v>
      </c>
      <c r="K1892">
        <v>20190308</v>
      </c>
      <c r="L1892" t="str">
        <f>"075986"</f>
        <v>075986</v>
      </c>
      <c r="M1892" t="str">
        <f>"74137"</f>
        <v>74137</v>
      </c>
      <c r="N1892" t="s">
        <v>752</v>
      </c>
      <c r="O1892">
        <v>70</v>
      </c>
      <c r="P1892">
        <v>20190306</v>
      </c>
      <c r="Q1892" t="s">
        <v>700</v>
      </c>
      <c r="R1892" t="s">
        <v>956</v>
      </c>
      <c r="S1892" t="s">
        <v>295</v>
      </c>
      <c r="T1892" t="s">
        <v>301</v>
      </c>
    </row>
    <row r="1893" spans="1:20" x14ac:dyDescent="0.25">
      <c r="A1893">
        <v>9</v>
      </c>
      <c r="B1893">
        <v>181</v>
      </c>
      <c r="C1893" t="str">
        <f t="shared" si="284"/>
        <v>36</v>
      </c>
      <c r="D1893">
        <v>6219</v>
      </c>
      <c r="E1893" t="str">
        <f>"3N"</f>
        <v>3N</v>
      </c>
      <c r="F1893" t="str">
        <f t="shared" si="285"/>
        <v>001</v>
      </c>
      <c r="G1893">
        <v>9</v>
      </c>
      <c r="H1893" t="str">
        <f t="shared" si="286"/>
        <v>91</v>
      </c>
      <c r="I1893" t="str">
        <f t="shared" si="283"/>
        <v>0</v>
      </c>
      <c r="J1893" t="str">
        <f t="shared" si="287"/>
        <v>39</v>
      </c>
      <c r="K1893">
        <v>20190308</v>
      </c>
      <c r="L1893" t="str">
        <f>"075989"</f>
        <v>075989</v>
      </c>
      <c r="M1893" t="str">
        <f>"00740"</f>
        <v>00740</v>
      </c>
      <c r="N1893" t="s">
        <v>1126</v>
      </c>
      <c r="O1893">
        <v>130</v>
      </c>
      <c r="P1893">
        <v>20190306</v>
      </c>
      <c r="Q1893" t="s">
        <v>942</v>
      </c>
      <c r="R1893" t="s">
        <v>1087</v>
      </c>
      <c r="S1893" t="s">
        <v>295</v>
      </c>
      <c r="T1893" t="s">
        <v>301</v>
      </c>
    </row>
    <row r="1894" spans="1:20" x14ac:dyDescent="0.25">
      <c r="A1894">
        <v>9</v>
      </c>
      <c r="B1894">
        <v>181</v>
      </c>
      <c r="C1894" t="str">
        <f t="shared" si="284"/>
        <v>36</v>
      </c>
      <c r="D1894">
        <v>6219</v>
      </c>
      <c r="E1894" t="str">
        <f>"09"</f>
        <v>09</v>
      </c>
      <c r="F1894" t="str">
        <f t="shared" si="285"/>
        <v>001</v>
      </c>
      <c r="G1894">
        <v>9</v>
      </c>
      <c r="H1894" t="str">
        <f t="shared" si="286"/>
        <v>91</v>
      </c>
      <c r="I1894" t="str">
        <f>"D"</f>
        <v>D</v>
      </c>
      <c r="J1894" t="str">
        <f t="shared" si="287"/>
        <v>39</v>
      </c>
      <c r="K1894">
        <v>20190308</v>
      </c>
      <c r="L1894" t="str">
        <f>"075990"</f>
        <v>075990</v>
      </c>
      <c r="M1894" t="str">
        <f>"69201"</f>
        <v>69201</v>
      </c>
      <c r="N1894" t="s">
        <v>1127</v>
      </c>
      <c r="O1894">
        <v>90</v>
      </c>
      <c r="P1894">
        <v>20190306</v>
      </c>
      <c r="Q1894" t="s">
        <v>1081</v>
      </c>
      <c r="R1894" t="s">
        <v>1082</v>
      </c>
      <c r="S1894" t="s">
        <v>295</v>
      </c>
      <c r="T1894" t="s">
        <v>301</v>
      </c>
    </row>
    <row r="1895" spans="1:20" x14ac:dyDescent="0.25">
      <c r="A1895">
        <v>9</v>
      </c>
      <c r="B1895">
        <v>181</v>
      </c>
      <c r="C1895" t="str">
        <f t="shared" si="284"/>
        <v>36</v>
      </c>
      <c r="D1895">
        <v>6219</v>
      </c>
      <c r="E1895" t="str">
        <f>"3K"</f>
        <v>3K</v>
      </c>
      <c r="F1895" t="str">
        <f t="shared" si="285"/>
        <v>001</v>
      </c>
      <c r="G1895">
        <v>9</v>
      </c>
      <c r="H1895" t="str">
        <f t="shared" si="286"/>
        <v>91</v>
      </c>
      <c r="I1895" t="str">
        <f t="shared" ref="I1895:I1901" si="288">"0"</f>
        <v>0</v>
      </c>
      <c r="J1895" t="str">
        <f t="shared" si="287"/>
        <v>39</v>
      </c>
      <c r="K1895">
        <v>20190308</v>
      </c>
      <c r="L1895" t="str">
        <f>"075992"</f>
        <v>075992</v>
      </c>
      <c r="M1895" t="str">
        <f>"00753"</f>
        <v>00753</v>
      </c>
      <c r="N1895" t="s">
        <v>1128</v>
      </c>
      <c r="O1895">
        <v>115</v>
      </c>
      <c r="P1895">
        <v>20190306</v>
      </c>
      <c r="Q1895" t="s">
        <v>951</v>
      </c>
      <c r="R1895" t="s">
        <v>1124</v>
      </c>
      <c r="S1895" t="s">
        <v>295</v>
      </c>
      <c r="T1895" t="s">
        <v>301</v>
      </c>
    </row>
    <row r="1896" spans="1:20" x14ac:dyDescent="0.25">
      <c r="A1896">
        <v>9</v>
      </c>
      <c r="B1896">
        <v>181</v>
      </c>
      <c r="C1896" t="str">
        <f t="shared" si="284"/>
        <v>36</v>
      </c>
      <c r="D1896">
        <v>6219</v>
      </c>
      <c r="E1896" t="str">
        <f>"3K"</f>
        <v>3K</v>
      </c>
      <c r="F1896" t="str">
        <f t="shared" si="285"/>
        <v>001</v>
      </c>
      <c r="G1896">
        <v>9</v>
      </c>
      <c r="H1896" t="str">
        <f t="shared" si="286"/>
        <v>91</v>
      </c>
      <c r="I1896" t="str">
        <f t="shared" si="288"/>
        <v>0</v>
      </c>
      <c r="J1896" t="str">
        <f t="shared" si="287"/>
        <v>39</v>
      </c>
      <c r="K1896">
        <v>20190308</v>
      </c>
      <c r="L1896" t="str">
        <f>"075993"</f>
        <v>075993</v>
      </c>
      <c r="M1896" t="str">
        <f>"00618"</f>
        <v>00618</v>
      </c>
      <c r="N1896" t="s">
        <v>638</v>
      </c>
      <c r="O1896">
        <v>55</v>
      </c>
      <c r="P1896">
        <v>20190306</v>
      </c>
      <c r="Q1896" t="s">
        <v>951</v>
      </c>
      <c r="R1896" t="s">
        <v>1114</v>
      </c>
      <c r="S1896" t="s">
        <v>295</v>
      </c>
      <c r="T1896" t="s">
        <v>301</v>
      </c>
    </row>
    <row r="1897" spans="1:20" x14ac:dyDescent="0.25">
      <c r="A1897">
        <v>9</v>
      </c>
      <c r="B1897">
        <v>181</v>
      </c>
      <c r="C1897" t="str">
        <f t="shared" si="284"/>
        <v>36</v>
      </c>
      <c r="D1897">
        <v>6219</v>
      </c>
      <c r="E1897" t="str">
        <f>"03"</f>
        <v>03</v>
      </c>
      <c r="F1897" t="str">
        <f t="shared" si="285"/>
        <v>001</v>
      </c>
      <c r="G1897">
        <v>9</v>
      </c>
      <c r="H1897" t="str">
        <f t="shared" si="286"/>
        <v>91</v>
      </c>
      <c r="I1897" t="str">
        <f t="shared" si="288"/>
        <v>0</v>
      </c>
      <c r="J1897" t="str">
        <f>"42"</f>
        <v>42</v>
      </c>
      <c r="K1897">
        <v>20190308</v>
      </c>
      <c r="L1897" t="str">
        <f>"075997"</f>
        <v>075997</v>
      </c>
      <c r="M1897" t="str">
        <f>"00739"</f>
        <v>00739</v>
      </c>
      <c r="N1897" t="s">
        <v>1129</v>
      </c>
      <c r="O1897">
        <v>273.69</v>
      </c>
      <c r="P1897">
        <v>20190306</v>
      </c>
      <c r="Q1897" t="s">
        <v>1116</v>
      </c>
      <c r="R1897" t="s">
        <v>1117</v>
      </c>
      <c r="S1897" t="s">
        <v>295</v>
      </c>
      <c r="T1897" t="s">
        <v>301</v>
      </c>
    </row>
    <row r="1898" spans="1:20" x14ac:dyDescent="0.25">
      <c r="A1898">
        <v>9</v>
      </c>
      <c r="B1898">
        <v>181</v>
      </c>
      <c r="C1898" t="str">
        <f t="shared" si="284"/>
        <v>36</v>
      </c>
      <c r="D1898">
        <v>6219</v>
      </c>
      <c r="E1898" t="str">
        <f>"03"</f>
        <v>03</v>
      </c>
      <c r="F1898" t="str">
        <f t="shared" si="285"/>
        <v>001</v>
      </c>
      <c r="G1898">
        <v>9</v>
      </c>
      <c r="H1898" t="str">
        <f t="shared" si="286"/>
        <v>91</v>
      </c>
      <c r="I1898" t="str">
        <f t="shared" si="288"/>
        <v>0</v>
      </c>
      <c r="J1898" t="str">
        <f>"42"</f>
        <v>42</v>
      </c>
      <c r="K1898">
        <v>20190308</v>
      </c>
      <c r="L1898" t="str">
        <f>"075999"</f>
        <v>075999</v>
      </c>
      <c r="M1898" t="str">
        <f>"00742"</f>
        <v>00742</v>
      </c>
      <c r="N1898" t="s">
        <v>1130</v>
      </c>
      <c r="O1898">
        <v>130</v>
      </c>
      <c r="P1898">
        <v>20190306</v>
      </c>
      <c r="Q1898" t="s">
        <v>1116</v>
      </c>
      <c r="R1898" t="s">
        <v>1117</v>
      </c>
      <c r="S1898" t="s">
        <v>295</v>
      </c>
      <c r="T1898" t="s">
        <v>301</v>
      </c>
    </row>
    <row r="1899" spans="1:20" x14ac:dyDescent="0.25">
      <c r="A1899">
        <v>9</v>
      </c>
      <c r="B1899">
        <v>181</v>
      </c>
      <c r="C1899" t="str">
        <f t="shared" si="284"/>
        <v>36</v>
      </c>
      <c r="D1899">
        <v>6219</v>
      </c>
      <c r="E1899" t="str">
        <f>"3A"</f>
        <v>3A</v>
      </c>
      <c r="F1899" t="str">
        <f t="shared" si="285"/>
        <v>001</v>
      </c>
      <c r="G1899">
        <v>9</v>
      </c>
      <c r="H1899" t="str">
        <f t="shared" si="286"/>
        <v>91</v>
      </c>
      <c r="I1899" t="str">
        <f t="shared" si="288"/>
        <v>0</v>
      </c>
      <c r="J1899" t="str">
        <f>"39"</f>
        <v>39</v>
      </c>
      <c r="K1899">
        <v>20190308</v>
      </c>
      <c r="L1899" t="str">
        <f>"076002"</f>
        <v>076002</v>
      </c>
      <c r="M1899" t="str">
        <f>"80527"</f>
        <v>80527</v>
      </c>
      <c r="N1899" t="s">
        <v>1131</v>
      </c>
      <c r="O1899">
        <v>85</v>
      </c>
      <c r="P1899">
        <v>20190306</v>
      </c>
      <c r="Q1899" t="s">
        <v>1088</v>
      </c>
      <c r="R1899" t="s">
        <v>1089</v>
      </c>
      <c r="S1899" t="s">
        <v>295</v>
      </c>
      <c r="T1899" t="s">
        <v>301</v>
      </c>
    </row>
    <row r="1900" spans="1:20" x14ac:dyDescent="0.25">
      <c r="A1900">
        <v>9</v>
      </c>
      <c r="B1900">
        <v>181</v>
      </c>
      <c r="C1900" t="str">
        <f t="shared" si="284"/>
        <v>36</v>
      </c>
      <c r="D1900">
        <v>6219</v>
      </c>
      <c r="E1900" t="str">
        <f>"3A"</f>
        <v>3A</v>
      </c>
      <c r="F1900" t="str">
        <f t="shared" si="285"/>
        <v>001</v>
      </c>
      <c r="G1900">
        <v>9</v>
      </c>
      <c r="H1900" t="str">
        <f t="shared" si="286"/>
        <v>91</v>
      </c>
      <c r="I1900" t="str">
        <f t="shared" si="288"/>
        <v>0</v>
      </c>
      <c r="J1900" t="str">
        <f>"39"</f>
        <v>39</v>
      </c>
      <c r="K1900">
        <v>20190308</v>
      </c>
      <c r="L1900" t="str">
        <f>"076009"</f>
        <v>076009</v>
      </c>
      <c r="M1900" t="str">
        <f>"82378"</f>
        <v>82378</v>
      </c>
      <c r="N1900" t="s">
        <v>1132</v>
      </c>
      <c r="O1900">
        <v>85</v>
      </c>
      <c r="P1900">
        <v>20190306</v>
      </c>
      <c r="Q1900" t="s">
        <v>1088</v>
      </c>
      <c r="R1900" t="s">
        <v>1089</v>
      </c>
      <c r="S1900" t="s">
        <v>295</v>
      </c>
      <c r="T1900" t="s">
        <v>301</v>
      </c>
    </row>
    <row r="1901" spans="1:20" x14ac:dyDescent="0.25">
      <c r="A1901">
        <v>9</v>
      </c>
      <c r="B1901">
        <v>181</v>
      </c>
      <c r="C1901" t="str">
        <f t="shared" si="284"/>
        <v>36</v>
      </c>
      <c r="D1901">
        <v>6219</v>
      </c>
      <c r="E1901" t="str">
        <f>"03"</f>
        <v>03</v>
      </c>
      <c r="F1901" t="str">
        <f t="shared" si="285"/>
        <v>001</v>
      </c>
      <c r="G1901">
        <v>9</v>
      </c>
      <c r="H1901" t="str">
        <f t="shared" si="286"/>
        <v>91</v>
      </c>
      <c r="I1901" t="str">
        <f t="shared" si="288"/>
        <v>0</v>
      </c>
      <c r="J1901" t="str">
        <f>"42"</f>
        <v>42</v>
      </c>
      <c r="K1901">
        <v>20190308</v>
      </c>
      <c r="L1901" t="str">
        <f>"076010"</f>
        <v>076010</v>
      </c>
      <c r="M1901" t="str">
        <f>"00741"</f>
        <v>00741</v>
      </c>
      <c r="N1901" t="s">
        <v>1133</v>
      </c>
      <c r="O1901">
        <v>237.7</v>
      </c>
      <c r="P1901">
        <v>20190306</v>
      </c>
      <c r="Q1901" t="s">
        <v>1116</v>
      </c>
      <c r="R1901" t="s">
        <v>1117</v>
      </c>
      <c r="S1901" t="s">
        <v>295</v>
      </c>
      <c r="T1901" t="s">
        <v>301</v>
      </c>
    </row>
    <row r="1902" spans="1:20" x14ac:dyDescent="0.25">
      <c r="A1902">
        <v>9</v>
      </c>
      <c r="B1902">
        <v>181</v>
      </c>
      <c r="C1902" t="str">
        <f t="shared" si="284"/>
        <v>36</v>
      </c>
      <c r="D1902">
        <v>6412</v>
      </c>
      <c r="E1902" t="str">
        <f t="shared" ref="E1902:E1907" si="289">"09"</f>
        <v>09</v>
      </c>
      <c r="F1902" t="str">
        <f t="shared" si="285"/>
        <v>001</v>
      </c>
      <c r="G1902">
        <v>9</v>
      </c>
      <c r="H1902" t="str">
        <f t="shared" si="286"/>
        <v>91</v>
      </c>
      <c r="I1902" t="str">
        <f>"P"</f>
        <v>P</v>
      </c>
      <c r="J1902" t="str">
        <f t="shared" ref="J1902:J1918" si="290">"39"</f>
        <v>39</v>
      </c>
      <c r="K1902">
        <v>20190308</v>
      </c>
      <c r="L1902" t="str">
        <f>"076012"</f>
        <v>076012</v>
      </c>
      <c r="M1902" t="str">
        <f>"83460"</f>
        <v>83460</v>
      </c>
      <c r="N1902" t="s">
        <v>1134</v>
      </c>
      <c r="O1902">
        <v>35</v>
      </c>
      <c r="P1902">
        <v>20190306</v>
      </c>
      <c r="Q1902" t="s">
        <v>1028</v>
      </c>
      <c r="R1902" t="s">
        <v>1057</v>
      </c>
      <c r="S1902" t="s">
        <v>295</v>
      </c>
      <c r="T1902" t="s">
        <v>301</v>
      </c>
    </row>
    <row r="1903" spans="1:20" x14ac:dyDescent="0.25">
      <c r="A1903">
        <v>9</v>
      </c>
      <c r="B1903">
        <v>181</v>
      </c>
      <c r="C1903" t="str">
        <f t="shared" si="284"/>
        <v>36</v>
      </c>
      <c r="D1903">
        <v>6219</v>
      </c>
      <c r="E1903" t="str">
        <f t="shared" si="289"/>
        <v>09</v>
      </c>
      <c r="F1903" t="str">
        <f t="shared" si="285"/>
        <v>001</v>
      </c>
      <c r="G1903">
        <v>9</v>
      </c>
      <c r="H1903" t="str">
        <f t="shared" si="286"/>
        <v>91</v>
      </c>
      <c r="I1903" t="str">
        <f>"D"</f>
        <v>D</v>
      </c>
      <c r="J1903" t="str">
        <f t="shared" si="290"/>
        <v>39</v>
      </c>
      <c r="K1903">
        <v>20190308</v>
      </c>
      <c r="L1903" t="str">
        <f>"076014"</f>
        <v>076014</v>
      </c>
      <c r="M1903" t="str">
        <f>"87100"</f>
        <v>87100</v>
      </c>
      <c r="N1903" t="s">
        <v>407</v>
      </c>
      <c r="O1903">
        <v>96</v>
      </c>
      <c r="P1903">
        <v>20190306</v>
      </c>
      <c r="Q1903" t="s">
        <v>1081</v>
      </c>
      <c r="R1903" t="s">
        <v>1082</v>
      </c>
      <c r="S1903" t="s">
        <v>295</v>
      </c>
      <c r="T1903" t="s">
        <v>301</v>
      </c>
    </row>
    <row r="1904" spans="1:20" x14ac:dyDescent="0.25">
      <c r="A1904">
        <v>9</v>
      </c>
      <c r="B1904">
        <v>181</v>
      </c>
      <c r="C1904" t="str">
        <f t="shared" si="284"/>
        <v>36</v>
      </c>
      <c r="D1904">
        <v>6412</v>
      </c>
      <c r="E1904" t="str">
        <f t="shared" si="289"/>
        <v>09</v>
      </c>
      <c r="F1904" t="str">
        <f t="shared" si="285"/>
        <v>001</v>
      </c>
      <c r="G1904">
        <v>9</v>
      </c>
      <c r="H1904" t="str">
        <f t="shared" si="286"/>
        <v>91</v>
      </c>
      <c r="I1904" t="str">
        <f>"P"</f>
        <v>P</v>
      </c>
      <c r="J1904" t="str">
        <f t="shared" si="290"/>
        <v>39</v>
      </c>
      <c r="K1904">
        <v>20190314</v>
      </c>
      <c r="L1904" t="str">
        <f>"076016"</f>
        <v>076016</v>
      </c>
      <c r="M1904" t="str">
        <f>"00757"</f>
        <v>00757</v>
      </c>
      <c r="N1904" t="s">
        <v>1135</v>
      </c>
      <c r="O1904" s="1">
        <v>1706.94</v>
      </c>
      <c r="P1904">
        <v>20190313</v>
      </c>
      <c r="Q1904" t="s">
        <v>1028</v>
      </c>
      <c r="R1904" t="s">
        <v>1136</v>
      </c>
      <c r="S1904" t="s">
        <v>295</v>
      </c>
      <c r="T1904" t="s">
        <v>301</v>
      </c>
    </row>
    <row r="1905" spans="1:20" x14ac:dyDescent="0.25">
      <c r="A1905">
        <v>9</v>
      </c>
      <c r="B1905">
        <v>181</v>
      </c>
      <c r="C1905" t="str">
        <f t="shared" si="284"/>
        <v>36</v>
      </c>
      <c r="D1905">
        <v>6412</v>
      </c>
      <c r="E1905" t="str">
        <f t="shared" si="289"/>
        <v>09</v>
      </c>
      <c r="F1905" t="str">
        <f t="shared" si="285"/>
        <v>001</v>
      </c>
      <c r="G1905">
        <v>9</v>
      </c>
      <c r="H1905" t="str">
        <f t="shared" si="286"/>
        <v>91</v>
      </c>
      <c r="I1905" t="str">
        <f>"P"</f>
        <v>P</v>
      </c>
      <c r="J1905" t="str">
        <f t="shared" si="290"/>
        <v>39</v>
      </c>
      <c r="K1905">
        <v>20190314</v>
      </c>
      <c r="L1905" t="str">
        <f>"076017"</f>
        <v>076017</v>
      </c>
      <c r="M1905" t="str">
        <f>"00237"</f>
        <v>00237</v>
      </c>
      <c r="N1905" t="s">
        <v>275</v>
      </c>
      <c r="O1905">
        <v>150</v>
      </c>
      <c r="P1905">
        <v>20190313</v>
      </c>
      <c r="Q1905" t="s">
        <v>1028</v>
      </c>
      <c r="R1905" t="s">
        <v>1136</v>
      </c>
      <c r="S1905" t="s">
        <v>295</v>
      </c>
      <c r="T1905" t="s">
        <v>301</v>
      </c>
    </row>
    <row r="1906" spans="1:20" x14ac:dyDescent="0.25">
      <c r="A1906">
        <v>9</v>
      </c>
      <c r="B1906">
        <v>181</v>
      </c>
      <c r="C1906" t="str">
        <f t="shared" si="284"/>
        <v>36</v>
      </c>
      <c r="D1906">
        <v>6412</v>
      </c>
      <c r="E1906" t="str">
        <f t="shared" si="289"/>
        <v>09</v>
      </c>
      <c r="F1906" t="str">
        <f t="shared" si="285"/>
        <v>001</v>
      </c>
      <c r="G1906">
        <v>9</v>
      </c>
      <c r="H1906" t="str">
        <f t="shared" si="286"/>
        <v>91</v>
      </c>
      <c r="I1906" t="str">
        <f>"P"</f>
        <v>P</v>
      </c>
      <c r="J1906" t="str">
        <f t="shared" si="290"/>
        <v>39</v>
      </c>
      <c r="K1906">
        <v>20190314</v>
      </c>
      <c r="L1906" t="str">
        <f>"076017"</f>
        <v>076017</v>
      </c>
      <c r="M1906" t="str">
        <f>"00237"</f>
        <v>00237</v>
      </c>
      <c r="N1906" t="s">
        <v>275</v>
      </c>
      <c r="O1906">
        <v>600</v>
      </c>
      <c r="P1906">
        <v>20190313</v>
      </c>
      <c r="Q1906" t="s">
        <v>1028</v>
      </c>
      <c r="R1906" t="s">
        <v>1136</v>
      </c>
      <c r="S1906" t="s">
        <v>295</v>
      </c>
      <c r="T1906" t="s">
        <v>301</v>
      </c>
    </row>
    <row r="1907" spans="1:20" x14ac:dyDescent="0.25">
      <c r="A1907">
        <v>9</v>
      </c>
      <c r="B1907">
        <v>181</v>
      </c>
      <c r="C1907" t="str">
        <f t="shared" si="284"/>
        <v>36</v>
      </c>
      <c r="D1907">
        <v>6412</v>
      </c>
      <c r="E1907" t="str">
        <f t="shared" si="289"/>
        <v>09</v>
      </c>
      <c r="F1907" t="str">
        <f t="shared" si="285"/>
        <v>001</v>
      </c>
      <c r="G1907">
        <v>9</v>
      </c>
      <c r="H1907" t="str">
        <f t="shared" si="286"/>
        <v>91</v>
      </c>
      <c r="I1907" t="str">
        <f>"P"</f>
        <v>P</v>
      </c>
      <c r="J1907" t="str">
        <f t="shared" si="290"/>
        <v>39</v>
      </c>
      <c r="K1907">
        <v>20190314</v>
      </c>
      <c r="L1907" t="str">
        <f>"076018"</f>
        <v>076018</v>
      </c>
      <c r="M1907" t="str">
        <f>"75351"</f>
        <v>75351</v>
      </c>
      <c r="N1907" t="s">
        <v>644</v>
      </c>
      <c r="O1907">
        <v>280</v>
      </c>
      <c r="P1907">
        <v>20190313</v>
      </c>
      <c r="Q1907" t="s">
        <v>1028</v>
      </c>
      <c r="R1907" t="s">
        <v>1136</v>
      </c>
      <c r="S1907" t="s">
        <v>295</v>
      </c>
      <c r="T1907" t="s">
        <v>301</v>
      </c>
    </row>
    <row r="1908" spans="1:20" x14ac:dyDescent="0.25">
      <c r="A1908">
        <v>9</v>
      </c>
      <c r="B1908">
        <v>181</v>
      </c>
      <c r="C1908" t="str">
        <f t="shared" si="284"/>
        <v>36</v>
      </c>
      <c r="D1908">
        <v>6412</v>
      </c>
      <c r="E1908" t="str">
        <f>"3J"</f>
        <v>3J</v>
      </c>
      <c r="F1908" t="str">
        <f t="shared" si="285"/>
        <v>001</v>
      </c>
      <c r="G1908">
        <v>9</v>
      </c>
      <c r="H1908" t="str">
        <f t="shared" si="286"/>
        <v>91</v>
      </c>
      <c r="I1908" t="str">
        <f>"2"</f>
        <v>2</v>
      </c>
      <c r="J1908" t="str">
        <f t="shared" si="290"/>
        <v>39</v>
      </c>
      <c r="K1908">
        <v>20190315</v>
      </c>
      <c r="L1908" t="str">
        <f>"076030"</f>
        <v>076030</v>
      </c>
      <c r="M1908" t="str">
        <f>"09210"</f>
        <v>09210</v>
      </c>
      <c r="N1908" t="s">
        <v>1010</v>
      </c>
      <c r="O1908">
        <v>325</v>
      </c>
      <c r="P1908">
        <v>20190313</v>
      </c>
      <c r="Q1908" t="s">
        <v>1011</v>
      </c>
      <c r="R1908" t="s">
        <v>1137</v>
      </c>
      <c r="S1908" t="s">
        <v>295</v>
      </c>
      <c r="T1908" t="s">
        <v>301</v>
      </c>
    </row>
    <row r="1909" spans="1:20" x14ac:dyDescent="0.25">
      <c r="A1909">
        <v>9</v>
      </c>
      <c r="B1909">
        <v>181</v>
      </c>
      <c r="C1909" t="str">
        <f t="shared" si="284"/>
        <v>36</v>
      </c>
      <c r="D1909">
        <v>6412</v>
      </c>
      <c r="E1909" t="str">
        <f>"3W"</f>
        <v>3W</v>
      </c>
      <c r="F1909" t="str">
        <f t="shared" si="285"/>
        <v>001</v>
      </c>
      <c r="G1909">
        <v>9</v>
      </c>
      <c r="H1909" t="str">
        <f t="shared" si="286"/>
        <v>91</v>
      </c>
      <c r="I1909" t="str">
        <f>"2"</f>
        <v>2</v>
      </c>
      <c r="J1909" t="str">
        <f t="shared" si="290"/>
        <v>39</v>
      </c>
      <c r="K1909">
        <v>20190315</v>
      </c>
      <c r="L1909" t="str">
        <f>"076030"</f>
        <v>076030</v>
      </c>
      <c r="M1909" t="str">
        <f>"09210"</f>
        <v>09210</v>
      </c>
      <c r="N1909" t="s">
        <v>1010</v>
      </c>
      <c r="O1909">
        <v>325</v>
      </c>
      <c r="P1909">
        <v>20190313</v>
      </c>
      <c r="Q1909" t="s">
        <v>1013</v>
      </c>
      <c r="R1909" t="s">
        <v>1138</v>
      </c>
      <c r="S1909" t="s">
        <v>295</v>
      </c>
      <c r="T1909" t="s">
        <v>301</v>
      </c>
    </row>
    <row r="1910" spans="1:20" x14ac:dyDescent="0.25">
      <c r="A1910">
        <v>9</v>
      </c>
      <c r="B1910">
        <v>181</v>
      </c>
      <c r="C1910" t="str">
        <f t="shared" si="284"/>
        <v>36</v>
      </c>
      <c r="D1910">
        <v>6219</v>
      </c>
      <c r="E1910" t="str">
        <f>"3K"</f>
        <v>3K</v>
      </c>
      <c r="F1910" t="str">
        <f t="shared" si="285"/>
        <v>001</v>
      </c>
      <c r="G1910">
        <v>9</v>
      </c>
      <c r="H1910" t="str">
        <f t="shared" si="286"/>
        <v>91</v>
      </c>
      <c r="I1910" t="str">
        <f>"0"</f>
        <v>0</v>
      </c>
      <c r="J1910" t="str">
        <f t="shared" si="290"/>
        <v>39</v>
      </c>
      <c r="K1910">
        <v>20190315</v>
      </c>
      <c r="L1910" t="str">
        <f>"076037"</f>
        <v>076037</v>
      </c>
      <c r="M1910" t="str">
        <f>"18991"</f>
        <v>18991</v>
      </c>
      <c r="N1910" t="s">
        <v>324</v>
      </c>
      <c r="O1910">
        <v>115</v>
      </c>
      <c r="P1910">
        <v>20190313</v>
      </c>
      <c r="Q1910" t="s">
        <v>951</v>
      </c>
      <c r="R1910" t="s">
        <v>1139</v>
      </c>
      <c r="S1910" t="s">
        <v>295</v>
      </c>
      <c r="T1910" t="s">
        <v>301</v>
      </c>
    </row>
    <row r="1911" spans="1:20" x14ac:dyDescent="0.25">
      <c r="A1911">
        <v>9</v>
      </c>
      <c r="B1911">
        <v>181</v>
      </c>
      <c r="C1911" t="str">
        <f t="shared" si="284"/>
        <v>36</v>
      </c>
      <c r="D1911">
        <v>6219</v>
      </c>
      <c r="E1911" t="str">
        <f>"3N"</f>
        <v>3N</v>
      </c>
      <c r="F1911" t="str">
        <f t="shared" si="285"/>
        <v>001</v>
      </c>
      <c r="G1911">
        <v>9</v>
      </c>
      <c r="H1911" t="str">
        <f t="shared" si="286"/>
        <v>91</v>
      </c>
      <c r="I1911" t="str">
        <f>"0"</f>
        <v>0</v>
      </c>
      <c r="J1911" t="str">
        <f t="shared" si="290"/>
        <v>39</v>
      </c>
      <c r="K1911">
        <v>20190315</v>
      </c>
      <c r="L1911" t="str">
        <f>"076037"</f>
        <v>076037</v>
      </c>
      <c r="M1911" t="str">
        <f>"18991"</f>
        <v>18991</v>
      </c>
      <c r="N1911" t="s">
        <v>324</v>
      </c>
      <c r="O1911">
        <v>115</v>
      </c>
      <c r="P1911">
        <v>20190313</v>
      </c>
      <c r="Q1911" t="s">
        <v>942</v>
      </c>
      <c r="R1911" t="s">
        <v>1140</v>
      </c>
      <c r="S1911" t="s">
        <v>295</v>
      </c>
      <c r="T1911" t="s">
        <v>301</v>
      </c>
    </row>
    <row r="1912" spans="1:20" x14ac:dyDescent="0.25">
      <c r="A1912">
        <v>9</v>
      </c>
      <c r="B1912">
        <v>181</v>
      </c>
      <c r="C1912" t="str">
        <f t="shared" si="284"/>
        <v>36</v>
      </c>
      <c r="D1912">
        <v>6219</v>
      </c>
      <c r="E1912" t="str">
        <f>"3K"</f>
        <v>3K</v>
      </c>
      <c r="F1912" t="str">
        <f t="shared" si="285"/>
        <v>001</v>
      </c>
      <c r="G1912">
        <v>9</v>
      </c>
      <c r="H1912" t="str">
        <f t="shared" si="286"/>
        <v>91</v>
      </c>
      <c r="I1912" t="str">
        <f>"0"</f>
        <v>0</v>
      </c>
      <c r="J1912" t="str">
        <f t="shared" si="290"/>
        <v>39</v>
      </c>
      <c r="K1912">
        <v>20190315</v>
      </c>
      <c r="L1912" t="str">
        <f>"076041"</f>
        <v>076041</v>
      </c>
      <c r="M1912" t="str">
        <f>"00708"</f>
        <v>00708</v>
      </c>
      <c r="N1912" t="s">
        <v>957</v>
      </c>
      <c r="O1912">
        <v>115</v>
      </c>
      <c r="P1912">
        <v>20190313</v>
      </c>
      <c r="Q1912" t="s">
        <v>951</v>
      </c>
      <c r="R1912" t="s">
        <v>1139</v>
      </c>
      <c r="S1912" t="s">
        <v>295</v>
      </c>
      <c r="T1912" t="s">
        <v>301</v>
      </c>
    </row>
    <row r="1913" spans="1:20" x14ac:dyDescent="0.25">
      <c r="A1913">
        <v>9</v>
      </c>
      <c r="B1913">
        <v>181</v>
      </c>
      <c r="C1913" t="str">
        <f t="shared" si="284"/>
        <v>36</v>
      </c>
      <c r="D1913">
        <v>6219</v>
      </c>
      <c r="E1913" t="str">
        <f>"3N"</f>
        <v>3N</v>
      </c>
      <c r="F1913" t="str">
        <f t="shared" si="285"/>
        <v>001</v>
      </c>
      <c r="G1913">
        <v>9</v>
      </c>
      <c r="H1913" t="str">
        <f t="shared" si="286"/>
        <v>91</v>
      </c>
      <c r="I1913" t="str">
        <f>"0"</f>
        <v>0</v>
      </c>
      <c r="J1913" t="str">
        <f t="shared" si="290"/>
        <v>39</v>
      </c>
      <c r="K1913">
        <v>20190315</v>
      </c>
      <c r="L1913" t="str">
        <f>"076041"</f>
        <v>076041</v>
      </c>
      <c r="M1913" t="str">
        <f>"00708"</f>
        <v>00708</v>
      </c>
      <c r="N1913" t="s">
        <v>957</v>
      </c>
      <c r="O1913">
        <v>75</v>
      </c>
      <c r="P1913">
        <v>20190313</v>
      </c>
      <c r="Q1913" t="s">
        <v>942</v>
      </c>
      <c r="R1913" t="s">
        <v>1140</v>
      </c>
      <c r="S1913" t="s">
        <v>295</v>
      </c>
      <c r="T1913" t="s">
        <v>301</v>
      </c>
    </row>
    <row r="1914" spans="1:20" x14ac:dyDescent="0.25">
      <c r="A1914">
        <v>9</v>
      </c>
      <c r="B1914">
        <v>181</v>
      </c>
      <c r="C1914" t="str">
        <f t="shared" si="284"/>
        <v>36</v>
      </c>
      <c r="D1914">
        <v>6219</v>
      </c>
      <c r="E1914" t="str">
        <f>"3P"</f>
        <v>3P</v>
      </c>
      <c r="F1914" t="str">
        <f t="shared" si="285"/>
        <v>001</v>
      </c>
      <c r="G1914">
        <v>9</v>
      </c>
      <c r="H1914" t="str">
        <f t="shared" si="286"/>
        <v>91</v>
      </c>
      <c r="I1914" t="str">
        <f>"0"</f>
        <v>0</v>
      </c>
      <c r="J1914" t="str">
        <f t="shared" si="290"/>
        <v>39</v>
      </c>
      <c r="K1914">
        <v>20190315</v>
      </c>
      <c r="L1914" t="str">
        <f>"076043"</f>
        <v>076043</v>
      </c>
      <c r="M1914" t="str">
        <f>"20433"</f>
        <v>20433</v>
      </c>
      <c r="N1914" t="s">
        <v>332</v>
      </c>
      <c r="O1914">
        <v>25</v>
      </c>
      <c r="P1914">
        <v>20190313</v>
      </c>
      <c r="Q1914" t="s">
        <v>961</v>
      </c>
      <c r="R1914" t="s">
        <v>1141</v>
      </c>
      <c r="S1914" t="s">
        <v>295</v>
      </c>
      <c r="T1914" t="s">
        <v>301</v>
      </c>
    </row>
    <row r="1915" spans="1:20" x14ac:dyDescent="0.25">
      <c r="A1915">
        <v>9</v>
      </c>
      <c r="B1915">
        <v>181</v>
      </c>
      <c r="C1915" t="str">
        <f t="shared" si="284"/>
        <v>36</v>
      </c>
      <c r="D1915">
        <v>6412</v>
      </c>
      <c r="E1915" t="str">
        <f>"3P"</f>
        <v>3P</v>
      </c>
      <c r="F1915" t="str">
        <f t="shared" si="285"/>
        <v>001</v>
      </c>
      <c r="G1915">
        <v>9</v>
      </c>
      <c r="H1915" t="str">
        <f t="shared" si="286"/>
        <v>91</v>
      </c>
      <c r="I1915" t="str">
        <f>"1"</f>
        <v>1</v>
      </c>
      <c r="J1915" t="str">
        <f t="shared" si="290"/>
        <v>39</v>
      </c>
      <c r="K1915">
        <v>20190315</v>
      </c>
      <c r="L1915" t="str">
        <f>"076044"</f>
        <v>076044</v>
      </c>
      <c r="M1915" t="str">
        <f>"00694"</f>
        <v>00694</v>
      </c>
      <c r="N1915" t="s">
        <v>417</v>
      </c>
      <c r="O1915">
        <v>70.489999999999995</v>
      </c>
      <c r="P1915">
        <v>20190313</v>
      </c>
      <c r="Q1915" t="s">
        <v>1046</v>
      </c>
      <c r="R1915" t="s">
        <v>1142</v>
      </c>
      <c r="S1915" t="s">
        <v>295</v>
      </c>
      <c r="T1915" t="s">
        <v>301</v>
      </c>
    </row>
    <row r="1916" spans="1:20" x14ac:dyDescent="0.25">
      <c r="A1916">
        <v>9</v>
      </c>
      <c r="B1916">
        <v>181</v>
      </c>
      <c r="C1916" t="str">
        <f t="shared" si="284"/>
        <v>36</v>
      </c>
      <c r="D1916">
        <v>6412</v>
      </c>
      <c r="E1916" t="str">
        <f>"3A"</f>
        <v>3A</v>
      </c>
      <c r="F1916" t="str">
        <f t="shared" si="285"/>
        <v>001</v>
      </c>
      <c r="G1916">
        <v>9</v>
      </c>
      <c r="H1916" t="str">
        <f t="shared" si="286"/>
        <v>91</v>
      </c>
      <c r="I1916" t="str">
        <f>"1"</f>
        <v>1</v>
      </c>
      <c r="J1916" t="str">
        <f t="shared" si="290"/>
        <v>39</v>
      </c>
      <c r="K1916">
        <v>20190315</v>
      </c>
      <c r="L1916" t="str">
        <f>"076045"</f>
        <v>076045</v>
      </c>
      <c r="M1916" t="str">
        <f>"20463"</f>
        <v>20463</v>
      </c>
      <c r="N1916" t="s">
        <v>509</v>
      </c>
      <c r="O1916">
        <v>100</v>
      </c>
      <c r="P1916">
        <v>20190313</v>
      </c>
      <c r="Q1916" t="s">
        <v>1143</v>
      </c>
      <c r="R1916" t="s">
        <v>1144</v>
      </c>
      <c r="S1916" t="s">
        <v>295</v>
      </c>
      <c r="T1916" t="s">
        <v>301</v>
      </c>
    </row>
    <row r="1917" spans="1:20" x14ac:dyDescent="0.25">
      <c r="A1917">
        <v>9</v>
      </c>
      <c r="B1917">
        <v>181</v>
      </c>
      <c r="C1917" t="str">
        <f t="shared" si="284"/>
        <v>36</v>
      </c>
      <c r="D1917">
        <v>6412</v>
      </c>
      <c r="E1917" t="str">
        <f>"3P"</f>
        <v>3P</v>
      </c>
      <c r="F1917" t="str">
        <f t="shared" si="285"/>
        <v>001</v>
      </c>
      <c r="G1917">
        <v>9</v>
      </c>
      <c r="H1917" t="str">
        <f t="shared" si="286"/>
        <v>91</v>
      </c>
      <c r="I1917" t="str">
        <f>"1"</f>
        <v>1</v>
      </c>
      <c r="J1917" t="str">
        <f t="shared" si="290"/>
        <v>39</v>
      </c>
      <c r="K1917">
        <v>20190315</v>
      </c>
      <c r="L1917" t="str">
        <f>"076045"</f>
        <v>076045</v>
      </c>
      <c r="M1917" t="str">
        <f>"20463"</f>
        <v>20463</v>
      </c>
      <c r="N1917" t="s">
        <v>509</v>
      </c>
      <c r="O1917">
        <v>130.57</v>
      </c>
      <c r="P1917">
        <v>20190315</v>
      </c>
      <c r="Q1917" t="s">
        <v>1046</v>
      </c>
      <c r="R1917" t="s">
        <v>1145</v>
      </c>
      <c r="S1917" t="s">
        <v>295</v>
      </c>
      <c r="T1917" t="s">
        <v>301</v>
      </c>
    </row>
    <row r="1918" spans="1:20" x14ac:dyDescent="0.25">
      <c r="A1918">
        <v>9</v>
      </c>
      <c r="B1918">
        <v>181</v>
      </c>
      <c r="C1918" t="str">
        <f t="shared" si="284"/>
        <v>36</v>
      </c>
      <c r="D1918">
        <v>6412</v>
      </c>
      <c r="E1918" t="str">
        <f>"3A"</f>
        <v>3A</v>
      </c>
      <c r="F1918" t="str">
        <f t="shared" si="285"/>
        <v>001</v>
      </c>
      <c r="G1918">
        <v>9</v>
      </c>
      <c r="H1918" t="str">
        <f t="shared" si="286"/>
        <v>91</v>
      </c>
      <c r="I1918" t="str">
        <f>"1"</f>
        <v>1</v>
      </c>
      <c r="J1918" t="str">
        <f t="shared" si="290"/>
        <v>39</v>
      </c>
      <c r="K1918">
        <v>20190315</v>
      </c>
      <c r="L1918" t="str">
        <f>"076046"</f>
        <v>076046</v>
      </c>
      <c r="M1918" t="str">
        <f>"51345"</f>
        <v>51345</v>
      </c>
      <c r="N1918" t="s">
        <v>513</v>
      </c>
      <c r="O1918">
        <v>78</v>
      </c>
      <c r="P1918">
        <v>20190313</v>
      </c>
      <c r="Q1918" t="s">
        <v>1143</v>
      </c>
      <c r="R1918" t="s">
        <v>1146</v>
      </c>
      <c r="S1918" t="s">
        <v>295</v>
      </c>
      <c r="T1918" t="s">
        <v>301</v>
      </c>
    </row>
    <row r="1919" spans="1:20" x14ac:dyDescent="0.25">
      <c r="A1919">
        <v>9</v>
      </c>
      <c r="B1919">
        <v>181</v>
      </c>
      <c r="C1919" t="str">
        <f t="shared" si="284"/>
        <v>36</v>
      </c>
      <c r="D1919">
        <v>6412</v>
      </c>
      <c r="E1919" t="str">
        <f>"3S"</f>
        <v>3S</v>
      </c>
      <c r="F1919" t="str">
        <f>"041"</f>
        <v>041</v>
      </c>
      <c r="G1919">
        <v>9</v>
      </c>
      <c r="H1919" t="str">
        <f t="shared" si="286"/>
        <v>91</v>
      </c>
      <c r="I1919" t="str">
        <f>"1"</f>
        <v>1</v>
      </c>
      <c r="J1919" t="str">
        <f>"41"</f>
        <v>41</v>
      </c>
      <c r="K1919">
        <v>20190315</v>
      </c>
      <c r="L1919" t="str">
        <f>"076048"</f>
        <v>076048</v>
      </c>
      <c r="M1919" t="str">
        <f>"51349"</f>
        <v>51349</v>
      </c>
      <c r="N1919" t="s">
        <v>558</v>
      </c>
      <c r="O1919">
        <v>117</v>
      </c>
      <c r="P1919">
        <v>20190313</v>
      </c>
      <c r="Q1919" t="s">
        <v>1147</v>
      </c>
      <c r="R1919" t="s">
        <v>1060</v>
      </c>
      <c r="S1919" t="s">
        <v>295</v>
      </c>
      <c r="T1919" t="s">
        <v>106</v>
      </c>
    </row>
    <row r="1920" spans="1:20" x14ac:dyDescent="0.25">
      <c r="A1920">
        <v>9</v>
      </c>
      <c r="B1920">
        <v>181</v>
      </c>
      <c r="C1920" t="str">
        <f t="shared" si="284"/>
        <v>36</v>
      </c>
      <c r="D1920">
        <v>6399</v>
      </c>
      <c r="E1920" t="str">
        <f>"3U"</f>
        <v>3U</v>
      </c>
      <c r="F1920" t="str">
        <f>"001"</f>
        <v>001</v>
      </c>
      <c r="G1920">
        <v>9</v>
      </c>
      <c r="H1920" t="str">
        <f t="shared" si="286"/>
        <v>91</v>
      </c>
      <c r="I1920" t="str">
        <f>"0"</f>
        <v>0</v>
      </c>
      <c r="J1920" t="str">
        <f>"39"</f>
        <v>39</v>
      </c>
      <c r="K1920">
        <v>20190315</v>
      </c>
      <c r="L1920" t="str">
        <f>"076049"</f>
        <v>076049</v>
      </c>
      <c r="M1920" t="str">
        <f>"20912"</f>
        <v>20912</v>
      </c>
      <c r="N1920" t="s">
        <v>563</v>
      </c>
      <c r="O1920" s="1">
        <v>2006.8</v>
      </c>
      <c r="P1920">
        <v>20190313</v>
      </c>
      <c r="Q1920" t="s">
        <v>1111</v>
      </c>
      <c r="R1920" t="s">
        <v>565</v>
      </c>
      <c r="S1920" t="s">
        <v>295</v>
      </c>
      <c r="T1920" t="s">
        <v>301</v>
      </c>
    </row>
    <row r="1921" spans="1:20" x14ac:dyDescent="0.25">
      <c r="A1921">
        <v>9</v>
      </c>
      <c r="B1921">
        <v>181</v>
      </c>
      <c r="C1921" t="str">
        <f t="shared" si="284"/>
        <v>36</v>
      </c>
      <c r="D1921">
        <v>6411</v>
      </c>
      <c r="E1921" t="str">
        <f>"33"</f>
        <v>33</v>
      </c>
      <c r="F1921" t="str">
        <f>"001"</f>
        <v>001</v>
      </c>
      <c r="G1921">
        <v>9</v>
      </c>
      <c r="H1921" t="str">
        <f t="shared" si="286"/>
        <v>91</v>
      </c>
      <c r="I1921" t="str">
        <f>"0"</f>
        <v>0</v>
      </c>
      <c r="J1921" t="str">
        <f>"39"</f>
        <v>39</v>
      </c>
      <c r="K1921">
        <v>20190315</v>
      </c>
      <c r="L1921" t="str">
        <f>"076051"</f>
        <v>076051</v>
      </c>
      <c r="M1921" t="str">
        <f>"00506"</f>
        <v>00506</v>
      </c>
      <c r="N1921" t="s">
        <v>1148</v>
      </c>
      <c r="O1921">
        <v>139.9</v>
      </c>
      <c r="P1921">
        <v>20190313</v>
      </c>
      <c r="Q1921" t="s">
        <v>306</v>
      </c>
      <c r="R1921" t="s">
        <v>1149</v>
      </c>
      <c r="S1921" t="s">
        <v>295</v>
      </c>
      <c r="T1921" t="s">
        <v>301</v>
      </c>
    </row>
    <row r="1922" spans="1:20" x14ac:dyDescent="0.25">
      <c r="A1922">
        <v>9</v>
      </c>
      <c r="B1922">
        <v>181</v>
      </c>
      <c r="C1922" t="str">
        <f t="shared" si="284"/>
        <v>36</v>
      </c>
      <c r="D1922">
        <v>6412</v>
      </c>
      <c r="E1922" t="str">
        <f>"3N"</f>
        <v>3N</v>
      </c>
      <c r="F1922" t="str">
        <f>"001"</f>
        <v>001</v>
      </c>
      <c r="G1922">
        <v>9</v>
      </c>
      <c r="H1922" t="str">
        <f t="shared" si="286"/>
        <v>91</v>
      </c>
      <c r="I1922" t="str">
        <f>"1"</f>
        <v>1</v>
      </c>
      <c r="J1922" t="str">
        <f>"39"</f>
        <v>39</v>
      </c>
      <c r="K1922">
        <v>20190315</v>
      </c>
      <c r="L1922" t="str">
        <f>"076055"</f>
        <v>076055</v>
      </c>
      <c r="M1922" t="str">
        <f>"00754"</f>
        <v>00754</v>
      </c>
      <c r="N1922" t="s">
        <v>1150</v>
      </c>
      <c r="O1922">
        <v>97.35</v>
      </c>
      <c r="P1922">
        <v>20190313</v>
      </c>
      <c r="Q1922" t="s">
        <v>920</v>
      </c>
      <c r="R1922" t="s">
        <v>1151</v>
      </c>
      <c r="S1922" t="s">
        <v>295</v>
      </c>
      <c r="T1922" t="s">
        <v>301</v>
      </c>
    </row>
    <row r="1923" spans="1:20" x14ac:dyDescent="0.25">
      <c r="A1923">
        <v>9</v>
      </c>
      <c r="B1923">
        <v>181</v>
      </c>
      <c r="C1923" t="str">
        <f t="shared" si="284"/>
        <v>36</v>
      </c>
      <c r="D1923">
        <v>6219</v>
      </c>
      <c r="E1923" t="str">
        <f>"3P"</f>
        <v>3P</v>
      </c>
      <c r="F1923" t="str">
        <f>"001"</f>
        <v>001</v>
      </c>
      <c r="G1923">
        <v>9</v>
      </c>
      <c r="H1923" t="str">
        <f t="shared" si="286"/>
        <v>91</v>
      </c>
      <c r="I1923" t="str">
        <f>"1"</f>
        <v>1</v>
      </c>
      <c r="J1923" t="str">
        <f>"39"</f>
        <v>39</v>
      </c>
      <c r="K1923">
        <v>20190315</v>
      </c>
      <c r="L1923" t="str">
        <f>"076066"</f>
        <v>076066</v>
      </c>
      <c r="M1923" t="str">
        <f>"30118"</f>
        <v>30118</v>
      </c>
      <c r="N1923" t="s">
        <v>347</v>
      </c>
      <c r="O1923">
        <v>96</v>
      </c>
      <c r="P1923">
        <v>20190313</v>
      </c>
      <c r="Q1923" t="s">
        <v>1152</v>
      </c>
      <c r="R1923" t="s">
        <v>1141</v>
      </c>
      <c r="S1923" t="s">
        <v>295</v>
      </c>
      <c r="T1923" t="s">
        <v>301</v>
      </c>
    </row>
    <row r="1924" spans="1:20" x14ac:dyDescent="0.25">
      <c r="A1924">
        <v>9</v>
      </c>
      <c r="B1924">
        <v>181</v>
      </c>
      <c r="C1924" t="str">
        <f t="shared" si="284"/>
        <v>36</v>
      </c>
      <c r="D1924">
        <v>6412</v>
      </c>
      <c r="E1924" t="str">
        <f>"3V"</f>
        <v>3V</v>
      </c>
      <c r="F1924" t="str">
        <f>"041"</f>
        <v>041</v>
      </c>
      <c r="G1924">
        <v>9</v>
      </c>
      <c r="H1924" t="str">
        <f t="shared" si="286"/>
        <v>91</v>
      </c>
      <c r="I1924" t="str">
        <f>"2"</f>
        <v>2</v>
      </c>
      <c r="J1924" t="str">
        <f>"41"</f>
        <v>41</v>
      </c>
      <c r="K1924">
        <v>20190315</v>
      </c>
      <c r="L1924" t="str">
        <f>"076067"</f>
        <v>076067</v>
      </c>
      <c r="M1924" t="str">
        <f>"30155"</f>
        <v>30155</v>
      </c>
      <c r="N1924" t="s">
        <v>648</v>
      </c>
      <c r="O1924">
        <v>224</v>
      </c>
      <c r="P1924">
        <v>20190313</v>
      </c>
      <c r="Q1924" t="s">
        <v>574</v>
      </c>
      <c r="R1924" t="s">
        <v>1071</v>
      </c>
      <c r="S1924" t="s">
        <v>295</v>
      </c>
      <c r="T1924" t="s">
        <v>106</v>
      </c>
    </row>
    <row r="1925" spans="1:20" x14ac:dyDescent="0.25">
      <c r="A1925">
        <v>9</v>
      </c>
      <c r="B1925">
        <v>181</v>
      </c>
      <c r="C1925" t="str">
        <f t="shared" si="284"/>
        <v>36</v>
      </c>
      <c r="D1925">
        <v>6412</v>
      </c>
      <c r="E1925" t="str">
        <f>"3P"</f>
        <v>3P</v>
      </c>
      <c r="F1925" t="str">
        <f t="shared" ref="F1925:F1948" si="291">"001"</f>
        <v>001</v>
      </c>
      <c r="G1925">
        <v>9</v>
      </c>
      <c r="H1925" t="str">
        <f t="shared" si="286"/>
        <v>91</v>
      </c>
      <c r="I1925" t="str">
        <f>"1"</f>
        <v>1</v>
      </c>
      <c r="J1925" t="str">
        <f t="shared" ref="J1925:J1948" si="292">"39"</f>
        <v>39</v>
      </c>
      <c r="K1925">
        <v>20190315</v>
      </c>
      <c r="L1925" t="str">
        <f>"076069"</f>
        <v>076069</v>
      </c>
      <c r="M1925" t="str">
        <f>"30837"</f>
        <v>30837</v>
      </c>
      <c r="N1925" t="s">
        <v>621</v>
      </c>
      <c r="O1925">
        <v>99.45</v>
      </c>
      <c r="P1925">
        <v>20190313</v>
      </c>
      <c r="Q1925" t="s">
        <v>1046</v>
      </c>
      <c r="R1925" t="s">
        <v>1153</v>
      </c>
      <c r="S1925" t="s">
        <v>295</v>
      </c>
      <c r="T1925" t="s">
        <v>301</v>
      </c>
    </row>
    <row r="1926" spans="1:20" x14ac:dyDescent="0.25">
      <c r="A1926">
        <v>9</v>
      </c>
      <c r="B1926">
        <v>181</v>
      </c>
      <c r="C1926" t="str">
        <f t="shared" si="284"/>
        <v>36</v>
      </c>
      <c r="D1926">
        <v>6412</v>
      </c>
      <c r="E1926" t="str">
        <f>"09"</f>
        <v>09</v>
      </c>
      <c r="F1926" t="str">
        <f t="shared" si="291"/>
        <v>001</v>
      </c>
      <c r="G1926">
        <v>9</v>
      </c>
      <c r="H1926" t="str">
        <f t="shared" si="286"/>
        <v>91</v>
      </c>
      <c r="I1926" t="str">
        <f>"P"</f>
        <v>P</v>
      </c>
      <c r="J1926" t="str">
        <f t="shared" si="292"/>
        <v>39</v>
      </c>
      <c r="K1926">
        <v>20190315</v>
      </c>
      <c r="L1926" t="str">
        <f>"076070"</f>
        <v>076070</v>
      </c>
      <c r="M1926" t="str">
        <f>"30744"</f>
        <v>30744</v>
      </c>
      <c r="N1926" t="s">
        <v>422</v>
      </c>
      <c r="O1926">
        <v>33.96</v>
      </c>
      <c r="P1926">
        <v>20190313</v>
      </c>
      <c r="Q1926" t="s">
        <v>1028</v>
      </c>
      <c r="R1926" t="s">
        <v>1029</v>
      </c>
      <c r="S1926" t="s">
        <v>295</v>
      </c>
      <c r="T1926" t="s">
        <v>301</v>
      </c>
    </row>
    <row r="1927" spans="1:20" x14ac:dyDescent="0.25">
      <c r="A1927">
        <v>9</v>
      </c>
      <c r="B1927">
        <v>181</v>
      </c>
      <c r="C1927" t="str">
        <f t="shared" si="284"/>
        <v>36</v>
      </c>
      <c r="D1927">
        <v>6412</v>
      </c>
      <c r="E1927" t="str">
        <f>"09"</f>
        <v>09</v>
      </c>
      <c r="F1927" t="str">
        <f t="shared" si="291"/>
        <v>001</v>
      </c>
      <c r="G1927">
        <v>9</v>
      </c>
      <c r="H1927" t="str">
        <f t="shared" si="286"/>
        <v>91</v>
      </c>
      <c r="I1927" t="str">
        <f>"P"</f>
        <v>P</v>
      </c>
      <c r="J1927" t="str">
        <f t="shared" si="292"/>
        <v>39</v>
      </c>
      <c r="K1927">
        <v>20190315</v>
      </c>
      <c r="L1927" t="str">
        <f>"076070"</f>
        <v>076070</v>
      </c>
      <c r="M1927" t="str">
        <f>"30744"</f>
        <v>30744</v>
      </c>
      <c r="N1927" t="s">
        <v>422</v>
      </c>
      <c r="O1927">
        <v>32.96</v>
      </c>
      <c r="P1927">
        <v>20190313</v>
      </c>
      <c r="Q1927" t="s">
        <v>1028</v>
      </c>
      <c r="R1927" t="s">
        <v>1029</v>
      </c>
      <c r="S1927" t="s">
        <v>295</v>
      </c>
      <c r="T1927" t="s">
        <v>301</v>
      </c>
    </row>
    <row r="1928" spans="1:20" x14ac:dyDescent="0.25">
      <c r="A1928">
        <v>9</v>
      </c>
      <c r="B1928">
        <v>181</v>
      </c>
      <c r="C1928" t="str">
        <f t="shared" si="284"/>
        <v>36</v>
      </c>
      <c r="D1928">
        <v>6412</v>
      </c>
      <c r="E1928" t="str">
        <f>"09"</f>
        <v>09</v>
      </c>
      <c r="F1928" t="str">
        <f t="shared" si="291"/>
        <v>001</v>
      </c>
      <c r="G1928">
        <v>9</v>
      </c>
      <c r="H1928" t="str">
        <f t="shared" si="286"/>
        <v>91</v>
      </c>
      <c r="I1928" t="str">
        <f>"P"</f>
        <v>P</v>
      </c>
      <c r="J1928" t="str">
        <f t="shared" si="292"/>
        <v>39</v>
      </c>
      <c r="K1928">
        <v>20190315</v>
      </c>
      <c r="L1928" t="str">
        <f>"076070"</f>
        <v>076070</v>
      </c>
      <c r="M1928" t="str">
        <f>"30744"</f>
        <v>30744</v>
      </c>
      <c r="N1928" t="s">
        <v>422</v>
      </c>
      <c r="O1928">
        <v>31.39</v>
      </c>
      <c r="P1928">
        <v>20190313</v>
      </c>
      <c r="Q1928" t="s">
        <v>1028</v>
      </c>
      <c r="R1928" t="s">
        <v>1029</v>
      </c>
      <c r="S1928" t="s">
        <v>295</v>
      </c>
      <c r="T1928" t="s">
        <v>301</v>
      </c>
    </row>
    <row r="1929" spans="1:20" x14ac:dyDescent="0.25">
      <c r="A1929">
        <v>9</v>
      </c>
      <c r="B1929">
        <v>181</v>
      </c>
      <c r="C1929" t="str">
        <f t="shared" si="284"/>
        <v>36</v>
      </c>
      <c r="D1929">
        <v>6412</v>
      </c>
      <c r="E1929" t="str">
        <f>"09"</f>
        <v>09</v>
      </c>
      <c r="F1929" t="str">
        <f t="shared" si="291"/>
        <v>001</v>
      </c>
      <c r="G1929">
        <v>9</v>
      </c>
      <c r="H1929" t="str">
        <f t="shared" si="286"/>
        <v>91</v>
      </c>
      <c r="I1929" t="str">
        <f>"S"</f>
        <v>S</v>
      </c>
      <c r="J1929" t="str">
        <f t="shared" si="292"/>
        <v>39</v>
      </c>
      <c r="K1929">
        <v>20190315</v>
      </c>
      <c r="L1929" t="str">
        <f>"076070"</f>
        <v>076070</v>
      </c>
      <c r="M1929" t="str">
        <f>"30744"</f>
        <v>30744</v>
      </c>
      <c r="N1929" t="s">
        <v>422</v>
      </c>
      <c r="O1929">
        <v>35.840000000000003</v>
      </c>
      <c r="P1929">
        <v>20190313</v>
      </c>
      <c r="Q1929" t="s">
        <v>874</v>
      </c>
      <c r="R1929" t="s">
        <v>944</v>
      </c>
      <c r="S1929" t="s">
        <v>295</v>
      </c>
      <c r="T1929" t="s">
        <v>301</v>
      </c>
    </row>
    <row r="1930" spans="1:20" x14ac:dyDescent="0.25">
      <c r="A1930">
        <v>9</v>
      </c>
      <c r="B1930">
        <v>181</v>
      </c>
      <c r="C1930" t="str">
        <f t="shared" si="284"/>
        <v>36</v>
      </c>
      <c r="D1930">
        <v>6412</v>
      </c>
      <c r="E1930" t="str">
        <f>"09"</f>
        <v>09</v>
      </c>
      <c r="F1930" t="str">
        <f t="shared" si="291"/>
        <v>001</v>
      </c>
      <c r="G1930">
        <v>9</v>
      </c>
      <c r="H1930" t="str">
        <f t="shared" si="286"/>
        <v>91</v>
      </c>
      <c r="I1930" t="str">
        <f>"S"</f>
        <v>S</v>
      </c>
      <c r="J1930" t="str">
        <f t="shared" si="292"/>
        <v>39</v>
      </c>
      <c r="K1930">
        <v>20190315</v>
      </c>
      <c r="L1930" t="str">
        <f>"076070"</f>
        <v>076070</v>
      </c>
      <c r="M1930" t="str">
        <f>"30744"</f>
        <v>30744</v>
      </c>
      <c r="N1930" t="s">
        <v>422</v>
      </c>
      <c r="O1930">
        <v>37.54</v>
      </c>
      <c r="P1930">
        <v>20190313</v>
      </c>
      <c r="Q1930" t="s">
        <v>874</v>
      </c>
      <c r="R1930" t="s">
        <v>944</v>
      </c>
      <c r="S1930" t="s">
        <v>295</v>
      </c>
      <c r="T1930" t="s">
        <v>301</v>
      </c>
    </row>
    <row r="1931" spans="1:20" x14ac:dyDescent="0.25">
      <c r="A1931">
        <v>9</v>
      </c>
      <c r="B1931">
        <v>181</v>
      </c>
      <c r="C1931" t="str">
        <f t="shared" si="284"/>
        <v>36</v>
      </c>
      <c r="D1931">
        <v>6219</v>
      </c>
      <c r="E1931" t="str">
        <f>"3A"</f>
        <v>3A</v>
      </c>
      <c r="F1931" t="str">
        <f t="shared" si="291"/>
        <v>001</v>
      </c>
      <c r="G1931">
        <v>9</v>
      </c>
      <c r="H1931" t="str">
        <f t="shared" si="286"/>
        <v>91</v>
      </c>
      <c r="I1931" t="str">
        <f>"0"</f>
        <v>0</v>
      </c>
      <c r="J1931" t="str">
        <f t="shared" si="292"/>
        <v>39</v>
      </c>
      <c r="K1931">
        <v>20190315</v>
      </c>
      <c r="L1931" t="str">
        <f>"076071"</f>
        <v>076071</v>
      </c>
      <c r="M1931" t="str">
        <f>"32855"</f>
        <v>32855</v>
      </c>
      <c r="N1931" t="s">
        <v>348</v>
      </c>
      <c r="O1931">
        <v>75</v>
      </c>
      <c r="P1931">
        <v>20190314</v>
      </c>
      <c r="Q1931" t="s">
        <v>1088</v>
      </c>
      <c r="R1931" t="s">
        <v>1154</v>
      </c>
      <c r="S1931" t="s">
        <v>295</v>
      </c>
      <c r="T1931" t="s">
        <v>301</v>
      </c>
    </row>
    <row r="1932" spans="1:20" x14ac:dyDescent="0.25">
      <c r="A1932">
        <v>9</v>
      </c>
      <c r="B1932">
        <v>181</v>
      </c>
      <c r="C1932" t="str">
        <f t="shared" si="284"/>
        <v>36</v>
      </c>
      <c r="D1932">
        <v>6219</v>
      </c>
      <c r="E1932" t="str">
        <f>"3N"</f>
        <v>3N</v>
      </c>
      <c r="F1932" t="str">
        <f t="shared" si="291"/>
        <v>001</v>
      </c>
      <c r="G1932">
        <v>9</v>
      </c>
      <c r="H1932" t="str">
        <f t="shared" si="286"/>
        <v>91</v>
      </c>
      <c r="I1932" t="str">
        <f>"0"</f>
        <v>0</v>
      </c>
      <c r="J1932" t="str">
        <f t="shared" si="292"/>
        <v>39</v>
      </c>
      <c r="K1932">
        <v>20190315</v>
      </c>
      <c r="L1932" t="str">
        <f>"076073"</f>
        <v>076073</v>
      </c>
      <c r="M1932" t="str">
        <f>"33769"</f>
        <v>33769</v>
      </c>
      <c r="N1932" t="s">
        <v>980</v>
      </c>
      <c r="O1932">
        <v>115</v>
      </c>
      <c r="P1932">
        <v>20190314</v>
      </c>
      <c r="Q1932" t="s">
        <v>942</v>
      </c>
      <c r="R1932" t="s">
        <v>1140</v>
      </c>
      <c r="S1932" t="s">
        <v>295</v>
      </c>
      <c r="T1932" t="s">
        <v>301</v>
      </c>
    </row>
    <row r="1933" spans="1:20" x14ac:dyDescent="0.25">
      <c r="A1933">
        <v>9</v>
      </c>
      <c r="B1933">
        <v>181</v>
      </c>
      <c r="C1933" t="str">
        <f t="shared" si="284"/>
        <v>36</v>
      </c>
      <c r="D1933">
        <v>6412</v>
      </c>
      <c r="E1933" t="str">
        <f>"3U"</f>
        <v>3U</v>
      </c>
      <c r="F1933" t="str">
        <f t="shared" si="291"/>
        <v>001</v>
      </c>
      <c r="G1933">
        <v>9</v>
      </c>
      <c r="H1933" t="str">
        <f t="shared" si="286"/>
        <v>91</v>
      </c>
      <c r="I1933" t="str">
        <f>"1"</f>
        <v>1</v>
      </c>
      <c r="J1933" t="str">
        <f t="shared" si="292"/>
        <v>39</v>
      </c>
      <c r="K1933">
        <v>20190315</v>
      </c>
      <c r="L1933" t="str">
        <f>"076084"</f>
        <v>076084</v>
      </c>
      <c r="M1933" t="str">
        <f>"45093"</f>
        <v>45093</v>
      </c>
      <c r="N1933" t="s">
        <v>885</v>
      </c>
      <c r="O1933">
        <v>95.2</v>
      </c>
      <c r="P1933">
        <v>20190314</v>
      </c>
      <c r="Q1933" t="s">
        <v>1091</v>
      </c>
      <c r="R1933" t="s">
        <v>976</v>
      </c>
      <c r="S1933" t="s">
        <v>295</v>
      </c>
      <c r="T1933" t="s">
        <v>301</v>
      </c>
    </row>
    <row r="1934" spans="1:20" x14ac:dyDescent="0.25">
      <c r="A1934">
        <v>9</v>
      </c>
      <c r="B1934">
        <v>181</v>
      </c>
      <c r="C1934" t="str">
        <f t="shared" si="284"/>
        <v>36</v>
      </c>
      <c r="D1934">
        <v>6412</v>
      </c>
      <c r="E1934" t="str">
        <f>"3U"</f>
        <v>3U</v>
      </c>
      <c r="F1934" t="str">
        <f t="shared" si="291"/>
        <v>001</v>
      </c>
      <c r="G1934">
        <v>9</v>
      </c>
      <c r="H1934" t="str">
        <f t="shared" si="286"/>
        <v>91</v>
      </c>
      <c r="I1934" t="str">
        <f>"1"</f>
        <v>1</v>
      </c>
      <c r="J1934" t="str">
        <f t="shared" si="292"/>
        <v>39</v>
      </c>
      <c r="K1934">
        <v>20190315</v>
      </c>
      <c r="L1934" t="str">
        <f>"076084"</f>
        <v>076084</v>
      </c>
      <c r="M1934" t="str">
        <f>"45093"</f>
        <v>45093</v>
      </c>
      <c r="N1934" t="s">
        <v>885</v>
      </c>
      <c r="O1934">
        <v>116.4</v>
      </c>
      <c r="P1934">
        <v>20190314</v>
      </c>
      <c r="Q1934" t="s">
        <v>1091</v>
      </c>
      <c r="R1934" t="s">
        <v>1155</v>
      </c>
      <c r="S1934" t="s">
        <v>295</v>
      </c>
      <c r="T1934" t="s">
        <v>301</v>
      </c>
    </row>
    <row r="1935" spans="1:20" x14ac:dyDescent="0.25">
      <c r="A1935">
        <v>9</v>
      </c>
      <c r="B1935">
        <v>181</v>
      </c>
      <c r="C1935" t="str">
        <f t="shared" si="284"/>
        <v>36</v>
      </c>
      <c r="D1935">
        <v>6412</v>
      </c>
      <c r="E1935" t="str">
        <f>"3U"</f>
        <v>3U</v>
      </c>
      <c r="F1935" t="str">
        <f t="shared" si="291"/>
        <v>001</v>
      </c>
      <c r="G1935">
        <v>9</v>
      </c>
      <c r="H1935" t="str">
        <f t="shared" si="286"/>
        <v>91</v>
      </c>
      <c r="I1935" t="str">
        <f>"1"</f>
        <v>1</v>
      </c>
      <c r="J1935" t="str">
        <f t="shared" si="292"/>
        <v>39</v>
      </c>
      <c r="K1935">
        <v>20190315</v>
      </c>
      <c r="L1935" t="str">
        <f>"076084"</f>
        <v>076084</v>
      </c>
      <c r="M1935" t="str">
        <f>"45093"</f>
        <v>45093</v>
      </c>
      <c r="N1935" t="s">
        <v>885</v>
      </c>
      <c r="O1935">
        <v>106.4</v>
      </c>
      <c r="P1935">
        <v>20190314</v>
      </c>
      <c r="Q1935" t="s">
        <v>1091</v>
      </c>
      <c r="R1935" t="s">
        <v>1156</v>
      </c>
      <c r="S1935" t="s">
        <v>295</v>
      </c>
      <c r="T1935" t="s">
        <v>301</v>
      </c>
    </row>
    <row r="1936" spans="1:20" x14ac:dyDescent="0.25">
      <c r="A1936">
        <v>9</v>
      </c>
      <c r="B1936">
        <v>181</v>
      </c>
      <c r="C1936" t="str">
        <f t="shared" si="284"/>
        <v>36</v>
      </c>
      <c r="D1936">
        <v>6412</v>
      </c>
      <c r="E1936" t="str">
        <f>"3U"</f>
        <v>3U</v>
      </c>
      <c r="F1936" t="str">
        <f t="shared" si="291"/>
        <v>001</v>
      </c>
      <c r="G1936">
        <v>9</v>
      </c>
      <c r="H1936" t="str">
        <f t="shared" si="286"/>
        <v>91</v>
      </c>
      <c r="I1936" t="str">
        <f>"1"</f>
        <v>1</v>
      </c>
      <c r="J1936" t="str">
        <f t="shared" si="292"/>
        <v>39</v>
      </c>
      <c r="K1936">
        <v>20190315</v>
      </c>
      <c r="L1936" t="str">
        <f>"076084"</f>
        <v>076084</v>
      </c>
      <c r="M1936" t="str">
        <f>"45093"</f>
        <v>45093</v>
      </c>
      <c r="N1936" t="s">
        <v>885</v>
      </c>
      <c r="O1936">
        <v>116.4</v>
      </c>
      <c r="P1936">
        <v>20190314</v>
      </c>
      <c r="Q1936" t="s">
        <v>1091</v>
      </c>
      <c r="R1936" t="s">
        <v>439</v>
      </c>
      <c r="S1936" t="s">
        <v>295</v>
      </c>
      <c r="T1936" t="s">
        <v>301</v>
      </c>
    </row>
    <row r="1937" spans="1:20" x14ac:dyDescent="0.25">
      <c r="A1937">
        <v>9</v>
      </c>
      <c r="B1937">
        <v>181</v>
      </c>
      <c r="C1937" t="str">
        <f t="shared" si="284"/>
        <v>36</v>
      </c>
      <c r="D1937">
        <v>6412</v>
      </c>
      <c r="E1937" t="str">
        <f>"3B"</f>
        <v>3B</v>
      </c>
      <c r="F1937" t="str">
        <f t="shared" si="291"/>
        <v>001</v>
      </c>
      <c r="G1937">
        <v>9</v>
      </c>
      <c r="H1937" t="str">
        <f t="shared" si="286"/>
        <v>91</v>
      </c>
      <c r="I1937" t="str">
        <f>"2"</f>
        <v>2</v>
      </c>
      <c r="J1937" t="str">
        <f t="shared" si="292"/>
        <v>39</v>
      </c>
      <c r="K1937">
        <v>20190315</v>
      </c>
      <c r="L1937" t="str">
        <f>"076087"</f>
        <v>076087</v>
      </c>
      <c r="M1937" t="str">
        <f>"46233"</f>
        <v>46233</v>
      </c>
      <c r="N1937" t="s">
        <v>813</v>
      </c>
      <c r="O1937">
        <v>262</v>
      </c>
      <c r="P1937">
        <v>20190314</v>
      </c>
      <c r="Q1937" t="s">
        <v>1157</v>
      </c>
      <c r="R1937" t="s">
        <v>709</v>
      </c>
      <c r="S1937" t="s">
        <v>295</v>
      </c>
      <c r="T1937" t="s">
        <v>301</v>
      </c>
    </row>
    <row r="1938" spans="1:20" x14ac:dyDescent="0.25">
      <c r="A1938">
        <v>9</v>
      </c>
      <c r="B1938">
        <v>181</v>
      </c>
      <c r="C1938" t="str">
        <f t="shared" si="284"/>
        <v>36</v>
      </c>
      <c r="D1938">
        <v>6499</v>
      </c>
      <c r="E1938" t="str">
        <f>"99"</f>
        <v>99</v>
      </c>
      <c r="F1938" t="str">
        <f t="shared" si="291"/>
        <v>001</v>
      </c>
      <c r="G1938">
        <v>9</v>
      </c>
      <c r="H1938" t="str">
        <f t="shared" si="286"/>
        <v>91</v>
      </c>
      <c r="I1938" t="str">
        <f>"0"</f>
        <v>0</v>
      </c>
      <c r="J1938" t="str">
        <f t="shared" si="292"/>
        <v>39</v>
      </c>
      <c r="K1938">
        <v>20190315</v>
      </c>
      <c r="L1938" t="str">
        <f>"076094"</f>
        <v>076094</v>
      </c>
      <c r="M1938" t="str">
        <f>"51347"</f>
        <v>51347</v>
      </c>
      <c r="N1938" t="s">
        <v>1158</v>
      </c>
      <c r="O1938">
        <v>420</v>
      </c>
      <c r="P1938">
        <v>20190314</v>
      </c>
      <c r="Q1938" t="s">
        <v>1159</v>
      </c>
      <c r="R1938" t="s">
        <v>1160</v>
      </c>
      <c r="S1938" t="s">
        <v>295</v>
      </c>
      <c r="T1938" t="s">
        <v>301</v>
      </c>
    </row>
    <row r="1939" spans="1:20" x14ac:dyDescent="0.25">
      <c r="A1939">
        <v>9</v>
      </c>
      <c r="B1939">
        <v>181</v>
      </c>
      <c r="C1939" t="str">
        <f t="shared" si="284"/>
        <v>36</v>
      </c>
      <c r="D1939">
        <v>6499</v>
      </c>
      <c r="E1939" t="str">
        <f>"99"</f>
        <v>99</v>
      </c>
      <c r="F1939" t="str">
        <f t="shared" si="291"/>
        <v>001</v>
      </c>
      <c r="G1939">
        <v>9</v>
      </c>
      <c r="H1939" t="str">
        <f t="shared" si="286"/>
        <v>91</v>
      </c>
      <c r="I1939" t="str">
        <f>"0"</f>
        <v>0</v>
      </c>
      <c r="J1939" t="str">
        <f t="shared" si="292"/>
        <v>39</v>
      </c>
      <c r="K1939">
        <v>20190315</v>
      </c>
      <c r="L1939" t="str">
        <f>"076094"</f>
        <v>076094</v>
      </c>
      <c r="M1939" t="str">
        <f>"51347"</f>
        <v>51347</v>
      </c>
      <c r="N1939" t="s">
        <v>1158</v>
      </c>
      <c r="O1939" s="1">
        <v>2100</v>
      </c>
      <c r="P1939">
        <v>20190314</v>
      </c>
      <c r="Q1939" t="s">
        <v>1159</v>
      </c>
      <c r="R1939" t="s">
        <v>1160</v>
      </c>
      <c r="S1939" t="s">
        <v>295</v>
      </c>
      <c r="T1939" t="s">
        <v>301</v>
      </c>
    </row>
    <row r="1940" spans="1:20" x14ac:dyDescent="0.25">
      <c r="A1940">
        <v>9</v>
      </c>
      <c r="B1940">
        <v>181</v>
      </c>
      <c r="C1940" t="str">
        <f t="shared" si="284"/>
        <v>36</v>
      </c>
      <c r="D1940">
        <v>6499</v>
      </c>
      <c r="E1940" t="str">
        <f>"99"</f>
        <v>99</v>
      </c>
      <c r="F1940" t="str">
        <f t="shared" si="291"/>
        <v>001</v>
      </c>
      <c r="G1940">
        <v>9</v>
      </c>
      <c r="H1940" t="str">
        <f t="shared" si="286"/>
        <v>91</v>
      </c>
      <c r="I1940" t="str">
        <f>"0"</f>
        <v>0</v>
      </c>
      <c r="J1940" t="str">
        <f t="shared" si="292"/>
        <v>39</v>
      </c>
      <c r="K1940">
        <v>20190315</v>
      </c>
      <c r="L1940" t="str">
        <f>"076094"</f>
        <v>076094</v>
      </c>
      <c r="M1940" t="str">
        <f>"51347"</f>
        <v>51347</v>
      </c>
      <c r="N1940" t="s">
        <v>1158</v>
      </c>
      <c r="O1940">
        <v>140</v>
      </c>
      <c r="P1940">
        <v>20190314</v>
      </c>
      <c r="Q1940" t="s">
        <v>1159</v>
      </c>
      <c r="R1940" t="s">
        <v>1160</v>
      </c>
      <c r="S1940" t="s">
        <v>295</v>
      </c>
      <c r="T1940" t="s">
        <v>301</v>
      </c>
    </row>
    <row r="1941" spans="1:20" x14ac:dyDescent="0.25">
      <c r="A1941">
        <v>9</v>
      </c>
      <c r="B1941">
        <v>181</v>
      </c>
      <c r="C1941" t="str">
        <f t="shared" si="284"/>
        <v>36</v>
      </c>
      <c r="D1941">
        <v>6412</v>
      </c>
      <c r="E1941" t="str">
        <f>"3U"</f>
        <v>3U</v>
      </c>
      <c r="F1941" t="str">
        <f t="shared" si="291"/>
        <v>001</v>
      </c>
      <c r="G1941">
        <v>9</v>
      </c>
      <c r="H1941" t="str">
        <f t="shared" si="286"/>
        <v>91</v>
      </c>
      <c r="I1941" t="str">
        <f>"2"</f>
        <v>2</v>
      </c>
      <c r="J1941" t="str">
        <f t="shared" si="292"/>
        <v>39</v>
      </c>
      <c r="K1941">
        <v>20190315</v>
      </c>
      <c r="L1941" t="str">
        <f>"076110"</f>
        <v>076110</v>
      </c>
      <c r="M1941" t="str">
        <f>"63624"</f>
        <v>63624</v>
      </c>
      <c r="N1941" t="s">
        <v>1161</v>
      </c>
      <c r="O1941">
        <v>150</v>
      </c>
      <c r="P1941">
        <v>20190314</v>
      </c>
      <c r="Q1941" t="s">
        <v>958</v>
      </c>
      <c r="R1941" t="s">
        <v>1162</v>
      </c>
      <c r="S1941" t="s">
        <v>295</v>
      </c>
      <c r="T1941" t="s">
        <v>301</v>
      </c>
    </row>
    <row r="1942" spans="1:20" x14ac:dyDescent="0.25">
      <c r="A1942">
        <v>9</v>
      </c>
      <c r="B1942">
        <v>181</v>
      </c>
      <c r="C1942" t="str">
        <f t="shared" si="284"/>
        <v>36</v>
      </c>
      <c r="D1942">
        <v>6219</v>
      </c>
      <c r="E1942" t="str">
        <f>"3P"</f>
        <v>3P</v>
      </c>
      <c r="F1942" t="str">
        <f t="shared" si="291"/>
        <v>001</v>
      </c>
      <c r="G1942">
        <v>9</v>
      </c>
      <c r="H1942" t="str">
        <f t="shared" si="286"/>
        <v>91</v>
      </c>
      <c r="I1942" t="str">
        <f>"0"</f>
        <v>0</v>
      </c>
      <c r="J1942" t="str">
        <f t="shared" si="292"/>
        <v>39</v>
      </c>
      <c r="K1942">
        <v>20190315</v>
      </c>
      <c r="L1942" t="str">
        <f>"076111"</f>
        <v>076111</v>
      </c>
      <c r="M1942" t="str">
        <f>"63708"</f>
        <v>63708</v>
      </c>
      <c r="N1942" t="s">
        <v>748</v>
      </c>
      <c r="O1942">
        <v>145</v>
      </c>
      <c r="P1942">
        <v>20190314</v>
      </c>
      <c r="Q1942" t="s">
        <v>961</v>
      </c>
      <c r="R1942" t="s">
        <v>1141</v>
      </c>
      <c r="S1942" t="s">
        <v>295</v>
      </c>
      <c r="T1942" t="s">
        <v>301</v>
      </c>
    </row>
    <row r="1943" spans="1:20" x14ac:dyDescent="0.25">
      <c r="A1943">
        <v>9</v>
      </c>
      <c r="B1943">
        <v>181</v>
      </c>
      <c r="C1943" t="str">
        <f t="shared" si="284"/>
        <v>36</v>
      </c>
      <c r="D1943">
        <v>6319</v>
      </c>
      <c r="E1943" t="str">
        <f>"30"</f>
        <v>30</v>
      </c>
      <c r="F1943" t="str">
        <f t="shared" si="291"/>
        <v>001</v>
      </c>
      <c r="G1943">
        <v>9</v>
      </c>
      <c r="H1943" t="str">
        <f t="shared" si="286"/>
        <v>91</v>
      </c>
      <c r="I1943" t="str">
        <f>"0"</f>
        <v>0</v>
      </c>
      <c r="J1943" t="str">
        <f t="shared" si="292"/>
        <v>39</v>
      </c>
      <c r="K1943">
        <v>20190315</v>
      </c>
      <c r="L1943" t="str">
        <f>"076125"</f>
        <v>076125</v>
      </c>
      <c r="M1943" t="str">
        <f>"78726"</f>
        <v>78726</v>
      </c>
      <c r="N1943" t="s">
        <v>917</v>
      </c>
      <c r="O1943">
        <v>530</v>
      </c>
      <c r="P1943">
        <v>20190315</v>
      </c>
      <c r="Q1943" t="s">
        <v>501</v>
      </c>
      <c r="R1943" t="s">
        <v>1163</v>
      </c>
      <c r="S1943" t="s">
        <v>295</v>
      </c>
      <c r="T1943" t="s">
        <v>301</v>
      </c>
    </row>
    <row r="1944" spans="1:20" x14ac:dyDescent="0.25">
      <c r="A1944">
        <v>9</v>
      </c>
      <c r="B1944">
        <v>181</v>
      </c>
      <c r="C1944" t="str">
        <f t="shared" si="284"/>
        <v>36</v>
      </c>
      <c r="D1944">
        <v>6319</v>
      </c>
      <c r="E1944" t="str">
        <f>"30"</f>
        <v>30</v>
      </c>
      <c r="F1944" t="str">
        <f t="shared" si="291"/>
        <v>001</v>
      </c>
      <c r="G1944">
        <v>9</v>
      </c>
      <c r="H1944" t="str">
        <f t="shared" si="286"/>
        <v>91</v>
      </c>
      <c r="I1944" t="str">
        <f>"0"</f>
        <v>0</v>
      </c>
      <c r="J1944" t="str">
        <f t="shared" si="292"/>
        <v>39</v>
      </c>
      <c r="K1944">
        <v>20190315</v>
      </c>
      <c r="L1944" t="str">
        <f>"076129"</f>
        <v>076129</v>
      </c>
      <c r="M1944" t="str">
        <f>"79680"</f>
        <v>79680</v>
      </c>
      <c r="N1944" t="s">
        <v>500</v>
      </c>
      <c r="O1944">
        <v>100</v>
      </c>
      <c r="P1944">
        <v>20190315</v>
      </c>
      <c r="Q1944" t="s">
        <v>501</v>
      </c>
      <c r="R1944" t="s">
        <v>1164</v>
      </c>
      <c r="S1944" t="s">
        <v>295</v>
      </c>
      <c r="T1944" t="s">
        <v>301</v>
      </c>
    </row>
    <row r="1945" spans="1:20" x14ac:dyDescent="0.25">
      <c r="A1945">
        <v>9</v>
      </c>
      <c r="B1945">
        <v>181</v>
      </c>
      <c r="C1945" t="str">
        <f t="shared" si="284"/>
        <v>36</v>
      </c>
      <c r="D1945">
        <v>6219</v>
      </c>
      <c r="E1945" t="str">
        <f>"3A"</f>
        <v>3A</v>
      </c>
      <c r="F1945" t="str">
        <f t="shared" si="291"/>
        <v>001</v>
      </c>
      <c r="G1945">
        <v>9</v>
      </c>
      <c r="H1945" t="str">
        <f t="shared" si="286"/>
        <v>91</v>
      </c>
      <c r="I1945" t="str">
        <f>"0"</f>
        <v>0</v>
      </c>
      <c r="J1945" t="str">
        <f t="shared" si="292"/>
        <v>39</v>
      </c>
      <c r="K1945">
        <v>20190315</v>
      </c>
      <c r="L1945" t="str">
        <f>"076130"</f>
        <v>076130</v>
      </c>
      <c r="M1945" t="str">
        <f>"00762"</f>
        <v>00762</v>
      </c>
      <c r="N1945" t="s">
        <v>1165</v>
      </c>
      <c r="O1945">
        <v>75</v>
      </c>
      <c r="P1945">
        <v>20190315</v>
      </c>
      <c r="Q1945" t="s">
        <v>1088</v>
      </c>
      <c r="R1945" t="s">
        <v>1154</v>
      </c>
      <c r="S1945" t="s">
        <v>295</v>
      </c>
      <c r="T1945" t="s">
        <v>301</v>
      </c>
    </row>
    <row r="1946" spans="1:20" x14ac:dyDescent="0.25">
      <c r="A1946">
        <v>9</v>
      </c>
      <c r="B1946">
        <v>181</v>
      </c>
      <c r="C1946" t="str">
        <f t="shared" si="284"/>
        <v>36</v>
      </c>
      <c r="D1946">
        <v>6219</v>
      </c>
      <c r="E1946" t="str">
        <f>"3P"</f>
        <v>3P</v>
      </c>
      <c r="F1946" t="str">
        <f t="shared" si="291"/>
        <v>001</v>
      </c>
      <c r="G1946">
        <v>9</v>
      </c>
      <c r="H1946" t="str">
        <f t="shared" si="286"/>
        <v>91</v>
      </c>
      <c r="I1946" t="str">
        <f>"0"</f>
        <v>0</v>
      </c>
      <c r="J1946" t="str">
        <f t="shared" si="292"/>
        <v>39</v>
      </c>
      <c r="K1946">
        <v>20190315</v>
      </c>
      <c r="L1946" t="str">
        <f>"076134"</f>
        <v>076134</v>
      </c>
      <c r="M1946" t="str">
        <f>"83303"</f>
        <v>83303</v>
      </c>
      <c r="N1946" t="s">
        <v>1166</v>
      </c>
      <c r="O1946">
        <v>145</v>
      </c>
      <c r="P1946">
        <v>20190315</v>
      </c>
      <c r="Q1946" t="s">
        <v>961</v>
      </c>
      <c r="R1946" t="s">
        <v>1141</v>
      </c>
      <c r="S1946" t="s">
        <v>295</v>
      </c>
      <c r="T1946" t="s">
        <v>301</v>
      </c>
    </row>
    <row r="1947" spans="1:20" x14ac:dyDescent="0.25">
      <c r="A1947">
        <v>9</v>
      </c>
      <c r="B1947">
        <v>181</v>
      </c>
      <c r="C1947" t="str">
        <f t="shared" si="284"/>
        <v>36</v>
      </c>
      <c r="D1947">
        <v>6412</v>
      </c>
      <c r="E1947" t="str">
        <f>"09"</f>
        <v>09</v>
      </c>
      <c r="F1947" t="str">
        <f t="shared" si="291"/>
        <v>001</v>
      </c>
      <c r="G1947">
        <v>9</v>
      </c>
      <c r="H1947" t="str">
        <f t="shared" si="286"/>
        <v>91</v>
      </c>
      <c r="I1947" t="str">
        <f>"S"</f>
        <v>S</v>
      </c>
      <c r="J1947" t="str">
        <f t="shared" si="292"/>
        <v>39</v>
      </c>
      <c r="K1947">
        <v>20190322</v>
      </c>
      <c r="L1947" t="str">
        <f>"076136"</f>
        <v>076136</v>
      </c>
      <c r="M1947" t="str">
        <f>"03332"</f>
        <v>03332</v>
      </c>
      <c r="N1947" t="s">
        <v>458</v>
      </c>
      <c r="O1947">
        <v>52.6</v>
      </c>
      <c r="P1947">
        <v>20190320</v>
      </c>
      <c r="Q1947" t="s">
        <v>874</v>
      </c>
      <c r="R1947" t="s">
        <v>944</v>
      </c>
      <c r="S1947" t="s">
        <v>295</v>
      </c>
      <c r="T1947" t="s">
        <v>301</v>
      </c>
    </row>
    <row r="1948" spans="1:20" x14ac:dyDescent="0.25">
      <c r="A1948">
        <v>9</v>
      </c>
      <c r="B1948">
        <v>181</v>
      </c>
      <c r="C1948" t="str">
        <f t="shared" si="284"/>
        <v>36</v>
      </c>
      <c r="D1948">
        <v>6399</v>
      </c>
      <c r="E1948" t="str">
        <f>"3C"</f>
        <v>3C</v>
      </c>
      <c r="F1948" t="str">
        <f t="shared" si="291"/>
        <v>001</v>
      </c>
      <c r="G1948">
        <v>9</v>
      </c>
      <c r="H1948" t="str">
        <f t="shared" si="286"/>
        <v>91</v>
      </c>
      <c r="I1948" t="str">
        <f>"0"</f>
        <v>0</v>
      </c>
      <c r="J1948" t="str">
        <f t="shared" si="292"/>
        <v>39</v>
      </c>
      <c r="K1948">
        <v>20190322</v>
      </c>
      <c r="L1948" t="str">
        <f>"076145"</f>
        <v>076145</v>
      </c>
      <c r="M1948" t="str">
        <f>"08788"</f>
        <v>08788</v>
      </c>
      <c r="N1948" t="s">
        <v>473</v>
      </c>
      <c r="O1948" s="1">
        <v>1020</v>
      </c>
      <c r="P1948">
        <v>20190320</v>
      </c>
      <c r="Q1948" t="s">
        <v>831</v>
      </c>
      <c r="R1948" t="s">
        <v>1167</v>
      </c>
      <c r="S1948" t="s">
        <v>295</v>
      </c>
      <c r="T1948" t="s">
        <v>301</v>
      </c>
    </row>
    <row r="1949" spans="1:20" x14ac:dyDescent="0.25">
      <c r="A1949">
        <v>9</v>
      </c>
      <c r="B1949">
        <v>181</v>
      </c>
      <c r="C1949" t="str">
        <f t="shared" si="284"/>
        <v>36</v>
      </c>
      <c r="D1949">
        <v>6399</v>
      </c>
      <c r="E1949" t="str">
        <f>"3J"</f>
        <v>3J</v>
      </c>
      <c r="F1949" t="str">
        <f>"041"</f>
        <v>041</v>
      </c>
      <c r="G1949">
        <v>9</v>
      </c>
      <c r="H1949" t="str">
        <f t="shared" si="286"/>
        <v>91</v>
      </c>
      <c r="I1949" t="str">
        <f>"0"</f>
        <v>0</v>
      </c>
      <c r="J1949" t="str">
        <f>"41"</f>
        <v>41</v>
      </c>
      <c r="K1949">
        <v>20190322</v>
      </c>
      <c r="L1949" t="str">
        <f>"076145"</f>
        <v>076145</v>
      </c>
      <c r="M1949" t="str">
        <f>"08788"</f>
        <v>08788</v>
      </c>
      <c r="N1949" t="s">
        <v>473</v>
      </c>
      <c r="O1949">
        <v>832.5</v>
      </c>
      <c r="P1949">
        <v>20190320</v>
      </c>
      <c r="Q1949" t="s">
        <v>601</v>
      </c>
      <c r="R1949" t="s">
        <v>1168</v>
      </c>
      <c r="S1949" t="s">
        <v>295</v>
      </c>
      <c r="T1949" t="s">
        <v>106</v>
      </c>
    </row>
    <row r="1950" spans="1:20" x14ac:dyDescent="0.25">
      <c r="A1950">
        <v>9</v>
      </c>
      <c r="B1950">
        <v>181</v>
      </c>
      <c r="C1950" t="str">
        <f t="shared" si="284"/>
        <v>36</v>
      </c>
      <c r="D1950">
        <v>6399</v>
      </c>
      <c r="E1950" t="str">
        <f>"3P"</f>
        <v>3P</v>
      </c>
      <c r="F1950" t="str">
        <f>"001"</f>
        <v>001</v>
      </c>
      <c r="G1950">
        <v>9</v>
      </c>
      <c r="H1950" t="str">
        <f t="shared" si="286"/>
        <v>91</v>
      </c>
      <c r="I1950" t="str">
        <f>"0"</f>
        <v>0</v>
      </c>
      <c r="J1950" t="str">
        <f>"39"</f>
        <v>39</v>
      </c>
      <c r="K1950">
        <v>20190322</v>
      </c>
      <c r="L1950" t="str">
        <f>"076145"</f>
        <v>076145</v>
      </c>
      <c r="M1950" t="str">
        <f>"08788"</f>
        <v>08788</v>
      </c>
      <c r="N1950" t="s">
        <v>473</v>
      </c>
      <c r="O1950" s="1">
        <v>1722.7</v>
      </c>
      <c r="P1950">
        <v>20190320</v>
      </c>
      <c r="Q1950" t="s">
        <v>839</v>
      </c>
      <c r="R1950" t="s">
        <v>1169</v>
      </c>
      <c r="S1950" t="s">
        <v>295</v>
      </c>
      <c r="T1950" t="s">
        <v>301</v>
      </c>
    </row>
    <row r="1951" spans="1:20" x14ac:dyDescent="0.25">
      <c r="A1951">
        <v>9</v>
      </c>
      <c r="B1951">
        <v>181</v>
      </c>
      <c r="C1951" t="str">
        <f t="shared" si="284"/>
        <v>36</v>
      </c>
      <c r="D1951">
        <v>6399</v>
      </c>
      <c r="E1951" t="str">
        <f>"3P"</f>
        <v>3P</v>
      </c>
      <c r="F1951" t="str">
        <f>"001"</f>
        <v>001</v>
      </c>
      <c r="G1951">
        <v>9</v>
      </c>
      <c r="H1951" t="str">
        <f t="shared" si="286"/>
        <v>91</v>
      </c>
      <c r="I1951" t="str">
        <f>"0"</f>
        <v>0</v>
      </c>
      <c r="J1951" t="str">
        <f>"39"</f>
        <v>39</v>
      </c>
      <c r="K1951">
        <v>20190322</v>
      </c>
      <c r="L1951" t="str">
        <f>"076145"</f>
        <v>076145</v>
      </c>
      <c r="M1951" t="str">
        <f>"08788"</f>
        <v>08788</v>
      </c>
      <c r="N1951" t="s">
        <v>473</v>
      </c>
      <c r="O1951">
        <v>-63.96</v>
      </c>
      <c r="P1951">
        <v>20190215</v>
      </c>
      <c r="Q1951" t="s">
        <v>839</v>
      </c>
      <c r="R1951" t="s">
        <v>1170</v>
      </c>
      <c r="S1951" t="s">
        <v>295</v>
      </c>
      <c r="T1951" t="s">
        <v>301</v>
      </c>
    </row>
    <row r="1952" spans="1:20" x14ac:dyDescent="0.25">
      <c r="A1952">
        <v>9</v>
      </c>
      <c r="B1952">
        <v>181</v>
      </c>
      <c r="C1952" t="str">
        <f t="shared" ref="C1952:C2007" si="293">"36"</f>
        <v>36</v>
      </c>
      <c r="D1952">
        <v>6399</v>
      </c>
      <c r="E1952" t="str">
        <f>"3W"</f>
        <v>3W</v>
      </c>
      <c r="F1952" t="str">
        <f>"041"</f>
        <v>041</v>
      </c>
      <c r="G1952">
        <v>9</v>
      </c>
      <c r="H1952" t="str">
        <f t="shared" ref="H1952:H2007" si="294">"91"</f>
        <v>91</v>
      </c>
      <c r="I1952" t="str">
        <f>"0"</f>
        <v>0</v>
      </c>
      <c r="J1952" t="str">
        <f>"41"</f>
        <v>41</v>
      </c>
      <c r="K1952">
        <v>20190322</v>
      </c>
      <c r="L1952" t="str">
        <f>"076145"</f>
        <v>076145</v>
      </c>
      <c r="M1952" t="str">
        <f>"08788"</f>
        <v>08788</v>
      </c>
      <c r="N1952" t="s">
        <v>473</v>
      </c>
      <c r="O1952">
        <v>116.25</v>
      </c>
      <c r="P1952">
        <v>20190320</v>
      </c>
      <c r="Q1952" t="s">
        <v>1171</v>
      </c>
      <c r="R1952" t="s">
        <v>1172</v>
      </c>
      <c r="S1952" t="s">
        <v>295</v>
      </c>
      <c r="T1952" t="s">
        <v>106</v>
      </c>
    </row>
    <row r="1953" spans="1:20" x14ac:dyDescent="0.25">
      <c r="A1953">
        <v>9</v>
      </c>
      <c r="B1953">
        <v>181</v>
      </c>
      <c r="C1953" t="str">
        <f t="shared" si="293"/>
        <v>36</v>
      </c>
      <c r="D1953">
        <v>6412</v>
      </c>
      <c r="E1953" t="str">
        <f>"09"</f>
        <v>09</v>
      </c>
      <c r="F1953" t="str">
        <f t="shared" ref="F1953:F1971" si="295">"001"</f>
        <v>001</v>
      </c>
      <c r="G1953">
        <v>9</v>
      </c>
      <c r="H1953" t="str">
        <f t="shared" si="294"/>
        <v>91</v>
      </c>
      <c r="I1953" t="str">
        <f>"P"</f>
        <v>P</v>
      </c>
      <c r="J1953" t="str">
        <f t="shared" ref="J1953:J1971" si="296">"39"</f>
        <v>39</v>
      </c>
      <c r="K1953">
        <v>20190322</v>
      </c>
      <c r="L1953" t="str">
        <f>"076159"</f>
        <v>076159</v>
      </c>
      <c r="M1953" t="str">
        <f>"00772"</f>
        <v>00772</v>
      </c>
      <c r="N1953" t="s">
        <v>1173</v>
      </c>
      <c r="O1953">
        <v>780.44</v>
      </c>
      <c r="P1953">
        <v>20190320</v>
      </c>
      <c r="Q1953" t="s">
        <v>1028</v>
      </c>
      <c r="R1953" t="s">
        <v>1174</v>
      </c>
      <c r="S1953" t="s">
        <v>295</v>
      </c>
      <c r="T1953" t="s">
        <v>301</v>
      </c>
    </row>
    <row r="1954" spans="1:20" x14ac:dyDescent="0.25">
      <c r="A1954">
        <v>9</v>
      </c>
      <c r="B1954">
        <v>181</v>
      </c>
      <c r="C1954" t="str">
        <f t="shared" si="293"/>
        <v>36</v>
      </c>
      <c r="D1954">
        <v>6412</v>
      </c>
      <c r="E1954" t="str">
        <f>"09"</f>
        <v>09</v>
      </c>
      <c r="F1954" t="str">
        <f t="shared" si="295"/>
        <v>001</v>
      </c>
      <c r="G1954">
        <v>9</v>
      </c>
      <c r="H1954" t="str">
        <f t="shared" si="294"/>
        <v>91</v>
      </c>
      <c r="I1954" t="str">
        <f>"S"</f>
        <v>S</v>
      </c>
      <c r="J1954" t="str">
        <f t="shared" si="296"/>
        <v>39</v>
      </c>
      <c r="K1954">
        <v>20190322</v>
      </c>
      <c r="L1954" t="str">
        <f>"076197"</f>
        <v>076197</v>
      </c>
      <c r="M1954" t="str">
        <f>"64786"</f>
        <v>64786</v>
      </c>
      <c r="N1954" t="s">
        <v>490</v>
      </c>
      <c r="O1954">
        <v>15</v>
      </c>
      <c r="P1954">
        <v>20190320</v>
      </c>
      <c r="Q1954" t="s">
        <v>874</v>
      </c>
      <c r="R1954" t="s">
        <v>944</v>
      </c>
      <c r="S1954" t="s">
        <v>295</v>
      </c>
      <c r="T1954" t="s">
        <v>301</v>
      </c>
    </row>
    <row r="1955" spans="1:20" x14ac:dyDescent="0.25">
      <c r="A1955">
        <v>9</v>
      </c>
      <c r="B1955">
        <v>181</v>
      </c>
      <c r="C1955" t="str">
        <f t="shared" si="293"/>
        <v>36</v>
      </c>
      <c r="D1955">
        <v>6495</v>
      </c>
      <c r="E1955" t="str">
        <f>"30"</f>
        <v>30</v>
      </c>
      <c r="F1955" t="str">
        <f t="shared" si="295"/>
        <v>001</v>
      </c>
      <c r="G1955">
        <v>9</v>
      </c>
      <c r="H1955" t="str">
        <f t="shared" si="294"/>
        <v>91</v>
      </c>
      <c r="I1955" t="str">
        <f>"0"</f>
        <v>0</v>
      </c>
      <c r="J1955" t="str">
        <f t="shared" si="296"/>
        <v>39</v>
      </c>
      <c r="K1955">
        <v>20190322</v>
      </c>
      <c r="L1955" t="str">
        <f>"076198"</f>
        <v>076198</v>
      </c>
      <c r="M1955" t="str">
        <f>"65106"</f>
        <v>65106</v>
      </c>
      <c r="N1955" t="s">
        <v>1175</v>
      </c>
      <c r="O1955">
        <v>40</v>
      </c>
      <c r="P1955">
        <v>20190320</v>
      </c>
      <c r="Q1955" t="s">
        <v>428</v>
      </c>
      <c r="R1955" t="s">
        <v>1176</v>
      </c>
      <c r="S1955" t="s">
        <v>295</v>
      </c>
      <c r="T1955" t="s">
        <v>301</v>
      </c>
    </row>
    <row r="1956" spans="1:20" x14ac:dyDescent="0.25">
      <c r="A1956">
        <v>9</v>
      </c>
      <c r="B1956">
        <v>181</v>
      </c>
      <c r="C1956" t="str">
        <f t="shared" si="293"/>
        <v>36</v>
      </c>
      <c r="D1956">
        <v>6412</v>
      </c>
      <c r="E1956" t="str">
        <f>"09"</f>
        <v>09</v>
      </c>
      <c r="F1956" t="str">
        <f t="shared" si="295"/>
        <v>001</v>
      </c>
      <c r="G1956">
        <v>9</v>
      </c>
      <c r="H1956" t="str">
        <f t="shared" si="294"/>
        <v>91</v>
      </c>
      <c r="I1956" t="str">
        <f>"P"</f>
        <v>P</v>
      </c>
      <c r="J1956" t="str">
        <f t="shared" si="296"/>
        <v>39</v>
      </c>
      <c r="K1956">
        <v>20190322</v>
      </c>
      <c r="L1956" t="str">
        <f>"076200"</f>
        <v>076200</v>
      </c>
      <c r="M1956" t="str">
        <f>"00237"</f>
        <v>00237</v>
      </c>
      <c r="N1956" t="s">
        <v>275</v>
      </c>
      <c r="O1956">
        <v>150</v>
      </c>
      <c r="P1956">
        <v>20190320</v>
      </c>
      <c r="Q1956" t="s">
        <v>1028</v>
      </c>
      <c r="R1956" t="s">
        <v>1174</v>
      </c>
      <c r="S1956" t="s">
        <v>295</v>
      </c>
      <c r="T1956" t="s">
        <v>301</v>
      </c>
    </row>
    <row r="1957" spans="1:20" x14ac:dyDescent="0.25">
      <c r="A1957">
        <v>9</v>
      </c>
      <c r="B1957">
        <v>181</v>
      </c>
      <c r="C1957" t="str">
        <f t="shared" si="293"/>
        <v>36</v>
      </c>
      <c r="D1957">
        <v>6412</v>
      </c>
      <c r="E1957" t="str">
        <f>"09"</f>
        <v>09</v>
      </c>
      <c r="F1957" t="str">
        <f t="shared" si="295"/>
        <v>001</v>
      </c>
      <c r="G1957">
        <v>9</v>
      </c>
      <c r="H1957" t="str">
        <f t="shared" si="294"/>
        <v>91</v>
      </c>
      <c r="I1957" t="str">
        <f>"P"</f>
        <v>P</v>
      </c>
      <c r="J1957" t="str">
        <f t="shared" si="296"/>
        <v>39</v>
      </c>
      <c r="K1957">
        <v>20190322</v>
      </c>
      <c r="L1957" t="str">
        <f>"076200"</f>
        <v>076200</v>
      </c>
      <c r="M1957" t="str">
        <f>"00237"</f>
        <v>00237</v>
      </c>
      <c r="N1957" t="s">
        <v>275</v>
      </c>
      <c r="O1957">
        <v>180</v>
      </c>
      <c r="P1957">
        <v>20190320</v>
      </c>
      <c r="Q1957" t="s">
        <v>1028</v>
      </c>
      <c r="R1957" t="s">
        <v>1174</v>
      </c>
      <c r="S1957" t="s">
        <v>295</v>
      </c>
      <c r="T1957" t="s">
        <v>301</v>
      </c>
    </row>
    <row r="1958" spans="1:20" x14ac:dyDescent="0.25">
      <c r="A1958">
        <v>9</v>
      </c>
      <c r="B1958">
        <v>181</v>
      </c>
      <c r="C1958" t="str">
        <f t="shared" si="293"/>
        <v>36</v>
      </c>
      <c r="D1958">
        <v>6412</v>
      </c>
      <c r="E1958" t="str">
        <f>"3U"</f>
        <v>3U</v>
      </c>
      <c r="F1958" t="str">
        <f t="shared" si="295"/>
        <v>001</v>
      </c>
      <c r="G1958">
        <v>9</v>
      </c>
      <c r="H1958" t="str">
        <f t="shared" si="294"/>
        <v>91</v>
      </c>
      <c r="I1958" t="str">
        <f>"2"</f>
        <v>2</v>
      </c>
      <c r="J1958" t="str">
        <f t="shared" si="296"/>
        <v>39</v>
      </c>
      <c r="K1958">
        <v>20190322</v>
      </c>
      <c r="L1958" t="str">
        <f>"076209"</f>
        <v>076209</v>
      </c>
      <c r="M1958" t="str">
        <f>"76331"</f>
        <v>76331</v>
      </c>
      <c r="N1958" t="s">
        <v>1177</v>
      </c>
      <c r="O1958">
        <v>250</v>
      </c>
      <c r="P1958">
        <v>20190320</v>
      </c>
      <c r="Q1958" t="s">
        <v>958</v>
      </c>
      <c r="R1958" t="s">
        <v>1178</v>
      </c>
      <c r="S1958" t="s">
        <v>295</v>
      </c>
      <c r="T1958" t="s">
        <v>301</v>
      </c>
    </row>
    <row r="1959" spans="1:20" x14ac:dyDescent="0.25">
      <c r="A1959">
        <v>9</v>
      </c>
      <c r="B1959">
        <v>181</v>
      </c>
      <c r="C1959" t="str">
        <f t="shared" si="293"/>
        <v>36</v>
      </c>
      <c r="D1959">
        <v>6412</v>
      </c>
      <c r="E1959" t="str">
        <f>"09"</f>
        <v>09</v>
      </c>
      <c r="F1959" t="str">
        <f t="shared" si="295"/>
        <v>001</v>
      </c>
      <c r="G1959">
        <v>9</v>
      </c>
      <c r="H1959" t="str">
        <f t="shared" si="294"/>
        <v>91</v>
      </c>
      <c r="I1959" t="str">
        <f>"P"</f>
        <v>P</v>
      </c>
      <c r="J1959" t="str">
        <f t="shared" si="296"/>
        <v>39</v>
      </c>
      <c r="K1959">
        <v>20190322</v>
      </c>
      <c r="L1959" t="str">
        <f>"076210"</f>
        <v>076210</v>
      </c>
      <c r="M1959" t="str">
        <f>"78432"</f>
        <v>78432</v>
      </c>
      <c r="N1959" t="s">
        <v>427</v>
      </c>
      <c r="O1959">
        <v>35</v>
      </c>
      <c r="P1959">
        <v>20190320</v>
      </c>
      <c r="Q1959" t="s">
        <v>1028</v>
      </c>
      <c r="R1959" t="s">
        <v>1174</v>
      </c>
      <c r="S1959" t="s">
        <v>295</v>
      </c>
      <c r="T1959" t="s">
        <v>301</v>
      </c>
    </row>
    <row r="1960" spans="1:20" x14ac:dyDescent="0.25">
      <c r="A1960">
        <v>9</v>
      </c>
      <c r="B1960">
        <v>181</v>
      </c>
      <c r="C1960" t="str">
        <f t="shared" si="293"/>
        <v>36</v>
      </c>
      <c r="D1960">
        <v>6412</v>
      </c>
      <c r="E1960" t="str">
        <f>"3A"</f>
        <v>3A</v>
      </c>
      <c r="F1960" t="str">
        <f t="shared" si="295"/>
        <v>001</v>
      </c>
      <c r="G1960">
        <v>9</v>
      </c>
      <c r="H1960" t="str">
        <f t="shared" si="294"/>
        <v>91</v>
      </c>
      <c r="I1960" t="str">
        <f t="shared" ref="I1960:I1976" si="297">"1"</f>
        <v>1</v>
      </c>
      <c r="J1960" t="str">
        <f t="shared" si="296"/>
        <v>39</v>
      </c>
      <c r="K1960">
        <v>20190322</v>
      </c>
      <c r="L1960" t="str">
        <f t="shared" ref="L1960:L1976" si="298">"076217"</f>
        <v>076217</v>
      </c>
      <c r="M1960" t="str">
        <f t="shared" ref="M1960:M1976" si="299">"84370"</f>
        <v>84370</v>
      </c>
      <c r="N1960" t="s">
        <v>395</v>
      </c>
      <c r="O1960">
        <v>122.63</v>
      </c>
      <c r="P1960">
        <v>20190320</v>
      </c>
      <c r="Q1960" t="s">
        <v>1143</v>
      </c>
      <c r="R1960" t="s">
        <v>1179</v>
      </c>
      <c r="S1960" t="s">
        <v>295</v>
      </c>
      <c r="T1960" t="s">
        <v>301</v>
      </c>
    </row>
    <row r="1961" spans="1:20" x14ac:dyDescent="0.25">
      <c r="A1961">
        <v>9</v>
      </c>
      <c r="B1961">
        <v>181</v>
      </c>
      <c r="C1961" t="str">
        <f t="shared" si="293"/>
        <v>36</v>
      </c>
      <c r="D1961">
        <v>6412</v>
      </c>
      <c r="E1961" t="str">
        <f>"3A"</f>
        <v>3A</v>
      </c>
      <c r="F1961" t="str">
        <f t="shared" si="295"/>
        <v>001</v>
      </c>
      <c r="G1961">
        <v>9</v>
      </c>
      <c r="H1961" t="str">
        <f t="shared" si="294"/>
        <v>91</v>
      </c>
      <c r="I1961" t="str">
        <f t="shared" si="297"/>
        <v>1</v>
      </c>
      <c r="J1961" t="str">
        <f t="shared" si="296"/>
        <v>39</v>
      </c>
      <c r="K1961">
        <v>20190322</v>
      </c>
      <c r="L1961" t="str">
        <f t="shared" si="298"/>
        <v>076217</v>
      </c>
      <c r="M1961" t="str">
        <f t="shared" si="299"/>
        <v>84370</v>
      </c>
      <c r="N1961" t="s">
        <v>395</v>
      </c>
      <c r="O1961">
        <v>178.02</v>
      </c>
      <c r="P1961">
        <v>20190320</v>
      </c>
      <c r="Q1961" t="s">
        <v>1143</v>
      </c>
      <c r="R1961" t="s">
        <v>1180</v>
      </c>
      <c r="S1961" t="s">
        <v>295</v>
      </c>
      <c r="T1961" t="s">
        <v>301</v>
      </c>
    </row>
    <row r="1962" spans="1:20" x14ac:dyDescent="0.25">
      <c r="A1962">
        <v>9</v>
      </c>
      <c r="B1962">
        <v>181</v>
      </c>
      <c r="C1962" t="str">
        <f t="shared" si="293"/>
        <v>36</v>
      </c>
      <c r="D1962">
        <v>6412</v>
      </c>
      <c r="E1962" t="str">
        <f>"3A"</f>
        <v>3A</v>
      </c>
      <c r="F1962" t="str">
        <f t="shared" si="295"/>
        <v>001</v>
      </c>
      <c r="G1962">
        <v>9</v>
      </c>
      <c r="H1962" t="str">
        <f t="shared" si="294"/>
        <v>91</v>
      </c>
      <c r="I1962" t="str">
        <f t="shared" si="297"/>
        <v>1</v>
      </c>
      <c r="J1962" t="str">
        <f t="shared" si="296"/>
        <v>39</v>
      </c>
      <c r="K1962">
        <v>20190322</v>
      </c>
      <c r="L1962" t="str">
        <f t="shared" si="298"/>
        <v>076217</v>
      </c>
      <c r="M1962" t="str">
        <f t="shared" si="299"/>
        <v>84370</v>
      </c>
      <c r="N1962" t="s">
        <v>395</v>
      </c>
      <c r="O1962">
        <v>72.290000000000006</v>
      </c>
      <c r="P1962">
        <v>20190321</v>
      </c>
      <c r="Q1962" t="s">
        <v>1143</v>
      </c>
      <c r="R1962" t="s">
        <v>1181</v>
      </c>
      <c r="S1962" t="s">
        <v>295</v>
      </c>
      <c r="T1962" t="s">
        <v>301</v>
      </c>
    </row>
    <row r="1963" spans="1:20" x14ac:dyDescent="0.25">
      <c r="A1963">
        <v>9</v>
      </c>
      <c r="B1963">
        <v>181</v>
      </c>
      <c r="C1963" t="str">
        <f t="shared" si="293"/>
        <v>36</v>
      </c>
      <c r="D1963">
        <v>6412</v>
      </c>
      <c r="E1963" t="str">
        <f>"3J"</f>
        <v>3J</v>
      </c>
      <c r="F1963" t="str">
        <f t="shared" si="295"/>
        <v>001</v>
      </c>
      <c r="G1963">
        <v>9</v>
      </c>
      <c r="H1963" t="str">
        <f t="shared" si="294"/>
        <v>91</v>
      </c>
      <c r="I1963" t="str">
        <f t="shared" si="297"/>
        <v>1</v>
      </c>
      <c r="J1963" t="str">
        <f t="shared" si="296"/>
        <v>39</v>
      </c>
      <c r="K1963">
        <v>20190322</v>
      </c>
      <c r="L1963" t="str">
        <f t="shared" si="298"/>
        <v>076217</v>
      </c>
      <c r="M1963" t="str">
        <f t="shared" si="299"/>
        <v>84370</v>
      </c>
      <c r="N1963" t="s">
        <v>395</v>
      </c>
      <c r="O1963">
        <v>132.76</v>
      </c>
      <c r="P1963">
        <v>20190320</v>
      </c>
      <c r="Q1963" t="s">
        <v>1182</v>
      </c>
      <c r="R1963" t="s">
        <v>1026</v>
      </c>
      <c r="S1963" t="s">
        <v>295</v>
      </c>
      <c r="T1963" t="s">
        <v>301</v>
      </c>
    </row>
    <row r="1964" spans="1:20" x14ac:dyDescent="0.25">
      <c r="A1964">
        <v>9</v>
      </c>
      <c r="B1964">
        <v>181</v>
      </c>
      <c r="C1964" t="str">
        <f t="shared" si="293"/>
        <v>36</v>
      </c>
      <c r="D1964">
        <v>6412</v>
      </c>
      <c r="E1964" t="str">
        <f>"3J"</f>
        <v>3J</v>
      </c>
      <c r="F1964" t="str">
        <f t="shared" si="295"/>
        <v>001</v>
      </c>
      <c r="G1964">
        <v>9</v>
      </c>
      <c r="H1964" t="str">
        <f t="shared" si="294"/>
        <v>91</v>
      </c>
      <c r="I1964" t="str">
        <f t="shared" si="297"/>
        <v>1</v>
      </c>
      <c r="J1964" t="str">
        <f t="shared" si="296"/>
        <v>39</v>
      </c>
      <c r="K1964">
        <v>20190322</v>
      </c>
      <c r="L1964" t="str">
        <f t="shared" si="298"/>
        <v>076217</v>
      </c>
      <c r="M1964" t="str">
        <f t="shared" si="299"/>
        <v>84370</v>
      </c>
      <c r="N1964" t="s">
        <v>395</v>
      </c>
      <c r="O1964">
        <v>107.63</v>
      </c>
      <c r="P1964">
        <v>20190320</v>
      </c>
      <c r="Q1964" t="s">
        <v>1182</v>
      </c>
      <c r="R1964" t="s">
        <v>1016</v>
      </c>
      <c r="S1964" t="s">
        <v>295</v>
      </c>
      <c r="T1964" t="s">
        <v>301</v>
      </c>
    </row>
    <row r="1965" spans="1:20" x14ac:dyDescent="0.25">
      <c r="A1965">
        <v>9</v>
      </c>
      <c r="B1965">
        <v>181</v>
      </c>
      <c r="C1965" t="str">
        <f t="shared" si="293"/>
        <v>36</v>
      </c>
      <c r="D1965">
        <v>6412</v>
      </c>
      <c r="E1965" t="str">
        <f>"3J"</f>
        <v>3J</v>
      </c>
      <c r="F1965" t="str">
        <f t="shared" si="295"/>
        <v>001</v>
      </c>
      <c r="G1965">
        <v>9</v>
      </c>
      <c r="H1965" t="str">
        <f t="shared" si="294"/>
        <v>91</v>
      </c>
      <c r="I1965" t="str">
        <f t="shared" si="297"/>
        <v>1</v>
      </c>
      <c r="J1965" t="str">
        <f t="shared" si="296"/>
        <v>39</v>
      </c>
      <c r="K1965">
        <v>20190322</v>
      </c>
      <c r="L1965" t="str">
        <f t="shared" si="298"/>
        <v>076217</v>
      </c>
      <c r="M1965" t="str">
        <f t="shared" si="299"/>
        <v>84370</v>
      </c>
      <c r="N1965" t="s">
        <v>395</v>
      </c>
      <c r="O1965">
        <v>74.42</v>
      </c>
      <c r="P1965">
        <v>20190320</v>
      </c>
      <c r="Q1965" t="s">
        <v>1182</v>
      </c>
      <c r="R1965" t="s">
        <v>1023</v>
      </c>
      <c r="S1965" t="s">
        <v>295</v>
      </c>
      <c r="T1965" t="s">
        <v>301</v>
      </c>
    </row>
    <row r="1966" spans="1:20" x14ac:dyDescent="0.25">
      <c r="A1966">
        <v>9</v>
      </c>
      <c r="B1966">
        <v>181</v>
      </c>
      <c r="C1966" t="str">
        <f t="shared" si="293"/>
        <v>36</v>
      </c>
      <c r="D1966">
        <v>6412</v>
      </c>
      <c r="E1966" t="str">
        <f>"3M"</f>
        <v>3M</v>
      </c>
      <c r="F1966" t="str">
        <f t="shared" si="295"/>
        <v>001</v>
      </c>
      <c r="G1966">
        <v>9</v>
      </c>
      <c r="H1966" t="str">
        <f t="shared" si="294"/>
        <v>91</v>
      </c>
      <c r="I1966" t="str">
        <f t="shared" si="297"/>
        <v>1</v>
      </c>
      <c r="J1966" t="str">
        <f t="shared" si="296"/>
        <v>39</v>
      </c>
      <c r="K1966">
        <v>20190322</v>
      </c>
      <c r="L1966" t="str">
        <f t="shared" si="298"/>
        <v>076217</v>
      </c>
      <c r="M1966" t="str">
        <f t="shared" si="299"/>
        <v>84370</v>
      </c>
      <c r="N1966" t="s">
        <v>395</v>
      </c>
      <c r="O1966">
        <v>94.46</v>
      </c>
      <c r="P1966">
        <v>20190320</v>
      </c>
      <c r="Q1966" t="s">
        <v>907</v>
      </c>
      <c r="R1966" t="s">
        <v>1015</v>
      </c>
      <c r="S1966" t="s">
        <v>295</v>
      </c>
      <c r="T1966" t="s">
        <v>301</v>
      </c>
    </row>
    <row r="1967" spans="1:20" x14ac:dyDescent="0.25">
      <c r="A1967">
        <v>9</v>
      </c>
      <c r="B1967">
        <v>181</v>
      </c>
      <c r="C1967" t="str">
        <f t="shared" si="293"/>
        <v>36</v>
      </c>
      <c r="D1967">
        <v>6412</v>
      </c>
      <c r="E1967" t="str">
        <f>"3N"</f>
        <v>3N</v>
      </c>
      <c r="F1967" t="str">
        <f t="shared" si="295"/>
        <v>001</v>
      </c>
      <c r="G1967">
        <v>9</v>
      </c>
      <c r="H1967" t="str">
        <f t="shared" si="294"/>
        <v>91</v>
      </c>
      <c r="I1967" t="str">
        <f t="shared" si="297"/>
        <v>1</v>
      </c>
      <c r="J1967" t="str">
        <f t="shared" si="296"/>
        <v>39</v>
      </c>
      <c r="K1967">
        <v>20190322</v>
      </c>
      <c r="L1967" t="str">
        <f t="shared" si="298"/>
        <v>076217</v>
      </c>
      <c r="M1967" t="str">
        <f t="shared" si="299"/>
        <v>84370</v>
      </c>
      <c r="N1967" t="s">
        <v>395</v>
      </c>
      <c r="O1967">
        <v>266.08999999999997</v>
      </c>
      <c r="P1967">
        <v>20190320</v>
      </c>
      <c r="Q1967" t="s">
        <v>920</v>
      </c>
      <c r="R1967" t="s">
        <v>1183</v>
      </c>
      <c r="S1967" t="s">
        <v>295</v>
      </c>
      <c r="T1967" t="s">
        <v>301</v>
      </c>
    </row>
    <row r="1968" spans="1:20" x14ac:dyDescent="0.25">
      <c r="A1968">
        <v>9</v>
      </c>
      <c r="B1968">
        <v>181</v>
      </c>
      <c r="C1968" t="str">
        <f t="shared" si="293"/>
        <v>36</v>
      </c>
      <c r="D1968">
        <v>6412</v>
      </c>
      <c r="E1968" t="str">
        <f>"3N"</f>
        <v>3N</v>
      </c>
      <c r="F1968" t="str">
        <f t="shared" si="295"/>
        <v>001</v>
      </c>
      <c r="G1968">
        <v>9</v>
      </c>
      <c r="H1968" t="str">
        <f t="shared" si="294"/>
        <v>91</v>
      </c>
      <c r="I1968" t="str">
        <f t="shared" si="297"/>
        <v>1</v>
      </c>
      <c r="J1968" t="str">
        <f t="shared" si="296"/>
        <v>39</v>
      </c>
      <c r="K1968">
        <v>20190322</v>
      </c>
      <c r="L1968" t="str">
        <f t="shared" si="298"/>
        <v>076217</v>
      </c>
      <c r="M1968" t="str">
        <f t="shared" si="299"/>
        <v>84370</v>
      </c>
      <c r="N1968" t="s">
        <v>395</v>
      </c>
      <c r="O1968">
        <v>172.59</v>
      </c>
      <c r="P1968">
        <v>20190320</v>
      </c>
      <c r="Q1968" t="s">
        <v>920</v>
      </c>
      <c r="R1968" t="s">
        <v>1184</v>
      </c>
      <c r="S1968" t="s">
        <v>295</v>
      </c>
      <c r="T1968" t="s">
        <v>301</v>
      </c>
    </row>
    <row r="1969" spans="1:20" x14ac:dyDescent="0.25">
      <c r="A1969">
        <v>9</v>
      </c>
      <c r="B1969">
        <v>181</v>
      </c>
      <c r="C1969" t="str">
        <f t="shared" si="293"/>
        <v>36</v>
      </c>
      <c r="D1969">
        <v>6412</v>
      </c>
      <c r="E1969" t="str">
        <f>"3N"</f>
        <v>3N</v>
      </c>
      <c r="F1969" t="str">
        <f t="shared" si="295"/>
        <v>001</v>
      </c>
      <c r="G1969">
        <v>9</v>
      </c>
      <c r="H1969" t="str">
        <f t="shared" si="294"/>
        <v>91</v>
      </c>
      <c r="I1969" t="str">
        <f t="shared" si="297"/>
        <v>1</v>
      </c>
      <c r="J1969" t="str">
        <f t="shared" si="296"/>
        <v>39</v>
      </c>
      <c r="K1969">
        <v>20190322</v>
      </c>
      <c r="L1969" t="str">
        <f t="shared" si="298"/>
        <v>076217</v>
      </c>
      <c r="M1969" t="str">
        <f t="shared" si="299"/>
        <v>84370</v>
      </c>
      <c r="N1969" t="s">
        <v>395</v>
      </c>
      <c r="O1969">
        <v>211.18</v>
      </c>
      <c r="P1969">
        <v>20190320</v>
      </c>
      <c r="Q1969" t="s">
        <v>920</v>
      </c>
      <c r="R1969" t="s">
        <v>1185</v>
      </c>
      <c r="S1969" t="s">
        <v>295</v>
      </c>
      <c r="T1969" t="s">
        <v>301</v>
      </c>
    </row>
    <row r="1970" spans="1:20" x14ac:dyDescent="0.25">
      <c r="A1970">
        <v>9</v>
      </c>
      <c r="B1970">
        <v>181</v>
      </c>
      <c r="C1970" t="str">
        <f t="shared" si="293"/>
        <v>36</v>
      </c>
      <c r="D1970">
        <v>6412</v>
      </c>
      <c r="E1970" t="str">
        <f>"3P"</f>
        <v>3P</v>
      </c>
      <c r="F1970" t="str">
        <f t="shared" si="295"/>
        <v>001</v>
      </c>
      <c r="G1970">
        <v>9</v>
      </c>
      <c r="H1970" t="str">
        <f t="shared" si="294"/>
        <v>91</v>
      </c>
      <c r="I1970" t="str">
        <f t="shared" si="297"/>
        <v>1</v>
      </c>
      <c r="J1970" t="str">
        <f t="shared" si="296"/>
        <v>39</v>
      </c>
      <c r="K1970">
        <v>20190322</v>
      </c>
      <c r="L1970" t="str">
        <f t="shared" si="298"/>
        <v>076217</v>
      </c>
      <c r="M1970" t="str">
        <f t="shared" si="299"/>
        <v>84370</v>
      </c>
      <c r="N1970" t="s">
        <v>395</v>
      </c>
      <c r="O1970">
        <v>45.78</v>
      </c>
      <c r="P1970">
        <v>20190320</v>
      </c>
      <c r="Q1970" t="s">
        <v>1046</v>
      </c>
      <c r="R1970" t="s">
        <v>1186</v>
      </c>
      <c r="S1970" t="s">
        <v>295</v>
      </c>
      <c r="T1970" t="s">
        <v>301</v>
      </c>
    </row>
    <row r="1971" spans="1:20" x14ac:dyDescent="0.25">
      <c r="A1971">
        <v>9</v>
      </c>
      <c r="B1971">
        <v>181</v>
      </c>
      <c r="C1971" t="str">
        <f t="shared" si="293"/>
        <v>36</v>
      </c>
      <c r="D1971">
        <v>6412</v>
      </c>
      <c r="E1971" t="str">
        <f>"3U"</f>
        <v>3U</v>
      </c>
      <c r="F1971" t="str">
        <f t="shared" si="295"/>
        <v>001</v>
      </c>
      <c r="G1971">
        <v>9</v>
      </c>
      <c r="H1971" t="str">
        <f t="shared" si="294"/>
        <v>91</v>
      </c>
      <c r="I1971" t="str">
        <f t="shared" si="297"/>
        <v>1</v>
      </c>
      <c r="J1971" t="str">
        <f t="shared" si="296"/>
        <v>39</v>
      </c>
      <c r="K1971">
        <v>20190322</v>
      </c>
      <c r="L1971" t="str">
        <f t="shared" si="298"/>
        <v>076217</v>
      </c>
      <c r="M1971" t="str">
        <f t="shared" si="299"/>
        <v>84370</v>
      </c>
      <c r="N1971" t="s">
        <v>395</v>
      </c>
      <c r="O1971">
        <v>129.05000000000001</v>
      </c>
      <c r="P1971">
        <v>20190320</v>
      </c>
      <c r="Q1971" t="s">
        <v>1091</v>
      </c>
      <c r="R1971" t="s">
        <v>1187</v>
      </c>
      <c r="S1971" t="s">
        <v>295</v>
      </c>
      <c r="T1971" t="s">
        <v>301</v>
      </c>
    </row>
    <row r="1972" spans="1:20" x14ac:dyDescent="0.25">
      <c r="A1972">
        <v>9</v>
      </c>
      <c r="B1972">
        <v>181</v>
      </c>
      <c r="C1972" t="str">
        <f t="shared" si="293"/>
        <v>36</v>
      </c>
      <c r="D1972">
        <v>6412</v>
      </c>
      <c r="E1972" t="str">
        <f>"3V"</f>
        <v>3V</v>
      </c>
      <c r="F1972" t="str">
        <f>"041"</f>
        <v>041</v>
      </c>
      <c r="G1972">
        <v>9</v>
      </c>
      <c r="H1972" t="str">
        <f t="shared" si="294"/>
        <v>91</v>
      </c>
      <c r="I1972" t="str">
        <f t="shared" si="297"/>
        <v>1</v>
      </c>
      <c r="J1972" t="str">
        <f>"41"</f>
        <v>41</v>
      </c>
      <c r="K1972">
        <v>20190322</v>
      </c>
      <c r="L1972" t="str">
        <f t="shared" si="298"/>
        <v>076217</v>
      </c>
      <c r="M1972" t="str">
        <f t="shared" si="299"/>
        <v>84370</v>
      </c>
      <c r="N1972" t="s">
        <v>395</v>
      </c>
      <c r="O1972">
        <v>193.2</v>
      </c>
      <c r="P1972">
        <v>20190320</v>
      </c>
      <c r="Q1972" t="s">
        <v>811</v>
      </c>
      <c r="R1972" t="s">
        <v>1188</v>
      </c>
      <c r="S1972" t="s">
        <v>295</v>
      </c>
      <c r="T1972" t="s">
        <v>106</v>
      </c>
    </row>
    <row r="1973" spans="1:20" x14ac:dyDescent="0.25">
      <c r="A1973">
        <v>9</v>
      </c>
      <c r="B1973">
        <v>181</v>
      </c>
      <c r="C1973" t="str">
        <f t="shared" si="293"/>
        <v>36</v>
      </c>
      <c r="D1973">
        <v>6412</v>
      </c>
      <c r="E1973" t="str">
        <f>"3W"</f>
        <v>3W</v>
      </c>
      <c r="F1973" t="str">
        <f>"001"</f>
        <v>001</v>
      </c>
      <c r="G1973">
        <v>9</v>
      </c>
      <c r="H1973" t="str">
        <f t="shared" si="294"/>
        <v>91</v>
      </c>
      <c r="I1973" t="str">
        <f t="shared" si="297"/>
        <v>1</v>
      </c>
      <c r="J1973" t="str">
        <f>"39"</f>
        <v>39</v>
      </c>
      <c r="K1973">
        <v>20190322</v>
      </c>
      <c r="L1973" t="str">
        <f t="shared" si="298"/>
        <v>076217</v>
      </c>
      <c r="M1973" t="str">
        <f t="shared" si="299"/>
        <v>84370</v>
      </c>
      <c r="N1973" t="s">
        <v>395</v>
      </c>
      <c r="O1973">
        <v>113.92</v>
      </c>
      <c r="P1973">
        <v>20190320</v>
      </c>
      <c r="Q1973" t="s">
        <v>1189</v>
      </c>
      <c r="R1973" t="s">
        <v>1027</v>
      </c>
      <c r="S1973" t="s">
        <v>295</v>
      </c>
      <c r="T1973" t="s">
        <v>301</v>
      </c>
    </row>
    <row r="1974" spans="1:20" x14ac:dyDescent="0.25">
      <c r="A1974">
        <v>9</v>
      </c>
      <c r="B1974">
        <v>181</v>
      </c>
      <c r="C1974" t="str">
        <f t="shared" si="293"/>
        <v>36</v>
      </c>
      <c r="D1974">
        <v>6412</v>
      </c>
      <c r="E1974" t="str">
        <f>"3W"</f>
        <v>3W</v>
      </c>
      <c r="F1974" t="str">
        <f>"001"</f>
        <v>001</v>
      </c>
      <c r="G1974">
        <v>9</v>
      </c>
      <c r="H1974" t="str">
        <f t="shared" si="294"/>
        <v>91</v>
      </c>
      <c r="I1974" t="str">
        <f t="shared" si="297"/>
        <v>1</v>
      </c>
      <c r="J1974" t="str">
        <f>"39"</f>
        <v>39</v>
      </c>
      <c r="K1974">
        <v>20190322</v>
      </c>
      <c r="L1974" t="str">
        <f t="shared" si="298"/>
        <v>076217</v>
      </c>
      <c r="M1974" t="str">
        <f t="shared" si="299"/>
        <v>84370</v>
      </c>
      <c r="N1974" t="s">
        <v>395</v>
      </c>
      <c r="O1974">
        <v>101.44</v>
      </c>
      <c r="P1974">
        <v>20190320</v>
      </c>
      <c r="Q1974" t="s">
        <v>1189</v>
      </c>
      <c r="R1974" t="s">
        <v>1017</v>
      </c>
      <c r="S1974" t="s">
        <v>295</v>
      </c>
      <c r="T1974" t="s">
        <v>301</v>
      </c>
    </row>
    <row r="1975" spans="1:20" x14ac:dyDescent="0.25">
      <c r="A1975">
        <v>9</v>
      </c>
      <c r="B1975">
        <v>181</v>
      </c>
      <c r="C1975" t="str">
        <f t="shared" si="293"/>
        <v>36</v>
      </c>
      <c r="D1975">
        <v>6412</v>
      </c>
      <c r="E1975" t="str">
        <f>"3W"</f>
        <v>3W</v>
      </c>
      <c r="F1975" t="str">
        <f>"001"</f>
        <v>001</v>
      </c>
      <c r="G1975">
        <v>9</v>
      </c>
      <c r="H1975" t="str">
        <f t="shared" si="294"/>
        <v>91</v>
      </c>
      <c r="I1975" t="str">
        <f t="shared" si="297"/>
        <v>1</v>
      </c>
      <c r="J1975" t="str">
        <f>"39"</f>
        <v>39</v>
      </c>
      <c r="K1975">
        <v>20190322</v>
      </c>
      <c r="L1975" t="str">
        <f t="shared" si="298"/>
        <v>076217</v>
      </c>
      <c r="M1975" t="str">
        <f t="shared" si="299"/>
        <v>84370</v>
      </c>
      <c r="N1975" t="s">
        <v>395</v>
      </c>
      <c r="O1975">
        <v>101.44</v>
      </c>
      <c r="P1975">
        <v>20190320</v>
      </c>
      <c r="Q1975" t="s">
        <v>1189</v>
      </c>
      <c r="R1975" t="s">
        <v>1024</v>
      </c>
      <c r="S1975" t="s">
        <v>295</v>
      </c>
      <c r="T1975" t="s">
        <v>301</v>
      </c>
    </row>
    <row r="1976" spans="1:20" x14ac:dyDescent="0.25">
      <c r="A1976">
        <v>9</v>
      </c>
      <c r="B1976">
        <v>181</v>
      </c>
      <c r="C1976" t="str">
        <f t="shared" si="293"/>
        <v>36</v>
      </c>
      <c r="D1976">
        <v>6412</v>
      </c>
      <c r="E1976" t="str">
        <f>"3W"</f>
        <v>3W</v>
      </c>
      <c r="F1976" t="str">
        <f>"041"</f>
        <v>041</v>
      </c>
      <c r="G1976">
        <v>9</v>
      </c>
      <c r="H1976" t="str">
        <f t="shared" si="294"/>
        <v>91</v>
      </c>
      <c r="I1976" t="str">
        <f t="shared" si="297"/>
        <v>1</v>
      </c>
      <c r="J1976" t="str">
        <f>"41"</f>
        <v>41</v>
      </c>
      <c r="K1976">
        <v>20190322</v>
      </c>
      <c r="L1976" t="str">
        <f t="shared" si="298"/>
        <v>076217</v>
      </c>
      <c r="M1976" t="str">
        <f t="shared" si="299"/>
        <v>84370</v>
      </c>
      <c r="N1976" t="s">
        <v>395</v>
      </c>
      <c r="O1976">
        <v>205.2</v>
      </c>
      <c r="P1976">
        <v>20190320</v>
      </c>
      <c r="Q1976" t="s">
        <v>1190</v>
      </c>
      <c r="R1976" t="s">
        <v>1191</v>
      </c>
      <c r="S1976" t="s">
        <v>295</v>
      </c>
      <c r="T1976" t="s">
        <v>106</v>
      </c>
    </row>
    <row r="1977" spans="1:20" x14ac:dyDescent="0.25">
      <c r="A1977">
        <v>9</v>
      </c>
      <c r="B1977">
        <v>181</v>
      </c>
      <c r="C1977" t="str">
        <f t="shared" si="293"/>
        <v>36</v>
      </c>
      <c r="D1977">
        <v>6219</v>
      </c>
      <c r="E1977" t="str">
        <f>"3A"</f>
        <v>3A</v>
      </c>
      <c r="F1977" t="str">
        <f t="shared" ref="F1977:F1985" si="300">"001"</f>
        <v>001</v>
      </c>
      <c r="G1977">
        <v>9</v>
      </c>
      <c r="H1977" t="str">
        <f t="shared" si="294"/>
        <v>91</v>
      </c>
      <c r="I1977" t="str">
        <f>"0"</f>
        <v>0</v>
      </c>
      <c r="J1977" t="str">
        <f t="shared" ref="J1977:J1985" si="301">"39"</f>
        <v>39</v>
      </c>
      <c r="K1977">
        <v>20190329</v>
      </c>
      <c r="L1977" t="str">
        <f>"076221"</f>
        <v>076221</v>
      </c>
      <c r="M1977" t="str">
        <f>"00403"</f>
        <v>00403</v>
      </c>
      <c r="N1977" t="s">
        <v>504</v>
      </c>
      <c r="O1977">
        <v>135</v>
      </c>
      <c r="P1977">
        <v>20190327</v>
      </c>
      <c r="Q1977" t="s">
        <v>1088</v>
      </c>
      <c r="R1977" t="s">
        <v>1192</v>
      </c>
      <c r="S1977" t="s">
        <v>295</v>
      </c>
      <c r="T1977" t="s">
        <v>301</v>
      </c>
    </row>
    <row r="1978" spans="1:20" x14ac:dyDescent="0.25">
      <c r="A1978">
        <v>9</v>
      </c>
      <c r="B1978">
        <v>181</v>
      </c>
      <c r="C1978" t="str">
        <f t="shared" si="293"/>
        <v>36</v>
      </c>
      <c r="D1978">
        <v>6411</v>
      </c>
      <c r="E1978" t="str">
        <f>"33"</f>
        <v>33</v>
      </c>
      <c r="F1978" t="str">
        <f t="shared" si="300"/>
        <v>001</v>
      </c>
      <c r="G1978">
        <v>9</v>
      </c>
      <c r="H1978" t="str">
        <f t="shared" si="294"/>
        <v>91</v>
      </c>
      <c r="I1978" t="str">
        <f>"0"</f>
        <v>0</v>
      </c>
      <c r="J1978" t="str">
        <f t="shared" si="301"/>
        <v>39</v>
      </c>
      <c r="K1978">
        <v>20190329</v>
      </c>
      <c r="L1978" t="str">
        <f>"076224"</f>
        <v>076224</v>
      </c>
      <c r="M1978" t="str">
        <f>"09170"</f>
        <v>09170</v>
      </c>
      <c r="N1978" t="s">
        <v>679</v>
      </c>
      <c r="O1978">
        <v>430.95</v>
      </c>
      <c r="P1978">
        <v>20190327</v>
      </c>
      <c r="Q1978" t="s">
        <v>306</v>
      </c>
      <c r="R1978" t="s">
        <v>1073</v>
      </c>
      <c r="S1978" t="s">
        <v>295</v>
      </c>
      <c r="T1978" t="s">
        <v>301</v>
      </c>
    </row>
    <row r="1979" spans="1:20" x14ac:dyDescent="0.25">
      <c r="A1979">
        <v>9</v>
      </c>
      <c r="B1979">
        <v>181</v>
      </c>
      <c r="C1979" t="str">
        <f t="shared" si="293"/>
        <v>36</v>
      </c>
      <c r="D1979">
        <v>6219</v>
      </c>
      <c r="E1979" t="str">
        <f>"3N"</f>
        <v>3N</v>
      </c>
      <c r="F1979" t="str">
        <f t="shared" si="300"/>
        <v>001</v>
      </c>
      <c r="G1979">
        <v>9</v>
      </c>
      <c r="H1979" t="str">
        <f t="shared" si="294"/>
        <v>91</v>
      </c>
      <c r="I1979" t="str">
        <f>"0"</f>
        <v>0</v>
      </c>
      <c r="J1979" t="str">
        <f t="shared" si="301"/>
        <v>39</v>
      </c>
      <c r="K1979">
        <v>20190329</v>
      </c>
      <c r="L1979" t="str">
        <f>"076225"</f>
        <v>076225</v>
      </c>
      <c r="M1979" t="str">
        <f>"13259"</f>
        <v>13259</v>
      </c>
      <c r="N1979" t="s">
        <v>1193</v>
      </c>
      <c r="O1979">
        <v>135</v>
      </c>
      <c r="P1979">
        <v>20190327</v>
      </c>
      <c r="Q1979" t="s">
        <v>942</v>
      </c>
      <c r="R1979" t="s">
        <v>1194</v>
      </c>
      <c r="S1979" t="s">
        <v>295</v>
      </c>
      <c r="T1979" t="s">
        <v>301</v>
      </c>
    </row>
    <row r="1980" spans="1:20" x14ac:dyDescent="0.25">
      <c r="A1980">
        <v>9</v>
      </c>
      <c r="B1980">
        <v>181</v>
      </c>
      <c r="C1980" t="str">
        <f t="shared" si="293"/>
        <v>36</v>
      </c>
      <c r="D1980">
        <v>6219</v>
      </c>
      <c r="E1980" t="str">
        <f>"3N"</f>
        <v>3N</v>
      </c>
      <c r="F1980" t="str">
        <f t="shared" si="300"/>
        <v>001</v>
      </c>
      <c r="G1980">
        <v>9</v>
      </c>
      <c r="H1980" t="str">
        <f t="shared" si="294"/>
        <v>91</v>
      </c>
      <c r="I1980" t="str">
        <f>"0"</f>
        <v>0</v>
      </c>
      <c r="J1980" t="str">
        <f t="shared" si="301"/>
        <v>39</v>
      </c>
      <c r="K1980">
        <v>20190329</v>
      </c>
      <c r="L1980" t="str">
        <f>"076227"</f>
        <v>076227</v>
      </c>
      <c r="M1980" t="str">
        <f>"18991"</f>
        <v>18991</v>
      </c>
      <c r="N1980" t="s">
        <v>324</v>
      </c>
      <c r="O1980">
        <v>135</v>
      </c>
      <c r="P1980">
        <v>20190327</v>
      </c>
      <c r="Q1980" t="s">
        <v>942</v>
      </c>
      <c r="R1980" t="s">
        <v>1195</v>
      </c>
      <c r="S1980" t="s">
        <v>295</v>
      </c>
      <c r="T1980" t="s">
        <v>301</v>
      </c>
    </row>
    <row r="1981" spans="1:20" x14ac:dyDescent="0.25">
      <c r="A1981">
        <v>9</v>
      </c>
      <c r="B1981">
        <v>181</v>
      </c>
      <c r="C1981" t="str">
        <f t="shared" si="293"/>
        <v>36</v>
      </c>
      <c r="D1981">
        <v>6219</v>
      </c>
      <c r="E1981" t="str">
        <f>"3P"</f>
        <v>3P</v>
      </c>
      <c r="F1981" t="str">
        <f t="shared" si="300"/>
        <v>001</v>
      </c>
      <c r="G1981">
        <v>9</v>
      </c>
      <c r="H1981" t="str">
        <f t="shared" si="294"/>
        <v>91</v>
      </c>
      <c r="I1981" t="str">
        <f>"1"</f>
        <v>1</v>
      </c>
      <c r="J1981" t="str">
        <f t="shared" si="301"/>
        <v>39</v>
      </c>
      <c r="K1981">
        <v>20190329</v>
      </c>
      <c r="L1981" t="str">
        <f>"076228"</f>
        <v>076228</v>
      </c>
      <c r="M1981" t="str">
        <f>"19079"</f>
        <v>19079</v>
      </c>
      <c r="N1981" t="s">
        <v>326</v>
      </c>
      <c r="O1981">
        <v>96</v>
      </c>
      <c r="P1981">
        <v>20190327</v>
      </c>
      <c r="Q1981" t="s">
        <v>1152</v>
      </c>
      <c r="R1981" t="s">
        <v>1196</v>
      </c>
      <c r="S1981" t="s">
        <v>295</v>
      </c>
      <c r="T1981" t="s">
        <v>301</v>
      </c>
    </row>
    <row r="1982" spans="1:20" x14ac:dyDescent="0.25">
      <c r="A1982">
        <v>9</v>
      </c>
      <c r="B1982">
        <v>181</v>
      </c>
      <c r="C1982" t="str">
        <f t="shared" si="293"/>
        <v>36</v>
      </c>
      <c r="D1982">
        <v>6219</v>
      </c>
      <c r="E1982" t="str">
        <f>"3A"</f>
        <v>3A</v>
      </c>
      <c r="F1982" t="str">
        <f t="shared" si="300"/>
        <v>001</v>
      </c>
      <c r="G1982">
        <v>9</v>
      </c>
      <c r="H1982" t="str">
        <f t="shared" si="294"/>
        <v>91</v>
      </c>
      <c r="I1982" t="str">
        <f>"0"</f>
        <v>0</v>
      </c>
      <c r="J1982" t="str">
        <f t="shared" si="301"/>
        <v>39</v>
      </c>
      <c r="K1982">
        <v>20190329</v>
      </c>
      <c r="L1982" t="str">
        <f>"076229"</f>
        <v>076229</v>
      </c>
      <c r="M1982" t="str">
        <f>"19273"</f>
        <v>19273</v>
      </c>
      <c r="N1982" t="s">
        <v>328</v>
      </c>
      <c r="O1982">
        <v>135</v>
      </c>
      <c r="P1982">
        <v>20190327</v>
      </c>
      <c r="Q1982" t="s">
        <v>1088</v>
      </c>
      <c r="R1982" t="s">
        <v>1197</v>
      </c>
      <c r="S1982" t="s">
        <v>295</v>
      </c>
      <c r="T1982" t="s">
        <v>301</v>
      </c>
    </row>
    <row r="1983" spans="1:20" x14ac:dyDescent="0.25">
      <c r="A1983">
        <v>9</v>
      </c>
      <c r="B1983">
        <v>181</v>
      </c>
      <c r="C1983" t="str">
        <f t="shared" si="293"/>
        <v>36</v>
      </c>
      <c r="D1983">
        <v>6219</v>
      </c>
      <c r="E1983" t="str">
        <f>"3P"</f>
        <v>3P</v>
      </c>
      <c r="F1983" t="str">
        <f t="shared" si="300"/>
        <v>001</v>
      </c>
      <c r="G1983">
        <v>9</v>
      </c>
      <c r="H1983" t="str">
        <f t="shared" si="294"/>
        <v>91</v>
      </c>
      <c r="I1983" t="str">
        <f>"0"</f>
        <v>0</v>
      </c>
      <c r="J1983" t="str">
        <f t="shared" si="301"/>
        <v>39</v>
      </c>
      <c r="K1983">
        <v>20190329</v>
      </c>
      <c r="L1983" t="str">
        <f>"076230"</f>
        <v>076230</v>
      </c>
      <c r="M1983" t="str">
        <f>"19294"</f>
        <v>19294</v>
      </c>
      <c r="N1983" t="s">
        <v>329</v>
      </c>
      <c r="O1983">
        <v>145</v>
      </c>
      <c r="P1983">
        <v>20190327</v>
      </c>
      <c r="Q1983" t="s">
        <v>961</v>
      </c>
      <c r="R1983" t="s">
        <v>1196</v>
      </c>
      <c r="S1983" t="s">
        <v>295</v>
      </c>
      <c r="T1983" t="s">
        <v>301</v>
      </c>
    </row>
    <row r="1984" spans="1:20" x14ac:dyDescent="0.25">
      <c r="A1984">
        <v>9</v>
      </c>
      <c r="B1984">
        <v>181</v>
      </c>
      <c r="C1984" t="str">
        <f t="shared" si="293"/>
        <v>36</v>
      </c>
      <c r="D1984">
        <v>6219</v>
      </c>
      <c r="E1984" t="str">
        <f>"3P"</f>
        <v>3P</v>
      </c>
      <c r="F1984" t="str">
        <f t="shared" si="300"/>
        <v>001</v>
      </c>
      <c r="G1984">
        <v>9</v>
      </c>
      <c r="H1984" t="str">
        <f t="shared" si="294"/>
        <v>91</v>
      </c>
      <c r="I1984" t="str">
        <f>"0"</f>
        <v>0</v>
      </c>
      <c r="J1984" t="str">
        <f t="shared" si="301"/>
        <v>39</v>
      </c>
      <c r="K1984">
        <v>20190329</v>
      </c>
      <c r="L1984" t="str">
        <f>"076232"</f>
        <v>076232</v>
      </c>
      <c r="M1984" t="str">
        <f>"20433"</f>
        <v>20433</v>
      </c>
      <c r="N1984" t="s">
        <v>332</v>
      </c>
      <c r="O1984">
        <v>25</v>
      </c>
      <c r="P1984">
        <v>20190327</v>
      </c>
      <c r="Q1984" t="s">
        <v>961</v>
      </c>
      <c r="R1984" t="s">
        <v>1198</v>
      </c>
      <c r="S1984" t="s">
        <v>295</v>
      </c>
      <c r="T1984" t="s">
        <v>301</v>
      </c>
    </row>
    <row r="1985" spans="1:20" x14ac:dyDescent="0.25">
      <c r="A1985">
        <v>9</v>
      </c>
      <c r="B1985">
        <v>181</v>
      </c>
      <c r="C1985" t="str">
        <f t="shared" si="293"/>
        <v>36</v>
      </c>
      <c r="D1985">
        <v>6219</v>
      </c>
      <c r="E1985" t="str">
        <f>"3P"</f>
        <v>3P</v>
      </c>
      <c r="F1985" t="str">
        <f t="shared" si="300"/>
        <v>001</v>
      </c>
      <c r="G1985">
        <v>9</v>
      </c>
      <c r="H1985" t="str">
        <f t="shared" si="294"/>
        <v>91</v>
      </c>
      <c r="I1985" t="str">
        <f>"0"</f>
        <v>0</v>
      </c>
      <c r="J1985" t="str">
        <f t="shared" si="301"/>
        <v>39</v>
      </c>
      <c r="K1985">
        <v>20190329</v>
      </c>
      <c r="L1985" t="str">
        <f>"076232"</f>
        <v>076232</v>
      </c>
      <c r="M1985" t="str">
        <f>"20433"</f>
        <v>20433</v>
      </c>
      <c r="N1985" t="s">
        <v>332</v>
      </c>
      <c r="O1985">
        <v>25</v>
      </c>
      <c r="P1985">
        <v>20190327</v>
      </c>
      <c r="Q1985" t="s">
        <v>961</v>
      </c>
      <c r="R1985" t="s">
        <v>1196</v>
      </c>
      <c r="S1985" t="s">
        <v>295</v>
      </c>
      <c r="T1985" t="s">
        <v>301</v>
      </c>
    </row>
    <row r="1986" spans="1:20" x14ac:dyDescent="0.25">
      <c r="A1986">
        <v>9</v>
      </c>
      <c r="B1986">
        <v>181</v>
      </c>
      <c r="C1986" t="str">
        <f t="shared" si="293"/>
        <v>36</v>
      </c>
      <c r="D1986">
        <v>6412</v>
      </c>
      <c r="E1986" t="str">
        <f>"3V"</f>
        <v>3V</v>
      </c>
      <c r="F1986" t="str">
        <f>"041"</f>
        <v>041</v>
      </c>
      <c r="G1986">
        <v>9</v>
      </c>
      <c r="H1986" t="str">
        <f t="shared" si="294"/>
        <v>91</v>
      </c>
      <c r="I1986" t="str">
        <f>"1"</f>
        <v>1</v>
      </c>
      <c r="J1986" t="str">
        <f>"41"</f>
        <v>41</v>
      </c>
      <c r="K1986">
        <v>20190329</v>
      </c>
      <c r="L1986" t="str">
        <f>"076234"</f>
        <v>076234</v>
      </c>
      <c r="M1986" t="str">
        <f>"51345"</f>
        <v>51345</v>
      </c>
      <c r="N1986" t="s">
        <v>513</v>
      </c>
      <c r="O1986">
        <v>201.5</v>
      </c>
      <c r="P1986">
        <v>20190327</v>
      </c>
      <c r="Q1986" t="s">
        <v>811</v>
      </c>
      <c r="R1986" t="s">
        <v>1071</v>
      </c>
      <c r="S1986" t="s">
        <v>295</v>
      </c>
      <c r="T1986" t="s">
        <v>106</v>
      </c>
    </row>
    <row r="1987" spans="1:20" x14ac:dyDescent="0.25">
      <c r="A1987">
        <v>9</v>
      </c>
      <c r="B1987">
        <v>181</v>
      </c>
      <c r="C1987" t="str">
        <f t="shared" si="293"/>
        <v>36</v>
      </c>
      <c r="D1987">
        <v>6412</v>
      </c>
      <c r="E1987" t="str">
        <f>"3S"</f>
        <v>3S</v>
      </c>
      <c r="F1987" t="str">
        <f>"041"</f>
        <v>041</v>
      </c>
      <c r="G1987">
        <v>9</v>
      </c>
      <c r="H1987" t="str">
        <f t="shared" si="294"/>
        <v>91</v>
      </c>
      <c r="I1987" t="str">
        <f>"1"</f>
        <v>1</v>
      </c>
      <c r="J1987" t="str">
        <f>"41"</f>
        <v>41</v>
      </c>
      <c r="K1987">
        <v>20190329</v>
      </c>
      <c r="L1987" t="str">
        <f>"076236"</f>
        <v>076236</v>
      </c>
      <c r="M1987" t="str">
        <f>"51349"</f>
        <v>51349</v>
      </c>
      <c r="N1987" t="s">
        <v>558</v>
      </c>
      <c r="O1987">
        <v>160.49</v>
      </c>
      <c r="P1987">
        <v>20190327</v>
      </c>
      <c r="Q1987" t="s">
        <v>1147</v>
      </c>
      <c r="R1987" t="s">
        <v>1199</v>
      </c>
      <c r="S1987" t="s">
        <v>295</v>
      </c>
      <c r="T1987" t="s">
        <v>106</v>
      </c>
    </row>
    <row r="1988" spans="1:20" x14ac:dyDescent="0.25">
      <c r="A1988">
        <v>9</v>
      </c>
      <c r="B1988">
        <v>181</v>
      </c>
      <c r="C1988" t="str">
        <f t="shared" si="293"/>
        <v>36</v>
      </c>
      <c r="D1988">
        <v>6219</v>
      </c>
      <c r="E1988" t="str">
        <f>"3N"</f>
        <v>3N</v>
      </c>
      <c r="F1988" t="str">
        <f>"001"</f>
        <v>001</v>
      </c>
      <c r="G1988">
        <v>9</v>
      </c>
      <c r="H1988" t="str">
        <f t="shared" si="294"/>
        <v>91</v>
      </c>
      <c r="I1988" t="str">
        <f>"0"</f>
        <v>0</v>
      </c>
      <c r="J1988" t="str">
        <f>"39"</f>
        <v>39</v>
      </c>
      <c r="K1988">
        <v>20190329</v>
      </c>
      <c r="L1988" t="str">
        <f>"076244"</f>
        <v>076244</v>
      </c>
      <c r="M1988" t="str">
        <f>"00705"</f>
        <v>00705</v>
      </c>
      <c r="N1988" t="s">
        <v>963</v>
      </c>
      <c r="O1988">
        <v>75</v>
      </c>
      <c r="P1988">
        <v>20190327</v>
      </c>
      <c r="Q1988" t="s">
        <v>942</v>
      </c>
      <c r="R1988" t="s">
        <v>1200</v>
      </c>
      <c r="S1988" t="s">
        <v>295</v>
      </c>
      <c r="T1988" t="s">
        <v>301</v>
      </c>
    </row>
    <row r="1989" spans="1:20" x14ac:dyDescent="0.25">
      <c r="A1989">
        <v>9</v>
      </c>
      <c r="B1989">
        <v>181</v>
      </c>
      <c r="C1989" t="str">
        <f t="shared" si="293"/>
        <v>36</v>
      </c>
      <c r="D1989">
        <v>6219</v>
      </c>
      <c r="E1989" t="str">
        <f>"3A"</f>
        <v>3A</v>
      </c>
      <c r="F1989" t="str">
        <f>"001"</f>
        <v>001</v>
      </c>
      <c r="G1989">
        <v>9</v>
      </c>
      <c r="H1989" t="str">
        <f t="shared" si="294"/>
        <v>91</v>
      </c>
      <c r="I1989" t="str">
        <f>"1"</f>
        <v>1</v>
      </c>
      <c r="J1989" t="str">
        <f>"39"</f>
        <v>39</v>
      </c>
      <c r="K1989">
        <v>20190329</v>
      </c>
      <c r="L1989" t="str">
        <f>"076250"</f>
        <v>076250</v>
      </c>
      <c r="M1989" t="str">
        <f>"30118"</f>
        <v>30118</v>
      </c>
      <c r="N1989" t="s">
        <v>347</v>
      </c>
      <c r="O1989">
        <v>96</v>
      </c>
      <c r="P1989">
        <v>20190327</v>
      </c>
      <c r="Q1989" t="s">
        <v>1201</v>
      </c>
      <c r="R1989" t="s">
        <v>1202</v>
      </c>
      <c r="S1989" t="s">
        <v>295</v>
      </c>
      <c r="T1989" t="s">
        <v>301</v>
      </c>
    </row>
    <row r="1990" spans="1:20" x14ac:dyDescent="0.25">
      <c r="A1990">
        <v>9</v>
      </c>
      <c r="B1990">
        <v>181</v>
      </c>
      <c r="C1990" t="str">
        <f t="shared" si="293"/>
        <v>36</v>
      </c>
      <c r="D1990">
        <v>6219</v>
      </c>
      <c r="E1990" t="str">
        <f>"3P"</f>
        <v>3P</v>
      </c>
      <c r="F1990" t="str">
        <f>"001"</f>
        <v>001</v>
      </c>
      <c r="G1990">
        <v>9</v>
      </c>
      <c r="H1990" t="str">
        <f t="shared" si="294"/>
        <v>91</v>
      </c>
      <c r="I1990" t="str">
        <f>"1"</f>
        <v>1</v>
      </c>
      <c r="J1990" t="str">
        <f>"39"</f>
        <v>39</v>
      </c>
      <c r="K1990">
        <v>20190329</v>
      </c>
      <c r="L1990" t="str">
        <f>"076250"</f>
        <v>076250</v>
      </c>
      <c r="M1990" t="str">
        <f>"30118"</f>
        <v>30118</v>
      </c>
      <c r="N1990" t="s">
        <v>347</v>
      </c>
      <c r="O1990">
        <v>96</v>
      </c>
      <c r="P1990">
        <v>20190327</v>
      </c>
      <c r="Q1990" t="s">
        <v>1152</v>
      </c>
      <c r="R1990" t="s">
        <v>1198</v>
      </c>
      <c r="S1990" t="s">
        <v>295</v>
      </c>
      <c r="T1990" t="s">
        <v>301</v>
      </c>
    </row>
    <row r="1991" spans="1:20" x14ac:dyDescent="0.25">
      <c r="A1991">
        <v>9</v>
      </c>
      <c r="B1991">
        <v>181</v>
      </c>
      <c r="C1991" t="str">
        <f t="shared" si="293"/>
        <v>36</v>
      </c>
      <c r="D1991">
        <v>6219</v>
      </c>
      <c r="E1991" t="str">
        <f>"3P"</f>
        <v>3P</v>
      </c>
      <c r="F1991" t="str">
        <f>"001"</f>
        <v>001</v>
      </c>
      <c r="G1991">
        <v>9</v>
      </c>
      <c r="H1991" t="str">
        <f t="shared" si="294"/>
        <v>91</v>
      </c>
      <c r="I1991" t="str">
        <f>"1"</f>
        <v>1</v>
      </c>
      <c r="J1991" t="str">
        <f>"39"</f>
        <v>39</v>
      </c>
      <c r="K1991">
        <v>20190329</v>
      </c>
      <c r="L1991" t="str">
        <f>"076250"</f>
        <v>076250</v>
      </c>
      <c r="M1991" t="str">
        <f>"30118"</f>
        <v>30118</v>
      </c>
      <c r="N1991" t="s">
        <v>347</v>
      </c>
      <c r="O1991">
        <v>96</v>
      </c>
      <c r="P1991">
        <v>20190327</v>
      </c>
      <c r="Q1991" t="s">
        <v>1152</v>
      </c>
      <c r="R1991" t="s">
        <v>1196</v>
      </c>
      <c r="S1991" t="s">
        <v>295</v>
      </c>
      <c r="T1991" t="s">
        <v>301</v>
      </c>
    </row>
    <row r="1992" spans="1:20" x14ac:dyDescent="0.25">
      <c r="A1992">
        <v>9</v>
      </c>
      <c r="B1992">
        <v>181</v>
      </c>
      <c r="C1992" t="str">
        <f t="shared" si="293"/>
        <v>36</v>
      </c>
      <c r="D1992">
        <v>6412</v>
      </c>
      <c r="E1992" t="str">
        <f>"3S"</f>
        <v>3S</v>
      </c>
      <c r="F1992" t="str">
        <f>"041"</f>
        <v>041</v>
      </c>
      <c r="G1992">
        <v>9</v>
      </c>
      <c r="H1992" t="str">
        <f t="shared" si="294"/>
        <v>91</v>
      </c>
      <c r="I1992" t="str">
        <f>"2"</f>
        <v>2</v>
      </c>
      <c r="J1992" t="str">
        <f>"41"</f>
        <v>41</v>
      </c>
      <c r="K1992">
        <v>20190329</v>
      </c>
      <c r="L1992" t="str">
        <f>"076251"</f>
        <v>076251</v>
      </c>
      <c r="M1992" t="str">
        <f>"30155"</f>
        <v>30155</v>
      </c>
      <c r="N1992" t="s">
        <v>648</v>
      </c>
      <c r="O1992">
        <v>312</v>
      </c>
      <c r="P1992">
        <v>20190327</v>
      </c>
      <c r="Q1992" t="s">
        <v>1059</v>
      </c>
      <c r="R1992" t="s">
        <v>1199</v>
      </c>
      <c r="S1992" t="s">
        <v>295</v>
      </c>
      <c r="T1992" t="s">
        <v>106</v>
      </c>
    </row>
    <row r="1993" spans="1:20" x14ac:dyDescent="0.25">
      <c r="A1993">
        <v>9</v>
      </c>
      <c r="B1993">
        <v>181</v>
      </c>
      <c r="C1993" t="str">
        <f t="shared" si="293"/>
        <v>36</v>
      </c>
      <c r="D1993">
        <v>6411</v>
      </c>
      <c r="E1993" t="str">
        <f>"33"</f>
        <v>33</v>
      </c>
      <c r="F1993" t="str">
        <f t="shared" ref="F1993:F2020" si="302">"001"</f>
        <v>001</v>
      </c>
      <c r="G1993">
        <v>9</v>
      </c>
      <c r="H1993" t="str">
        <f t="shared" si="294"/>
        <v>91</v>
      </c>
      <c r="I1993" t="str">
        <f>"0"</f>
        <v>0</v>
      </c>
      <c r="J1993" t="str">
        <f t="shared" ref="J1993:J2007" si="303">"39"</f>
        <v>39</v>
      </c>
      <c r="K1993">
        <v>20190329</v>
      </c>
      <c r="L1993" t="str">
        <f>"076252"</f>
        <v>076252</v>
      </c>
      <c r="M1993" t="str">
        <f>"30744"</f>
        <v>30744</v>
      </c>
      <c r="N1993" t="s">
        <v>422</v>
      </c>
      <c r="O1993">
        <v>17.54</v>
      </c>
      <c r="P1993">
        <v>20190328</v>
      </c>
      <c r="Q1993" t="s">
        <v>306</v>
      </c>
      <c r="R1993" t="s">
        <v>1073</v>
      </c>
      <c r="S1993" t="s">
        <v>295</v>
      </c>
      <c r="T1993" t="s">
        <v>301</v>
      </c>
    </row>
    <row r="1994" spans="1:20" x14ac:dyDescent="0.25">
      <c r="A1994">
        <v>9</v>
      </c>
      <c r="B1994">
        <v>181</v>
      </c>
      <c r="C1994" t="str">
        <f t="shared" si="293"/>
        <v>36</v>
      </c>
      <c r="D1994">
        <v>6412</v>
      </c>
      <c r="E1994" t="str">
        <f>"09"</f>
        <v>09</v>
      </c>
      <c r="F1994" t="str">
        <f t="shared" si="302"/>
        <v>001</v>
      </c>
      <c r="G1994">
        <v>9</v>
      </c>
      <c r="H1994" t="str">
        <f t="shared" si="294"/>
        <v>91</v>
      </c>
      <c r="I1994" t="str">
        <f>"P"</f>
        <v>P</v>
      </c>
      <c r="J1994" t="str">
        <f t="shared" si="303"/>
        <v>39</v>
      </c>
      <c r="K1994">
        <v>20190329</v>
      </c>
      <c r="L1994" t="str">
        <f>"076252"</f>
        <v>076252</v>
      </c>
      <c r="M1994" t="str">
        <f>"30744"</f>
        <v>30744</v>
      </c>
      <c r="N1994" t="s">
        <v>422</v>
      </c>
      <c r="O1994">
        <v>41.82</v>
      </c>
      <c r="P1994">
        <v>20190328</v>
      </c>
      <c r="Q1994" t="s">
        <v>1028</v>
      </c>
      <c r="R1994" t="s">
        <v>1136</v>
      </c>
      <c r="S1994" t="s">
        <v>295</v>
      </c>
      <c r="T1994" t="s">
        <v>301</v>
      </c>
    </row>
    <row r="1995" spans="1:20" x14ac:dyDescent="0.25">
      <c r="A1995">
        <v>9</v>
      </c>
      <c r="B1995">
        <v>181</v>
      </c>
      <c r="C1995" t="str">
        <f t="shared" si="293"/>
        <v>36</v>
      </c>
      <c r="D1995">
        <v>6412</v>
      </c>
      <c r="E1995" t="str">
        <f>"09"</f>
        <v>09</v>
      </c>
      <c r="F1995" t="str">
        <f t="shared" si="302"/>
        <v>001</v>
      </c>
      <c r="G1995">
        <v>9</v>
      </c>
      <c r="H1995" t="str">
        <f t="shared" si="294"/>
        <v>91</v>
      </c>
      <c r="I1995" t="str">
        <f>"P"</f>
        <v>P</v>
      </c>
      <c r="J1995" t="str">
        <f t="shared" si="303"/>
        <v>39</v>
      </c>
      <c r="K1995">
        <v>20190329</v>
      </c>
      <c r="L1995" t="str">
        <f>"076252"</f>
        <v>076252</v>
      </c>
      <c r="M1995" t="str">
        <f>"30744"</f>
        <v>30744</v>
      </c>
      <c r="N1995" t="s">
        <v>422</v>
      </c>
      <c r="O1995">
        <v>35</v>
      </c>
      <c r="P1995">
        <v>20190328</v>
      </c>
      <c r="Q1995" t="s">
        <v>1028</v>
      </c>
      <c r="R1995" t="s">
        <v>1136</v>
      </c>
      <c r="S1995" t="s">
        <v>295</v>
      </c>
      <c r="T1995" t="s">
        <v>301</v>
      </c>
    </row>
    <row r="1996" spans="1:20" x14ac:dyDescent="0.25">
      <c r="A1996">
        <v>9</v>
      </c>
      <c r="B1996">
        <v>181</v>
      </c>
      <c r="C1996" t="str">
        <f t="shared" si="293"/>
        <v>36</v>
      </c>
      <c r="D1996">
        <v>6412</v>
      </c>
      <c r="E1996" t="str">
        <f>"09"</f>
        <v>09</v>
      </c>
      <c r="F1996" t="str">
        <f t="shared" si="302"/>
        <v>001</v>
      </c>
      <c r="G1996">
        <v>9</v>
      </c>
      <c r="H1996" t="str">
        <f t="shared" si="294"/>
        <v>91</v>
      </c>
      <c r="I1996" t="str">
        <f>"P"</f>
        <v>P</v>
      </c>
      <c r="J1996" t="str">
        <f t="shared" si="303"/>
        <v>39</v>
      </c>
      <c r="K1996">
        <v>20190329</v>
      </c>
      <c r="L1996" t="str">
        <f>"076252"</f>
        <v>076252</v>
      </c>
      <c r="M1996" t="str">
        <f>"30744"</f>
        <v>30744</v>
      </c>
      <c r="N1996" t="s">
        <v>422</v>
      </c>
      <c r="O1996">
        <v>53.94</v>
      </c>
      <c r="P1996">
        <v>20190328</v>
      </c>
      <c r="Q1996" t="s">
        <v>1028</v>
      </c>
      <c r="R1996" t="s">
        <v>1136</v>
      </c>
      <c r="S1996" t="s">
        <v>295</v>
      </c>
      <c r="T1996" t="s">
        <v>301</v>
      </c>
    </row>
    <row r="1997" spans="1:20" x14ac:dyDescent="0.25">
      <c r="A1997">
        <v>9</v>
      </c>
      <c r="B1997">
        <v>181</v>
      </c>
      <c r="C1997" t="str">
        <f t="shared" si="293"/>
        <v>36</v>
      </c>
      <c r="D1997">
        <v>6412</v>
      </c>
      <c r="E1997" t="str">
        <f>"09"</f>
        <v>09</v>
      </c>
      <c r="F1997" t="str">
        <f t="shared" si="302"/>
        <v>001</v>
      </c>
      <c r="G1997">
        <v>9</v>
      </c>
      <c r="H1997" t="str">
        <f t="shared" si="294"/>
        <v>91</v>
      </c>
      <c r="I1997" t="str">
        <f>"P"</f>
        <v>P</v>
      </c>
      <c r="J1997" t="str">
        <f t="shared" si="303"/>
        <v>39</v>
      </c>
      <c r="K1997">
        <v>20190329</v>
      </c>
      <c r="L1997" t="str">
        <f>"076252"</f>
        <v>076252</v>
      </c>
      <c r="M1997" t="str">
        <f>"30744"</f>
        <v>30744</v>
      </c>
      <c r="N1997" t="s">
        <v>422</v>
      </c>
      <c r="O1997">
        <v>34.409999999999997</v>
      </c>
      <c r="P1997">
        <v>20190328</v>
      </c>
      <c r="Q1997" t="s">
        <v>1028</v>
      </c>
      <c r="R1997" t="s">
        <v>1136</v>
      </c>
      <c r="S1997" t="s">
        <v>295</v>
      </c>
      <c r="T1997" t="s">
        <v>301</v>
      </c>
    </row>
    <row r="1998" spans="1:20" x14ac:dyDescent="0.25">
      <c r="A1998">
        <v>9</v>
      </c>
      <c r="B1998">
        <v>181</v>
      </c>
      <c r="C1998" t="str">
        <f t="shared" si="293"/>
        <v>36</v>
      </c>
      <c r="D1998">
        <v>6219</v>
      </c>
      <c r="E1998" t="str">
        <f>"3A"</f>
        <v>3A</v>
      </c>
      <c r="F1998" t="str">
        <f t="shared" si="302"/>
        <v>001</v>
      </c>
      <c r="G1998">
        <v>9</v>
      </c>
      <c r="H1998" t="str">
        <f t="shared" si="294"/>
        <v>91</v>
      </c>
      <c r="I1998" t="str">
        <f t="shared" ref="I1998:I2003" si="304">"0"</f>
        <v>0</v>
      </c>
      <c r="J1998" t="str">
        <f t="shared" si="303"/>
        <v>39</v>
      </c>
      <c r="K1998">
        <v>20190329</v>
      </c>
      <c r="L1998" t="str">
        <f>"076253"</f>
        <v>076253</v>
      </c>
      <c r="M1998" t="str">
        <f>"31291"</f>
        <v>31291</v>
      </c>
      <c r="N1998" t="s">
        <v>1203</v>
      </c>
      <c r="O1998">
        <v>135</v>
      </c>
      <c r="P1998">
        <v>20190327</v>
      </c>
      <c r="Q1998" t="s">
        <v>1088</v>
      </c>
      <c r="R1998" t="s">
        <v>1192</v>
      </c>
      <c r="S1998" t="s">
        <v>295</v>
      </c>
      <c r="T1998" t="s">
        <v>301</v>
      </c>
    </row>
    <row r="1999" spans="1:20" x14ac:dyDescent="0.25">
      <c r="A1999">
        <v>9</v>
      </c>
      <c r="B1999">
        <v>181</v>
      </c>
      <c r="C1999" t="str">
        <f t="shared" si="293"/>
        <v>36</v>
      </c>
      <c r="D1999">
        <v>6219</v>
      </c>
      <c r="E1999" t="str">
        <f>"3A"</f>
        <v>3A</v>
      </c>
      <c r="F1999" t="str">
        <f t="shared" si="302"/>
        <v>001</v>
      </c>
      <c r="G1999">
        <v>9</v>
      </c>
      <c r="H1999" t="str">
        <f t="shared" si="294"/>
        <v>91</v>
      </c>
      <c r="I1999" t="str">
        <f t="shared" si="304"/>
        <v>0</v>
      </c>
      <c r="J1999" t="str">
        <f t="shared" si="303"/>
        <v>39</v>
      </c>
      <c r="K1999">
        <v>20190329</v>
      </c>
      <c r="L1999" t="str">
        <f>"076254"</f>
        <v>076254</v>
      </c>
      <c r="M1999" t="str">
        <f>"31353"</f>
        <v>31353</v>
      </c>
      <c r="N1999" t="s">
        <v>1204</v>
      </c>
      <c r="O1999">
        <v>100</v>
      </c>
      <c r="P1999">
        <v>20190327</v>
      </c>
      <c r="Q1999" t="s">
        <v>1088</v>
      </c>
      <c r="R1999" t="s">
        <v>1202</v>
      </c>
      <c r="S1999" t="s">
        <v>295</v>
      </c>
      <c r="T1999" t="s">
        <v>301</v>
      </c>
    </row>
    <row r="2000" spans="1:20" x14ac:dyDescent="0.25">
      <c r="A2000">
        <v>9</v>
      </c>
      <c r="B2000">
        <v>181</v>
      </c>
      <c r="C2000" t="str">
        <f t="shared" si="293"/>
        <v>36</v>
      </c>
      <c r="D2000">
        <v>6219</v>
      </c>
      <c r="E2000" t="str">
        <f>"3N"</f>
        <v>3N</v>
      </c>
      <c r="F2000" t="str">
        <f t="shared" si="302"/>
        <v>001</v>
      </c>
      <c r="G2000">
        <v>9</v>
      </c>
      <c r="H2000" t="str">
        <f t="shared" si="294"/>
        <v>91</v>
      </c>
      <c r="I2000" t="str">
        <f t="shared" si="304"/>
        <v>0</v>
      </c>
      <c r="J2000" t="str">
        <f t="shared" si="303"/>
        <v>39</v>
      </c>
      <c r="K2000">
        <v>20190329</v>
      </c>
      <c r="L2000" t="str">
        <f>"076255"</f>
        <v>076255</v>
      </c>
      <c r="M2000" t="str">
        <f>"31399"</f>
        <v>31399</v>
      </c>
      <c r="N2000" t="s">
        <v>1099</v>
      </c>
      <c r="O2000">
        <v>75</v>
      </c>
      <c r="P2000">
        <v>20190327</v>
      </c>
      <c r="Q2000" t="s">
        <v>942</v>
      </c>
      <c r="R2000" t="s">
        <v>1205</v>
      </c>
      <c r="S2000" t="s">
        <v>295</v>
      </c>
      <c r="T2000" t="s">
        <v>301</v>
      </c>
    </row>
    <row r="2001" spans="1:20" x14ac:dyDescent="0.25">
      <c r="A2001">
        <v>9</v>
      </c>
      <c r="B2001">
        <v>181</v>
      </c>
      <c r="C2001" t="str">
        <f t="shared" si="293"/>
        <v>36</v>
      </c>
      <c r="D2001">
        <v>6219</v>
      </c>
      <c r="E2001" t="str">
        <f>"3A"</f>
        <v>3A</v>
      </c>
      <c r="F2001" t="str">
        <f t="shared" si="302"/>
        <v>001</v>
      </c>
      <c r="G2001">
        <v>9</v>
      </c>
      <c r="H2001" t="str">
        <f t="shared" si="294"/>
        <v>91</v>
      </c>
      <c r="I2001" t="str">
        <f t="shared" si="304"/>
        <v>0</v>
      </c>
      <c r="J2001" t="str">
        <f t="shared" si="303"/>
        <v>39</v>
      </c>
      <c r="K2001">
        <v>20190329</v>
      </c>
      <c r="L2001" t="str">
        <f>"076257"</f>
        <v>076257</v>
      </c>
      <c r="M2001" t="str">
        <f>"33763"</f>
        <v>33763</v>
      </c>
      <c r="N2001" t="s">
        <v>1206</v>
      </c>
      <c r="O2001">
        <v>85</v>
      </c>
      <c r="P2001">
        <v>20190327</v>
      </c>
      <c r="Q2001" t="s">
        <v>1088</v>
      </c>
      <c r="R2001" t="s">
        <v>1207</v>
      </c>
      <c r="S2001" t="s">
        <v>295</v>
      </c>
      <c r="T2001" t="s">
        <v>301</v>
      </c>
    </row>
    <row r="2002" spans="1:20" x14ac:dyDescent="0.25">
      <c r="A2002">
        <v>9</v>
      </c>
      <c r="B2002">
        <v>181</v>
      </c>
      <c r="C2002" t="str">
        <f t="shared" si="293"/>
        <v>36</v>
      </c>
      <c r="D2002">
        <v>6219</v>
      </c>
      <c r="E2002" t="str">
        <f>"3A"</f>
        <v>3A</v>
      </c>
      <c r="F2002" t="str">
        <f t="shared" si="302"/>
        <v>001</v>
      </c>
      <c r="G2002">
        <v>9</v>
      </c>
      <c r="H2002" t="str">
        <f t="shared" si="294"/>
        <v>91</v>
      </c>
      <c r="I2002" t="str">
        <f t="shared" si="304"/>
        <v>0</v>
      </c>
      <c r="J2002" t="str">
        <f t="shared" si="303"/>
        <v>39</v>
      </c>
      <c r="K2002">
        <v>20190329</v>
      </c>
      <c r="L2002" t="str">
        <f>"076258"</f>
        <v>076258</v>
      </c>
      <c r="M2002" t="str">
        <f>"33764"</f>
        <v>33764</v>
      </c>
      <c r="N2002" t="s">
        <v>1208</v>
      </c>
      <c r="O2002">
        <v>85</v>
      </c>
      <c r="P2002">
        <v>20190327</v>
      </c>
      <c r="Q2002" t="s">
        <v>1088</v>
      </c>
      <c r="R2002" t="s">
        <v>1207</v>
      </c>
      <c r="S2002" t="s">
        <v>295</v>
      </c>
      <c r="T2002" t="s">
        <v>301</v>
      </c>
    </row>
    <row r="2003" spans="1:20" x14ac:dyDescent="0.25">
      <c r="A2003">
        <v>9</v>
      </c>
      <c r="B2003">
        <v>181</v>
      </c>
      <c r="C2003" t="str">
        <f t="shared" si="293"/>
        <v>36</v>
      </c>
      <c r="D2003">
        <v>6219</v>
      </c>
      <c r="E2003" t="str">
        <f>"3K"</f>
        <v>3K</v>
      </c>
      <c r="F2003" t="str">
        <f t="shared" si="302"/>
        <v>001</v>
      </c>
      <c r="G2003">
        <v>9</v>
      </c>
      <c r="H2003" t="str">
        <f t="shared" si="294"/>
        <v>91</v>
      </c>
      <c r="I2003" t="str">
        <f t="shared" si="304"/>
        <v>0</v>
      </c>
      <c r="J2003" t="str">
        <f t="shared" si="303"/>
        <v>39</v>
      </c>
      <c r="K2003">
        <v>20190329</v>
      </c>
      <c r="L2003" t="str">
        <f>"076268"</f>
        <v>076268</v>
      </c>
      <c r="M2003" t="str">
        <f>"00751"</f>
        <v>00751</v>
      </c>
      <c r="N2003" t="s">
        <v>1209</v>
      </c>
      <c r="O2003">
        <v>115</v>
      </c>
      <c r="P2003">
        <v>20190327</v>
      </c>
      <c r="Q2003" t="s">
        <v>951</v>
      </c>
      <c r="R2003" t="s">
        <v>1104</v>
      </c>
      <c r="S2003" t="s">
        <v>295</v>
      </c>
      <c r="T2003" t="s">
        <v>301</v>
      </c>
    </row>
    <row r="2004" spans="1:20" x14ac:dyDescent="0.25">
      <c r="A2004">
        <v>9</v>
      </c>
      <c r="B2004">
        <v>181</v>
      </c>
      <c r="C2004" t="str">
        <f t="shared" si="293"/>
        <v>36</v>
      </c>
      <c r="D2004">
        <v>6412</v>
      </c>
      <c r="E2004" t="str">
        <f>"3G"</f>
        <v>3G</v>
      </c>
      <c r="F2004" t="str">
        <f t="shared" si="302"/>
        <v>001</v>
      </c>
      <c r="G2004">
        <v>9</v>
      </c>
      <c r="H2004" t="str">
        <f t="shared" si="294"/>
        <v>91</v>
      </c>
      <c r="I2004" t="str">
        <f>"2"</f>
        <v>2</v>
      </c>
      <c r="J2004" t="str">
        <f t="shared" si="303"/>
        <v>39</v>
      </c>
      <c r="K2004">
        <v>20190329</v>
      </c>
      <c r="L2004" t="str">
        <f>"076270"</f>
        <v>076270</v>
      </c>
      <c r="M2004" t="str">
        <f>"47201"</f>
        <v>47201</v>
      </c>
      <c r="N2004" t="s">
        <v>1210</v>
      </c>
      <c r="O2004">
        <v>8</v>
      </c>
      <c r="P2004">
        <v>20190327</v>
      </c>
      <c r="Q2004" t="s">
        <v>309</v>
      </c>
      <c r="R2004" t="s">
        <v>1211</v>
      </c>
      <c r="S2004" t="s">
        <v>295</v>
      </c>
      <c r="T2004" t="s">
        <v>301</v>
      </c>
    </row>
    <row r="2005" spans="1:20" x14ac:dyDescent="0.25">
      <c r="A2005">
        <v>9</v>
      </c>
      <c r="B2005">
        <v>181</v>
      </c>
      <c r="C2005" t="str">
        <f t="shared" si="293"/>
        <v>36</v>
      </c>
      <c r="D2005">
        <v>6412</v>
      </c>
      <c r="E2005" t="str">
        <f>"3G"</f>
        <v>3G</v>
      </c>
      <c r="F2005" t="str">
        <f t="shared" si="302"/>
        <v>001</v>
      </c>
      <c r="G2005">
        <v>9</v>
      </c>
      <c r="H2005" t="str">
        <f t="shared" si="294"/>
        <v>91</v>
      </c>
      <c r="I2005" t="str">
        <f>"2"</f>
        <v>2</v>
      </c>
      <c r="J2005" t="str">
        <f t="shared" si="303"/>
        <v>39</v>
      </c>
      <c r="K2005">
        <v>20190410</v>
      </c>
      <c r="L2005" t="str">
        <f>"076270"</f>
        <v>076270</v>
      </c>
      <c r="M2005" t="str">
        <f>"47201"</f>
        <v>47201</v>
      </c>
      <c r="N2005" t="s">
        <v>1210</v>
      </c>
      <c r="O2005">
        <v>-8</v>
      </c>
      <c r="P2005">
        <v>20190410</v>
      </c>
      <c r="Q2005" t="s">
        <v>309</v>
      </c>
      <c r="R2005" t="s">
        <v>1212</v>
      </c>
      <c r="S2005" t="s">
        <v>295</v>
      </c>
      <c r="T2005" t="s">
        <v>301</v>
      </c>
    </row>
    <row r="2006" spans="1:20" x14ac:dyDescent="0.25">
      <c r="A2006">
        <v>9</v>
      </c>
      <c r="B2006">
        <v>181</v>
      </c>
      <c r="C2006" t="str">
        <f t="shared" si="293"/>
        <v>36</v>
      </c>
      <c r="D2006">
        <v>6219</v>
      </c>
      <c r="E2006" t="str">
        <f>"3A"</f>
        <v>3A</v>
      </c>
      <c r="F2006" t="str">
        <f t="shared" si="302"/>
        <v>001</v>
      </c>
      <c r="G2006">
        <v>9</v>
      </c>
      <c r="H2006" t="str">
        <f t="shared" si="294"/>
        <v>91</v>
      </c>
      <c r="I2006" t="str">
        <f>"0"</f>
        <v>0</v>
      </c>
      <c r="J2006" t="str">
        <f t="shared" si="303"/>
        <v>39</v>
      </c>
      <c r="K2006">
        <v>20190329</v>
      </c>
      <c r="L2006" t="str">
        <f>"076273"</f>
        <v>076273</v>
      </c>
      <c r="M2006" t="str">
        <f>"00781"</f>
        <v>00781</v>
      </c>
      <c r="N2006" t="s">
        <v>1213</v>
      </c>
      <c r="O2006">
        <v>135</v>
      </c>
      <c r="P2006">
        <v>20190327</v>
      </c>
      <c r="Q2006" t="s">
        <v>1088</v>
      </c>
      <c r="R2006" t="s">
        <v>1197</v>
      </c>
      <c r="S2006" t="s">
        <v>295</v>
      </c>
      <c r="T2006" t="s">
        <v>301</v>
      </c>
    </row>
    <row r="2007" spans="1:20" x14ac:dyDescent="0.25">
      <c r="A2007">
        <v>9</v>
      </c>
      <c r="B2007">
        <v>181</v>
      </c>
      <c r="C2007" t="str">
        <f t="shared" si="293"/>
        <v>36</v>
      </c>
      <c r="D2007">
        <v>6412</v>
      </c>
      <c r="E2007" t="str">
        <f>"3U"</f>
        <v>3U</v>
      </c>
      <c r="F2007" t="str">
        <f t="shared" si="302"/>
        <v>001</v>
      </c>
      <c r="G2007">
        <v>9</v>
      </c>
      <c r="H2007" t="str">
        <f t="shared" si="294"/>
        <v>91</v>
      </c>
      <c r="I2007" t="str">
        <f>"2"</f>
        <v>2</v>
      </c>
      <c r="J2007" t="str">
        <f t="shared" si="303"/>
        <v>39</v>
      </c>
      <c r="K2007">
        <v>20190329</v>
      </c>
      <c r="L2007" t="str">
        <f>"076274"</f>
        <v>076274</v>
      </c>
      <c r="M2007" t="str">
        <f>"00763"</f>
        <v>00763</v>
      </c>
      <c r="N2007" t="s">
        <v>1214</v>
      </c>
      <c r="O2007">
        <v>225</v>
      </c>
      <c r="P2007">
        <v>20190327</v>
      </c>
      <c r="Q2007" t="s">
        <v>958</v>
      </c>
      <c r="R2007" t="s">
        <v>1215</v>
      </c>
      <c r="S2007" t="s">
        <v>295</v>
      </c>
      <c r="T2007" t="s">
        <v>301</v>
      </c>
    </row>
    <row r="2008" spans="1:20" x14ac:dyDescent="0.25">
      <c r="A2008">
        <v>9</v>
      </c>
      <c r="B2008">
        <v>181</v>
      </c>
      <c r="C2008" t="str">
        <f>"00"</f>
        <v>00</v>
      </c>
      <c r="D2008">
        <v>1109</v>
      </c>
      <c r="E2008" t="str">
        <f>"02"</f>
        <v>02</v>
      </c>
      <c r="F2008" t="str">
        <f t="shared" si="302"/>
        <v>001</v>
      </c>
      <c r="G2008">
        <v>9</v>
      </c>
      <c r="H2008" t="str">
        <f>"00"</f>
        <v>00</v>
      </c>
      <c r="I2008" t="str">
        <f t="shared" ref="I2008:I2020" si="305">"0"</f>
        <v>0</v>
      </c>
      <c r="J2008" t="str">
        <f>"00"</f>
        <v>00</v>
      </c>
      <c r="K2008">
        <v>20190329</v>
      </c>
      <c r="L2008" t="str">
        <f>"076276"</f>
        <v>076276</v>
      </c>
      <c r="M2008" t="str">
        <f>"52196"</f>
        <v>52196</v>
      </c>
      <c r="N2008" t="s">
        <v>292</v>
      </c>
      <c r="O2008">
        <v>400</v>
      </c>
      <c r="P2008">
        <v>20190327</v>
      </c>
      <c r="Q2008" t="s">
        <v>1216</v>
      </c>
      <c r="R2008" t="s">
        <v>1217</v>
      </c>
      <c r="S2008" t="s">
        <v>295</v>
      </c>
      <c r="T2008" t="s">
        <v>301</v>
      </c>
    </row>
    <row r="2009" spans="1:20" x14ac:dyDescent="0.25">
      <c r="A2009">
        <v>9</v>
      </c>
      <c r="B2009">
        <v>181</v>
      </c>
      <c r="C2009" t="str">
        <f t="shared" ref="C2009:C2052" si="306">"36"</f>
        <v>36</v>
      </c>
      <c r="D2009">
        <v>6219</v>
      </c>
      <c r="E2009" t="str">
        <f>"3N"</f>
        <v>3N</v>
      </c>
      <c r="F2009" t="str">
        <f t="shared" si="302"/>
        <v>001</v>
      </c>
      <c r="G2009">
        <v>9</v>
      </c>
      <c r="H2009" t="str">
        <f t="shared" ref="H2009:H2052" si="307">"91"</f>
        <v>91</v>
      </c>
      <c r="I2009" t="str">
        <f t="shared" si="305"/>
        <v>0</v>
      </c>
      <c r="J2009" t="str">
        <f t="shared" ref="J2009:J2020" si="308">"39"</f>
        <v>39</v>
      </c>
      <c r="K2009">
        <v>20190329</v>
      </c>
      <c r="L2009" t="str">
        <f>"076280"</f>
        <v>076280</v>
      </c>
      <c r="M2009" t="str">
        <f>"00363"</f>
        <v>00363</v>
      </c>
      <c r="N2009" t="s">
        <v>995</v>
      </c>
      <c r="O2009">
        <v>115</v>
      </c>
      <c r="P2009">
        <v>20190327</v>
      </c>
      <c r="Q2009" t="s">
        <v>942</v>
      </c>
      <c r="R2009" t="s">
        <v>1200</v>
      </c>
      <c r="S2009" t="s">
        <v>295</v>
      </c>
      <c r="T2009" t="s">
        <v>301</v>
      </c>
    </row>
    <row r="2010" spans="1:20" x14ac:dyDescent="0.25">
      <c r="A2010">
        <v>9</v>
      </c>
      <c r="B2010">
        <v>181</v>
      </c>
      <c r="C2010" t="str">
        <f t="shared" si="306"/>
        <v>36</v>
      </c>
      <c r="D2010">
        <v>6219</v>
      </c>
      <c r="E2010" t="str">
        <f>"3N"</f>
        <v>3N</v>
      </c>
      <c r="F2010" t="str">
        <f t="shared" si="302"/>
        <v>001</v>
      </c>
      <c r="G2010">
        <v>9</v>
      </c>
      <c r="H2010" t="str">
        <f t="shared" si="307"/>
        <v>91</v>
      </c>
      <c r="I2010" t="str">
        <f t="shared" si="305"/>
        <v>0</v>
      </c>
      <c r="J2010" t="str">
        <f t="shared" si="308"/>
        <v>39</v>
      </c>
      <c r="K2010">
        <v>20190329</v>
      </c>
      <c r="L2010" t="str">
        <f>"076280"</f>
        <v>076280</v>
      </c>
      <c r="M2010" t="str">
        <f>"00363"</f>
        <v>00363</v>
      </c>
      <c r="N2010" t="s">
        <v>995</v>
      </c>
      <c r="O2010">
        <v>135</v>
      </c>
      <c r="P2010">
        <v>20190327</v>
      </c>
      <c r="Q2010" t="s">
        <v>942</v>
      </c>
      <c r="R2010" t="s">
        <v>1195</v>
      </c>
      <c r="S2010" t="s">
        <v>295</v>
      </c>
      <c r="T2010" t="s">
        <v>301</v>
      </c>
    </row>
    <row r="2011" spans="1:20" x14ac:dyDescent="0.25">
      <c r="A2011">
        <v>9</v>
      </c>
      <c r="B2011">
        <v>181</v>
      </c>
      <c r="C2011" t="str">
        <f t="shared" si="306"/>
        <v>36</v>
      </c>
      <c r="D2011">
        <v>6219</v>
      </c>
      <c r="E2011" t="str">
        <f>"3P"</f>
        <v>3P</v>
      </c>
      <c r="F2011" t="str">
        <f t="shared" si="302"/>
        <v>001</v>
      </c>
      <c r="G2011">
        <v>9</v>
      </c>
      <c r="H2011" t="str">
        <f t="shared" si="307"/>
        <v>91</v>
      </c>
      <c r="I2011" t="str">
        <f t="shared" si="305"/>
        <v>0</v>
      </c>
      <c r="J2011" t="str">
        <f t="shared" si="308"/>
        <v>39</v>
      </c>
      <c r="K2011">
        <v>20190329</v>
      </c>
      <c r="L2011" t="str">
        <f>"076291"</f>
        <v>076291</v>
      </c>
      <c r="M2011" t="str">
        <f>"65239"</f>
        <v>65239</v>
      </c>
      <c r="N2011" t="s">
        <v>1125</v>
      </c>
      <c r="O2011">
        <v>145</v>
      </c>
      <c r="P2011">
        <v>20190328</v>
      </c>
      <c r="Q2011" t="s">
        <v>961</v>
      </c>
      <c r="R2011" t="s">
        <v>1198</v>
      </c>
      <c r="S2011" t="s">
        <v>295</v>
      </c>
      <c r="T2011" t="s">
        <v>301</v>
      </c>
    </row>
    <row r="2012" spans="1:20" x14ac:dyDescent="0.25">
      <c r="A2012">
        <v>9</v>
      </c>
      <c r="B2012">
        <v>181</v>
      </c>
      <c r="C2012" t="str">
        <f t="shared" si="306"/>
        <v>36</v>
      </c>
      <c r="D2012">
        <v>6219</v>
      </c>
      <c r="E2012" t="str">
        <f>"3P"</f>
        <v>3P</v>
      </c>
      <c r="F2012" t="str">
        <f t="shared" si="302"/>
        <v>001</v>
      </c>
      <c r="G2012">
        <v>9</v>
      </c>
      <c r="H2012" t="str">
        <f t="shared" si="307"/>
        <v>91</v>
      </c>
      <c r="I2012" t="str">
        <f t="shared" si="305"/>
        <v>0</v>
      </c>
      <c r="J2012" t="str">
        <f t="shared" si="308"/>
        <v>39</v>
      </c>
      <c r="K2012">
        <v>20190329</v>
      </c>
      <c r="L2012" t="str">
        <f>"076291"</f>
        <v>076291</v>
      </c>
      <c r="M2012" t="str">
        <f>"65239"</f>
        <v>65239</v>
      </c>
      <c r="N2012" t="s">
        <v>1125</v>
      </c>
      <c r="O2012">
        <v>145</v>
      </c>
      <c r="P2012">
        <v>20190328</v>
      </c>
      <c r="Q2012" t="s">
        <v>961</v>
      </c>
      <c r="R2012" t="s">
        <v>1196</v>
      </c>
      <c r="S2012" t="s">
        <v>295</v>
      </c>
      <c r="T2012" t="s">
        <v>301</v>
      </c>
    </row>
    <row r="2013" spans="1:20" x14ac:dyDescent="0.25">
      <c r="A2013">
        <v>9</v>
      </c>
      <c r="B2013">
        <v>181</v>
      </c>
      <c r="C2013" t="str">
        <f t="shared" si="306"/>
        <v>36</v>
      </c>
      <c r="D2013">
        <v>6219</v>
      </c>
      <c r="E2013" t="str">
        <f>"3A"</f>
        <v>3A</v>
      </c>
      <c r="F2013" t="str">
        <f t="shared" si="302"/>
        <v>001</v>
      </c>
      <c r="G2013">
        <v>9</v>
      </c>
      <c r="H2013" t="str">
        <f t="shared" si="307"/>
        <v>91</v>
      </c>
      <c r="I2013" t="str">
        <f t="shared" si="305"/>
        <v>0</v>
      </c>
      <c r="J2013" t="str">
        <f t="shared" si="308"/>
        <v>39</v>
      </c>
      <c r="K2013">
        <v>20190329</v>
      </c>
      <c r="L2013" t="str">
        <f>"076292"</f>
        <v>076292</v>
      </c>
      <c r="M2013" t="str">
        <f>"70063"</f>
        <v>70063</v>
      </c>
      <c r="N2013" t="s">
        <v>1218</v>
      </c>
      <c r="O2013">
        <v>85</v>
      </c>
      <c r="P2013">
        <v>20190328</v>
      </c>
      <c r="Q2013" t="s">
        <v>1088</v>
      </c>
      <c r="R2013" t="s">
        <v>1219</v>
      </c>
      <c r="S2013" t="s">
        <v>295</v>
      </c>
      <c r="T2013" t="s">
        <v>301</v>
      </c>
    </row>
    <row r="2014" spans="1:20" x14ac:dyDescent="0.25">
      <c r="A2014">
        <v>9</v>
      </c>
      <c r="B2014">
        <v>181</v>
      </c>
      <c r="C2014" t="str">
        <f t="shared" si="306"/>
        <v>36</v>
      </c>
      <c r="D2014">
        <v>6219</v>
      </c>
      <c r="E2014" t="str">
        <f>"3A"</f>
        <v>3A</v>
      </c>
      <c r="F2014" t="str">
        <f t="shared" si="302"/>
        <v>001</v>
      </c>
      <c r="G2014">
        <v>9</v>
      </c>
      <c r="H2014" t="str">
        <f t="shared" si="307"/>
        <v>91</v>
      </c>
      <c r="I2014" t="str">
        <f t="shared" si="305"/>
        <v>0</v>
      </c>
      <c r="J2014" t="str">
        <f t="shared" si="308"/>
        <v>39</v>
      </c>
      <c r="K2014">
        <v>20190329</v>
      </c>
      <c r="L2014" t="str">
        <f>"076308"</f>
        <v>076308</v>
      </c>
      <c r="M2014" t="str">
        <f>"82800"</f>
        <v>82800</v>
      </c>
      <c r="N2014" t="s">
        <v>1220</v>
      </c>
      <c r="O2014">
        <v>85</v>
      </c>
      <c r="P2014">
        <v>20190328</v>
      </c>
      <c r="Q2014" t="s">
        <v>1088</v>
      </c>
      <c r="R2014" t="s">
        <v>1219</v>
      </c>
      <c r="S2014" t="s">
        <v>295</v>
      </c>
      <c r="T2014" t="s">
        <v>301</v>
      </c>
    </row>
    <row r="2015" spans="1:20" x14ac:dyDescent="0.25">
      <c r="A2015">
        <v>9</v>
      </c>
      <c r="B2015">
        <v>181</v>
      </c>
      <c r="C2015" t="str">
        <f t="shared" si="306"/>
        <v>36</v>
      </c>
      <c r="D2015">
        <v>6219</v>
      </c>
      <c r="E2015" t="str">
        <f>"3P"</f>
        <v>3P</v>
      </c>
      <c r="F2015" t="str">
        <f t="shared" si="302"/>
        <v>001</v>
      </c>
      <c r="G2015">
        <v>9</v>
      </c>
      <c r="H2015" t="str">
        <f t="shared" si="307"/>
        <v>91</v>
      </c>
      <c r="I2015" t="str">
        <f t="shared" si="305"/>
        <v>0</v>
      </c>
      <c r="J2015" t="str">
        <f t="shared" si="308"/>
        <v>39</v>
      </c>
      <c r="K2015">
        <v>20190329</v>
      </c>
      <c r="L2015" t="str">
        <f>"076310"</f>
        <v>076310</v>
      </c>
      <c r="M2015" t="str">
        <f>"83303"</f>
        <v>83303</v>
      </c>
      <c r="N2015" t="s">
        <v>1166</v>
      </c>
      <c r="O2015">
        <v>145</v>
      </c>
      <c r="P2015">
        <v>20190328</v>
      </c>
      <c r="Q2015" t="s">
        <v>961</v>
      </c>
      <c r="R2015" t="s">
        <v>1198</v>
      </c>
      <c r="S2015" t="s">
        <v>295</v>
      </c>
      <c r="T2015" t="s">
        <v>301</v>
      </c>
    </row>
    <row r="2016" spans="1:20" x14ac:dyDescent="0.25">
      <c r="A2016">
        <v>9</v>
      </c>
      <c r="B2016">
        <v>181</v>
      </c>
      <c r="C2016" t="str">
        <f t="shared" si="306"/>
        <v>36</v>
      </c>
      <c r="D2016">
        <v>6219</v>
      </c>
      <c r="E2016" t="str">
        <f>"3A"</f>
        <v>3A</v>
      </c>
      <c r="F2016" t="str">
        <f t="shared" si="302"/>
        <v>001</v>
      </c>
      <c r="G2016">
        <v>9</v>
      </c>
      <c r="H2016" t="str">
        <f t="shared" si="307"/>
        <v>91</v>
      </c>
      <c r="I2016" t="str">
        <f t="shared" si="305"/>
        <v>0</v>
      </c>
      <c r="J2016" t="str">
        <f t="shared" si="308"/>
        <v>39</v>
      </c>
      <c r="K2016">
        <v>20190329</v>
      </c>
      <c r="L2016" t="str">
        <f>"076311"</f>
        <v>076311</v>
      </c>
      <c r="M2016" t="str">
        <f>"00402"</f>
        <v>00402</v>
      </c>
      <c r="N2016" t="s">
        <v>1221</v>
      </c>
      <c r="O2016">
        <v>85</v>
      </c>
      <c r="P2016">
        <v>20190328</v>
      </c>
      <c r="Q2016" t="s">
        <v>1088</v>
      </c>
      <c r="R2016" t="s">
        <v>1202</v>
      </c>
      <c r="S2016" t="s">
        <v>295</v>
      </c>
      <c r="T2016" t="s">
        <v>301</v>
      </c>
    </row>
    <row r="2017" spans="1:20" x14ac:dyDescent="0.25">
      <c r="A2017">
        <v>9</v>
      </c>
      <c r="B2017">
        <v>181</v>
      </c>
      <c r="C2017" t="str">
        <f t="shared" si="306"/>
        <v>36</v>
      </c>
      <c r="D2017">
        <v>6219</v>
      </c>
      <c r="E2017" t="str">
        <f>"3N"</f>
        <v>3N</v>
      </c>
      <c r="F2017" t="str">
        <f t="shared" si="302"/>
        <v>001</v>
      </c>
      <c r="G2017">
        <v>9</v>
      </c>
      <c r="H2017" t="str">
        <f t="shared" si="307"/>
        <v>91</v>
      </c>
      <c r="I2017" t="str">
        <f t="shared" si="305"/>
        <v>0</v>
      </c>
      <c r="J2017" t="str">
        <f t="shared" si="308"/>
        <v>39</v>
      </c>
      <c r="K2017">
        <v>20190329</v>
      </c>
      <c r="L2017" t="str">
        <f>"076314"</f>
        <v>076314</v>
      </c>
      <c r="M2017" t="str">
        <f>"00780"</f>
        <v>00780</v>
      </c>
      <c r="N2017" t="s">
        <v>1222</v>
      </c>
      <c r="O2017">
        <v>115</v>
      </c>
      <c r="P2017">
        <v>20190328</v>
      </c>
      <c r="Q2017" t="s">
        <v>942</v>
      </c>
      <c r="R2017" t="s">
        <v>1200</v>
      </c>
      <c r="S2017" t="s">
        <v>295</v>
      </c>
      <c r="T2017" t="s">
        <v>301</v>
      </c>
    </row>
    <row r="2018" spans="1:20" x14ac:dyDescent="0.25">
      <c r="A2018">
        <v>9</v>
      </c>
      <c r="B2018">
        <v>181</v>
      </c>
      <c r="C2018" t="str">
        <f t="shared" si="306"/>
        <v>36</v>
      </c>
      <c r="D2018">
        <v>6399</v>
      </c>
      <c r="E2018" t="str">
        <f>"38"</f>
        <v>38</v>
      </c>
      <c r="F2018" t="str">
        <f t="shared" si="302"/>
        <v>001</v>
      </c>
      <c r="G2018">
        <v>9</v>
      </c>
      <c r="H2018" t="str">
        <f t="shared" si="307"/>
        <v>91</v>
      </c>
      <c r="I2018" t="str">
        <f t="shared" si="305"/>
        <v>0</v>
      </c>
      <c r="J2018" t="str">
        <f t="shared" si="308"/>
        <v>39</v>
      </c>
      <c r="K2018">
        <v>20190405</v>
      </c>
      <c r="L2018" t="str">
        <f>"076318"</f>
        <v>076318</v>
      </c>
      <c r="M2018" t="str">
        <f>"03450"</f>
        <v>03450</v>
      </c>
      <c r="N2018" t="s">
        <v>549</v>
      </c>
      <c r="O2018">
        <v>394.9</v>
      </c>
      <c r="P2018">
        <v>20190404</v>
      </c>
      <c r="Q2018" t="s">
        <v>462</v>
      </c>
      <c r="R2018" t="s">
        <v>550</v>
      </c>
      <c r="S2018" t="s">
        <v>295</v>
      </c>
      <c r="T2018" t="s">
        <v>301</v>
      </c>
    </row>
    <row r="2019" spans="1:20" x14ac:dyDescent="0.25">
      <c r="A2019">
        <v>9</v>
      </c>
      <c r="B2019">
        <v>181</v>
      </c>
      <c r="C2019" t="str">
        <f t="shared" si="306"/>
        <v>36</v>
      </c>
      <c r="D2019">
        <v>6399</v>
      </c>
      <c r="E2019" t="str">
        <f>"38"</f>
        <v>38</v>
      </c>
      <c r="F2019" t="str">
        <f t="shared" si="302"/>
        <v>001</v>
      </c>
      <c r="G2019">
        <v>9</v>
      </c>
      <c r="H2019" t="str">
        <f t="shared" si="307"/>
        <v>91</v>
      </c>
      <c r="I2019" t="str">
        <f t="shared" si="305"/>
        <v>0</v>
      </c>
      <c r="J2019" t="str">
        <f t="shared" si="308"/>
        <v>39</v>
      </c>
      <c r="K2019">
        <v>20190405</v>
      </c>
      <c r="L2019" t="str">
        <f>"076318"</f>
        <v>076318</v>
      </c>
      <c r="M2019" t="str">
        <f>"03450"</f>
        <v>03450</v>
      </c>
      <c r="N2019" t="s">
        <v>549</v>
      </c>
      <c r="O2019">
        <v>229</v>
      </c>
      <c r="P2019">
        <v>20190404</v>
      </c>
      <c r="Q2019" t="s">
        <v>462</v>
      </c>
      <c r="R2019" t="s">
        <v>1223</v>
      </c>
      <c r="S2019" t="s">
        <v>295</v>
      </c>
      <c r="T2019" t="s">
        <v>301</v>
      </c>
    </row>
    <row r="2020" spans="1:20" x14ac:dyDescent="0.25">
      <c r="A2020">
        <v>9</v>
      </c>
      <c r="B2020">
        <v>181</v>
      </c>
      <c r="C2020" t="str">
        <f t="shared" si="306"/>
        <v>36</v>
      </c>
      <c r="D2020">
        <v>6399</v>
      </c>
      <c r="E2020" t="str">
        <f>"30"</f>
        <v>30</v>
      </c>
      <c r="F2020" t="str">
        <f t="shared" si="302"/>
        <v>001</v>
      </c>
      <c r="G2020">
        <v>9</v>
      </c>
      <c r="H2020" t="str">
        <f t="shared" si="307"/>
        <v>91</v>
      </c>
      <c r="I2020" t="str">
        <f t="shared" si="305"/>
        <v>0</v>
      </c>
      <c r="J2020" t="str">
        <f t="shared" si="308"/>
        <v>39</v>
      </c>
      <c r="K2020">
        <v>20190405</v>
      </c>
      <c r="L2020" t="str">
        <f>"076333"</f>
        <v>076333</v>
      </c>
      <c r="M2020" t="str">
        <f>"14821"</f>
        <v>14821</v>
      </c>
      <c r="N2020" t="s">
        <v>1224</v>
      </c>
      <c r="O2020">
        <v>187.98</v>
      </c>
      <c r="P2020">
        <v>20190404</v>
      </c>
      <c r="Q2020" t="s">
        <v>640</v>
      </c>
      <c r="R2020" t="s">
        <v>1225</v>
      </c>
      <c r="S2020" t="s">
        <v>295</v>
      </c>
      <c r="T2020" t="s">
        <v>301</v>
      </c>
    </row>
    <row r="2021" spans="1:20" x14ac:dyDescent="0.25">
      <c r="A2021">
        <v>9</v>
      </c>
      <c r="B2021">
        <v>181</v>
      </c>
      <c r="C2021" t="str">
        <f t="shared" si="306"/>
        <v>36</v>
      </c>
      <c r="D2021">
        <v>6412</v>
      </c>
      <c r="E2021" t="str">
        <f>"3S"</f>
        <v>3S</v>
      </c>
      <c r="F2021" t="str">
        <f>"041"</f>
        <v>041</v>
      </c>
      <c r="G2021">
        <v>9</v>
      </c>
      <c r="H2021" t="str">
        <f t="shared" si="307"/>
        <v>91</v>
      </c>
      <c r="I2021" t="str">
        <f>"2"</f>
        <v>2</v>
      </c>
      <c r="J2021" t="str">
        <f>"41"</f>
        <v>41</v>
      </c>
      <c r="K2021">
        <v>20190405</v>
      </c>
      <c r="L2021" t="str">
        <f>"076334"</f>
        <v>076334</v>
      </c>
      <c r="M2021" t="str">
        <f>"22120"</f>
        <v>22120</v>
      </c>
      <c r="N2021" t="s">
        <v>556</v>
      </c>
      <c r="O2021">
        <v>295</v>
      </c>
      <c r="P2021">
        <v>20190404</v>
      </c>
      <c r="Q2021" t="s">
        <v>1059</v>
      </c>
      <c r="R2021" t="s">
        <v>1226</v>
      </c>
      <c r="S2021" t="s">
        <v>295</v>
      </c>
      <c r="T2021" t="s">
        <v>106</v>
      </c>
    </row>
    <row r="2022" spans="1:20" x14ac:dyDescent="0.25">
      <c r="A2022">
        <v>9</v>
      </c>
      <c r="B2022">
        <v>181</v>
      </c>
      <c r="C2022" t="str">
        <f t="shared" si="306"/>
        <v>36</v>
      </c>
      <c r="D2022">
        <v>6412</v>
      </c>
      <c r="E2022" t="str">
        <f>"3P"</f>
        <v>3P</v>
      </c>
      <c r="F2022" t="str">
        <f t="shared" ref="F2022:F2041" si="309">"001"</f>
        <v>001</v>
      </c>
      <c r="G2022">
        <v>9</v>
      </c>
      <c r="H2022" t="str">
        <f t="shared" si="307"/>
        <v>91</v>
      </c>
      <c r="I2022" t="str">
        <f t="shared" ref="I2022:I2028" si="310">"1"</f>
        <v>1</v>
      </c>
      <c r="J2022" t="str">
        <f t="shared" ref="J2022:J2041" si="311">"39"</f>
        <v>39</v>
      </c>
      <c r="K2022">
        <v>20190405</v>
      </c>
      <c r="L2022" t="str">
        <f>"076337"</f>
        <v>076337</v>
      </c>
      <c r="M2022" t="str">
        <f>"00797"</f>
        <v>00797</v>
      </c>
      <c r="N2022" t="s">
        <v>417</v>
      </c>
      <c r="O2022">
        <v>142.86000000000001</v>
      </c>
      <c r="P2022">
        <v>20190404</v>
      </c>
      <c r="Q2022" t="s">
        <v>1046</v>
      </c>
      <c r="R2022" t="s">
        <v>1227</v>
      </c>
      <c r="S2022" t="s">
        <v>295</v>
      </c>
      <c r="T2022" t="s">
        <v>301</v>
      </c>
    </row>
    <row r="2023" spans="1:20" x14ac:dyDescent="0.25">
      <c r="A2023">
        <v>9</v>
      </c>
      <c r="B2023">
        <v>181</v>
      </c>
      <c r="C2023" t="str">
        <f t="shared" si="306"/>
        <v>36</v>
      </c>
      <c r="D2023">
        <v>6412</v>
      </c>
      <c r="E2023" t="str">
        <f>"3A"</f>
        <v>3A</v>
      </c>
      <c r="F2023" t="str">
        <f t="shared" si="309"/>
        <v>001</v>
      </c>
      <c r="G2023">
        <v>9</v>
      </c>
      <c r="H2023" t="str">
        <f t="shared" si="307"/>
        <v>91</v>
      </c>
      <c r="I2023" t="str">
        <f t="shared" si="310"/>
        <v>1</v>
      </c>
      <c r="J2023" t="str">
        <f t="shared" si="311"/>
        <v>39</v>
      </c>
      <c r="K2023">
        <v>20190405</v>
      </c>
      <c r="L2023" t="str">
        <f>"076338"</f>
        <v>076338</v>
      </c>
      <c r="M2023" t="str">
        <f>"20465"</f>
        <v>20465</v>
      </c>
      <c r="N2023" t="s">
        <v>417</v>
      </c>
      <c r="O2023">
        <v>185.91</v>
      </c>
      <c r="P2023">
        <v>20190404</v>
      </c>
      <c r="Q2023" t="s">
        <v>1143</v>
      </c>
      <c r="R2023" t="s">
        <v>1228</v>
      </c>
      <c r="S2023" t="s">
        <v>295</v>
      </c>
      <c r="T2023" t="s">
        <v>301</v>
      </c>
    </row>
    <row r="2024" spans="1:20" x14ac:dyDescent="0.25">
      <c r="A2024">
        <v>9</v>
      </c>
      <c r="B2024">
        <v>181</v>
      </c>
      <c r="C2024" t="str">
        <f t="shared" si="306"/>
        <v>36</v>
      </c>
      <c r="D2024">
        <v>6412</v>
      </c>
      <c r="E2024" t="str">
        <f>"3P"</f>
        <v>3P</v>
      </c>
      <c r="F2024" t="str">
        <f t="shared" si="309"/>
        <v>001</v>
      </c>
      <c r="G2024">
        <v>9</v>
      </c>
      <c r="H2024" t="str">
        <f t="shared" si="307"/>
        <v>91</v>
      </c>
      <c r="I2024" t="str">
        <f t="shared" si="310"/>
        <v>1</v>
      </c>
      <c r="J2024" t="str">
        <f t="shared" si="311"/>
        <v>39</v>
      </c>
      <c r="K2024">
        <v>20190405</v>
      </c>
      <c r="L2024" t="str">
        <f>"076338"</f>
        <v>076338</v>
      </c>
      <c r="M2024" t="str">
        <f>"20465"</f>
        <v>20465</v>
      </c>
      <c r="N2024" t="s">
        <v>417</v>
      </c>
      <c r="O2024">
        <v>240.42</v>
      </c>
      <c r="P2024">
        <v>20190404</v>
      </c>
      <c r="Q2024" t="s">
        <v>1046</v>
      </c>
      <c r="R2024" t="s">
        <v>1229</v>
      </c>
      <c r="S2024" t="s">
        <v>295</v>
      </c>
      <c r="T2024" t="s">
        <v>301</v>
      </c>
    </row>
    <row r="2025" spans="1:20" x14ac:dyDescent="0.25">
      <c r="A2025">
        <v>9</v>
      </c>
      <c r="B2025">
        <v>181</v>
      </c>
      <c r="C2025" t="str">
        <f t="shared" si="306"/>
        <v>36</v>
      </c>
      <c r="D2025">
        <v>6412</v>
      </c>
      <c r="E2025" t="str">
        <f>"3U"</f>
        <v>3U</v>
      </c>
      <c r="F2025" t="str">
        <f t="shared" si="309"/>
        <v>001</v>
      </c>
      <c r="G2025">
        <v>9</v>
      </c>
      <c r="H2025" t="str">
        <f t="shared" si="307"/>
        <v>91</v>
      </c>
      <c r="I2025" t="str">
        <f t="shared" si="310"/>
        <v>1</v>
      </c>
      <c r="J2025" t="str">
        <f t="shared" si="311"/>
        <v>39</v>
      </c>
      <c r="K2025">
        <v>20190405</v>
      </c>
      <c r="L2025" t="str">
        <f>"076339"</f>
        <v>076339</v>
      </c>
      <c r="M2025" t="str">
        <f>"20463"</f>
        <v>20463</v>
      </c>
      <c r="N2025" t="s">
        <v>509</v>
      </c>
      <c r="O2025">
        <v>160.69999999999999</v>
      </c>
      <c r="P2025">
        <v>20190404</v>
      </c>
      <c r="Q2025" t="s">
        <v>1091</v>
      </c>
      <c r="R2025" t="s">
        <v>1230</v>
      </c>
      <c r="S2025" t="s">
        <v>295</v>
      </c>
      <c r="T2025" t="s">
        <v>301</v>
      </c>
    </row>
    <row r="2026" spans="1:20" x14ac:dyDescent="0.25">
      <c r="A2026">
        <v>9</v>
      </c>
      <c r="B2026">
        <v>181</v>
      </c>
      <c r="C2026" t="str">
        <f t="shared" si="306"/>
        <v>36</v>
      </c>
      <c r="D2026">
        <v>6412</v>
      </c>
      <c r="E2026" t="str">
        <f>"3A"</f>
        <v>3A</v>
      </c>
      <c r="F2026" t="str">
        <f t="shared" si="309"/>
        <v>001</v>
      </c>
      <c r="G2026">
        <v>9</v>
      </c>
      <c r="H2026" t="str">
        <f t="shared" si="307"/>
        <v>91</v>
      </c>
      <c r="I2026" t="str">
        <f t="shared" si="310"/>
        <v>1</v>
      </c>
      <c r="J2026" t="str">
        <f t="shared" si="311"/>
        <v>39</v>
      </c>
      <c r="K2026">
        <v>20190405</v>
      </c>
      <c r="L2026" t="str">
        <f>"076348"</f>
        <v>076348</v>
      </c>
      <c r="M2026" t="str">
        <f>"00795"</f>
        <v>00795</v>
      </c>
      <c r="N2026" t="s">
        <v>1231</v>
      </c>
      <c r="O2026">
        <v>76.91</v>
      </c>
      <c r="P2026">
        <v>20190404</v>
      </c>
      <c r="Q2026" t="s">
        <v>1143</v>
      </c>
      <c r="R2026" t="s">
        <v>1232</v>
      </c>
      <c r="S2026" t="s">
        <v>295</v>
      </c>
      <c r="T2026" t="s">
        <v>301</v>
      </c>
    </row>
    <row r="2027" spans="1:20" x14ac:dyDescent="0.25">
      <c r="A2027">
        <v>9</v>
      </c>
      <c r="B2027">
        <v>181</v>
      </c>
      <c r="C2027" t="str">
        <f t="shared" si="306"/>
        <v>36</v>
      </c>
      <c r="D2027">
        <v>6412</v>
      </c>
      <c r="E2027" t="str">
        <f>"3A"</f>
        <v>3A</v>
      </c>
      <c r="F2027" t="str">
        <f t="shared" si="309"/>
        <v>001</v>
      </c>
      <c r="G2027">
        <v>9</v>
      </c>
      <c r="H2027" t="str">
        <f t="shared" si="307"/>
        <v>91</v>
      </c>
      <c r="I2027" t="str">
        <f t="shared" si="310"/>
        <v>1</v>
      </c>
      <c r="J2027" t="str">
        <f t="shared" si="311"/>
        <v>39</v>
      </c>
      <c r="K2027">
        <v>20190405</v>
      </c>
      <c r="L2027" t="str">
        <f>"076349"</f>
        <v>076349</v>
      </c>
      <c r="M2027" t="str">
        <f>"24344"</f>
        <v>24344</v>
      </c>
      <c r="N2027" t="s">
        <v>1233</v>
      </c>
      <c r="O2027">
        <v>175.85</v>
      </c>
      <c r="P2027">
        <v>20190404</v>
      </c>
      <c r="Q2027" t="s">
        <v>1143</v>
      </c>
      <c r="R2027" t="s">
        <v>1234</v>
      </c>
      <c r="S2027" t="s">
        <v>295</v>
      </c>
      <c r="T2027" t="s">
        <v>301</v>
      </c>
    </row>
    <row r="2028" spans="1:20" x14ac:dyDescent="0.25">
      <c r="A2028">
        <v>9</v>
      </c>
      <c r="B2028">
        <v>181</v>
      </c>
      <c r="C2028" t="str">
        <f t="shared" si="306"/>
        <v>36</v>
      </c>
      <c r="D2028">
        <v>6412</v>
      </c>
      <c r="E2028" t="str">
        <f>"3A"</f>
        <v>3A</v>
      </c>
      <c r="F2028" t="str">
        <f t="shared" si="309"/>
        <v>001</v>
      </c>
      <c r="G2028">
        <v>9</v>
      </c>
      <c r="H2028" t="str">
        <f t="shared" si="307"/>
        <v>91</v>
      </c>
      <c r="I2028" t="str">
        <f t="shared" si="310"/>
        <v>1</v>
      </c>
      <c r="J2028" t="str">
        <f t="shared" si="311"/>
        <v>39</v>
      </c>
      <c r="K2028">
        <v>20190405</v>
      </c>
      <c r="L2028" t="str">
        <f>"076349"</f>
        <v>076349</v>
      </c>
      <c r="M2028" t="str">
        <f>"24344"</f>
        <v>24344</v>
      </c>
      <c r="N2028" t="s">
        <v>1233</v>
      </c>
      <c r="O2028">
        <v>147.16999999999999</v>
      </c>
      <c r="P2028">
        <v>20190404</v>
      </c>
      <c r="Q2028" t="s">
        <v>1143</v>
      </c>
      <c r="R2028" t="s">
        <v>1235</v>
      </c>
      <c r="S2028" t="s">
        <v>295</v>
      </c>
      <c r="T2028" t="s">
        <v>301</v>
      </c>
    </row>
    <row r="2029" spans="1:20" x14ac:dyDescent="0.25">
      <c r="A2029">
        <v>9</v>
      </c>
      <c r="B2029">
        <v>181</v>
      </c>
      <c r="C2029" t="str">
        <f t="shared" si="306"/>
        <v>36</v>
      </c>
      <c r="D2029">
        <v>6411</v>
      </c>
      <c r="E2029" t="str">
        <f>"30"</f>
        <v>30</v>
      </c>
      <c r="F2029" t="str">
        <f t="shared" si="309"/>
        <v>001</v>
      </c>
      <c r="G2029">
        <v>9</v>
      </c>
      <c r="H2029" t="str">
        <f t="shared" si="307"/>
        <v>91</v>
      </c>
      <c r="I2029" t="str">
        <f t="shared" ref="I2029:I2036" si="312">"0"</f>
        <v>0</v>
      </c>
      <c r="J2029" t="str">
        <f t="shared" si="311"/>
        <v>39</v>
      </c>
      <c r="K2029">
        <v>20190405</v>
      </c>
      <c r="L2029" t="str">
        <f>"076377"</f>
        <v>076377</v>
      </c>
      <c r="M2029" t="str">
        <f>"52196"</f>
        <v>52196</v>
      </c>
      <c r="N2029" t="s">
        <v>292</v>
      </c>
      <c r="O2029">
        <v>104</v>
      </c>
      <c r="P2029">
        <v>20190404</v>
      </c>
      <c r="Q2029" t="s">
        <v>790</v>
      </c>
      <c r="R2029" t="s">
        <v>1236</v>
      </c>
      <c r="S2029" t="s">
        <v>295</v>
      </c>
      <c r="T2029" t="s">
        <v>301</v>
      </c>
    </row>
    <row r="2030" spans="1:20" x14ac:dyDescent="0.25">
      <c r="A2030">
        <v>9</v>
      </c>
      <c r="B2030">
        <v>181</v>
      </c>
      <c r="C2030" t="str">
        <f t="shared" si="306"/>
        <v>36</v>
      </c>
      <c r="D2030">
        <v>6319</v>
      </c>
      <c r="E2030" t="str">
        <f>"30"</f>
        <v>30</v>
      </c>
      <c r="F2030" t="str">
        <f t="shared" si="309"/>
        <v>001</v>
      </c>
      <c r="G2030">
        <v>9</v>
      </c>
      <c r="H2030" t="str">
        <f t="shared" si="307"/>
        <v>91</v>
      </c>
      <c r="I2030" t="str">
        <f t="shared" si="312"/>
        <v>0</v>
      </c>
      <c r="J2030" t="str">
        <f t="shared" si="311"/>
        <v>39</v>
      </c>
      <c r="K2030">
        <v>20190405</v>
      </c>
      <c r="L2030" t="str">
        <f t="shared" ref="L2030:L2036" si="313">"076388"</f>
        <v>076388</v>
      </c>
      <c r="M2030" t="str">
        <f t="shared" ref="M2030:M2036" si="314">"58207"</f>
        <v>58207</v>
      </c>
      <c r="N2030" t="s">
        <v>292</v>
      </c>
      <c r="O2030">
        <v>79.91</v>
      </c>
      <c r="P2030">
        <v>20190404</v>
      </c>
      <c r="Q2030" t="s">
        <v>501</v>
      </c>
      <c r="R2030" t="s">
        <v>1237</v>
      </c>
      <c r="S2030" t="s">
        <v>295</v>
      </c>
      <c r="T2030" t="s">
        <v>301</v>
      </c>
    </row>
    <row r="2031" spans="1:20" x14ac:dyDescent="0.25">
      <c r="A2031">
        <v>9</v>
      </c>
      <c r="B2031">
        <v>181</v>
      </c>
      <c r="C2031" t="str">
        <f t="shared" si="306"/>
        <v>36</v>
      </c>
      <c r="D2031">
        <v>6399</v>
      </c>
      <c r="E2031" t="str">
        <f>"30"</f>
        <v>30</v>
      </c>
      <c r="F2031" t="str">
        <f t="shared" si="309"/>
        <v>001</v>
      </c>
      <c r="G2031">
        <v>9</v>
      </c>
      <c r="H2031" t="str">
        <f t="shared" si="307"/>
        <v>91</v>
      </c>
      <c r="I2031" t="str">
        <f t="shared" si="312"/>
        <v>0</v>
      </c>
      <c r="J2031" t="str">
        <f t="shared" si="311"/>
        <v>39</v>
      </c>
      <c r="K2031">
        <v>20190405</v>
      </c>
      <c r="L2031" t="str">
        <f t="shared" si="313"/>
        <v>076388</v>
      </c>
      <c r="M2031" t="str">
        <f t="shared" si="314"/>
        <v>58207</v>
      </c>
      <c r="N2031" t="s">
        <v>292</v>
      </c>
      <c r="O2031">
        <v>17.489999999999998</v>
      </c>
      <c r="P2031">
        <v>20190404</v>
      </c>
      <c r="Q2031" t="s">
        <v>640</v>
      </c>
      <c r="R2031" t="s">
        <v>1238</v>
      </c>
      <c r="S2031" t="s">
        <v>295</v>
      </c>
      <c r="T2031" t="s">
        <v>301</v>
      </c>
    </row>
    <row r="2032" spans="1:20" x14ac:dyDescent="0.25">
      <c r="A2032">
        <v>9</v>
      </c>
      <c r="B2032">
        <v>181</v>
      </c>
      <c r="C2032" t="str">
        <f t="shared" si="306"/>
        <v>36</v>
      </c>
      <c r="D2032">
        <v>6399</v>
      </c>
      <c r="E2032" t="str">
        <f>"3D"</f>
        <v>3D</v>
      </c>
      <c r="F2032" t="str">
        <f t="shared" si="309"/>
        <v>001</v>
      </c>
      <c r="G2032">
        <v>9</v>
      </c>
      <c r="H2032" t="str">
        <f t="shared" si="307"/>
        <v>91</v>
      </c>
      <c r="I2032" t="str">
        <f t="shared" si="312"/>
        <v>0</v>
      </c>
      <c r="J2032" t="str">
        <f t="shared" si="311"/>
        <v>39</v>
      </c>
      <c r="K2032">
        <v>20190405</v>
      </c>
      <c r="L2032" t="str">
        <f t="shared" si="313"/>
        <v>076388</v>
      </c>
      <c r="M2032" t="str">
        <f t="shared" si="314"/>
        <v>58207</v>
      </c>
      <c r="N2032" t="s">
        <v>292</v>
      </c>
      <c r="O2032">
        <v>53.73</v>
      </c>
      <c r="P2032">
        <v>20190404</v>
      </c>
      <c r="Q2032" t="s">
        <v>818</v>
      </c>
      <c r="R2032" t="s">
        <v>1239</v>
      </c>
      <c r="S2032" t="s">
        <v>295</v>
      </c>
      <c r="T2032" t="s">
        <v>301</v>
      </c>
    </row>
    <row r="2033" spans="1:20" x14ac:dyDescent="0.25">
      <c r="A2033">
        <v>9</v>
      </c>
      <c r="B2033">
        <v>181</v>
      </c>
      <c r="C2033" t="str">
        <f t="shared" si="306"/>
        <v>36</v>
      </c>
      <c r="D2033">
        <v>6399</v>
      </c>
      <c r="E2033" t="str">
        <f>"3D"</f>
        <v>3D</v>
      </c>
      <c r="F2033" t="str">
        <f t="shared" si="309"/>
        <v>001</v>
      </c>
      <c r="G2033">
        <v>9</v>
      </c>
      <c r="H2033" t="str">
        <f t="shared" si="307"/>
        <v>91</v>
      </c>
      <c r="I2033" t="str">
        <f t="shared" si="312"/>
        <v>0</v>
      </c>
      <c r="J2033" t="str">
        <f t="shared" si="311"/>
        <v>39</v>
      </c>
      <c r="K2033">
        <v>20190405</v>
      </c>
      <c r="L2033" t="str">
        <f t="shared" si="313"/>
        <v>076388</v>
      </c>
      <c r="M2033" t="str">
        <f t="shared" si="314"/>
        <v>58207</v>
      </c>
      <c r="N2033" t="s">
        <v>292</v>
      </c>
      <c r="O2033">
        <v>27.92</v>
      </c>
      <c r="P2033">
        <v>20190404</v>
      </c>
      <c r="Q2033" t="s">
        <v>818</v>
      </c>
      <c r="R2033" t="s">
        <v>1004</v>
      </c>
      <c r="S2033" t="s">
        <v>295</v>
      </c>
      <c r="T2033" t="s">
        <v>301</v>
      </c>
    </row>
    <row r="2034" spans="1:20" x14ac:dyDescent="0.25">
      <c r="A2034">
        <v>9</v>
      </c>
      <c r="B2034">
        <v>181</v>
      </c>
      <c r="C2034" t="str">
        <f t="shared" si="306"/>
        <v>36</v>
      </c>
      <c r="D2034">
        <v>6399</v>
      </c>
      <c r="E2034" t="str">
        <f>"3F"</f>
        <v>3F</v>
      </c>
      <c r="F2034" t="str">
        <f t="shared" si="309"/>
        <v>001</v>
      </c>
      <c r="G2034">
        <v>9</v>
      </c>
      <c r="H2034" t="str">
        <f t="shared" si="307"/>
        <v>91</v>
      </c>
      <c r="I2034" t="str">
        <f t="shared" si="312"/>
        <v>0</v>
      </c>
      <c r="J2034" t="str">
        <f t="shared" si="311"/>
        <v>39</v>
      </c>
      <c r="K2034">
        <v>20190405</v>
      </c>
      <c r="L2034" t="str">
        <f t="shared" si="313"/>
        <v>076388</v>
      </c>
      <c r="M2034" t="str">
        <f t="shared" si="314"/>
        <v>58207</v>
      </c>
      <c r="N2034" t="s">
        <v>292</v>
      </c>
      <c r="O2034">
        <v>13.79</v>
      </c>
      <c r="P2034">
        <v>20190404</v>
      </c>
      <c r="Q2034" t="s">
        <v>466</v>
      </c>
      <c r="R2034" t="s">
        <v>1240</v>
      </c>
      <c r="S2034" t="s">
        <v>295</v>
      </c>
      <c r="T2034" t="s">
        <v>301</v>
      </c>
    </row>
    <row r="2035" spans="1:20" x14ac:dyDescent="0.25">
      <c r="A2035">
        <v>9</v>
      </c>
      <c r="B2035">
        <v>181</v>
      </c>
      <c r="C2035" t="str">
        <f t="shared" si="306"/>
        <v>36</v>
      </c>
      <c r="D2035">
        <v>6399</v>
      </c>
      <c r="E2035" t="str">
        <f>"3M"</f>
        <v>3M</v>
      </c>
      <c r="F2035" t="str">
        <f t="shared" si="309"/>
        <v>001</v>
      </c>
      <c r="G2035">
        <v>9</v>
      </c>
      <c r="H2035" t="str">
        <f t="shared" si="307"/>
        <v>91</v>
      </c>
      <c r="I2035" t="str">
        <f t="shared" si="312"/>
        <v>0</v>
      </c>
      <c r="J2035" t="str">
        <f t="shared" si="311"/>
        <v>39</v>
      </c>
      <c r="K2035">
        <v>20190405</v>
      </c>
      <c r="L2035" t="str">
        <f t="shared" si="313"/>
        <v>076388</v>
      </c>
      <c r="M2035" t="str">
        <f t="shared" si="314"/>
        <v>58207</v>
      </c>
      <c r="N2035" t="s">
        <v>292</v>
      </c>
      <c r="O2035">
        <v>24.25</v>
      </c>
      <c r="P2035">
        <v>20190404</v>
      </c>
      <c r="Q2035" t="s">
        <v>689</v>
      </c>
      <c r="R2035" t="s">
        <v>1241</v>
      </c>
      <c r="S2035" t="s">
        <v>295</v>
      </c>
      <c r="T2035" t="s">
        <v>301</v>
      </c>
    </row>
    <row r="2036" spans="1:20" x14ac:dyDescent="0.25">
      <c r="A2036">
        <v>9</v>
      </c>
      <c r="B2036">
        <v>181</v>
      </c>
      <c r="C2036" t="str">
        <f t="shared" si="306"/>
        <v>36</v>
      </c>
      <c r="D2036">
        <v>6399</v>
      </c>
      <c r="E2036" t="str">
        <f>"3N"</f>
        <v>3N</v>
      </c>
      <c r="F2036" t="str">
        <f t="shared" si="309"/>
        <v>001</v>
      </c>
      <c r="G2036">
        <v>9</v>
      </c>
      <c r="H2036" t="str">
        <f t="shared" si="307"/>
        <v>91</v>
      </c>
      <c r="I2036" t="str">
        <f t="shared" si="312"/>
        <v>0</v>
      </c>
      <c r="J2036" t="str">
        <f t="shared" si="311"/>
        <v>39</v>
      </c>
      <c r="K2036">
        <v>20190405</v>
      </c>
      <c r="L2036" t="str">
        <f t="shared" si="313"/>
        <v>076388</v>
      </c>
      <c r="M2036" t="str">
        <f t="shared" si="314"/>
        <v>58207</v>
      </c>
      <c r="N2036" t="s">
        <v>292</v>
      </c>
      <c r="O2036">
        <v>9.8800000000000008</v>
      </c>
      <c r="P2036">
        <v>20190404</v>
      </c>
      <c r="Q2036" t="s">
        <v>880</v>
      </c>
      <c r="R2036" t="s">
        <v>1242</v>
      </c>
      <c r="S2036" t="s">
        <v>295</v>
      </c>
      <c r="T2036" t="s">
        <v>301</v>
      </c>
    </row>
    <row r="2037" spans="1:20" x14ac:dyDescent="0.25">
      <c r="A2037">
        <v>9</v>
      </c>
      <c r="B2037">
        <v>181</v>
      </c>
      <c r="C2037" t="str">
        <f t="shared" si="306"/>
        <v>36</v>
      </c>
      <c r="D2037">
        <v>6412</v>
      </c>
      <c r="E2037" t="str">
        <f>"3A"</f>
        <v>3A</v>
      </c>
      <c r="F2037" t="str">
        <f t="shared" si="309"/>
        <v>001</v>
      </c>
      <c r="G2037">
        <v>9</v>
      </c>
      <c r="H2037" t="str">
        <f t="shared" si="307"/>
        <v>91</v>
      </c>
      <c r="I2037" t="str">
        <f t="shared" ref="I2037:I2047" si="315">"1"</f>
        <v>1</v>
      </c>
      <c r="J2037" t="str">
        <f t="shared" si="311"/>
        <v>39</v>
      </c>
      <c r="K2037">
        <v>20190405</v>
      </c>
      <c r="L2037" t="str">
        <f t="shared" ref="L2037:L2047" si="316">"076409"</f>
        <v>076409</v>
      </c>
      <c r="M2037" t="str">
        <f t="shared" ref="M2037:M2047" si="317">"84370"</f>
        <v>84370</v>
      </c>
      <c r="N2037" t="s">
        <v>395</v>
      </c>
      <c r="O2037">
        <v>125.16</v>
      </c>
      <c r="P2037">
        <v>20190405</v>
      </c>
      <c r="Q2037" t="s">
        <v>1143</v>
      </c>
      <c r="R2037" t="s">
        <v>1243</v>
      </c>
      <c r="S2037" t="s">
        <v>295</v>
      </c>
      <c r="T2037" t="s">
        <v>301</v>
      </c>
    </row>
    <row r="2038" spans="1:20" x14ac:dyDescent="0.25">
      <c r="A2038">
        <v>9</v>
      </c>
      <c r="B2038">
        <v>181</v>
      </c>
      <c r="C2038" t="str">
        <f t="shared" si="306"/>
        <v>36</v>
      </c>
      <c r="D2038">
        <v>6412</v>
      </c>
      <c r="E2038" t="str">
        <f>"3A"</f>
        <v>3A</v>
      </c>
      <c r="F2038" t="str">
        <f t="shared" si="309"/>
        <v>001</v>
      </c>
      <c r="G2038">
        <v>9</v>
      </c>
      <c r="H2038" t="str">
        <f t="shared" si="307"/>
        <v>91</v>
      </c>
      <c r="I2038" t="str">
        <f t="shared" si="315"/>
        <v>1</v>
      </c>
      <c r="J2038" t="str">
        <f t="shared" si="311"/>
        <v>39</v>
      </c>
      <c r="K2038">
        <v>20190405</v>
      </c>
      <c r="L2038" t="str">
        <f t="shared" si="316"/>
        <v>076409</v>
      </c>
      <c r="M2038" t="str">
        <f t="shared" si="317"/>
        <v>84370</v>
      </c>
      <c r="N2038" t="s">
        <v>395</v>
      </c>
      <c r="O2038">
        <v>105.94</v>
      </c>
      <c r="P2038">
        <v>20190405</v>
      </c>
      <c r="Q2038" t="s">
        <v>1143</v>
      </c>
      <c r="R2038" t="s">
        <v>1244</v>
      </c>
      <c r="S2038" t="s">
        <v>295</v>
      </c>
      <c r="T2038" t="s">
        <v>301</v>
      </c>
    </row>
    <row r="2039" spans="1:20" x14ac:dyDescent="0.25">
      <c r="A2039">
        <v>9</v>
      </c>
      <c r="B2039">
        <v>181</v>
      </c>
      <c r="C2039" t="str">
        <f t="shared" si="306"/>
        <v>36</v>
      </c>
      <c r="D2039">
        <v>6412</v>
      </c>
      <c r="E2039" t="str">
        <f>"3A"</f>
        <v>3A</v>
      </c>
      <c r="F2039" t="str">
        <f t="shared" si="309"/>
        <v>001</v>
      </c>
      <c r="G2039">
        <v>9</v>
      </c>
      <c r="H2039" t="str">
        <f t="shared" si="307"/>
        <v>91</v>
      </c>
      <c r="I2039" t="str">
        <f t="shared" si="315"/>
        <v>1</v>
      </c>
      <c r="J2039" t="str">
        <f t="shared" si="311"/>
        <v>39</v>
      </c>
      <c r="K2039">
        <v>20190405</v>
      </c>
      <c r="L2039" t="str">
        <f t="shared" si="316"/>
        <v>076409</v>
      </c>
      <c r="M2039" t="str">
        <f t="shared" si="317"/>
        <v>84370</v>
      </c>
      <c r="N2039" t="s">
        <v>395</v>
      </c>
      <c r="O2039">
        <v>83.84</v>
      </c>
      <c r="P2039">
        <v>20190405</v>
      </c>
      <c r="Q2039" t="s">
        <v>1143</v>
      </c>
      <c r="R2039" t="s">
        <v>1245</v>
      </c>
      <c r="S2039" t="s">
        <v>295</v>
      </c>
      <c r="T2039" t="s">
        <v>301</v>
      </c>
    </row>
    <row r="2040" spans="1:20" x14ac:dyDescent="0.25">
      <c r="A2040">
        <v>9</v>
      </c>
      <c r="B2040">
        <v>181</v>
      </c>
      <c r="C2040" t="str">
        <f t="shared" si="306"/>
        <v>36</v>
      </c>
      <c r="D2040">
        <v>6412</v>
      </c>
      <c r="E2040" t="str">
        <f>"3A"</f>
        <v>3A</v>
      </c>
      <c r="F2040" t="str">
        <f t="shared" si="309"/>
        <v>001</v>
      </c>
      <c r="G2040">
        <v>9</v>
      </c>
      <c r="H2040" t="str">
        <f t="shared" si="307"/>
        <v>91</v>
      </c>
      <c r="I2040" t="str">
        <f t="shared" si="315"/>
        <v>1</v>
      </c>
      <c r="J2040" t="str">
        <f t="shared" si="311"/>
        <v>39</v>
      </c>
      <c r="K2040">
        <v>20190405</v>
      </c>
      <c r="L2040" t="str">
        <f t="shared" si="316"/>
        <v>076409</v>
      </c>
      <c r="M2040" t="str">
        <f t="shared" si="317"/>
        <v>84370</v>
      </c>
      <c r="N2040" t="s">
        <v>395</v>
      </c>
      <c r="O2040">
        <v>119.27</v>
      </c>
      <c r="P2040">
        <v>20190405</v>
      </c>
      <c r="Q2040" t="s">
        <v>1143</v>
      </c>
      <c r="R2040" t="s">
        <v>1246</v>
      </c>
      <c r="S2040" t="s">
        <v>295</v>
      </c>
      <c r="T2040" t="s">
        <v>301</v>
      </c>
    </row>
    <row r="2041" spans="1:20" x14ac:dyDescent="0.25">
      <c r="A2041">
        <v>9</v>
      </c>
      <c r="B2041">
        <v>181</v>
      </c>
      <c r="C2041" t="str">
        <f t="shared" si="306"/>
        <v>36</v>
      </c>
      <c r="D2041">
        <v>6412</v>
      </c>
      <c r="E2041" t="str">
        <f>"3J"</f>
        <v>3J</v>
      </c>
      <c r="F2041" t="str">
        <f t="shared" si="309"/>
        <v>001</v>
      </c>
      <c r="G2041">
        <v>9</v>
      </c>
      <c r="H2041" t="str">
        <f t="shared" si="307"/>
        <v>91</v>
      </c>
      <c r="I2041" t="str">
        <f t="shared" si="315"/>
        <v>1</v>
      </c>
      <c r="J2041" t="str">
        <f t="shared" si="311"/>
        <v>39</v>
      </c>
      <c r="K2041">
        <v>20190405</v>
      </c>
      <c r="L2041" t="str">
        <f t="shared" si="316"/>
        <v>076409</v>
      </c>
      <c r="M2041" t="str">
        <f t="shared" si="317"/>
        <v>84370</v>
      </c>
      <c r="N2041" t="s">
        <v>395</v>
      </c>
      <c r="O2041">
        <v>183.47</v>
      </c>
      <c r="P2041">
        <v>20190405</v>
      </c>
      <c r="Q2041" t="s">
        <v>1182</v>
      </c>
      <c r="R2041" t="s">
        <v>1012</v>
      </c>
      <c r="S2041" t="s">
        <v>295</v>
      </c>
      <c r="T2041" t="s">
        <v>301</v>
      </c>
    </row>
    <row r="2042" spans="1:20" x14ac:dyDescent="0.25">
      <c r="A2042">
        <v>9</v>
      </c>
      <c r="B2042">
        <v>181</v>
      </c>
      <c r="C2042" t="str">
        <f t="shared" si="306"/>
        <v>36</v>
      </c>
      <c r="D2042">
        <v>6412</v>
      </c>
      <c r="E2042" t="str">
        <f>"3J"</f>
        <v>3J</v>
      </c>
      <c r="F2042" t="str">
        <f>"041"</f>
        <v>041</v>
      </c>
      <c r="G2042">
        <v>9</v>
      </c>
      <c r="H2042" t="str">
        <f t="shared" si="307"/>
        <v>91</v>
      </c>
      <c r="I2042" t="str">
        <f t="shared" si="315"/>
        <v>1</v>
      </c>
      <c r="J2042" t="str">
        <f>"41"</f>
        <v>41</v>
      </c>
      <c r="K2042">
        <v>20190405</v>
      </c>
      <c r="L2042" t="str">
        <f t="shared" si="316"/>
        <v>076409</v>
      </c>
      <c r="M2042" t="str">
        <f t="shared" si="317"/>
        <v>84370</v>
      </c>
      <c r="N2042" t="s">
        <v>395</v>
      </c>
      <c r="O2042">
        <v>224.55</v>
      </c>
      <c r="P2042">
        <v>20190405</v>
      </c>
      <c r="Q2042" t="s">
        <v>1247</v>
      </c>
      <c r="R2042" t="s">
        <v>1248</v>
      </c>
      <c r="S2042" t="s">
        <v>295</v>
      </c>
      <c r="T2042" t="s">
        <v>106</v>
      </c>
    </row>
    <row r="2043" spans="1:20" x14ac:dyDescent="0.25">
      <c r="A2043">
        <v>9</v>
      </c>
      <c r="B2043">
        <v>181</v>
      </c>
      <c r="C2043" t="str">
        <f t="shared" si="306"/>
        <v>36</v>
      </c>
      <c r="D2043">
        <v>6412</v>
      </c>
      <c r="E2043" t="str">
        <f>"3K"</f>
        <v>3K</v>
      </c>
      <c r="F2043" t="str">
        <f>"001"</f>
        <v>001</v>
      </c>
      <c r="G2043">
        <v>9</v>
      </c>
      <c r="H2043" t="str">
        <f t="shared" si="307"/>
        <v>91</v>
      </c>
      <c r="I2043" t="str">
        <f t="shared" si="315"/>
        <v>1</v>
      </c>
      <c r="J2043" t="str">
        <f>"39"</f>
        <v>39</v>
      </c>
      <c r="K2043">
        <v>20190405</v>
      </c>
      <c r="L2043" t="str">
        <f t="shared" si="316"/>
        <v>076409</v>
      </c>
      <c r="M2043" t="str">
        <f t="shared" si="317"/>
        <v>84370</v>
      </c>
      <c r="N2043" t="s">
        <v>395</v>
      </c>
      <c r="O2043">
        <v>136.09</v>
      </c>
      <c r="P2043">
        <v>20190405</v>
      </c>
      <c r="Q2043" t="s">
        <v>898</v>
      </c>
      <c r="R2043" t="s">
        <v>1249</v>
      </c>
      <c r="S2043" t="s">
        <v>295</v>
      </c>
      <c r="T2043" t="s">
        <v>301</v>
      </c>
    </row>
    <row r="2044" spans="1:20" x14ac:dyDescent="0.25">
      <c r="A2044">
        <v>9</v>
      </c>
      <c r="B2044">
        <v>181</v>
      </c>
      <c r="C2044" t="str">
        <f t="shared" si="306"/>
        <v>36</v>
      </c>
      <c r="D2044">
        <v>6412</v>
      </c>
      <c r="E2044" t="str">
        <f>"3U"</f>
        <v>3U</v>
      </c>
      <c r="F2044" t="str">
        <f>"001"</f>
        <v>001</v>
      </c>
      <c r="G2044">
        <v>9</v>
      </c>
      <c r="H2044" t="str">
        <f t="shared" si="307"/>
        <v>91</v>
      </c>
      <c r="I2044" t="str">
        <f t="shared" si="315"/>
        <v>1</v>
      </c>
      <c r="J2044" t="str">
        <f>"39"</f>
        <v>39</v>
      </c>
      <c r="K2044">
        <v>20190405</v>
      </c>
      <c r="L2044" t="str">
        <f t="shared" si="316"/>
        <v>076409</v>
      </c>
      <c r="M2044" t="str">
        <f t="shared" si="317"/>
        <v>84370</v>
      </c>
      <c r="N2044" t="s">
        <v>395</v>
      </c>
      <c r="O2044">
        <v>120.27</v>
      </c>
      <c r="P2044">
        <v>20190405</v>
      </c>
      <c r="Q2044" t="s">
        <v>1091</v>
      </c>
      <c r="R2044" t="s">
        <v>1230</v>
      </c>
      <c r="S2044" t="s">
        <v>295</v>
      </c>
      <c r="T2044" t="s">
        <v>301</v>
      </c>
    </row>
    <row r="2045" spans="1:20" x14ac:dyDescent="0.25">
      <c r="A2045">
        <v>9</v>
      </c>
      <c r="B2045">
        <v>181</v>
      </c>
      <c r="C2045" t="str">
        <f t="shared" si="306"/>
        <v>36</v>
      </c>
      <c r="D2045">
        <v>6412</v>
      </c>
      <c r="E2045" t="str">
        <f>"3W"</f>
        <v>3W</v>
      </c>
      <c r="F2045" t="str">
        <f>"001"</f>
        <v>001</v>
      </c>
      <c r="G2045">
        <v>9</v>
      </c>
      <c r="H2045" t="str">
        <f t="shared" si="307"/>
        <v>91</v>
      </c>
      <c r="I2045" t="str">
        <f t="shared" si="315"/>
        <v>1</v>
      </c>
      <c r="J2045" t="str">
        <f>"39"</f>
        <v>39</v>
      </c>
      <c r="K2045">
        <v>20190405</v>
      </c>
      <c r="L2045" t="str">
        <f t="shared" si="316"/>
        <v>076409</v>
      </c>
      <c r="M2045" t="str">
        <f t="shared" si="317"/>
        <v>84370</v>
      </c>
      <c r="N2045" t="s">
        <v>395</v>
      </c>
      <c r="O2045">
        <v>171.18</v>
      </c>
      <c r="P2045">
        <v>20190405</v>
      </c>
      <c r="Q2045" t="s">
        <v>1189</v>
      </c>
      <c r="R2045" t="s">
        <v>1014</v>
      </c>
      <c r="S2045" t="s">
        <v>295</v>
      </c>
      <c r="T2045" t="s">
        <v>301</v>
      </c>
    </row>
    <row r="2046" spans="1:20" x14ac:dyDescent="0.25">
      <c r="A2046">
        <v>9</v>
      </c>
      <c r="B2046">
        <v>181</v>
      </c>
      <c r="C2046" t="str">
        <f t="shared" si="306"/>
        <v>36</v>
      </c>
      <c r="D2046">
        <v>6412</v>
      </c>
      <c r="E2046" t="str">
        <f>"3W"</f>
        <v>3W</v>
      </c>
      <c r="F2046" t="str">
        <f>"041"</f>
        <v>041</v>
      </c>
      <c r="G2046">
        <v>9</v>
      </c>
      <c r="H2046" t="str">
        <f t="shared" si="307"/>
        <v>91</v>
      </c>
      <c r="I2046" t="str">
        <f t="shared" si="315"/>
        <v>1</v>
      </c>
      <c r="J2046" t="str">
        <f>"41"</f>
        <v>41</v>
      </c>
      <c r="K2046">
        <v>20190405</v>
      </c>
      <c r="L2046" t="str">
        <f t="shared" si="316"/>
        <v>076409</v>
      </c>
      <c r="M2046" t="str">
        <f t="shared" si="317"/>
        <v>84370</v>
      </c>
      <c r="N2046" t="s">
        <v>395</v>
      </c>
      <c r="O2046">
        <v>314.29000000000002</v>
      </c>
      <c r="P2046">
        <v>20190405</v>
      </c>
      <c r="Q2046" t="s">
        <v>1190</v>
      </c>
      <c r="R2046" t="s">
        <v>1250</v>
      </c>
      <c r="S2046" t="s">
        <v>295</v>
      </c>
      <c r="T2046" t="s">
        <v>106</v>
      </c>
    </row>
    <row r="2047" spans="1:20" x14ac:dyDescent="0.25">
      <c r="A2047">
        <v>9</v>
      </c>
      <c r="B2047">
        <v>181</v>
      </c>
      <c r="C2047" t="str">
        <f t="shared" si="306"/>
        <v>36</v>
      </c>
      <c r="D2047">
        <v>6412</v>
      </c>
      <c r="E2047" t="str">
        <f>"3W"</f>
        <v>3W</v>
      </c>
      <c r="F2047" t="str">
        <f>"041"</f>
        <v>041</v>
      </c>
      <c r="G2047">
        <v>9</v>
      </c>
      <c r="H2047" t="str">
        <f t="shared" si="307"/>
        <v>91</v>
      </c>
      <c r="I2047" t="str">
        <f t="shared" si="315"/>
        <v>1</v>
      </c>
      <c r="J2047" t="str">
        <f>"41"</f>
        <v>41</v>
      </c>
      <c r="K2047">
        <v>20190405</v>
      </c>
      <c r="L2047" t="str">
        <f t="shared" si="316"/>
        <v>076409</v>
      </c>
      <c r="M2047" t="str">
        <f t="shared" si="317"/>
        <v>84370</v>
      </c>
      <c r="N2047" t="s">
        <v>395</v>
      </c>
      <c r="O2047">
        <v>319.58999999999997</v>
      </c>
      <c r="P2047">
        <v>20190405</v>
      </c>
      <c r="Q2047" t="s">
        <v>1190</v>
      </c>
      <c r="R2047" t="s">
        <v>1071</v>
      </c>
      <c r="S2047" t="s">
        <v>295</v>
      </c>
      <c r="T2047" t="s">
        <v>106</v>
      </c>
    </row>
    <row r="2048" spans="1:20" x14ac:dyDescent="0.25">
      <c r="A2048">
        <v>9</v>
      </c>
      <c r="B2048">
        <v>181</v>
      </c>
      <c r="C2048" t="str">
        <f t="shared" si="306"/>
        <v>36</v>
      </c>
      <c r="D2048">
        <v>6219</v>
      </c>
      <c r="E2048" t="str">
        <f>"3P"</f>
        <v>3P</v>
      </c>
      <c r="F2048" t="str">
        <f>"001"</f>
        <v>001</v>
      </c>
      <c r="G2048">
        <v>9</v>
      </c>
      <c r="H2048" t="str">
        <f t="shared" si="307"/>
        <v>91</v>
      </c>
      <c r="I2048" t="str">
        <f>"0"</f>
        <v>0</v>
      </c>
      <c r="J2048" t="str">
        <f>"39"</f>
        <v>39</v>
      </c>
      <c r="K2048">
        <v>20190412</v>
      </c>
      <c r="L2048" t="str">
        <f>"076420"</f>
        <v>076420</v>
      </c>
      <c r="M2048" t="str">
        <f>"12993"</f>
        <v>12993</v>
      </c>
      <c r="N2048" t="s">
        <v>1251</v>
      </c>
      <c r="O2048">
        <v>145</v>
      </c>
      <c r="P2048">
        <v>20190410</v>
      </c>
      <c r="Q2048" t="s">
        <v>961</v>
      </c>
      <c r="R2048" t="s">
        <v>1252</v>
      </c>
      <c r="S2048" t="s">
        <v>295</v>
      </c>
      <c r="T2048" t="s">
        <v>301</v>
      </c>
    </row>
    <row r="2049" spans="1:20" x14ac:dyDescent="0.25">
      <c r="A2049">
        <v>9</v>
      </c>
      <c r="B2049">
        <v>181</v>
      </c>
      <c r="C2049" t="str">
        <f t="shared" si="306"/>
        <v>36</v>
      </c>
      <c r="D2049">
        <v>6411</v>
      </c>
      <c r="E2049" t="str">
        <f>"33"</f>
        <v>33</v>
      </c>
      <c r="F2049" t="str">
        <f>"001"</f>
        <v>001</v>
      </c>
      <c r="G2049">
        <v>9</v>
      </c>
      <c r="H2049" t="str">
        <f t="shared" si="307"/>
        <v>91</v>
      </c>
      <c r="I2049" t="str">
        <f>"0"</f>
        <v>0</v>
      </c>
      <c r="J2049" t="str">
        <f>"39"</f>
        <v>39</v>
      </c>
      <c r="K2049">
        <v>20190412</v>
      </c>
      <c r="L2049" t="str">
        <f>"076421"</f>
        <v>076421</v>
      </c>
      <c r="M2049" t="str">
        <f>"13855"</f>
        <v>13855</v>
      </c>
      <c r="N2049" t="s">
        <v>708</v>
      </c>
      <c r="O2049">
        <v>65.23</v>
      </c>
      <c r="P2049">
        <v>20190410</v>
      </c>
      <c r="Q2049" t="s">
        <v>306</v>
      </c>
      <c r="R2049" t="s">
        <v>1073</v>
      </c>
      <c r="S2049" t="s">
        <v>295</v>
      </c>
      <c r="T2049" t="s">
        <v>301</v>
      </c>
    </row>
    <row r="2050" spans="1:20" x14ac:dyDescent="0.25">
      <c r="A2050">
        <v>9</v>
      </c>
      <c r="B2050">
        <v>181</v>
      </c>
      <c r="C2050" t="str">
        <f t="shared" si="306"/>
        <v>36</v>
      </c>
      <c r="D2050">
        <v>6219</v>
      </c>
      <c r="E2050" t="str">
        <f>"3P"</f>
        <v>3P</v>
      </c>
      <c r="F2050" t="str">
        <f>"001"</f>
        <v>001</v>
      </c>
      <c r="G2050">
        <v>9</v>
      </c>
      <c r="H2050" t="str">
        <f t="shared" si="307"/>
        <v>91</v>
      </c>
      <c r="I2050" t="str">
        <f>"0"</f>
        <v>0</v>
      </c>
      <c r="J2050" t="str">
        <f>"39"</f>
        <v>39</v>
      </c>
      <c r="K2050">
        <v>20190412</v>
      </c>
      <c r="L2050" t="str">
        <f>"076423"</f>
        <v>076423</v>
      </c>
      <c r="M2050" t="str">
        <f>"20433"</f>
        <v>20433</v>
      </c>
      <c r="N2050" t="s">
        <v>332</v>
      </c>
      <c r="O2050">
        <v>25</v>
      </c>
      <c r="P2050">
        <v>20190410</v>
      </c>
      <c r="Q2050" t="s">
        <v>961</v>
      </c>
      <c r="R2050" t="s">
        <v>1252</v>
      </c>
      <c r="S2050" t="s">
        <v>295</v>
      </c>
      <c r="T2050" t="s">
        <v>301</v>
      </c>
    </row>
    <row r="2051" spans="1:20" x14ac:dyDescent="0.25">
      <c r="A2051">
        <v>9</v>
      </c>
      <c r="B2051">
        <v>181</v>
      </c>
      <c r="C2051" t="str">
        <f t="shared" si="306"/>
        <v>36</v>
      </c>
      <c r="D2051">
        <v>6219</v>
      </c>
      <c r="E2051" t="str">
        <f>"3P"</f>
        <v>3P</v>
      </c>
      <c r="F2051" t="str">
        <f>"001"</f>
        <v>001</v>
      </c>
      <c r="G2051">
        <v>9</v>
      </c>
      <c r="H2051" t="str">
        <f t="shared" si="307"/>
        <v>91</v>
      </c>
      <c r="I2051" t="str">
        <f>"0"</f>
        <v>0</v>
      </c>
      <c r="J2051" t="str">
        <f>"39"</f>
        <v>39</v>
      </c>
      <c r="K2051">
        <v>20190412</v>
      </c>
      <c r="L2051" t="str">
        <f>"076423"</f>
        <v>076423</v>
      </c>
      <c r="M2051" t="str">
        <f>"20433"</f>
        <v>20433</v>
      </c>
      <c r="N2051" t="s">
        <v>332</v>
      </c>
      <c r="O2051">
        <v>25</v>
      </c>
      <c r="P2051">
        <v>20190410</v>
      </c>
      <c r="Q2051" t="s">
        <v>961</v>
      </c>
      <c r="R2051" t="s">
        <v>1253</v>
      </c>
      <c r="S2051" t="s">
        <v>295</v>
      </c>
      <c r="T2051" t="s">
        <v>301</v>
      </c>
    </row>
    <row r="2052" spans="1:20" x14ac:dyDescent="0.25">
      <c r="A2052">
        <v>9</v>
      </c>
      <c r="B2052">
        <v>181</v>
      </c>
      <c r="C2052" t="str">
        <f t="shared" si="306"/>
        <v>36</v>
      </c>
      <c r="D2052">
        <v>6412</v>
      </c>
      <c r="E2052" t="str">
        <f>"3S"</f>
        <v>3S</v>
      </c>
      <c r="F2052" t="str">
        <f>"041"</f>
        <v>041</v>
      </c>
      <c r="G2052">
        <v>9</v>
      </c>
      <c r="H2052" t="str">
        <f t="shared" si="307"/>
        <v>91</v>
      </c>
      <c r="I2052" t="str">
        <f>"1"</f>
        <v>1</v>
      </c>
      <c r="J2052" t="str">
        <f>"41"</f>
        <v>41</v>
      </c>
      <c r="K2052">
        <v>20190412</v>
      </c>
      <c r="L2052" t="str">
        <f>"076424"</f>
        <v>076424</v>
      </c>
      <c r="M2052" t="str">
        <f>"51349"</f>
        <v>51349</v>
      </c>
      <c r="N2052" t="s">
        <v>558</v>
      </c>
      <c r="O2052">
        <v>160.49</v>
      </c>
      <c r="P2052">
        <v>20190412</v>
      </c>
      <c r="Q2052" t="s">
        <v>1147</v>
      </c>
      <c r="R2052" t="s">
        <v>1226</v>
      </c>
      <c r="S2052" t="s">
        <v>295</v>
      </c>
      <c r="T2052" t="s">
        <v>106</v>
      </c>
    </row>
    <row r="2053" spans="1:20" x14ac:dyDescent="0.25">
      <c r="A2053">
        <v>9</v>
      </c>
      <c r="B2053">
        <v>181</v>
      </c>
      <c r="C2053" t="str">
        <f>"00"</f>
        <v>00</v>
      </c>
      <c r="D2053">
        <v>5752</v>
      </c>
      <c r="E2053" t="str">
        <f>"09"</f>
        <v>09</v>
      </c>
      <c r="F2053" t="str">
        <f>"001"</f>
        <v>001</v>
      </c>
      <c r="G2053">
        <v>9</v>
      </c>
      <c r="H2053" t="str">
        <f>"00"</f>
        <v>00</v>
      </c>
      <c r="I2053" t="str">
        <f>"D"</f>
        <v>D</v>
      </c>
      <c r="J2053" t="str">
        <f>"39"</f>
        <v>39</v>
      </c>
      <c r="K2053">
        <v>20190412</v>
      </c>
      <c r="L2053" t="str">
        <f>"076427"</f>
        <v>076427</v>
      </c>
      <c r="M2053" t="str">
        <f>"22132"</f>
        <v>22132</v>
      </c>
      <c r="N2053" t="s">
        <v>775</v>
      </c>
      <c r="O2053">
        <v>61.8</v>
      </c>
      <c r="P2053">
        <v>20190410</v>
      </c>
      <c r="Q2053" t="s">
        <v>1254</v>
      </c>
      <c r="R2053" t="s">
        <v>1255</v>
      </c>
      <c r="S2053" t="s">
        <v>295</v>
      </c>
      <c r="T2053" t="s">
        <v>301</v>
      </c>
    </row>
    <row r="2054" spans="1:20" x14ac:dyDescent="0.25">
      <c r="A2054">
        <v>9</v>
      </c>
      <c r="B2054">
        <v>181</v>
      </c>
      <c r="C2054" t="str">
        <f t="shared" ref="C2054:C2095" si="318">"36"</f>
        <v>36</v>
      </c>
      <c r="D2054">
        <v>6412</v>
      </c>
      <c r="E2054" t="str">
        <f>"3A"</f>
        <v>3A</v>
      </c>
      <c r="F2054" t="str">
        <f>"001"</f>
        <v>001</v>
      </c>
      <c r="G2054">
        <v>9</v>
      </c>
      <c r="H2054" t="str">
        <f t="shared" ref="H2054:H2095" si="319">"91"</f>
        <v>91</v>
      </c>
      <c r="I2054" t="str">
        <f>"1"</f>
        <v>1</v>
      </c>
      <c r="J2054" t="str">
        <f>"39"</f>
        <v>39</v>
      </c>
      <c r="K2054">
        <v>20190412</v>
      </c>
      <c r="L2054" t="str">
        <f>"076429"</f>
        <v>076429</v>
      </c>
      <c r="M2054" t="str">
        <f>"24335"</f>
        <v>24335</v>
      </c>
      <c r="N2054" t="s">
        <v>516</v>
      </c>
      <c r="O2054">
        <v>189.25</v>
      </c>
      <c r="P2054">
        <v>20190410</v>
      </c>
      <c r="Q2054" t="s">
        <v>1143</v>
      </c>
      <c r="R2054" t="s">
        <v>1256</v>
      </c>
      <c r="S2054" t="s">
        <v>295</v>
      </c>
      <c r="T2054" t="s">
        <v>301</v>
      </c>
    </row>
    <row r="2055" spans="1:20" x14ac:dyDescent="0.25">
      <c r="A2055">
        <v>9</v>
      </c>
      <c r="B2055">
        <v>181</v>
      </c>
      <c r="C2055" t="str">
        <f t="shared" si="318"/>
        <v>36</v>
      </c>
      <c r="D2055">
        <v>6412</v>
      </c>
      <c r="E2055" t="str">
        <f>"3W"</f>
        <v>3W</v>
      </c>
      <c r="F2055" t="str">
        <f>"001"</f>
        <v>001</v>
      </c>
      <c r="G2055">
        <v>9</v>
      </c>
      <c r="H2055" t="str">
        <f t="shared" si="319"/>
        <v>91</v>
      </c>
      <c r="I2055" t="str">
        <f>"1"</f>
        <v>1</v>
      </c>
      <c r="J2055" t="str">
        <f>"39"</f>
        <v>39</v>
      </c>
      <c r="K2055">
        <v>20190412</v>
      </c>
      <c r="L2055" t="str">
        <f>"076430"</f>
        <v>076430</v>
      </c>
      <c r="M2055" t="str">
        <f>"24353"</f>
        <v>24353</v>
      </c>
      <c r="N2055" t="s">
        <v>1257</v>
      </c>
      <c r="O2055">
        <v>149.21</v>
      </c>
      <c r="P2055">
        <v>20190410</v>
      </c>
      <c r="Q2055" t="s">
        <v>1189</v>
      </c>
      <c r="R2055" t="s">
        <v>1258</v>
      </c>
      <c r="S2055" t="s">
        <v>295</v>
      </c>
      <c r="T2055" t="s">
        <v>301</v>
      </c>
    </row>
    <row r="2056" spans="1:20" x14ac:dyDescent="0.25">
      <c r="A2056">
        <v>9</v>
      </c>
      <c r="B2056">
        <v>181</v>
      </c>
      <c r="C2056" t="str">
        <f t="shared" si="318"/>
        <v>36</v>
      </c>
      <c r="D2056">
        <v>6412</v>
      </c>
      <c r="E2056" t="str">
        <f>"3J"</f>
        <v>3J</v>
      </c>
      <c r="F2056" t="str">
        <f>"041"</f>
        <v>041</v>
      </c>
      <c r="G2056">
        <v>9</v>
      </c>
      <c r="H2056" t="str">
        <f t="shared" si="319"/>
        <v>91</v>
      </c>
      <c r="I2056" t="str">
        <f>"1"</f>
        <v>1</v>
      </c>
      <c r="J2056" t="str">
        <f>"41"</f>
        <v>41</v>
      </c>
      <c r="K2056">
        <v>20190412</v>
      </c>
      <c r="L2056" t="str">
        <f>"076431"</f>
        <v>076431</v>
      </c>
      <c r="M2056" t="str">
        <f>"24343"</f>
        <v>24343</v>
      </c>
      <c r="N2056" t="s">
        <v>518</v>
      </c>
      <c r="O2056">
        <v>235.2</v>
      </c>
      <c r="P2056">
        <v>20190410</v>
      </c>
      <c r="Q2056" t="s">
        <v>1247</v>
      </c>
      <c r="R2056" t="s">
        <v>1259</v>
      </c>
      <c r="S2056" t="s">
        <v>295</v>
      </c>
      <c r="T2056" t="s">
        <v>106</v>
      </c>
    </row>
    <row r="2057" spans="1:20" x14ac:dyDescent="0.25">
      <c r="A2057">
        <v>9</v>
      </c>
      <c r="B2057">
        <v>181</v>
      </c>
      <c r="C2057" t="str">
        <f t="shared" si="318"/>
        <v>36</v>
      </c>
      <c r="D2057">
        <v>6412</v>
      </c>
      <c r="E2057" t="str">
        <f>"09"</f>
        <v>09</v>
      </c>
      <c r="F2057" t="str">
        <f t="shared" ref="F2057:F2092" si="320">"001"</f>
        <v>001</v>
      </c>
      <c r="G2057">
        <v>9</v>
      </c>
      <c r="H2057" t="str">
        <f t="shared" si="319"/>
        <v>91</v>
      </c>
      <c r="I2057" t="str">
        <f>"J"</f>
        <v>J</v>
      </c>
      <c r="J2057" t="str">
        <f t="shared" ref="J2057:J2092" si="321">"39"</f>
        <v>39</v>
      </c>
      <c r="K2057">
        <v>20190412</v>
      </c>
      <c r="L2057" t="str">
        <f>"076432"</f>
        <v>076432</v>
      </c>
      <c r="M2057" t="str">
        <f>"00804"</f>
        <v>00804</v>
      </c>
      <c r="N2057" t="s">
        <v>1260</v>
      </c>
      <c r="O2057" s="1">
        <v>1394.82</v>
      </c>
      <c r="P2057">
        <v>20190411</v>
      </c>
      <c r="Q2057" t="s">
        <v>1261</v>
      </c>
      <c r="R2057" t="s">
        <v>1262</v>
      </c>
      <c r="S2057" t="s">
        <v>295</v>
      </c>
      <c r="T2057" t="s">
        <v>301</v>
      </c>
    </row>
    <row r="2058" spans="1:20" x14ac:dyDescent="0.25">
      <c r="A2058">
        <v>9</v>
      </c>
      <c r="B2058">
        <v>181</v>
      </c>
      <c r="C2058" t="str">
        <f t="shared" si="318"/>
        <v>36</v>
      </c>
      <c r="D2058">
        <v>6412</v>
      </c>
      <c r="E2058" t="str">
        <f>"3K"</f>
        <v>3K</v>
      </c>
      <c r="F2058" t="str">
        <f t="shared" si="320"/>
        <v>001</v>
      </c>
      <c r="G2058">
        <v>9</v>
      </c>
      <c r="H2058" t="str">
        <f t="shared" si="319"/>
        <v>91</v>
      </c>
      <c r="I2058" t="str">
        <f>"1"</f>
        <v>1</v>
      </c>
      <c r="J2058" t="str">
        <f t="shared" si="321"/>
        <v>39</v>
      </c>
      <c r="K2058">
        <v>20190412</v>
      </c>
      <c r="L2058" t="str">
        <f>"076436"</f>
        <v>076436</v>
      </c>
      <c r="M2058" t="str">
        <f>"00754"</f>
        <v>00754</v>
      </c>
      <c r="N2058" t="s">
        <v>1150</v>
      </c>
      <c r="O2058">
        <v>101.35</v>
      </c>
      <c r="P2058">
        <v>20190410</v>
      </c>
      <c r="Q2058" t="s">
        <v>898</v>
      </c>
      <c r="R2058" t="s">
        <v>1263</v>
      </c>
      <c r="S2058" t="s">
        <v>295</v>
      </c>
      <c r="T2058" t="s">
        <v>301</v>
      </c>
    </row>
    <row r="2059" spans="1:20" x14ac:dyDescent="0.25">
      <c r="A2059">
        <v>9</v>
      </c>
      <c r="B2059">
        <v>181</v>
      </c>
      <c r="C2059" t="str">
        <f t="shared" si="318"/>
        <v>36</v>
      </c>
      <c r="D2059">
        <v>6412</v>
      </c>
      <c r="E2059" t="str">
        <f>"09"</f>
        <v>09</v>
      </c>
      <c r="F2059" t="str">
        <f t="shared" si="320"/>
        <v>001</v>
      </c>
      <c r="G2059">
        <v>9</v>
      </c>
      <c r="H2059" t="str">
        <f t="shared" si="319"/>
        <v>91</v>
      </c>
      <c r="I2059" t="str">
        <f>"T"</f>
        <v>T</v>
      </c>
      <c r="J2059" t="str">
        <f t="shared" si="321"/>
        <v>39</v>
      </c>
      <c r="K2059">
        <v>20190412</v>
      </c>
      <c r="L2059" t="str">
        <f>"076438"</f>
        <v>076438</v>
      </c>
      <c r="M2059" t="str">
        <f>"26894"</f>
        <v>26894</v>
      </c>
      <c r="N2059" t="s">
        <v>543</v>
      </c>
      <c r="O2059">
        <v>977.76</v>
      </c>
      <c r="P2059">
        <v>20190412</v>
      </c>
      <c r="Q2059" t="s">
        <v>544</v>
      </c>
      <c r="R2059" t="s">
        <v>1264</v>
      </c>
      <c r="S2059" t="s">
        <v>295</v>
      </c>
      <c r="T2059" t="s">
        <v>301</v>
      </c>
    </row>
    <row r="2060" spans="1:20" x14ac:dyDescent="0.25">
      <c r="A2060">
        <v>9</v>
      </c>
      <c r="B2060">
        <v>181</v>
      </c>
      <c r="C2060" t="str">
        <f t="shared" si="318"/>
        <v>36</v>
      </c>
      <c r="D2060">
        <v>6411</v>
      </c>
      <c r="E2060" t="str">
        <f>"33"</f>
        <v>33</v>
      </c>
      <c r="F2060" t="str">
        <f t="shared" si="320"/>
        <v>001</v>
      </c>
      <c r="G2060">
        <v>9</v>
      </c>
      <c r="H2060" t="str">
        <f t="shared" si="319"/>
        <v>91</v>
      </c>
      <c r="I2060" t="str">
        <f>"0"</f>
        <v>0</v>
      </c>
      <c r="J2060" t="str">
        <f t="shared" si="321"/>
        <v>39</v>
      </c>
      <c r="K2060">
        <v>20190412</v>
      </c>
      <c r="L2060" t="str">
        <f>"076442"</f>
        <v>076442</v>
      </c>
      <c r="M2060" t="str">
        <f>"28680"</f>
        <v>28680</v>
      </c>
      <c r="N2060" t="s">
        <v>482</v>
      </c>
      <c r="O2060">
        <v>111</v>
      </c>
      <c r="P2060">
        <v>20190410</v>
      </c>
      <c r="Q2060" t="s">
        <v>306</v>
      </c>
      <c r="R2060" t="s">
        <v>1073</v>
      </c>
      <c r="S2060" t="s">
        <v>295</v>
      </c>
      <c r="T2060" t="s">
        <v>301</v>
      </c>
    </row>
    <row r="2061" spans="1:20" x14ac:dyDescent="0.25">
      <c r="A2061">
        <v>9</v>
      </c>
      <c r="B2061">
        <v>181</v>
      </c>
      <c r="C2061" t="str">
        <f t="shared" si="318"/>
        <v>36</v>
      </c>
      <c r="D2061">
        <v>6412</v>
      </c>
      <c r="E2061" t="str">
        <f>"09"</f>
        <v>09</v>
      </c>
      <c r="F2061" t="str">
        <f t="shared" si="320"/>
        <v>001</v>
      </c>
      <c r="G2061">
        <v>9</v>
      </c>
      <c r="H2061" t="str">
        <f t="shared" si="319"/>
        <v>91</v>
      </c>
      <c r="I2061" t="str">
        <f>"P"</f>
        <v>P</v>
      </c>
      <c r="J2061" t="str">
        <f t="shared" si="321"/>
        <v>39</v>
      </c>
      <c r="K2061">
        <v>20190412</v>
      </c>
      <c r="L2061" t="str">
        <f>"076442"</f>
        <v>076442</v>
      </c>
      <c r="M2061" t="str">
        <f>"28680"</f>
        <v>28680</v>
      </c>
      <c r="N2061" t="s">
        <v>482</v>
      </c>
      <c r="O2061">
        <v>267</v>
      </c>
      <c r="P2061">
        <v>20190410</v>
      </c>
      <c r="Q2061" t="s">
        <v>1028</v>
      </c>
      <c r="R2061" t="s">
        <v>1136</v>
      </c>
      <c r="S2061" t="s">
        <v>295</v>
      </c>
      <c r="T2061" t="s">
        <v>301</v>
      </c>
    </row>
    <row r="2062" spans="1:20" x14ac:dyDescent="0.25">
      <c r="A2062">
        <v>9</v>
      </c>
      <c r="B2062">
        <v>181</v>
      </c>
      <c r="C2062" t="str">
        <f t="shared" si="318"/>
        <v>36</v>
      </c>
      <c r="D2062">
        <v>6412</v>
      </c>
      <c r="E2062" t="str">
        <f>"09"</f>
        <v>09</v>
      </c>
      <c r="F2062" t="str">
        <f t="shared" si="320"/>
        <v>001</v>
      </c>
      <c r="G2062">
        <v>9</v>
      </c>
      <c r="H2062" t="str">
        <f t="shared" si="319"/>
        <v>91</v>
      </c>
      <c r="I2062" t="str">
        <f>"P"</f>
        <v>P</v>
      </c>
      <c r="J2062" t="str">
        <f t="shared" si="321"/>
        <v>39</v>
      </c>
      <c r="K2062">
        <v>20190412</v>
      </c>
      <c r="L2062" t="str">
        <f>"076442"</f>
        <v>076442</v>
      </c>
      <c r="M2062" t="str">
        <f>"28680"</f>
        <v>28680</v>
      </c>
      <c r="N2062" t="s">
        <v>482</v>
      </c>
      <c r="O2062">
        <v>297</v>
      </c>
      <c r="P2062">
        <v>20190410</v>
      </c>
      <c r="Q2062" t="s">
        <v>1028</v>
      </c>
      <c r="R2062" t="s">
        <v>1136</v>
      </c>
      <c r="S2062" t="s">
        <v>295</v>
      </c>
      <c r="T2062" t="s">
        <v>301</v>
      </c>
    </row>
    <row r="2063" spans="1:20" x14ac:dyDescent="0.25">
      <c r="A2063">
        <v>9</v>
      </c>
      <c r="B2063">
        <v>181</v>
      </c>
      <c r="C2063" t="str">
        <f t="shared" si="318"/>
        <v>36</v>
      </c>
      <c r="D2063">
        <v>6412</v>
      </c>
      <c r="E2063" t="str">
        <f>"3G"</f>
        <v>3G</v>
      </c>
      <c r="F2063" t="str">
        <f t="shared" si="320"/>
        <v>001</v>
      </c>
      <c r="G2063">
        <v>9</v>
      </c>
      <c r="H2063" t="str">
        <f t="shared" si="319"/>
        <v>91</v>
      </c>
      <c r="I2063" t="str">
        <f>"3"</f>
        <v>3</v>
      </c>
      <c r="J2063" t="str">
        <f t="shared" si="321"/>
        <v>39</v>
      </c>
      <c r="K2063">
        <v>20190412</v>
      </c>
      <c r="L2063" t="str">
        <f>"076442"</f>
        <v>076442</v>
      </c>
      <c r="M2063" t="str">
        <f>"28680"</f>
        <v>28680</v>
      </c>
      <c r="N2063" t="s">
        <v>482</v>
      </c>
      <c r="O2063">
        <v>104.91</v>
      </c>
      <c r="P2063">
        <v>20190410</v>
      </c>
      <c r="Q2063" t="s">
        <v>483</v>
      </c>
      <c r="R2063" t="s">
        <v>1265</v>
      </c>
      <c r="S2063" t="s">
        <v>295</v>
      </c>
      <c r="T2063" t="s">
        <v>301</v>
      </c>
    </row>
    <row r="2064" spans="1:20" x14ac:dyDescent="0.25">
      <c r="A2064">
        <v>9</v>
      </c>
      <c r="B2064">
        <v>181</v>
      </c>
      <c r="C2064" t="str">
        <f t="shared" si="318"/>
        <v>36</v>
      </c>
      <c r="D2064">
        <v>6219</v>
      </c>
      <c r="E2064" t="str">
        <f>"3P"</f>
        <v>3P</v>
      </c>
      <c r="F2064" t="str">
        <f t="shared" si="320"/>
        <v>001</v>
      </c>
      <c r="G2064">
        <v>9</v>
      </c>
      <c r="H2064" t="str">
        <f t="shared" si="319"/>
        <v>91</v>
      </c>
      <c r="I2064" t="str">
        <f>"1"</f>
        <v>1</v>
      </c>
      <c r="J2064" t="str">
        <f t="shared" si="321"/>
        <v>39</v>
      </c>
      <c r="K2064">
        <v>20190412</v>
      </c>
      <c r="L2064" t="str">
        <f>"076453"</f>
        <v>076453</v>
      </c>
      <c r="M2064" t="str">
        <f>"30118"</f>
        <v>30118</v>
      </c>
      <c r="N2064" t="s">
        <v>347</v>
      </c>
      <c r="O2064">
        <v>96</v>
      </c>
      <c r="P2064">
        <v>20190410</v>
      </c>
      <c r="Q2064" t="s">
        <v>1152</v>
      </c>
      <c r="R2064" t="s">
        <v>1252</v>
      </c>
      <c r="S2064" t="s">
        <v>295</v>
      </c>
      <c r="T2064" t="s">
        <v>301</v>
      </c>
    </row>
    <row r="2065" spans="1:20" x14ac:dyDescent="0.25">
      <c r="A2065">
        <v>9</v>
      </c>
      <c r="B2065">
        <v>181</v>
      </c>
      <c r="C2065" t="str">
        <f t="shared" si="318"/>
        <v>36</v>
      </c>
      <c r="D2065">
        <v>6412</v>
      </c>
      <c r="E2065" t="str">
        <f>"09"</f>
        <v>09</v>
      </c>
      <c r="F2065" t="str">
        <f t="shared" si="320"/>
        <v>001</v>
      </c>
      <c r="G2065">
        <v>9</v>
      </c>
      <c r="H2065" t="str">
        <f t="shared" si="319"/>
        <v>91</v>
      </c>
      <c r="I2065" t="str">
        <f>"P"</f>
        <v>P</v>
      </c>
      <c r="J2065" t="str">
        <f t="shared" si="321"/>
        <v>39</v>
      </c>
      <c r="K2065">
        <v>20190412</v>
      </c>
      <c r="L2065" t="str">
        <f>"076455"</f>
        <v>076455</v>
      </c>
      <c r="M2065" t="str">
        <f>"30744"</f>
        <v>30744</v>
      </c>
      <c r="N2065" t="s">
        <v>422</v>
      </c>
      <c r="O2065">
        <v>27.9</v>
      </c>
      <c r="P2065">
        <v>20190410</v>
      </c>
      <c r="Q2065" t="s">
        <v>1028</v>
      </c>
      <c r="R2065" t="s">
        <v>1174</v>
      </c>
      <c r="S2065" t="s">
        <v>295</v>
      </c>
      <c r="T2065" t="s">
        <v>301</v>
      </c>
    </row>
    <row r="2066" spans="1:20" x14ac:dyDescent="0.25">
      <c r="A2066">
        <v>9</v>
      </c>
      <c r="B2066">
        <v>181</v>
      </c>
      <c r="C2066" t="str">
        <f t="shared" si="318"/>
        <v>36</v>
      </c>
      <c r="D2066">
        <v>6412</v>
      </c>
      <c r="E2066" t="str">
        <f>"09"</f>
        <v>09</v>
      </c>
      <c r="F2066" t="str">
        <f t="shared" si="320"/>
        <v>001</v>
      </c>
      <c r="G2066">
        <v>9</v>
      </c>
      <c r="H2066" t="str">
        <f t="shared" si="319"/>
        <v>91</v>
      </c>
      <c r="I2066" t="str">
        <f>"P"</f>
        <v>P</v>
      </c>
      <c r="J2066" t="str">
        <f t="shared" si="321"/>
        <v>39</v>
      </c>
      <c r="K2066">
        <v>20190412</v>
      </c>
      <c r="L2066" t="str">
        <f>"076455"</f>
        <v>076455</v>
      </c>
      <c r="M2066" t="str">
        <f>"30744"</f>
        <v>30744</v>
      </c>
      <c r="N2066" t="s">
        <v>422</v>
      </c>
      <c r="O2066">
        <v>29.72</v>
      </c>
      <c r="P2066">
        <v>20190410</v>
      </c>
      <c r="Q2066" t="s">
        <v>1028</v>
      </c>
      <c r="R2066" t="s">
        <v>1174</v>
      </c>
      <c r="S2066" t="s">
        <v>295</v>
      </c>
      <c r="T2066" t="s">
        <v>301</v>
      </c>
    </row>
    <row r="2067" spans="1:20" x14ac:dyDescent="0.25">
      <c r="A2067">
        <v>9</v>
      </c>
      <c r="B2067">
        <v>181</v>
      </c>
      <c r="C2067" t="str">
        <f t="shared" si="318"/>
        <v>36</v>
      </c>
      <c r="D2067">
        <v>6412</v>
      </c>
      <c r="E2067" t="str">
        <f>"09"</f>
        <v>09</v>
      </c>
      <c r="F2067" t="str">
        <f t="shared" si="320"/>
        <v>001</v>
      </c>
      <c r="G2067">
        <v>9</v>
      </c>
      <c r="H2067" t="str">
        <f t="shared" si="319"/>
        <v>91</v>
      </c>
      <c r="I2067" t="str">
        <f>"P"</f>
        <v>P</v>
      </c>
      <c r="J2067" t="str">
        <f t="shared" si="321"/>
        <v>39</v>
      </c>
      <c r="K2067">
        <v>20190412</v>
      </c>
      <c r="L2067" t="str">
        <f>"076455"</f>
        <v>076455</v>
      </c>
      <c r="M2067" t="str">
        <f>"30744"</f>
        <v>30744</v>
      </c>
      <c r="N2067" t="s">
        <v>422</v>
      </c>
      <c r="O2067">
        <v>26.42</v>
      </c>
      <c r="P2067">
        <v>20190410</v>
      </c>
      <c r="Q2067" t="s">
        <v>1028</v>
      </c>
      <c r="R2067" t="s">
        <v>1174</v>
      </c>
      <c r="S2067" t="s">
        <v>295</v>
      </c>
      <c r="T2067" t="s">
        <v>301</v>
      </c>
    </row>
    <row r="2068" spans="1:20" x14ac:dyDescent="0.25">
      <c r="A2068">
        <v>9</v>
      </c>
      <c r="B2068">
        <v>181</v>
      </c>
      <c r="C2068" t="str">
        <f t="shared" si="318"/>
        <v>36</v>
      </c>
      <c r="D2068">
        <v>6412</v>
      </c>
      <c r="E2068" t="str">
        <f>"09"</f>
        <v>09</v>
      </c>
      <c r="F2068" t="str">
        <f t="shared" si="320"/>
        <v>001</v>
      </c>
      <c r="G2068">
        <v>9</v>
      </c>
      <c r="H2068" t="str">
        <f t="shared" si="319"/>
        <v>91</v>
      </c>
      <c r="I2068" t="str">
        <f>"P"</f>
        <v>P</v>
      </c>
      <c r="J2068" t="str">
        <f t="shared" si="321"/>
        <v>39</v>
      </c>
      <c r="K2068">
        <v>20190412</v>
      </c>
      <c r="L2068" t="str">
        <f>"076455"</f>
        <v>076455</v>
      </c>
      <c r="M2068" t="str">
        <f>"30744"</f>
        <v>30744</v>
      </c>
      <c r="N2068" t="s">
        <v>422</v>
      </c>
      <c r="O2068">
        <v>21.61</v>
      </c>
      <c r="P2068">
        <v>20190410</v>
      </c>
      <c r="Q2068" t="s">
        <v>1028</v>
      </c>
      <c r="R2068" t="s">
        <v>1174</v>
      </c>
      <c r="S2068" t="s">
        <v>295</v>
      </c>
      <c r="T2068" t="s">
        <v>301</v>
      </c>
    </row>
    <row r="2069" spans="1:20" x14ac:dyDescent="0.25">
      <c r="A2069">
        <v>9</v>
      </c>
      <c r="B2069">
        <v>181</v>
      </c>
      <c r="C2069" t="str">
        <f t="shared" si="318"/>
        <v>36</v>
      </c>
      <c r="D2069">
        <v>6411</v>
      </c>
      <c r="E2069" t="str">
        <f>"33"</f>
        <v>33</v>
      </c>
      <c r="F2069" t="str">
        <f t="shared" si="320"/>
        <v>001</v>
      </c>
      <c r="G2069">
        <v>9</v>
      </c>
      <c r="H2069" t="str">
        <f t="shared" si="319"/>
        <v>91</v>
      </c>
      <c r="I2069" t="str">
        <f>"0"</f>
        <v>0</v>
      </c>
      <c r="J2069" t="str">
        <f t="shared" si="321"/>
        <v>39</v>
      </c>
      <c r="K2069">
        <v>20190412</v>
      </c>
      <c r="L2069" t="str">
        <f>"076457"</f>
        <v>076457</v>
      </c>
      <c r="M2069" t="str">
        <f>"00422"</f>
        <v>00422</v>
      </c>
      <c r="N2069" t="s">
        <v>1266</v>
      </c>
      <c r="O2069">
        <v>48.96</v>
      </c>
      <c r="P2069">
        <v>20190410</v>
      </c>
      <c r="Q2069" t="s">
        <v>306</v>
      </c>
      <c r="R2069" t="s">
        <v>1073</v>
      </c>
      <c r="S2069" t="s">
        <v>295</v>
      </c>
      <c r="T2069" t="s">
        <v>301</v>
      </c>
    </row>
    <row r="2070" spans="1:20" x14ac:dyDescent="0.25">
      <c r="A2070">
        <v>9</v>
      </c>
      <c r="B2070">
        <v>181</v>
      </c>
      <c r="C2070" t="str">
        <f t="shared" si="318"/>
        <v>36</v>
      </c>
      <c r="D2070">
        <v>6219</v>
      </c>
      <c r="E2070" t="str">
        <f>"3A"</f>
        <v>3A</v>
      </c>
      <c r="F2070" t="str">
        <f t="shared" si="320"/>
        <v>001</v>
      </c>
      <c r="G2070">
        <v>9</v>
      </c>
      <c r="H2070" t="str">
        <f t="shared" si="319"/>
        <v>91</v>
      </c>
      <c r="I2070" t="str">
        <f>"0"</f>
        <v>0</v>
      </c>
      <c r="J2070" t="str">
        <f t="shared" si="321"/>
        <v>39</v>
      </c>
      <c r="K2070">
        <v>20190412</v>
      </c>
      <c r="L2070" t="str">
        <f>"076460"</f>
        <v>076460</v>
      </c>
      <c r="M2070" t="str">
        <f>"32855"</f>
        <v>32855</v>
      </c>
      <c r="N2070" t="s">
        <v>348</v>
      </c>
      <c r="O2070">
        <v>155</v>
      </c>
      <c r="P2070">
        <v>20190410</v>
      </c>
      <c r="Q2070" t="s">
        <v>1088</v>
      </c>
      <c r="R2070" t="s">
        <v>1267</v>
      </c>
      <c r="S2070" t="s">
        <v>295</v>
      </c>
      <c r="T2070" t="s">
        <v>301</v>
      </c>
    </row>
    <row r="2071" spans="1:20" x14ac:dyDescent="0.25">
      <c r="A2071">
        <v>9</v>
      </c>
      <c r="B2071">
        <v>181</v>
      </c>
      <c r="C2071" t="str">
        <f t="shared" si="318"/>
        <v>36</v>
      </c>
      <c r="D2071">
        <v>6219</v>
      </c>
      <c r="E2071" t="str">
        <f>"3A"</f>
        <v>3A</v>
      </c>
      <c r="F2071" t="str">
        <f t="shared" si="320"/>
        <v>001</v>
      </c>
      <c r="G2071">
        <v>9</v>
      </c>
      <c r="H2071" t="str">
        <f t="shared" si="319"/>
        <v>91</v>
      </c>
      <c r="I2071" t="str">
        <f>"0"</f>
        <v>0</v>
      </c>
      <c r="J2071" t="str">
        <f t="shared" si="321"/>
        <v>39</v>
      </c>
      <c r="K2071">
        <v>20190412</v>
      </c>
      <c r="L2071" t="str">
        <f>"076462"</f>
        <v>076462</v>
      </c>
      <c r="M2071" t="str">
        <f>"33764"</f>
        <v>33764</v>
      </c>
      <c r="N2071" t="s">
        <v>1208</v>
      </c>
      <c r="O2071">
        <v>155</v>
      </c>
      <c r="P2071">
        <v>20190410</v>
      </c>
      <c r="Q2071" t="s">
        <v>1088</v>
      </c>
      <c r="R2071" t="s">
        <v>1267</v>
      </c>
      <c r="S2071" t="s">
        <v>295</v>
      </c>
      <c r="T2071" t="s">
        <v>301</v>
      </c>
    </row>
    <row r="2072" spans="1:20" x14ac:dyDescent="0.25">
      <c r="A2072">
        <v>9</v>
      </c>
      <c r="B2072">
        <v>181</v>
      </c>
      <c r="C2072" t="str">
        <f t="shared" si="318"/>
        <v>36</v>
      </c>
      <c r="D2072">
        <v>6219</v>
      </c>
      <c r="E2072" t="str">
        <f>"3A"</f>
        <v>3A</v>
      </c>
      <c r="F2072" t="str">
        <f t="shared" si="320"/>
        <v>001</v>
      </c>
      <c r="G2072">
        <v>9</v>
      </c>
      <c r="H2072" t="str">
        <f t="shared" si="319"/>
        <v>91</v>
      </c>
      <c r="I2072" t="str">
        <f>"0"</f>
        <v>0</v>
      </c>
      <c r="J2072" t="str">
        <f t="shared" si="321"/>
        <v>39</v>
      </c>
      <c r="K2072">
        <v>20190412</v>
      </c>
      <c r="L2072" t="str">
        <f>"076463"</f>
        <v>076463</v>
      </c>
      <c r="M2072" t="str">
        <f>"34929"</f>
        <v>34929</v>
      </c>
      <c r="N2072" t="s">
        <v>1268</v>
      </c>
      <c r="O2072">
        <v>85</v>
      </c>
      <c r="P2072">
        <v>20190410</v>
      </c>
      <c r="Q2072" t="s">
        <v>1088</v>
      </c>
      <c r="R2072" t="s">
        <v>1269</v>
      </c>
      <c r="S2072" t="s">
        <v>295</v>
      </c>
      <c r="T2072" t="s">
        <v>301</v>
      </c>
    </row>
    <row r="2073" spans="1:20" x14ac:dyDescent="0.25">
      <c r="A2073">
        <v>9</v>
      </c>
      <c r="B2073">
        <v>181</v>
      </c>
      <c r="C2073" t="str">
        <f t="shared" si="318"/>
        <v>36</v>
      </c>
      <c r="D2073">
        <v>6412</v>
      </c>
      <c r="E2073" t="str">
        <f>"09"</f>
        <v>09</v>
      </c>
      <c r="F2073" t="str">
        <f t="shared" si="320"/>
        <v>001</v>
      </c>
      <c r="G2073">
        <v>9</v>
      </c>
      <c r="H2073" t="str">
        <f t="shared" si="319"/>
        <v>91</v>
      </c>
      <c r="I2073" t="str">
        <f>"J"</f>
        <v>J</v>
      </c>
      <c r="J2073" t="str">
        <f t="shared" si="321"/>
        <v>39</v>
      </c>
      <c r="K2073">
        <v>20190412</v>
      </c>
      <c r="L2073" t="str">
        <f>"076466"</f>
        <v>076466</v>
      </c>
      <c r="M2073" t="str">
        <f>"39422"</f>
        <v>39422</v>
      </c>
      <c r="N2073" t="s">
        <v>525</v>
      </c>
      <c r="O2073">
        <v>225</v>
      </c>
      <c r="P2073">
        <v>20190410</v>
      </c>
      <c r="Q2073" t="s">
        <v>1261</v>
      </c>
      <c r="R2073" t="s">
        <v>1262</v>
      </c>
      <c r="S2073" t="s">
        <v>295</v>
      </c>
      <c r="T2073" t="s">
        <v>301</v>
      </c>
    </row>
    <row r="2074" spans="1:20" x14ac:dyDescent="0.25">
      <c r="A2074">
        <v>9</v>
      </c>
      <c r="B2074">
        <v>181</v>
      </c>
      <c r="C2074" t="str">
        <f t="shared" si="318"/>
        <v>36</v>
      </c>
      <c r="D2074">
        <v>6412</v>
      </c>
      <c r="E2074" t="str">
        <f>"09"</f>
        <v>09</v>
      </c>
      <c r="F2074" t="str">
        <f t="shared" si="320"/>
        <v>001</v>
      </c>
      <c r="G2074">
        <v>9</v>
      </c>
      <c r="H2074" t="str">
        <f t="shared" si="319"/>
        <v>91</v>
      </c>
      <c r="I2074" t="str">
        <f>"J"</f>
        <v>J</v>
      </c>
      <c r="J2074" t="str">
        <f t="shared" si="321"/>
        <v>39</v>
      </c>
      <c r="K2074">
        <v>20190412</v>
      </c>
      <c r="L2074" t="str">
        <f>"076466"</f>
        <v>076466</v>
      </c>
      <c r="M2074" t="str">
        <f>"39422"</f>
        <v>39422</v>
      </c>
      <c r="N2074" t="s">
        <v>525</v>
      </c>
      <c r="O2074">
        <v>864</v>
      </c>
      <c r="P2074">
        <v>20190410</v>
      </c>
      <c r="Q2074" t="s">
        <v>1261</v>
      </c>
      <c r="R2074" t="s">
        <v>1262</v>
      </c>
      <c r="S2074" t="s">
        <v>295</v>
      </c>
      <c r="T2074" t="s">
        <v>301</v>
      </c>
    </row>
    <row r="2075" spans="1:20" x14ac:dyDescent="0.25">
      <c r="A2075">
        <v>9</v>
      </c>
      <c r="B2075">
        <v>181</v>
      </c>
      <c r="C2075" t="str">
        <f t="shared" si="318"/>
        <v>36</v>
      </c>
      <c r="D2075">
        <v>6219</v>
      </c>
      <c r="E2075" t="str">
        <f>"3P"</f>
        <v>3P</v>
      </c>
      <c r="F2075" t="str">
        <f t="shared" si="320"/>
        <v>001</v>
      </c>
      <c r="G2075">
        <v>9</v>
      </c>
      <c r="H2075" t="str">
        <f t="shared" si="319"/>
        <v>91</v>
      </c>
      <c r="I2075" t="str">
        <f>"0"</f>
        <v>0</v>
      </c>
      <c r="J2075" t="str">
        <f t="shared" si="321"/>
        <v>39</v>
      </c>
      <c r="K2075">
        <v>20190412</v>
      </c>
      <c r="L2075" t="str">
        <f>"076467"</f>
        <v>076467</v>
      </c>
      <c r="M2075" t="str">
        <f>"39413"</f>
        <v>39413</v>
      </c>
      <c r="N2075" t="s">
        <v>1270</v>
      </c>
      <c r="O2075">
        <v>145</v>
      </c>
      <c r="P2075">
        <v>20190410</v>
      </c>
      <c r="Q2075" t="s">
        <v>961</v>
      </c>
      <c r="R2075" t="s">
        <v>1253</v>
      </c>
      <c r="S2075" t="s">
        <v>295</v>
      </c>
      <c r="T2075" t="s">
        <v>301</v>
      </c>
    </row>
    <row r="2076" spans="1:20" x14ac:dyDescent="0.25">
      <c r="A2076">
        <v>9</v>
      </c>
      <c r="B2076">
        <v>181</v>
      </c>
      <c r="C2076" t="str">
        <f t="shared" si="318"/>
        <v>36</v>
      </c>
      <c r="D2076">
        <v>6219</v>
      </c>
      <c r="E2076" t="str">
        <f>"3A"</f>
        <v>3A</v>
      </c>
      <c r="F2076" t="str">
        <f t="shared" si="320"/>
        <v>001</v>
      </c>
      <c r="G2076">
        <v>9</v>
      </c>
      <c r="H2076" t="str">
        <f t="shared" si="319"/>
        <v>91</v>
      </c>
      <c r="I2076" t="str">
        <f>"0"</f>
        <v>0</v>
      </c>
      <c r="J2076" t="str">
        <f t="shared" si="321"/>
        <v>39</v>
      </c>
      <c r="K2076">
        <v>20190412</v>
      </c>
      <c r="L2076" t="str">
        <f>"076472"</f>
        <v>076472</v>
      </c>
      <c r="M2076" t="str">
        <f>"00448"</f>
        <v>00448</v>
      </c>
      <c r="N2076" t="s">
        <v>1271</v>
      </c>
      <c r="O2076">
        <v>135</v>
      </c>
      <c r="P2076">
        <v>20190410</v>
      </c>
      <c r="Q2076" t="s">
        <v>1088</v>
      </c>
      <c r="R2076" t="s">
        <v>1272</v>
      </c>
      <c r="S2076" t="s">
        <v>295</v>
      </c>
      <c r="T2076" t="s">
        <v>301</v>
      </c>
    </row>
    <row r="2077" spans="1:20" x14ac:dyDescent="0.25">
      <c r="A2077">
        <v>9</v>
      </c>
      <c r="B2077">
        <v>181</v>
      </c>
      <c r="C2077" t="str">
        <f t="shared" si="318"/>
        <v>36</v>
      </c>
      <c r="D2077">
        <v>6412</v>
      </c>
      <c r="E2077" t="str">
        <f>"3P"</f>
        <v>3P</v>
      </c>
      <c r="F2077" t="str">
        <f t="shared" si="320"/>
        <v>001</v>
      </c>
      <c r="G2077">
        <v>9</v>
      </c>
      <c r="H2077" t="str">
        <f t="shared" si="319"/>
        <v>91</v>
      </c>
      <c r="I2077" t="str">
        <f>"1"</f>
        <v>1</v>
      </c>
      <c r="J2077" t="str">
        <f t="shared" si="321"/>
        <v>39</v>
      </c>
      <c r="K2077">
        <v>20190412</v>
      </c>
      <c r="L2077" t="str">
        <f>"076477"</f>
        <v>076477</v>
      </c>
      <c r="M2077" t="str">
        <f>"45093"</f>
        <v>45093</v>
      </c>
      <c r="N2077" t="s">
        <v>885</v>
      </c>
      <c r="O2077">
        <v>90.92</v>
      </c>
      <c r="P2077">
        <v>20190410</v>
      </c>
      <c r="Q2077" t="s">
        <v>1046</v>
      </c>
      <c r="R2077" t="s">
        <v>1273</v>
      </c>
      <c r="S2077" t="s">
        <v>295</v>
      </c>
      <c r="T2077" t="s">
        <v>301</v>
      </c>
    </row>
    <row r="2078" spans="1:20" x14ac:dyDescent="0.25">
      <c r="A2078">
        <v>9</v>
      </c>
      <c r="B2078">
        <v>181</v>
      </c>
      <c r="C2078" t="str">
        <f t="shared" si="318"/>
        <v>36</v>
      </c>
      <c r="D2078">
        <v>6412</v>
      </c>
      <c r="E2078" t="str">
        <f>"3U"</f>
        <v>3U</v>
      </c>
      <c r="F2078" t="str">
        <f t="shared" si="320"/>
        <v>001</v>
      </c>
      <c r="G2078">
        <v>9</v>
      </c>
      <c r="H2078" t="str">
        <f t="shared" si="319"/>
        <v>91</v>
      </c>
      <c r="I2078" t="str">
        <f>"1"</f>
        <v>1</v>
      </c>
      <c r="J2078" t="str">
        <f t="shared" si="321"/>
        <v>39</v>
      </c>
      <c r="K2078">
        <v>20190412</v>
      </c>
      <c r="L2078" t="str">
        <f>"076477"</f>
        <v>076477</v>
      </c>
      <c r="M2078" t="str">
        <f>"45093"</f>
        <v>45093</v>
      </c>
      <c r="N2078" t="s">
        <v>885</v>
      </c>
      <c r="O2078">
        <v>140</v>
      </c>
      <c r="P2078">
        <v>20190410</v>
      </c>
      <c r="Q2078" t="s">
        <v>1091</v>
      </c>
      <c r="R2078" t="s">
        <v>1108</v>
      </c>
      <c r="S2078" t="s">
        <v>295</v>
      </c>
      <c r="T2078" t="s">
        <v>301</v>
      </c>
    </row>
    <row r="2079" spans="1:20" x14ac:dyDescent="0.25">
      <c r="A2079">
        <v>9</v>
      </c>
      <c r="B2079">
        <v>181</v>
      </c>
      <c r="C2079" t="str">
        <f t="shared" si="318"/>
        <v>36</v>
      </c>
      <c r="D2079">
        <v>6412</v>
      </c>
      <c r="E2079" t="str">
        <f>"3U"</f>
        <v>3U</v>
      </c>
      <c r="F2079" t="str">
        <f t="shared" si="320"/>
        <v>001</v>
      </c>
      <c r="G2079">
        <v>9</v>
      </c>
      <c r="H2079" t="str">
        <f t="shared" si="319"/>
        <v>91</v>
      </c>
      <c r="I2079" t="str">
        <f>"1"</f>
        <v>1</v>
      </c>
      <c r="J2079" t="str">
        <f t="shared" si="321"/>
        <v>39</v>
      </c>
      <c r="K2079">
        <v>20190412</v>
      </c>
      <c r="L2079" t="str">
        <f>"076477"</f>
        <v>076477</v>
      </c>
      <c r="M2079" t="str">
        <f>"45093"</f>
        <v>45093</v>
      </c>
      <c r="N2079" t="s">
        <v>885</v>
      </c>
      <c r="O2079">
        <v>145.6</v>
      </c>
      <c r="P2079">
        <v>20190410</v>
      </c>
      <c r="Q2079" t="s">
        <v>1091</v>
      </c>
      <c r="R2079" t="s">
        <v>1274</v>
      </c>
      <c r="S2079" t="s">
        <v>295</v>
      </c>
      <c r="T2079" t="s">
        <v>301</v>
      </c>
    </row>
    <row r="2080" spans="1:20" x14ac:dyDescent="0.25">
      <c r="A2080">
        <v>9</v>
      </c>
      <c r="B2080">
        <v>181</v>
      </c>
      <c r="C2080" t="str">
        <f t="shared" si="318"/>
        <v>36</v>
      </c>
      <c r="D2080">
        <v>6219</v>
      </c>
      <c r="E2080" t="str">
        <f>"3A"</f>
        <v>3A</v>
      </c>
      <c r="F2080" t="str">
        <f t="shared" si="320"/>
        <v>001</v>
      </c>
      <c r="G2080">
        <v>9</v>
      </c>
      <c r="H2080" t="str">
        <f t="shared" si="319"/>
        <v>91</v>
      </c>
      <c r="I2080" t="str">
        <f>"0"</f>
        <v>0</v>
      </c>
      <c r="J2080" t="str">
        <f t="shared" si="321"/>
        <v>39</v>
      </c>
      <c r="K2080">
        <v>20190412</v>
      </c>
      <c r="L2080" t="str">
        <f>"076484"</f>
        <v>076484</v>
      </c>
      <c r="M2080" t="str">
        <f>"00800"</f>
        <v>00800</v>
      </c>
      <c r="N2080" t="s">
        <v>1275</v>
      </c>
      <c r="O2080">
        <v>135</v>
      </c>
      <c r="P2080">
        <v>20190411</v>
      </c>
      <c r="Q2080" t="s">
        <v>1088</v>
      </c>
      <c r="R2080" t="s">
        <v>1272</v>
      </c>
      <c r="S2080" t="s">
        <v>295</v>
      </c>
      <c r="T2080" t="s">
        <v>301</v>
      </c>
    </row>
    <row r="2081" spans="1:20" x14ac:dyDescent="0.25">
      <c r="A2081">
        <v>9</v>
      </c>
      <c r="B2081">
        <v>181</v>
      </c>
      <c r="C2081" t="str">
        <f t="shared" si="318"/>
        <v>36</v>
      </c>
      <c r="D2081">
        <v>6219</v>
      </c>
      <c r="E2081" t="str">
        <f>"3P"</f>
        <v>3P</v>
      </c>
      <c r="F2081" t="str">
        <f t="shared" si="320"/>
        <v>001</v>
      </c>
      <c r="G2081">
        <v>9</v>
      </c>
      <c r="H2081" t="str">
        <f t="shared" si="319"/>
        <v>91</v>
      </c>
      <c r="I2081" t="str">
        <f>"0"</f>
        <v>0</v>
      </c>
      <c r="J2081" t="str">
        <f t="shared" si="321"/>
        <v>39</v>
      </c>
      <c r="K2081">
        <v>20190412</v>
      </c>
      <c r="L2081" t="str">
        <f>"076485"</f>
        <v>076485</v>
      </c>
      <c r="M2081" t="str">
        <f>"49189"</f>
        <v>49189</v>
      </c>
      <c r="N2081" t="s">
        <v>364</v>
      </c>
      <c r="O2081">
        <v>145</v>
      </c>
      <c r="P2081">
        <v>20190411</v>
      </c>
      <c r="Q2081" t="s">
        <v>961</v>
      </c>
      <c r="R2081" t="s">
        <v>1252</v>
      </c>
      <c r="S2081" t="s">
        <v>295</v>
      </c>
      <c r="T2081" t="s">
        <v>301</v>
      </c>
    </row>
    <row r="2082" spans="1:20" x14ac:dyDescent="0.25">
      <c r="A2082">
        <v>9</v>
      </c>
      <c r="B2082">
        <v>181</v>
      </c>
      <c r="C2082" t="str">
        <f t="shared" si="318"/>
        <v>36</v>
      </c>
      <c r="D2082">
        <v>6219</v>
      </c>
      <c r="E2082" t="str">
        <f>"3P"</f>
        <v>3P</v>
      </c>
      <c r="F2082" t="str">
        <f t="shared" si="320"/>
        <v>001</v>
      </c>
      <c r="G2082">
        <v>9</v>
      </c>
      <c r="H2082" t="str">
        <f t="shared" si="319"/>
        <v>91</v>
      </c>
      <c r="I2082" t="str">
        <f>"0"</f>
        <v>0</v>
      </c>
      <c r="J2082" t="str">
        <f t="shared" si="321"/>
        <v>39</v>
      </c>
      <c r="K2082">
        <v>20190412</v>
      </c>
      <c r="L2082" t="str">
        <f>"076487"</f>
        <v>076487</v>
      </c>
      <c r="M2082" t="str">
        <f>"49834"</f>
        <v>49834</v>
      </c>
      <c r="N2082" t="s">
        <v>530</v>
      </c>
      <c r="O2082">
        <v>145</v>
      </c>
      <c r="P2082">
        <v>20190411</v>
      </c>
      <c r="Q2082" t="s">
        <v>961</v>
      </c>
      <c r="R2082" t="s">
        <v>1253</v>
      </c>
      <c r="S2082" t="s">
        <v>295</v>
      </c>
      <c r="T2082" t="s">
        <v>301</v>
      </c>
    </row>
    <row r="2083" spans="1:20" x14ac:dyDescent="0.25">
      <c r="A2083">
        <v>9</v>
      </c>
      <c r="B2083">
        <v>181</v>
      </c>
      <c r="C2083" t="str">
        <f t="shared" si="318"/>
        <v>36</v>
      </c>
      <c r="D2083">
        <v>6219</v>
      </c>
      <c r="E2083" t="str">
        <f>"3A"</f>
        <v>3A</v>
      </c>
      <c r="F2083" t="str">
        <f t="shared" si="320"/>
        <v>001</v>
      </c>
      <c r="G2083">
        <v>9</v>
      </c>
      <c r="H2083" t="str">
        <f t="shared" si="319"/>
        <v>91</v>
      </c>
      <c r="I2083" t="str">
        <f>"0"</f>
        <v>0</v>
      </c>
      <c r="J2083" t="str">
        <f t="shared" si="321"/>
        <v>39</v>
      </c>
      <c r="K2083">
        <v>20190412</v>
      </c>
      <c r="L2083" t="str">
        <f>"076490"</f>
        <v>076490</v>
      </c>
      <c r="M2083" t="str">
        <f>"49867"</f>
        <v>49867</v>
      </c>
      <c r="N2083" t="s">
        <v>1276</v>
      </c>
      <c r="O2083">
        <v>85</v>
      </c>
      <c r="P2083">
        <v>20190411</v>
      </c>
      <c r="Q2083" t="s">
        <v>1088</v>
      </c>
      <c r="R2083" t="s">
        <v>1269</v>
      </c>
      <c r="S2083" t="s">
        <v>295</v>
      </c>
      <c r="T2083" t="s">
        <v>301</v>
      </c>
    </row>
    <row r="2084" spans="1:20" x14ac:dyDescent="0.25">
      <c r="A2084">
        <v>9</v>
      </c>
      <c r="B2084">
        <v>181</v>
      </c>
      <c r="C2084" t="str">
        <f t="shared" si="318"/>
        <v>36</v>
      </c>
      <c r="D2084">
        <v>6499</v>
      </c>
      <c r="E2084" t="str">
        <f>"99"</f>
        <v>99</v>
      </c>
      <c r="F2084" t="str">
        <f t="shared" si="320"/>
        <v>001</v>
      </c>
      <c r="G2084">
        <v>9</v>
      </c>
      <c r="H2084" t="str">
        <f t="shared" si="319"/>
        <v>91</v>
      </c>
      <c r="I2084" t="str">
        <f>"0"</f>
        <v>0</v>
      </c>
      <c r="J2084" t="str">
        <f t="shared" si="321"/>
        <v>39</v>
      </c>
      <c r="K2084">
        <v>20190412</v>
      </c>
      <c r="L2084" t="str">
        <f>"076491"</f>
        <v>076491</v>
      </c>
      <c r="M2084" t="str">
        <f>"51347"</f>
        <v>51347</v>
      </c>
      <c r="N2084" t="s">
        <v>1158</v>
      </c>
      <c r="O2084">
        <v>70</v>
      </c>
      <c r="P2084">
        <v>20190411</v>
      </c>
      <c r="Q2084" t="s">
        <v>1159</v>
      </c>
      <c r="R2084" t="s">
        <v>1277</v>
      </c>
      <c r="S2084" t="s">
        <v>295</v>
      </c>
      <c r="T2084" t="s">
        <v>301</v>
      </c>
    </row>
    <row r="2085" spans="1:20" x14ac:dyDescent="0.25">
      <c r="A2085">
        <v>9</v>
      </c>
      <c r="B2085">
        <v>181</v>
      </c>
      <c r="C2085" t="str">
        <f t="shared" si="318"/>
        <v>36</v>
      </c>
      <c r="D2085">
        <v>6412</v>
      </c>
      <c r="E2085" t="str">
        <f>"09"</f>
        <v>09</v>
      </c>
      <c r="F2085" t="str">
        <f t="shared" si="320"/>
        <v>001</v>
      </c>
      <c r="G2085">
        <v>9</v>
      </c>
      <c r="H2085" t="str">
        <f t="shared" si="319"/>
        <v>91</v>
      </c>
      <c r="I2085" t="str">
        <f>"G"</f>
        <v>G</v>
      </c>
      <c r="J2085" t="str">
        <f t="shared" si="321"/>
        <v>39</v>
      </c>
      <c r="K2085">
        <v>20190412</v>
      </c>
      <c r="L2085" t="str">
        <f>"076495"</f>
        <v>076495</v>
      </c>
      <c r="M2085" t="str">
        <f>"57322"</f>
        <v>57322</v>
      </c>
      <c r="N2085" t="s">
        <v>1278</v>
      </c>
      <c r="O2085">
        <v>125</v>
      </c>
      <c r="P2085">
        <v>20190411</v>
      </c>
      <c r="Q2085" t="s">
        <v>1279</v>
      </c>
      <c r="R2085" t="s">
        <v>1280</v>
      </c>
      <c r="S2085" t="s">
        <v>295</v>
      </c>
      <c r="T2085" t="s">
        <v>301</v>
      </c>
    </row>
    <row r="2086" spans="1:20" x14ac:dyDescent="0.25">
      <c r="A2086">
        <v>9</v>
      </c>
      <c r="B2086">
        <v>181</v>
      </c>
      <c r="C2086" t="str">
        <f t="shared" si="318"/>
        <v>36</v>
      </c>
      <c r="D2086">
        <v>6412</v>
      </c>
      <c r="E2086" t="str">
        <f>"09"</f>
        <v>09</v>
      </c>
      <c r="F2086" t="str">
        <f t="shared" si="320"/>
        <v>001</v>
      </c>
      <c r="G2086">
        <v>9</v>
      </c>
      <c r="H2086" t="str">
        <f t="shared" si="319"/>
        <v>91</v>
      </c>
      <c r="I2086" t="str">
        <f>"G"</f>
        <v>G</v>
      </c>
      <c r="J2086" t="str">
        <f t="shared" si="321"/>
        <v>39</v>
      </c>
      <c r="K2086">
        <v>20190412</v>
      </c>
      <c r="L2086" t="str">
        <f>"076495"</f>
        <v>076495</v>
      </c>
      <c r="M2086" t="str">
        <f>"57322"</f>
        <v>57322</v>
      </c>
      <c r="N2086" t="s">
        <v>1278</v>
      </c>
      <c r="O2086">
        <v>56</v>
      </c>
      <c r="P2086">
        <v>20190411</v>
      </c>
      <c r="Q2086" t="s">
        <v>1279</v>
      </c>
      <c r="R2086" t="s">
        <v>1280</v>
      </c>
      <c r="S2086" t="s">
        <v>295</v>
      </c>
      <c r="T2086" t="s">
        <v>301</v>
      </c>
    </row>
    <row r="2087" spans="1:20" x14ac:dyDescent="0.25">
      <c r="A2087">
        <v>9</v>
      </c>
      <c r="B2087">
        <v>181</v>
      </c>
      <c r="C2087" t="str">
        <f t="shared" si="318"/>
        <v>36</v>
      </c>
      <c r="D2087">
        <v>6412</v>
      </c>
      <c r="E2087" t="str">
        <f>"09"</f>
        <v>09</v>
      </c>
      <c r="F2087" t="str">
        <f t="shared" si="320"/>
        <v>001</v>
      </c>
      <c r="G2087">
        <v>9</v>
      </c>
      <c r="H2087" t="str">
        <f t="shared" si="319"/>
        <v>91</v>
      </c>
      <c r="I2087" t="str">
        <f>"G"</f>
        <v>G</v>
      </c>
      <c r="J2087" t="str">
        <f t="shared" si="321"/>
        <v>39</v>
      </c>
      <c r="K2087">
        <v>20190412</v>
      </c>
      <c r="L2087" t="str">
        <f>"076495"</f>
        <v>076495</v>
      </c>
      <c r="M2087" t="str">
        <f>"57322"</f>
        <v>57322</v>
      </c>
      <c r="N2087" t="s">
        <v>1278</v>
      </c>
      <c r="O2087">
        <v>40</v>
      </c>
      <c r="P2087">
        <v>20190411</v>
      </c>
      <c r="Q2087" t="s">
        <v>1279</v>
      </c>
      <c r="R2087" t="s">
        <v>1280</v>
      </c>
      <c r="S2087" t="s">
        <v>295</v>
      </c>
      <c r="T2087" t="s">
        <v>301</v>
      </c>
    </row>
    <row r="2088" spans="1:20" x14ac:dyDescent="0.25">
      <c r="A2088">
        <v>9</v>
      </c>
      <c r="B2088">
        <v>181</v>
      </c>
      <c r="C2088" t="str">
        <f t="shared" si="318"/>
        <v>36</v>
      </c>
      <c r="D2088">
        <v>6219</v>
      </c>
      <c r="E2088" t="str">
        <f>"3P"</f>
        <v>3P</v>
      </c>
      <c r="F2088" t="str">
        <f t="shared" si="320"/>
        <v>001</v>
      </c>
      <c r="G2088">
        <v>9</v>
      </c>
      <c r="H2088" t="str">
        <f t="shared" si="319"/>
        <v>91</v>
      </c>
      <c r="I2088" t="str">
        <f>"1"</f>
        <v>1</v>
      </c>
      <c r="J2088" t="str">
        <f t="shared" si="321"/>
        <v>39</v>
      </c>
      <c r="K2088">
        <v>20190412</v>
      </c>
      <c r="L2088" t="str">
        <f>"076497"</f>
        <v>076497</v>
      </c>
      <c r="M2088" t="str">
        <f>"57964"</f>
        <v>57964</v>
      </c>
      <c r="N2088" t="s">
        <v>578</v>
      </c>
      <c r="O2088">
        <v>96</v>
      </c>
      <c r="P2088">
        <v>20190411</v>
      </c>
      <c r="Q2088" t="s">
        <v>1152</v>
      </c>
      <c r="R2088" t="s">
        <v>1253</v>
      </c>
      <c r="S2088" t="s">
        <v>295</v>
      </c>
      <c r="T2088" t="s">
        <v>301</v>
      </c>
    </row>
    <row r="2089" spans="1:20" x14ac:dyDescent="0.25">
      <c r="A2089">
        <v>9</v>
      </c>
      <c r="B2089">
        <v>181</v>
      </c>
      <c r="C2089" t="str">
        <f t="shared" si="318"/>
        <v>36</v>
      </c>
      <c r="D2089">
        <v>6219</v>
      </c>
      <c r="E2089" t="str">
        <f>"3A"</f>
        <v>3A</v>
      </c>
      <c r="F2089" t="str">
        <f t="shared" si="320"/>
        <v>001</v>
      </c>
      <c r="G2089">
        <v>9</v>
      </c>
      <c r="H2089" t="str">
        <f t="shared" si="319"/>
        <v>91</v>
      </c>
      <c r="I2089" t="str">
        <f>"1"</f>
        <v>1</v>
      </c>
      <c r="J2089" t="str">
        <f t="shared" si="321"/>
        <v>39</v>
      </c>
      <c r="K2089">
        <v>20190412</v>
      </c>
      <c r="L2089" t="str">
        <f>"076508"</f>
        <v>076508</v>
      </c>
      <c r="M2089" t="str">
        <f>"63670"</f>
        <v>63670</v>
      </c>
      <c r="N2089" t="s">
        <v>383</v>
      </c>
      <c r="O2089">
        <v>96</v>
      </c>
      <c r="P2089">
        <v>20190411</v>
      </c>
      <c r="Q2089" t="s">
        <v>1201</v>
      </c>
      <c r="R2089" t="s">
        <v>1269</v>
      </c>
      <c r="S2089" t="s">
        <v>295</v>
      </c>
      <c r="T2089" t="s">
        <v>301</v>
      </c>
    </row>
    <row r="2090" spans="1:20" x14ac:dyDescent="0.25">
      <c r="A2090">
        <v>9</v>
      </c>
      <c r="B2090">
        <v>181</v>
      </c>
      <c r="C2090" t="str">
        <f t="shared" si="318"/>
        <v>36</v>
      </c>
      <c r="D2090">
        <v>6412</v>
      </c>
      <c r="E2090" t="str">
        <f>"09"</f>
        <v>09</v>
      </c>
      <c r="F2090" t="str">
        <f t="shared" si="320"/>
        <v>001</v>
      </c>
      <c r="G2090">
        <v>9</v>
      </c>
      <c r="H2090" t="str">
        <f t="shared" si="319"/>
        <v>91</v>
      </c>
      <c r="I2090" t="str">
        <f>"T"</f>
        <v>T</v>
      </c>
      <c r="J2090" t="str">
        <f t="shared" si="321"/>
        <v>39</v>
      </c>
      <c r="K2090">
        <v>20190412</v>
      </c>
      <c r="L2090" t="str">
        <f>"076512"</f>
        <v>076512</v>
      </c>
      <c r="M2090" t="str">
        <f>"68107"</f>
        <v>68107</v>
      </c>
      <c r="N2090" t="s">
        <v>449</v>
      </c>
      <c r="O2090">
        <v>557</v>
      </c>
      <c r="P2090">
        <v>20190411</v>
      </c>
      <c r="Q2090" t="s">
        <v>544</v>
      </c>
      <c r="R2090" t="s">
        <v>1264</v>
      </c>
      <c r="S2090" t="s">
        <v>295</v>
      </c>
      <c r="T2090" t="s">
        <v>301</v>
      </c>
    </row>
    <row r="2091" spans="1:20" x14ac:dyDescent="0.25">
      <c r="A2091">
        <v>9</v>
      </c>
      <c r="B2091">
        <v>181</v>
      </c>
      <c r="C2091" t="str">
        <f t="shared" si="318"/>
        <v>36</v>
      </c>
      <c r="D2091">
        <v>6411</v>
      </c>
      <c r="E2091" t="str">
        <f>"33"</f>
        <v>33</v>
      </c>
      <c r="F2091" t="str">
        <f t="shared" si="320"/>
        <v>001</v>
      </c>
      <c r="G2091">
        <v>9</v>
      </c>
      <c r="H2091" t="str">
        <f t="shared" si="319"/>
        <v>91</v>
      </c>
      <c r="I2091" t="str">
        <f>"0"</f>
        <v>0</v>
      </c>
      <c r="J2091" t="str">
        <f t="shared" si="321"/>
        <v>39</v>
      </c>
      <c r="K2091">
        <v>20190412</v>
      </c>
      <c r="L2091" t="str">
        <f>"076513"</f>
        <v>076513</v>
      </c>
      <c r="M2091" t="str">
        <f>"70200"</f>
        <v>70200</v>
      </c>
      <c r="N2091" t="s">
        <v>1281</v>
      </c>
      <c r="O2091">
        <v>130</v>
      </c>
      <c r="P2091">
        <v>20190411</v>
      </c>
      <c r="Q2091" t="s">
        <v>306</v>
      </c>
      <c r="R2091" t="s">
        <v>1282</v>
      </c>
      <c r="S2091" t="s">
        <v>295</v>
      </c>
      <c r="T2091" t="s">
        <v>301</v>
      </c>
    </row>
    <row r="2092" spans="1:20" x14ac:dyDescent="0.25">
      <c r="A2092">
        <v>9</v>
      </c>
      <c r="B2092">
        <v>181</v>
      </c>
      <c r="C2092" t="str">
        <f t="shared" si="318"/>
        <v>36</v>
      </c>
      <c r="D2092">
        <v>6412</v>
      </c>
      <c r="E2092" t="str">
        <f>"09"</f>
        <v>09</v>
      </c>
      <c r="F2092" t="str">
        <f t="shared" si="320"/>
        <v>001</v>
      </c>
      <c r="G2092">
        <v>9</v>
      </c>
      <c r="H2092" t="str">
        <f t="shared" si="319"/>
        <v>91</v>
      </c>
      <c r="I2092" t="str">
        <f>"G"</f>
        <v>G</v>
      </c>
      <c r="J2092" t="str">
        <f t="shared" si="321"/>
        <v>39</v>
      </c>
      <c r="K2092">
        <v>20190412</v>
      </c>
      <c r="L2092" t="str">
        <f>"076516"</f>
        <v>076516</v>
      </c>
      <c r="M2092" t="str">
        <f>"00168"</f>
        <v>00168</v>
      </c>
      <c r="N2092" t="s">
        <v>1283</v>
      </c>
      <c r="O2092">
        <v>518.84</v>
      </c>
      <c r="P2092">
        <v>20190411</v>
      </c>
      <c r="Q2092" t="s">
        <v>1279</v>
      </c>
      <c r="R2092" t="s">
        <v>1280</v>
      </c>
      <c r="S2092" t="s">
        <v>295</v>
      </c>
      <c r="T2092" t="s">
        <v>301</v>
      </c>
    </row>
    <row r="2093" spans="1:20" x14ac:dyDescent="0.25">
      <c r="A2093">
        <v>9</v>
      </c>
      <c r="B2093">
        <v>181</v>
      </c>
      <c r="C2093" t="str">
        <f t="shared" si="318"/>
        <v>36</v>
      </c>
      <c r="D2093">
        <v>6412</v>
      </c>
      <c r="E2093" t="str">
        <f>"3J"</f>
        <v>3J</v>
      </c>
      <c r="F2093" t="str">
        <f>"041"</f>
        <v>041</v>
      </c>
      <c r="G2093">
        <v>9</v>
      </c>
      <c r="H2093" t="str">
        <f t="shared" si="319"/>
        <v>91</v>
      </c>
      <c r="I2093" t="str">
        <f>"1"</f>
        <v>1</v>
      </c>
      <c r="J2093" t="str">
        <f>"41"</f>
        <v>41</v>
      </c>
      <c r="K2093">
        <v>20190412</v>
      </c>
      <c r="L2093" t="str">
        <f>"076517"</f>
        <v>076517</v>
      </c>
      <c r="M2093" t="str">
        <f>"73994"</f>
        <v>73994</v>
      </c>
      <c r="N2093" t="s">
        <v>1284</v>
      </c>
      <c r="O2093">
        <v>158.78</v>
      </c>
      <c r="P2093">
        <v>20190411</v>
      </c>
      <c r="Q2093" t="s">
        <v>1247</v>
      </c>
      <c r="R2093" t="s">
        <v>1285</v>
      </c>
      <c r="S2093" t="s">
        <v>295</v>
      </c>
      <c r="T2093" t="s">
        <v>106</v>
      </c>
    </row>
    <row r="2094" spans="1:20" x14ac:dyDescent="0.25">
      <c r="A2094">
        <v>9</v>
      </c>
      <c r="B2094">
        <v>181</v>
      </c>
      <c r="C2094" t="str">
        <f t="shared" si="318"/>
        <v>36</v>
      </c>
      <c r="D2094">
        <v>6319</v>
      </c>
      <c r="E2094" t="str">
        <f>"30"</f>
        <v>30</v>
      </c>
      <c r="F2094" t="str">
        <f>"001"</f>
        <v>001</v>
      </c>
      <c r="G2094">
        <v>9</v>
      </c>
      <c r="H2094" t="str">
        <f t="shared" si="319"/>
        <v>91</v>
      </c>
      <c r="I2094" t="str">
        <f>"0"</f>
        <v>0</v>
      </c>
      <c r="J2094" t="str">
        <f>"39"</f>
        <v>39</v>
      </c>
      <c r="K2094">
        <v>20190412</v>
      </c>
      <c r="L2094" t="str">
        <f>"076524"</f>
        <v>076524</v>
      </c>
      <c r="M2094" t="str">
        <f>"79680"</f>
        <v>79680</v>
      </c>
      <c r="N2094" t="s">
        <v>500</v>
      </c>
      <c r="O2094">
        <v>100</v>
      </c>
      <c r="P2094">
        <v>20190412</v>
      </c>
      <c r="Q2094" t="s">
        <v>501</v>
      </c>
      <c r="R2094" t="s">
        <v>1274</v>
      </c>
      <c r="S2094" t="s">
        <v>295</v>
      </c>
      <c r="T2094" t="s">
        <v>301</v>
      </c>
    </row>
    <row r="2095" spans="1:20" x14ac:dyDescent="0.25">
      <c r="A2095">
        <v>9</v>
      </c>
      <c r="B2095">
        <v>181</v>
      </c>
      <c r="C2095" t="str">
        <f t="shared" si="318"/>
        <v>36</v>
      </c>
      <c r="D2095">
        <v>6319</v>
      </c>
      <c r="E2095" t="str">
        <f>"30"</f>
        <v>30</v>
      </c>
      <c r="F2095" t="str">
        <f>"041"</f>
        <v>041</v>
      </c>
      <c r="G2095">
        <v>9</v>
      </c>
      <c r="H2095" t="str">
        <f t="shared" si="319"/>
        <v>91</v>
      </c>
      <c r="I2095" t="str">
        <f>"0"</f>
        <v>0</v>
      </c>
      <c r="J2095" t="str">
        <f>"41"</f>
        <v>41</v>
      </c>
      <c r="K2095">
        <v>20190412</v>
      </c>
      <c r="L2095" t="str">
        <f>"076524"</f>
        <v>076524</v>
      </c>
      <c r="M2095" t="str">
        <f>"79680"</f>
        <v>79680</v>
      </c>
      <c r="N2095" t="s">
        <v>500</v>
      </c>
      <c r="O2095">
        <v>75</v>
      </c>
      <c r="P2095">
        <v>20190412</v>
      </c>
      <c r="Q2095" t="s">
        <v>503</v>
      </c>
      <c r="R2095" t="s">
        <v>886</v>
      </c>
      <c r="S2095" t="s">
        <v>295</v>
      </c>
      <c r="T2095" t="s">
        <v>106</v>
      </c>
    </row>
    <row r="2096" spans="1:20" x14ac:dyDescent="0.25">
      <c r="A2096">
        <v>9</v>
      </c>
      <c r="B2096">
        <v>181</v>
      </c>
      <c r="C2096" t="str">
        <f>"00"</f>
        <v>00</v>
      </c>
      <c r="D2096">
        <v>5752</v>
      </c>
      <c r="E2096" t="str">
        <f>"09"</f>
        <v>09</v>
      </c>
      <c r="F2096" t="str">
        <f t="shared" ref="F2096:F2118" si="322">"001"</f>
        <v>001</v>
      </c>
      <c r="G2096">
        <v>9</v>
      </c>
      <c r="H2096" t="str">
        <f>"00"</f>
        <v>00</v>
      </c>
      <c r="I2096" t="str">
        <f>"D"</f>
        <v>D</v>
      </c>
      <c r="J2096" t="str">
        <f t="shared" ref="J2096:J2118" si="323">"39"</f>
        <v>39</v>
      </c>
      <c r="K2096">
        <v>20190412</v>
      </c>
      <c r="L2096" t="str">
        <f>"076528"</f>
        <v>076528</v>
      </c>
      <c r="M2096" t="str">
        <f>"82176"</f>
        <v>82176</v>
      </c>
      <c r="N2096" t="s">
        <v>1286</v>
      </c>
      <c r="O2096">
        <v>122.4</v>
      </c>
      <c r="P2096">
        <v>20190412</v>
      </c>
      <c r="Q2096" t="s">
        <v>1254</v>
      </c>
      <c r="R2096" t="s">
        <v>1255</v>
      </c>
      <c r="S2096" t="s">
        <v>295</v>
      </c>
      <c r="T2096" t="s">
        <v>301</v>
      </c>
    </row>
    <row r="2097" spans="1:20" x14ac:dyDescent="0.25">
      <c r="A2097">
        <v>9</v>
      </c>
      <c r="B2097">
        <v>181</v>
      </c>
      <c r="C2097" t="str">
        <f t="shared" ref="C2097:C2128" si="324">"36"</f>
        <v>36</v>
      </c>
      <c r="D2097">
        <v>6411</v>
      </c>
      <c r="E2097" t="str">
        <f>"33"</f>
        <v>33</v>
      </c>
      <c r="F2097" t="str">
        <f t="shared" si="322"/>
        <v>001</v>
      </c>
      <c r="G2097">
        <v>9</v>
      </c>
      <c r="H2097" t="str">
        <f t="shared" ref="H2097:H2128" si="325">"91"</f>
        <v>91</v>
      </c>
      <c r="I2097" t="str">
        <f>"0"</f>
        <v>0</v>
      </c>
      <c r="J2097" t="str">
        <f t="shared" si="323"/>
        <v>39</v>
      </c>
      <c r="K2097">
        <v>20190412</v>
      </c>
      <c r="L2097" t="str">
        <f>"076530"</f>
        <v>076530</v>
      </c>
      <c r="M2097" t="str">
        <f>"82383"</f>
        <v>82383</v>
      </c>
      <c r="N2097" t="s">
        <v>1287</v>
      </c>
      <c r="O2097">
        <v>175</v>
      </c>
      <c r="P2097">
        <v>20190412</v>
      </c>
      <c r="Q2097" t="s">
        <v>306</v>
      </c>
      <c r="R2097" t="s">
        <v>1288</v>
      </c>
      <c r="S2097" t="s">
        <v>295</v>
      </c>
      <c r="T2097" t="s">
        <v>301</v>
      </c>
    </row>
    <row r="2098" spans="1:20" x14ac:dyDescent="0.25">
      <c r="A2098">
        <v>9</v>
      </c>
      <c r="B2098">
        <v>181</v>
      </c>
      <c r="C2098" t="str">
        <f t="shared" si="324"/>
        <v>36</v>
      </c>
      <c r="D2098">
        <v>6411</v>
      </c>
      <c r="E2098" t="str">
        <f>"33"</f>
        <v>33</v>
      </c>
      <c r="F2098" t="str">
        <f t="shared" si="322"/>
        <v>001</v>
      </c>
      <c r="G2098">
        <v>9</v>
      </c>
      <c r="H2098" t="str">
        <f t="shared" si="325"/>
        <v>91</v>
      </c>
      <c r="I2098" t="str">
        <f>"0"</f>
        <v>0</v>
      </c>
      <c r="J2098" t="str">
        <f t="shared" si="323"/>
        <v>39</v>
      </c>
      <c r="K2098">
        <v>20190412</v>
      </c>
      <c r="L2098" t="str">
        <f>"076530"</f>
        <v>076530</v>
      </c>
      <c r="M2098" t="str">
        <f>"82383"</f>
        <v>82383</v>
      </c>
      <c r="N2098" t="s">
        <v>1287</v>
      </c>
      <c r="O2098">
        <v>175</v>
      </c>
      <c r="P2098">
        <v>20190412</v>
      </c>
      <c r="Q2098" t="s">
        <v>306</v>
      </c>
      <c r="R2098" t="s">
        <v>1288</v>
      </c>
      <c r="S2098" t="s">
        <v>295</v>
      </c>
      <c r="T2098" t="s">
        <v>301</v>
      </c>
    </row>
    <row r="2099" spans="1:20" x14ac:dyDescent="0.25">
      <c r="A2099">
        <v>9</v>
      </c>
      <c r="B2099">
        <v>181</v>
      </c>
      <c r="C2099" t="str">
        <f t="shared" si="324"/>
        <v>36</v>
      </c>
      <c r="D2099">
        <v>6412</v>
      </c>
      <c r="E2099" t="str">
        <f>"3P"</f>
        <v>3P</v>
      </c>
      <c r="F2099" t="str">
        <f t="shared" si="322"/>
        <v>001</v>
      </c>
      <c r="G2099">
        <v>9</v>
      </c>
      <c r="H2099" t="str">
        <f t="shared" si="325"/>
        <v>91</v>
      </c>
      <c r="I2099" t="str">
        <f>"1"</f>
        <v>1</v>
      </c>
      <c r="J2099" t="str">
        <f t="shared" si="323"/>
        <v>39</v>
      </c>
      <c r="K2099">
        <v>20190412</v>
      </c>
      <c r="L2099" t="str">
        <f>"076532"</f>
        <v>076532</v>
      </c>
      <c r="M2099" t="str">
        <f>"84367"</f>
        <v>84367</v>
      </c>
      <c r="N2099" t="s">
        <v>919</v>
      </c>
      <c r="O2099">
        <v>128.13999999999999</v>
      </c>
      <c r="P2099">
        <v>20190412</v>
      </c>
      <c r="Q2099" t="s">
        <v>1046</v>
      </c>
      <c r="R2099" t="s">
        <v>1289</v>
      </c>
      <c r="S2099" t="s">
        <v>295</v>
      </c>
      <c r="T2099" t="s">
        <v>301</v>
      </c>
    </row>
    <row r="2100" spans="1:20" x14ac:dyDescent="0.25">
      <c r="A2100">
        <v>9</v>
      </c>
      <c r="B2100">
        <v>181</v>
      </c>
      <c r="C2100" t="str">
        <f t="shared" si="324"/>
        <v>36</v>
      </c>
      <c r="D2100">
        <v>6412</v>
      </c>
      <c r="E2100" t="str">
        <f>"3P"</f>
        <v>3P</v>
      </c>
      <c r="F2100" t="str">
        <f t="shared" si="322"/>
        <v>001</v>
      </c>
      <c r="G2100">
        <v>9</v>
      </c>
      <c r="H2100" t="str">
        <f t="shared" si="325"/>
        <v>91</v>
      </c>
      <c r="I2100" t="str">
        <f>"1"</f>
        <v>1</v>
      </c>
      <c r="J2100" t="str">
        <f t="shared" si="323"/>
        <v>39</v>
      </c>
      <c r="K2100">
        <v>20190412</v>
      </c>
      <c r="L2100" t="str">
        <f>"076532"</f>
        <v>076532</v>
      </c>
      <c r="M2100" t="str">
        <f>"84367"</f>
        <v>84367</v>
      </c>
      <c r="N2100" t="s">
        <v>919</v>
      </c>
      <c r="O2100">
        <v>140.19</v>
      </c>
      <c r="P2100">
        <v>20190412</v>
      </c>
      <c r="Q2100" t="s">
        <v>1046</v>
      </c>
      <c r="R2100" t="s">
        <v>1290</v>
      </c>
      <c r="S2100" t="s">
        <v>295</v>
      </c>
      <c r="T2100" t="s">
        <v>301</v>
      </c>
    </row>
    <row r="2101" spans="1:20" x14ac:dyDescent="0.25">
      <c r="A2101">
        <v>9</v>
      </c>
      <c r="B2101">
        <v>181</v>
      </c>
      <c r="C2101" t="str">
        <f t="shared" si="324"/>
        <v>36</v>
      </c>
      <c r="D2101">
        <v>6412</v>
      </c>
      <c r="E2101" t="str">
        <f>"3W"</f>
        <v>3W</v>
      </c>
      <c r="F2101" t="str">
        <f t="shared" si="322"/>
        <v>001</v>
      </c>
      <c r="G2101">
        <v>9</v>
      </c>
      <c r="H2101" t="str">
        <f t="shared" si="325"/>
        <v>91</v>
      </c>
      <c r="I2101" t="str">
        <f>"1"</f>
        <v>1</v>
      </c>
      <c r="J2101" t="str">
        <f t="shared" si="323"/>
        <v>39</v>
      </c>
      <c r="K2101">
        <v>20190412</v>
      </c>
      <c r="L2101" t="str">
        <f>"076532"</f>
        <v>076532</v>
      </c>
      <c r="M2101" t="str">
        <f>"84367"</f>
        <v>84367</v>
      </c>
      <c r="N2101" t="s">
        <v>919</v>
      </c>
      <c r="O2101">
        <v>183.04</v>
      </c>
      <c r="P2101">
        <v>20190412</v>
      </c>
      <c r="Q2101" t="s">
        <v>1189</v>
      </c>
      <c r="R2101" t="s">
        <v>1291</v>
      </c>
      <c r="S2101" t="s">
        <v>295</v>
      </c>
      <c r="T2101" t="s">
        <v>301</v>
      </c>
    </row>
    <row r="2102" spans="1:20" x14ac:dyDescent="0.25">
      <c r="A2102">
        <v>9</v>
      </c>
      <c r="B2102">
        <v>181</v>
      </c>
      <c r="C2102" t="str">
        <f t="shared" si="324"/>
        <v>36</v>
      </c>
      <c r="D2102">
        <v>6412</v>
      </c>
      <c r="E2102" t="str">
        <f>"3W"</f>
        <v>3W</v>
      </c>
      <c r="F2102" t="str">
        <f t="shared" si="322"/>
        <v>001</v>
      </c>
      <c r="G2102">
        <v>9</v>
      </c>
      <c r="H2102" t="str">
        <f t="shared" si="325"/>
        <v>91</v>
      </c>
      <c r="I2102" t="str">
        <f>"1"</f>
        <v>1</v>
      </c>
      <c r="J2102" t="str">
        <f t="shared" si="323"/>
        <v>39</v>
      </c>
      <c r="K2102">
        <v>20190412</v>
      </c>
      <c r="L2102" t="str">
        <f>"076532"</f>
        <v>076532</v>
      </c>
      <c r="M2102" t="str">
        <f>"84367"</f>
        <v>84367</v>
      </c>
      <c r="N2102" t="s">
        <v>919</v>
      </c>
      <c r="O2102">
        <v>161.91999999999999</v>
      </c>
      <c r="P2102">
        <v>20190412</v>
      </c>
      <c r="Q2102" t="s">
        <v>1189</v>
      </c>
      <c r="R2102" t="s">
        <v>1291</v>
      </c>
      <c r="S2102" t="s">
        <v>295</v>
      </c>
      <c r="T2102" t="s">
        <v>301</v>
      </c>
    </row>
    <row r="2103" spans="1:20" x14ac:dyDescent="0.25">
      <c r="A2103">
        <v>9</v>
      </c>
      <c r="B2103">
        <v>181</v>
      </c>
      <c r="C2103" t="str">
        <f t="shared" si="324"/>
        <v>36</v>
      </c>
      <c r="D2103">
        <v>6412</v>
      </c>
      <c r="E2103" t="str">
        <f>"09"</f>
        <v>09</v>
      </c>
      <c r="F2103" t="str">
        <f t="shared" si="322"/>
        <v>001</v>
      </c>
      <c r="G2103">
        <v>9</v>
      </c>
      <c r="H2103" t="str">
        <f t="shared" si="325"/>
        <v>91</v>
      </c>
      <c r="I2103" t="str">
        <f>"S"</f>
        <v>S</v>
      </c>
      <c r="J2103" t="str">
        <f t="shared" si="323"/>
        <v>39</v>
      </c>
      <c r="K2103">
        <v>20190419</v>
      </c>
      <c r="L2103" t="str">
        <f>"076534"</f>
        <v>076534</v>
      </c>
      <c r="M2103" t="str">
        <f>"09170"</f>
        <v>09170</v>
      </c>
      <c r="N2103" t="s">
        <v>679</v>
      </c>
      <c r="O2103">
        <v>14.08</v>
      </c>
      <c r="P2103">
        <v>20190418</v>
      </c>
      <c r="Q2103" t="s">
        <v>874</v>
      </c>
      <c r="R2103" t="s">
        <v>944</v>
      </c>
      <c r="S2103" t="s">
        <v>295</v>
      </c>
      <c r="T2103" t="s">
        <v>301</v>
      </c>
    </row>
    <row r="2104" spans="1:20" x14ac:dyDescent="0.25">
      <c r="A2104">
        <v>9</v>
      </c>
      <c r="B2104">
        <v>181</v>
      </c>
      <c r="C2104" t="str">
        <f t="shared" si="324"/>
        <v>36</v>
      </c>
      <c r="D2104">
        <v>6412</v>
      </c>
      <c r="E2104" t="str">
        <f>"09"</f>
        <v>09</v>
      </c>
      <c r="F2104" t="str">
        <f t="shared" si="322"/>
        <v>001</v>
      </c>
      <c r="G2104">
        <v>9</v>
      </c>
      <c r="H2104" t="str">
        <f t="shared" si="325"/>
        <v>91</v>
      </c>
      <c r="I2104" t="str">
        <f>"W"</f>
        <v>W</v>
      </c>
      <c r="J2104" t="str">
        <f t="shared" si="323"/>
        <v>39</v>
      </c>
      <c r="K2104">
        <v>20190419</v>
      </c>
      <c r="L2104" t="str">
        <f>"076535"</f>
        <v>076535</v>
      </c>
      <c r="M2104" t="str">
        <f>"00804"</f>
        <v>00804</v>
      </c>
      <c r="N2104" t="s">
        <v>1260</v>
      </c>
      <c r="O2104">
        <v>929.88</v>
      </c>
      <c r="P2104">
        <v>20190418</v>
      </c>
      <c r="Q2104" t="s">
        <v>1292</v>
      </c>
      <c r="R2104" t="s">
        <v>1293</v>
      </c>
      <c r="S2104" t="s">
        <v>295</v>
      </c>
      <c r="T2104" t="s">
        <v>301</v>
      </c>
    </row>
    <row r="2105" spans="1:20" x14ac:dyDescent="0.25">
      <c r="A2105">
        <v>9</v>
      </c>
      <c r="B2105">
        <v>181</v>
      </c>
      <c r="C2105" t="str">
        <f t="shared" si="324"/>
        <v>36</v>
      </c>
      <c r="D2105">
        <v>6412</v>
      </c>
      <c r="E2105" t="str">
        <f>"09"</f>
        <v>09</v>
      </c>
      <c r="F2105" t="str">
        <f t="shared" si="322"/>
        <v>001</v>
      </c>
      <c r="G2105">
        <v>9</v>
      </c>
      <c r="H2105" t="str">
        <f t="shared" si="325"/>
        <v>91</v>
      </c>
      <c r="I2105" t="str">
        <f>"W"</f>
        <v>W</v>
      </c>
      <c r="J2105" t="str">
        <f t="shared" si="323"/>
        <v>39</v>
      </c>
      <c r="K2105">
        <v>20190419</v>
      </c>
      <c r="L2105" t="str">
        <f>"076537"</f>
        <v>076537</v>
      </c>
      <c r="M2105" t="str">
        <f>"52196"</f>
        <v>52196</v>
      </c>
      <c r="N2105" t="s">
        <v>292</v>
      </c>
      <c r="O2105">
        <v>288</v>
      </c>
      <c r="P2105">
        <v>20190418</v>
      </c>
      <c r="Q2105" t="s">
        <v>1292</v>
      </c>
      <c r="R2105" t="s">
        <v>1293</v>
      </c>
      <c r="S2105" t="s">
        <v>295</v>
      </c>
      <c r="T2105" t="s">
        <v>301</v>
      </c>
    </row>
    <row r="2106" spans="1:20" x14ac:dyDescent="0.25">
      <c r="A2106">
        <v>9</v>
      </c>
      <c r="B2106">
        <v>181</v>
      </c>
      <c r="C2106" t="str">
        <f t="shared" si="324"/>
        <v>36</v>
      </c>
      <c r="D2106">
        <v>6412</v>
      </c>
      <c r="E2106" t="str">
        <f>"09"</f>
        <v>09</v>
      </c>
      <c r="F2106" t="str">
        <f t="shared" si="322"/>
        <v>001</v>
      </c>
      <c r="G2106">
        <v>9</v>
      </c>
      <c r="H2106" t="str">
        <f t="shared" si="325"/>
        <v>91</v>
      </c>
      <c r="I2106" t="str">
        <f>"W"</f>
        <v>W</v>
      </c>
      <c r="J2106" t="str">
        <f t="shared" si="323"/>
        <v>39</v>
      </c>
      <c r="K2106">
        <v>20190419</v>
      </c>
      <c r="L2106" t="str">
        <f>"076537"</f>
        <v>076537</v>
      </c>
      <c r="M2106" t="str">
        <f>"52196"</f>
        <v>52196</v>
      </c>
      <c r="N2106" t="s">
        <v>292</v>
      </c>
      <c r="O2106">
        <v>300</v>
      </c>
      <c r="P2106">
        <v>20190418</v>
      </c>
      <c r="Q2106" t="s">
        <v>1292</v>
      </c>
      <c r="R2106" t="s">
        <v>1293</v>
      </c>
      <c r="S2106" t="s">
        <v>295</v>
      </c>
      <c r="T2106" t="s">
        <v>301</v>
      </c>
    </row>
    <row r="2107" spans="1:20" x14ac:dyDescent="0.25">
      <c r="A2107">
        <v>9</v>
      </c>
      <c r="B2107">
        <v>181</v>
      </c>
      <c r="C2107" t="str">
        <f t="shared" si="324"/>
        <v>36</v>
      </c>
      <c r="D2107">
        <v>6495</v>
      </c>
      <c r="E2107" t="str">
        <f>"30"</f>
        <v>30</v>
      </c>
      <c r="F2107" t="str">
        <f t="shared" si="322"/>
        <v>001</v>
      </c>
      <c r="G2107">
        <v>9</v>
      </c>
      <c r="H2107" t="str">
        <f t="shared" si="325"/>
        <v>91</v>
      </c>
      <c r="I2107" t="str">
        <f>"0"</f>
        <v>0</v>
      </c>
      <c r="J2107" t="str">
        <f t="shared" si="323"/>
        <v>39</v>
      </c>
      <c r="K2107">
        <v>20190419</v>
      </c>
      <c r="L2107" t="str">
        <f>"076544"</f>
        <v>076544</v>
      </c>
      <c r="M2107" t="str">
        <f>"78418"</f>
        <v>78418</v>
      </c>
      <c r="N2107" t="s">
        <v>1294</v>
      </c>
      <c r="O2107">
        <v>70</v>
      </c>
      <c r="P2107">
        <v>20190418</v>
      </c>
      <c r="Q2107" t="s">
        <v>428</v>
      </c>
      <c r="R2107" t="s">
        <v>1295</v>
      </c>
      <c r="S2107" t="s">
        <v>295</v>
      </c>
      <c r="T2107" t="s">
        <v>301</v>
      </c>
    </row>
    <row r="2108" spans="1:20" x14ac:dyDescent="0.25">
      <c r="A2108">
        <v>9</v>
      </c>
      <c r="B2108">
        <v>181</v>
      </c>
      <c r="C2108" t="str">
        <f t="shared" si="324"/>
        <v>36</v>
      </c>
      <c r="D2108">
        <v>6495</v>
      </c>
      <c r="E2108" t="str">
        <f>"30"</f>
        <v>30</v>
      </c>
      <c r="F2108" t="str">
        <f t="shared" si="322"/>
        <v>001</v>
      </c>
      <c r="G2108">
        <v>9</v>
      </c>
      <c r="H2108" t="str">
        <f t="shared" si="325"/>
        <v>91</v>
      </c>
      <c r="I2108" t="str">
        <f>"0"</f>
        <v>0</v>
      </c>
      <c r="J2108" t="str">
        <f t="shared" si="323"/>
        <v>39</v>
      </c>
      <c r="K2108">
        <v>20190419</v>
      </c>
      <c r="L2108" t="str">
        <f>"076544"</f>
        <v>076544</v>
      </c>
      <c r="M2108" t="str">
        <f>"78418"</f>
        <v>78418</v>
      </c>
      <c r="N2108" t="s">
        <v>1294</v>
      </c>
      <c r="O2108">
        <v>70</v>
      </c>
      <c r="P2108">
        <v>20190418</v>
      </c>
      <c r="Q2108" t="s">
        <v>428</v>
      </c>
      <c r="R2108" t="s">
        <v>1295</v>
      </c>
      <c r="S2108" t="s">
        <v>295</v>
      </c>
      <c r="T2108" t="s">
        <v>301</v>
      </c>
    </row>
    <row r="2109" spans="1:20" x14ac:dyDescent="0.25">
      <c r="A2109">
        <v>9</v>
      </c>
      <c r="B2109">
        <v>181</v>
      </c>
      <c r="C2109" t="str">
        <f t="shared" si="324"/>
        <v>36</v>
      </c>
      <c r="D2109">
        <v>6495</v>
      </c>
      <c r="E2109" t="str">
        <f>"30"</f>
        <v>30</v>
      </c>
      <c r="F2109" t="str">
        <f t="shared" si="322"/>
        <v>001</v>
      </c>
      <c r="G2109">
        <v>9</v>
      </c>
      <c r="H2109" t="str">
        <f t="shared" si="325"/>
        <v>91</v>
      </c>
      <c r="I2109" t="str">
        <f>"0"</f>
        <v>0</v>
      </c>
      <c r="J2109" t="str">
        <f t="shared" si="323"/>
        <v>39</v>
      </c>
      <c r="K2109">
        <v>20190419</v>
      </c>
      <c r="L2109" t="str">
        <f>"076544"</f>
        <v>076544</v>
      </c>
      <c r="M2109" t="str">
        <f>"78418"</f>
        <v>78418</v>
      </c>
      <c r="N2109" t="s">
        <v>1294</v>
      </c>
      <c r="O2109">
        <v>70</v>
      </c>
      <c r="P2109">
        <v>20190418</v>
      </c>
      <c r="Q2109" t="s">
        <v>428</v>
      </c>
      <c r="R2109" t="s">
        <v>1295</v>
      </c>
      <c r="S2109" t="s">
        <v>295</v>
      </c>
      <c r="T2109" t="s">
        <v>301</v>
      </c>
    </row>
    <row r="2110" spans="1:20" x14ac:dyDescent="0.25">
      <c r="A2110">
        <v>9</v>
      </c>
      <c r="B2110">
        <v>181</v>
      </c>
      <c r="C2110" t="str">
        <f t="shared" si="324"/>
        <v>36</v>
      </c>
      <c r="D2110">
        <v>6495</v>
      </c>
      <c r="E2110" t="str">
        <f>"30"</f>
        <v>30</v>
      </c>
      <c r="F2110" t="str">
        <f t="shared" si="322"/>
        <v>001</v>
      </c>
      <c r="G2110">
        <v>9</v>
      </c>
      <c r="H2110" t="str">
        <f t="shared" si="325"/>
        <v>91</v>
      </c>
      <c r="I2110" t="str">
        <f>"0"</f>
        <v>0</v>
      </c>
      <c r="J2110" t="str">
        <f t="shared" si="323"/>
        <v>39</v>
      </c>
      <c r="K2110">
        <v>20190419</v>
      </c>
      <c r="L2110" t="str">
        <f>"076544"</f>
        <v>076544</v>
      </c>
      <c r="M2110" t="str">
        <f>"78418"</f>
        <v>78418</v>
      </c>
      <c r="N2110" t="s">
        <v>1294</v>
      </c>
      <c r="O2110">
        <v>70</v>
      </c>
      <c r="P2110">
        <v>20190418</v>
      </c>
      <c r="Q2110" t="s">
        <v>428</v>
      </c>
      <c r="R2110" t="s">
        <v>1295</v>
      </c>
      <c r="S2110" t="s">
        <v>295</v>
      </c>
      <c r="T2110" t="s">
        <v>301</v>
      </c>
    </row>
    <row r="2111" spans="1:20" x14ac:dyDescent="0.25">
      <c r="A2111">
        <v>9</v>
      </c>
      <c r="B2111">
        <v>181</v>
      </c>
      <c r="C2111" t="str">
        <f t="shared" si="324"/>
        <v>36</v>
      </c>
      <c r="D2111">
        <v>6412</v>
      </c>
      <c r="E2111" t="str">
        <f>"09"</f>
        <v>09</v>
      </c>
      <c r="F2111" t="str">
        <f t="shared" si="322"/>
        <v>001</v>
      </c>
      <c r="G2111">
        <v>9</v>
      </c>
      <c r="H2111" t="str">
        <f t="shared" si="325"/>
        <v>91</v>
      </c>
      <c r="I2111" t="str">
        <f>"1"</f>
        <v>1</v>
      </c>
      <c r="J2111" t="str">
        <f t="shared" si="323"/>
        <v>39</v>
      </c>
      <c r="K2111">
        <v>20190425</v>
      </c>
      <c r="L2111" t="str">
        <f>"076547"</f>
        <v>076547</v>
      </c>
      <c r="M2111" t="str">
        <f>"48954"</f>
        <v>48954</v>
      </c>
      <c r="N2111" t="s">
        <v>1296</v>
      </c>
      <c r="O2111">
        <v>960</v>
      </c>
      <c r="P2111">
        <v>20190424</v>
      </c>
      <c r="Q2111" t="s">
        <v>1297</v>
      </c>
      <c r="R2111" t="s">
        <v>1298</v>
      </c>
      <c r="S2111" t="s">
        <v>295</v>
      </c>
      <c r="T2111" t="s">
        <v>301</v>
      </c>
    </row>
    <row r="2112" spans="1:20" x14ac:dyDescent="0.25">
      <c r="A2112">
        <v>9</v>
      </c>
      <c r="B2112">
        <v>181</v>
      </c>
      <c r="C2112" t="str">
        <f t="shared" si="324"/>
        <v>36</v>
      </c>
      <c r="D2112">
        <v>6412</v>
      </c>
      <c r="E2112" t="str">
        <f>"09"</f>
        <v>09</v>
      </c>
      <c r="F2112" t="str">
        <f t="shared" si="322"/>
        <v>001</v>
      </c>
      <c r="G2112">
        <v>9</v>
      </c>
      <c r="H2112" t="str">
        <f t="shared" si="325"/>
        <v>91</v>
      </c>
      <c r="I2112" t="str">
        <f>"1"</f>
        <v>1</v>
      </c>
      <c r="J2112" t="str">
        <f t="shared" si="323"/>
        <v>39</v>
      </c>
      <c r="K2112">
        <v>20190425</v>
      </c>
      <c r="L2112" t="str">
        <f>"076547"</f>
        <v>076547</v>
      </c>
      <c r="M2112" t="str">
        <f>"48954"</f>
        <v>48954</v>
      </c>
      <c r="N2112" t="s">
        <v>1296</v>
      </c>
      <c r="O2112">
        <v>300</v>
      </c>
      <c r="P2112">
        <v>20190424</v>
      </c>
      <c r="Q2112" t="s">
        <v>1297</v>
      </c>
      <c r="R2112" t="s">
        <v>1298</v>
      </c>
      <c r="S2112" t="s">
        <v>295</v>
      </c>
      <c r="T2112" t="s">
        <v>301</v>
      </c>
    </row>
    <row r="2113" spans="1:20" x14ac:dyDescent="0.25">
      <c r="A2113">
        <v>9</v>
      </c>
      <c r="B2113">
        <v>181</v>
      </c>
      <c r="C2113" t="str">
        <f t="shared" si="324"/>
        <v>36</v>
      </c>
      <c r="D2113">
        <v>6412</v>
      </c>
      <c r="E2113" t="str">
        <f>"09"</f>
        <v>09</v>
      </c>
      <c r="F2113" t="str">
        <f t="shared" si="322"/>
        <v>001</v>
      </c>
      <c r="G2113">
        <v>9</v>
      </c>
      <c r="H2113" t="str">
        <f t="shared" si="325"/>
        <v>91</v>
      </c>
      <c r="I2113" t="str">
        <f>"1"</f>
        <v>1</v>
      </c>
      <c r="J2113" t="str">
        <f t="shared" si="323"/>
        <v>39</v>
      </c>
      <c r="K2113">
        <v>20190425</v>
      </c>
      <c r="L2113" t="str">
        <f>"076548"</f>
        <v>076548</v>
      </c>
      <c r="M2113" t="str">
        <f>"00813"</f>
        <v>00813</v>
      </c>
      <c r="N2113" t="s">
        <v>592</v>
      </c>
      <c r="O2113" s="1">
        <v>1142.76</v>
      </c>
      <c r="P2113">
        <v>20190424</v>
      </c>
      <c r="Q2113" t="s">
        <v>1297</v>
      </c>
      <c r="R2113" t="s">
        <v>1298</v>
      </c>
      <c r="S2113" t="s">
        <v>295</v>
      </c>
      <c r="T2113" t="s">
        <v>301</v>
      </c>
    </row>
    <row r="2114" spans="1:20" x14ac:dyDescent="0.25">
      <c r="A2114">
        <v>9</v>
      </c>
      <c r="B2114">
        <v>181</v>
      </c>
      <c r="C2114" t="str">
        <f t="shared" si="324"/>
        <v>36</v>
      </c>
      <c r="D2114">
        <v>6219</v>
      </c>
      <c r="E2114" t="str">
        <f>"3A"</f>
        <v>3A</v>
      </c>
      <c r="F2114" t="str">
        <f t="shared" si="322"/>
        <v>001</v>
      </c>
      <c r="G2114">
        <v>9</v>
      </c>
      <c r="H2114" t="str">
        <f t="shared" si="325"/>
        <v>91</v>
      </c>
      <c r="I2114" t="str">
        <f>"0"</f>
        <v>0</v>
      </c>
      <c r="J2114" t="str">
        <f t="shared" si="323"/>
        <v>39</v>
      </c>
      <c r="K2114">
        <v>20190426</v>
      </c>
      <c r="L2114" t="str">
        <f>"076553"</f>
        <v>076553</v>
      </c>
      <c r="M2114" t="str">
        <f>"00403"</f>
        <v>00403</v>
      </c>
      <c r="N2114" t="s">
        <v>504</v>
      </c>
      <c r="O2114">
        <v>155</v>
      </c>
      <c r="P2114">
        <v>20190424</v>
      </c>
      <c r="Q2114" t="s">
        <v>1088</v>
      </c>
      <c r="R2114" t="s">
        <v>1299</v>
      </c>
      <c r="S2114" t="s">
        <v>295</v>
      </c>
      <c r="T2114" t="s">
        <v>301</v>
      </c>
    </row>
    <row r="2115" spans="1:20" x14ac:dyDescent="0.25">
      <c r="A2115">
        <v>9</v>
      </c>
      <c r="B2115">
        <v>181</v>
      </c>
      <c r="C2115" t="str">
        <f t="shared" si="324"/>
        <v>36</v>
      </c>
      <c r="D2115">
        <v>6319</v>
      </c>
      <c r="E2115" t="str">
        <f>"30"</f>
        <v>30</v>
      </c>
      <c r="F2115" t="str">
        <f t="shared" si="322"/>
        <v>001</v>
      </c>
      <c r="G2115">
        <v>9</v>
      </c>
      <c r="H2115" t="str">
        <f t="shared" si="325"/>
        <v>91</v>
      </c>
      <c r="I2115" t="str">
        <f>"0"</f>
        <v>0</v>
      </c>
      <c r="J2115" t="str">
        <f t="shared" si="323"/>
        <v>39</v>
      </c>
      <c r="K2115">
        <v>20190426</v>
      </c>
      <c r="L2115" t="str">
        <f>"076560"</f>
        <v>076560</v>
      </c>
      <c r="M2115" t="str">
        <f>"08788"</f>
        <v>08788</v>
      </c>
      <c r="N2115" t="s">
        <v>473</v>
      </c>
      <c r="O2115">
        <v>435.68</v>
      </c>
      <c r="P2115">
        <v>20190425</v>
      </c>
      <c r="Q2115" t="s">
        <v>501</v>
      </c>
      <c r="R2115" t="s">
        <v>1300</v>
      </c>
      <c r="S2115" t="s">
        <v>295</v>
      </c>
      <c r="T2115" t="s">
        <v>301</v>
      </c>
    </row>
    <row r="2116" spans="1:20" x14ac:dyDescent="0.25">
      <c r="A2116">
        <v>9</v>
      </c>
      <c r="B2116">
        <v>181</v>
      </c>
      <c r="C2116" t="str">
        <f t="shared" si="324"/>
        <v>36</v>
      </c>
      <c r="D2116">
        <v>6399</v>
      </c>
      <c r="E2116" t="str">
        <f>"3F"</f>
        <v>3F</v>
      </c>
      <c r="F2116" t="str">
        <f t="shared" si="322"/>
        <v>001</v>
      </c>
      <c r="G2116">
        <v>9</v>
      </c>
      <c r="H2116" t="str">
        <f t="shared" si="325"/>
        <v>91</v>
      </c>
      <c r="I2116" t="str">
        <f>"0"</f>
        <v>0</v>
      </c>
      <c r="J2116" t="str">
        <f t="shared" si="323"/>
        <v>39</v>
      </c>
      <c r="K2116">
        <v>20190426</v>
      </c>
      <c r="L2116" t="str">
        <f>"076560"</f>
        <v>076560</v>
      </c>
      <c r="M2116" t="str">
        <f>"08788"</f>
        <v>08788</v>
      </c>
      <c r="N2116" t="s">
        <v>473</v>
      </c>
      <c r="O2116" s="1">
        <v>5957.31</v>
      </c>
      <c r="P2116">
        <v>20190425</v>
      </c>
      <c r="Q2116" t="s">
        <v>466</v>
      </c>
      <c r="R2116" t="s">
        <v>1301</v>
      </c>
      <c r="S2116" t="s">
        <v>295</v>
      </c>
      <c r="T2116" t="s">
        <v>301</v>
      </c>
    </row>
    <row r="2117" spans="1:20" x14ac:dyDescent="0.25">
      <c r="A2117">
        <v>9</v>
      </c>
      <c r="B2117">
        <v>181</v>
      </c>
      <c r="C2117" t="str">
        <f t="shared" si="324"/>
        <v>36</v>
      </c>
      <c r="D2117">
        <v>6399</v>
      </c>
      <c r="E2117" t="str">
        <f>"3P"</f>
        <v>3P</v>
      </c>
      <c r="F2117" t="str">
        <f t="shared" si="322"/>
        <v>001</v>
      </c>
      <c r="G2117">
        <v>9</v>
      </c>
      <c r="H2117" t="str">
        <f t="shared" si="325"/>
        <v>91</v>
      </c>
      <c r="I2117" t="str">
        <f>"0"</f>
        <v>0</v>
      </c>
      <c r="J2117" t="str">
        <f t="shared" si="323"/>
        <v>39</v>
      </c>
      <c r="K2117">
        <v>20190426</v>
      </c>
      <c r="L2117" t="str">
        <f>"076560"</f>
        <v>076560</v>
      </c>
      <c r="M2117" t="str">
        <f>"08788"</f>
        <v>08788</v>
      </c>
      <c r="N2117" t="s">
        <v>473</v>
      </c>
      <c r="O2117">
        <v>63.96</v>
      </c>
      <c r="P2117">
        <v>20190425</v>
      </c>
      <c r="Q2117" t="s">
        <v>839</v>
      </c>
      <c r="R2117" t="s">
        <v>1302</v>
      </c>
      <c r="S2117" t="s">
        <v>295</v>
      </c>
      <c r="T2117" t="s">
        <v>301</v>
      </c>
    </row>
    <row r="2118" spans="1:20" x14ac:dyDescent="0.25">
      <c r="A2118">
        <v>9</v>
      </c>
      <c r="B2118">
        <v>181</v>
      </c>
      <c r="C2118" t="str">
        <f t="shared" si="324"/>
        <v>36</v>
      </c>
      <c r="D2118">
        <v>6399</v>
      </c>
      <c r="E2118" t="str">
        <f>"3P"</f>
        <v>3P</v>
      </c>
      <c r="F2118" t="str">
        <f t="shared" si="322"/>
        <v>001</v>
      </c>
      <c r="G2118">
        <v>9</v>
      </c>
      <c r="H2118" t="str">
        <f t="shared" si="325"/>
        <v>91</v>
      </c>
      <c r="I2118" t="str">
        <f>"0"</f>
        <v>0</v>
      </c>
      <c r="J2118" t="str">
        <f t="shared" si="323"/>
        <v>39</v>
      </c>
      <c r="K2118">
        <v>20190426</v>
      </c>
      <c r="L2118" t="str">
        <f>"076560"</f>
        <v>076560</v>
      </c>
      <c r="M2118" t="str">
        <f>"08788"</f>
        <v>08788</v>
      </c>
      <c r="N2118" t="s">
        <v>473</v>
      </c>
      <c r="O2118">
        <v>126.92</v>
      </c>
      <c r="P2118">
        <v>20190425</v>
      </c>
      <c r="Q2118" t="s">
        <v>839</v>
      </c>
      <c r="R2118" t="s">
        <v>1303</v>
      </c>
      <c r="S2118" t="s">
        <v>295</v>
      </c>
      <c r="T2118" t="s">
        <v>301</v>
      </c>
    </row>
    <row r="2119" spans="1:20" x14ac:dyDescent="0.25">
      <c r="A2119">
        <v>9</v>
      </c>
      <c r="B2119">
        <v>181</v>
      </c>
      <c r="C2119" t="str">
        <f t="shared" si="324"/>
        <v>36</v>
      </c>
      <c r="D2119">
        <v>6412</v>
      </c>
      <c r="E2119" t="str">
        <f>"3S"</f>
        <v>3S</v>
      </c>
      <c r="F2119" t="str">
        <f>"041"</f>
        <v>041</v>
      </c>
      <c r="G2119">
        <v>9</v>
      </c>
      <c r="H2119" t="str">
        <f t="shared" si="325"/>
        <v>91</v>
      </c>
      <c r="I2119" t="str">
        <f>"1"</f>
        <v>1</v>
      </c>
      <c r="J2119" t="str">
        <f>"41"</f>
        <v>41</v>
      </c>
      <c r="K2119">
        <v>20190426</v>
      </c>
      <c r="L2119" t="str">
        <f>"076565"</f>
        <v>076565</v>
      </c>
      <c r="M2119" t="str">
        <f>"51346"</f>
        <v>51346</v>
      </c>
      <c r="N2119" t="s">
        <v>418</v>
      </c>
      <c r="O2119">
        <v>168</v>
      </c>
      <c r="P2119">
        <v>20190425</v>
      </c>
      <c r="Q2119" t="s">
        <v>1147</v>
      </c>
      <c r="R2119" t="s">
        <v>1304</v>
      </c>
      <c r="S2119" t="s">
        <v>295</v>
      </c>
      <c r="T2119" t="s">
        <v>106</v>
      </c>
    </row>
    <row r="2120" spans="1:20" x14ac:dyDescent="0.25">
      <c r="A2120">
        <v>9</v>
      </c>
      <c r="B2120">
        <v>181</v>
      </c>
      <c r="C2120" t="str">
        <f t="shared" si="324"/>
        <v>36</v>
      </c>
      <c r="D2120">
        <v>6412</v>
      </c>
      <c r="E2120" t="str">
        <f>"3S"</f>
        <v>3S</v>
      </c>
      <c r="F2120" t="str">
        <f>"041"</f>
        <v>041</v>
      </c>
      <c r="G2120">
        <v>9</v>
      </c>
      <c r="H2120" t="str">
        <f t="shared" si="325"/>
        <v>91</v>
      </c>
      <c r="I2120" t="str">
        <f>"2"</f>
        <v>2</v>
      </c>
      <c r="J2120" t="str">
        <f>"41"</f>
        <v>41</v>
      </c>
      <c r="K2120">
        <v>20190426</v>
      </c>
      <c r="L2120" t="str">
        <f>"076567"</f>
        <v>076567</v>
      </c>
      <c r="M2120" t="str">
        <f>"00108"</f>
        <v>00108</v>
      </c>
      <c r="N2120" t="s">
        <v>561</v>
      </c>
      <c r="O2120">
        <v>312</v>
      </c>
      <c r="P2120">
        <v>20190425</v>
      </c>
      <c r="Q2120" t="s">
        <v>1059</v>
      </c>
      <c r="R2120" t="s">
        <v>1304</v>
      </c>
      <c r="S2120" t="s">
        <v>295</v>
      </c>
      <c r="T2120" t="s">
        <v>106</v>
      </c>
    </row>
    <row r="2121" spans="1:20" x14ac:dyDescent="0.25">
      <c r="A2121">
        <v>9</v>
      </c>
      <c r="B2121">
        <v>181</v>
      </c>
      <c r="C2121" t="str">
        <f t="shared" si="324"/>
        <v>36</v>
      </c>
      <c r="D2121">
        <v>6411</v>
      </c>
      <c r="E2121" t="str">
        <f>"33"</f>
        <v>33</v>
      </c>
      <c r="F2121" t="str">
        <f t="shared" ref="F2121:F2131" si="326">"001"</f>
        <v>001</v>
      </c>
      <c r="G2121">
        <v>9</v>
      </c>
      <c r="H2121" t="str">
        <f t="shared" si="325"/>
        <v>91</v>
      </c>
      <c r="I2121" t="str">
        <f>"0"</f>
        <v>0</v>
      </c>
      <c r="J2121" t="str">
        <f t="shared" ref="J2121:J2131" si="327">"39"</f>
        <v>39</v>
      </c>
      <c r="K2121">
        <v>20190426</v>
      </c>
      <c r="L2121" t="str">
        <f>"076579"</f>
        <v>076579</v>
      </c>
      <c r="M2121" t="str">
        <f>"30744"</f>
        <v>30744</v>
      </c>
      <c r="N2121" t="s">
        <v>422</v>
      </c>
      <c r="O2121">
        <v>33.729999999999997</v>
      </c>
      <c r="P2121">
        <v>20190425</v>
      </c>
      <c r="Q2121" t="s">
        <v>306</v>
      </c>
      <c r="R2121" t="s">
        <v>1305</v>
      </c>
      <c r="S2121" t="s">
        <v>295</v>
      </c>
      <c r="T2121" t="s">
        <v>301</v>
      </c>
    </row>
    <row r="2122" spans="1:20" x14ac:dyDescent="0.25">
      <c r="A2122">
        <v>9</v>
      </c>
      <c r="B2122">
        <v>181</v>
      </c>
      <c r="C2122" t="str">
        <f t="shared" si="324"/>
        <v>36</v>
      </c>
      <c r="D2122">
        <v>6411</v>
      </c>
      <c r="E2122" t="str">
        <f>"33"</f>
        <v>33</v>
      </c>
      <c r="F2122" t="str">
        <f t="shared" si="326"/>
        <v>001</v>
      </c>
      <c r="G2122">
        <v>9</v>
      </c>
      <c r="H2122" t="str">
        <f t="shared" si="325"/>
        <v>91</v>
      </c>
      <c r="I2122" t="str">
        <f>"0"</f>
        <v>0</v>
      </c>
      <c r="J2122" t="str">
        <f t="shared" si="327"/>
        <v>39</v>
      </c>
      <c r="K2122">
        <v>20190426</v>
      </c>
      <c r="L2122" t="str">
        <f>"076579"</f>
        <v>076579</v>
      </c>
      <c r="M2122" t="str">
        <f>"30744"</f>
        <v>30744</v>
      </c>
      <c r="N2122" t="s">
        <v>422</v>
      </c>
      <c r="O2122">
        <v>44.84</v>
      </c>
      <c r="P2122">
        <v>20190425</v>
      </c>
      <c r="Q2122" t="s">
        <v>306</v>
      </c>
      <c r="R2122" t="s">
        <v>1305</v>
      </c>
      <c r="S2122" t="s">
        <v>295</v>
      </c>
      <c r="T2122" t="s">
        <v>301</v>
      </c>
    </row>
    <row r="2123" spans="1:20" x14ac:dyDescent="0.25">
      <c r="A2123">
        <v>9</v>
      </c>
      <c r="B2123">
        <v>181</v>
      </c>
      <c r="C2123" t="str">
        <f t="shared" si="324"/>
        <v>36</v>
      </c>
      <c r="D2123">
        <v>6411</v>
      </c>
      <c r="E2123" t="str">
        <f>"33"</f>
        <v>33</v>
      </c>
      <c r="F2123" t="str">
        <f t="shared" si="326"/>
        <v>001</v>
      </c>
      <c r="G2123">
        <v>9</v>
      </c>
      <c r="H2123" t="str">
        <f t="shared" si="325"/>
        <v>91</v>
      </c>
      <c r="I2123" t="str">
        <f>"0"</f>
        <v>0</v>
      </c>
      <c r="J2123" t="str">
        <f t="shared" si="327"/>
        <v>39</v>
      </c>
      <c r="K2123">
        <v>20190426</v>
      </c>
      <c r="L2123" t="str">
        <f>"076579"</f>
        <v>076579</v>
      </c>
      <c r="M2123" t="str">
        <f>"30744"</f>
        <v>30744</v>
      </c>
      <c r="N2123" t="s">
        <v>422</v>
      </c>
      <c r="O2123">
        <v>28</v>
      </c>
      <c r="P2123">
        <v>20190425</v>
      </c>
      <c r="Q2123" t="s">
        <v>306</v>
      </c>
      <c r="R2123" t="s">
        <v>1305</v>
      </c>
      <c r="S2123" t="s">
        <v>295</v>
      </c>
      <c r="T2123" t="s">
        <v>301</v>
      </c>
    </row>
    <row r="2124" spans="1:20" x14ac:dyDescent="0.25">
      <c r="A2124">
        <v>9</v>
      </c>
      <c r="B2124">
        <v>181</v>
      </c>
      <c r="C2124" t="str">
        <f t="shared" si="324"/>
        <v>36</v>
      </c>
      <c r="D2124">
        <v>6219</v>
      </c>
      <c r="E2124" t="str">
        <f t="shared" ref="E2124:E2130" si="328">"3A"</f>
        <v>3A</v>
      </c>
      <c r="F2124" t="str">
        <f t="shared" si="326"/>
        <v>001</v>
      </c>
      <c r="G2124">
        <v>9</v>
      </c>
      <c r="H2124" t="str">
        <f t="shared" si="325"/>
        <v>91</v>
      </c>
      <c r="I2124" t="str">
        <f>"0"</f>
        <v>0</v>
      </c>
      <c r="J2124" t="str">
        <f t="shared" si="327"/>
        <v>39</v>
      </c>
      <c r="K2124">
        <v>20190426</v>
      </c>
      <c r="L2124" t="str">
        <f>"076581"</f>
        <v>076581</v>
      </c>
      <c r="M2124" t="str">
        <f>"32855"</f>
        <v>32855</v>
      </c>
      <c r="N2124" t="s">
        <v>348</v>
      </c>
      <c r="O2124">
        <v>155</v>
      </c>
      <c r="P2124">
        <v>20190425</v>
      </c>
      <c r="Q2124" t="s">
        <v>1088</v>
      </c>
      <c r="R2124" t="s">
        <v>1299</v>
      </c>
      <c r="S2124" t="s">
        <v>295</v>
      </c>
      <c r="T2124" t="s">
        <v>301</v>
      </c>
    </row>
    <row r="2125" spans="1:20" x14ac:dyDescent="0.25">
      <c r="A2125">
        <v>9</v>
      </c>
      <c r="B2125">
        <v>181</v>
      </c>
      <c r="C2125" t="str">
        <f t="shared" si="324"/>
        <v>36</v>
      </c>
      <c r="D2125">
        <v>6219</v>
      </c>
      <c r="E2125" t="str">
        <f t="shared" si="328"/>
        <v>3A</v>
      </c>
      <c r="F2125" t="str">
        <f t="shared" si="326"/>
        <v>001</v>
      </c>
      <c r="G2125">
        <v>9</v>
      </c>
      <c r="H2125" t="str">
        <f t="shared" si="325"/>
        <v>91</v>
      </c>
      <c r="I2125" t="str">
        <f>"0"</f>
        <v>0</v>
      </c>
      <c r="J2125" t="str">
        <f t="shared" si="327"/>
        <v>39</v>
      </c>
      <c r="K2125">
        <v>20190426</v>
      </c>
      <c r="L2125" t="str">
        <f>"076583"</f>
        <v>076583</v>
      </c>
      <c r="M2125" t="str">
        <f>"34929"</f>
        <v>34929</v>
      </c>
      <c r="N2125" t="s">
        <v>1268</v>
      </c>
      <c r="O2125">
        <v>85</v>
      </c>
      <c r="P2125">
        <v>20190425</v>
      </c>
      <c r="Q2125" t="s">
        <v>1088</v>
      </c>
      <c r="R2125" t="s">
        <v>1306</v>
      </c>
      <c r="S2125" t="s">
        <v>295</v>
      </c>
      <c r="T2125" t="s">
        <v>301</v>
      </c>
    </row>
    <row r="2126" spans="1:20" x14ac:dyDescent="0.25">
      <c r="A2126">
        <v>9</v>
      </c>
      <c r="B2126">
        <v>181</v>
      </c>
      <c r="C2126" t="str">
        <f t="shared" si="324"/>
        <v>36</v>
      </c>
      <c r="D2126">
        <v>6219</v>
      </c>
      <c r="E2126" t="str">
        <f t="shared" si="328"/>
        <v>3A</v>
      </c>
      <c r="F2126" t="str">
        <f t="shared" si="326"/>
        <v>001</v>
      </c>
      <c r="G2126">
        <v>9</v>
      </c>
      <c r="H2126" t="str">
        <f t="shared" si="325"/>
        <v>91</v>
      </c>
      <c r="I2126" t="str">
        <f>"1"</f>
        <v>1</v>
      </c>
      <c r="J2126" t="str">
        <f t="shared" si="327"/>
        <v>39</v>
      </c>
      <c r="K2126">
        <v>20190426</v>
      </c>
      <c r="L2126" t="str">
        <f>"076610"</f>
        <v>076610</v>
      </c>
      <c r="M2126" t="str">
        <f>"57974"</f>
        <v>57974</v>
      </c>
      <c r="N2126" t="s">
        <v>371</v>
      </c>
      <c r="O2126">
        <v>96</v>
      </c>
      <c r="P2126">
        <v>20190425</v>
      </c>
      <c r="Q2126" t="s">
        <v>1201</v>
      </c>
      <c r="R2126" t="s">
        <v>1306</v>
      </c>
      <c r="S2126" t="s">
        <v>295</v>
      </c>
      <c r="T2126" t="s">
        <v>301</v>
      </c>
    </row>
    <row r="2127" spans="1:20" x14ac:dyDescent="0.25">
      <c r="A2127">
        <v>9</v>
      </c>
      <c r="B2127">
        <v>181</v>
      </c>
      <c r="C2127" t="str">
        <f t="shared" si="324"/>
        <v>36</v>
      </c>
      <c r="D2127">
        <v>6219</v>
      </c>
      <c r="E2127" t="str">
        <f t="shared" si="328"/>
        <v>3A</v>
      </c>
      <c r="F2127" t="str">
        <f t="shared" si="326"/>
        <v>001</v>
      </c>
      <c r="G2127">
        <v>9</v>
      </c>
      <c r="H2127" t="str">
        <f t="shared" si="325"/>
        <v>91</v>
      </c>
      <c r="I2127" t="str">
        <f>"0"</f>
        <v>0</v>
      </c>
      <c r="J2127" t="str">
        <f t="shared" si="327"/>
        <v>39</v>
      </c>
      <c r="K2127">
        <v>20190426</v>
      </c>
      <c r="L2127" t="str">
        <f>"076618"</f>
        <v>076618</v>
      </c>
      <c r="M2127" t="str">
        <f>"64825"</f>
        <v>64825</v>
      </c>
      <c r="N2127" t="s">
        <v>658</v>
      </c>
      <c r="O2127">
        <v>85</v>
      </c>
      <c r="P2127">
        <v>20190425</v>
      </c>
      <c r="Q2127" t="s">
        <v>1088</v>
      </c>
      <c r="R2127" t="s">
        <v>1299</v>
      </c>
      <c r="S2127" t="s">
        <v>295</v>
      </c>
      <c r="T2127" t="s">
        <v>301</v>
      </c>
    </row>
    <row r="2128" spans="1:20" x14ac:dyDescent="0.25">
      <c r="A2128">
        <v>9</v>
      </c>
      <c r="B2128">
        <v>181</v>
      </c>
      <c r="C2128" t="str">
        <f t="shared" si="324"/>
        <v>36</v>
      </c>
      <c r="D2128">
        <v>6219</v>
      </c>
      <c r="E2128" t="str">
        <f t="shared" si="328"/>
        <v>3A</v>
      </c>
      <c r="F2128" t="str">
        <f t="shared" si="326"/>
        <v>001</v>
      </c>
      <c r="G2128">
        <v>9</v>
      </c>
      <c r="H2128" t="str">
        <f t="shared" si="325"/>
        <v>91</v>
      </c>
      <c r="I2128" t="str">
        <f>"0"</f>
        <v>0</v>
      </c>
      <c r="J2128" t="str">
        <f t="shared" si="327"/>
        <v>39</v>
      </c>
      <c r="K2128">
        <v>20190426</v>
      </c>
      <c r="L2128" t="str">
        <f>"076628"</f>
        <v>076628</v>
      </c>
      <c r="M2128" t="str">
        <f>"80554"</f>
        <v>80554</v>
      </c>
      <c r="N2128" t="s">
        <v>1307</v>
      </c>
      <c r="O2128">
        <v>85</v>
      </c>
      <c r="P2128">
        <v>20190425</v>
      </c>
      <c r="Q2128" t="s">
        <v>1088</v>
      </c>
      <c r="R2128" t="s">
        <v>1306</v>
      </c>
      <c r="S2128" t="s">
        <v>295</v>
      </c>
      <c r="T2128" t="s">
        <v>301</v>
      </c>
    </row>
    <row r="2129" spans="1:20" x14ac:dyDescent="0.25">
      <c r="A2129">
        <v>9</v>
      </c>
      <c r="B2129">
        <v>181</v>
      </c>
      <c r="C2129" t="str">
        <f t="shared" ref="C2129:C2164" si="329">"36"</f>
        <v>36</v>
      </c>
      <c r="D2129">
        <v>6219</v>
      </c>
      <c r="E2129" t="str">
        <f t="shared" si="328"/>
        <v>3A</v>
      </c>
      <c r="F2129" t="str">
        <f t="shared" si="326"/>
        <v>001</v>
      </c>
      <c r="G2129">
        <v>9</v>
      </c>
      <c r="H2129" t="str">
        <f t="shared" ref="H2129:H2164" si="330">"91"</f>
        <v>91</v>
      </c>
      <c r="I2129" t="str">
        <f>"0"</f>
        <v>0</v>
      </c>
      <c r="J2129" t="str">
        <f t="shared" si="327"/>
        <v>39</v>
      </c>
      <c r="K2129">
        <v>20190426</v>
      </c>
      <c r="L2129" t="str">
        <f>"076631"</f>
        <v>076631</v>
      </c>
      <c r="M2129" t="str">
        <f>"82310"</f>
        <v>82310</v>
      </c>
      <c r="N2129" t="s">
        <v>430</v>
      </c>
      <c r="O2129">
        <v>85</v>
      </c>
      <c r="P2129">
        <v>20190425</v>
      </c>
      <c r="Q2129" t="s">
        <v>1088</v>
      </c>
      <c r="R2129" t="s">
        <v>1299</v>
      </c>
      <c r="S2129" t="s">
        <v>295</v>
      </c>
      <c r="T2129" t="s">
        <v>301</v>
      </c>
    </row>
    <row r="2130" spans="1:20" x14ac:dyDescent="0.25">
      <c r="A2130">
        <v>9</v>
      </c>
      <c r="B2130">
        <v>181</v>
      </c>
      <c r="C2130" t="str">
        <f t="shared" si="329"/>
        <v>36</v>
      </c>
      <c r="D2130">
        <v>6412</v>
      </c>
      <c r="E2130" t="str">
        <f t="shared" si="328"/>
        <v>3A</v>
      </c>
      <c r="F2130" t="str">
        <f t="shared" si="326"/>
        <v>001</v>
      </c>
      <c r="G2130">
        <v>9</v>
      </c>
      <c r="H2130" t="str">
        <f t="shared" si="330"/>
        <v>91</v>
      </c>
      <c r="I2130" t="str">
        <f t="shared" ref="I2130:I2135" si="331">"1"</f>
        <v>1</v>
      </c>
      <c r="J2130" t="str">
        <f t="shared" si="327"/>
        <v>39</v>
      </c>
      <c r="K2130">
        <v>20190426</v>
      </c>
      <c r="L2130" t="str">
        <f t="shared" ref="L2130:L2135" si="332">"076636"</f>
        <v>076636</v>
      </c>
      <c r="M2130" t="str">
        <f t="shared" ref="M2130:M2135" si="333">"84370"</f>
        <v>84370</v>
      </c>
      <c r="N2130" t="s">
        <v>395</v>
      </c>
      <c r="O2130">
        <v>93.66</v>
      </c>
      <c r="P2130">
        <v>20190425</v>
      </c>
      <c r="Q2130" t="s">
        <v>1143</v>
      </c>
      <c r="R2130" t="s">
        <v>1308</v>
      </c>
      <c r="S2130" t="s">
        <v>295</v>
      </c>
      <c r="T2130" t="s">
        <v>301</v>
      </c>
    </row>
    <row r="2131" spans="1:20" x14ac:dyDescent="0.25">
      <c r="A2131">
        <v>9</v>
      </c>
      <c r="B2131">
        <v>181</v>
      </c>
      <c r="C2131" t="str">
        <f t="shared" si="329"/>
        <v>36</v>
      </c>
      <c r="D2131">
        <v>6412</v>
      </c>
      <c r="E2131" t="str">
        <f>"3J"</f>
        <v>3J</v>
      </c>
      <c r="F2131" t="str">
        <f t="shared" si="326"/>
        <v>001</v>
      </c>
      <c r="G2131">
        <v>9</v>
      </c>
      <c r="H2131" t="str">
        <f t="shared" si="330"/>
        <v>91</v>
      </c>
      <c r="I2131" t="str">
        <f t="shared" si="331"/>
        <v>1</v>
      </c>
      <c r="J2131" t="str">
        <f t="shared" si="327"/>
        <v>39</v>
      </c>
      <c r="K2131">
        <v>20190426</v>
      </c>
      <c r="L2131" t="str">
        <f t="shared" si="332"/>
        <v>076636</v>
      </c>
      <c r="M2131" t="str">
        <f t="shared" si="333"/>
        <v>84370</v>
      </c>
      <c r="N2131" t="s">
        <v>395</v>
      </c>
      <c r="O2131">
        <v>151.37</v>
      </c>
      <c r="P2131">
        <v>20190425</v>
      </c>
      <c r="Q2131" t="s">
        <v>1182</v>
      </c>
      <c r="R2131" t="s">
        <v>1137</v>
      </c>
      <c r="S2131" t="s">
        <v>295</v>
      </c>
      <c r="T2131" t="s">
        <v>301</v>
      </c>
    </row>
    <row r="2132" spans="1:20" x14ac:dyDescent="0.25">
      <c r="A2132">
        <v>9</v>
      </c>
      <c r="B2132">
        <v>181</v>
      </c>
      <c r="C2132" t="str">
        <f t="shared" si="329"/>
        <v>36</v>
      </c>
      <c r="D2132">
        <v>6412</v>
      </c>
      <c r="E2132" t="str">
        <f>"3J"</f>
        <v>3J</v>
      </c>
      <c r="F2132" t="str">
        <f>"041"</f>
        <v>041</v>
      </c>
      <c r="G2132">
        <v>9</v>
      </c>
      <c r="H2132" t="str">
        <f t="shared" si="330"/>
        <v>91</v>
      </c>
      <c r="I2132" t="str">
        <f t="shared" si="331"/>
        <v>1</v>
      </c>
      <c r="J2132" t="str">
        <f>"41"</f>
        <v>41</v>
      </c>
      <c r="K2132">
        <v>20190426</v>
      </c>
      <c r="L2132" t="str">
        <f t="shared" si="332"/>
        <v>076636</v>
      </c>
      <c r="M2132" t="str">
        <f t="shared" si="333"/>
        <v>84370</v>
      </c>
      <c r="N2132" t="s">
        <v>395</v>
      </c>
      <c r="O2132">
        <v>196.33</v>
      </c>
      <c r="P2132">
        <v>20190425</v>
      </c>
      <c r="Q2132" t="s">
        <v>1247</v>
      </c>
      <c r="R2132" t="s">
        <v>1309</v>
      </c>
      <c r="S2132" t="s">
        <v>295</v>
      </c>
      <c r="T2132" t="s">
        <v>106</v>
      </c>
    </row>
    <row r="2133" spans="1:20" x14ac:dyDescent="0.25">
      <c r="A2133">
        <v>9</v>
      </c>
      <c r="B2133">
        <v>181</v>
      </c>
      <c r="C2133" t="str">
        <f t="shared" si="329"/>
        <v>36</v>
      </c>
      <c r="D2133">
        <v>6412</v>
      </c>
      <c r="E2133" t="str">
        <f>"3U"</f>
        <v>3U</v>
      </c>
      <c r="F2133" t="str">
        <f t="shared" ref="F2133:F2164" si="334">"001"</f>
        <v>001</v>
      </c>
      <c r="G2133">
        <v>9</v>
      </c>
      <c r="H2133" t="str">
        <f t="shared" si="330"/>
        <v>91</v>
      </c>
      <c r="I2133" t="str">
        <f t="shared" si="331"/>
        <v>1</v>
      </c>
      <c r="J2133" t="str">
        <f t="shared" ref="J2133:J2142" si="335">"39"</f>
        <v>39</v>
      </c>
      <c r="K2133">
        <v>20190426</v>
      </c>
      <c r="L2133" t="str">
        <f t="shared" si="332"/>
        <v>076636</v>
      </c>
      <c r="M2133" t="str">
        <f t="shared" si="333"/>
        <v>84370</v>
      </c>
      <c r="N2133" t="s">
        <v>395</v>
      </c>
      <c r="O2133">
        <v>116.02</v>
      </c>
      <c r="P2133">
        <v>20190425</v>
      </c>
      <c r="Q2133" t="s">
        <v>1091</v>
      </c>
      <c r="R2133" t="s">
        <v>1310</v>
      </c>
      <c r="S2133" t="s">
        <v>295</v>
      </c>
      <c r="T2133" t="s">
        <v>301</v>
      </c>
    </row>
    <row r="2134" spans="1:20" x14ac:dyDescent="0.25">
      <c r="A2134">
        <v>9</v>
      </c>
      <c r="B2134">
        <v>181</v>
      </c>
      <c r="C2134" t="str">
        <f t="shared" si="329"/>
        <v>36</v>
      </c>
      <c r="D2134">
        <v>6412</v>
      </c>
      <c r="E2134" t="str">
        <f>"3U"</f>
        <v>3U</v>
      </c>
      <c r="F2134" t="str">
        <f t="shared" si="334"/>
        <v>001</v>
      </c>
      <c r="G2134">
        <v>9</v>
      </c>
      <c r="H2134" t="str">
        <f t="shared" si="330"/>
        <v>91</v>
      </c>
      <c r="I2134" t="str">
        <f t="shared" si="331"/>
        <v>1</v>
      </c>
      <c r="J2134" t="str">
        <f t="shared" si="335"/>
        <v>39</v>
      </c>
      <c r="K2134">
        <v>20190426</v>
      </c>
      <c r="L2134" t="str">
        <f t="shared" si="332"/>
        <v>076636</v>
      </c>
      <c r="M2134" t="str">
        <f t="shared" si="333"/>
        <v>84370</v>
      </c>
      <c r="N2134" t="s">
        <v>395</v>
      </c>
      <c r="O2134">
        <v>103.29</v>
      </c>
      <c r="P2134">
        <v>20190425</v>
      </c>
      <c r="Q2134" t="s">
        <v>1091</v>
      </c>
      <c r="R2134" t="s">
        <v>1310</v>
      </c>
      <c r="S2134" t="s">
        <v>295</v>
      </c>
      <c r="T2134" t="s">
        <v>301</v>
      </c>
    </row>
    <row r="2135" spans="1:20" x14ac:dyDescent="0.25">
      <c r="A2135">
        <v>9</v>
      </c>
      <c r="B2135">
        <v>181</v>
      </c>
      <c r="C2135" t="str">
        <f t="shared" si="329"/>
        <v>36</v>
      </c>
      <c r="D2135">
        <v>6412</v>
      </c>
      <c r="E2135" t="str">
        <f>"3W"</f>
        <v>3W</v>
      </c>
      <c r="F2135" t="str">
        <f t="shared" si="334"/>
        <v>001</v>
      </c>
      <c r="G2135">
        <v>9</v>
      </c>
      <c r="H2135" t="str">
        <f t="shared" si="330"/>
        <v>91</v>
      </c>
      <c r="I2135" t="str">
        <f t="shared" si="331"/>
        <v>1</v>
      </c>
      <c r="J2135" t="str">
        <f t="shared" si="335"/>
        <v>39</v>
      </c>
      <c r="K2135">
        <v>20190426</v>
      </c>
      <c r="L2135" t="str">
        <f t="shared" si="332"/>
        <v>076636</v>
      </c>
      <c r="M2135" t="str">
        <f t="shared" si="333"/>
        <v>84370</v>
      </c>
      <c r="N2135" t="s">
        <v>395</v>
      </c>
      <c r="O2135">
        <v>164.84</v>
      </c>
      <c r="P2135">
        <v>20190425</v>
      </c>
      <c r="Q2135" t="s">
        <v>1189</v>
      </c>
      <c r="R2135" t="s">
        <v>1138</v>
      </c>
      <c r="S2135" t="s">
        <v>295</v>
      </c>
      <c r="T2135" t="s">
        <v>301</v>
      </c>
    </row>
    <row r="2136" spans="1:20" x14ac:dyDescent="0.25">
      <c r="A2136">
        <v>9</v>
      </c>
      <c r="B2136">
        <v>181</v>
      </c>
      <c r="C2136" t="str">
        <f t="shared" si="329"/>
        <v>36</v>
      </c>
      <c r="D2136">
        <v>6219</v>
      </c>
      <c r="E2136" t="str">
        <f>"3A"</f>
        <v>3A</v>
      </c>
      <c r="F2136" t="str">
        <f t="shared" si="334"/>
        <v>001</v>
      </c>
      <c r="G2136">
        <v>9</v>
      </c>
      <c r="H2136" t="str">
        <f t="shared" si="330"/>
        <v>91</v>
      </c>
      <c r="I2136" t="str">
        <f>"0"</f>
        <v>0</v>
      </c>
      <c r="J2136" t="str">
        <f t="shared" si="335"/>
        <v>39</v>
      </c>
      <c r="K2136">
        <v>20190503</v>
      </c>
      <c r="L2136" t="str">
        <f>"076644"</f>
        <v>076644</v>
      </c>
      <c r="M2136" t="str">
        <f>"04405"</f>
        <v>04405</v>
      </c>
      <c r="N2136" t="s">
        <v>1311</v>
      </c>
      <c r="O2136">
        <v>85</v>
      </c>
      <c r="P2136">
        <v>20190502</v>
      </c>
      <c r="Q2136" t="s">
        <v>1088</v>
      </c>
      <c r="R2136" t="s">
        <v>1312</v>
      </c>
      <c r="S2136" t="s">
        <v>295</v>
      </c>
      <c r="T2136" t="s">
        <v>301</v>
      </c>
    </row>
    <row r="2137" spans="1:20" x14ac:dyDescent="0.25">
      <c r="A2137">
        <v>9</v>
      </c>
      <c r="B2137">
        <v>181</v>
      </c>
      <c r="C2137" t="str">
        <f t="shared" si="329"/>
        <v>36</v>
      </c>
      <c r="D2137">
        <v>6411</v>
      </c>
      <c r="E2137" t="str">
        <f>"33"</f>
        <v>33</v>
      </c>
      <c r="F2137" t="str">
        <f t="shared" si="334"/>
        <v>001</v>
      </c>
      <c r="G2137">
        <v>9</v>
      </c>
      <c r="H2137" t="str">
        <f t="shared" si="330"/>
        <v>91</v>
      </c>
      <c r="I2137" t="str">
        <f>"0"</f>
        <v>0</v>
      </c>
      <c r="J2137" t="str">
        <f t="shared" si="335"/>
        <v>39</v>
      </c>
      <c r="K2137">
        <v>20190503</v>
      </c>
      <c r="L2137" t="str">
        <f>"076650"</f>
        <v>076650</v>
      </c>
      <c r="M2137" t="str">
        <f>"13285"</f>
        <v>13285</v>
      </c>
      <c r="N2137" t="s">
        <v>1313</v>
      </c>
      <c r="O2137">
        <v>207.6</v>
      </c>
      <c r="P2137">
        <v>20190502</v>
      </c>
      <c r="Q2137" t="s">
        <v>306</v>
      </c>
      <c r="R2137" t="s">
        <v>1282</v>
      </c>
      <c r="S2137" t="s">
        <v>295</v>
      </c>
      <c r="T2137" t="s">
        <v>301</v>
      </c>
    </row>
    <row r="2138" spans="1:20" x14ac:dyDescent="0.25">
      <c r="A2138">
        <v>9</v>
      </c>
      <c r="B2138">
        <v>181</v>
      </c>
      <c r="C2138" t="str">
        <f t="shared" si="329"/>
        <v>36</v>
      </c>
      <c r="D2138">
        <v>6219</v>
      </c>
      <c r="E2138" t="str">
        <f>"3A"</f>
        <v>3A</v>
      </c>
      <c r="F2138" t="str">
        <f t="shared" si="334"/>
        <v>001</v>
      </c>
      <c r="G2138">
        <v>9</v>
      </c>
      <c r="H2138" t="str">
        <f t="shared" si="330"/>
        <v>91</v>
      </c>
      <c r="I2138" t="str">
        <f>"0"</f>
        <v>0</v>
      </c>
      <c r="J2138" t="str">
        <f t="shared" si="335"/>
        <v>39</v>
      </c>
      <c r="K2138">
        <v>20190503</v>
      </c>
      <c r="L2138" t="str">
        <f>"076653"</f>
        <v>076653</v>
      </c>
      <c r="M2138" t="str">
        <f>"21840"</f>
        <v>21840</v>
      </c>
      <c r="N2138" t="s">
        <v>1314</v>
      </c>
      <c r="O2138">
        <v>275</v>
      </c>
      <c r="P2138">
        <v>20190502</v>
      </c>
      <c r="Q2138" t="s">
        <v>1088</v>
      </c>
      <c r="R2138" t="s">
        <v>1315</v>
      </c>
      <c r="S2138" t="s">
        <v>295</v>
      </c>
      <c r="T2138" t="s">
        <v>301</v>
      </c>
    </row>
    <row r="2139" spans="1:20" x14ac:dyDescent="0.25">
      <c r="A2139">
        <v>9</v>
      </c>
      <c r="B2139">
        <v>181</v>
      </c>
      <c r="C2139" t="str">
        <f t="shared" si="329"/>
        <v>36</v>
      </c>
      <c r="D2139">
        <v>6219</v>
      </c>
      <c r="E2139" t="str">
        <f>"3P"</f>
        <v>3P</v>
      </c>
      <c r="F2139" t="str">
        <f t="shared" si="334"/>
        <v>001</v>
      </c>
      <c r="G2139">
        <v>9</v>
      </c>
      <c r="H2139" t="str">
        <f t="shared" si="330"/>
        <v>91</v>
      </c>
      <c r="I2139" t="str">
        <f>"0"</f>
        <v>0</v>
      </c>
      <c r="J2139" t="str">
        <f t="shared" si="335"/>
        <v>39</v>
      </c>
      <c r="K2139">
        <v>20190503</v>
      </c>
      <c r="L2139" t="str">
        <f>"076657"</f>
        <v>076657</v>
      </c>
      <c r="M2139" t="str">
        <f>"20433"</f>
        <v>20433</v>
      </c>
      <c r="N2139" t="s">
        <v>332</v>
      </c>
      <c r="O2139">
        <v>25</v>
      </c>
      <c r="P2139">
        <v>20190502</v>
      </c>
      <c r="Q2139" t="s">
        <v>961</v>
      </c>
      <c r="R2139" t="s">
        <v>1316</v>
      </c>
      <c r="S2139" t="s">
        <v>295</v>
      </c>
      <c r="T2139" t="s">
        <v>301</v>
      </c>
    </row>
    <row r="2140" spans="1:20" x14ac:dyDescent="0.25">
      <c r="A2140">
        <v>9</v>
      </c>
      <c r="B2140">
        <v>181</v>
      </c>
      <c r="C2140" t="str">
        <f t="shared" si="329"/>
        <v>36</v>
      </c>
      <c r="D2140">
        <v>6219</v>
      </c>
      <c r="E2140" t="str">
        <f>"3A"</f>
        <v>3A</v>
      </c>
      <c r="F2140" t="str">
        <f t="shared" si="334"/>
        <v>001</v>
      </c>
      <c r="G2140">
        <v>9</v>
      </c>
      <c r="H2140" t="str">
        <f t="shared" si="330"/>
        <v>91</v>
      </c>
      <c r="I2140" t="str">
        <f>"1"</f>
        <v>1</v>
      </c>
      <c r="J2140" t="str">
        <f t="shared" si="335"/>
        <v>39</v>
      </c>
      <c r="K2140">
        <v>20190503</v>
      </c>
      <c r="L2140" t="str">
        <f>"076663"</f>
        <v>076663</v>
      </c>
      <c r="M2140" t="str">
        <f>"26337"</f>
        <v>26337</v>
      </c>
      <c r="N2140" t="s">
        <v>481</v>
      </c>
      <c r="O2140">
        <v>96</v>
      </c>
      <c r="P2140">
        <v>20190502</v>
      </c>
      <c r="Q2140" t="s">
        <v>1201</v>
      </c>
      <c r="R2140" t="s">
        <v>1312</v>
      </c>
      <c r="S2140" t="s">
        <v>295</v>
      </c>
      <c r="T2140" t="s">
        <v>301</v>
      </c>
    </row>
    <row r="2141" spans="1:20" x14ac:dyDescent="0.25">
      <c r="A2141">
        <v>9</v>
      </c>
      <c r="B2141">
        <v>181</v>
      </c>
      <c r="C2141" t="str">
        <f t="shared" si="329"/>
        <v>36</v>
      </c>
      <c r="D2141">
        <v>6219</v>
      </c>
      <c r="E2141" t="str">
        <f>"3A"</f>
        <v>3A</v>
      </c>
      <c r="F2141" t="str">
        <f t="shared" si="334"/>
        <v>001</v>
      </c>
      <c r="G2141">
        <v>9</v>
      </c>
      <c r="H2141" t="str">
        <f t="shared" si="330"/>
        <v>91</v>
      </c>
      <c r="I2141" t="str">
        <f>"0"</f>
        <v>0</v>
      </c>
      <c r="J2141" t="str">
        <f t="shared" si="335"/>
        <v>39</v>
      </c>
      <c r="K2141">
        <v>20190503</v>
      </c>
      <c r="L2141" t="str">
        <f>"076664"</f>
        <v>076664</v>
      </c>
      <c r="M2141" t="str">
        <f>"28708"</f>
        <v>28708</v>
      </c>
      <c r="N2141" t="s">
        <v>1317</v>
      </c>
      <c r="O2141">
        <v>85</v>
      </c>
      <c r="P2141">
        <v>20190502</v>
      </c>
      <c r="Q2141" t="s">
        <v>1088</v>
      </c>
      <c r="R2141" t="s">
        <v>1318</v>
      </c>
      <c r="S2141" t="s">
        <v>295</v>
      </c>
      <c r="T2141" t="s">
        <v>301</v>
      </c>
    </row>
    <row r="2142" spans="1:20" x14ac:dyDescent="0.25">
      <c r="A2142">
        <v>9</v>
      </c>
      <c r="B2142">
        <v>181</v>
      </c>
      <c r="C2142" t="str">
        <f t="shared" si="329"/>
        <v>36</v>
      </c>
      <c r="D2142">
        <v>6219</v>
      </c>
      <c r="E2142" t="str">
        <f>"3A"</f>
        <v>3A</v>
      </c>
      <c r="F2142" t="str">
        <f t="shared" si="334"/>
        <v>001</v>
      </c>
      <c r="G2142">
        <v>9</v>
      </c>
      <c r="H2142" t="str">
        <f t="shared" si="330"/>
        <v>91</v>
      </c>
      <c r="I2142" t="str">
        <f>"0"</f>
        <v>0</v>
      </c>
      <c r="J2142" t="str">
        <f t="shared" si="335"/>
        <v>39</v>
      </c>
      <c r="K2142">
        <v>20190503</v>
      </c>
      <c r="L2142" t="str">
        <f>"076664"</f>
        <v>076664</v>
      </c>
      <c r="M2142" t="str">
        <f>"28708"</f>
        <v>28708</v>
      </c>
      <c r="N2142" t="s">
        <v>1317</v>
      </c>
      <c r="O2142">
        <v>85</v>
      </c>
      <c r="P2142">
        <v>20190502</v>
      </c>
      <c r="Q2142" t="s">
        <v>1088</v>
      </c>
      <c r="R2142" t="s">
        <v>1319</v>
      </c>
      <c r="S2142" t="s">
        <v>295</v>
      </c>
      <c r="T2142" t="s">
        <v>301</v>
      </c>
    </row>
    <row r="2143" spans="1:20" x14ac:dyDescent="0.25">
      <c r="A2143">
        <v>9</v>
      </c>
      <c r="B2143">
        <v>181</v>
      </c>
      <c r="C2143" t="str">
        <f t="shared" si="329"/>
        <v>36</v>
      </c>
      <c r="D2143">
        <v>6219</v>
      </c>
      <c r="E2143" t="str">
        <f>"04"</f>
        <v>04</v>
      </c>
      <c r="F2143" t="str">
        <f t="shared" si="334"/>
        <v>001</v>
      </c>
      <c r="G2143">
        <v>9</v>
      </c>
      <c r="H2143" t="str">
        <f t="shared" si="330"/>
        <v>91</v>
      </c>
      <c r="I2143" t="str">
        <f>"1"</f>
        <v>1</v>
      </c>
      <c r="J2143" t="str">
        <f>"42"</f>
        <v>42</v>
      </c>
      <c r="K2143">
        <v>20190503</v>
      </c>
      <c r="L2143" t="str">
        <f>"076670"</f>
        <v>076670</v>
      </c>
      <c r="M2143" t="str">
        <f>"30118"</f>
        <v>30118</v>
      </c>
      <c r="N2143" t="s">
        <v>347</v>
      </c>
      <c r="O2143">
        <v>96</v>
      </c>
      <c r="P2143">
        <v>20190502</v>
      </c>
      <c r="Q2143" t="s">
        <v>1320</v>
      </c>
      <c r="R2143" t="s">
        <v>1321</v>
      </c>
      <c r="S2143" t="s">
        <v>295</v>
      </c>
      <c r="T2143" t="s">
        <v>301</v>
      </c>
    </row>
    <row r="2144" spans="1:20" x14ac:dyDescent="0.25">
      <c r="A2144">
        <v>9</v>
      </c>
      <c r="B2144">
        <v>181</v>
      </c>
      <c r="C2144" t="str">
        <f t="shared" si="329"/>
        <v>36</v>
      </c>
      <c r="D2144">
        <v>6219</v>
      </c>
      <c r="E2144" t="str">
        <f>"05"</f>
        <v>05</v>
      </c>
      <c r="F2144" t="str">
        <f t="shared" si="334"/>
        <v>001</v>
      </c>
      <c r="G2144">
        <v>9</v>
      </c>
      <c r="H2144" t="str">
        <f t="shared" si="330"/>
        <v>91</v>
      </c>
      <c r="I2144" t="str">
        <f>"1"</f>
        <v>1</v>
      </c>
      <c r="J2144" t="str">
        <f>"42"</f>
        <v>42</v>
      </c>
      <c r="K2144">
        <v>20190503</v>
      </c>
      <c r="L2144" t="str">
        <f>"076670"</f>
        <v>076670</v>
      </c>
      <c r="M2144" t="str">
        <f>"30118"</f>
        <v>30118</v>
      </c>
      <c r="N2144" t="s">
        <v>347</v>
      </c>
      <c r="O2144">
        <v>96</v>
      </c>
      <c r="P2144">
        <v>20190502</v>
      </c>
      <c r="Q2144" t="s">
        <v>1322</v>
      </c>
      <c r="R2144" t="s">
        <v>1323</v>
      </c>
      <c r="S2144" t="s">
        <v>295</v>
      </c>
      <c r="T2144" t="s">
        <v>301</v>
      </c>
    </row>
    <row r="2145" spans="1:20" x14ac:dyDescent="0.25">
      <c r="A2145">
        <v>9</v>
      </c>
      <c r="B2145">
        <v>181</v>
      </c>
      <c r="C2145" t="str">
        <f t="shared" si="329"/>
        <v>36</v>
      </c>
      <c r="D2145">
        <v>6219</v>
      </c>
      <c r="E2145" t="str">
        <f>"3A"</f>
        <v>3A</v>
      </c>
      <c r="F2145" t="str">
        <f t="shared" si="334"/>
        <v>001</v>
      </c>
      <c r="G2145">
        <v>9</v>
      </c>
      <c r="H2145" t="str">
        <f t="shared" si="330"/>
        <v>91</v>
      </c>
      <c r="I2145" t="str">
        <f>"0"</f>
        <v>0</v>
      </c>
      <c r="J2145" t="str">
        <f t="shared" ref="J2145:J2152" si="336">"39"</f>
        <v>39</v>
      </c>
      <c r="K2145">
        <v>20190503</v>
      </c>
      <c r="L2145" t="str">
        <f>"076678"</f>
        <v>076678</v>
      </c>
      <c r="M2145" t="str">
        <f>"39418"</f>
        <v>39418</v>
      </c>
      <c r="N2145" t="s">
        <v>1324</v>
      </c>
      <c r="O2145">
        <v>135</v>
      </c>
      <c r="P2145">
        <v>20190502</v>
      </c>
      <c r="Q2145" t="s">
        <v>1088</v>
      </c>
      <c r="R2145" t="s">
        <v>1325</v>
      </c>
      <c r="S2145" t="s">
        <v>295</v>
      </c>
      <c r="T2145" t="s">
        <v>301</v>
      </c>
    </row>
    <row r="2146" spans="1:20" x14ac:dyDescent="0.25">
      <c r="A2146">
        <v>9</v>
      </c>
      <c r="B2146">
        <v>181</v>
      </c>
      <c r="C2146" t="str">
        <f t="shared" si="329"/>
        <v>36</v>
      </c>
      <c r="D2146">
        <v>6412</v>
      </c>
      <c r="E2146" t="str">
        <f>"09"</f>
        <v>09</v>
      </c>
      <c r="F2146" t="str">
        <f t="shared" si="334"/>
        <v>001</v>
      </c>
      <c r="G2146">
        <v>9</v>
      </c>
      <c r="H2146" t="str">
        <f t="shared" si="330"/>
        <v>91</v>
      </c>
      <c r="I2146" t="str">
        <f>"J"</f>
        <v>J</v>
      </c>
      <c r="J2146" t="str">
        <f t="shared" si="336"/>
        <v>39</v>
      </c>
      <c r="K2146">
        <v>20190503</v>
      </c>
      <c r="L2146" t="str">
        <f>"076680"</f>
        <v>076680</v>
      </c>
      <c r="M2146" t="str">
        <f>"39422"</f>
        <v>39422</v>
      </c>
      <c r="N2146" t="s">
        <v>525</v>
      </c>
      <c r="O2146">
        <v>448</v>
      </c>
      <c r="P2146">
        <v>20190502</v>
      </c>
      <c r="Q2146" t="s">
        <v>1261</v>
      </c>
      <c r="R2146" t="s">
        <v>1326</v>
      </c>
      <c r="S2146" t="s">
        <v>295</v>
      </c>
      <c r="T2146" t="s">
        <v>301</v>
      </c>
    </row>
    <row r="2147" spans="1:20" x14ac:dyDescent="0.25">
      <c r="A2147">
        <v>9</v>
      </c>
      <c r="B2147">
        <v>181</v>
      </c>
      <c r="C2147" t="str">
        <f t="shared" si="329"/>
        <v>36</v>
      </c>
      <c r="D2147">
        <v>6412</v>
      </c>
      <c r="E2147" t="str">
        <f>"09"</f>
        <v>09</v>
      </c>
      <c r="F2147" t="str">
        <f t="shared" si="334"/>
        <v>001</v>
      </c>
      <c r="G2147">
        <v>9</v>
      </c>
      <c r="H2147" t="str">
        <f t="shared" si="330"/>
        <v>91</v>
      </c>
      <c r="I2147" t="str">
        <f>"J"</f>
        <v>J</v>
      </c>
      <c r="J2147" t="str">
        <f t="shared" si="336"/>
        <v>39</v>
      </c>
      <c r="K2147">
        <v>20190503</v>
      </c>
      <c r="L2147" t="str">
        <f>"076680"</f>
        <v>076680</v>
      </c>
      <c r="M2147" t="str">
        <f>"39422"</f>
        <v>39422</v>
      </c>
      <c r="N2147" t="s">
        <v>525</v>
      </c>
      <c r="O2147">
        <v>264</v>
      </c>
      <c r="P2147">
        <v>20190502</v>
      </c>
      <c r="Q2147" t="s">
        <v>1261</v>
      </c>
      <c r="R2147" t="s">
        <v>1326</v>
      </c>
      <c r="S2147" t="s">
        <v>295</v>
      </c>
      <c r="T2147" t="s">
        <v>301</v>
      </c>
    </row>
    <row r="2148" spans="1:20" x14ac:dyDescent="0.25">
      <c r="A2148">
        <v>9</v>
      </c>
      <c r="B2148">
        <v>181</v>
      </c>
      <c r="C2148" t="str">
        <f t="shared" si="329"/>
        <v>36</v>
      </c>
      <c r="D2148">
        <v>6412</v>
      </c>
      <c r="E2148" t="str">
        <f>"09"</f>
        <v>09</v>
      </c>
      <c r="F2148" t="str">
        <f t="shared" si="334"/>
        <v>001</v>
      </c>
      <c r="G2148">
        <v>9</v>
      </c>
      <c r="H2148" t="str">
        <f t="shared" si="330"/>
        <v>91</v>
      </c>
      <c r="I2148" t="str">
        <f>"J"</f>
        <v>J</v>
      </c>
      <c r="J2148" t="str">
        <f t="shared" si="336"/>
        <v>39</v>
      </c>
      <c r="K2148">
        <v>20190503</v>
      </c>
      <c r="L2148" t="str">
        <f>"076681"</f>
        <v>076681</v>
      </c>
      <c r="M2148" t="str">
        <f>"39422"</f>
        <v>39422</v>
      </c>
      <c r="N2148" t="s">
        <v>525</v>
      </c>
      <c r="O2148">
        <v>13.57</v>
      </c>
      <c r="P2148">
        <v>20190502</v>
      </c>
      <c r="Q2148" t="s">
        <v>1261</v>
      </c>
      <c r="R2148" t="s">
        <v>1327</v>
      </c>
      <c r="S2148" t="s">
        <v>295</v>
      </c>
      <c r="T2148" t="s">
        <v>301</v>
      </c>
    </row>
    <row r="2149" spans="1:20" x14ac:dyDescent="0.25">
      <c r="A2149">
        <v>9</v>
      </c>
      <c r="B2149">
        <v>181</v>
      </c>
      <c r="C2149" t="str">
        <f t="shared" si="329"/>
        <v>36</v>
      </c>
      <c r="D2149">
        <v>6412</v>
      </c>
      <c r="E2149" t="str">
        <f>"09"</f>
        <v>09</v>
      </c>
      <c r="F2149" t="str">
        <f t="shared" si="334"/>
        <v>001</v>
      </c>
      <c r="G2149">
        <v>9</v>
      </c>
      <c r="H2149" t="str">
        <f t="shared" si="330"/>
        <v>91</v>
      </c>
      <c r="I2149" t="str">
        <f>"J"</f>
        <v>J</v>
      </c>
      <c r="J2149" t="str">
        <f t="shared" si="336"/>
        <v>39</v>
      </c>
      <c r="K2149">
        <v>20190503</v>
      </c>
      <c r="L2149" t="str">
        <f>"076683"</f>
        <v>076683</v>
      </c>
      <c r="M2149" t="str">
        <f>"00201"</f>
        <v>00201</v>
      </c>
      <c r="N2149" t="s">
        <v>1328</v>
      </c>
      <c r="O2149" s="1">
        <v>1124.8800000000001</v>
      </c>
      <c r="P2149">
        <v>20190502</v>
      </c>
      <c r="Q2149" t="s">
        <v>1261</v>
      </c>
      <c r="R2149" t="s">
        <v>1326</v>
      </c>
      <c r="S2149" t="s">
        <v>295</v>
      </c>
      <c r="T2149" t="s">
        <v>301</v>
      </c>
    </row>
    <row r="2150" spans="1:20" x14ac:dyDescent="0.25">
      <c r="A2150">
        <v>9</v>
      </c>
      <c r="B2150">
        <v>181</v>
      </c>
      <c r="C2150" t="str">
        <f t="shared" si="329"/>
        <v>36</v>
      </c>
      <c r="D2150">
        <v>6219</v>
      </c>
      <c r="E2150" t="str">
        <f>"3A"</f>
        <v>3A</v>
      </c>
      <c r="F2150" t="str">
        <f t="shared" si="334"/>
        <v>001</v>
      </c>
      <c r="G2150">
        <v>9</v>
      </c>
      <c r="H2150" t="str">
        <f t="shared" si="330"/>
        <v>91</v>
      </c>
      <c r="I2150" t="str">
        <f>"0"</f>
        <v>0</v>
      </c>
      <c r="J2150" t="str">
        <f t="shared" si="336"/>
        <v>39</v>
      </c>
      <c r="K2150">
        <v>20190503</v>
      </c>
      <c r="L2150" t="str">
        <f>"076684"</f>
        <v>076684</v>
      </c>
      <c r="M2150" t="str">
        <f>"50555"</f>
        <v>50555</v>
      </c>
      <c r="N2150" t="s">
        <v>787</v>
      </c>
      <c r="O2150">
        <v>85</v>
      </c>
      <c r="P2150">
        <v>20190502</v>
      </c>
      <c r="Q2150" t="s">
        <v>1088</v>
      </c>
      <c r="R2150" t="s">
        <v>1318</v>
      </c>
      <c r="S2150" t="s">
        <v>295</v>
      </c>
      <c r="T2150" t="s">
        <v>301</v>
      </c>
    </row>
    <row r="2151" spans="1:20" x14ac:dyDescent="0.25">
      <c r="A2151">
        <v>9</v>
      </c>
      <c r="B2151">
        <v>181</v>
      </c>
      <c r="C2151" t="str">
        <f t="shared" si="329"/>
        <v>36</v>
      </c>
      <c r="D2151">
        <v>6412</v>
      </c>
      <c r="E2151" t="str">
        <f>"09"</f>
        <v>09</v>
      </c>
      <c r="F2151" t="str">
        <f t="shared" si="334"/>
        <v>001</v>
      </c>
      <c r="G2151">
        <v>9</v>
      </c>
      <c r="H2151" t="str">
        <f t="shared" si="330"/>
        <v>91</v>
      </c>
      <c r="I2151" t="str">
        <f>"G"</f>
        <v>G</v>
      </c>
      <c r="J2151" t="str">
        <f t="shared" si="336"/>
        <v>39</v>
      </c>
      <c r="K2151">
        <v>20190503</v>
      </c>
      <c r="L2151" t="str">
        <f>"076685"</f>
        <v>076685</v>
      </c>
      <c r="M2151" t="str">
        <f>"00243"</f>
        <v>00243</v>
      </c>
      <c r="N2151" t="s">
        <v>592</v>
      </c>
      <c r="O2151">
        <v>956.58</v>
      </c>
      <c r="P2151">
        <v>20190502</v>
      </c>
      <c r="Q2151" t="s">
        <v>1279</v>
      </c>
      <c r="R2151" t="s">
        <v>1329</v>
      </c>
      <c r="S2151" t="s">
        <v>295</v>
      </c>
      <c r="T2151" t="s">
        <v>301</v>
      </c>
    </row>
    <row r="2152" spans="1:20" x14ac:dyDescent="0.25">
      <c r="A2152">
        <v>9</v>
      </c>
      <c r="B2152">
        <v>181</v>
      </c>
      <c r="C2152" t="str">
        <f t="shared" si="329"/>
        <v>36</v>
      </c>
      <c r="D2152">
        <v>6411</v>
      </c>
      <c r="E2152" t="str">
        <f>"33"</f>
        <v>33</v>
      </c>
      <c r="F2152" t="str">
        <f t="shared" si="334"/>
        <v>001</v>
      </c>
      <c r="G2152">
        <v>9</v>
      </c>
      <c r="H2152" t="str">
        <f t="shared" si="330"/>
        <v>91</v>
      </c>
      <c r="I2152" t="str">
        <f t="shared" ref="I2152:I2157" si="337">"0"</f>
        <v>0</v>
      </c>
      <c r="J2152" t="str">
        <f t="shared" si="336"/>
        <v>39</v>
      </c>
      <c r="K2152">
        <v>20190503</v>
      </c>
      <c r="L2152" t="str">
        <f>"076686"</f>
        <v>076686</v>
      </c>
      <c r="M2152" t="str">
        <f>"44261"</f>
        <v>44261</v>
      </c>
      <c r="N2152" t="s">
        <v>1330</v>
      </c>
      <c r="O2152">
        <v>402</v>
      </c>
      <c r="P2152">
        <v>20190502</v>
      </c>
      <c r="Q2152" t="s">
        <v>306</v>
      </c>
      <c r="R2152" t="s">
        <v>1331</v>
      </c>
      <c r="S2152" t="s">
        <v>295</v>
      </c>
      <c r="T2152" t="s">
        <v>301</v>
      </c>
    </row>
    <row r="2153" spans="1:20" x14ac:dyDescent="0.25">
      <c r="A2153">
        <v>9</v>
      </c>
      <c r="B2153">
        <v>181</v>
      </c>
      <c r="C2153" t="str">
        <f t="shared" si="329"/>
        <v>36</v>
      </c>
      <c r="D2153">
        <v>6219</v>
      </c>
      <c r="E2153" t="str">
        <f>"05"</f>
        <v>05</v>
      </c>
      <c r="F2153" t="str">
        <f t="shared" si="334"/>
        <v>001</v>
      </c>
      <c r="G2153">
        <v>9</v>
      </c>
      <c r="H2153" t="str">
        <f t="shared" si="330"/>
        <v>91</v>
      </c>
      <c r="I2153" t="str">
        <f t="shared" si="337"/>
        <v>0</v>
      </c>
      <c r="J2153" t="str">
        <f>"42"</f>
        <v>42</v>
      </c>
      <c r="K2153">
        <v>20190503</v>
      </c>
      <c r="L2153" t="str">
        <f>"076688"</f>
        <v>076688</v>
      </c>
      <c r="M2153" t="str">
        <f>"00816"</f>
        <v>00816</v>
      </c>
      <c r="N2153" t="s">
        <v>1332</v>
      </c>
      <c r="O2153">
        <v>125</v>
      </c>
      <c r="P2153">
        <v>20190502</v>
      </c>
      <c r="Q2153" t="s">
        <v>1333</v>
      </c>
      <c r="R2153" t="s">
        <v>1323</v>
      </c>
      <c r="S2153" t="s">
        <v>295</v>
      </c>
      <c r="T2153" t="s">
        <v>301</v>
      </c>
    </row>
    <row r="2154" spans="1:20" x14ac:dyDescent="0.25">
      <c r="A2154">
        <v>9</v>
      </c>
      <c r="B2154">
        <v>181</v>
      </c>
      <c r="C2154" t="str">
        <f t="shared" si="329"/>
        <v>36</v>
      </c>
      <c r="D2154">
        <v>6219</v>
      </c>
      <c r="E2154" t="str">
        <f>"04"</f>
        <v>04</v>
      </c>
      <c r="F2154" t="str">
        <f t="shared" si="334"/>
        <v>001</v>
      </c>
      <c r="G2154">
        <v>9</v>
      </c>
      <c r="H2154" t="str">
        <f t="shared" si="330"/>
        <v>91</v>
      </c>
      <c r="I2154" t="str">
        <f t="shared" si="337"/>
        <v>0</v>
      </c>
      <c r="J2154" t="str">
        <f>"42"</f>
        <v>42</v>
      </c>
      <c r="K2154">
        <v>20190503</v>
      </c>
      <c r="L2154" t="str">
        <f>"076689"</f>
        <v>076689</v>
      </c>
      <c r="M2154" t="str">
        <f>"45254"</f>
        <v>45254</v>
      </c>
      <c r="N2154" t="s">
        <v>1334</v>
      </c>
      <c r="O2154">
        <v>125</v>
      </c>
      <c r="P2154">
        <v>20190502</v>
      </c>
      <c r="Q2154" t="s">
        <v>1335</v>
      </c>
      <c r="R2154" t="s">
        <v>1321</v>
      </c>
      <c r="S2154" t="s">
        <v>295</v>
      </c>
      <c r="T2154" t="s">
        <v>301</v>
      </c>
    </row>
    <row r="2155" spans="1:20" x14ac:dyDescent="0.25">
      <c r="A2155">
        <v>9</v>
      </c>
      <c r="B2155">
        <v>181</v>
      </c>
      <c r="C2155" t="str">
        <f t="shared" si="329"/>
        <v>36</v>
      </c>
      <c r="D2155">
        <v>6219</v>
      </c>
      <c r="E2155" t="str">
        <f>"3A"</f>
        <v>3A</v>
      </c>
      <c r="F2155" t="str">
        <f t="shared" si="334"/>
        <v>001</v>
      </c>
      <c r="G2155">
        <v>9</v>
      </c>
      <c r="H2155" t="str">
        <f t="shared" si="330"/>
        <v>91</v>
      </c>
      <c r="I2155" t="str">
        <f t="shared" si="337"/>
        <v>0</v>
      </c>
      <c r="J2155" t="str">
        <f>"39"</f>
        <v>39</v>
      </c>
      <c r="K2155">
        <v>20190503</v>
      </c>
      <c r="L2155" t="str">
        <f>"076692"</f>
        <v>076692</v>
      </c>
      <c r="M2155" t="str">
        <f>"49867"</f>
        <v>49867</v>
      </c>
      <c r="N2155" t="s">
        <v>1276</v>
      </c>
      <c r="O2155">
        <v>85</v>
      </c>
      <c r="P2155">
        <v>20190502</v>
      </c>
      <c r="Q2155" t="s">
        <v>1088</v>
      </c>
      <c r="R2155" t="s">
        <v>1312</v>
      </c>
      <c r="S2155" t="s">
        <v>295</v>
      </c>
      <c r="T2155" t="s">
        <v>301</v>
      </c>
    </row>
    <row r="2156" spans="1:20" x14ac:dyDescent="0.25">
      <c r="A2156">
        <v>9</v>
      </c>
      <c r="B2156">
        <v>181</v>
      </c>
      <c r="C2156" t="str">
        <f t="shared" si="329"/>
        <v>36</v>
      </c>
      <c r="D2156">
        <v>6219</v>
      </c>
      <c r="E2156" t="str">
        <f>"3P"</f>
        <v>3P</v>
      </c>
      <c r="F2156" t="str">
        <f t="shared" si="334"/>
        <v>001</v>
      </c>
      <c r="G2156">
        <v>9</v>
      </c>
      <c r="H2156" t="str">
        <f t="shared" si="330"/>
        <v>91</v>
      </c>
      <c r="I2156" t="str">
        <f t="shared" si="337"/>
        <v>0</v>
      </c>
      <c r="J2156" t="str">
        <f>"39"</f>
        <v>39</v>
      </c>
      <c r="K2156">
        <v>20190503</v>
      </c>
      <c r="L2156" t="str">
        <f>"076694"</f>
        <v>076694</v>
      </c>
      <c r="M2156" t="str">
        <f>"00425"</f>
        <v>00425</v>
      </c>
      <c r="N2156" t="s">
        <v>1336</v>
      </c>
      <c r="O2156">
        <v>145</v>
      </c>
      <c r="P2156">
        <v>20190502</v>
      </c>
      <c r="Q2156" t="s">
        <v>961</v>
      </c>
      <c r="R2156" t="s">
        <v>1316</v>
      </c>
      <c r="S2156" t="s">
        <v>295</v>
      </c>
      <c r="T2156" t="s">
        <v>301</v>
      </c>
    </row>
    <row r="2157" spans="1:20" x14ac:dyDescent="0.25">
      <c r="A2157">
        <v>9</v>
      </c>
      <c r="B2157">
        <v>181</v>
      </c>
      <c r="C2157" t="str">
        <f t="shared" si="329"/>
        <v>36</v>
      </c>
      <c r="D2157">
        <v>6219</v>
      </c>
      <c r="E2157" t="str">
        <f>"04"</f>
        <v>04</v>
      </c>
      <c r="F2157" t="str">
        <f t="shared" si="334"/>
        <v>001</v>
      </c>
      <c r="G2157">
        <v>9</v>
      </c>
      <c r="H2157" t="str">
        <f t="shared" si="330"/>
        <v>91</v>
      </c>
      <c r="I2157" t="str">
        <f t="shared" si="337"/>
        <v>0</v>
      </c>
      <c r="J2157" t="str">
        <f>"42"</f>
        <v>42</v>
      </c>
      <c r="K2157">
        <v>20190503</v>
      </c>
      <c r="L2157" t="str">
        <f>"076698"</f>
        <v>076698</v>
      </c>
      <c r="M2157" t="str">
        <f>"54820"</f>
        <v>54820</v>
      </c>
      <c r="N2157" t="s">
        <v>366</v>
      </c>
      <c r="O2157">
        <v>125</v>
      </c>
      <c r="P2157">
        <v>20190502</v>
      </c>
      <c r="Q2157" t="s">
        <v>1335</v>
      </c>
      <c r="R2157" t="s">
        <v>1321</v>
      </c>
      <c r="S2157" t="s">
        <v>295</v>
      </c>
      <c r="T2157" t="s">
        <v>301</v>
      </c>
    </row>
    <row r="2158" spans="1:20" x14ac:dyDescent="0.25">
      <c r="A2158">
        <v>9</v>
      </c>
      <c r="B2158">
        <v>181</v>
      </c>
      <c r="C2158" t="str">
        <f t="shared" si="329"/>
        <v>36</v>
      </c>
      <c r="D2158">
        <v>6412</v>
      </c>
      <c r="E2158" t="str">
        <f>"09"</f>
        <v>09</v>
      </c>
      <c r="F2158" t="str">
        <f t="shared" si="334"/>
        <v>001</v>
      </c>
      <c r="G2158">
        <v>9</v>
      </c>
      <c r="H2158" t="str">
        <f t="shared" si="330"/>
        <v>91</v>
      </c>
      <c r="I2158" t="str">
        <f>"G"</f>
        <v>G</v>
      </c>
      <c r="J2158" t="str">
        <f>"39"</f>
        <v>39</v>
      </c>
      <c r="K2158">
        <v>20190503</v>
      </c>
      <c r="L2158" t="str">
        <f>"076704"</f>
        <v>076704</v>
      </c>
      <c r="M2158" t="str">
        <f>"57322"</f>
        <v>57322</v>
      </c>
      <c r="N2158" t="s">
        <v>1278</v>
      </c>
      <c r="O2158">
        <v>90</v>
      </c>
      <c r="P2158">
        <v>20190502</v>
      </c>
      <c r="Q2158" t="s">
        <v>1279</v>
      </c>
      <c r="R2158" t="s">
        <v>1329</v>
      </c>
      <c r="S2158" t="s">
        <v>295</v>
      </c>
      <c r="T2158" t="s">
        <v>301</v>
      </c>
    </row>
    <row r="2159" spans="1:20" x14ac:dyDescent="0.25">
      <c r="A2159">
        <v>9</v>
      </c>
      <c r="B2159">
        <v>181</v>
      </c>
      <c r="C2159" t="str">
        <f t="shared" si="329"/>
        <v>36</v>
      </c>
      <c r="D2159">
        <v>6412</v>
      </c>
      <c r="E2159" t="str">
        <f>"09"</f>
        <v>09</v>
      </c>
      <c r="F2159" t="str">
        <f t="shared" si="334"/>
        <v>001</v>
      </c>
      <c r="G2159">
        <v>9</v>
      </c>
      <c r="H2159" t="str">
        <f t="shared" si="330"/>
        <v>91</v>
      </c>
      <c r="I2159" t="str">
        <f>"G"</f>
        <v>G</v>
      </c>
      <c r="J2159" t="str">
        <f>"39"</f>
        <v>39</v>
      </c>
      <c r="K2159">
        <v>20190503</v>
      </c>
      <c r="L2159" t="str">
        <f>"076704"</f>
        <v>076704</v>
      </c>
      <c r="M2159" t="str">
        <f>"57322"</f>
        <v>57322</v>
      </c>
      <c r="N2159" t="s">
        <v>1278</v>
      </c>
      <c r="O2159">
        <v>150</v>
      </c>
      <c r="P2159">
        <v>20190502</v>
      </c>
      <c r="Q2159" t="s">
        <v>1279</v>
      </c>
      <c r="R2159" t="s">
        <v>1329</v>
      </c>
      <c r="S2159" t="s">
        <v>295</v>
      </c>
      <c r="T2159" t="s">
        <v>301</v>
      </c>
    </row>
    <row r="2160" spans="1:20" x14ac:dyDescent="0.25">
      <c r="A2160">
        <v>9</v>
      </c>
      <c r="B2160">
        <v>181</v>
      </c>
      <c r="C2160" t="str">
        <f t="shared" si="329"/>
        <v>36</v>
      </c>
      <c r="D2160">
        <v>6412</v>
      </c>
      <c r="E2160" t="str">
        <f>"09"</f>
        <v>09</v>
      </c>
      <c r="F2160" t="str">
        <f t="shared" si="334"/>
        <v>001</v>
      </c>
      <c r="G2160">
        <v>9</v>
      </c>
      <c r="H2160" t="str">
        <f t="shared" si="330"/>
        <v>91</v>
      </c>
      <c r="I2160" t="str">
        <f>"G"</f>
        <v>G</v>
      </c>
      <c r="J2160" t="str">
        <f>"39"</f>
        <v>39</v>
      </c>
      <c r="K2160">
        <v>20190503</v>
      </c>
      <c r="L2160" t="str">
        <f>"076704"</f>
        <v>076704</v>
      </c>
      <c r="M2160" t="str">
        <f>"57322"</f>
        <v>57322</v>
      </c>
      <c r="N2160" t="s">
        <v>1278</v>
      </c>
      <c r="O2160">
        <v>135</v>
      </c>
      <c r="P2160">
        <v>20190502</v>
      </c>
      <c r="Q2160" t="s">
        <v>1279</v>
      </c>
      <c r="R2160" t="s">
        <v>1329</v>
      </c>
      <c r="S2160" t="s">
        <v>295</v>
      </c>
      <c r="T2160" t="s">
        <v>301</v>
      </c>
    </row>
    <row r="2161" spans="1:20" x14ac:dyDescent="0.25">
      <c r="A2161">
        <v>9</v>
      </c>
      <c r="B2161">
        <v>181</v>
      </c>
      <c r="C2161" t="str">
        <f t="shared" si="329"/>
        <v>36</v>
      </c>
      <c r="D2161">
        <v>6219</v>
      </c>
      <c r="E2161" t="str">
        <f>"3A"</f>
        <v>3A</v>
      </c>
      <c r="F2161" t="str">
        <f t="shared" si="334"/>
        <v>001</v>
      </c>
      <c r="G2161">
        <v>9</v>
      </c>
      <c r="H2161" t="str">
        <f t="shared" si="330"/>
        <v>91</v>
      </c>
      <c r="I2161" t="str">
        <f>"0"</f>
        <v>0</v>
      </c>
      <c r="J2161" t="str">
        <f>"39"</f>
        <v>39</v>
      </c>
      <c r="K2161">
        <v>20190503</v>
      </c>
      <c r="L2161" t="str">
        <f>"076717"</f>
        <v>076717</v>
      </c>
      <c r="M2161" t="str">
        <f>"63620"</f>
        <v>63620</v>
      </c>
      <c r="N2161" t="s">
        <v>1337</v>
      </c>
      <c r="O2161">
        <v>85</v>
      </c>
      <c r="P2161">
        <v>20190502</v>
      </c>
      <c r="Q2161" t="s">
        <v>1088</v>
      </c>
      <c r="R2161" t="s">
        <v>1319</v>
      </c>
      <c r="S2161" t="s">
        <v>295</v>
      </c>
      <c r="T2161" t="s">
        <v>301</v>
      </c>
    </row>
    <row r="2162" spans="1:20" x14ac:dyDescent="0.25">
      <c r="A2162">
        <v>9</v>
      </c>
      <c r="B2162">
        <v>181</v>
      </c>
      <c r="C2162" t="str">
        <f t="shared" si="329"/>
        <v>36</v>
      </c>
      <c r="D2162">
        <v>6219</v>
      </c>
      <c r="E2162" t="str">
        <f>"3A"</f>
        <v>3A</v>
      </c>
      <c r="F2162" t="str">
        <f t="shared" si="334"/>
        <v>001</v>
      </c>
      <c r="G2162">
        <v>9</v>
      </c>
      <c r="H2162" t="str">
        <f t="shared" si="330"/>
        <v>91</v>
      </c>
      <c r="I2162" t="str">
        <f>"0"</f>
        <v>0</v>
      </c>
      <c r="J2162" t="str">
        <f>"39"</f>
        <v>39</v>
      </c>
      <c r="K2162">
        <v>20190503</v>
      </c>
      <c r="L2162" t="str">
        <f>"076718"</f>
        <v>076718</v>
      </c>
      <c r="M2162" t="str">
        <f>"67631"</f>
        <v>67631</v>
      </c>
      <c r="N2162" t="s">
        <v>753</v>
      </c>
      <c r="O2162">
        <v>135</v>
      </c>
      <c r="P2162">
        <v>20190502</v>
      </c>
      <c r="Q2162" t="s">
        <v>1088</v>
      </c>
      <c r="R2162" t="s">
        <v>1325</v>
      </c>
      <c r="S2162" t="s">
        <v>295</v>
      </c>
      <c r="T2162" t="s">
        <v>301</v>
      </c>
    </row>
    <row r="2163" spans="1:20" x14ac:dyDescent="0.25">
      <c r="A2163">
        <v>9</v>
      </c>
      <c r="B2163">
        <v>181</v>
      </c>
      <c r="C2163" t="str">
        <f t="shared" si="329"/>
        <v>36</v>
      </c>
      <c r="D2163">
        <v>6219</v>
      </c>
      <c r="E2163" t="str">
        <f>"04"</f>
        <v>04</v>
      </c>
      <c r="F2163" t="str">
        <f t="shared" si="334"/>
        <v>001</v>
      </c>
      <c r="G2163">
        <v>9</v>
      </c>
      <c r="H2163" t="str">
        <f t="shared" si="330"/>
        <v>91</v>
      </c>
      <c r="I2163" t="str">
        <f>"1"</f>
        <v>1</v>
      </c>
      <c r="J2163" t="str">
        <f t="shared" ref="J2163:J2168" si="338">"42"</f>
        <v>42</v>
      </c>
      <c r="K2163">
        <v>20190503</v>
      </c>
      <c r="L2163" t="str">
        <f>"076722"</f>
        <v>076722</v>
      </c>
      <c r="M2163" t="str">
        <f>"81716"</f>
        <v>81716</v>
      </c>
      <c r="N2163" t="s">
        <v>393</v>
      </c>
      <c r="O2163">
        <v>125</v>
      </c>
      <c r="P2163">
        <v>20190502</v>
      </c>
      <c r="Q2163" t="s">
        <v>1320</v>
      </c>
      <c r="R2163" t="s">
        <v>1321</v>
      </c>
      <c r="S2163" t="s">
        <v>295</v>
      </c>
      <c r="T2163" t="s">
        <v>301</v>
      </c>
    </row>
    <row r="2164" spans="1:20" x14ac:dyDescent="0.25">
      <c r="A2164">
        <v>9</v>
      </c>
      <c r="B2164">
        <v>181</v>
      </c>
      <c r="C2164" t="str">
        <f t="shared" si="329"/>
        <v>36</v>
      </c>
      <c r="D2164">
        <v>6219</v>
      </c>
      <c r="E2164" t="str">
        <f>"05"</f>
        <v>05</v>
      </c>
      <c r="F2164" t="str">
        <f t="shared" si="334"/>
        <v>001</v>
      </c>
      <c r="G2164">
        <v>9</v>
      </c>
      <c r="H2164" t="str">
        <f t="shared" si="330"/>
        <v>91</v>
      </c>
      <c r="I2164" t="str">
        <f t="shared" ref="I2164:I2169" si="339">"0"</f>
        <v>0</v>
      </c>
      <c r="J2164" t="str">
        <f t="shared" si="338"/>
        <v>42</v>
      </c>
      <c r="K2164">
        <v>20190503</v>
      </c>
      <c r="L2164" t="str">
        <f>"076722"</f>
        <v>076722</v>
      </c>
      <c r="M2164" t="str">
        <f>"81716"</f>
        <v>81716</v>
      </c>
      <c r="N2164" t="s">
        <v>393</v>
      </c>
      <c r="O2164">
        <v>125</v>
      </c>
      <c r="P2164">
        <v>20190502</v>
      </c>
      <c r="Q2164" t="s">
        <v>1333</v>
      </c>
      <c r="R2164" t="s">
        <v>1323</v>
      </c>
      <c r="S2164" t="s">
        <v>295</v>
      </c>
      <c r="T2164" t="s">
        <v>301</v>
      </c>
    </row>
    <row r="2165" spans="1:20" x14ac:dyDescent="0.25">
      <c r="A2165">
        <v>9</v>
      </c>
      <c r="B2165">
        <v>181</v>
      </c>
      <c r="C2165" t="str">
        <f>"00"</f>
        <v>00</v>
      </c>
      <c r="D2165">
        <v>5752</v>
      </c>
      <c r="E2165" t="str">
        <f>"03"</f>
        <v>03</v>
      </c>
      <c r="F2165" t="str">
        <f t="shared" ref="F2165:F2196" si="340">"001"</f>
        <v>001</v>
      </c>
      <c r="G2165">
        <v>9</v>
      </c>
      <c r="H2165" t="str">
        <f>"00"</f>
        <v>00</v>
      </c>
      <c r="I2165" t="str">
        <f t="shared" si="339"/>
        <v>0</v>
      </c>
      <c r="J2165" t="str">
        <f t="shared" si="338"/>
        <v>42</v>
      </c>
      <c r="K2165">
        <v>20190503</v>
      </c>
      <c r="L2165" t="str">
        <f>"076724"</f>
        <v>076724</v>
      </c>
      <c r="M2165" t="str">
        <f>"82176"</f>
        <v>82176</v>
      </c>
      <c r="N2165" t="s">
        <v>1286</v>
      </c>
      <c r="O2165">
        <v>103.36</v>
      </c>
      <c r="P2165">
        <v>20190502</v>
      </c>
      <c r="Q2165" t="s">
        <v>1338</v>
      </c>
      <c r="R2165" t="s">
        <v>1117</v>
      </c>
      <c r="S2165" t="s">
        <v>295</v>
      </c>
      <c r="T2165" t="s">
        <v>301</v>
      </c>
    </row>
    <row r="2166" spans="1:20" x14ac:dyDescent="0.25">
      <c r="A2166">
        <v>9</v>
      </c>
      <c r="B2166">
        <v>181</v>
      </c>
      <c r="C2166" t="str">
        <f>"00"</f>
        <v>00</v>
      </c>
      <c r="D2166">
        <v>5752</v>
      </c>
      <c r="E2166" t="str">
        <f>"04"</f>
        <v>04</v>
      </c>
      <c r="F2166" t="str">
        <f t="shared" si="340"/>
        <v>001</v>
      </c>
      <c r="G2166">
        <v>9</v>
      </c>
      <c r="H2166" t="str">
        <f>"00"</f>
        <v>00</v>
      </c>
      <c r="I2166" t="str">
        <f t="shared" si="339"/>
        <v>0</v>
      </c>
      <c r="J2166" t="str">
        <f t="shared" si="338"/>
        <v>42</v>
      </c>
      <c r="K2166">
        <v>20190503</v>
      </c>
      <c r="L2166" t="str">
        <f>"076724"</f>
        <v>076724</v>
      </c>
      <c r="M2166" t="str">
        <f>"82176"</f>
        <v>82176</v>
      </c>
      <c r="N2166" t="s">
        <v>1286</v>
      </c>
      <c r="O2166">
        <v>152.96</v>
      </c>
      <c r="P2166">
        <v>20190502</v>
      </c>
      <c r="Q2166" t="s">
        <v>1339</v>
      </c>
      <c r="R2166" t="s">
        <v>1321</v>
      </c>
      <c r="S2166" t="s">
        <v>295</v>
      </c>
      <c r="T2166" t="s">
        <v>301</v>
      </c>
    </row>
    <row r="2167" spans="1:20" x14ac:dyDescent="0.25">
      <c r="A2167">
        <v>9</v>
      </c>
      <c r="B2167">
        <v>181</v>
      </c>
      <c r="C2167" t="str">
        <f>"00"</f>
        <v>00</v>
      </c>
      <c r="D2167">
        <v>5752</v>
      </c>
      <c r="E2167" t="str">
        <f>"05"</f>
        <v>05</v>
      </c>
      <c r="F2167" t="str">
        <f t="shared" si="340"/>
        <v>001</v>
      </c>
      <c r="G2167">
        <v>9</v>
      </c>
      <c r="H2167" t="str">
        <f>"00"</f>
        <v>00</v>
      </c>
      <c r="I2167" t="str">
        <f t="shared" si="339"/>
        <v>0</v>
      </c>
      <c r="J2167" t="str">
        <f t="shared" si="338"/>
        <v>42</v>
      </c>
      <c r="K2167">
        <v>20190503</v>
      </c>
      <c r="L2167" t="str">
        <f>"076724"</f>
        <v>076724</v>
      </c>
      <c r="M2167" t="str">
        <f>"82176"</f>
        <v>82176</v>
      </c>
      <c r="N2167" t="s">
        <v>1286</v>
      </c>
      <c r="O2167">
        <v>117.76</v>
      </c>
      <c r="P2167">
        <v>20190502</v>
      </c>
      <c r="Q2167" t="s">
        <v>1340</v>
      </c>
      <c r="R2167" t="s">
        <v>1323</v>
      </c>
      <c r="S2167" t="s">
        <v>295</v>
      </c>
      <c r="T2167" t="s">
        <v>301</v>
      </c>
    </row>
    <row r="2168" spans="1:20" x14ac:dyDescent="0.25">
      <c r="A2168">
        <v>9</v>
      </c>
      <c r="B2168">
        <v>181</v>
      </c>
      <c r="C2168" t="str">
        <f t="shared" ref="C2168:C2209" si="341">"36"</f>
        <v>36</v>
      </c>
      <c r="D2168">
        <v>6219</v>
      </c>
      <c r="E2168" t="str">
        <f>"05"</f>
        <v>05</v>
      </c>
      <c r="F2168" t="str">
        <f t="shared" si="340"/>
        <v>001</v>
      </c>
      <c r="G2168">
        <v>9</v>
      </c>
      <c r="H2168" t="str">
        <f t="shared" ref="H2168:H2209" si="342">"91"</f>
        <v>91</v>
      </c>
      <c r="I2168" t="str">
        <f t="shared" si="339"/>
        <v>0</v>
      </c>
      <c r="J2168" t="str">
        <f t="shared" si="338"/>
        <v>42</v>
      </c>
      <c r="K2168">
        <v>20190503</v>
      </c>
      <c r="L2168" t="str">
        <f>"076726"</f>
        <v>076726</v>
      </c>
      <c r="M2168" t="str">
        <f>"00122"</f>
        <v>00122</v>
      </c>
      <c r="N2168" t="s">
        <v>1341</v>
      </c>
      <c r="O2168">
        <v>125</v>
      </c>
      <c r="P2168">
        <v>20190502</v>
      </c>
      <c r="Q2168" t="s">
        <v>1333</v>
      </c>
      <c r="R2168" t="s">
        <v>1323</v>
      </c>
      <c r="S2168" t="s">
        <v>295</v>
      </c>
      <c r="T2168" t="s">
        <v>301</v>
      </c>
    </row>
    <row r="2169" spans="1:20" x14ac:dyDescent="0.25">
      <c r="A2169">
        <v>9</v>
      </c>
      <c r="B2169">
        <v>181</v>
      </c>
      <c r="C2169" t="str">
        <f t="shared" si="341"/>
        <v>36</v>
      </c>
      <c r="D2169">
        <v>6219</v>
      </c>
      <c r="E2169" t="str">
        <f>"3P"</f>
        <v>3P</v>
      </c>
      <c r="F2169" t="str">
        <f t="shared" si="340"/>
        <v>001</v>
      </c>
      <c r="G2169">
        <v>9</v>
      </c>
      <c r="H2169" t="str">
        <f t="shared" si="342"/>
        <v>91</v>
      </c>
      <c r="I2169" t="str">
        <f t="shared" si="339"/>
        <v>0</v>
      </c>
      <c r="J2169" t="str">
        <f t="shared" ref="J2169:J2209" si="343">"39"</f>
        <v>39</v>
      </c>
      <c r="K2169">
        <v>20190503</v>
      </c>
      <c r="L2169" t="str">
        <f>"076727"</f>
        <v>076727</v>
      </c>
      <c r="M2169" t="str">
        <f>"84400"</f>
        <v>84400</v>
      </c>
      <c r="N2169" t="s">
        <v>764</v>
      </c>
      <c r="O2169">
        <v>145</v>
      </c>
      <c r="P2169">
        <v>20190502</v>
      </c>
      <c r="Q2169" t="s">
        <v>961</v>
      </c>
      <c r="R2169" t="s">
        <v>1316</v>
      </c>
      <c r="S2169" t="s">
        <v>295</v>
      </c>
      <c r="T2169" t="s">
        <v>301</v>
      </c>
    </row>
    <row r="2170" spans="1:20" x14ac:dyDescent="0.25">
      <c r="A2170">
        <v>9</v>
      </c>
      <c r="B2170">
        <v>181</v>
      </c>
      <c r="C2170" t="str">
        <f t="shared" si="341"/>
        <v>36</v>
      </c>
      <c r="D2170">
        <v>6412</v>
      </c>
      <c r="E2170" t="str">
        <f>"09"</f>
        <v>09</v>
      </c>
      <c r="F2170" t="str">
        <f t="shared" si="340"/>
        <v>001</v>
      </c>
      <c r="G2170">
        <v>9</v>
      </c>
      <c r="H2170" t="str">
        <f t="shared" si="342"/>
        <v>91</v>
      </c>
      <c r="I2170" t="str">
        <f>"T"</f>
        <v>T</v>
      </c>
      <c r="J2170" t="str">
        <f t="shared" si="343"/>
        <v>39</v>
      </c>
      <c r="K2170">
        <v>20190510</v>
      </c>
      <c r="L2170" t="str">
        <f>"076729"</f>
        <v>076729</v>
      </c>
      <c r="M2170" t="str">
        <f>"00351"</f>
        <v>00351</v>
      </c>
      <c r="N2170" t="s">
        <v>1342</v>
      </c>
      <c r="O2170">
        <v>245</v>
      </c>
      <c r="P2170">
        <v>20190508</v>
      </c>
      <c r="Q2170" t="s">
        <v>544</v>
      </c>
      <c r="R2170" t="s">
        <v>1343</v>
      </c>
      <c r="S2170" t="s">
        <v>295</v>
      </c>
      <c r="T2170" t="s">
        <v>301</v>
      </c>
    </row>
    <row r="2171" spans="1:20" x14ac:dyDescent="0.25">
      <c r="A2171">
        <v>9</v>
      </c>
      <c r="B2171">
        <v>181</v>
      </c>
      <c r="C2171" t="str">
        <f t="shared" si="341"/>
        <v>36</v>
      </c>
      <c r="D2171">
        <v>6412</v>
      </c>
      <c r="E2171" t="str">
        <f>"09"</f>
        <v>09</v>
      </c>
      <c r="F2171" t="str">
        <f t="shared" si="340"/>
        <v>001</v>
      </c>
      <c r="G2171">
        <v>9</v>
      </c>
      <c r="H2171" t="str">
        <f t="shared" si="342"/>
        <v>91</v>
      </c>
      <c r="I2171" t="str">
        <f>"J"</f>
        <v>J</v>
      </c>
      <c r="J2171" t="str">
        <f t="shared" si="343"/>
        <v>39</v>
      </c>
      <c r="K2171">
        <v>20190510</v>
      </c>
      <c r="L2171" t="str">
        <f>"076737"</f>
        <v>076737</v>
      </c>
      <c r="M2171" t="str">
        <f>"10210"</f>
        <v>10210</v>
      </c>
      <c r="N2171" t="s">
        <v>1045</v>
      </c>
      <c r="O2171">
        <v>86.63</v>
      </c>
      <c r="P2171">
        <v>20190508</v>
      </c>
      <c r="Q2171" t="s">
        <v>1261</v>
      </c>
      <c r="R2171" t="s">
        <v>1327</v>
      </c>
      <c r="S2171" t="s">
        <v>295</v>
      </c>
      <c r="T2171" t="s">
        <v>301</v>
      </c>
    </row>
    <row r="2172" spans="1:20" x14ac:dyDescent="0.25">
      <c r="A2172">
        <v>9</v>
      </c>
      <c r="B2172">
        <v>181</v>
      </c>
      <c r="C2172" t="str">
        <f t="shared" si="341"/>
        <v>36</v>
      </c>
      <c r="D2172">
        <v>6412</v>
      </c>
      <c r="E2172" t="str">
        <f>"3J"</f>
        <v>3J</v>
      </c>
      <c r="F2172" t="str">
        <f t="shared" si="340"/>
        <v>001</v>
      </c>
      <c r="G2172">
        <v>9</v>
      </c>
      <c r="H2172" t="str">
        <f t="shared" si="342"/>
        <v>91</v>
      </c>
      <c r="I2172" t="str">
        <f t="shared" ref="I2172:I2178" si="344">"1"</f>
        <v>1</v>
      </c>
      <c r="J2172" t="str">
        <f t="shared" si="343"/>
        <v>39</v>
      </c>
      <c r="K2172">
        <v>20190510</v>
      </c>
      <c r="L2172" t="str">
        <f>"076750"</f>
        <v>076750</v>
      </c>
      <c r="M2172" t="str">
        <f>"20465"</f>
        <v>20465</v>
      </c>
      <c r="N2172" t="s">
        <v>417</v>
      </c>
      <c r="O2172">
        <v>171.56</v>
      </c>
      <c r="P2172">
        <v>20190508</v>
      </c>
      <c r="Q2172" t="s">
        <v>1182</v>
      </c>
      <c r="R2172" t="s">
        <v>1305</v>
      </c>
      <c r="S2172" t="s">
        <v>295</v>
      </c>
      <c r="T2172" t="s">
        <v>301</v>
      </c>
    </row>
    <row r="2173" spans="1:20" x14ac:dyDescent="0.25">
      <c r="A2173">
        <v>9</v>
      </c>
      <c r="B2173">
        <v>181</v>
      </c>
      <c r="C2173" t="str">
        <f t="shared" si="341"/>
        <v>36</v>
      </c>
      <c r="D2173">
        <v>6412</v>
      </c>
      <c r="E2173" t="str">
        <f>"3J"</f>
        <v>3J</v>
      </c>
      <c r="F2173" t="str">
        <f t="shared" si="340"/>
        <v>001</v>
      </c>
      <c r="G2173">
        <v>9</v>
      </c>
      <c r="H2173" t="str">
        <f t="shared" si="342"/>
        <v>91</v>
      </c>
      <c r="I2173" t="str">
        <f t="shared" si="344"/>
        <v>1</v>
      </c>
      <c r="J2173" t="str">
        <f t="shared" si="343"/>
        <v>39</v>
      </c>
      <c r="K2173">
        <v>20190510</v>
      </c>
      <c r="L2173" t="str">
        <f>"076750"</f>
        <v>076750</v>
      </c>
      <c r="M2173" t="str">
        <f>"20465"</f>
        <v>20465</v>
      </c>
      <c r="N2173" t="s">
        <v>417</v>
      </c>
      <c r="O2173">
        <v>226.43</v>
      </c>
      <c r="P2173">
        <v>20190508</v>
      </c>
      <c r="Q2173" t="s">
        <v>1182</v>
      </c>
      <c r="R2173" t="s">
        <v>1305</v>
      </c>
      <c r="S2173" t="s">
        <v>295</v>
      </c>
      <c r="T2173" t="s">
        <v>301</v>
      </c>
    </row>
    <row r="2174" spans="1:20" x14ac:dyDescent="0.25">
      <c r="A2174">
        <v>9</v>
      </c>
      <c r="B2174">
        <v>181</v>
      </c>
      <c r="C2174" t="str">
        <f t="shared" si="341"/>
        <v>36</v>
      </c>
      <c r="D2174">
        <v>6412</v>
      </c>
      <c r="E2174" t="str">
        <f>"3T"</f>
        <v>3T</v>
      </c>
      <c r="F2174" t="str">
        <f t="shared" si="340"/>
        <v>001</v>
      </c>
      <c r="G2174">
        <v>9</v>
      </c>
      <c r="H2174" t="str">
        <f t="shared" si="342"/>
        <v>91</v>
      </c>
      <c r="I2174" t="str">
        <f t="shared" si="344"/>
        <v>1</v>
      </c>
      <c r="J2174" t="str">
        <f t="shared" si="343"/>
        <v>39</v>
      </c>
      <c r="K2174">
        <v>20190510</v>
      </c>
      <c r="L2174" t="str">
        <f>"076751"</f>
        <v>076751</v>
      </c>
      <c r="M2174" t="str">
        <f>"20463"</f>
        <v>20463</v>
      </c>
      <c r="N2174" t="s">
        <v>509</v>
      </c>
      <c r="O2174">
        <v>125.5</v>
      </c>
      <c r="P2174">
        <v>20190508</v>
      </c>
      <c r="Q2174" t="s">
        <v>419</v>
      </c>
      <c r="R2174" t="s">
        <v>1344</v>
      </c>
      <c r="S2174" t="s">
        <v>295</v>
      </c>
      <c r="T2174" t="s">
        <v>301</v>
      </c>
    </row>
    <row r="2175" spans="1:20" x14ac:dyDescent="0.25">
      <c r="A2175">
        <v>9</v>
      </c>
      <c r="B2175">
        <v>181</v>
      </c>
      <c r="C2175" t="str">
        <f t="shared" si="341"/>
        <v>36</v>
      </c>
      <c r="D2175">
        <v>6412</v>
      </c>
      <c r="E2175" t="str">
        <f>"3T"</f>
        <v>3T</v>
      </c>
      <c r="F2175" t="str">
        <f t="shared" si="340"/>
        <v>001</v>
      </c>
      <c r="G2175">
        <v>9</v>
      </c>
      <c r="H2175" t="str">
        <f t="shared" si="342"/>
        <v>91</v>
      </c>
      <c r="I2175" t="str">
        <f t="shared" si="344"/>
        <v>1</v>
      </c>
      <c r="J2175" t="str">
        <f t="shared" si="343"/>
        <v>39</v>
      </c>
      <c r="K2175">
        <v>20190510</v>
      </c>
      <c r="L2175" t="str">
        <f>"076751"</f>
        <v>076751</v>
      </c>
      <c r="M2175" t="str">
        <f>"20463"</f>
        <v>20463</v>
      </c>
      <c r="N2175" t="s">
        <v>509</v>
      </c>
      <c r="O2175">
        <v>125.5</v>
      </c>
      <c r="P2175">
        <v>20190508</v>
      </c>
      <c r="Q2175" t="s">
        <v>419</v>
      </c>
      <c r="R2175" t="s">
        <v>1344</v>
      </c>
      <c r="S2175" t="s">
        <v>295</v>
      </c>
      <c r="T2175" t="s">
        <v>301</v>
      </c>
    </row>
    <row r="2176" spans="1:20" x14ac:dyDescent="0.25">
      <c r="A2176">
        <v>9</v>
      </c>
      <c r="B2176">
        <v>181</v>
      </c>
      <c r="C2176" t="str">
        <f t="shared" si="341"/>
        <v>36</v>
      </c>
      <c r="D2176">
        <v>6412</v>
      </c>
      <c r="E2176" t="str">
        <f>"3U"</f>
        <v>3U</v>
      </c>
      <c r="F2176" t="str">
        <f t="shared" si="340"/>
        <v>001</v>
      </c>
      <c r="G2176">
        <v>9</v>
      </c>
      <c r="H2176" t="str">
        <f t="shared" si="342"/>
        <v>91</v>
      </c>
      <c r="I2176" t="str">
        <f t="shared" si="344"/>
        <v>1</v>
      </c>
      <c r="J2176" t="str">
        <f t="shared" si="343"/>
        <v>39</v>
      </c>
      <c r="K2176">
        <v>20190510</v>
      </c>
      <c r="L2176" t="str">
        <f>"076751"</f>
        <v>076751</v>
      </c>
      <c r="M2176" t="str">
        <f>"20463"</f>
        <v>20463</v>
      </c>
      <c r="N2176" t="s">
        <v>509</v>
      </c>
      <c r="O2176">
        <v>194.6</v>
      </c>
      <c r="P2176">
        <v>20190508</v>
      </c>
      <c r="Q2176" t="s">
        <v>1091</v>
      </c>
      <c r="R2176" t="s">
        <v>1345</v>
      </c>
      <c r="S2176" t="s">
        <v>295</v>
      </c>
      <c r="T2176" t="s">
        <v>301</v>
      </c>
    </row>
    <row r="2177" spans="1:20" x14ac:dyDescent="0.25">
      <c r="A2177">
        <v>9</v>
      </c>
      <c r="B2177">
        <v>181</v>
      </c>
      <c r="C2177" t="str">
        <f t="shared" si="341"/>
        <v>36</v>
      </c>
      <c r="D2177">
        <v>6412</v>
      </c>
      <c r="E2177" t="str">
        <f>"3A"</f>
        <v>3A</v>
      </c>
      <c r="F2177" t="str">
        <f t="shared" si="340"/>
        <v>001</v>
      </c>
      <c r="G2177">
        <v>9</v>
      </c>
      <c r="H2177" t="str">
        <f t="shared" si="342"/>
        <v>91</v>
      </c>
      <c r="I2177" t="str">
        <f t="shared" si="344"/>
        <v>1</v>
      </c>
      <c r="J2177" t="str">
        <f t="shared" si="343"/>
        <v>39</v>
      </c>
      <c r="K2177">
        <v>20190510</v>
      </c>
      <c r="L2177" t="str">
        <f>"076752"</f>
        <v>076752</v>
      </c>
      <c r="M2177" t="str">
        <f>"51345"</f>
        <v>51345</v>
      </c>
      <c r="N2177" t="s">
        <v>513</v>
      </c>
      <c r="O2177">
        <v>90</v>
      </c>
      <c r="P2177">
        <v>20190508</v>
      </c>
      <c r="Q2177" t="s">
        <v>1143</v>
      </c>
      <c r="R2177" t="s">
        <v>1181</v>
      </c>
      <c r="S2177" t="s">
        <v>295</v>
      </c>
      <c r="T2177" t="s">
        <v>301</v>
      </c>
    </row>
    <row r="2178" spans="1:20" x14ac:dyDescent="0.25">
      <c r="A2178">
        <v>9</v>
      </c>
      <c r="B2178">
        <v>181</v>
      </c>
      <c r="C2178" t="str">
        <f t="shared" si="341"/>
        <v>36</v>
      </c>
      <c r="D2178">
        <v>6412</v>
      </c>
      <c r="E2178" t="str">
        <f>"3J"</f>
        <v>3J</v>
      </c>
      <c r="F2178" t="str">
        <f t="shared" si="340"/>
        <v>001</v>
      </c>
      <c r="G2178">
        <v>9</v>
      </c>
      <c r="H2178" t="str">
        <f t="shared" si="342"/>
        <v>91</v>
      </c>
      <c r="I2178" t="str">
        <f t="shared" si="344"/>
        <v>1</v>
      </c>
      <c r="J2178" t="str">
        <f t="shared" si="343"/>
        <v>39</v>
      </c>
      <c r="K2178">
        <v>20190510</v>
      </c>
      <c r="L2178" t="str">
        <f>"076753"</f>
        <v>076753</v>
      </c>
      <c r="M2178" t="str">
        <f>"20669"</f>
        <v>20669</v>
      </c>
      <c r="N2178" t="s">
        <v>1346</v>
      </c>
      <c r="O2178">
        <v>139.5</v>
      </c>
      <c r="P2178">
        <v>20190508</v>
      </c>
      <c r="Q2178" t="s">
        <v>1182</v>
      </c>
      <c r="R2178" t="s">
        <v>1305</v>
      </c>
      <c r="S2178" t="s">
        <v>295</v>
      </c>
      <c r="T2178" t="s">
        <v>301</v>
      </c>
    </row>
    <row r="2179" spans="1:20" x14ac:dyDescent="0.25">
      <c r="A2179">
        <v>9</v>
      </c>
      <c r="B2179">
        <v>181</v>
      </c>
      <c r="C2179" t="str">
        <f t="shared" si="341"/>
        <v>36</v>
      </c>
      <c r="D2179">
        <v>6411</v>
      </c>
      <c r="E2179" t="str">
        <f>"33"</f>
        <v>33</v>
      </c>
      <c r="F2179" t="str">
        <f t="shared" si="340"/>
        <v>001</v>
      </c>
      <c r="G2179">
        <v>9</v>
      </c>
      <c r="H2179" t="str">
        <f t="shared" si="342"/>
        <v>91</v>
      </c>
      <c r="I2179" t="str">
        <f>"0"</f>
        <v>0</v>
      </c>
      <c r="J2179" t="str">
        <f t="shared" si="343"/>
        <v>39</v>
      </c>
      <c r="K2179">
        <v>20190510</v>
      </c>
      <c r="L2179" t="str">
        <f t="shared" ref="L2179:L2191" si="345">"076762"</f>
        <v>076762</v>
      </c>
      <c r="M2179" t="str">
        <f t="shared" ref="M2179:M2191" si="346">"28680"</f>
        <v>28680</v>
      </c>
      <c r="N2179" t="s">
        <v>482</v>
      </c>
      <c r="O2179">
        <v>62.28</v>
      </c>
      <c r="P2179">
        <v>20190508</v>
      </c>
      <c r="Q2179" t="s">
        <v>306</v>
      </c>
      <c r="R2179" t="s">
        <v>1347</v>
      </c>
      <c r="S2179" t="s">
        <v>295</v>
      </c>
      <c r="T2179" t="s">
        <v>301</v>
      </c>
    </row>
    <row r="2180" spans="1:20" x14ac:dyDescent="0.25">
      <c r="A2180">
        <v>9</v>
      </c>
      <c r="B2180">
        <v>181</v>
      </c>
      <c r="C2180" t="str">
        <f t="shared" si="341"/>
        <v>36</v>
      </c>
      <c r="D2180">
        <v>6411</v>
      </c>
      <c r="E2180" t="str">
        <f>"33"</f>
        <v>33</v>
      </c>
      <c r="F2180" t="str">
        <f t="shared" si="340"/>
        <v>001</v>
      </c>
      <c r="G2180">
        <v>9</v>
      </c>
      <c r="H2180" t="str">
        <f t="shared" si="342"/>
        <v>91</v>
      </c>
      <c r="I2180" t="str">
        <f>"0"</f>
        <v>0</v>
      </c>
      <c r="J2180" t="str">
        <f t="shared" si="343"/>
        <v>39</v>
      </c>
      <c r="K2180">
        <v>20190510</v>
      </c>
      <c r="L2180" t="str">
        <f t="shared" si="345"/>
        <v>076762</v>
      </c>
      <c r="M2180" t="str">
        <f t="shared" si="346"/>
        <v>28680</v>
      </c>
      <c r="N2180" t="s">
        <v>482</v>
      </c>
      <c r="O2180">
        <v>168</v>
      </c>
      <c r="P2180">
        <v>20190508</v>
      </c>
      <c r="Q2180" t="s">
        <v>306</v>
      </c>
      <c r="R2180" t="s">
        <v>1305</v>
      </c>
      <c r="S2180" t="s">
        <v>295</v>
      </c>
      <c r="T2180" t="s">
        <v>301</v>
      </c>
    </row>
    <row r="2181" spans="1:20" x14ac:dyDescent="0.25">
      <c r="A2181">
        <v>9</v>
      </c>
      <c r="B2181">
        <v>181</v>
      </c>
      <c r="C2181" t="str">
        <f t="shared" si="341"/>
        <v>36</v>
      </c>
      <c r="D2181">
        <v>6412</v>
      </c>
      <c r="E2181" t="str">
        <f t="shared" ref="E2181:E2189" si="347">"09"</f>
        <v>09</v>
      </c>
      <c r="F2181" t="str">
        <f t="shared" si="340"/>
        <v>001</v>
      </c>
      <c r="G2181">
        <v>9</v>
      </c>
      <c r="H2181" t="str">
        <f t="shared" si="342"/>
        <v>91</v>
      </c>
      <c r="I2181" t="str">
        <f>"G"</f>
        <v>G</v>
      </c>
      <c r="J2181" t="str">
        <f t="shared" si="343"/>
        <v>39</v>
      </c>
      <c r="K2181">
        <v>20190510</v>
      </c>
      <c r="L2181" t="str">
        <f t="shared" si="345"/>
        <v>076762</v>
      </c>
      <c r="M2181" t="str">
        <f t="shared" si="346"/>
        <v>28680</v>
      </c>
      <c r="N2181" t="s">
        <v>482</v>
      </c>
      <c r="O2181">
        <v>200.16</v>
      </c>
      <c r="P2181">
        <v>20190508</v>
      </c>
      <c r="Q2181" t="s">
        <v>1279</v>
      </c>
      <c r="R2181" t="s">
        <v>1280</v>
      </c>
      <c r="S2181" t="s">
        <v>295</v>
      </c>
      <c r="T2181" t="s">
        <v>301</v>
      </c>
    </row>
    <row r="2182" spans="1:20" x14ac:dyDescent="0.25">
      <c r="A2182">
        <v>9</v>
      </c>
      <c r="B2182">
        <v>181</v>
      </c>
      <c r="C2182" t="str">
        <f t="shared" si="341"/>
        <v>36</v>
      </c>
      <c r="D2182">
        <v>6412</v>
      </c>
      <c r="E2182" t="str">
        <f t="shared" si="347"/>
        <v>09</v>
      </c>
      <c r="F2182" t="str">
        <f t="shared" si="340"/>
        <v>001</v>
      </c>
      <c r="G2182">
        <v>9</v>
      </c>
      <c r="H2182" t="str">
        <f t="shared" si="342"/>
        <v>91</v>
      </c>
      <c r="I2182" t="str">
        <f>"J"</f>
        <v>J</v>
      </c>
      <c r="J2182" t="str">
        <f t="shared" si="343"/>
        <v>39</v>
      </c>
      <c r="K2182">
        <v>20190510</v>
      </c>
      <c r="L2182" t="str">
        <f t="shared" si="345"/>
        <v>076762</v>
      </c>
      <c r="M2182" t="str">
        <f t="shared" si="346"/>
        <v>28680</v>
      </c>
      <c r="N2182" t="s">
        <v>482</v>
      </c>
      <c r="O2182">
        <v>62.28</v>
      </c>
      <c r="P2182">
        <v>20190508</v>
      </c>
      <c r="Q2182" t="s">
        <v>1261</v>
      </c>
      <c r="R2182" t="s">
        <v>1327</v>
      </c>
      <c r="S2182" t="s">
        <v>295</v>
      </c>
      <c r="T2182" t="s">
        <v>301</v>
      </c>
    </row>
    <row r="2183" spans="1:20" x14ac:dyDescent="0.25">
      <c r="A2183">
        <v>9</v>
      </c>
      <c r="B2183">
        <v>181</v>
      </c>
      <c r="C2183" t="str">
        <f t="shared" si="341"/>
        <v>36</v>
      </c>
      <c r="D2183">
        <v>6412</v>
      </c>
      <c r="E2183" t="str">
        <f t="shared" si="347"/>
        <v>09</v>
      </c>
      <c r="F2183" t="str">
        <f t="shared" si="340"/>
        <v>001</v>
      </c>
      <c r="G2183">
        <v>9</v>
      </c>
      <c r="H2183" t="str">
        <f t="shared" si="342"/>
        <v>91</v>
      </c>
      <c r="I2183" t="str">
        <f>"J"</f>
        <v>J</v>
      </c>
      <c r="J2183" t="str">
        <f t="shared" si="343"/>
        <v>39</v>
      </c>
      <c r="K2183">
        <v>20190510</v>
      </c>
      <c r="L2183" t="str">
        <f t="shared" si="345"/>
        <v>076762</v>
      </c>
      <c r="M2183" t="str">
        <f t="shared" si="346"/>
        <v>28680</v>
      </c>
      <c r="N2183" t="s">
        <v>482</v>
      </c>
      <c r="O2183">
        <v>156</v>
      </c>
      <c r="P2183">
        <v>20190508</v>
      </c>
      <c r="Q2183" t="s">
        <v>1261</v>
      </c>
      <c r="R2183" t="s">
        <v>1262</v>
      </c>
      <c r="S2183" t="s">
        <v>295</v>
      </c>
      <c r="T2183" t="s">
        <v>301</v>
      </c>
    </row>
    <row r="2184" spans="1:20" x14ac:dyDescent="0.25">
      <c r="A2184">
        <v>9</v>
      </c>
      <c r="B2184">
        <v>181</v>
      </c>
      <c r="C2184" t="str">
        <f t="shared" si="341"/>
        <v>36</v>
      </c>
      <c r="D2184">
        <v>6412</v>
      </c>
      <c r="E2184" t="str">
        <f t="shared" si="347"/>
        <v>09</v>
      </c>
      <c r="F2184" t="str">
        <f t="shared" si="340"/>
        <v>001</v>
      </c>
      <c r="G2184">
        <v>9</v>
      </c>
      <c r="H2184" t="str">
        <f t="shared" si="342"/>
        <v>91</v>
      </c>
      <c r="I2184" t="str">
        <f>"J"</f>
        <v>J</v>
      </c>
      <c r="J2184" t="str">
        <f t="shared" si="343"/>
        <v>39</v>
      </c>
      <c r="K2184">
        <v>20190510</v>
      </c>
      <c r="L2184" t="str">
        <f t="shared" si="345"/>
        <v>076762</v>
      </c>
      <c r="M2184" t="str">
        <f t="shared" si="346"/>
        <v>28680</v>
      </c>
      <c r="N2184" t="s">
        <v>482</v>
      </c>
      <c r="O2184">
        <v>156</v>
      </c>
      <c r="P2184">
        <v>20190508</v>
      </c>
      <c r="Q2184" t="s">
        <v>1261</v>
      </c>
      <c r="R2184" t="s">
        <v>1262</v>
      </c>
      <c r="S2184" t="s">
        <v>295</v>
      </c>
      <c r="T2184" t="s">
        <v>301</v>
      </c>
    </row>
    <row r="2185" spans="1:20" x14ac:dyDescent="0.25">
      <c r="A2185">
        <v>9</v>
      </c>
      <c r="B2185">
        <v>181</v>
      </c>
      <c r="C2185" t="str">
        <f t="shared" si="341"/>
        <v>36</v>
      </c>
      <c r="D2185">
        <v>6412</v>
      </c>
      <c r="E2185" t="str">
        <f t="shared" si="347"/>
        <v>09</v>
      </c>
      <c r="F2185" t="str">
        <f t="shared" si="340"/>
        <v>001</v>
      </c>
      <c r="G2185">
        <v>9</v>
      </c>
      <c r="H2185" t="str">
        <f t="shared" si="342"/>
        <v>91</v>
      </c>
      <c r="I2185" t="str">
        <f>"P"</f>
        <v>P</v>
      </c>
      <c r="J2185" t="str">
        <f t="shared" si="343"/>
        <v>39</v>
      </c>
      <c r="K2185">
        <v>20190510</v>
      </c>
      <c r="L2185" t="str">
        <f t="shared" si="345"/>
        <v>076762</v>
      </c>
      <c r="M2185" t="str">
        <f t="shared" si="346"/>
        <v>28680</v>
      </c>
      <c r="N2185" t="s">
        <v>482</v>
      </c>
      <c r="O2185">
        <v>267</v>
      </c>
      <c r="P2185">
        <v>20190508</v>
      </c>
      <c r="Q2185" t="s">
        <v>1028</v>
      </c>
      <c r="R2185" t="s">
        <v>1174</v>
      </c>
      <c r="S2185" t="s">
        <v>295</v>
      </c>
      <c r="T2185" t="s">
        <v>301</v>
      </c>
    </row>
    <row r="2186" spans="1:20" x14ac:dyDescent="0.25">
      <c r="A2186">
        <v>9</v>
      </c>
      <c r="B2186">
        <v>181</v>
      </c>
      <c r="C2186" t="str">
        <f t="shared" si="341"/>
        <v>36</v>
      </c>
      <c r="D2186">
        <v>6412</v>
      </c>
      <c r="E2186" t="str">
        <f t="shared" si="347"/>
        <v>09</v>
      </c>
      <c r="F2186" t="str">
        <f t="shared" si="340"/>
        <v>001</v>
      </c>
      <c r="G2186">
        <v>9</v>
      </c>
      <c r="H2186" t="str">
        <f t="shared" si="342"/>
        <v>91</v>
      </c>
      <c r="I2186" t="str">
        <f>"T"</f>
        <v>T</v>
      </c>
      <c r="J2186" t="str">
        <f t="shared" si="343"/>
        <v>39</v>
      </c>
      <c r="K2186">
        <v>20190510</v>
      </c>
      <c r="L2186" t="str">
        <f t="shared" si="345"/>
        <v>076762</v>
      </c>
      <c r="M2186" t="str">
        <f t="shared" si="346"/>
        <v>28680</v>
      </c>
      <c r="N2186" t="s">
        <v>482</v>
      </c>
      <c r="O2186">
        <v>156</v>
      </c>
      <c r="P2186">
        <v>20190508</v>
      </c>
      <c r="Q2186" t="s">
        <v>544</v>
      </c>
      <c r="R2186" t="s">
        <v>1264</v>
      </c>
      <c r="S2186" t="s">
        <v>295</v>
      </c>
      <c r="T2186" t="s">
        <v>301</v>
      </c>
    </row>
    <row r="2187" spans="1:20" x14ac:dyDescent="0.25">
      <c r="A2187">
        <v>9</v>
      </c>
      <c r="B2187">
        <v>181</v>
      </c>
      <c r="C2187" t="str">
        <f t="shared" si="341"/>
        <v>36</v>
      </c>
      <c r="D2187">
        <v>6412</v>
      </c>
      <c r="E2187" t="str">
        <f t="shared" si="347"/>
        <v>09</v>
      </c>
      <c r="F2187" t="str">
        <f t="shared" si="340"/>
        <v>001</v>
      </c>
      <c r="G2187">
        <v>9</v>
      </c>
      <c r="H2187" t="str">
        <f t="shared" si="342"/>
        <v>91</v>
      </c>
      <c r="I2187" t="str">
        <f>"T"</f>
        <v>T</v>
      </c>
      <c r="J2187" t="str">
        <f t="shared" si="343"/>
        <v>39</v>
      </c>
      <c r="K2187">
        <v>20190510</v>
      </c>
      <c r="L2187" t="str">
        <f t="shared" si="345"/>
        <v>076762</v>
      </c>
      <c r="M2187" t="str">
        <f t="shared" si="346"/>
        <v>28680</v>
      </c>
      <c r="N2187" t="s">
        <v>482</v>
      </c>
      <c r="O2187">
        <v>138.32</v>
      </c>
      <c r="P2187">
        <v>20190508</v>
      </c>
      <c r="Q2187" t="s">
        <v>544</v>
      </c>
      <c r="R2187" t="s">
        <v>1264</v>
      </c>
      <c r="S2187" t="s">
        <v>295</v>
      </c>
      <c r="T2187" t="s">
        <v>301</v>
      </c>
    </row>
    <row r="2188" spans="1:20" x14ac:dyDescent="0.25">
      <c r="A2188">
        <v>9</v>
      </c>
      <c r="B2188">
        <v>181</v>
      </c>
      <c r="C2188" t="str">
        <f t="shared" si="341"/>
        <v>36</v>
      </c>
      <c r="D2188">
        <v>6412</v>
      </c>
      <c r="E2188" t="str">
        <f t="shared" si="347"/>
        <v>09</v>
      </c>
      <c r="F2188" t="str">
        <f t="shared" si="340"/>
        <v>001</v>
      </c>
      <c r="G2188">
        <v>9</v>
      </c>
      <c r="H2188" t="str">
        <f t="shared" si="342"/>
        <v>91</v>
      </c>
      <c r="I2188" t="str">
        <f>"W"</f>
        <v>W</v>
      </c>
      <c r="J2188" t="str">
        <f t="shared" si="343"/>
        <v>39</v>
      </c>
      <c r="K2188">
        <v>20190510</v>
      </c>
      <c r="L2188" t="str">
        <f t="shared" si="345"/>
        <v>076762</v>
      </c>
      <c r="M2188" t="str">
        <f t="shared" si="346"/>
        <v>28680</v>
      </c>
      <c r="N2188" t="s">
        <v>482</v>
      </c>
      <c r="O2188">
        <v>156</v>
      </c>
      <c r="P2188">
        <v>20190508</v>
      </c>
      <c r="Q2188" t="s">
        <v>1292</v>
      </c>
      <c r="R2188" t="s">
        <v>1293</v>
      </c>
      <c r="S2188" t="s">
        <v>295</v>
      </c>
      <c r="T2188" t="s">
        <v>301</v>
      </c>
    </row>
    <row r="2189" spans="1:20" x14ac:dyDescent="0.25">
      <c r="A2189">
        <v>9</v>
      </c>
      <c r="B2189">
        <v>181</v>
      </c>
      <c r="C2189" t="str">
        <f t="shared" si="341"/>
        <v>36</v>
      </c>
      <c r="D2189">
        <v>6412</v>
      </c>
      <c r="E2189" t="str">
        <f t="shared" si="347"/>
        <v>09</v>
      </c>
      <c r="F2189" t="str">
        <f t="shared" si="340"/>
        <v>001</v>
      </c>
      <c r="G2189">
        <v>9</v>
      </c>
      <c r="H2189" t="str">
        <f t="shared" si="342"/>
        <v>91</v>
      </c>
      <c r="I2189" t="str">
        <f>"W"</f>
        <v>W</v>
      </c>
      <c r="J2189" t="str">
        <f t="shared" si="343"/>
        <v>39</v>
      </c>
      <c r="K2189">
        <v>20190510</v>
      </c>
      <c r="L2189" t="str">
        <f t="shared" si="345"/>
        <v>076762</v>
      </c>
      <c r="M2189" t="str">
        <f t="shared" si="346"/>
        <v>28680</v>
      </c>
      <c r="N2189" t="s">
        <v>482</v>
      </c>
      <c r="O2189">
        <v>156</v>
      </c>
      <c r="P2189">
        <v>20190508</v>
      </c>
      <c r="Q2189" t="s">
        <v>1292</v>
      </c>
      <c r="R2189" t="s">
        <v>1298</v>
      </c>
      <c r="S2189" t="s">
        <v>295</v>
      </c>
      <c r="T2189" t="s">
        <v>301</v>
      </c>
    </row>
    <row r="2190" spans="1:20" x14ac:dyDescent="0.25">
      <c r="A2190">
        <v>9</v>
      </c>
      <c r="B2190">
        <v>181</v>
      </c>
      <c r="C2190" t="str">
        <f t="shared" si="341"/>
        <v>36</v>
      </c>
      <c r="D2190">
        <v>6412</v>
      </c>
      <c r="E2190" t="str">
        <f>"3G"</f>
        <v>3G</v>
      </c>
      <c r="F2190" t="str">
        <f t="shared" si="340"/>
        <v>001</v>
      </c>
      <c r="G2190">
        <v>9</v>
      </c>
      <c r="H2190" t="str">
        <f t="shared" si="342"/>
        <v>91</v>
      </c>
      <c r="I2190" t="str">
        <f>"3"</f>
        <v>3</v>
      </c>
      <c r="J2190" t="str">
        <f t="shared" si="343"/>
        <v>39</v>
      </c>
      <c r="K2190">
        <v>20190510</v>
      </c>
      <c r="L2190" t="str">
        <f t="shared" si="345"/>
        <v>076762</v>
      </c>
      <c r="M2190" t="str">
        <f t="shared" si="346"/>
        <v>28680</v>
      </c>
      <c r="N2190" t="s">
        <v>482</v>
      </c>
      <c r="O2190">
        <v>62.28</v>
      </c>
      <c r="P2190">
        <v>20190508</v>
      </c>
      <c r="Q2190" t="s">
        <v>483</v>
      </c>
      <c r="R2190" t="s">
        <v>1348</v>
      </c>
      <c r="S2190" t="s">
        <v>295</v>
      </c>
      <c r="T2190" t="s">
        <v>301</v>
      </c>
    </row>
    <row r="2191" spans="1:20" x14ac:dyDescent="0.25">
      <c r="A2191">
        <v>9</v>
      </c>
      <c r="B2191">
        <v>181</v>
      </c>
      <c r="C2191" t="str">
        <f t="shared" si="341"/>
        <v>36</v>
      </c>
      <c r="D2191">
        <v>6412</v>
      </c>
      <c r="E2191" t="str">
        <f>"3G"</f>
        <v>3G</v>
      </c>
      <c r="F2191" t="str">
        <f t="shared" si="340"/>
        <v>001</v>
      </c>
      <c r="G2191">
        <v>9</v>
      </c>
      <c r="H2191" t="str">
        <f t="shared" si="342"/>
        <v>91</v>
      </c>
      <c r="I2191" t="str">
        <f>"3"</f>
        <v>3</v>
      </c>
      <c r="J2191" t="str">
        <f t="shared" si="343"/>
        <v>39</v>
      </c>
      <c r="K2191">
        <v>20190510</v>
      </c>
      <c r="L2191" t="str">
        <f t="shared" si="345"/>
        <v>076762</v>
      </c>
      <c r="M2191" t="str">
        <f t="shared" si="346"/>
        <v>28680</v>
      </c>
      <c r="N2191" t="s">
        <v>482</v>
      </c>
      <c r="O2191">
        <v>310.16000000000003</v>
      </c>
      <c r="P2191">
        <v>20190508</v>
      </c>
      <c r="Q2191" t="s">
        <v>483</v>
      </c>
      <c r="R2191" t="s">
        <v>1211</v>
      </c>
      <c r="S2191" t="s">
        <v>295</v>
      </c>
      <c r="T2191" t="s">
        <v>301</v>
      </c>
    </row>
    <row r="2192" spans="1:20" x14ac:dyDescent="0.25">
      <c r="A2192">
        <v>9</v>
      </c>
      <c r="B2192">
        <v>181</v>
      </c>
      <c r="C2192" t="str">
        <f t="shared" si="341"/>
        <v>36</v>
      </c>
      <c r="D2192">
        <v>6412</v>
      </c>
      <c r="E2192" t="str">
        <f>"3P"</f>
        <v>3P</v>
      </c>
      <c r="F2192" t="str">
        <f t="shared" si="340"/>
        <v>001</v>
      </c>
      <c r="G2192">
        <v>9</v>
      </c>
      <c r="H2192" t="str">
        <f t="shared" si="342"/>
        <v>91</v>
      </c>
      <c r="I2192" t="str">
        <f>"1"</f>
        <v>1</v>
      </c>
      <c r="J2192" t="str">
        <f t="shared" si="343"/>
        <v>39</v>
      </c>
      <c r="K2192">
        <v>20190510</v>
      </c>
      <c r="L2192" t="str">
        <f>"076771"</f>
        <v>076771</v>
      </c>
      <c r="M2192" t="str">
        <f>"38853"</f>
        <v>38853</v>
      </c>
      <c r="N2192" t="s">
        <v>349</v>
      </c>
      <c r="O2192">
        <v>95.67</v>
      </c>
      <c r="P2192">
        <v>20190508</v>
      </c>
      <c r="Q2192" t="s">
        <v>1046</v>
      </c>
      <c r="R2192" t="s">
        <v>1349</v>
      </c>
      <c r="S2192" t="s">
        <v>295</v>
      </c>
      <c r="T2192" t="s">
        <v>301</v>
      </c>
    </row>
    <row r="2193" spans="1:20" x14ac:dyDescent="0.25">
      <c r="A2193">
        <v>9</v>
      </c>
      <c r="B2193">
        <v>181</v>
      </c>
      <c r="C2193" t="str">
        <f t="shared" si="341"/>
        <v>36</v>
      </c>
      <c r="D2193">
        <v>6412</v>
      </c>
      <c r="E2193" t="str">
        <f>"09"</f>
        <v>09</v>
      </c>
      <c r="F2193" t="str">
        <f t="shared" si="340"/>
        <v>001</v>
      </c>
      <c r="G2193">
        <v>9</v>
      </c>
      <c r="H2193" t="str">
        <f t="shared" si="342"/>
        <v>91</v>
      </c>
      <c r="I2193" t="str">
        <f>"J"</f>
        <v>J</v>
      </c>
      <c r="J2193" t="str">
        <f t="shared" si="343"/>
        <v>39</v>
      </c>
      <c r="K2193">
        <v>20190510</v>
      </c>
      <c r="L2193" t="str">
        <f>"076774"</f>
        <v>076774</v>
      </c>
      <c r="M2193" t="str">
        <f>"39422"</f>
        <v>39422</v>
      </c>
      <c r="N2193" t="s">
        <v>525</v>
      </c>
      <c r="O2193">
        <v>172.77</v>
      </c>
      <c r="P2193">
        <v>20190508</v>
      </c>
      <c r="Q2193" t="s">
        <v>1261</v>
      </c>
      <c r="R2193" t="s">
        <v>1327</v>
      </c>
      <c r="S2193" t="s">
        <v>295</v>
      </c>
      <c r="T2193" t="s">
        <v>301</v>
      </c>
    </row>
    <row r="2194" spans="1:20" x14ac:dyDescent="0.25">
      <c r="A2194">
        <v>9</v>
      </c>
      <c r="B2194">
        <v>181</v>
      </c>
      <c r="C2194" t="str">
        <f t="shared" si="341"/>
        <v>36</v>
      </c>
      <c r="D2194">
        <v>6399</v>
      </c>
      <c r="E2194" t="str">
        <f>"38"</f>
        <v>38</v>
      </c>
      <c r="F2194" t="str">
        <f t="shared" si="340"/>
        <v>001</v>
      </c>
      <c r="G2194">
        <v>9</v>
      </c>
      <c r="H2194" t="str">
        <f t="shared" si="342"/>
        <v>91</v>
      </c>
      <c r="I2194" t="str">
        <f>"0"</f>
        <v>0</v>
      </c>
      <c r="J2194" t="str">
        <f t="shared" si="343"/>
        <v>39</v>
      </c>
      <c r="K2194">
        <v>20190510</v>
      </c>
      <c r="L2194" t="str">
        <f>"076776"</f>
        <v>076776</v>
      </c>
      <c r="M2194" t="str">
        <f>"41230"</f>
        <v>41230</v>
      </c>
      <c r="N2194" t="s">
        <v>1350</v>
      </c>
      <c r="O2194">
        <v>33.340000000000003</v>
      </c>
      <c r="P2194">
        <v>20190508</v>
      </c>
      <c r="Q2194" t="s">
        <v>462</v>
      </c>
      <c r="R2194" t="s">
        <v>1351</v>
      </c>
      <c r="S2194" t="s">
        <v>295</v>
      </c>
      <c r="T2194" t="s">
        <v>301</v>
      </c>
    </row>
    <row r="2195" spans="1:20" x14ac:dyDescent="0.25">
      <c r="A2195">
        <v>9</v>
      </c>
      <c r="B2195">
        <v>181</v>
      </c>
      <c r="C2195" t="str">
        <f t="shared" si="341"/>
        <v>36</v>
      </c>
      <c r="D2195">
        <v>6411</v>
      </c>
      <c r="E2195" t="str">
        <f>"09"</f>
        <v>09</v>
      </c>
      <c r="F2195" t="str">
        <f t="shared" si="340"/>
        <v>001</v>
      </c>
      <c r="G2195">
        <v>9</v>
      </c>
      <c r="H2195" t="str">
        <f t="shared" si="342"/>
        <v>91</v>
      </c>
      <c r="I2195" t="str">
        <f>"W"</f>
        <v>W</v>
      </c>
      <c r="J2195" t="str">
        <f t="shared" si="343"/>
        <v>39</v>
      </c>
      <c r="K2195">
        <v>20190510</v>
      </c>
      <c r="L2195" t="str">
        <f>"076781"</f>
        <v>076781</v>
      </c>
      <c r="M2195" t="str">
        <f>"47176"</f>
        <v>47176</v>
      </c>
      <c r="N2195" t="s">
        <v>985</v>
      </c>
      <c r="O2195">
        <v>319.7</v>
      </c>
      <c r="P2195">
        <v>20190508</v>
      </c>
      <c r="Q2195" t="s">
        <v>1352</v>
      </c>
      <c r="R2195" t="s">
        <v>1326</v>
      </c>
      <c r="S2195" t="s">
        <v>295</v>
      </c>
      <c r="T2195" t="s">
        <v>301</v>
      </c>
    </row>
    <row r="2196" spans="1:20" x14ac:dyDescent="0.25">
      <c r="A2196">
        <v>9</v>
      </c>
      <c r="B2196">
        <v>181</v>
      </c>
      <c r="C2196" t="str">
        <f t="shared" si="341"/>
        <v>36</v>
      </c>
      <c r="D2196">
        <v>6411</v>
      </c>
      <c r="E2196" t="str">
        <f>"33"</f>
        <v>33</v>
      </c>
      <c r="F2196" t="str">
        <f t="shared" si="340"/>
        <v>001</v>
      </c>
      <c r="G2196">
        <v>9</v>
      </c>
      <c r="H2196" t="str">
        <f t="shared" si="342"/>
        <v>91</v>
      </c>
      <c r="I2196" t="str">
        <f>"0"</f>
        <v>0</v>
      </c>
      <c r="J2196" t="str">
        <f t="shared" si="343"/>
        <v>39</v>
      </c>
      <c r="K2196">
        <v>20190510</v>
      </c>
      <c r="L2196" t="str">
        <f>"076816"</f>
        <v>076816</v>
      </c>
      <c r="M2196" t="str">
        <f>"78430"</f>
        <v>78430</v>
      </c>
      <c r="N2196" t="s">
        <v>427</v>
      </c>
      <c r="O2196">
        <v>420</v>
      </c>
      <c r="P2196">
        <v>20190509</v>
      </c>
      <c r="Q2196" t="s">
        <v>306</v>
      </c>
      <c r="R2196" t="s">
        <v>451</v>
      </c>
      <c r="S2196" t="s">
        <v>295</v>
      </c>
      <c r="T2196" t="s">
        <v>301</v>
      </c>
    </row>
    <row r="2197" spans="1:20" x14ac:dyDescent="0.25">
      <c r="A2197">
        <v>9</v>
      </c>
      <c r="B2197">
        <v>181</v>
      </c>
      <c r="C2197" t="str">
        <f t="shared" si="341"/>
        <v>36</v>
      </c>
      <c r="D2197">
        <v>6412</v>
      </c>
      <c r="E2197" t="str">
        <f>"09"</f>
        <v>09</v>
      </c>
      <c r="F2197" t="str">
        <f t="shared" ref="F2197:F2228" si="348">"001"</f>
        <v>001</v>
      </c>
      <c r="G2197">
        <v>9</v>
      </c>
      <c r="H2197" t="str">
        <f t="shared" si="342"/>
        <v>91</v>
      </c>
      <c r="I2197" t="str">
        <f>"J"</f>
        <v>J</v>
      </c>
      <c r="J2197" t="str">
        <f t="shared" si="343"/>
        <v>39</v>
      </c>
      <c r="K2197">
        <v>20190517</v>
      </c>
      <c r="L2197" t="str">
        <f>"076824"</f>
        <v>076824</v>
      </c>
      <c r="M2197" t="str">
        <f>"03694"</f>
        <v>03694</v>
      </c>
      <c r="N2197" t="s">
        <v>459</v>
      </c>
      <c r="O2197">
        <v>83.02</v>
      </c>
      <c r="P2197">
        <v>20190516</v>
      </c>
      <c r="Q2197" t="s">
        <v>1261</v>
      </c>
      <c r="R2197" t="s">
        <v>1327</v>
      </c>
      <c r="S2197" t="s">
        <v>295</v>
      </c>
      <c r="T2197" t="s">
        <v>301</v>
      </c>
    </row>
    <row r="2198" spans="1:20" x14ac:dyDescent="0.25">
      <c r="A2198">
        <v>9</v>
      </c>
      <c r="B2198">
        <v>181</v>
      </c>
      <c r="C2198" t="str">
        <f t="shared" si="341"/>
        <v>36</v>
      </c>
      <c r="D2198">
        <v>6412</v>
      </c>
      <c r="E2198" t="str">
        <f>"09"</f>
        <v>09</v>
      </c>
      <c r="F2198" t="str">
        <f t="shared" si="348"/>
        <v>001</v>
      </c>
      <c r="G2198">
        <v>9</v>
      </c>
      <c r="H2198" t="str">
        <f t="shared" si="342"/>
        <v>91</v>
      </c>
      <c r="I2198" t="str">
        <f>"W"</f>
        <v>W</v>
      </c>
      <c r="J2198" t="str">
        <f t="shared" si="343"/>
        <v>39</v>
      </c>
      <c r="K2198">
        <v>20190517</v>
      </c>
      <c r="L2198" t="str">
        <f>"076824"</f>
        <v>076824</v>
      </c>
      <c r="M2198" t="str">
        <f>"03694"</f>
        <v>03694</v>
      </c>
      <c r="N2198" t="s">
        <v>459</v>
      </c>
      <c r="O2198">
        <v>83.02</v>
      </c>
      <c r="P2198">
        <v>20190516</v>
      </c>
      <c r="Q2198" t="s">
        <v>1292</v>
      </c>
      <c r="R2198" t="s">
        <v>1327</v>
      </c>
      <c r="S2198" t="s">
        <v>295</v>
      </c>
      <c r="T2198" t="s">
        <v>301</v>
      </c>
    </row>
    <row r="2199" spans="1:20" x14ac:dyDescent="0.25">
      <c r="A2199">
        <v>9</v>
      </c>
      <c r="B2199">
        <v>181</v>
      </c>
      <c r="C2199" t="str">
        <f t="shared" si="341"/>
        <v>36</v>
      </c>
      <c r="D2199">
        <v>6412</v>
      </c>
      <c r="E2199" t="str">
        <f>"3A"</f>
        <v>3A</v>
      </c>
      <c r="F2199" t="str">
        <f t="shared" si="348"/>
        <v>001</v>
      </c>
      <c r="G2199">
        <v>9</v>
      </c>
      <c r="H2199" t="str">
        <f t="shared" si="342"/>
        <v>91</v>
      </c>
      <c r="I2199" t="str">
        <f>"1"</f>
        <v>1</v>
      </c>
      <c r="J2199" t="str">
        <f t="shared" si="343"/>
        <v>39</v>
      </c>
      <c r="K2199">
        <v>20190517</v>
      </c>
      <c r="L2199" t="str">
        <f>"076845"</f>
        <v>076845</v>
      </c>
      <c r="M2199" t="str">
        <f>"00754"</f>
        <v>00754</v>
      </c>
      <c r="N2199" t="s">
        <v>1150</v>
      </c>
      <c r="O2199">
        <v>227.09</v>
      </c>
      <c r="P2199">
        <v>20190516</v>
      </c>
      <c r="Q2199" t="s">
        <v>1143</v>
      </c>
      <c r="R2199" t="s">
        <v>1353</v>
      </c>
      <c r="S2199" t="s">
        <v>295</v>
      </c>
      <c r="T2199" t="s">
        <v>301</v>
      </c>
    </row>
    <row r="2200" spans="1:20" x14ac:dyDescent="0.25">
      <c r="A2200">
        <v>9</v>
      </c>
      <c r="B2200">
        <v>181</v>
      </c>
      <c r="C2200" t="str">
        <f t="shared" si="341"/>
        <v>36</v>
      </c>
      <c r="D2200">
        <v>6412</v>
      </c>
      <c r="E2200" t="str">
        <f t="shared" ref="E2200:E2206" si="349">"09"</f>
        <v>09</v>
      </c>
      <c r="F2200" t="str">
        <f t="shared" si="348"/>
        <v>001</v>
      </c>
      <c r="G2200">
        <v>9</v>
      </c>
      <c r="H2200" t="str">
        <f t="shared" si="342"/>
        <v>91</v>
      </c>
      <c r="I2200" t="str">
        <f t="shared" ref="I2200:I2205" si="350">"J"</f>
        <v>J</v>
      </c>
      <c r="J2200" t="str">
        <f t="shared" si="343"/>
        <v>39</v>
      </c>
      <c r="K2200">
        <v>20190517</v>
      </c>
      <c r="L2200" t="str">
        <f t="shared" ref="L2200:L2205" si="351">"076851"</f>
        <v>076851</v>
      </c>
      <c r="M2200" t="str">
        <f t="shared" ref="M2200:M2205" si="352">"30744"</f>
        <v>30744</v>
      </c>
      <c r="N2200" t="s">
        <v>422</v>
      </c>
      <c r="O2200">
        <v>29.42</v>
      </c>
      <c r="P2200">
        <v>20190515</v>
      </c>
      <c r="Q2200" t="s">
        <v>1261</v>
      </c>
      <c r="R2200" t="s">
        <v>1262</v>
      </c>
      <c r="S2200" t="s">
        <v>295</v>
      </c>
      <c r="T2200" t="s">
        <v>301</v>
      </c>
    </row>
    <row r="2201" spans="1:20" x14ac:dyDescent="0.25">
      <c r="A2201">
        <v>9</v>
      </c>
      <c r="B2201">
        <v>181</v>
      </c>
      <c r="C2201" t="str">
        <f t="shared" si="341"/>
        <v>36</v>
      </c>
      <c r="D2201">
        <v>6412</v>
      </c>
      <c r="E2201" t="str">
        <f t="shared" si="349"/>
        <v>09</v>
      </c>
      <c r="F2201" t="str">
        <f t="shared" si="348"/>
        <v>001</v>
      </c>
      <c r="G2201">
        <v>9</v>
      </c>
      <c r="H2201" t="str">
        <f t="shared" si="342"/>
        <v>91</v>
      </c>
      <c r="I2201" t="str">
        <f t="shared" si="350"/>
        <v>J</v>
      </c>
      <c r="J2201" t="str">
        <f t="shared" si="343"/>
        <v>39</v>
      </c>
      <c r="K2201">
        <v>20190517</v>
      </c>
      <c r="L2201" t="str">
        <f t="shared" si="351"/>
        <v>076851</v>
      </c>
      <c r="M2201" t="str">
        <f t="shared" si="352"/>
        <v>30744</v>
      </c>
      <c r="N2201" t="s">
        <v>422</v>
      </c>
      <c r="O2201">
        <v>19.2</v>
      </c>
      <c r="P2201">
        <v>20190515</v>
      </c>
      <c r="Q2201" t="s">
        <v>1261</v>
      </c>
      <c r="R2201" t="s">
        <v>1262</v>
      </c>
      <c r="S2201" t="s">
        <v>295</v>
      </c>
      <c r="T2201" t="s">
        <v>301</v>
      </c>
    </row>
    <row r="2202" spans="1:20" x14ac:dyDescent="0.25">
      <c r="A2202">
        <v>9</v>
      </c>
      <c r="B2202">
        <v>181</v>
      </c>
      <c r="C2202" t="str">
        <f t="shared" si="341"/>
        <v>36</v>
      </c>
      <c r="D2202">
        <v>6412</v>
      </c>
      <c r="E2202" t="str">
        <f t="shared" si="349"/>
        <v>09</v>
      </c>
      <c r="F2202" t="str">
        <f t="shared" si="348"/>
        <v>001</v>
      </c>
      <c r="G2202">
        <v>9</v>
      </c>
      <c r="H2202" t="str">
        <f t="shared" si="342"/>
        <v>91</v>
      </c>
      <c r="I2202" t="str">
        <f t="shared" si="350"/>
        <v>J</v>
      </c>
      <c r="J2202" t="str">
        <f t="shared" si="343"/>
        <v>39</v>
      </c>
      <c r="K2202">
        <v>20190517</v>
      </c>
      <c r="L2202" t="str">
        <f t="shared" si="351"/>
        <v>076851</v>
      </c>
      <c r="M2202" t="str">
        <f t="shared" si="352"/>
        <v>30744</v>
      </c>
      <c r="N2202" t="s">
        <v>422</v>
      </c>
      <c r="O2202">
        <v>25.69</v>
      </c>
      <c r="P2202">
        <v>20190515</v>
      </c>
      <c r="Q2202" t="s">
        <v>1261</v>
      </c>
      <c r="R2202" t="s">
        <v>1262</v>
      </c>
      <c r="S2202" t="s">
        <v>295</v>
      </c>
      <c r="T2202" t="s">
        <v>301</v>
      </c>
    </row>
    <row r="2203" spans="1:20" x14ac:dyDescent="0.25">
      <c r="A2203">
        <v>9</v>
      </c>
      <c r="B2203">
        <v>181</v>
      </c>
      <c r="C2203" t="str">
        <f t="shared" si="341"/>
        <v>36</v>
      </c>
      <c r="D2203">
        <v>6412</v>
      </c>
      <c r="E2203" t="str">
        <f t="shared" si="349"/>
        <v>09</v>
      </c>
      <c r="F2203" t="str">
        <f t="shared" si="348"/>
        <v>001</v>
      </c>
      <c r="G2203">
        <v>9</v>
      </c>
      <c r="H2203" t="str">
        <f t="shared" si="342"/>
        <v>91</v>
      </c>
      <c r="I2203" t="str">
        <f t="shared" si="350"/>
        <v>J</v>
      </c>
      <c r="J2203" t="str">
        <f t="shared" si="343"/>
        <v>39</v>
      </c>
      <c r="K2203">
        <v>20190517</v>
      </c>
      <c r="L2203" t="str">
        <f t="shared" si="351"/>
        <v>076851</v>
      </c>
      <c r="M2203" t="str">
        <f t="shared" si="352"/>
        <v>30744</v>
      </c>
      <c r="N2203" t="s">
        <v>422</v>
      </c>
      <c r="O2203">
        <v>32.479999999999997</v>
      </c>
      <c r="P2203">
        <v>20190515</v>
      </c>
      <c r="Q2203" t="s">
        <v>1261</v>
      </c>
      <c r="R2203" t="s">
        <v>1262</v>
      </c>
      <c r="S2203" t="s">
        <v>295</v>
      </c>
      <c r="T2203" t="s">
        <v>301</v>
      </c>
    </row>
    <row r="2204" spans="1:20" x14ac:dyDescent="0.25">
      <c r="A2204">
        <v>9</v>
      </c>
      <c r="B2204">
        <v>181</v>
      </c>
      <c r="C2204" t="str">
        <f t="shared" si="341"/>
        <v>36</v>
      </c>
      <c r="D2204">
        <v>6412</v>
      </c>
      <c r="E2204" t="str">
        <f t="shared" si="349"/>
        <v>09</v>
      </c>
      <c r="F2204" t="str">
        <f t="shared" si="348"/>
        <v>001</v>
      </c>
      <c r="G2204">
        <v>9</v>
      </c>
      <c r="H2204" t="str">
        <f t="shared" si="342"/>
        <v>91</v>
      </c>
      <c r="I2204" t="str">
        <f t="shared" si="350"/>
        <v>J</v>
      </c>
      <c r="J2204" t="str">
        <f t="shared" si="343"/>
        <v>39</v>
      </c>
      <c r="K2204">
        <v>20190517</v>
      </c>
      <c r="L2204" t="str">
        <f t="shared" si="351"/>
        <v>076851</v>
      </c>
      <c r="M2204" t="str">
        <f t="shared" si="352"/>
        <v>30744</v>
      </c>
      <c r="N2204" t="s">
        <v>422</v>
      </c>
      <c r="O2204">
        <v>22.57</v>
      </c>
      <c r="P2204">
        <v>20190515</v>
      </c>
      <c r="Q2204" t="s">
        <v>1261</v>
      </c>
      <c r="R2204" t="s">
        <v>1262</v>
      </c>
      <c r="S2204" t="s">
        <v>295</v>
      </c>
      <c r="T2204" t="s">
        <v>301</v>
      </c>
    </row>
    <row r="2205" spans="1:20" x14ac:dyDescent="0.25">
      <c r="A2205">
        <v>9</v>
      </c>
      <c r="B2205">
        <v>181</v>
      </c>
      <c r="C2205" t="str">
        <f t="shared" si="341"/>
        <v>36</v>
      </c>
      <c r="D2205">
        <v>6412</v>
      </c>
      <c r="E2205" t="str">
        <f t="shared" si="349"/>
        <v>09</v>
      </c>
      <c r="F2205" t="str">
        <f t="shared" si="348"/>
        <v>001</v>
      </c>
      <c r="G2205">
        <v>9</v>
      </c>
      <c r="H2205" t="str">
        <f t="shared" si="342"/>
        <v>91</v>
      </c>
      <c r="I2205" t="str">
        <f t="shared" si="350"/>
        <v>J</v>
      </c>
      <c r="J2205" t="str">
        <f t="shared" si="343"/>
        <v>39</v>
      </c>
      <c r="K2205">
        <v>20190517</v>
      </c>
      <c r="L2205" t="str">
        <f t="shared" si="351"/>
        <v>076851</v>
      </c>
      <c r="M2205" t="str">
        <f t="shared" si="352"/>
        <v>30744</v>
      </c>
      <c r="N2205" t="s">
        <v>422</v>
      </c>
      <c r="O2205">
        <v>36.54</v>
      </c>
      <c r="P2205">
        <v>20190515</v>
      </c>
      <c r="Q2205" t="s">
        <v>1261</v>
      </c>
      <c r="R2205" t="s">
        <v>1262</v>
      </c>
      <c r="S2205" t="s">
        <v>295</v>
      </c>
      <c r="T2205" t="s">
        <v>301</v>
      </c>
    </row>
    <row r="2206" spans="1:20" x14ac:dyDescent="0.25">
      <c r="A2206">
        <v>9</v>
      </c>
      <c r="B2206">
        <v>181</v>
      </c>
      <c r="C2206" t="str">
        <f t="shared" si="341"/>
        <v>36</v>
      </c>
      <c r="D2206">
        <v>6412</v>
      </c>
      <c r="E2206" t="str">
        <f t="shared" si="349"/>
        <v>09</v>
      </c>
      <c r="F2206" t="str">
        <f t="shared" si="348"/>
        <v>001</v>
      </c>
      <c r="G2206">
        <v>9</v>
      </c>
      <c r="H2206" t="str">
        <f t="shared" si="342"/>
        <v>91</v>
      </c>
      <c r="I2206" t="str">
        <f>"W"</f>
        <v>W</v>
      </c>
      <c r="J2206" t="str">
        <f t="shared" si="343"/>
        <v>39</v>
      </c>
      <c r="K2206">
        <v>20190517</v>
      </c>
      <c r="L2206" t="str">
        <f>"076884"</f>
        <v>076884</v>
      </c>
      <c r="M2206" t="str">
        <f>"00820"</f>
        <v>00820</v>
      </c>
      <c r="N2206" t="s">
        <v>1354</v>
      </c>
      <c r="O2206">
        <v>33.14</v>
      </c>
      <c r="P2206">
        <v>20190516</v>
      </c>
      <c r="Q2206" t="s">
        <v>1292</v>
      </c>
      <c r="R2206" t="s">
        <v>1293</v>
      </c>
      <c r="S2206" t="s">
        <v>295</v>
      </c>
      <c r="T2206" t="s">
        <v>301</v>
      </c>
    </row>
    <row r="2207" spans="1:20" x14ac:dyDescent="0.25">
      <c r="A2207">
        <v>9</v>
      </c>
      <c r="B2207">
        <v>181</v>
      </c>
      <c r="C2207" t="str">
        <f t="shared" si="341"/>
        <v>36</v>
      </c>
      <c r="D2207">
        <v>6319</v>
      </c>
      <c r="E2207" t="str">
        <f>"30"</f>
        <v>30</v>
      </c>
      <c r="F2207" t="str">
        <f t="shared" si="348"/>
        <v>001</v>
      </c>
      <c r="G2207">
        <v>9</v>
      </c>
      <c r="H2207" t="str">
        <f t="shared" si="342"/>
        <v>91</v>
      </c>
      <c r="I2207" t="str">
        <f>"0"</f>
        <v>0</v>
      </c>
      <c r="J2207" t="str">
        <f t="shared" si="343"/>
        <v>39</v>
      </c>
      <c r="K2207">
        <v>20190517</v>
      </c>
      <c r="L2207" t="str">
        <f>"076889"</f>
        <v>076889</v>
      </c>
      <c r="M2207" t="str">
        <f>"79680"</f>
        <v>79680</v>
      </c>
      <c r="N2207" t="s">
        <v>500</v>
      </c>
      <c r="O2207">
        <v>125</v>
      </c>
      <c r="P2207">
        <v>20190515</v>
      </c>
      <c r="Q2207" t="s">
        <v>501</v>
      </c>
      <c r="R2207" t="s">
        <v>1355</v>
      </c>
      <c r="S2207" t="s">
        <v>295</v>
      </c>
      <c r="T2207" t="s">
        <v>301</v>
      </c>
    </row>
    <row r="2208" spans="1:20" x14ac:dyDescent="0.25">
      <c r="A2208">
        <v>9</v>
      </c>
      <c r="B2208">
        <v>181</v>
      </c>
      <c r="C2208" t="str">
        <f t="shared" si="341"/>
        <v>36</v>
      </c>
      <c r="D2208">
        <v>6399</v>
      </c>
      <c r="E2208" t="str">
        <f>"30"</f>
        <v>30</v>
      </c>
      <c r="F2208" t="str">
        <f t="shared" si="348"/>
        <v>001</v>
      </c>
      <c r="G2208">
        <v>9</v>
      </c>
      <c r="H2208" t="str">
        <f t="shared" si="342"/>
        <v>91</v>
      </c>
      <c r="I2208" t="str">
        <f>"0"</f>
        <v>0</v>
      </c>
      <c r="J2208" t="str">
        <f t="shared" si="343"/>
        <v>39</v>
      </c>
      <c r="K2208">
        <v>20190517</v>
      </c>
      <c r="L2208" t="str">
        <f>"076890"</f>
        <v>076890</v>
      </c>
      <c r="M2208" t="str">
        <f>"81303"</f>
        <v>81303</v>
      </c>
      <c r="N2208" t="s">
        <v>66</v>
      </c>
      <c r="O2208">
        <v>50.5</v>
      </c>
      <c r="P2208">
        <v>20190515</v>
      </c>
      <c r="Q2208" t="s">
        <v>640</v>
      </c>
      <c r="R2208" t="s">
        <v>1356</v>
      </c>
      <c r="S2208" t="s">
        <v>295</v>
      </c>
      <c r="T2208" t="s">
        <v>301</v>
      </c>
    </row>
    <row r="2209" spans="1:20" x14ac:dyDescent="0.25">
      <c r="A2209">
        <v>9</v>
      </c>
      <c r="B2209">
        <v>181</v>
      </c>
      <c r="C2209" t="str">
        <f t="shared" si="341"/>
        <v>36</v>
      </c>
      <c r="D2209">
        <v>6412</v>
      </c>
      <c r="E2209" t="str">
        <f>"09"</f>
        <v>09</v>
      </c>
      <c r="F2209" t="str">
        <f t="shared" si="348"/>
        <v>001</v>
      </c>
      <c r="G2209">
        <v>9</v>
      </c>
      <c r="H2209" t="str">
        <f t="shared" si="342"/>
        <v>91</v>
      </c>
      <c r="I2209" t="str">
        <f>"1"</f>
        <v>1</v>
      </c>
      <c r="J2209" t="str">
        <f t="shared" si="343"/>
        <v>39</v>
      </c>
      <c r="K2209">
        <v>20190517</v>
      </c>
      <c r="L2209" t="str">
        <f>"076890"</f>
        <v>076890</v>
      </c>
      <c r="M2209" t="str">
        <f>"81303"</f>
        <v>81303</v>
      </c>
      <c r="N2209" t="s">
        <v>66</v>
      </c>
      <c r="O2209">
        <v>45</v>
      </c>
      <c r="P2209">
        <v>20190515</v>
      </c>
      <c r="Q2209" t="s">
        <v>1297</v>
      </c>
      <c r="R2209" t="s">
        <v>1357</v>
      </c>
      <c r="S2209" t="s">
        <v>295</v>
      </c>
      <c r="T2209" t="s">
        <v>301</v>
      </c>
    </row>
    <row r="2210" spans="1:20" x14ac:dyDescent="0.25">
      <c r="A2210">
        <v>9</v>
      </c>
      <c r="B2210">
        <v>181</v>
      </c>
      <c r="C2210" t="str">
        <f>"00"</f>
        <v>00</v>
      </c>
      <c r="D2210">
        <v>5752</v>
      </c>
      <c r="E2210" t="str">
        <f>"02"</f>
        <v>02</v>
      </c>
      <c r="F2210" t="str">
        <f t="shared" si="348"/>
        <v>001</v>
      </c>
      <c r="G2210">
        <v>9</v>
      </c>
      <c r="H2210" t="str">
        <f>"00"</f>
        <v>00</v>
      </c>
      <c r="I2210" t="str">
        <f>"0"</f>
        <v>0</v>
      </c>
      <c r="J2210" t="str">
        <f>"42"</f>
        <v>42</v>
      </c>
      <c r="K2210">
        <v>20190517</v>
      </c>
      <c r="L2210" t="str">
        <f>"076892"</f>
        <v>076892</v>
      </c>
      <c r="M2210" t="str">
        <f>"82176"</f>
        <v>82176</v>
      </c>
      <c r="N2210" t="s">
        <v>1286</v>
      </c>
      <c r="O2210">
        <v>296.32</v>
      </c>
      <c r="P2210">
        <v>20190516</v>
      </c>
      <c r="Q2210" t="s">
        <v>1358</v>
      </c>
      <c r="R2210" t="s">
        <v>656</v>
      </c>
      <c r="S2210" t="s">
        <v>295</v>
      </c>
      <c r="T2210" t="s">
        <v>301</v>
      </c>
    </row>
    <row r="2211" spans="1:20" x14ac:dyDescent="0.25">
      <c r="A2211">
        <v>9</v>
      </c>
      <c r="B2211">
        <v>181</v>
      </c>
      <c r="C2211" t="str">
        <f t="shared" ref="C2211:C2242" si="353">"36"</f>
        <v>36</v>
      </c>
      <c r="D2211">
        <v>6219</v>
      </c>
      <c r="E2211" t="str">
        <f>"06"</f>
        <v>06</v>
      </c>
      <c r="F2211" t="str">
        <f t="shared" si="348"/>
        <v>001</v>
      </c>
      <c r="G2211">
        <v>9</v>
      </c>
      <c r="H2211" t="str">
        <f t="shared" ref="H2211:H2242" si="354">"91"</f>
        <v>91</v>
      </c>
      <c r="I2211" t="str">
        <f>"0"</f>
        <v>0</v>
      </c>
      <c r="J2211" t="str">
        <f>"42"</f>
        <v>42</v>
      </c>
      <c r="K2211">
        <v>20190524</v>
      </c>
      <c r="L2211" t="str">
        <f>"076900"</f>
        <v>076900</v>
      </c>
      <c r="M2211" t="str">
        <f>"20433"</f>
        <v>20433</v>
      </c>
      <c r="N2211" t="s">
        <v>332</v>
      </c>
      <c r="O2211">
        <v>75</v>
      </c>
      <c r="P2211">
        <v>20190522</v>
      </c>
      <c r="Q2211" t="s">
        <v>1359</v>
      </c>
      <c r="R2211" t="s">
        <v>1360</v>
      </c>
      <c r="S2211" t="s">
        <v>295</v>
      </c>
      <c r="T2211" t="s">
        <v>301</v>
      </c>
    </row>
    <row r="2212" spans="1:20" x14ac:dyDescent="0.25">
      <c r="A2212">
        <v>9</v>
      </c>
      <c r="B2212">
        <v>181</v>
      </c>
      <c r="C2212" t="str">
        <f t="shared" si="353"/>
        <v>36</v>
      </c>
      <c r="D2212">
        <v>6219</v>
      </c>
      <c r="E2212" t="str">
        <f>"06"</f>
        <v>06</v>
      </c>
      <c r="F2212" t="str">
        <f t="shared" si="348"/>
        <v>001</v>
      </c>
      <c r="G2212">
        <v>9</v>
      </c>
      <c r="H2212" t="str">
        <f t="shared" si="354"/>
        <v>91</v>
      </c>
      <c r="I2212" t="str">
        <f>"0"</f>
        <v>0</v>
      </c>
      <c r="J2212" t="str">
        <f>"42"</f>
        <v>42</v>
      </c>
      <c r="K2212">
        <v>20190524</v>
      </c>
      <c r="L2212" t="str">
        <f>"076908"</f>
        <v>076908</v>
      </c>
      <c r="M2212" t="str">
        <f>"26337"</f>
        <v>26337</v>
      </c>
      <c r="N2212" t="s">
        <v>481</v>
      </c>
      <c r="O2212">
        <v>108</v>
      </c>
      <c r="P2212">
        <v>20190522</v>
      </c>
      <c r="Q2212" t="s">
        <v>1359</v>
      </c>
      <c r="R2212" t="s">
        <v>1360</v>
      </c>
      <c r="S2212" t="s">
        <v>295</v>
      </c>
      <c r="T2212" t="s">
        <v>301</v>
      </c>
    </row>
    <row r="2213" spans="1:20" x14ac:dyDescent="0.25">
      <c r="A2213">
        <v>9</v>
      </c>
      <c r="B2213">
        <v>181</v>
      </c>
      <c r="C2213" t="str">
        <f t="shared" si="353"/>
        <v>36</v>
      </c>
      <c r="D2213">
        <v>6412</v>
      </c>
      <c r="E2213" t="str">
        <f>"09"</f>
        <v>09</v>
      </c>
      <c r="F2213" t="str">
        <f t="shared" si="348"/>
        <v>001</v>
      </c>
      <c r="G2213">
        <v>9</v>
      </c>
      <c r="H2213" t="str">
        <f t="shared" si="354"/>
        <v>91</v>
      </c>
      <c r="I2213" t="str">
        <f>"A"</f>
        <v>A</v>
      </c>
      <c r="J2213" t="str">
        <f t="shared" ref="J2213:J2221" si="355">"39"</f>
        <v>39</v>
      </c>
      <c r="K2213">
        <v>20190524</v>
      </c>
      <c r="L2213" t="str">
        <f>"076913"</f>
        <v>076913</v>
      </c>
      <c r="M2213" t="str">
        <f>"30118"</f>
        <v>30118</v>
      </c>
      <c r="N2213" t="s">
        <v>347</v>
      </c>
      <c r="O2213">
        <v>108</v>
      </c>
      <c r="P2213">
        <v>20190522</v>
      </c>
      <c r="Q2213" t="s">
        <v>1361</v>
      </c>
      <c r="R2213" t="s">
        <v>1362</v>
      </c>
      <c r="S2213" t="s">
        <v>295</v>
      </c>
      <c r="T2213" t="s">
        <v>301</v>
      </c>
    </row>
    <row r="2214" spans="1:20" x14ac:dyDescent="0.25">
      <c r="A2214">
        <v>9</v>
      </c>
      <c r="B2214">
        <v>181</v>
      </c>
      <c r="C2214" t="str">
        <f t="shared" si="353"/>
        <v>36</v>
      </c>
      <c r="D2214">
        <v>6411</v>
      </c>
      <c r="E2214" t="str">
        <f>"33"</f>
        <v>33</v>
      </c>
      <c r="F2214" t="str">
        <f t="shared" si="348"/>
        <v>001</v>
      </c>
      <c r="G2214">
        <v>9</v>
      </c>
      <c r="H2214" t="str">
        <f t="shared" si="354"/>
        <v>91</v>
      </c>
      <c r="I2214" t="str">
        <f>"0"</f>
        <v>0</v>
      </c>
      <c r="J2214" t="str">
        <f t="shared" si="355"/>
        <v>39</v>
      </c>
      <c r="K2214">
        <v>20190524</v>
      </c>
      <c r="L2214" t="str">
        <f t="shared" ref="L2214:L2219" si="356">"076914"</f>
        <v>076914</v>
      </c>
      <c r="M2214" t="str">
        <f t="shared" ref="M2214:M2219" si="357">"30744"</f>
        <v>30744</v>
      </c>
      <c r="N2214" t="s">
        <v>422</v>
      </c>
      <c r="O2214">
        <v>37.25</v>
      </c>
      <c r="P2214">
        <v>20190522</v>
      </c>
      <c r="Q2214" t="s">
        <v>306</v>
      </c>
      <c r="R2214" t="s">
        <v>1282</v>
      </c>
      <c r="S2214" t="s">
        <v>295</v>
      </c>
      <c r="T2214" t="s">
        <v>301</v>
      </c>
    </row>
    <row r="2215" spans="1:20" x14ac:dyDescent="0.25">
      <c r="A2215">
        <v>9</v>
      </c>
      <c r="B2215">
        <v>181</v>
      </c>
      <c r="C2215" t="str">
        <f t="shared" si="353"/>
        <v>36</v>
      </c>
      <c r="D2215">
        <v>6411</v>
      </c>
      <c r="E2215" t="str">
        <f>"33"</f>
        <v>33</v>
      </c>
      <c r="F2215" t="str">
        <f t="shared" si="348"/>
        <v>001</v>
      </c>
      <c r="G2215">
        <v>9</v>
      </c>
      <c r="H2215" t="str">
        <f t="shared" si="354"/>
        <v>91</v>
      </c>
      <c r="I2215" t="str">
        <f>"0"</f>
        <v>0</v>
      </c>
      <c r="J2215" t="str">
        <f t="shared" si="355"/>
        <v>39</v>
      </c>
      <c r="K2215">
        <v>20190524</v>
      </c>
      <c r="L2215" t="str">
        <f t="shared" si="356"/>
        <v>076914</v>
      </c>
      <c r="M2215" t="str">
        <f t="shared" si="357"/>
        <v>30744</v>
      </c>
      <c r="N2215" t="s">
        <v>422</v>
      </c>
      <c r="O2215">
        <v>16.38</v>
      </c>
      <c r="P2215">
        <v>20190522</v>
      </c>
      <c r="Q2215" t="s">
        <v>306</v>
      </c>
      <c r="R2215" t="s">
        <v>1282</v>
      </c>
      <c r="S2215" t="s">
        <v>295</v>
      </c>
      <c r="T2215" t="s">
        <v>301</v>
      </c>
    </row>
    <row r="2216" spans="1:20" x14ac:dyDescent="0.25">
      <c r="A2216">
        <v>9</v>
      </c>
      <c r="B2216">
        <v>181</v>
      </c>
      <c r="C2216" t="str">
        <f t="shared" si="353"/>
        <v>36</v>
      </c>
      <c r="D2216">
        <v>6412</v>
      </c>
      <c r="E2216" t="str">
        <f t="shared" ref="E2216:E2221" si="358">"09"</f>
        <v>09</v>
      </c>
      <c r="F2216" t="str">
        <f t="shared" si="348"/>
        <v>001</v>
      </c>
      <c r="G2216">
        <v>9</v>
      </c>
      <c r="H2216" t="str">
        <f t="shared" si="354"/>
        <v>91</v>
      </c>
      <c r="I2216" t="str">
        <f>"G"</f>
        <v>G</v>
      </c>
      <c r="J2216" t="str">
        <f t="shared" si="355"/>
        <v>39</v>
      </c>
      <c r="K2216">
        <v>20190524</v>
      </c>
      <c r="L2216" t="str">
        <f t="shared" si="356"/>
        <v>076914</v>
      </c>
      <c r="M2216" t="str">
        <f t="shared" si="357"/>
        <v>30744</v>
      </c>
      <c r="N2216" t="s">
        <v>422</v>
      </c>
      <c r="O2216">
        <v>33.97</v>
      </c>
      <c r="P2216">
        <v>20190522</v>
      </c>
      <c r="Q2216" t="s">
        <v>1279</v>
      </c>
      <c r="R2216" t="s">
        <v>1329</v>
      </c>
      <c r="S2216" t="s">
        <v>295</v>
      </c>
      <c r="T2216" t="s">
        <v>301</v>
      </c>
    </row>
    <row r="2217" spans="1:20" x14ac:dyDescent="0.25">
      <c r="A2217">
        <v>9</v>
      </c>
      <c r="B2217">
        <v>181</v>
      </c>
      <c r="C2217" t="str">
        <f t="shared" si="353"/>
        <v>36</v>
      </c>
      <c r="D2217">
        <v>6412</v>
      </c>
      <c r="E2217" t="str">
        <f t="shared" si="358"/>
        <v>09</v>
      </c>
      <c r="F2217" t="str">
        <f t="shared" si="348"/>
        <v>001</v>
      </c>
      <c r="G2217">
        <v>9</v>
      </c>
      <c r="H2217" t="str">
        <f t="shared" si="354"/>
        <v>91</v>
      </c>
      <c r="I2217" t="str">
        <f>"J"</f>
        <v>J</v>
      </c>
      <c r="J2217" t="str">
        <f t="shared" si="355"/>
        <v>39</v>
      </c>
      <c r="K2217">
        <v>20190524</v>
      </c>
      <c r="L2217" t="str">
        <f t="shared" si="356"/>
        <v>076914</v>
      </c>
      <c r="M2217" t="str">
        <f t="shared" si="357"/>
        <v>30744</v>
      </c>
      <c r="N2217" t="s">
        <v>422</v>
      </c>
      <c r="O2217">
        <v>53.36</v>
      </c>
      <c r="P2217">
        <v>20190522</v>
      </c>
      <c r="Q2217" t="s">
        <v>1261</v>
      </c>
      <c r="R2217" t="s">
        <v>1326</v>
      </c>
      <c r="S2217" t="s">
        <v>295</v>
      </c>
      <c r="T2217" t="s">
        <v>301</v>
      </c>
    </row>
    <row r="2218" spans="1:20" x14ac:dyDescent="0.25">
      <c r="A2218">
        <v>9</v>
      </c>
      <c r="B2218">
        <v>181</v>
      </c>
      <c r="C2218" t="str">
        <f t="shared" si="353"/>
        <v>36</v>
      </c>
      <c r="D2218">
        <v>6412</v>
      </c>
      <c r="E2218" t="str">
        <f t="shared" si="358"/>
        <v>09</v>
      </c>
      <c r="F2218" t="str">
        <f t="shared" si="348"/>
        <v>001</v>
      </c>
      <c r="G2218">
        <v>9</v>
      </c>
      <c r="H2218" t="str">
        <f t="shared" si="354"/>
        <v>91</v>
      </c>
      <c r="I2218" t="str">
        <f>"J"</f>
        <v>J</v>
      </c>
      <c r="J2218" t="str">
        <f t="shared" si="355"/>
        <v>39</v>
      </c>
      <c r="K2218">
        <v>20190524</v>
      </c>
      <c r="L2218" t="str">
        <f t="shared" si="356"/>
        <v>076914</v>
      </c>
      <c r="M2218" t="str">
        <f t="shared" si="357"/>
        <v>30744</v>
      </c>
      <c r="N2218" t="s">
        <v>422</v>
      </c>
      <c r="O2218">
        <v>30.43</v>
      </c>
      <c r="P2218">
        <v>20190522</v>
      </c>
      <c r="Q2218" t="s">
        <v>1261</v>
      </c>
      <c r="R2218" t="s">
        <v>1326</v>
      </c>
      <c r="S2218" t="s">
        <v>295</v>
      </c>
      <c r="T2218" t="s">
        <v>301</v>
      </c>
    </row>
    <row r="2219" spans="1:20" x14ac:dyDescent="0.25">
      <c r="A2219">
        <v>9</v>
      </c>
      <c r="B2219">
        <v>181</v>
      </c>
      <c r="C2219" t="str">
        <f t="shared" si="353"/>
        <v>36</v>
      </c>
      <c r="D2219">
        <v>6412</v>
      </c>
      <c r="E2219" t="str">
        <f t="shared" si="358"/>
        <v>09</v>
      </c>
      <c r="F2219" t="str">
        <f t="shared" si="348"/>
        <v>001</v>
      </c>
      <c r="G2219">
        <v>9</v>
      </c>
      <c r="H2219" t="str">
        <f t="shared" si="354"/>
        <v>91</v>
      </c>
      <c r="I2219" t="str">
        <f>"J"</f>
        <v>J</v>
      </c>
      <c r="J2219" t="str">
        <f t="shared" si="355"/>
        <v>39</v>
      </c>
      <c r="K2219">
        <v>20190524</v>
      </c>
      <c r="L2219" t="str">
        <f t="shared" si="356"/>
        <v>076914</v>
      </c>
      <c r="M2219" t="str">
        <f t="shared" si="357"/>
        <v>30744</v>
      </c>
      <c r="N2219" t="s">
        <v>422</v>
      </c>
      <c r="O2219">
        <v>32.409999999999997</v>
      </c>
      <c r="P2219">
        <v>20190522</v>
      </c>
      <c r="Q2219" t="s">
        <v>1261</v>
      </c>
      <c r="R2219" t="s">
        <v>1326</v>
      </c>
      <c r="S2219" t="s">
        <v>295</v>
      </c>
      <c r="T2219" t="s">
        <v>301</v>
      </c>
    </row>
    <row r="2220" spans="1:20" x14ac:dyDescent="0.25">
      <c r="A2220">
        <v>9</v>
      </c>
      <c r="B2220">
        <v>181</v>
      </c>
      <c r="C2220" t="str">
        <f t="shared" si="353"/>
        <v>36</v>
      </c>
      <c r="D2220">
        <v>6412</v>
      </c>
      <c r="E2220" t="str">
        <f t="shared" si="358"/>
        <v>09</v>
      </c>
      <c r="F2220" t="str">
        <f t="shared" si="348"/>
        <v>001</v>
      </c>
      <c r="G2220">
        <v>9</v>
      </c>
      <c r="H2220" t="str">
        <f t="shared" si="354"/>
        <v>91</v>
      </c>
      <c r="I2220" t="str">
        <f>"J"</f>
        <v>J</v>
      </c>
      <c r="J2220" t="str">
        <f t="shared" si="355"/>
        <v>39</v>
      </c>
      <c r="K2220">
        <v>20190524</v>
      </c>
      <c r="L2220" t="str">
        <f>"076919"</f>
        <v>076919</v>
      </c>
      <c r="M2220" t="str">
        <f>"39422"</f>
        <v>39422</v>
      </c>
      <c r="N2220" t="s">
        <v>525</v>
      </c>
      <c r="O2220">
        <v>61</v>
      </c>
      <c r="P2220">
        <v>20190522</v>
      </c>
      <c r="Q2220" t="s">
        <v>1261</v>
      </c>
      <c r="R2220" t="s">
        <v>1326</v>
      </c>
      <c r="S2220" t="s">
        <v>295</v>
      </c>
      <c r="T2220" t="s">
        <v>301</v>
      </c>
    </row>
    <row r="2221" spans="1:20" x14ac:dyDescent="0.25">
      <c r="A2221">
        <v>9</v>
      </c>
      <c r="B2221">
        <v>181</v>
      </c>
      <c r="C2221" t="str">
        <f t="shared" si="353"/>
        <v>36</v>
      </c>
      <c r="D2221">
        <v>6412</v>
      </c>
      <c r="E2221" t="str">
        <f t="shared" si="358"/>
        <v>09</v>
      </c>
      <c r="F2221" t="str">
        <f t="shared" si="348"/>
        <v>001</v>
      </c>
      <c r="G2221">
        <v>9</v>
      </c>
      <c r="H2221" t="str">
        <f t="shared" si="354"/>
        <v>91</v>
      </c>
      <c r="I2221" t="str">
        <f>"A"</f>
        <v>A</v>
      </c>
      <c r="J2221" t="str">
        <f t="shared" si="355"/>
        <v>39</v>
      </c>
      <c r="K2221">
        <v>20190524</v>
      </c>
      <c r="L2221" t="str">
        <f>"076923"</f>
        <v>076923</v>
      </c>
      <c r="M2221" t="str">
        <f>"47715"</f>
        <v>47715</v>
      </c>
      <c r="N2221" t="s">
        <v>1363</v>
      </c>
      <c r="O2221">
        <v>95</v>
      </c>
      <c r="P2221">
        <v>20190522</v>
      </c>
      <c r="Q2221" t="s">
        <v>1361</v>
      </c>
      <c r="R2221" t="s">
        <v>1362</v>
      </c>
      <c r="S2221" t="s">
        <v>295</v>
      </c>
      <c r="T2221" t="s">
        <v>301</v>
      </c>
    </row>
    <row r="2222" spans="1:20" x14ac:dyDescent="0.25">
      <c r="A2222">
        <v>9</v>
      </c>
      <c r="B2222">
        <v>181</v>
      </c>
      <c r="C2222" t="str">
        <f t="shared" si="353"/>
        <v>36</v>
      </c>
      <c r="D2222">
        <v>6219</v>
      </c>
      <c r="E2222" t="str">
        <f>"06"</f>
        <v>06</v>
      </c>
      <c r="F2222" t="str">
        <f t="shared" si="348"/>
        <v>001</v>
      </c>
      <c r="G2222">
        <v>9</v>
      </c>
      <c r="H2222" t="str">
        <f t="shared" si="354"/>
        <v>91</v>
      </c>
      <c r="I2222" t="str">
        <f>"0"</f>
        <v>0</v>
      </c>
      <c r="J2222" t="str">
        <f>"42"</f>
        <v>42</v>
      </c>
      <c r="K2222">
        <v>20190524</v>
      </c>
      <c r="L2222" t="str">
        <f>"076924"</f>
        <v>076924</v>
      </c>
      <c r="M2222" t="str">
        <f>"49189"</f>
        <v>49189</v>
      </c>
      <c r="N2222" t="s">
        <v>364</v>
      </c>
      <c r="O2222">
        <v>105</v>
      </c>
      <c r="P2222">
        <v>20190522</v>
      </c>
      <c r="Q2222" t="s">
        <v>1359</v>
      </c>
      <c r="R2222" t="s">
        <v>1360</v>
      </c>
      <c r="S2222" t="s">
        <v>295</v>
      </c>
      <c r="T2222" t="s">
        <v>301</v>
      </c>
    </row>
    <row r="2223" spans="1:20" x14ac:dyDescent="0.25">
      <c r="A2223">
        <v>9</v>
      </c>
      <c r="B2223">
        <v>181</v>
      </c>
      <c r="C2223" t="str">
        <f t="shared" si="353"/>
        <v>36</v>
      </c>
      <c r="D2223">
        <v>6219</v>
      </c>
      <c r="E2223" t="str">
        <f>"06"</f>
        <v>06</v>
      </c>
      <c r="F2223" t="str">
        <f t="shared" si="348"/>
        <v>001</v>
      </c>
      <c r="G2223">
        <v>9</v>
      </c>
      <c r="H2223" t="str">
        <f t="shared" si="354"/>
        <v>91</v>
      </c>
      <c r="I2223" t="str">
        <f>"0"</f>
        <v>0</v>
      </c>
      <c r="J2223" t="str">
        <f>"42"</f>
        <v>42</v>
      </c>
      <c r="K2223">
        <v>20190524</v>
      </c>
      <c r="L2223" t="str">
        <f>"076925"</f>
        <v>076925</v>
      </c>
      <c r="M2223" t="str">
        <f>"49834"</f>
        <v>49834</v>
      </c>
      <c r="N2223" t="s">
        <v>530</v>
      </c>
      <c r="O2223">
        <v>105</v>
      </c>
      <c r="P2223">
        <v>20190522</v>
      </c>
      <c r="Q2223" t="s">
        <v>1359</v>
      </c>
      <c r="R2223" t="s">
        <v>1360</v>
      </c>
      <c r="S2223" t="s">
        <v>295</v>
      </c>
      <c r="T2223" t="s">
        <v>301</v>
      </c>
    </row>
    <row r="2224" spans="1:20" x14ac:dyDescent="0.25">
      <c r="A2224">
        <v>9</v>
      </c>
      <c r="B2224">
        <v>181</v>
      </c>
      <c r="C2224" t="str">
        <f t="shared" si="353"/>
        <v>36</v>
      </c>
      <c r="D2224">
        <v>6412</v>
      </c>
      <c r="E2224" t="str">
        <f>"09"</f>
        <v>09</v>
      </c>
      <c r="F2224" t="str">
        <f t="shared" si="348"/>
        <v>001</v>
      </c>
      <c r="G2224">
        <v>9</v>
      </c>
      <c r="H2224" t="str">
        <f t="shared" si="354"/>
        <v>91</v>
      </c>
      <c r="I2224" t="str">
        <f>"Z"</f>
        <v>Z</v>
      </c>
      <c r="J2224" t="str">
        <f>"39"</f>
        <v>39</v>
      </c>
      <c r="K2224">
        <v>20190524</v>
      </c>
      <c r="L2224" t="str">
        <f>"076926"</f>
        <v>076926</v>
      </c>
      <c r="M2224" t="str">
        <f>"52196"</f>
        <v>52196</v>
      </c>
      <c r="N2224" t="s">
        <v>292</v>
      </c>
      <c r="O2224">
        <v>546.5</v>
      </c>
      <c r="P2224">
        <v>20190523</v>
      </c>
      <c r="Q2224" t="s">
        <v>1364</v>
      </c>
      <c r="R2224" t="s">
        <v>1365</v>
      </c>
      <c r="S2224" t="s">
        <v>295</v>
      </c>
      <c r="T2224" t="s">
        <v>301</v>
      </c>
    </row>
    <row r="2225" spans="1:20" x14ac:dyDescent="0.25">
      <c r="A2225">
        <v>9</v>
      </c>
      <c r="B2225">
        <v>181</v>
      </c>
      <c r="C2225" t="str">
        <f t="shared" si="353"/>
        <v>36</v>
      </c>
      <c r="D2225">
        <v>6412</v>
      </c>
      <c r="E2225" t="str">
        <f>"09"</f>
        <v>09</v>
      </c>
      <c r="F2225" t="str">
        <f t="shared" si="348"/>
        <v>001</v>
      </c>
      <c r="G2225">
        <v>9</v>
      </c>
      <c r="H2225" t="str">
        <f t="shared" si="354"/>
        <v>91</v>
      </c>
      <c r="I2225" t="str">
        <f>"A"</f>
        <v>A</v>
      </c>
      <c r="J2225" t="str">
        <f>"39"</f>
        <v>39</v>
      </c>
      <c r="K2225">
        <v>20190524</v>
      </c>
      <c r="L2225" t="str">
        <f>"076936"</f>
        <v>076936</v>
      </c>
      <c r="M2225" t="str">
        <f>"63018"</f>
        <v>63018</v>
      </c>
      <c r="N2225" t="s">
        <v>1366</v>
      </c>
      <c r="O2225">
        <v>95</v>
      </c>
      <c r="P2225">
        <v>20190523</v>
      </c>
      <c r="Q2225" t="s">
        <v>1361</v>
      </c>
      <c r="R2225" t="s">
        <v>1362</v>
      </c>
      <c r="S2225" t="s">
        <v>295</v>
      </c>
      <c r="T2225" t="s">
        <v>301</v>
      </c>
    </row>
    <row r="2226" spans="1:20" x14ac:dyDescent="0.25">
      <c r="A2226">
        <v>9</v>
      </c>
      <c r="B2226">
        <v>181</v>
      </c>
      <c r="C2226" t="str">
        <f t="shared" si="353"/>
        <v>36</v>
      </c>
      <c r="D2226">
        <v>6219</v>
      </c>
      <c r="E2226" t="str">
        <f>"06"</f>
        <v>06</v>
      </c>
      <c r="F2226" t="str">
        <f t="shared" si="348"/>
        <v>001</v>
      </c>
      <c r="G2226">
        <v>9</v>
      </c>
      <c r="H2226" t="str">
        <f t="shared" si="354"/>
        <v>91</v>
      </c>
      <c r="I2226" t="str">
        <f>"0"</f>
        <v>0</v>
      </c>
      <c r="J2226" t="str">
        <f>"42"</f>
        <v>42</v>
      </c>
      <c r="K2226">
        <v>20190524</v>
      </c>
      <c r="L2226" t="str">
        <f>"076938"</f>
        <v>076938</v>
      </c>
      <c r="M2226" t="str">
        <f>"63704"</f>
        <v>63704</v>
      </c>
      <c r="N2226" t="s">
        <v>1367</v>
      </c>
      <c r="O2226">
        <v>190</v>
      </c>
      <c r="P2226">
        <v>20190523</v>
      </c>
      <c r="Q2226" t="s">
        <v>1359</v>
      </c>
      <c r="R2226" t="s">
        <v>1360</v>
      </c>
      <c r="S2226" t="s">
        <v>295</v>
      </c>
      <c r="T2226" t="s">
        <v>301</v>
      </c>
    </row>
    <row r="2227" spans="1:20" x14ac:dyDescent="0.25">
      <c r="A2227">
        <v>9</v>
      </c>
      <c r="B2227">
        <v>181</v>
      </c>
      <c r="C2227" t="str">
        <f t="shared" si="353"/>
        <v>36</v>
      </c>
      <c r="D2227">
        <v>6412</v>
      </c>
      <c r="E2227" t="str">
        <f>"09"</f>
        <v>09</v>
      </c>
      <c r="F2227" t="str">
        <f t="shared" si="348"/>
        <v>001</v>
      </c>
      <c r="G2227">
        <v>9</v>
      </c>
      <c r="H2227" t="str">
        <f t="shared" si="354"/>
        <v>91</v>
      </c>
      <c r="I2227" t="str">
        <f>"T"</f>
        <v>T</v>
      </c>
      <c r="J2227" t="str">
        <f>"39"</f>
        <v>39</v>
      </c>
      <c r="K2227">
        <v>20190524</v>
      </c>
      <c r="L2227" t="str">
        <f>"076943"</f>
        <v>076943</v>
      </c>
      <c r="M2227" t="str">
        <f>"68107"</f>
        <v>68107</v>
      </c>
      <c r="N2227" t="s">
        <v>449</v>
      </c>
      <c r="O2227">
        <v>42.07</v>
      </c>
      <c r="P2227">
        <v>20190523</v>
      </c>
      <c r="Q2227" t="s">
        <v>544</v>
      </c>
      <c r="R2227" t="s">
        <v>1264</v>
      </c>
      <c r="S2227" t="s">
        <v>295</v>
      </c>
      <c r="T2227" t="s">
        <v>301</v>
      </c>
    </row>
    <row r="2228" spans="1:20" x14ac:dyDescent="0.25">
      <c r="A2228">
        <v>9</v>
      </c>
      <c r="B2228">
        <v>181</v>
      </c>
      <c r="C2228" t="str">
        <f t="shared" si="353"/>
        <v>36</v>
      </c>
      <c r="D2228">
        <v>6219</v>
      </c>
      <c r="E2228" t="str">
        <f>"06"</f>
        <v>06</v>
      </c>
      <c r="F2228" t="str">
        <f t="shared" si="348"/>
        <v>001</v>
      </c>
      <c r="G2228">
        <v>9</v>
      </c>
      <c r="H2228" t="str">
        <f t="shared" si="354"/>
        <v>91</v>
      </c>
      <c r="I2228" t="str">
        <f>"0"</f>
        <v>0</v>
      </c>
      <c r="J2228" t="str">
        <f>"42"</f>
        <v>42</v>
      </c>
      <c r="K2228">
        <v>20190524</v>
      </c>
      <c r="L2228" t="str">
        <f>"076945"</f>
        <v>076945</v>
      </c>
      <c r="M2228" t="str">
        <f>"73597"</f>
        <v>73597</v>
      </c>
      <c r="N2228" t="s">
        <v>1368</v>
      </c>
      <c r="O2228">
        <v>190</v>
      </c>
      <c r="P2228">
        <v>20190523</v>
      </c>
      <c r="Q2228" t="s">
        <v>1359</v>
      </c>
      <c r="R2228" t="s">
        <v>1360</v>
      </c>
      <c r="S2228" t="s">
        <v>295</v>
      </c>
      <c r="T2228" t="s">
        <v>301</v>
      </c>
    </row>
    <row r="2229" spans="1:20" x14ac:dyDescent="0.25">
      <c r="A2229">
        <v>9</v>
      </c>
      <c r="B2229">
        <v>181</v>
      </c>
      <c r="C2229" t="str">
        <f t="shared" si="353"/>
        <v>36</v>
      </c>
      <c r="D2229">
        <v>6411</v>
      </c>
      <c r="E2229" t="str">
        <f>"33"</f>
        <v>33</v>
      </c>
      <c r="F2229" t="str">
        <f t="shared" ref="F2229:F2238" si="359">"001"</f>
        <v>001</v>
      </c>
      <c r="G2229">
        <v>9</v>
      </c>
      <c r="H2229" t="str">
        <f t="shared" si="354"/>
        <v>91</v>
      </c>
      <c r="I2229" t="str">
        <f>"0"</f>
        <v>0</v>
      </c>
      <c r="J2229" t="str">
        <f t="shared" ref="J2229:J2238" si="360">"39"</f>
        <v>39</v>
      </c>
      <c r="K2229">
        <v>20190524</v>
      </c>
      <c r="L2229" t="str">
        <f>"076955"</f>
        <v>076955</v>
      </c>
      <c r="M2229" t="str">
        <f>"80480"</f>
        <v>80480</v>
      </c>
      <c r="N2229" t="s">
        <v>1369</v>
      </c>
      <c r="O2229">
        <v>159.41</v>
      </c>
      <c r="P2229">
        <v>20190523</v>
      </c>
      <c r="Q2229" t="s">
        <v>306</v>
      </c>
      <c r="R2229" t="s">
        <v>1331</v>
      </c>
      <c r="S2229" t="s">
        <v>295</v>
      </c>
      <c r="T2229" t="s">
        <v>301</v>
      </c>
    </row>
    <row r="2230" spans="1:20" x14ac:dyDescent="0.25">
      <c r="A2230">
        <v>9</v>
      </c>
      <c r="B2230">
        <v>181</v>
      </c>
      <c r="C2230" t="str">
        <f t="shared" si="353"/>
        <v>36</v>
      </c>
      <c r="D2230">
        <v>6412</v>
      </c>
      <c r="E2230" t="str">
        <f>"09"</f>
        <v>09</v>
      </c>
      <c r="F2230" t="str">
        <f t="shared" si="359"/>
        <v>001</v>
      </c>
      <c r="G2230">
        <v>9</v>
      </c>
      <c r="H2230" t="str">
        <f t="shared" si="354"/>
        <v>91</v>
      </c>
      <c r="I2230" t="str">
        <f>"A"</f>
        <v>A</v>
      </c>
      <c r="J2230" t="str">
        <f t="shared" si="360"/>
        <v>39</v>
      </c>
      <c r="K2230">
        <v>20190524</v>
      </c>
      <c r="L2230" t="str">
        <f>"076957"</f>
        <v>076957</v>
      </c>
      <c r="M2230" t="str">
        <f>"80527"</f>
        <v>80527</v>
      </c>
      <c r="N2230" t="s">
        <v>1131</v>
      </c>
      <c r="O2230">
        <v>95</v>
      </c>
      <c r="P2230">
        <v>20190523</v>
      </c>
      <c r="Q2230" t="s">
        <v>1361</v>
      </c>
      <c r="R2230" t="s">
        <v>1362</v>
      </c>
      <c r="S2230" t="s">
        <v>295</v>
      </c>
      <c r="T2230" t="s">
        <v>301</v>
      </c>
    </row>
    <row r="2231" spans="1:20" x14ac:dyDescent="0.25">
      <c r="A2231">
        <v>9</v>
      </c>
      <c r="B2231">
        <v>181</v>
      </c>
      <c r="C2231" t="str">
        <f t="shared" si="353"/>
        <v>36</v>
      </c>
      <c r="D2231">
        <v>6412</v>
      </c>
      <c r="E2231" t="str">
        <f>"09"</f>
        <v>09</v>
      </c>
      <c r="F2231" t="str">
        <f t="shared" si="359"/>
        <v>001</v>
      </c>
      <c r="G2231">
        <v>9</v>
      </c>
      <c r="H2231" t="str">
        <f t="shared" si="354"/>
        <v>91</v>
      </c>
      <c r="I2231" t="str">
        <f>"1"</f>
        <v>1</v>
      </c>
      <c r="J2231" t="str">
        <f t="shared" si="360"/>
        <v>39</v>
      </c>
      <c r="K2231">
        <v>20190524</v>
      </c>
      <c r="L2231" t="str">
        <f t="shared" ref="L2231:L2240" si="361">"076962"</f>
        <v>076962</v>
      </c>
      <c r="M2231" t="str">
        <f t="shared" ref="M2231:M2240" si="362">"84370"</f>
        <v>84370</v>
      </c>
      <c r="N2231" t="s">
        <v>395</v>
      </c>
      <c r="O2231">
        <v>86.42</v>
      </c>
      <c r="P2231">
        <v>20190523</v>
      </c>
      <c r="Q2231" t="s">
        <v>1297</v>
      </c>
      <c r="R2231" t="s">
        <v>1370</v>
      </c>
      <c r="S2231" t="s">
        <v>295</v>
      </c>
      <c r="T2231" t="s">
        <v>301</v>
      </c>
    </row>
    <row r="2232" spans="1:20" x14ac:dyDescent="0.25">
      <c r="A2232">
        <v>9</v>
      </c>
      <c r="B2232">
        <v>181</v>
      </c>
      <c r="C2232" t="str">
        <f t="shared" si="353"/>
        <v>36</v>
      </c>
      <c r="D2232">
        <v>6412</v>
      </c>
      <c r="E2232" t="str">
        <f>"09"</f>
        <v>09</v>
      </c>
      <c r="F2232" t="str">
        <f t="shared" si="359"/>
        <v>001</v>
      </c>
      <c r="G2232">
        <v>9</v>
      </c>
      <c r="H2232" t="str">
        <f t="shared" si="354"/>
        <v>91</v>
      </c>
      <c r="I2232" t="str">
        <f>"A"</f>
        <v>A</v>
      </c>
      <c r="J2232" t="str">
        <f t="shared" si="360"/>
        <v>39</v>
      </c>
      <c r="K2232">
        <v>20190524</v>
      </c>
      <c r="L2232" t="str">
        <f t="shared" si="361"/>
        <v>076962</v>
      </c>
      <c r="M2232" t="str">
        <f t="shared" si="362"/>
        <v>84370</v>
      </c>
      <c r="N2232" t="s">
        <v>395</v>
      </c>
      <c r="O2232">
        <v>123.77</v>
      </c>
      <c r="P2232">
        <v>20190523</v>
      </c>
      <c r="Q2232" t="s">
        <v>1361</v>
      </c>
      <c r="R2232" t="s">
        <v>1371</v>
      </c>
      <c r="S2232" t="s">
        <v>295</v>
      </c>
      <c r="T2232" t="s">
        <v>301</v>
      </c>
    </row>
    <row r="2233" spans="1:20" x14ac:dyDescent="0.25">
      <c r="A2233">
        <v>9</v>
      </c>
      <c r="B2233">
        <v>181</v>
      </c>
      <c r="C2233" t="str">
        <f t="shared" si="353"/>
        <v>36</v>
      </c>
      <c r="D2233">
        <v>6412</v>
      </c>
      <c r="E2233" t="str">
        <f>"3A"</f>
        <v>3A</v>
      </c>
      <c r="F2233" t="str">
        <f t="shared" si="359"/>
        <v>001</v>
      </c>
      <c r="G2233">
        <v>9</v>
      </c>
      <c r="H2233" t="str">
        <f t="shared" si="354"/>
        <v>91</v>
      </c>
      <c r="I2233" t="str">
        <f t="shared" ref="I2233:I2241" si="363">"1"</f>
        <v>1</v>
      </c>
      <c r="J2233" t="str">
        <f t="shared" si="360"/>
        <v>39</v>
      </c>
      <c r="K2233">
        <v>20190524</v>
      </c>
      <c r="L2233" t="str">
        <f t="shared" si="361"/>
        <v>076962</v>
      </c>
      <c r="M2233" t="str">
        <f t="shared" si="362"/>
        <v>84370</v>
      </c>
      <c r="N2233" t="s">
        <v>395</v>
      </c>
      <c r="O2233">
        <v>86.47</v>
      </c>
      <c r="P2233">
        <v>20190523</v>
      </c>
      <c r="Q2233" t="s">
        <v>1143</v>
      </c>
      <c r="R2233" t="s">
        <v>1181</v>
      </c>
      <c r="S2233" t="s">
        <v>295</v>
      </c>
      <c r="T2233" t="s">
        <v>301</v>
      </c>
    </row>
    <row r="2234" spans="1:20" x14ac:dyDescent="0.25">
      <c r="A2234">
        <v>9</v>
      </c>
      <c r="B2234">
        <v>181</v>
      </c>
      <c r="C2234" t="str">
        <f t="shared" si="353"/>
        <v>36</v>
      </c>
      <c r="D2234">
        <v>6412</v>
      </c>
      <c r="E2234" t="str">
        <f>"3A"</f>
        <v>3A</v>
      </c>
      <c r="F2234" t="str">
        <f t="shared" si="359"/>
        <v>001</v>
      </c>
      <c r="G2234">
        <v>9</v>
      </c>
      <c r="H2234" t="str">
        <f t="shared" si="354"/>
        <v>91</v>
      </c>
      <c r="I2234" t="str">
        <f t="shared" si="363"/>
        <v>1</v>
      </c>
      <c r="J2234" t="str">
        <f t="shared" si="360"/>
        <v>39</v>
      </c>
      <c r="K2234">
        <v>20190524</v>
      </c>
      <c r="L2234" t="str">
        <f t="shared" si="361"/>
        <v>076962</v>
      </c>
      <c r="M2234" t="str">
        <f t="shared" si="362"/>
        <v>84370</v>
      </c>
      <c r="N2234" t="s">
        <v>395</v>
      </c>
      <c r="O2234">
        <v>136.13</v>
      </c>
      <c r="P2234">
        <v>20190523</v>
      </c>
      <c r="Q2234" t="s">
        <v>1143</v>
      </c>
      <c r="R2234" t="s">
        <v>1372</v>
      </c>
      <c r="S2234" t="s">
        <v>295</v>
      </c>
      <c r="T2234" t="s">
        <v>301</v>
      </c>
    </row>
    <row r="2235" spans="1:20" x14ac:dyDescent="0.25">
      <c r="A2235">
        <v>9</v>
      </c>
      <c r="B2235">
        <v>181</v>
      </c>
      <c r="C2235" t="str">
        <f t="shared" si="353"/>
        <v>36</v>
      </c>
      <c r="D2235">
        <v>6412</v>
      </c>
      <c r="E2235" t="str">
        <f>"3A"</f>
        <v>3A</v>
      </c>
      <c r="F2235" t="str">
        <f t="shared" si="359"/>
        <v>001</v>
      </c>
      <c r="G2235">
        <v>9</v>
      </c>
      <c r="H2235" t="str">
        <f t="shared" si="354"/>
        <v>91</v>
      </c>
      <c r="I2235" t="str">
        <f t="shared" si="363"/>
        <v>1</v>
      </c>
      <c r="J2235" t="str">
        <f t="shared" si="360"/>
        <v>39</v>
      </c>
      <c r="K2235">
        <v>20190524</v>
      </c>
      <c r="L2235" t="str">
        <f t="shared" si="361"/>
        <v>076962</v>
      </c>
      <c r="M2235" t="str">
        <f t="shared" si="362"/>
        <v>84370</v>
      </c>
      <c r="N2235" t="s">
        <v>395</v>
      </c>
      <c r="O2235">
        <v>126.66</v>
      </c>
      <c r="P2235">
        <v>20190523</v>
      </c>
      <c r="Q2235" t="s">
        <v>1143</v>
      </c>
      <c r="R2235" t="s">
        <v>1373</v>
      </c>
      <c r="S2235" t="s">
        <v>295</v>
      </c>
      <c r="T2235" t="s">
        <v>301</v>
      </c>
    </row>
    <row r="2236" spans="1:20" x14ac:dyDescent="0.25">
      <c r="A2236">
        <v>9</v>
      </c>
      <c r="B2236">
        <v>181</v>
      </c>
      <c r="C2236" t="str">
        <f t="shared" si="353"/>
        <v>36</v>
      </c>
      <c r="D2236">
        <v>6412</v>
      </c>
      <c r="E2236" t="str">
        <f>"3J"</f>
        <v>3J</v>
      </c>
      <c r="F2236" t="str">
        <f t="shared" si="359"/>
        <v>001</v>
      </c>
      <c r="G2236">
        <v>9</v>
      </c>
      <c r="H2236" t="str">
        <f t="shared" si="354"/>
        <v>91</v>
      </c>
      <c r="I2236" t="str">
        <f t="shared" si="363"/>
        <v>1</v>
      </c>
      <c r="J2236" t="str">
        <f t="shared" si="360"/>
        <v>39</v>
      </c>
      <c r="K2236">
        <v>20190524</v>
      </c>
      <c r="L2236" t="str">
        <f t="shared" si="361"/>
        <v>076962</v>
      </c>
      <c r="M2236" t="str">
        <f t="shared" si="362"/>
        <v>84370</v>
      </c>
      <c r="N2236" t="s">
        <v>395</v>
      </c>
      <c r="O2236">
        <v>151.36000000000001</v>
      </c>
      <c r="P2236">
        <v>20190523</v>
      </c>
      <c r="Q2236" t="s">
        <v>1182</v>
      </c>
      <c r="R2236" t="s">
        <v>1305</v>
      </c>
      <c r="S2236" t="s">
        <v>295</v>
      </c>
      <c r="T2236" t="s">
        <v>301</v>
      </c>
    </row>
    <row r="2237" spans="1:20" x14ac:dyDescent="0.25">
      <c r="A2237">
        <v>9</v>
      </c>
      <c r="B2237">
        <v>181</v>
      </c>
      <c r="C2237" t="str">
        <f t="shared" si="353"/>
        <v>36</v>
      </c>
      <c r="D2237">
        <v>6412</v>
      </c>
      <c r="E2237" t="str">
        <f>"3P"</f>
        <v>3P</v>
      </c>
      <c r="F2237" t="str">
        <f t="shared" si="359"/>
        <v>001</v>
      </c>
      <c r="G2237">
        <v>9</v>
      </c>
      <c r="H2237" t="str">
        <f t="shared" si="354"/>
        <v>91</v>
      </c>
      <c r="I2237" t="str">
        <f t="shared" si="363"/>
        <v>1</v>
      </c>
      <c r="J2237" t="str">
        <f t="shared" si="360"/>
        <v>39</v>
      </c>
      <c r="K2237">
        <v>20190524</v>
      </c>
      <c r="L2237" t="str">
        <f t="shared" si="361"/>
        <v>076962</v>
      </c>
      <c r="M2237" t="str">
        <f t="shared" si="362"/>
        <v>84370</v>
      </c>
      <c r="N2237" t="s">
        <v>395</v>
      </c>
      <c r="O2237">
        <v>41.79</v>
      </c>
      <c r="P2237">
        <v>20190523</v>
      </c>
      <c r="Q2237" t="s">
        <v>1046</v>
      </c>
      <c r="R2237" t="s">
        <v>1374</v>
      </c>
      <c r="S2237" t="s">
        <v>295</v>
      </c>
      <c r="T2237" t="s">
        <v>301</v>
      </c>
    </row>
    <row r="2238" spans="1:20" x14ac:dyDescent="0.25">
      <c r="A2238">
        <v>9</v>
      </c>
      <c r="B2238">
        <v>181</v>
      </c>
      <c r="C2238" t="str">
        <f t="shared" si="353"/>
        <v>36</v>
      </c>
      <c r="D2238">
        <v>6412</v>
      </c>
      <c r="E2238" t="str">
        <f>"3P"</f>
        <v>3P</v>
      </c>
      <c r="F2238" t="str">
        <f t="shared" si="359"/>
        <v>001</v>
      </c>
      <c r="G2238">
        <v>9</v>
      </c>
      <c r="H2238" t="str">
        <f t="shared" si="354"/>
        <v>91</v>
      </c>
      <c r="I2238" t="str">
        <f t="shared" si="363"/>
        <v>1</v>
      </c>
      <c r="J2238" t="str">
        <f t="shared" si="360"/>
        <v>39</v>
      </c>
      <c r="K2238">
        <v>20190524</v>
      </c>
      <c r="L2238" t="str">
        <f t="shared" si="361"/>
        <v>076962</v>
      </c>
      <c r="M2238" t="str">
        <f t="shared" si="362"/>
        <v>84370</v>
      </c>
      <c r="N2238" t="s">
        <v>395</v>
      </c>
      <c r="O2238">
        <v>54.72</v>
      </c>
      <c r="P2238">
        <v>20190523</v>
      </c>
      <c r="Q2238" t="s">
        <v>1046</v>
      </c>
      <c r="R2238" t="s">
        <v>1375</v>
      </c>
      <c r="S2238" t="s">
        <v>295</v>
      </c>
      <c r="T2238" t="s">
        <v>301</v>
      </c>
    </row>
    <row r="2239" spans="1:20" x14ac:dyDescent="0.25">
      <c r="A2239">
        <v>9</v>
      </c>
      <c r="B2239">
        <v>181</v>
      </c>
      <c r="C2239" t="str">
        <f t="shared" si="353"/>
        <v>36</v>
      </c>
      <c r="D2239">
        <v>6412</v>
      </c>
      <c r="E2239" t="str">
        <f>"3W"</f>
        <v>3W</v>
      </c>
      <c r="F2239" t="str">
        <f>"041"</f>
        <v>041</v>
      </c>
      <c r="G2239">
        <v>9</v>
      </c>
      <c r="H2239" t="str">
        <f t="shared" si="354"/>
        <v>91</v>
      </c>
      <c r="I2239" t="str">
        <f t="shared" si="363"/>
        <v>1</v>
      </c>
      <c r="J2239" t="str">
        <f>"41"</f>
        <v>41</v>
      </c>
      <c r="K2239">
        <v>20190524</v>
      </c>
      <c r="L2239" t="str">
        <f t="shared" si="361"/>
        <v>076962</v>
      </c>
      <c r="M2239" t="str">
        <f t="shared" si="362"/>
        <v>84370</v>
      </c>
      <c r="N2239" t="s">
        <v>395</v>
      </c>
      <c r="O2239">
        <v>190.2</v>
      </c>
      <c r="P2239">
        <v>20190523</v>
      </c>
      <c r="Q2239" t="s">
        <v>1190</v>
      </c>
      <c r="R2239" t="s">
        <v>1376</v>
      </c>
      <c r="S2239" t="s">
        <v>295</v>
      </c>
      <c r="T2239" t="s">
        <v>106</v>
      </c>
    </row>
    <row r="2240" spans="1:20" x14ac:dyDescent="0.25">
      <c r="A2240">
        <v>9</v>
      </c>
      <c r="B2240">
        <v>181</v>
      </c>
      <c r="C2240" t="str">
        <f t="shared" si="353"/>
        <v>36</v>
      </c>
      <c r="D2240">
        <v>6412</v>
      </c>
      <c r="E2240" t="str">
        <f>"3W"</f>
        <v>3W</v>
      </c>
      <c r="F2240" t="str">
        <f>"041"</f>
        <v>041</v>
      </c>
      <c r="G2240">
        <v>9</v>
      </c>
      <c r="H2240" t="str">
        <f t="shared" si="354"/>
        <v>91</v>
      </c>
      <c r="I2240" t="str">
        <f t="shared" si="363"/>
        <v>1</v>
      </c>
      <c r="J2240" t="str">
        <f>"41"</f>
        <v>41</v>
      </c>
      <c r="K2240">
        <v>20190524</v>
      </c>
      <c r="L2240" t="str">
        <f t="shared" si="361"/>
        <v>076962</v>
      </c>
      <c r="M2240" t="str">
        <f t="shared" si="362"/>
        <v>84370</v>
      </c>
      <c r="N2240" t="s">
        <v>395</v>
      </c>
      <c r="O2240">
        <v>274.97000000000003</v>
      </c>
      <c r="P2240">
        <v>20190523</v>
      </c>
      <c r="Q2240" t="s">
        <v>1190</v>
      </c>
      <c r="R2240" t="s">
        <v>1376</v>
      </c>
      <c r="S2240" t="s">
        <v>295</v>
      </c>
      <c r="T2240" t="s">
        <v>106</v>
      </c>
    </row>
    <row r="2241" spans="1:20" x14ac:dyDescent="0.25">
      <c r="A2241">
        <v>9</v>
      </c>
      <c r="B2241">
        <v>181</v>
      </c>
      <c r="C2241" t="str">
        <f t="shared" si="353"/>
        <v>36</v>
      </c>
      <c r="D2241">
        <v>6399</v>
      </c>
      <c r="E2241" t="str">
        <f>"38"</f>
        <v>38</v>
      </c>
      <c r="F2241" t="str">
        <f t="shared" ref="F2241:F2258" si="364">"001"</f>
        <v>001</v>
      </c>
      <c r="G2241">
        <v>9</v>
      </c>
      <c r="H2241" t="str">
        <f t="shared" si="354"/>
        <v>91</v>
      </c>
      <c r="I2241" t="str">
        <f t="shared" si="363"/>
        <v>1</v>
      </c>
      <c r="J2241" t="str">
        <f>"39"</f>
        <v>39</v>
      </c>
      <c r="K2241">
        <v>20190531</v>
      </c>
      <c r="L2241" t="str">
        <f>"076967"</f>
        <v>076967</v>
      </c>
      <c r="M2241" t="str">
        <f>"03847"</f>
        <v>03847</v>
      </c>
      <c r="N2241" t="s">
        <v>1377</v>
      </c>
      <c r="O2241">
        <v>272.7</v>
      </c>
      <c r="P2241">
        <v>20190529</v>
      </c>
      <c r="Q2241" t="s">
        <v>464</v>
      </c>
      <c r="R2241" t="s">
        <v>1378</v>
      </c>
      <c r="S2241" t="s">
        <v>295</v>
      </c>
      <c r="T2241" t="s">
        <v>301</v>
      </c>
    </row>
    <row r="2242" spans="1:20" x14ac:dyDescent="0.25">
      <c r="A2242">
        <v>9</v>
      </c>
      <c r="B2242">
        <v>181</v>
      </c>
      <c r="C2242" t="str">
        <f t="shared" si="353"/>
        <v>36</v>
      </c>
      <c r="D2242">
        <v>6411</v>
      </c>
      <c r="E2242" t="str">
        <f>"33"</f>
        <v>33</v>
      </c>
      <c r="F2242" t="str">
        <f t="shared" si="364"/>
        <v>001</v>
      </c>
      <c r="G2242">
        <v>9</v>
      </c>
      <c r="H2242" t="str">
        <f t="shared" si="354"/>
        <v>91</v>
      </c>
      <c r="I2242" t="str">
        <f>"0"</f>
        <v>0</v>
      </c>
      <c r="J2242" t="str">
        <f>"39"</f>
        <v>39</v>
      </c>
      <c r="K2242">
        <v>20190531</v>
      </c>
      <c r="L2242" t="str">
        <f>"076974"</f>
        <v>076974</v>
      </c>
      <c r="M2242" t="str">
        <f>"09170"</f>
        <v>09170</v>
      </c>
      <c r="N2242" t="s">
        <v>679</v>
      </c>
      <c r="O2242">
        <v>65</v>
      </c>
      <c r="P2242">
        <v>20190529</v>
      </c>
      <c r="Q2242" t="s">
        <v>306</v>
      </c>
      <c r="R2242" t="s">
        <v>1331</v>
      </c>
      <c r="S2242" t="s">
        <v>295</v>
      </c>
      <c r="T2242" t="s">
        <v>301</v>
      </c>
    </row>
    <row r="2243" spans="1:20" x14ac:dyDescent="0.25">
      <c r="A2243">
        <v>9</v>
      </c>
      <c r="B2243">
        <v>181</v>
      </c>
      <c r="C2243" t="str">
        <f t="shared" ref="C2243:C2274" si="365">"36"</f>
        <v>36</v>
      </c>
      <c r="D2243">
        <v>6412</v>
      </c>
      <c r="E2243" t="str">
        <f>"09"</f>
        <v>09</v>
      </c>
      <c r="F2243" t="str">
        <f t="shared" si="364"/>
        <v>001</v>
      </c>
      <c r="G2243">
        <v>9</v>
      </c>
      <c r="H2243" t="str">
        <f t="shared" ref="H2243:H2274" si="366">"91"</f>
        <v>91</v>
      </c>
      <c r="I2243" t="str">
        <f>"P"</f>
        <v>P</v>
      </c>
      <c r="J2243" t="str">
        <f>"39"</f>
        <v>39</v>
      </c>
      <c r="K2243">
        <v>20190531</v>
      </c>
      <c r="L2243" t="str">
        <f>"076974"</f>
        <v>076974</v>
      </c>
      <c r="M2243" t="str">
        <f>"09170"</f>
        <v>09170</v>
      </c>
      <c r="N2243" t="s">
        <v>679</v>
      </c>
      <c r="O2243">
        <v>47.24</v>
      </c>
      <c r="P2243">
        <v>20190529</v>
      </c>
      <c r="Q2243" t="s">
        <v>1028</v>
      </c>
      <c r="R2243" t="s">
        <v>1136</v>
      </c>
      <c r="S2243" t="s">
        <v>295</v>
      </c>
      <c r="T2243" t="s">
        <v>301</v>
      </c>
    </row>
    <row r="2244" spans="1:20" x14ac:dyDescent="0.25">
      <c r="A2244">
        <v>9</v>
      </c>
      <c r="B2244">
        <v>181</v>
      </c>
      <c r="C2244" t="str">
        <f t="shared" si="365"/>
        <v>36</v>
      </c>
      <c r="D2244">
        <v>6219</v>
      </c>
      <c r="E2244" t="str">
        <f>"10"</f>
        <v>10</v>
      </c>
      <c r="F2244" t="str">
        <f t="shared" si="364"/>
        <v>001</v>
      </c>
      <c r="G2244">
        <v>9</v>
      </c>
      <c r="H2244" t="str">
        <f t="shared" si="366"/>
        <v>91</v>
      </c>
      <c r="I2244" t="str">
        <f t="shared" ref="I2244:I2262" si="367">"0"</f>
        <v>0</v>
      </c>
      <c r="J2244" t="str">
        <f>"42"</f>
        <v>42</v>
      </c>
      <c r="K2244">
        <v>20190531</v>
      </c>
      <c r="L2244" t="str">
        <f>"076988"</f>
        <v>076988</v>
      </c>
      <c r="M2244" t="str">
        <f>"20433"</f>
        <v>20433</v>
      </c>
      <c r="N2244" t="s">
        <v>332</v>
      </c>
      <c r="O2244">
        <v>75</v>
      </c>
      <c r="P2244">
        <v>20190530</v>
      </c>
      <c r="Q2244" t="s">
        <v>1379</v>
      </c>
      <c r="R2244" t="s">
        <v>1380</v>
      </c>
      <c r="S2244" t="s">
        <v>295</v>
      </c>
      <c r="T2244" t="s">
        <v>301</v>
      </c>
    </row>
    <row r="2245" spans="1:20" x14ac:dyDescent="0.25">
      <c r="A2245">
        <v>9</v>
      </c>
      <c r="B2245">
        <v>181</v>
      </c>
      <c r="C2245" t="str">
        <f t="shared" si="365"/>
        <v>36</v>
      </c>
      <c r="D2245">
        <v>6219</v>
      </c>
      <c r="E2245" t="str">
        <f>"10"</f>
        <v>10</v>
      </c>
      <c r="F2245" t="str">
        <f t="shared" si="364"/>
        <v>001</v>
      </c>
      <c r="G2245">
        <v>9</v>
      </c>
      <c r="H2245" t="str">
        <f t="shared" si="366"/>
        <v>91</v>
      </c>
      <c r="I2245" t="str">
        <f t="shared" si="367"/>
        <v>0</v>
      </c>
      <c r="J2245" t="str">
        <f>"42"</f>
        <v>42</v>
      </c>
      <c r="K2245">
        <v>20190531</v>
      </c>
      <c r="L2245" t="str">
        <f>"076988"</f>
        <v>076988</v>
      </c>
      <c r="M2245" t="str">
        <f>"20433"</f>
        <v>20433</v>
      </c>
      <c r="N2245" t="s">
        <v>332</v>
      </c>
      <c r="O2245">
        <v>75</v>
      </c>
      <c r="P2245">
        <v>20190530</v>
      </c>
      <c r="Q2245" t="s">
        <v>1379</v>
      </c>
      <c r="R2245" t="s">
        <v>1380</v>
      </c>
      <c r="S2245" t="s">
        <v>295</v>
      </c>
      <c r="T2245" t="s">
        <v>301</v>
      </c>
    </row>
    <row r="2246" spans="1:20" x14ac:dyDescent="0.25">
      <c r="A2246">
        <v>9</v>
      </c>
      <c r="B2246">
        <v>181</v>
      </c>
      <c r="C2246" t="str">
        <f t="shared" si="365"/>
        <v>36</v>
      </c>
      <c r="D2246">
        <v>6219</v>
      </c>
      <c r="E2246" t="str">
        <f>"10"</f>
        <v>10</v>
      </c>
      <c r="F2246" t="str">
        <f t="shared" si="364"/>
        <v>001</v>
      </c>
      <c r="G2246">
        <v>9</v>
      </c>
      <c r="H2246" t="str">
        <f t="shared" si="366"/>
        <v>91</v>
      </c>
      <c r="I2246" t="str">
        <f t="shared" si="367"/>
        <v>0</v>
      </c>
      <c r="J2246" t="str">
        <f>"42"</f>
        <v>42</v>
      </c>
      <c r="K2246">
        <v>20190531</v>
      </c>
      <c r="L2246" t="str">
        <f>"076997"</f>
        <v>076997</v>
      </c>
      <c r="M2246" t="str">
        <f>"26337"</f>
        <v>26337</v>
      </c>
      <c r="N2246" t="s">
        <v>481</v>
      </c>
      <c r="O2246">
        <v>108</v>
      </c>
      <c r="P2246">
        <v>20190530</v>
      </c>
      <c r="Q2246" t="s">
        <v>1379</v>
      </c>
      <c r="R2246" t="s">
        <v>1380</v>
      </c>
      <c r="S2246" t="s">
        <v>295</v>
      </c>
      <c r="T2246" t="s">
        <v>301</v>
      </c>
    </row>
    <row r="2247" spans="1:20" x14ac:dyDescent="0.25">
      <c r="A2247">
        <v>9</v>
      </c>
      <c r="B2247">
        <v>181</v>
      </c>
      <c r="C2247" t="str">
        <f t="shared" si="365"/>
        <v>36</v>
      </c>
      <c r="D2247">
        <v>6411</v>
      </c>
      <c r="E2247" t="str">
        <f>"33"</f>
        <v>33</v>
      </c>
      <c r="F2247" t="str">
        <f t="shared" si="364"/>
        <v>001</v>
      </c>
      <c r="G2247">
        <v>9</v>
      </c>
      <c r="H2247" t="str">
        <f t="shared" si="366"/>
        <v>91</v>
      </c>
      <c r="I2247" t="str">
        <f t="shared" si="367"/>
        <v>0</v>
      </c>
      <c r="J2247" t="str">
        <f>"39"</f>
        <v>39</v>
      </c>
      <c r="K2247">
        <v>20190531</v>
      </c>
      <c r="L2247" t="str">
        <f>"077006"</f>
        <v>077006</v>
      </c>
      <c r="M2247" t="str">
        <f>"00144"</f>
        <v>00144</v>
      </c>
      <c r="N2247" t="s">
        <v>1381</v>
      </c>
      <c r="O2247">
        <v>41.23</v>
      </c>
      <c r="P2247">
        <v>20190530</v>
      </c>
      <c r="Q2247" t="s">
        <v>306</v>
      </c>
      <c r="R2247" t="s">
        <v>1282</v>
      </c>
      <c r="S2247" t="s">
        <v>295</v>
      </c>
      <c r="T2247" t="s">
        <v>301</v>
      </c>
    </row>
    <row r="2248" spans="1:20" x14ac:dyDescent="0.25">
      <c r="A2248">
        <v>9</v>
      </c>
      <c r="B2248">
        <v>181</v>
      </c>
      <c r="C2248" t="str">
        <f t="shared" si="365"/>
        <v>36</v>
      </c>
      <c r="D2248">
        <v>6411</v>
      </c>
      <c r="E2248" t="str">
        <f>"33"</f>
        <v>33</v>
      </c>
      <c r="F2248" t="str">
        <f t="shared" si="364"/>
        <v>001</v>
      </c>
      <c r="G2248">
        <v>9</v>
      </c>
      <c r="H2248" t="str">
        <f t="shared" si="366"/>
        <v>91</v>
      </c>
      <c r="I2248" t="str">
        <f t="shared" si="367"/>
        <v>0</v>
      </c>
      <c r="J2248" t="str">
        <f>"39"</f>
        <v>39</v>
      </c>
      <c r="K2248">
        <v>20190531</v>
      </c>
      <c r="L2248" t="str">
        <f>"077017"</f>
        <v>077017</v>
      </c>
      <c r="M2248" t="str">
        <f>"00805"</f>
        <v>00805</v>
      </c>
      <c r="N2248" t="s">
        <v>1382</v>
      </c>
      <c r="O2248">
        <v>534</v>
      </c>
      <c r="P2248">
        <v>20190530</v>
      </c>
      <c r="Q2248" t="s">
        <v>306</v>
      </c>
      <c r="R2248" t="s">
        <v>1288</v>
      </c>
      <c r="S2248" t="s">
        <v>295</v>
      </c>
      <c r="T2248" t="s">
        <v>301</v>
      </c>
    </row>
    <row r="2249" spans="1:20" x14ac:dyDescent="0.25">
      <c r="A2249">
        <v>9</v>
      </c>
      <c r="B2249">
        <v>181</v>
      </c>
      <c r="C2249" t="str">
        <f t="shared" si="365"/>
        <v>36</v>
      </c>
      <c r="D2249">
        <v>6219</v>
      </c>
      <c r="E2249" t="str">
        <f t="shared" ref="E2249:E2255" si="368">"10"</f>
        <v>10</v>
      </c>
      <c r="F2249" t="str">
        <f t="shared" si="364"/>
        <v>001</v>
      </c>
      <c r="G2249">
        <v>9</v>
      </c>
      <c r="H2249" t="str">
        <f t="shared" si="366"/>
        <v>91</v>
      </c>
      <c r="I2249" t="str">
        <f t="shared" si="367"/>
        <v>0</v>
      </c>
      <c r="J2249" t="str">
        <f t="shared" ref="J2249:J2255" si="369">"42"</f>
        <v>42</v>
      </c>
      <c r="K2249">
        <v>20190531</v>
      </c>
      <c r="L2249" t="str">
        <f>"077024"</f>
        <v>077024</v>
      </c>
      <c r="M2249" t="str">
        <f>"00831"</f>
        <v>00831</v>
      </c>
      <c r="N2249" t="s">
        <v>1383</v>
      </c>
      <c r="O2249">
        <v>155</v>
      </c>
      <c r="P2249">
        <v>20190530</v>
      </c>
      <c r="Q2249" t="s">
        <v>1379</v>
      </c>
      <c r="R2249" t="s">
        <v>1380</v>
      </c>
      <c r="S2249" t="s">
        <v>295</v>
      </c>
      <c r="T2249" t="s">
        <v>301</v>
      </c>
    </row>
    <row r="2250" spans="1:20" x14ac:dyDescent="0.25">
      <c r="A2250">
        <v>9</v>
      </c>
      <c r="B2250">
        <v>181</v>
      </c>
      <c r="C2250" t="str">
        <f t="shared" si="365"/>
        <v>36</v>
      </c>
      <c r="D2250">
        <v>6219</v>
      </c>
      <c r="E2250" t="str">
        <f t="shared" si="368"/>
        <v>10</v>
      </c>
      <c r="F2250" t="str">
        <f t="shared" si="364"/>
        <v>001</v>
      </c>
      <c r="G2250">
        <v>9</v>
      </c>
      <c r="H2250" t="str">
        <f t="shared" si="366"/>
        <v>91</v>
      </c>
      <c r="I2250" t="str">
        <f t="shared" si="367"/>
        <v>0</v>
      </c>
      <c r="J2250" t="str">
        <f t="shared" si="369"/>
        <v>42</v>
      </c>
      <c r="K2250">
        <v>20190531</v>
      </c>
      <c r="L2250" t="str">
        <f>"077024"</f>
        <v>077024</v>
      </c>
      <c r="M2250" t="str">
        <f>"00831"</f>
        <v>00831</v>
      </c>
      <c r="N2250" t="s">
        <v>1383</v>
      </c>
      <c r="O2250">
        <v>155</v>
      </c>
      <c r="P2250">
        <v>20190530</v>
      </c>
      <c r="Q2250" t="s">
        <v>1379</v>
      </c>
      <c r="R2250" t="s">
        <v>1380</v>
      </c>
      <c r="S2250" t="s">
        <v>295</v>
      </c>
      <c r="T2250" t="s">
        <v>301</v>
      </c>
    </row>
    <row r="2251" spans="1:20" x14ac:dyDescent="0.25">
      <c r="A2251">
        <v>9</v>
      </c>
      <c r="B2251">
        <v>181</v>
      </c>
      <c r="C2251" t="str">
        <f t="shared" si="365"/>
        <v>36</v>
      </c>
      <c r="D2251">
        <v>6219</v>
      </c>
      <c r="E2251" t="str">
        <f t="shared" si="368"/>
        <v>10</v>
      </c>
      <c r="F2251" t="str">
        <f t="shared" si="364"/>
        <v>001</v>
      </c>
      <c r="G2251">
        <v>9</v>
      </c>
      <c r="H2251" t="str">
        <f t="shared" si="366"/>
        <v>91</v>
      </c>
      <c r="I2251" t="str">
        <f t="shared" si="367"/>
        <v>0</v>
      </c>
      <c r="J2251" t="str">
        <f t="shared" si="369"/>
        <v>42</v>
      </c>
      <c r="K2251">
        <v>20190531</v>
      </c>
      <c r="L2251" t="str">
        <f>"077035"</f>
        <v>077035</v>
      </c>
      <c r="M2251" t="str">
        <f>"57964"</f>
        <v>57964</v>
      </c>
      <c r="N2251" t="s">
        <v>578</v>
      </c>
      <c r="O2251">
        <v>108</v>
      </c>
      <c r="P2251">
        <v>20190530</v>
      </c>
      <c r="Q2251" t="s">
        <v>1379</v>
      </c>
      <c r="R2251" t="s">
        <v>1380</v>
      </c>
      <c r="S2251" t="s">
        <v>295</v>
      </c>
      <c r="T2251" t="s">
        <v>301</v>
      </c>
    </row>
    <row r="2252" spans="1:20" x14ac:dyDescent="0.25">
      <c r="A2252">
        <v>9</v>
      </c>
      <c r="B2252">
        <v>181</v>
      </c>
      <c r="C2252" t="str">
        <f t="shared" si="365"/>
        <v>36</v>
      </c>
      <c r="D2252">
        <v>6219</v>
      </c>
      <c r="E2252" t="str">
        <f t="shared" si="368"/>
        <v>10</v>
      </c>
      <c r="F2252" t="str">
        <f t="shared" si="364"/>
        <v>001</v>
      </c>
      <c r="G2252">
        <v>9</v>
      </c>
      <c r="H2252" t="str">
        <f t="shared" si="366"/>
        <v>91</v>
      </c>
      <c r="I2252" t="str">
        <f t="shared" si="367"/>
        <v>0</v>
      </c>
      <c r="J2252" t="str">
        <f t="shared" si="369"/>
        <v>42</v>
      </c>
      <c r="K2252">
        <v>20190531</v>
      </c>
      <c r="L2252" t="str">
        <f>"077038"</f>
        <v>077038</v>
      </c>
      <c r="M2252" t="str">
        <f>"63704"</f>
        <v>63704</v>
      </c>
      <c r="N2252" t="s">
        <v>1367</v>
      </c>
      <c r="O2252">
        <v>155</v>
      </c>
      <c r="P2252">
        <v>20190530</v>
      </c>
      <c r="Q2252" t="s">
        <v>1379</v>
      </c>
      <c r="R2252" t="s">
        <v>1380</v>
      </c>
      <c r="S2252" t="s">
        <v>295</v>
      </c>
      <c r="T2252" t="s">
        <v>301</v>
      </c>
    </row>
    <row r="2253" spans="1:20" x14ac:dyDescent="0.25">
      <c r="A2253">
        <v>9</v>
      </c>
      <c r="B2253">
        <v>181</v>
      </c>
      <c r="C2253" t="str">
        <f t="shared" si="365"/>
        <v>36</v>
      </c>
      <c r="D2253">
        <v>6219</v>
      </c>
      <c r="E2253" t="str">
        <f t="shared" si="368"/>
        <v>10</v>
      </c>
      <c r="F2253" t="str">
        <f t="shared" si="364"/>
        <v>001</v>
      </c>
      <c r="G2253">
        <v>9</v>
      </c>
      <c r="H2253" t="str">
        <f t="shared" si="366"/>
        <v>91</v>
      </c>
      <c r="I2253" t="str">
        <f t="shared" si="367"/>
        <v>0</v>
      </c>
      <c r="J2253" t="str">
        <f t="shared" si="369"/>
        <v>42</v>
      </c>
      <c r="K2253">
        <v>20190531</v>
      </c>
      <c r="L2253" t="str">
        <f>"077038"</f>
        <v>077038</v>
      </c>
      <c r="M2253" t="str">
        <f>"63704"</f>
        <v>63704</v>
      </c>
      <c r="N2253" t="s">
        <v>1367</v>
      </c>
      <c r="O2253">
        <v>155</v>
      </c>
      <c r="P2253">
        <v>20190530</v>
      </c>
      <c r="Q2253" t="s">
        <v>1379</v>
      </c>
      <c r="R2253" t="s">
        <v>1380</v>
      </c>
      <c r="S2253" t="s">
        <v>295</v>
      </c>
      <c r="T2253" t="s">
        <v>301</v>
      </c>
    </row>
    <row r="2254" spans="1:20" x14ac:dyDescent="0.25">
      <c r="A2254">
        <v>9</v>
      </c>
      <c r="B2254">
        <v>181</v>
      </c>
      <c r="C2254" t="str">
        <f t="shared" si="365"/>
        <v>36</v>
      </c>
      <c r="D2254">
        <v>6219</v>
      </c>
      <c r="E2254" t="str">
        <f t="shared" si="368"/>
        <v>10</v>
      </c>
      <c r="F2254" t="str">
        <f t="shared" si="364"/>
        <v>001</v>
      </c>
      <c r="G2254">
        <v>9</v>
      </c>
      <c r="H2254" t="str">
        <f t="shared" si="366"/>
        <v>91</v>
      </c>
      <c r="I2254" t="str">
        <f t="shared" si="367"/>
        <v>0</v>
      </c>
      <c r="J2254" t="str">
        <f t="shared" si="369"/>
        <v>42</v>
      </c>
      <c r="K2254">
        <v>20190531</v>
      </c>
      <c r="L2254" t="str">
        <f>"077051"</f>
        <v>077051</v>
      </c>
      <c r="M2254" t="str">
        <f>"86550"</f>
        <v>86550</v>
      </c>
      <c r="N2254" t="s">
        <v>1384</v>
      </c>
      <c r="O2254">
        <v>155</v>
      </c>
      <c r="P2254">
        <v>20190530</v>
      </c>
      <c r="Q2254" t="s">
        <v>1379</v>
      </c>
      <c r="R2254" t="s">
        <v>1380</v>
      </c>
      <c r="S2254" t="s">
        <v>295</v>
      </c>
      <c r="T2254" t="s">
        <v>301</v>
      </c>
    </row>
    <row r="2255" spans="1:20" x14ac:dyDescent="0.25">
      <c r="A2255">
        <v>9</v>
      </c>
      <c r="B2255">
        <v>181</v>
      </c>
      <c r="C2255" t="str">
        <f t="shared" si="365"/>
        <v>36</v>
      </c>
      <c r="D2255">
        <v>6219</v>
      </c>
      <c r="E2255" t="str">
        <f t="shared" si="368"/>
        <v>10</v>
      </c>
      <c r="F2255" t="str">
        <f t="shared" si="364"/>
        <v>001</v>
      </c>
      <c r="G2255">
        <v>9</v>
      </c>
      <c r="H2255" t="str">
        <f t="shared" si="366"/>
        <v>91</v>
      </c>
      <c r="I2255" t="str">
        <f t="shared" si="367"/>
        <v>0</v>
      </c>
      <c r="J2255" t="str">
        <f t="shared" si="369"/>
        <v>42</v>
      </c>
      <c r="K2255">
        <v>20190531</v>
      </c>
      <c r="L2255" t="str">
        <f>"077051"</f>
        <v>077051</v>
      </c>
      <c r="M2255" t="str">
        <f>"86550"</f>
        <v>86550</v>
      </c>
      <c r="N2255" t="s">
        <v>1384</v>
      </c>
      <c r="O2255">
        <v>155</v>
      </c>
      <c r="P2255">
        <v>20190530</v>
      </c>
      <c r="Q2255" t="s">
        <v>1379</v>
      </c>
      <c r="R2255" t="s">
        <v>1380</v>
      </c>
      <c r="S2255" t="s">
        <v>295</v>
      </c>
      <c r="T2255" t="s">
        <v>301</v>
      </c>
    </row>
    <row r="2256" spans="1:20" x14ac:dyDescent="0.25">
      <c r="A2256">
        <v>9</v>
      </c>
      <c r="B2256">
        <v>181</v>
      </c>
      <c r="C2256" t="str">
        <f t="shared" si="365"/>
        <v>36</v>
      </c>
      <c r="D2256">
        <v>6399</v>
      </c>
      <c r="E2256" t="str">
        <f>"30"</f>
        <v>30</v>
      </c>
      <c r="F2256" t="str">
        <f t="shared" si="364"/>
        <v>001</v>
      </c>
      <c r="G2256">
        <v>9</v>
      </c>
      <c r="H2256" t="str">
        <f t="shared" si="366"/>
        <v>91</v>
      </c>
      <c r="I2256" t="str">
        <f t="shared" si="367"/>
        <v>0</v>
      </c>
      <c r="J2256" t="str">
        <f>"39"</f>
        <v>39</v>
      </c>
      <c r="K2256">
        <v>20190607</v>
      </c>
      <c r="L2256" t="str">
        <f>"077052"</f>
        <v>077052</v>
      </c>
      <c r="M2256" t="str">
        <f>"03710"</f>
        <v>03710</v>
      </c>
      <c r="N2256" t="s">
        <v>1385</v>
      </c>
      <c r="O2256">
        <v>993.57</v>
      </c>
      <c r="P2256">
        <v>20190605</v>
      </c>
      <c r="Q2256" t="s">
        <v>640</v>
      </c>
      <c r="R2256" t="s">
        <v>641</v>
      </c>
      <c r="S2256" t="s">
        <v>295</v>
      </c>
      <c r="T2256" t="s">
        <v>301</v>
      </c>
    </row>
    <row r="2257" spans="1:20" x14ac:dyDescent="0.25">
      <c r="A2257">
        <v>9</v>
      </c>
      <c r="B2257">
        <v>181</v>
      </c>
      <c r="C2257" t="str">
        <f t="shared" si="365"/>
        <v>36</v>
      </c>
      <c r="D2257">
        <v>6399</v>
      </c>
      <c r="E2257" t="str">
        <f>"38"</f>
        <v>38</v>
      </c>
      <c r="F2257" t="str">
        <f t="shared" si="364"/>
        <v>001</v>
      </c>
      <c r="G2257">
        <v>9</v>
      </c>
      <c r="H2257" t="str">
        <f t="shared" si="366"/>
        <v>91</v>
      </c>
      <c r="I2257" t="str">
        <f t="shared" si="367"/>
        <v>0</v>
      </c>
      <c r="J2257" t="str">
        <f>"39"</f>
        <v>39</v>
      </c>
      <c r="K2257">
        <v>20190607</v>
      </c>
      <c r="L2257" t="str">
        <f>"077052"</f>
        <v>077052</v>
      </c>
      <c r="M2257" t="str">
        <f>"03710"</f>
        <v>03710</v>
      </c>
      <c r="N2257" t="s">
        <v>1385</v>
      </c>
      <c r="O2257">
        <v>63.61</v>
      </c>
      <c r="P2257">
        <v>20190605</v>
      </c>
      <c r="Q2257" t="s">
        <v>462</v>
      </c>
      <c r="R2257" t="s">
        <v>641</v>
      </c>
      <c r="S2257" t="s">
        <v>295</v>
      </c>
      <c r="T2257" t="s">
        <v>301</v>
      </c>
    </row>
    <row r="2258" spans="1:20" x14ac:dyDescent="0.25">
      <c r="A2258">
        <v>9</v>
      </c>
      <c r="B2258">
        <v>181</v>
      </c>
      <c r="C2258" t="str">
        <f t="shared" si="365"/>
        <v>36</v>
      </c>
      <c r="D2258">
        <v>6399</v>
      </c>
      <c r="E2258" t="str">
        <f>"38"</f>
        <v>38</v>
      </c>
      <c r="F2258" t="str">
        <f t="shared" si="364"/>
        <v>001</v>
      </c>
      <c r="G2258">
        <v>9</v>
      </c>
      <c r="H2258" t="str">
        <f t="shared" si="366"/>
        <v>91</v>
      </c>
      <c r="I2258" t="str">
        <f t="shared" si="367"/>
        <v>0</v>
      </c>
      <c r="J2258" t="str">
        <f>"39"</f>
        <v>39</v>
      </c>
      <c r="K2258">
        <v>20190607</v>
      </c>
      <c r="L2258" t="str">
        <f>"077052"</f>
        <v>077052</v>
      </c>
      <c r="M2258" t="str">
        <f>"03710"</f>
        <v>03710</v>
      </c>
      <c r="N2258" t="s">
        <v>1385</v>
      </c>
      <c r="O2258">
        <v>17.649999999999999</v>
      </c>
      <c r="P2258">
        <v>20190605</v>
      </c>
      <c r="Q2258" t="s">
        <v>462</v>
      </c>
      <c r="R2258" t="s">
        <v>1386</v>
      </c>
      <c r="S2258" t="s">
        <v>295</v>
      </c>
      <c r="T2258" t="s">
        <v>301</v>
      </c>
    </row>
    <row r="2259" spans="1:20" x14ac:dyDescent="0.25">
      <c r="A2259">
        <v>9</v>
      </c>
      <c r="B2259">
        <v>181</v>
      </c>
      <c r="C2259" t="str">
        <f t="shared" si="365"/>
        <v>36</v>
      </c>
      <c r="D2259">
        <v>6399</v>
      </c>
      <c r="E2259" t="str">
        <f>"3W"</f>
        <v>3W</v>
      </c>
      <c r="F2259" t="str">
        <f>"041"</f>
        <v>041</v>
      </c>
      <c r="G2259">
        <v>9</v>
      </c>
      <c r="H2259" t="str">
        <f t="shared" si="366"/>
        <v>91</v>
      </c>
      <c r="I2259" t="str">
        <f t="shared" si="367"/>
        <v>0</v>
      </c>
      <c r="J2259" t="str">
        <f>"41"</f>
        <v>41</v>
      </c>
      <c r="K2259">
        <v>20190607</v>
      </c>
      <c r="L2259" t="str">
        <f>"077060"</f>
        <v>077060</v>
      </c>
      <c r="M2259" t="str">
        <f>"08788"</f>
        <v>08788</v>
      </c>
      <c r="N2259" t="s">
        <v>473</v>
      </c>
      <c r="O2259">
        <v>771.65</v>
      </c>
      <c r="P2259">
        <v>20190606</v>
      </c>
      <c r="Q2259" t="s">
        <v>1171</v>
      </c>
      <c r="R2259" t="s">
        <v>1387</v>
      </c>
      <c r="S2259" t="s">
        <v>295</v>
      </c>
      <c r="T2259" t="s">
        <v>106</v>
      </c>
    </row>
    <row r="2260" spans="1:20" x14ac:dyDescent="0.25">
      <c r="A2260">
        <v>9</v>
      </c>
      <c r="B2260">
        <v>181</v>
      </c>
      <c r="C2260" t="str">
        <f t="shared" si="365"/>
        <v>36</v>
      </c>
      <c r="D2260">
        <v>6399</v>
      </c>
      <c r="E2260" t="str">
        <f>"3Y"</f>
        <v>3Y</v>
      </c>
      <c r="F2260" t="str">
        <f>"041"</f>
        <v>041</v>
      </c>
      <c r="G2260">
        <v>9</v>
      </c>
      <c r="H2260" t="str">
        <f t="shared" si="366"/>
        <v>91</v>
      </c>
      <c r="I2260" t="str">
        <f t="shared" si="367"/>
        <v>0</v>
      </c>
      <c r="J2260" t="str">
        <f>"41"</f>
        <v>41</v>
      </c>
      <c r="K2260">
        <v>20190607</v>
      </c>
      <c r="L2260" t="str">
        <f>"077060"</f>
        <v>077060</v>
      </c>
      <c r="M2260" t="str">
        <f>"08788"</f>
        <v>08788</v>
      </c>
      <c r="N2260" t="s">
        <v>473</v>
      </c>
      <c r="O2260">
        <v>541.92999999999995</v>
      </c>
      <c r="P2260">
        <v>20190606</v>
      </c>
      <c r="Q2260" t="s">
        <v>603</v>
      </c>
      <c r="R2260" t="s">
        <v>1388</v>
      </c>
      <c r="S2260" t="s">
        <v>295</v>
      </c>
      <c r="T2260" t="s">
        <v>106</v>
      </c>
    </row>
    <row r="2261" spans="1:20" x14ac:dyDescent="0.25">
      <c r="A2261">
        <v>9</v>
      </c>
      <c r="B2261">
        <v>181</v>
      </c>
      <c r="C2261" t="str">
        <f t="shared" si="365"/>
        <v>36</v>
      </c>
      <c r="D2261">
        <v>6411</v>
      </c>
      <c r="E2261" t="str">
        <f>"33"</f>
        <v>33</v>
      </c>
      <c r="F2261" t="str">
        <f>"001"</f>
        <v>001</v>
      </c>
      <c r="G2261">
        <v>9</v>
      </c>
      <c r="H2261" t="str">
        <f t="shared" si="366"/>
        <v>91</v>
      </c>
      <c r="I2261" t="str">
        <f t="shared" si="367"/>
        <v>0</v>
      </c>
      <c r="J2261" t="str">
        <f>"39"</f>
        <v>39</v>
      </c>
      <c r="K2261">
        <v>20190607</v>
      </c>
      <c r="L2261" t="str">
        <f>"077075"</f>
        <v>077075</v>
      </c>
      <c r="M2261" t="str">
        <f>"30744"</f>
        <v>30744</v>
      </c>
      <c r="N2261" t="s">
        <v>422</v>
      </c>
      <c r="O2261">
        <v>14.88</v>
      </c>
      <c r="P2261">
        <v>20190605</v>
      </c>
      <c r="Q2261" t="s">
        <v>306</v>
      </c>
      <c r="R2261" t="s">
        <v>1331</v>
      </c>
      <c r="S2261" t="s">
        <v>295</v>
      </c>
      <c r="T2261" t="s">
        <v>301</v>
      </c>
    </row>
    <row r="2262" spans="1:20" x14ac:dyDescent="0.25">
      <c r="A2262">
        <v>9</v>
      </c>
      <c r="B2262">
        <v>181</v>
      </c>
      <c r="C2262" t="str">
        <f t="shared" si="365"/>
        <v>36</v>
      </c>
      <c r="D2262">
        <v>6411</v>
      </c>
      <c r="E2262" t="str">
        <f>"33"</f>
        <v>33</v>
      </c>
      <c r="F2262" t="str">
        <f>"001"</f>
        <v>001</v>
      </c>
      <c r="G2262">
        <v>9</v>
      </c>
      <c r="H2262" t="str">
        <f t="shared" si="366"/>
        <v>91</v>
      </c>
      <c r="I2262" t="str">
        <f t="shared" si="367"/>
        <v>0</v>
      </c>
      <c r="J2262" t="str">
        <f>"39"</f>
        <v>39</v>
      </c>
      <c r="K2262">
        <v>20190607</v>
      </c>
      <c r="L2262" t="str">
        <f>"077075"</f>
        <v>077075</v>
      </c>
      <c r="M2262" t="str">
        <f>"30744"</f>
        <v>30744</v>
      </c>
      <c r="N2262" t="s">
        <v>422</v>
      </c>
      <c r="O2262">
        <v>20.85</v>
      </c>
      <c r="P2262">
        <v>20190605</v>
      </c>
      <c r="Q2262" t="s">
        <v>306</v>
      </c>
      <c r="R2262" t="s">
        <v>1331</v>
      </c>
      <c r="S2262" t="s">
        <v>295</v>
      </c>
      <c r="T2262" t="s">
        <v>301</v>
      </c>
    </row>
    <row r="2263" spans="1:20" x14ac:dyDescent="0.25">
      <c r="A2263">
        <v>9</v>
      </c>
      <c r="B2263">
        <v>181</v>
      </c>
      <c r="C2263" t="str">
        <f t="shared" si="365"/>
        <v>36</v>
      </c>
      <c r="D2263">
        <v>6412</v>
      </c>
      <c r="E2263" t="str">
        <f>"09"</f>
        <v>09</v>
      </c>
      <c r="F2263" t="str">
        <f>"001"</f>
        <v>001</v>
      </c>
      <c r="G2263">
        <v>9</v>
      </c>
      <c r="H2263" t="str">
        <f t="shared" si="366"/>
        <v>91</v>
      </c>
      <c r="I2263" t="str">
        <f>"G"</f>
        <v>G</v>
      </c>
      <c r="J2263" t="str">
        <f>"39"</f>
        <v>39</v>
      </c>
      <c r="K2263">
        <v>20190607</v>
      </c>
      <c r="L2263" t="str">
        <f>"077075"</f>
        <v>077075</v>
      </c>
      <c r="M2263" t="str">
        <f>"30744"</f>
        <v>30744</v>
      </c>
      <c r="N2263" t="s">
        <v>422</v>
      </c>
      <c r="O2263">
        <v>25.25</v>
      </c>
      <c r="P2263">
        <v>20190605</v>
      </c>
      <c r="Q2263" t="s">
        <v>1279</v>
      </c>
      <c r="R2263" t="s">
        <v>1329</v>
      </c>
      <c r="S2263" t="s">
        <v>295</v>
      </c>
      <c r="T2263" t="s">
        <v>301</v>
      </c>
    </row>
    <row r="2264" spans="1:20" x14ac:dyDescent="0.25">
      <c r="A2264">
        <v>9</v>
      </c>
      <c r="B2264">
        <v>181</v>
      </c>
      <c r="C2264" t="str">
        <f t="shared" si="365"/>
        <v>36</v>
      </c>
      <c r="D2264">
        <v>6399</v>
      </c>
      <c r="E2264" t="str">
        <f>"30"</f>
        <v>30</v>
      </c>
      <c r="F2264" t="str">
        <f>"001"</f>
        <v>001</v>
      </c>
      <c r="G2264">
        <v>9</v>
      </c>
      <c r="H2264" t="str">
        <f t="shared" si="366"/>
        <v>91</v>
      </c>
      <c r="I2264" t="str">
        <f>"0"</f>
        <v>0</v>
      </c>
      <c r="J2264" t="str">
        <f>"39"</f>
        <v>39</v>
      </c>
      <c r="K2264">
        <v>20190607</v>
      </c>
      <c r="L2264" t="str">
        <f>"077110"</f>
        <v>077110</v>
      </c>
      <c r="M2264" t="str">
        <f>"71250"</f>
        <v>71250</v>
      </c>
      <c r="N2264" t="s">
        <v>1389</v>
      </c>
      <c r="O2264">
        <v>291.61</v>
      </c>
      <c r="P2264">
        <v>20190606</v>
      </c>
      <c r="Q2264" t="s">
        <v>640</v>
      </c>
      <c r="R2264" t="s">
        <v>1390</v>
      </c>
      <c r="S2264" t="s">
        <v>295</v>
      </c>
      <c r="T2264" t="s">
        <v>301</v>
      </c>
    </row>
    <row r="2265" spans="1:20" x14ac:dyDescent="0.25">
      <c r="A2265">
        <v>9</v>
      </c>
      <c r="B2265">
        <v>181</v>
      </c>
      <c r="C2265" t="str">
        <f t="shared" si="365"/>
        <v>36</v>
      </c>
      <c r="D2265">
        <v>6412</v>
      </c>
      <c r="E2265" t="str">
        <f>"09"</f>
        <v>09</v>
      </c>
      <c r="F2265" t="str">
        <f>"001"</f>
        <v>001</v>
      </c>
      <c r="G2265">
        <v>9</v>
      </c>
      <c r="H2265" t="str">
        <f t="shared" si="366"/>
        <v>91</v>
      </c>
      <c r="I2265" t="str">
        <f>"1"</f>
        <v>1</v>
      </c>
      <c r="J2265" t="str">
        <f>"39"</f>
        <v>39</v>
      </c>
      <c r="K2265">
        <v>20190607</v>
      </c>
      <c r="L2265" t="str">
        <f>"077115"</f>
        <v>077115</v>
      </c>
      <c r="M2265" t="str">
        <f>"00836"</f>
        <v>00836</v>
      </c>
      <c r="N2265" t="s">
        <v>1391</v>
      </c>
      <c r="O2265">
        <v>151.43</v>
      </c>
      <c r="P2265">
        <v>20190606</v>
      </c>
      <c r="Q2265" t="s">
        <v>1297</v>
      </c>
      <c r="R2265" t="s">
        <v>1392</v>
      </c>
      <c r="S2265" t="s">
        <v>295</v>
      </c>
      <c r="T2265" t="s">
        <v>301</v>
      </c>
    </row>
    <row r="2266" spans="1:20" x14ac:dyDescent="0.25">
      <c r="A2266">
        <v>9</v>
      </c>
      <c r="B2266">
        <v>181</v>
      </c>
      <c r="C2266" t="str">
        <f t="shared" si="365"/>
        <v>36</v>
      </c>
      <c r="D2266">
        <v>6399</v>
      </c>
      <c r="E2266" t="str">
        <f>"3V"</f>
        <v>3V</v>
      </c>
      <c r="F2266" t="str">
        <f>"041"</f>
        <v>041</v>
      </c>
      <c r="G2266">
        <v>9</v>
      </c>
      <c r="H2266" t="str">
        <f t="shared" si="366"/>
        <v>91</v>
      </c>
      <c r="I2266" t="str">
        <f>"0"</f>
        <v>0</v>
      </c>
      <c r="J2266" t="str">
        <f>"41"</f>
        <v>41</v>
      </c>
      <c r="K2266">
        <v>20190614</v>
      </c>
      <c r="L2266" t="str">
        <f>"077143"</f>
        <v>077143</v>
      </c>
      <c r="M2266" t="str">
        <f>"20912"</f>
        <v>20912</v>
      </c>
      <c r="N2266" t="s">
        <v>563</v>
      </c>
      <c r="O2266">
        <v>498</v>
      </c>
      <c r="P2266">
        <v>20190612</v>
      </c>
      <c r="Q2266" t="s">
        <v>566</v>
      </c>
      <c r="R2266" t="s">
        <v>1393</v>
      </c>
      <c r="S2266" t="s">
        <v>295</v>
      </c>
      <c r="T2266" t="s">
        <v>106</v>
      </c>
    </row>
    <row r="2267" spans="1:20" x14ac:dyDescent="0.25">
      <c r="A2267">
        <v>9</v>
      </c>
      <c r="B2267">
        <v>181</v>
      </c>
      <c r="C2267" t="str">
        <f t="shared" si="365"/>
        <v>36</v>
      </c>
      <c r="D2267">
        <v>6411</v>
      </c>
      <c r="E2267" t="str">
        <f>"33"</f>
        <v>33</v>
      </c>
      <c r="F2267" t="str">
        <f t="shared" ref="F2267:F2288" si="370">"001"</f>
        <v>001</v>
      </c>
      <c r="G2267">
        <v>9</v>
      </c>
      <c r="H2267" t="str">
        <f t="shared" si="366"/>
        <v>91</v>
      </c>
      <c r="I2267" t="str">
        <f>"0"</f>
        <v>0</v>
      </c>
      <c r="J2267" t="str">
        <f t="shared" ref="J2267:J2272" si="371">"39"</f>
        <v>39</v>
      </c>
      <c r="K2267">
        <v>20190614</v>
      </c>
      <c r="L2267" t="str">
        <f>"077158"</f>
        <v>077158</v>
      </c>
      <c r="M2267" t="str">
        <f>"28680"</f>
        <v>28680</v>
      </c>
      <c r="N2267" t="s">
        <v>482</v>
      </c>
      <c r="O2267">
        <v>104</v>
      </c>
      <c r="P2267">
        <v>20190612</v>
      </c>
      <c r="Q2267" t="s">
        <v>306</v>
      </c>
      <c r="R2267" t="s">
        <v>1282</v>
      </c>
      <c r="S2267" t="s">
        <v>295</v>
      </c>
      <c r="T2267" t="s">
        <v>301</v>
      </c>
    </row>
    <row r="2268" spans="1:20" x14ac:dyDescent="0.25">
      <c r="A2268">
        <v>9</v>
      </c>
      <c r="B2268">
        <v>181</v>
      </c>
      <c r="C2268" t="str">
        <f t="shared" si="365"/>
        <v>36</v>
      </c>
      <c r="D2268">
        <v>6411</v>
      </c>
      <c r="E2268" t="str">
        <f>"33"</f>
        <v>33</v>
      </c>
      <c r="F2268" t="str">
        <f t="shared" si="370"/>
        <v>001</v>
      </c>
      <c r="G2268">
        <v>9</v>
      </c>
      <c r="H2268" t="str">
        <f t="shared" si="366"/>
        <v>91</v>
      </c>
      <c r="I2268" t="str">
        <f>"0"</f>
        <v>0</v>
      </c>
      <c r="J2268" t="str">
        <f t="shared" si="371"/>
        <v>39</v>
      </c>
      <c r="K2268">
        <v>20190614</v>
      </c>
      <c r="L2268" t="str">
        <f>"077158"</f>
        <v>077158</v>
      </c>
      <c r="M2268" t="str">
        <f>"28680"</f>
        <v>28680</v>
      </c>
      <c r="N2268" t="s">
        <v>482</v>
      </c>
      <c r="O2268">
        <v>111</v>
      </c>
      <c r="P2268">
        <v>20190612</v>
      </c>
      <c r="Q2268" t="s">
        <v>306</v>
      </c>
      <c r="R2268" t="s">
        <v>1331</v>
      </c>
      <c r="S2268" t="s">
        <v>295</v>
      </c>
      <c r="T2268" t="s">
        <v>301</v>
      </c>
    </row>
    <row r="2269" spans="1:20" x14ac:dyDescent="0.25">
      <c r="A2269">
        <v>9</v>
      </c>
      <c r="B2269">
        <v>181</v>
      </c>
      <c r="C2269" t="str">
        <f t="shared" si="365"/>
        <v>36</v>
      </c>
      <c r="D2269">
        <v>6412</v>
      </c>
      <c r="E2269" t="str">
        <f>"09"</f>
        <v>09</v>
      </c>
      <c r="F2269" t="str">
        <f t="shared" si="370"/>
        <v>001</v>
      </c>
      <c r="G2269">
        <v>9</v>
      </c>
      <c r="H2269" t="str">
        <f t="shared" si="366"/>
        <v>91</v>
      </c>
      <c r="I2269" t="str">
        <f>"G"</f>
        <v>G</v>
      </c>
      <c r="J2269" t="str">
        <f t="shared" si="371"/>
        <v>39</v>
      </c>
      <c r="K2269">
        <v>20190614</v>
      </c>
      <c r="L2269" t="str">
        <f>"077158"</f>
        <v>077158</v>
      </c>
      <c r="M2269" t="str">
        <f>"28680"</f>
        <v>28680</v>
      </c>
      <c r="N2269" t="s">
        <v>482</v>
      </c>
      <c r="O2269">
        <v>200.16</v>
      </c>
      <c r="P2269">
        <v>20190612</v>
      </c>
      <c r="Q2269" t="s">
        <v>1279</v>
      </c>
      <c r="R2269" t="s">
        <v>1329</v>
      </c>
      <c r="S2269" t="s">
        <v>295</v>
      </c>
      <c r="T2269" t="s">
        <v>301</v>
      </c>
    </row>
    <row r="2270" spans="1:20" x14ac:dyDescent="0.25">
      <c r="A2270">
        <v>9</v>
      </c>
      <c r="B2270">
        <v>181</v>
      </c>
      <c r="C2270" t="str">
        <f t="shared" si="365"/>
        <v>36</v>
      </c>
      <c r="D2270">
        <v>6412</v>
      </c>
      <c r="E2270" t="str">
        <f>"09"</f>
        <v>09</v>
      </c>
      <c r="F2270" t="str">
        <f t="shared" si="370"/>
        <v>001</v>
      </c>
      <c r="G2270">
        <v>9</v>
      </c>
      <c r="H2270" t="str">
        <f t="shared" si="366"/>
        <v>91</v>
      </c>
      <c r="I2270" t="str">
        <f>"J"</f>
        <v>J</v>
      </c>
      <c r="J2270" t="str">
        <f t="shared" si="371"/>
        <v>39</v>
      </c>
      <c r="K2270">
        <v>20190614</v>
      </c>
      <c r="L2270" t="str">
        <f>"077158"</f>
        <v>077158</v>
      </c>
      <c r="M2270" t="str">
        <f>"28680"</f>
        <v>28680</v>
      </c>
      <c r="N2270" t="s">
        <v>482</v>
      </c>
      <c r="O2270">
        <v>156</v>
      </c>
      <c r="P2270">
        <v>20190612</v>
      </c>
      <c r="Q2270" t="s">
        <v>1261</v>
      </c>
      <c r="R2270" t="s">
        <v>1326</v>
      </c>
      <c r="S2270" t="s">
        <v>295</v>
      </c>
      <c r="T2270" t="s">
        <v>301</v>
      </c>
    </row>
    <row r="2271" spans="1:20" x14ac:dyDescent="0.25">
      <c r="A2271">
        <v>9</v>
      </c>
      <c r="B2271">
        <v>181</v>
      </c>
      <c r="C2271" t="str">
        <f t="shared" si="365"/>
        <v>36</v>
      </c>
      <c r="D2271">
        <v>6412</v>
      </c>
      <c r="E2271" t="str">
        <f>"09"</f>
        <v>09</v>
      </c>
      <c r="F2271" t="str">
        <f t="shared" si="370"/>
        <v>001</v>
      </c>
      <c r="G2271">
        <v>9</v>
      </c>
      <c r="H2271" t="str">
        <f t="shared" si="366"/>
        <v>91</v>
      </c>
      <c r="I2271" t="str">
        <f>"J"</f>
        <v>J</v>
      </c>
      <c r="J2271" t="str">
        <f t="shared" si="371"/>
        <v>39</v>
      </c>
      <c r="K2271">
        <v>20190614</v>
      </c>
      <c r="L2271" t="str">
        <f>"077158"</f>
        <v>077158</v>
      </c>
      <c r="M2271" t="str">
        <f>"28680"</f>
        <v>28680</v>
      </c>
      <c r="N2271" t="s">
        <v>482</v>
      </c>
      <c r="O2271">
        <v>156</v>
      </c>
      <c r="P2271">
        <v>20190612</v>
      </c>
      <c r="Q2271" t="s">
        <v>1261</v>
      </c>
      <c r="R2271" t="s">
        <v>1326</v>
      </c>
      <c r="S2271" t="s">
        <v>295</v>
      </c>
      <c r="T2271" t="s">
        <v>301</v>
      </c>
    </row>
    <row r="2272" spans="1:20" x14ac:dyDescent="0.25">
      <c r="A2272">
        <v>9</v>
      </c>
      <c r="B2272">
        <v>181</v>
      </c>
      <c r="C2272" t="str">
        <f t="shared" si="365"/>
        <v>36</v>
      </c>
      <c r="D2272">
        <v>6399</v>
      </c>
      <c r="E2272" t="str">
        <f>"3S"</f>
        <v>3S</v>
      </c>
      <c r="F2272" t="str">
        <f t="shared" si="370"/>
        <v>001</v>
      </c>
      <c r="G2272">
        <v>9</v>
      </c>
      <c r="H2272" t="str">
        <f t="shared" si="366"/>
        <v>91</v>
      </c>
      <c r="I2272" t="str">
        <f t="shared" ref="I2272:I2283" si="372">"0"</f>
        <v>0</v>
      </c>
      <c r="J2272" t="str">
        <f t="shared" si="371"/>
        <v>39</v>
      </c>
      <c r="K2272">
        <v>20190614</v>
      </c>
      <c r="L2272" t="str">
        <f>"077162"</f>
        <v>077162</v>
      </c>
      <c r="M2272" t="str">
        <f>"31345"</f>
        <v>31345</v>
      </c>
      <c r="N2272" t="s">
        <v>1394</v>
      </c>
      <c r="O2272">
        <v>124</v>
      </c>
      <c r="P2272">
        <v>20190612</v>
      </c>
      <c r="Q2272" t="s">
        <v>496</v>
      </c>
      <c r="R2272" t="s">
        <v>1395</v>
      </c>
      <c r="S2272" t="s">
        <v>295</v>
      </c>
      <c r="T2272" t="s">
        <v>301</v>
      </c>
    </row>
    <row r="2273" spans="1:20" x14ac:dyDescent="0.25">
      <c r="A2273">
        <v>9</v>
      </c>
      <c r="B2273">
        <v>181</v>
      </c>
      <c r="C2273" t="str">
        <f t="shared" si="365"/>
        <v>36</v>
      </c>
      <c r="D2273">
        <v>6219</v>
      </c>
      <c r="E2273" t="str">
        <f>"09"</f>
        <v>09</v>
      </c>
      <c r="F2273" t="str">
        <f t="shared" si="370"/>
        <v>001</v>
      </c>
      <c r="G2273">
        <v>9</v>
      </c>
      <c r="H2273" t="str">
        <f t="shared" si="366"/>
        <v>91</v>
      </c>
      <c r="I2273" t="str">
        <f t="shared" si="372"/>
        <v>0</v>
      </c>
      <c r="J2273" t="str">
        <f>"42"</f>
        <v>42</v>
      </c>
      <c r="K2273">
        <v>20190614</v>
      </c>
      <c r="L2273" t="str">
        <f>"077201"</f>
        <v>077201</v>
      </c>
      <c r="M2273" t="str">
        <f>"67100"</f>
        <v>67100</v>
      </c>
      <c r="N2273" t="s">
        <v>1396</v>
      </c>
      <c r="O2273">
        <v>75</v>
      </c>
      <c r="P2273">
        <v>20190612</v>
      </c>
      <c r="Q2273" t="s">
        <v>1397</v>
      </c>
      <c r="R2273" t="s">
        <v>1398</v>
      </c>
      <c r="S2273" t="s">
        <v>295</v>
      </c>
      <c r="T2273" t="s">
        <v>301</v>
      </c>
    </row>
    <row r="2274" spans="1:20" x14ac:dyDescent="0.25">
      <c r="A2274">
        <v>9</v>
      </c>
      <c r="B2274">
        <v>181</v>
      </c>
      <c r="C2274" t="str">
        <f t="shared" si="365"/>
        <v>36</v>
      </c>
      <c r="D2274">
        <v>6319</v>
      </c>
      <c r="E2274" t="str">
        <f>"30"</f>
        <v>30</v>
      </c>
      <c r="F2274" t="str">
        <f t="shared" si="370"/>
        <v>001</v>
      </c>
      <c r="G2274">
        <v>9</v>
      </c>
      <c r="H2274" t="str">
        <f t="shared" si="366"/>
        <v>91</v>
      </c>
      <c r="I2274" t="str">
        <f t="shared" si="372"/>
        <v>0</v>
      </c>
      <c r="J2274" t="str">
        <f t="shared" ref="J2274:J2288" si="373">"39"</f>
        <v>39</v>
      </c>
      <c r="K2274">
        <v>20190621</v>
      </c>
      <c r="L2274" t="str">
        <f>"077222"</f>
        <v>077222</v>
      </c>
      <c r="M2274" t="str">
        <f>"08788"</f>
        <v>08788</v>
      </c>
      <c r="N2274" t="s">
        <v>473</v>
      </c>
      <c r="O2274">
        <v>410.47</v>
      </c>
      <c r="P2274">
        <v>20190619</v>
      </c>
      <c r="Q2274" t="s">
        <v>501</v>
      </c>
      <c r="R2274" t="s">
        <v>1399</v>
      </c>
      <c r="S2274" t="s">
        <v>295</v>
      </c>
      <c r="T2274" t="s">
        <v>301</v>
      </c>
    </row>
    <row r="2275" spans="1:20" x14ac:dyDescent="0.25">
      <c r="A2275">
        <v>9</v>
      </c>
      <c r="B2275">
        <v>181</v>
      </c>
      <c r="C2275" t="str">
        <f t="shared" ref="C2275:C2293" si="374">"36"</f>
        <v>36</v>
      </c>
      <c r="D2275">
        <v>6399</v>
      </c>
      <c r="E2275" t="str">
        <f>"3D"</f>
        <v>3D</v>
      </c>
      <c r="F2275" t="str">
        <f t="shared" si="370"/>
        <v>001</v>
      </c>
      <c r="G2275">
        <v>9</v>
      </c>
      <c r="H2275" t="str">
        <f t="shared" ref="H2275:H2293" si="375">"91"</f>
        <v>91</v>
      </c>
      <c r="I2275" t="str">
        <f t="shared" si="372"/>
        <v>0</v>
      </c>
      <c r="J2275" t="str">
        <f t="shared" si="373"/>
        <v>39</v>
      </c>
      <c r="K2275">
        <v>20190621</v>
      </c>
      <c r="L2275" t="str">
        <f>"077222"</f>
        <v>077222</v>
      </c>
      <c r="M2275" t="str">
        <f>"08788"</f>
        <v>08788</v>
      </c>
      <c r="N2275" t="s">
        <v>473</v>
      </c>
      <c r="O2275" s="1">
        <v>1121.58</v>
      </c>
      <c r="P2275">
        <v>20190619</v>
      </c>
      <c r="Q2275" t="s">
        <v>818</v>
      </c>
      <c r="R2275" t="s">
        <v>1400</v>
      </c>
      <c r="S2275" t="s">
        <v>295</v>
      </c>
      <c r="T2275" t="s">
        <v>301</v>
      </c>
    </row>
    <row r="2276" spans="1:20" x14ac:dyDescent="0.25">
      <c r="A2276">
        <v>9</v>
      </c>
      <c r="B2276">
        <v>181</v>
      </c>
      <c r="C2276" t="str">
        <f t="shared" si="374"/>
        <v>36</v>
      </c>
      <c r="D2276">
        <v>6399</v>
      </c>
      <c r="E2276" t="str">
        <f>"3F"</f>
        <v>3F</v>
      </c>
      <c r="F2276" t="str">
        <f t="shared" si="370"/>
        <v>001</v>
      </c>
      <c r="G2276">
        <v>9</v>
      </c>
      <c r="H2276" t="str">
        <f t="shared" si="375"/>
        <v>91</v>
      </c>
      <c r="I2276" t="str">
        <f t="shared" si="372"/>
        <v>0</v>
      </c>
      <c r="J2276" t="str">
        <f t="shared" si="373"/>
        <v>39</v>
      </c>
      <c r="K2276">
        <v>20190621</v>
      </c>
      <c r="L2276" t="str">
        <f>"077222"</f>
        <v>077222</v>
      </c>
      <c r="M2276" t="str">
        <f>"08788"</f>
        <v>08788</v>
      </c>
      <c r="N2276" t="s">
        <v>473</v>
      </c>
      <c r="O2276" s="1">
        <v>1527.97</v>
      </c>
      <c r="P2276">
        <v>20190619</v>
      </c>
      <c r="Q2276" t="s">
        <v>466</v>
      </c>
      <c r="R2276" t="s">
        <v>1301</v>
      </c>
      <c r="S2276" t="s">
        <v>295</v>
      </c>
      <c r="T2276" t="s">
        <v>301</v>
      </c>
    </row>
    <row r="2277" spans="1:20" x14ac:dyDescent="0.25">
      <c r="A2277">
        <v>9</v>
      </c>
      <c r="B2277">
        <v>181</v>
      </c>
      <c r="C2277" t="str">
        <f t="shared" si="374"/>
        <v>36</v>
      </c>
      <c r="D2277">
        <v>6399</v>
      </c>
      <c r="E2277" t="str">
        <f>"3N"</f>
        <v>3N</v>
      </c>
      <c r="F2277" t="str">
        <f t="shared" si="370"/>
        <v>001</v>
      </c>
      <c r="G2277">
        <v>9</v>
      </c>
      <c r="H2277" t="str">
        <f t="shared" si="375"/>
        <v>91</v>
      </c>
      <c r="I2277" t="str">
        <f t="shared" si="372"/>
        <v>0</v>
      </c>
      <c r="J2277" t="str">
        <f t="shared" si="373"/>
        <v>39</v>
      </c>
      <c r="K2277">
        <v>20190621</v>
      </c>
      <c r="L2277" t="str">
        <f>"077222"</f>
        <v>077222</v>
      </c>
      <c r="M2277" t="str">
        <f>"08788"</f>
        <v>08788</v>
      </c>
      <c r="N2277" t="s">
        <v>473</v>
      </c>
      <c r="O2277">
        <v>143.78</v>
      </c>
      <c r="P2277">
        <v>20190619</v>
      </c>
      <c r="Q2277" t="s">
        <v>880</v>
      </c>
      <c r="R2277" t="s">
        <v>1401</v>
      </c>
      <c r="S2277" t="s">
        <v>295</v>
      </c>
      <c r="T2277" t="s">
        <v>301</v>
      </c>
    </row>
    <row r="2278" spans="1:20" x14ac:dyDescent="0.25">
      <c r="A2278">
        <v>9</v>
      </c>
      <c r="B2278">
        <v>181</v>
      </c>
      <c r="C2278" t="str">
        <f t="shared" si="374"/>
        <v>36</v>
      </c>
      <c r="D2278">
        <v>6399</v>
      </c>
      <c r="E2278" t="str">
        <f>"3W"</f>
        <v>3W</v>
      </c>
      <c r="F2278" t="str">
        <f t="shared" si="370"/>
        <v>001</v>
      </c>
      <c r="G2278">
        <v>9</v>
      </c>
      <c r="H2278" t="str">
        <f t="shared" si="375"/>
        <v>91</v>
      </c>
      <c r="I2278" t="str">
        <f t="shared" si="372"/>
        <v>0</v>
      </c>
      <c r="J2278" t="str">
        <f t="shared" si="373"/>
        <v>39</v>
      </c>
      <c r="K2278">
        <v>20190621</v>
      </c>
      <c r="L2278" t="str">
        <f>"077222"</f>
        <v>077222</v>
      </c>
      <c r="M2278" t="str">
        <f>"08788"</f>
        <v>08788</v>
      </c>
      <c r="N2278" t="s">
        <v>473</v>
      </c>
      <c r="O2278">
        <v>716.45</v>
      </c>
      <c r="P2278">
        <v>20190619</v>
      </c>
      <c r="Q2278" t="s">
        <v>841</v>
      </c>
      <c r="R2278" t="s">
        <v>1402</v>
      </c>
      <c r="S2278" t="s">
        <v>295</v>
      </c>
      <c r="T2278" t="s">
        <v>301</v>
      </c>
    </row>
    <row r="2279" spans="1:20" x14ac:dyDescent="0.25">
      <c r="A2279">
        <v>9</v>
      </c>
      <c r="B2279">
        <v>181</v>
      </c>
      <c r="C2279" t="str">
        <f t="shared" si="374"/>
        <v>36</v>
      </c>
      <c r="D2279">
        <v>6499</v>
      </c>
      <c r="E2279" t="str">
        <f>"99"</f>
        <v>99</v>
      </c>
      <c r="F2279" t="str">
        <f t="shared" si="370"/>
        <v>001</v>
      </c>
      <c r="G2279">
        <v>9</v>
      </c>
      <c r="H2279" t="str">
        <f t="shared" si="375"/>
        <v>91</v>
      </c>
      <c r="I2279" t="str">
        <f t="shared" si="372"/>
        <v>0</v>
      </c>
      <c r="J2279" t="str">
        <f t="shared" si="373"/>
        <v>39</v>
      </c>
      <c r="K2279">
        <v>20190621</v>
      </c>
      <c r="L2279" t="str">
        <f>"077255"</f>
        <v>077255</v>
      </c>
      <c r="M2279" t="str">
        <f>"51347"</f>
        <v>51347</v>
      </c>
      <c r="N2279" t="s">
        <v>1158</v>
      </c>
      <c r="O2279" s="1">
        <v>1260</v>
      </c>
      <c r="P2279">
        <v>20190619</v>
      </c>
      <c r="Q2279" t="s">
        <v>1159</v>
      </c>
      <c r="R2279" t="s">
        <v>1160</v>
      </c>
      <c r="S2279" t="s">
        <v>295</v>
      </c>
      <c r="T2279" t="s">
        <v>301</v>
      </c>
    </row>
    <row r="2280" spans="1:20" x14ac:dyDescent="0.25">
      <c r="A2280">
        <v>9</v>
      </c>
      <c r="B2280">
        <v>181</v>
      </c>
      <c r="C2280" t="str">
        <f t="shared" si="374"/>
        <v>36</v>
      </c>
      <c r="D2280">
        <v>6499</v>
      </c>
      <c r="E2280" t="str">
        <f>"99"</f>
        <v>99</v>
      </c>
      <c r="F2280" t="str">
        <f t="shared" si="370"/>
        <v>001</v>
      </c>
      <c r="G2280">
        <v>9</v>
      </c>
      <c r="H2280" t="str">
        <f t="shared" si="375"/>
        <v>91</v>
      </c>
      <c r="I2280" t="str">
        <f t="shared" si="372"/>
        <v>0</v>
      </c>
      <c r="J2280" t="str">
        <f t="shared" si="373"/>
        <v>39</v>
      </c>
      <c r="K2280">
        <v>20190621</v>
      </c>
      <c r="L2280" t="str">
        <f>"077255"</f>
        <v>077255</v>
      </c>
      <c r="M2280" t="str">
        <f>"51347"</f>
        <v>51347</v>
      </c>
      <c r="N2280" t="s">
        <v>1158</v>
      </c>
      <c r="O2280" s="1">
        <v>2380</v>
      </c>
      <c r="P2280">
        <v>20190619</v>
      </c>
      <c r="Q2280" t="s">
        <v>1159</v>
      </c>
      <c r="R2280" t="s">
        <v>1160</v>
      </c>
      <c r="S2280" t="s">
        <v>295</v>
      </c>
      <c r="T2280" t="s">
        <v>301</v>
      </c>
    </row>
    <row r="2281" spans="1:20" x14ac:dyDescent="0.25">
      <c r="A2281">
        <v>9</v>
      </c>
      <c r="B2281">
        <v>181</v>
      </c>
      <c r="C2281" t="str">
        <f t="shared" si="374"/>
        <v>36</v>
      </c>
      <c r="D2281">
        <v>6399</v>
      </c>
      <c r="E2281" t="str">
        <f>"30"</f>
        <v>30</v>
      </c>
      <c r="F2281" t="str">
        <f t="shared" si="370"/>
        <v>001</v>
      </c>
      <c r="G2281">
        <v>9</v>
      </c>
      <c r="H2281" t="str">
        <f t="shared" si="375"/>
        <v>91</v>
      </c>
      <c r="I2281" t="str">
        <f t="shared" si="372"/>
        <v>0</v>
      </c>
      <c r="J2281" t="str">
        <f t="shared" si="373"/>
        <v>39</v>
      </c>
      <c r="K2281">
        <v>20190621</v>
      </c>
      <c r="L2281" t="str">
        <f t="shared" ref="L2281:L2288" si="376">"077262"</f>
        <v>077262</v>
      </c>
      <c r="M2281" t="str">
        <f t="shared" ref="M2281:M2288" si="377">"58207"</f>
        <v>58207</v>
      </c>
      <c r="N2281" t="s">
        <v>292</v>
      </c>
      <c r="O2281">
        <v>34.47</v>
      </c>
      <c r="P2281">
        <v>20190619</v>
      </c>
      <c r="Q2281" t="s">
        <v>640</v>
      </c>
      <c r="R2281" t="s">
        <v>1403</v>
      </c>
      <c r="S2281" t="s">
        <v>295</v>
      </c>
      <c r="T2281" t="s">
        <v>301</v>
      </c>
    </row>
    <row r="2282" spans="1:20" x14ac:dyDescent="0.25">
      <c r="A2282">
        <v>9</v>
      </c>
      <c r="B2282">
        <v>181</v>
      </c>
      <c r="C2282" t="str">
        <f t="shared" si="374"/>
        <v>36</v>
      </c>
      <c r="D2282">
        <v>6399</v>
      </c>
      <c r="E2282" t="str">
        <f>"30"</f>
        <v>30</v>
      </c>
      <c r="F2282" t="str">
        <f t="shared" si="370"/>
        <v>001</v>
      </c>
      <c r="G2282">
        <v>9</v>
      </c>
      <c r="H2282" t="str">
        <f t="shared" si="375"/>
        <v>91</v>
      </c>
      <c r="I2282" t="str">
        <f t="shared" si="372"/>
        <v>0</v>
      </c>
      <c r="J2282" t="str">
        <f t="shared" si="373"/>
        <v>39</v>
      </c>
      <c r="K2282">
        <v>20190621</v>
      </c>
      <c r="L2282" t="str">
        <f t="shared" si="376"/>
        <v>077262</v>
      </c>
      <c r="M2282" t="str">
        <f t="shared" si="377"/>
        <v>58207</v>
      </c>
      <c r="N2282" t="s">
        <v>292</v>
      </c>
      <c r="O2282">
        <v>111.3</v>
      </c>
      <c r="P2282">
        <v>20190619</v>
      </c>
      <c r="Q2282" t="s">
        <v>640</v>
      </c>
      <c r="R2282" t="s">
        <v>641</v>
      </c>
      <c r="S2282" t="s">
        <v>295</v>
      </c>
      <c r="T2282" t="s">
        <v>301</v>
      </c>
    </row>
    <row r="2283" spans="1:20" x14ac:dyDescent="0.25">
      <c r="A2283">
        <v>9</v>
      </c>
      <c r="B2283">
        <v>181</v>
      </c>
      <c r="C2283" t="str">
        <f t="shared" si="374"/>
        <v>36</v>
      </c>
      <c r="D2283">
        <v>6399</v>
      </c>
      <c r="E2283" t="str">
        <f>"30"</f>
        <v>30</v>
      </c>
      <c r="F2283" t="str">
        <f t="shared" si="370"/>
        <v>001</v>
      </c>
      <c r="G2283">
        <v>9</v>
      </c>
      <c r="H2283" t="str">
        <f t="shared" si="375"/>
        <v>91</v>
      </c>
      <c r="I2283" t="str">
        <f t="shared" si="372"/>
        <v>0</v>
      </c>
      <c r="J2283" t="str">
        <f t="shared" si="373"/>
        <v>39</v>
      </c>
      <c r="K2283">
        <v>20190621</v>
      </c>
      <c r="L2283" t="str">
        <f t="shared" si="376"/>
        <v>077262</v>
      </c>
      <c r="M2283" t="str">
        <f t="shared" si="377"/>
        <v>58207</v>
      </c>
      <c r="N2283" t="s">
        <v>292</v>
      </c>
      <c r="O2283">
        <v>21.98</v>
      </c>
      <c r="P2283">
        <v>20190619</v>
      </c>
      <c r="Q2283" t="s">
        <v>640</v>
      </c>
      <c r="R2283" t="s">
        <v>1404</v>
      </c>
      <c r="S2283" t="s">
        <v>295</v>
      </c>
      <c r="T2283" t="s">
        <v>301</v>
      </c>
    </row>
    <row r="2284" spans="1:20" x14ac:dyDescent="0.25">
      <c r="A2284">
        <v>9</v>
      </c>
      <c r="B2284">
        <v>181</v>
      </c>
      <c r="C2284" t="str">
        <f t="shared" si="374"/>
        <v>36</v>
      </c>
      <c r="D2284">
        <v>6412</v>
      </c>
      <c r="E2284" t="str">
        <f>"09"</f>
        <v>09</v>
      </c>
      <c r="F2284" t="str">
        <f t="shared" si="370"/>
        <v>001</v>
      </c>
      <c r="G2284">
        <v>9</v>
      </c>
      <c r="H2284" t="str">
        <f t="shared" si="375"/>
        <v>91</v>
      </c>
      <c r="I2284" t="str">
        <f>"G"</f>
        <v>G</v>
      </c>
      <c r="J2284" t="str">
        <f t="shared" si="373"/>
        <v>39</v>
      </c>
      <c r="K2284">
        <v>20190621</v>
      </c>
      <c r="L2284" t="str">
        <f t="shared" si="376"/>
        <v>077262</v>
      </c>
      <c r="M2284" t="str">
        <f t="shared" si="377"/>
        <v>58207</v>
      </c>
      <c r="N2284" t="s">
        <v>292</v>
      </c>
      <c r="O2284">
        <v>45</v>
      </c>
      <c r="P2284">
        <v>20190619</v>
      </c>
      <c r="Q2284" t="s">
        <v>1279</v>
      </c>
      <c r="R2284" t="s">
        <v>1280</v>
      </c>
      <c r="S2284" t="s">
        <v>295</v>
      </c>
      <c r="T2284" t="s">
        <v>301</v>
      </c>
    </row>
    <row r="2285" spans="1:20" x14ac:dyDescent="0.25">
      <c r="A2285">
        <v>9</v>
      </c>
      <c r="B2285">
        <v>181</v>
      </c>
      <c r="C2285" t="str">
        <f t="shared" si="374"/>
        <v>36</v>
      </c>
      <c r="D2285">
        <v>6399</v>
      </c>
      <c r="E2285" t="str">
        <f>"30"</f>
        <v>30</v>
      </c>
      <c r="F2285" t="str">
        <f t="shared" si="370"/>
        <v>001</v>
      </c>
      <c r="G2285">
        <v>9</v>
      </c>
      <c r="H2285" t="str">
        <f t="shared" si="375"/>
        <v>91</v>
      </c>
      <c r="I2285" t="str">
        <f>"0"</f>
        <v>0</v>
      </c>
      <c r="J2285" t="str">
        <f t="shared" si="373"/>
        <v>39</v>
      </c>
      <c r="K2285">
        <v>20190802</v>
      </c>
      <c r="L2285" t="str">
        <f t="shared" si="376"/>
        <v>077262</v>
      </c>
      <c r="M2285" t="str">
        <f t="shared" si="377"/>
        <v>58207</v>
      </c>
      <c r="N2285" t="s">
        <v>292</v>
      </c>
      <c r="O2285">
        <v>-34.47</v>
      </c>
      <c r="P2285">
        <v>20190802</v>
      </c>
      <c r="Q2285" t="s">
        <v>640</v>
      </c>
      <c r="R2285" t="s">
        <v>1405</v>
      </c>
      <c r="S2285" t="s">
        <v>295</v>
      </c>
      <c r="T2285" t="s">
        <v>301</v>
      </c>
    </row>
    <row r="2286" spans="1:20" x14ac:dyDescent="0.25">
      <c r="A2286">
        <v>9</v>
      </c>
      <c r="B2286">
        <v>181</v>
      </c>
      <c r="C2286" t="str">
        <f t="shared" si="374"/>
        <v>36</v>
      </c>
      <c r="D2286">
        <v>6399</v>
      </c>
      <c r="E2286" t="str">
        <f>"30"</f>
        <v>30</v>
      </c>
      <c r="F2286" t="str">
        <f t="shared" si="370"/>
        <v>001</v>
      </c>
      <c r="G2286">
        <v>9</v>
      </c>
      <c r="H2286" t="str">
        <f t="shared" si="375"/>
        <v>91</v>
      </c>
      <c r="I2286" t="str">
        <f>"0"</f>
        <v>0</v>
      </c>
      <c r="J2286" t="str">
        <f t="shared" si="373"/>
        <v>39</v>
      </c>
      <c r="K2286">
        <v>20190802</v>
      </c>
      <c r="L2286" t="str">
        <f t="shared" si="376"/>
        <v>077262</v>
      </c>
      <c r="M2286" t="str">
        <f t="shared" si="377"/>
        <v>58207</v>
      </c>
      <c r="N2286" t="s">
        <v>292</v>
      </c>
      <c r="O2286">
        <v>-111.3</v>
      </c>
      <c r="P2286">
        <v>20190802</v>
      </c>
      <c r="Q2286" t="s">
        <v>640</v>
      </c>
      <c r="R2286" t="s">
        <v>1405</v>
      </c>
      <c r="S2286" t="s">
        <v>295</v>
      </c>
      <c r="T2286" t="s">
        <v>301</v>
      </c>
    </row>
    <row r="2287" spans="1:20" x14ac:dyDescent="0.25">
      <c r="A2287">
        <v>9</v>
      </c>
      <c r="B2287">
        <v>181</v>
      </c>
      <c r="C2287" t="str">
        <f t="shared" si="374"/>
        <v>36</v>
      </c>
      <c r="D2287">
        <v>6399</v>
      </c>
      <c r="E2287" t="str">
        <f>"30"</f>
        <v>30</v>
      </c>
      <c r="F2287" t="str">
        <f t="shared" si="370"/>
        <v>001</v>
      </c>
      <c r="G2287">
        <v>9</v>
      </c>
      <c r="H2287" t="str">
        <f t="shared" si="375"/>
        <v>91</v>
      </c>
      <c r="I2287" t="str">
        <f>"0"</f>
        <v>0</v>
      </c>
      <c r="J2287" t="str">
        <f t="shared" si="373"/>
        <v>39</v>
      </c>
      <c r="K2287">
        <v>20190802</v>
      </c>
      <c r="L2287" t="str">
        <f t="shared" si="376"/>
        <v>077262</v>
      </c>
      <c r="M2287" t="str">
        <f t="shared" si="377"/>
        <v>58207</v>
      </c>
      <c r="N2287" t="s">
        <v>292</v>
      </c>
      <c r="O2287">
        <v>-21.98</v>
      </c>
      <c r="P2287">
        <v>20190802</v>
      </c>
      <c r="Q2287" t="s">
        <v>640</v>
      </c>
      <c r="R2287" t="s">
        <v>1405</v>
      </c>
      <c r="S2287" t="s">
        <v>295</v>
      </c>
      <c r="T2287" t="s">
        <v>301</v>
      </c>
    </row>
    <row r="2288" spans="1:20" x14ac:dyDescent="0.25">
      <c r="A2288">
        <v>9</v>
      </c>
      <c r="B2288">
        <v>181</v>
      </c>
      <c r="C2288" t="str">
        <f t="shared" si="374"/>
        <v>36</v>
      </c>
      <c r="D2288">
        <v>6412</v>
      </c>
      <c r="E2288" t="str">
        <f>"09"</f>
        <v>09</v>
      </c>
      <c r="F2288" t="str">
        <f t="shared" si="370"/>
        <v>001</v>
      </c>
      <c r="G2288">
        <v>9</v>
      </c>
      <c r="H2288" t="str">
        <f t="shared" si="375"/>
        <v>91</v>
      </c>
      <c r="I2288" t="str">
        <f>"G"</f>
        <v>G</v>
      </c>
      <c r="J2288" t="str">
        <f t="shared" si="373"/>
        <v>39</v>
      </c>
      <c r="K2288">
        <v>20190802</v>
      </c>
      <c r="L2288" t="str">
        <f t="shared" si="376"/>
        <v>077262</v>
      </c>
      <c r="M2288" t="str">
        <f t="shared" si="377"/>
        <v>58207</v>
      </c>
      <c r="N2288" t="s">
        <v>292</v>
      </c>
      <c r="O2288">
        <v>-45</v>
      </c>
      <c r="P2288">
        <v>20190802</v>
      </c>
      <c r="Q2288" t="s">
        <v>1279</v>
      </c>
      <c r="R2288" t="s">
        <v>1405</v>
      </c>
      <c r="S2288" t="s">
        <v>295</v>
      </c>
      <c r="T2288" t="s">
        <v>301</v>
      </c>
    </row>
    <row r="2289" spans="1:20" x14ac:dyDescent="0.25">
      <c r="A2289">
        <v>9</v>
      </c>
      <c r="B2289">
        <v>181</v>
      </c>
      <c r="C2289" t="str">
        <f t="shared" si="374"/>
        <v>36</v>
      </c>
      <c r="D2289">
        <v>6399</v>
      </c>
      <c r="E2289" t="str">
        <f>"3C"</f>
        <v>3C</v>
      </c>
      <c r="F2289" t="str">
        <f>"041"</f>
        <v>041</v>
      </c>
      <c r="G2289">
        <v>9</v>
      </c>
      <c r="H2289" t="str">
        <f t="shared" si="375"/>
        <v>91</v>
      </c>
      <c r="I2289" t="str">
        <f>"0"</f>
        <v>0</v>
      </c>
      <c r="J2289" t="str">
        <f>"41"</f>
        <v>41</v>
      </c>
      <c r="K2289">
        <v>20190621</v>
      </c>
      <c r="L2289" t="str">
        <f>"077287"</f>
        <v>077287</v>
      </c>
      <c r="M2289" t="str">
        <f>"81303"</f>
        <v>81303</v>
      </c>
      <c r="N2289" t="s">
        <v>66</v>
      </c>
      <c r="O2289">
        <v>95</v>
      </c>
      <c r="P2289">
        <v>20190619</v>
      </c>
      <c r="Q2289" t="s">
        <v>597</v>
      </c>
      <c r="R2289" t="s">
        <v>1406</v>
      </c>
      <c r="S2289" t="s">
        <v>295</v>
      </c>
      <c r="T2289" t="s">
        <v>106</v>
      </c>
    </row>
    <row r="2290" spans="1:20" x14ac:dyDescent="0.25">
      <c r="A2290">
        <v>9</v>
      </c>
      <c r="B2290">
        <v>181</v>
      </c>
      <c r="C2290" t="str">
        <f t="shared" si="374"/>
        <v>36</v>
      </c>
      <c r="D2290">
        <v>6399</v>
      </c>
      <c r="E2290" t="str">
        <f>"3Y"</f>
        <v>3Y</v>
      </c>
      <c r="F2290" t="str">
        <f>"041"</f>
        <v>041</v>
      </c>
      <c r="G2290">
        <v>9</v>
      </c>
      <c r="H2290" t="str">
        <f t="shared" si="375"/>
        <v>91</v>
      </c>
      <c r="I2290" t="str">
        <f>"0"</f>
        <v>0</v>
      </c>
      <c r="J2290" t="str">
        <f>"41"</f>
        <v>41</v>
      </c>
      <c r="K2290">
        <v>20190621</v>
      </c>
      <c r="L2290" t="str">
        <f>"077287"</f>
        <v>077287</v>
      </c>
      <c r="M2290" t="str">
        <f>"81303"</f>
        <v>81303</v>
      </c>
      <c r="N2290" t="s">
        <v>66</v>
      </c>
      <c r="O2290">
        <v>270.51</v>
      </c>
      <c r="P2290">
        <v>20190619</v>
      </c>
      <c r="Q2290" t="s">
        <v>603</v>
      </c>
      <c r="R2290" t="s">
        <v>1407</v>
      </c>
      <c r="S2290" t="s">
        <v>295</v>
      </c>
      <c r="T2290" t="s">
        <v>106</v>
      </c>
    </row>
    <row r="2291" spans="1:20" x14ac:dyDescent="0.25">
      <c r="A2291">
        <v>9</v>
      </c>
      <c r="B2291">
        <v>181</v>
      </c>
      <c r="C2291" t="str">
        <f t="shared" si="374"/>
        <v>36</v>
      </c>
      <c r="D2291">
        <v>6399</v>
      </c>
      <c r="E2291" t="str">
        <f>"30"</f>
        <v>30</v>
      </c>
      <c r="F2291" t="str">
        <f>"001"</f>
        <v>001</v>
      </c>
      <c r="G2291">
        <v>9</v>
      </c>
      <c r="H2291" t="str">
        <f t="shared" si="375"/>
        <v>91</v>
      </c>
      <c r="I2291" t="str">
        <f>"0"</f>
        <v>0</v>
      </c>
      <c r="J2291" t="str">
        <f>"39"</f>
        <v>39</v>
      </c>
      <c r="K2291">
        <v>20190712</v>
      </c>
      <c r="L2291" t="str">
        <f>"077327"</f>
        <v>077327</v>
      </c>
      <c r="M2291" t="str">
        <f>"03710"</f>
        <v>03710</v>
      </c>
      <c r="N2291" t="s">
        <v>1385</v>
      </c>
      <c r="O2291">
        <v>362.17</v>
      </c>
      <c r="P2291">
        <v>20190710</v>
      </c>
      <c r="Q2291" t="s">
        <v>640</v>
      </c>
      <c r="R2291" t="s">
        <v>641</v>
      </c>
      <c r="S2291" t="s">
        <v>295</v>
      </c>
      <c r="T2291" t="s">
        <v>301</v>
      </c>
    </row>
    <row r="2292" spans="1:20" x14ac:dyDescent="0.25">
      <c r="A2292">
        <v>9</v>
      </c>
      <c r="B2292">
        <v>181</v>
      </c>
      <c r="C2292" t="str">
        <f t="shared" si="374"/>
        <v>36</v>
      </c>
      <c r="D2292">
        <v>6412</v>
      </c>
      <c r="E2292" t="str">
        <f>"09"</f>
        <v>09</v>
      </c>
      <c r="F2292" t="str">
        <f>"001"</f>
        <v>001</v>
      </c>
      <c r="G2292">
        <v>9</v>
      </c>
      <c r="H2292" t="str">
        <f t="shared" si="375"/>
        <v>91</v>
      </c>
      <c r="I2292" t="str">
        <f>"P"</f>
        <v>P</v>
      </c>
      <c r="J2292" t="str">
        <f>"39"</f>
        <v>39</v>
      </c>
      <c r="K2292">
        <v>20190712</v>
      </c>
      <c r="L2292" t="str">
        <f>"077337"</f>
        <v>077337</v>
      </c>
      <c r="M2292" t="str">
        <f>"09170"</f>
        <v>09170</v>
      </c>
      <c r="N2292" t="s">
        <v>679</v>
      </c>
      <c r="O2292">
        <v>14.42</v>
      </c>
      <c r="P2292">
        <v>20190711</v>
      </c>
      <c r="Q2292" t="s">
        <v>1028</v>
      </c>
      <c r="R2292" t="s">
        <v>1136</v>
      </c>
      <c r="S2292" t="s">
        <v>295</v>
      </c>
      <c r="T2292" t="s">
        <v>301</v>
      </c>
    </row>
    <row r="2293" spans="1:20" x14ac:dyDescent="0.25">
      <c r="A2293">
        <v>9</v>
      </c>
      <c r="B2293">
        <v>181</v>
      </c>
      <c r="C2293" t="str">
        <f t="shared" si="374"/>
        <v>36</v>
      </c>
      <c r="D2293">
        <v>6412</v>
      </c>
      <c r="E2293" t="str">
        <f>"09"</f>
        <v>09</v>
      </c>
      <c r="F2293" t="str">
        <f>"001"</f>
        <v>001</v>
      </c>
      <c r="G2293">
        <v>9</v>
      </c>
      <c r="H2293" t="str">
        <f t="shared" si="375"/>
        <v>91</v>
      </c>
      <c r="I2293" t="str">
        <f>"P"</f>
        <v>P</v>
      </c>
      <c r="J2293" t="str">
        <f>"39"</f>
        <v>39</v>
      </c>
      <c r="K2293">
        <v>20190712</v>
      </c>
      <c r="L2293" t="str">
        <f>"077337"</f>
        <v>077337</v>
      </c>
      <c r="M2293" t="str">
        <f>"09170"</f>
        <v>09170</v>
      </c>
      <c r="N2293" t="s">
        <v>679</v>
      </c>
      <c r="O2293">
        <v>36.770000000000003</v>
      </c>
      <c r="P2293">
        <v>20190711</v>
      </c>
      <c r="Q2293" t="s">
        <v>1028</v>
      </c>
      <c r="R2293" t="s">
        <v>1136</v>
      </c>
      <c r="S2293" t="s">
        <v>295</v>
      </c>
      <c r="T2293" t="s">
        <v>301</v>
      </c>
    </row>
    <row r="2294" spans="1:20" x14ac:dyDescent="0.25">
      <c r="A2294">
        <v>9</v>
      </c>
      <c r="B2294">
        <v>181</v>
      </c>
      <c r="C2294" t="str">
        <f>"00"</f>
        <v>00</v>
      </c>
      <c r="D2294">
        <v>1411</v>
      </c>
      <c r="E2294" t="str">
        <f>"05"</f>
        <v>05</v>
      </c>
      <c r="F2294" t="str">
        <f>"000"</f>
        <v>000</v>
      </c>
      <c r="G2294">
        <v>9</v>
      </c>
      <c r="H2294" t="str">
        <f>"00"</f>
        <v>00</v>
      </c>
      <c r="I2294" t="str">
        <f>"0"</f>
        <v>0</v>
      </c>
      <c r="J2294" t="str">
        <f>"00"</f>
        <v>00</v>
      </c>
      <c r="K2294">
        <v>20190712</v>
      </c>
      <c r="L2294" t="str">
        <f>"077344"</f>
        <v>077344</v>
      </c>
      <c r="M2294" t="str">
        <f>"12971"</f>
        <v>12971</v>
      </c>
      <c r="N2294" t="s">
        <v>1408</v>
      </c>
      <c r="O2294" s="1">
        <v>42068</v>
      </c>
      <c r="P2294">
        <v>20190710</v>
      </c>
      <c r="Q2294" t="s">
        <v>1409</v>
      </c>
      <c r="R2294" t="s">
        <v>1410</v>
      </c>
      <c r="S2294" t="s">
        <v>295</v>
      </c>
      <c r="T2294" t="s">
        <v>296</v>
      </c>
    </row>
    <row r="2295" spans="1:20" x14ac:dyDescent="0.25">
      <c r="A2295">
        <v>9</v>
      </c>
      <c r="B2295">
        <v>181</v>
      </c>
      <c r="C2295" t="str">
        <f t="shared" ref="C2295:C2323" si="378">"36"</f>
        <v>36</v>
      </c>
      <c r="D2295">
        <v>6411</v>
      </c>
      <c r="E2295" t="str">
        <f>"33"</f>
        <v>33</v>
      </c>
      <c r="F2295" t="str">
        <f t="shared" ref="F2295:F2311" si="379">"001"</f>
        <v>001</v>
      </c>
      <c r="G2295">
        <v>9</v>
      </c>
      <c r="H2295" t="str">
        <f t="shared" ref="H2295:H2323" si="380">"91"</f>
        <v>91</v>
      </c>
      <c r="I2295" t="str">
        <f>"0"</f>
        <v>0</v>
      </c>
      <c r="J2295" t="str">
        <f t="shared" ref="J2295:J2309" si="381">"39"</f>
        <v>39</v>
      </c>
      <c r="K2295">
        <v>20190712</v>
      </c>
      <c r="L2295" t="str">
        <f>"077360"</f>
        <v>077360</v>
      </c>
      <c r="M2295" t="str">
        <f>"28680"</f>
        <v>28680</v>
      </c>
      <c r="N2295" t="s">
        <v>482</v>
      </c>
      <c r="O2295">
        <v>136.83000000000001</v>
      </c>
      <c r="P2295">
        <v>20190710</v>
      </c>
      <c r="Q2295" t="s">
        <v>306</v>
      </c>
      <c r="R2295" t="s">
        <v>1288</v>
      </c>
      <c r="S2295" t="s">
        <v>295</v>
      </c>
      <c r="T2295" t="s">
        <v>301</v>
      </c>
    </row>
    <row r="2296" spans="1:20" x14ac:dyDescent="0.25">
      <c r="A2296">
        <v>9</v>
      </c>
      <c r="B2296">
        <v>181</v>
      </c>
      <c r="C2296" t="str">
        <f t="shared" si="378"/>
        <v>36</v>
      </c>
      <c r="D2296">
        <v>6411</v>
      </c>
      <c r="E2296" t="str">
        <f>"33"</f>
        <v>33</v>
      </c>
      <c r="F2296" t="str">
        <f t="shared" si="379"/>
        <v>001</v>
      </c>
      <c r="G2296">
        <v>9</v>
      </c>
      <c r="H2296" t="str">
        <f t="shared" si="380"/>
        <v>91</v>
      </c>
      <c r="I2296" t="str">
        <f>"0"</f>
        <v>0</v>
      </c>
      <c r="J2296" t="str">
        <f t="shared" si="381"/>
        <v>39</v>
      </c>
      <c r="K2296">
        <v>20190712</v>
      </c>
      <c r="L2296" t="str">
        <f>"077365"</f>
        <v>077365</v>
      </c>
      <c r="M2296" t="str">
        <f>"30744"</f>
        <v>30744</v>
      </c>
      <c r="N2296" t="s">
        <v>422</v>
      </c>
      <c r="O2296">
        <v>16.670000000000002</v>
      </c>
      <c r="P2296">
        <v>20190710</v>
      </c>
      <c r="Q2296" t="s">
        <v>306</v>
      </c>
      <c r="R2296" t="s">
        <v>1288</v>
      </c>
      <c r="S2296" t="s">
        <v>295</v>
      </c>
      <c r="T2296" t="s">
        <v>301</v>
      </c>
    </row>
    <row r="2297" spans="1:20" x14ac:dyDescent="0.25">
      <c r="A2297">
        <v>9</v>
      </c>
      <c r="B2297">
        <v>181</v>
      </c>
      <c r="C2297" t="str">
        <f t="shared" si="378"/>
        <v>36</v>
      </c>
      <c r="D2297">
        <v>6411</v>
      </c>
      <c r="E2297" t="str">
        <f>"33"</f>
        <v>33</v>
      </c>
      <c r="F2297" t="str">
        <f t="shared" si="379"/>
        <v>001</v>
      </c>
      <c r="G2297">
        <v>9</v>
      </c>
      <c r="H2297" t="str">
        <f t="shared" si="380"/>
        <v>91</v>
      </c>
      <c r="I2297" t="str">
        <f>"0"</f>
        <v>0</v>
      </c>
      <c r="J2297" t="str">
        <f t="shared" si="381"/>
        <v>39</v>
      </c>
      <c r="K2297">
        <v>20190712</v>
      </c>
      <c r="L2297" t="str">
        <f>"077365"</f>
        <v>077365</v>
      </c>
      <c r="M2297" t="str">
        <f>"30744"</f>
        <v>30744</v>
      </c>
      <c r="N2297" t="s">
        <v>422</v>
      </c>
      <c r="O2297">
        <v>12</v>
      </c>
      <c r="P2297">
        <v>20190710</v>
      </c>
      <c r="Q2297" t="s">
        <v>306</v>
      </c>
      <c r="R2297" t="s">
        <v>1288</v>
      </c>
      <c r="S2297" t="s">
        <v>295</v>
      </c>
      <c r="T2297" t="s">
        <v>301</v>
      </c>
    </row>
    <row r="2298" spans="1:20" x14ac:dyDescent="0.25">
      <c r="A2298">
        <v>9</v>
      </c>
      <c r="B2298">
        <v>181</v>
      </c>
      <c r="C2298" t="str">
        <f t="shared" si="378"/>
        <v>36</v>
      </c>
      <c r="D2298">
        <v>6412</v>
      </c>
      <c r="E2298" t="str">
        <f>"09"</f>
        <v>09</v>
      </c>
      <c r="F2298" t="str">
        <f t="shared" si="379"/>
        <v>001</v>
      </c>
      <c r="G2298">
        <v>9</v>
      </c>
      <c r="H2298" t="str">
        <f t="shared" si="380"/>
        <v>91</v>
      </c>
      <c r="I2298" t="str">
        <f>"G"</f>
        <v>G</v>
      </c>
      <c r="J2298" t="str">
        <f t="shared" si="381"/>
        <v>39</v>
      </c>
      <c r="K2298">
        <v>20190712</v>
      </c>
      <c r="L2298" t="str">
        <f>"077365"</f>
        <v>077365</v>
      </c>
      <c r="M2298" t="str">
        <f>"30744"</f>
        <v>30744</v>
      </c>
      <c r="N2298" t="s">
        <v>422</v>
      </c>
      <c r="O2298">
        <v>12.49</v>
      </c>
      <c r="P2298">
        <v>20190710</v>
      </c>
      <c r="Q2298" t="s">
        <v>1279</v>
      </c>
      <c r="R2298" t="s">
        <v>1329</v>
      </c>
      <c r="S2298" t="s">
        <v>295</v>
      </c>
      <c r="T2298" t="s">
        <v>301</v>
      </c>
    </row>
    <row r="2299" spans="1:20" x14ac:dyDescent="0.25">
      <c r="A2299">
        <v>9</v>
      </c>
      <c r="B2299">
        <v>181</v>
      </c>
      <c r="C2299" t="str">
        <f t="shared" si="378"/>
        <v>36</v>
      </c>
      <c r="D2299">
        <v>6319</v>
      </c>
      <c r="E2299" t="str">
        <f>"3S"</f>
        <v>3S</v>
      </c>
      <c r="F2299" t="str">
        <f t="shared" si="379"/>
        <v>001</v>
      </c>
      <c r="G2299">
        <v>9</v>
      </c>
      <c r="H2299" t="str">
        <f t="shared" si="380"/>
        <v>91</v>
      </c>
      <c r="I2299" t="str">
        <f t="shared" ref="I2299:I2308" si="382">"0"</f>
        <v>0</v>
      </c>
      <c r="J2299" t="str">
        <f t="shared" si="381"/>
        <v>39</v>
      </c>
      <c r="K2299">
        <v>20190712</v>
      </c>
      <c r="L2299" t="str">
        <f>"077384"</f>
        <v>077384</v>
      </c>
      <c r="M2299" t="str">
        <f>"44749"</f>
        <v>44749</v>
      </c>
      <c r="N2299" t="s">
        <v>1411</v>
      </c>
      <c r="O2299">
        <v>70</v>
      </c>
      <c r="P2299">
        <v>20190710</v>
      </c>
      <c r="Q2299" t="s">
        <v>1412</v>
      </c>
      <c r="R2299" t="s">
        <v>1413</v>
      </c>
      <c r="S2299" t="s">
        <v>295</v>
      </c>
      <c r="T2299" t="s">
        <v>301</v>
      </c>
    </row>
    <row r="2300" spans="1:20" x14ac:dyDescent="0.25">
      <c r="A2300">
        <v>9</v>
      </c>
      <c r="B2300">
        <v>181</v>
      </c>
      <c r="C2300" t="str">
        <f t="shared" si="378"/>
        <v>36</v>
      </c>
      <c r="D2300">
        <v>6498</v>
      </c>
      <c r="E2300" t="str">
        <f>"30"</f>
        <v>30</v>
      </c>
      <c r="F2300" t="str">
        <f t="shared" si="379"/>
        <v>001</v>
      </c>
      <c r="G2300">
        <v>9</v>
      </c>
      <c r="H2300" t="str">
        <f t="shared" si="380"/>
        <v>91</v>
      </c>
      <c r="I2300" t="str">
        <f t="shared" si="382"/>
        <v>0</v>
      </c>
      <c r="J2300" t="str">
        <f t="shared" si="381"/>
        <v>39</v>
      </c>
      <c r="K2300">
        <v>20190719</v>
      </c>
      <c r="L2300" t="str">
        <f>"077453"</f>
        <v>077453</v>
      </c>
      <c r="M2300" t="str">
        <f>"39422"</f>
        <v>39422</v>
      </c>
      <c r="N2300" t="s">
        <v>525</v>
      </c>
      <c r="O2300">
        <v>72.5</v>
      </c>
      <c r="P2300">
        <v>20190718</v>
      </c>
      <c r="Q2300" t="s">
        <v>1414</v>
      </c>
      <c r="R2300" t="s">
        <v>1415</v>
      </c>
      <c r="S2300" t="s">
        <v>295</v>
      </c>
      <c r="T2300" t="s">
        <v>301</v>
      </c>
    </row>
    <row r="2301" spans="1:20" x14ac:dyDescent="0.25">
      <c r="A2301">
        <v>9</v>
      </c>
      <c r="B2301">
        <v>181</v>
      </c>
      <c r="C2301" t="str">
        <f t="shared" si="378"/>
        <v>36</v>
      </c>
      <c r="D2301">
        <v>6498</v>
      </c>
      <c r="E2301" t="str">
        <f>"30"</f>
        <v>30</v>
      </c>
      <c r="F2301" t="str">
        <f t="shared" si="379"/>
        <v>001</v>
      </c>
      <c r="G2301">
        <v>9</v>
      </c>
      <c r="H2301" t="str">
        <f t="shared" si="380"/>
        <v>91</v>
      </c>
      <c r="I2301" t="str">
        <f t="shared" si="382"/>
        <v>0</v>
      </c>
      <c r="J2301" t="str">
        <f t="shared" si="381"/>
        <v>39</v>
      </c>
      <c r="K2301">
        <v>20190719</v>
      </c>
      <c r="L2301" t="str">
        <f>"077453"</f>
        <v>077453</v>
      </c>
      <c r="M2301" t="str">
        <f>"39422"</f>
        <v>39422</v>
      </c>
      <c r="N2301" t="s">
        <v>525</v>
      </c>
      <c r="O2301">
        <v>40</v>
      </c>
      <c r="P2301">
        <v>20190718</v>
      </c>
      <c r="Q2301" t="s">
        <v>1414</v>
      </c>
      <c r="R2301" t="s">
        <v>1416</v>
      </c>
      <c r="S2301" t="s">
        <v>295</v>
      </c>
      <c r="T2301" t="s">
        <v>301</v>
      </c>
    </row>
    <row r="2302" spans="1:20" x14ac:dyDescent="0.25">
      <c r="A2302">
        <v>9</v>
      </c>
      <c r="B2302">
        <v>181</v>
      </c>
      <c r="C2302" t="str">
        <f t="shared" si="378"/>
        <v>36</v>
      </c>
      <c r="D2302">
        <v>6396</v>
      </c>
      <c r="E2302" t="str">
        <f>"30"</f>
        <v>30</v>
      </c>
      <c r="F2302" t="str">
        <f t="shared" si="379"/>
        <v>001</v>
      </c>
      <c r="G2302">
        <v>9</v>
      </c>
      <c r="H2302" t="str">
        <f t="shared" si="380"/>
        <v>91</v>
      </c>
      <c r="I2302" t="str">
        <f t="shared" si="382"/>
        <v>0</v>
      </c>
      <c r="J2302" t="str">
        <f t="shared" si="381"/>
        <v>39</v>
      </c>
      <c r="K2302">
        <v>20190719</v>
      </c>
      <c r="L2302" t="str">
        <f>"077454"</f>
        <v>077454</v>
      </c>
      <c r="M2302" t="str">
        <f>"01240"</f>
        <v>01240</v>
      </c>
      <c r="N2302" t="s">
        <v>1417</v>
      </c>
      <c r="O2302" s="1">
        <v>1350</v>
      </c>
      <c r="P2302">
        <v>20190718</v>
      </c>
      <c r="Q2302" t="s">
        <v>319</v>
      </c>
      <c r="R2302" t="s">
        <v>1418</v>
      </c>
      <c r="S2302" t="s">
        <v>295</v>
      </c>
      <c r="T2302" t="s">
        <v>301</v>
      </c>
    </row>
    <row r="2303" spans="1:20" x14ac:dyDescent="0.25">
      <c r="A2303">
        <v>9</v>
      </c>
      <c r="B2303">
        <v>181</v>
      </c>
      <c r="C2303" t="str">
        <f t="shared" si="378"/>
        <v>36</v>
      </c>
      <c r="D2303">
        <v>6396</v>
      </c>
      <c r="E2303" t="str">
        <f>"30"</f>
        <v>30</v>
      </c>
      <c r="F2303" t="str">
        <f t="shared" si="379"/>
        <v>001</v>
      </c>
      <c r="G2303">
        <v>9</v>
      </c>
      <c r="H2303" t="str">
        <f t="shared" si="380"/>
        <v>91</v>
      </c>
      <c r="I2303" t="str">
        <f t="shared" si="382"/>
        <v>0</v>
      </c>
      <c r="J2303" t="str">
        <f t="shared" si="381"/>
        <v>39</v>
      </c>
      <c r="K2303">
        <v>20190719</v>
      </c>
      <c r="L2303" t="str">
        <f>"077454"</f>
        <v>077454</v>
      </c>
      <c r="M2303" t="str">
        <f>"01240"</f>
        <v>01240</v>
      </c>
      <c r="N2303" t="s">
        <v>1417</v>
      </c>
      <c r="O2303" s="1">
        <v>1799</v>
      </c>
      <c r="P2303">
        <v>20190718</v>
      </c>
      <c r="Q2303" t="s">
        <v>319</v>
      </c>
      <c r="R2303" t="s">
        <v>1419</v>
      </c>
      <c r="S2303" t="s">
        <v>295</v>
      </c>
      <c r="T2303" t="s">
        <v>301</v>
      </c>
    </row>
    <row r="2304" spans="1:20" x14ac:dyDescent="0.25">
      <c r="A2304">
        <v>9</v>
      </c>
      <c r="B2304">
        <v>181</v>
      </c>
      <c r="C2304" t="str">
        <f t="shared" si="378"/>
        <v>36</v>
      </c>
      <c r="D2304">
        <v>6411</v>
      </c>
      <c r="E2304" t="str">
        <f>"33"</f>
        <v>33</v>
      </c>
      <c r="F2304" t="str">
        <f t="shared" si="379"/>
        <v>001</v>
      </c>
      <c r="G2304">
        <v>9</v>
      </c>
      <c r="H2304" t="str">
        <f t="shared" si="380"/>
        <v>91</v>
      </c>
      <c r="I2304" t="str">
        <f t="shared" si="382"/>
        <v>0</v>
      </c>
      <c r="J2304" t="str">
        <f t="shared" si="381"/>
        <v>39</v>
      </c>
      <c r="K2304">
        <v>20190719</v>
      </c>
      <c r="L2304" t="str">
        <f>"077466"</f>
        <v>077466</v>
      </c>
      <c r="M2304" t="str">
        <f>"60084"</f>
        <v>60084</v>
      </c>
      <c r="N2304" t="s">
        <v>1420</v>
      </c>
      <c r="O2304">
        <v>90.7</v>
      </c>
      <c r="P2304">
        <v>20190718</v>
      </c>
      <c r="Q2304" t="s">
        <v>306</v>
      </c>
      <c r="R2304" t="s">
        <v>1288</v>
      </c>
      <c r="S2304" t="s">
        <v>295</v>
      </c>
      <c r="T2304" t="s">
        <v>301</v>
      </c>
    </row>
    <row r="2305" spans="1:20" x14ac:dyDescent="0.25">
      <c r="A2305">
        <v>9</v>
      </c>
      <c r="B2305">
        <v>181</v>
      </c>
      <c r="C2305" t="str">
        <f t="shared" si="378"/>
        <v>36</v>
      </c>
      <c r="D2305">
        <v>6498</v>
      </c>
      <c r="E2305" t="str">
        <f>"30"</f>
        <v>30</v>
      </c>
      <c r="F2305" t="str">
        <f t="shared" si="379"/>
        <v>001</v>
      </c>
      <c r="G2305">
        <v>9</v>
      </c>
      <c r="H2305" t="str">
        <f t="shared" si="380"/>
        <v>91</v>
      </c>
      <c r="I2305" t="str">
        <f t="shared" si="382"/>
        <v>0</v>
      </c>
      <c r="J2305" t="str">
        <f t="shared" si="381"/>
        <v>39</v>
      </c>
      <c r="K2305">
        <v>20190719</v>
      </c>
      <c r="L2305" t="str">
        <f>"077466"</f>
        <v>077466</v>
      </c>
      <c r="M2305" t="str">
        <f>"60084"</f>
        <v>60084</v>
      </c>
      <c r="N2305" t="s">
        <v>1420</v>
      </c>
      <c r="O2305">
        <v>18.63</v>
      </c>
      <c r="P2305">
        <v>20190718</v>
      </c>
      <c r="Q2305" t="s">
        <v>1414</v>
      </c>
      <c r="R2305" t="s">
        <v>1288</v>
      </c>
      <c r="S2305" t="s">
        <v>295</v>
      </c>
      <c r="T2305" t="s">
        <v>301</v>
      </c>
    </row>
    <row r="2306" spans="1:20" x14ac:dyDescent="0.25">
      <c r="A2306">
        <v>9</v>
      </c>
      <c r="B2306">
        <v>181</v>
      </c>
      <c r="C2306" t="str">
        <f t="shared" si="378"/>
        <v>36</v>
      </c>
      <c r="D2306">
        <v>6396</v>
      </c>
      <c r="E2306" t="str">
        <f>"30"</f>
        <v>30</v>
      </c>
      <c r="F2306" t="str">
        <f t="shared" si="379"/>
        <v>001</v>
      </c>
      <c r="G2306">
        <v>9</v>
      </c>
      <c r="H2306" t="str">
        <f t="shared" si="380"/>
        <v>91</v>
      </c>
      <c r="I2306" t="str">
        <f t="shared" si="382"/>
        <v>0</v>
      </c>
      <c r="J2306" t="str">
        <f t="shared" si="381"/>
        <v>39</v>
      </c>
      <c r="K2306">
        <v>20190719</v>
      </c>
      <c r="L2306" t="str">
        <f>"077467"</f>
        <v>077467</v>
      </c>
      <c r="M2306" t="str">
        <f>"61223"</f>
        <v>61223</v>
      </c>
      <c r="N2306" t="s">
        <v>1421</v>
      </c>
      <c r="O2306">
        <v>800</v>
      </c>
      <c r="P2306">
        <v>20190718</v>
      </c>
      <c r="Q2306" t="s">
        <v>319</v>
      </c>
      <c r="R2306" t="s">
        <v>1422</v>
      </c>
      <c r="S2306" t="s">
        <v>295</v>
      </c>
      <c r="T2306" t="s">
        <v>301</v>
      </c>
    </row>
    <row r="2307" spans="1:20" x14ac:dyDescent="0.25">
      <c r="A2307">
        <v>9</v>
      </c>
      <c r="B2307">
        <v>181</v>
      </c>
      <c r="C2307" t="str">
        <f t="shared" si="378"/>
        <v>36</v>
      </c>
      <c r="D2307">
        <v>6411</v>
      </c>
      <c r="E2307" t="str">
        <f>"30"</f>
        <v>30</v>
      </c>
      <c r="F2307" t="str">
        <f t="shared" si="379"/>
        <v>001</v>
      </c>
      <c r="G2307">
        <v>9</v>
      </c>
      <c r="H2307" t="str">
        <f t="shared" si="380"/>
        <v>91</v>
      </c>
      <c r="I2307" t="str">
        <f t="shared" si="382"/>
        <v>0</v>
      </c>
      <c r="J2307" t="str">
        <f t="shared" si="381"/>
        <v>39</v>
      </c>
      <c r="K2307">
        <v>20190719</v>
      </c>
      <c r="L2307" t="str">
        <f>"077472"</f>
        <v>077472</v>
      </c>
      <c r="M2307" t="str">
        <f>"69162"</f>
        <v>69162</v>
      </c>
      <c r="N2307" t="s">
        <v>491</v>
      </c>
      <c r="O2307">
        <v>22.08</v>
      </c>
      <c r="P2307">
        <v>20190718</v>
      </c>
      <c r="Q2307" t="s">
        <v>790</v>
      </c>
      <c r="R2307" t="s">
        <v>1288</v>
      </c>
      <c r="S2307" t="s">
        <v>295</v>
      </c>
      <c r="T2307" t="s">
        <v>301</v>
      </c>
    </row>
    <row r="2308" spans="1:20" x14ac:dyDescent="0.25">
      <c r="A2308">
        <v>9</v>
      </c>
      <c r="B2308">
        <v>181</v>
      </c>
      <c r="C2308" t="str">
        <f t="shared" si="378"/>
        <v>36</v>
      </c>
      <c r="D2308">
        <v>6498</v>
      </c>
      <c r="E2308" t="str">
        <f>"30"</f>
        <v>30</v>
      </c>
      <c r="F2308" t="str">
        <f t="shared" si="379"/>
        <v>001</v>
      </c>
      <c r="G2308">
        <v>9</v>
      </c>
      <c r="H2308" t="str">
        <f t="shared" si="380"/>
        <v>91</v>
      </c>
      <c r="I2308" t="str">
        <f t="shared" si="382"/>
        <v>0</v>
      </c>
      <c r="J2308" t="str">
        <f t="shared" si="381"/>
        <v>39</v>
      </c>
      <c r="K2308">
        <v>20190719</v>
      </c>
      <c r="L2308" t="str">
        <f>"077472"</f>
        <v>077472</v>
      </c>
      <c r="M2308" t="str">
        <f>"69162"</f>
        <v>69162</v>
      </c>
      <c r="N2308" t="s">
        <v>491</v>
      </c>
      <c r="O2308">
        <v>25</v>
      </c>
      <c r="P2308">
        <v>20190718</v>
      </c>
      <c r="Q2308" t="s">
        <v>1414</v>
      </c>
      <c r="R2308" t="s">
        <v>1288</v>
      </c>
      <c r="S2308" t="s">
        <v>295</v>
      </c>
      <c r="T2308" t="s">
        <v>301</v>
      </c>
    </row>
    <row r="2309" spans="1:20" x14ac:dyDescent="0.25">
      <c r="A2309">
        <v>9</v>
      </c>
      <c r="B2309">
        <v>181</v>
      </c>
      <c r="C2309" t="str">
        <f t="shared" si="378"/>
        <v>36</v>
      </c>
      <c r="D2309">
        <v>6412</v>
      </c>
      <c r="E2309" t="str">
        <f>"09"</f>
        <v>09</v>
      </c>
      <c r="F2309" t="str">
        <f t="shared" si="379"/>
        <v>001</v>
      </c>
      <c r="G2309">
        <v>9</v>
      </c>
      <c r="H2309" t="str">
        <f t="shared" si="380"/>
        <v>91</v>
      </c>
      <c r="I2309" t="str">
        <f>"1"</f>
        <v>1</v>
      </c>
      <c r="J2309" t="str">
        <f t="shared" si="381"/>
        <v>39</v>
      </c>
      <c r="K2309">
        <v>20190726</v>
      </c>
      <c r="L2309" t="str">
        <f>"077482"</f>
        <v>077482</v>
      </c>
      <c r="M2309" t="str">
        <f>"09170"</f>
        <v>09170</v>
      </c>
      <c r="N2309" t="s">
        <v>679</v>
      </c>
      <c r="O2309">
        <v>133.99</v>
      </c>
      <c r="P2309">
        <v>20190724</v>
      </c>
      <c r="Q2309" t="s">
        <v>1297</v>
      </c>
      <c r="R2309" t="s">
        <v>1423</v>
      </c>
      <c r="S2309" t="s">
        <v>295</v>
      </c>
      <c r="T2309" t="s">
        <v>301</v>
      </c>
    </row>
    <row r="2310" spans="1:20" x14ac:dyDescent="0.25">
      <c r="A2310">
        <v>9</v>
      </c>
      <c r="B2310">
        <v>181</v>
      </c>
      <c r="C2310" t="str">
        <f t="shared" si="378"/>
        <v>36</v>
      </c>
      <c r="D2310">
        <v>6219</v>
      </c>
      <c r="E2310" t="str">
        <f>"09"</f>
        <v>09</v>
      </c>
      <c r="F2310" t="str">
        <f t="shared" si="379"/>
        <v>001</v>
      </c>
      <c r="G2310">
        <v>9</v>
      </c>
      <c r="H2310" t="str">
        <f t="shared" si="380"/>
        <v>91</v>
      </c>
      <c r="I2310" t="str">
        <f t="shared" ref="I2310:I2315" si="383">"0"</f>
        <v>0</v>
      </c>
      <c r="J2310" t="str">
        <f>"42"</f>
        <v>42</v>
      </c>
      <c r="K2310">
        <v>20190726</v>
      </c>
      <c r="L2310" t="str">
        <f>"077484"</f>
        <v>077484</v>
      </c>
      <c r="M2310" t="str">
        <f>"13039"</f>
        <v>13039</v>
      </c>
      <c r="N2310" t="s">
        <v>1424</v>
      </c>
      <c r="O2310">
        <v>297.31</v>
      </c>
      <c r="P2310">
        <v>20190725</v>
      </c>
      <c r="Q2310" t="s">
        <v>1397</v>
      </c>
      <c r="R2310" t="s">
        <v>1398</v>
      </c>
      <c r="S2310" t="s">
        <v>295</v>
      </c>
      <c r="T2310" t="s">
        <v>301</v>
      </c>
    </row>
    <row r="2311" spans="1:20" x14ac:dyDescent="0.25">
      <c r="A2311">
        <v>9</v>
      </c>
      <c r="B2311">
        <v>181</v>
      </c>
      <c r="C2311" t="str">
        <f t="shared" si="378"/>
        <v>36</v>
      </c>
      <c r="D2311">
        <v>6399</v>
      </c>
      <c r="E2311" t="str">
        <f>"3F"</f>
        <v>3F</v>
      </c>
      <c r="F2311" t="str">
        <f t="shared" si="379"/>
        <v>001</v>
      </c>
      <c r="G2311">
        <v>9</v>
      </c>
      <c r="H2311" t="str">
        <f t="shared" si="380"/>
        <v>91</v>
      </c>
      <c r="I2311" t="str">
        <f t="shared" si="383"/>
        <v>0</v>
      </c>
      <c r="J2311" t="str">
        <f>"39"</f>
        <v>39</v>
      </c>
      <c r="K2311">
        <v>20190726</v>
      </c>
      <c r="L2311" t="str">
        <f>"077485"</f>
        <v>077485</v>
      </c>
      <c r="M2311" t="str">
        <f>"08788"</f>
        <v>08788</v>
      </c>
      <c r="N2311" t="s">
        <v>473</v>
      </c>
      <c r="O2311" s="1">
        <v>1141.2</v>
      </c>
      <c r="P2311">
        <v>20190724</v>
      </c>
      <c r="Q2311" t="s">
        <v>466</v>
      </c>
      <c r="R2311" t="s">
        <v>1425</v>
      </c>
      <c r="S2311" t="s">
        <v>295</v>
      </c>
      <c r="T2311" t="s">
        <v>301</v>
      </c>
    </row>
    <row r="2312" spans="1:20" x14ac:dyDescent="0.25">
      <c r="A2312">
        <v>9</v>
      </c>
      <c r="B2312">
        <v>181</v>
      </c>
      <c r="C2312" t="str">
        <f t="shared" si="378"/>
        <v>36</v>
      </c>
      <c r="D2312">
        <v>6399</v>
      </c>
      <c r="E2312" t="str">
        <f>"3F"</f>
        <v>3F</v>
      </c>
      <c r="F2312" t="str">
        <f>"041"</f>
        <v>041</v>
      </c>
      <c r="G2312">
        <v>9</v>
      </c>
      <c r="H2312" t="str">
        <f t="shared" si="380"/>
        <v>91</v>
      </c>
      <c r="I2312" t="str">
        <f t="shared" si="383"/>
        <v>0</v>
      </c>
      <c r="J2312" t="str">
        <f>"41"</f>
        <v>41</v>
      </c>
      <c r="K2312">
        <v>20190726</v>
      </c>
      <c r="L2312" t="str">
        <f>"077485"</f>
        <v>077485</v>
      </c>
      <c r="M2312" t="str">
        <f>"08788"</f>
        <v>08788</v>
      </c>
      <c r="N2312" t="s">
        <v>473</v>
      </c>
      <c r="O2312">
        <v>381</v>
      </c>
      <c r="P2312">
        <v>20190724</v>
      </c>
      <c r="Q2312" t="s">
        <v>1121</v>
      </c>
      <c r="R2312" t="s">
        <v>1426</v>
      </c>
      <c r="S2312" t="s">
        <v>295</v>
      </c>
      <c r="T2312" t="s">
        <v>106</v>
      </c>
    </row>
    <row r="2313" spans="1:20" x14ac:dyDescent="0.25">
      <c r="A2313">
        <v>9</v>
      </c>
      <c r="B2313">
        <v>181</v>
      </c>
      <c r="C2313" t="str">
        <f t="shared" si="378"/>
        <v>36</v>
      </c>
      <c r="D2313">
        <v>6399</v>
      </c>
      <c r="E2313" t="str">
        <f>"3F"</f>
        <v>3F</v>
      </c>
      <c r="F2313" t="str">
        <f>"041"</f>
        <v>041</v>
      </c>
      <c r="G2313">
        <v>9</v>
      </c>
      <c r="H2313" t="str">
        <f t="shared" si="380"/>
        <v>91</v>
      </c>
      <c r="I2313" t="str">
        <f t="shared" si="383"/>
        <v>0</v>
      </c>
      <c r="J2313" t="str">
        <f>"41"</f>
        <v>41</v>
      </c>
      <c r="K2313">
        <v>20190726</v>
      </c>
      <c r="L2313" t="str">
        <f>"077485"</f>
        <v>077485</v>
      </c>
      <c r="M2313" t="str">
        <f>"08788"</f>
        <v>08788</v>
      </c>
      <c r="N2313" t="s">
        <v>473</v>
      </c>
      <c r="O2313" s="1">
        <v>6941</v>
      </c>
      <c r="P2313">
        <v>20190724</v>
      </c>
      <c r="Q2313" t="s">
        <v>1121</v>
      </c>
      <c r="R2313" t="s">
        <v>1425</v>
      </c>
      <c r="S2313" t="s">
        <v>295</v>
      </c>
      <c r="T2313" t="s">
        <v>106</v>
      </c>
    </row>
    <row r="2314" spans="1:20" x14ac:dyDescent="0.25">
      <c r="A2314">
        <v>9</v>
      </c>
      <c r="B2314">
        <v>181</v>
      </c>
      <c r="C2314" t="str">
        <f t="shared" si="378"/>
        <v>36</v>
      </c>
      <c r="D2314">
        <v>6399</v>
      </c>
      <c r="E2314" t="str">
        <f>"3P"</f>
        <v>3P</v>
      </c>
      <c r="F2314" t="str">
        <f t="shared" ref="F2314:F2323" si="384">"001"</f>
        <v>001</v>
      </c>
      <c r="G2314">
        <v>9</v>
      </c>
      <c r="H2314" t="str">
        <f t="shared" si="380"/>
        <v>91</v>
      </c>
      <c r="I2314" t="str">
        <f t="shared" si="383"/>
        <v>0</v>
      </c>
      <c r="J2314" t="str">
        <f>"39"</f>
        <v>39</v>
      </c>
      <c r="K2314">
        <v>20190726</v>
      </c>
      <c r="L2314" t="str">
        <f>"077485"</f>
        <v>077485</v>
      </c>
      <c r="M2314" t="str">
        <f>"08788"</f>
        <v>08788</v>
      </c>
      <c r="N2314" t="s">
        <v>473</v>
      </c>
      <c r="O2314">
        <v>405</v>
      </c>
      <c r="P2314">
        <v>20190724</v>
      </c>
      <c r="Q2314" t="s">
        <v>839</v>
      </c>
      <c r="R2314" t="s">
        <v>1427</v>
      </c>
      <c r="S2314" t="s">
        <v>295</v>
      </c>
      <c r="T2314" t="s">
        <v>301</v>
      </c>
    </row>
    <row r="2315" spans="1:20" x14ac:dyDescent="0.25">
      <c r="A2315">
        <v>9</v>
      </c>
      <c r="B2315">
        <v>181</v>
      </c>
      <c r="C2315" t="str">
        <f t="shared" si="378"/>
        <v>36</v>
      </c>
      <c r="D2315">
        <v>6219</v>
      </c>
      <c r="E2315" t="str">
        <f>"09"</f>
        <v>09</v>
      </c>
      <c r="F2315" t="str">
        <f t="shared" si="384"/>
        <v>001</v>
      </c>
      <c r="G2315">
        <v>9</v>
      </c>
      <c r="H2315" t="str">
        <f t="shared" si="380"/>
        <v>91</v>
      </c>
      <c r="I2315" t="str">
        <f t="shared" si="383"/>
        <v>0</v>
      </c>
      <c r="J2315" t="str">
        <f>"42"</f>
        <v>42</v>
      </c>
      <c r="K2315">
        <v>20190726</v>
      </c>
      <c r="L2315" t="str">
        <f>"077523"</f>
        <v>077523</v>
      </c>
      <c r="M2315" t="str">
        <f>"00856"</f>
        <v>00856</v>
      </c>
      <c r="N2315" t="s">
        <v>1428</v>
      </c>
      <c r="O2315">
        <v>145</v>
      </c>
      <c r="P2315">
        <v>20190725</v>
      </c>
      <c r="Q2315" t="s">
        <v>1397</v>
      </c>
      <c r="R2315" t="s">
        <v>1398</v>
      </c>
      <c r="S2315" t="s">
        <v>295</v>
      </c>
      <c r="T2315" t="s">
        <v>301</v>
      </c>
    </row>
    <row r="2316" spans="1:20" x14ac:dyDescent="0.25">
      <c r="A2316">
        <v>9</v>
      </c>
      <c r="B2316">
        <v>181</v>
      </c>
      <c r="C2316" t="str">
        <f t="shared" si="378"/>
        <v>36</v>
      </c>
      <c r="D2316">
        <v>6412</v>
      </c>
      <c r="E2316" t="str">
        <f>"09"</f>
        <v>09</v>
      </c>
      <c r="F2316" t="str">
        <f t="shared" si="384"/>
        <v>001</v>
      </c>
      <c r="G2316">
        <v>9</v>
      </c>
      <c r="H2316" t="str">
        <f t="shared" si="380"/>
        <v>91</v>
      </c>
      <c r="I2316" t="str">
        <f>"1"</f>
        <v>1</v>
      </c>
      <c r="J2316" t="str">
        <f t="shared" ref="J2316:J2323" si="385">"39"</f>
        <v>39</v>
      </c>
      <c r="K2316">
        <v>20190802</v>
      </c>
      <c r="L2316" t="str">
        <f>"077541"</f>
        <v>077541</v>
      </c>
      <c r="M2316" t="str">
        <f>"30744"</f>
        <v>30744</v>
      </c>
      <c r="N2316" t="s">
        <v>422</v>
      </c>
      <c r="O2316">
        <v>27.26</v>
      </c>
      <c r="P2316">
        <v>20190801</v>
      </c>
      <c r="Q2316" t="s">
        <v>1297</v>
      </c>
      <c r="R2316" t="s">
        <v>1423</v>
      </c>
      <c r="S2316" t="s">
        <v>295</v>
      </c>
      <c r="T2316" t="s">
        <v>301</v>
      </c>
    </row>
    <row r="2317" spans="1:20" x14ac:dyDescent="0.25">
      <c r="A2317">
        <v>9</v>
      </c>
      <c r="B2317">
        <v>181</v>
      </c>
      <c r="C2317" t="str">
        <f t="shared" si="378"/>
        <v>36</v>
      </c>
      <c r="D2317">
        <v>6412</v>
      </c>
      <c r="E2317" t="str">
        <f>"09"</f>
        <v>09</v>
      </c>
      <c r="F2317" t="str">
        <f t="shared" si="384"/>
        <v>001</v>
      </c>
      <c r="G2317">
        <v>9</v>
      </c>
      <c r="H2317" t="str">
        <f t="shared" si="380"/>
        <v>91</v>
      </c>
      <c r="I2317" t="str">
        <f>"1"</f>
        <v>1</v>
      </c>
      <c r="J2317" t="str">
        <f t="shared" si="385"/>
        <v>39</v>
      </c>
      <c r="K2317">
        <v>20190802</v>
      </c>
      <c r="L2317" t="str">
        <f>"077541"</f>
        <v>077541</v>
      </c>
      <c r="M2317" t="str">
        <f>"30744"</f>
        <v>30744</v>
      </c>
      <c r="N2317" t="s">
        <v>422</v>
      </c>
      <c r="O2317">
        <v>21.68</v>
      </c>
      <c r="P2317">
        <v>20190801</v>
      </c>
      <c r="Q2317" t="s">
        <v>1297</v>
      </c>
      <c r="R2317" t="s">
        <v>1423</v>
      </c>
      <c r="S2317" t="s">
        <v>295</v>
      </c>
      <c r="T2317" t="s">
        <v>301</v>
      </c>
    </row>
    <row r="2318" spans="1:20" x14ac:dyDescent="0.25">
      <c r="A2318">
        <v>9</v>
      </c>
      <c r="B2318">
        <v>181</v>
      </c>
      <c r="C2318" t="str">
        <f t="shared" si="378"/>
        <v>36</v>
      </c>
      <c r="D2318">
        <v>6412</v>
      </c>
      <c r="E2318" t="str">
        <f>"09"</f>
        <v>09</v>
      </c>
      <c r="F2318" t="str">
        <f t="shared" si="384"/>
        <v>001</v>
      </c>
      <c r="G2318">
        <v>9</v>
      </c>
      <c r="H2318" t="str">
        <f t="shared" si="380"/>
        <v>91</v>
      </c>
      <c r="I2318" t="str">
        <f>"1"</f>
        <v>1</v>
      </c>
      <c r="J2318" t="str">
        <f t="shared" si="385"/>
        <v>39</v>
      </c>
      <c r="K2318">
        <v>20190802</v>
      </c>
      <c r="L2318" t="str">
        <f>"077541"</f>
        <v>077541</v>
      </c>
      <c r="M2318" t="str">
        <f>"30744"</f>
        <v>30744</v>
      </c>
      <c r="N2318" t="s">
        <v>422</v>
      </c>
      <c r="O2318">
        <v>3.65</v>
      </c>
      <c r="P2318">
        <v>20190801</v>
      </c>
      <c r="Q2318" t="s">
        <v>1297</v>
      </c>
      <c r="R2318" t="s">
        <v>1423</v>
      </c>
      <c r="S2318" t="s">
        <v>295</v>
      </c>
      <c r="T2318" t="s">
        <v>301</v>
      </c>
    </row>
    <row r="2319" spans="1:20" x14ac:dyDescent="0.25">
      <c r="A2319">
        <v>9</v>
      </c>
      <c r="B2319">
        <v>181</v>
      </c>
      <c r="C2319" t="str">
        <f t="shared" si="378"/>
        <v>36</v>
      </c>
      <c r="D2319">
        <v>6412</v>
      </c>
      <c r="E2319" t="str">
        <f>"3C"</f>
        <v>3C</v>
      </c>
      <c r="F2319" t="str">
        <f t="shared" si="384"/>
        <v>001</v>
      </c>
      <c r="G2319">
        <v>9</v>
      </c>
      <c r="H2319" t="str">
        <f t="shared" si="380"/>
        <v>91</v>
      </c>
      <c r="I2319" t="str">
        <f>"2"</f>
        <v>2</v>
      </c>
      <c r="J2319" t="str">
        <f t="shared" si="385"/>
        <v>39</v>
      </c>
      <c r="K2319">
        <v>20190802</v>
      </c>
      <c r="L2319" t="str">
        <f>"077545"</f>
        <v>077545</v>
      </c>
      <c r="M2319" t="str">
        <f>"33851"</f>
        <v>33851</v>
      </c>
      <c r="N2319" t="s">
        <v>1429</v>
      </c>
      <c r="O2319">
        <v>350</v>
      </c>
      <c r="P2319">
        <v>20190801</v>
      </c>
      <c r="Q2319" t="s">
        <v>300</v>
      </c>
      <c r="R2319" t="s">
        <v>1430</v>
      </c>
      <c r="S2319" t="s">
        <v>295</v>
      </c>
      <c r="T2319" t="s">
        <v>301</v>
      </c>
    </row>
    <row r="2320" spans="1:20" x14ac:dyDescent="0.25">
      <c r="A2320">
        <v>9</v>
      </c>
      <c r="B2320">
        <v>181</v>
      </c>
      <c r="C2320" t="str">
        <f t="shared" si="378"/>
        <v>36</v>
      </c>
      <c r="D2320">
        <v>6399</v>
      </c>
      <c r="E2320" t="str">
        <f>"30"</f>
        <v>30</v>
      </c>
      <c r="F2320" t="str">
        <f t="shared" si="384"/>
        <v>001</v>
      </c>
      <c r="G2320">
        <v>9</v>
      </c>
      <c r="H2320" t="str">
        <f t="shared" si="380"/>
        <v>91</v>
      </c>
      <c r="I2320" t="str">
        <f>"0"</f>
        <v>0</v>
      </c>
      <c r="J2320" t="str">
        <f t="shared" si="385"/>
        <v>39</v>
      </c>
      <c r="K2320">
        <v>20190802</v>
      </c>
      <c r="L2320" t="str">
        <f>"077554"</f>
        <v>077554</v>
      </c>
      <c r="M2320" t="str">
        <f>"58207"</f>
        <v>58207</v>
      </c>
      <c r="N2320" t="s">
        <v>292</v>
      </c>
      <c r="O2320">
        <v>167.75</v>
      </c>
      <c r="P2320">
        <v>20190801</v>
      </c>
      <c r="Q2320" t="s">
        <v>640</v>
      </c>
      <c r="R2320" t="s">
        <v>1431</v>
      </c>
      <c r="S2320" t="s">
        <v>295</v>
      </c>
      <c r="T2320" t="s">
        <v>301</v>
      </c>
    </row>
    <row r="2321" spans="1:20" x14ac:dyDescent="0.25">
      <c r="A2321">
        <v>9</v>
      </c>
      <c r="B2321">
        <v>181</v>
      </c>
      <c r="C2321" t="str">
        <f t="shared" si="378"/>
        <v>36</v>
      </c>
      <c r="D2321">
        <v>6412</v>
      </c>
      <c r="E2321" t="str">
        <f>"09"</f>
        <v>09</v>
      </c>
      <c r="F2321" t="str">
        <f t="shared" si="384"/>
        <v>001</v>
      </c>
      <c r="G2321">
        <v>9</v>
      </c>
      <c r="H2321" t="str">
        <f t="shared" si="380"/>
        <v>91</v>
      </c>
      <c r="I2321" t="str">
        <f>"G"</f>
        <v>G</v>
      </c>
      <c r="J2321" t="str">
        <f t="shared" si="385"/>
        <v>39</v>
      </c>
      <c r="K2321">
        <v>20190802</v>
      </c>
      <c r="L2321" t="str">
        <f>"077554"</f>
        <v>077554</v>
      </c>
      <c r="M2321" t="str">
        <f>"58207"</f>
        <v>58207</v>
      </c>
      <c r="N2321" t="s">
        <v>292</v>
      </c>
      <c r="O2321">
        <v>45</v>
      </c>
      <c r="P2321">
        <v>20190801</v>
      </c>
      <c r="Q2321" t="s">
        <v>1279</v>
      </c>
      <c r="R2321" t="s">
        <v>1431</v>
      </c>
      <c r="S2321" t="s">
        <v>295</v>
      </c>
      <c r="T2321" t="s">
        <v>301</v>
      </c>
    </row>
    <row r="2322" spans="1:20" x14ac:dyDescent="0.25">
      <c r="A2322">
        <v>9</v>
      </c>
      <c r="B2322">
        <v>181</v>
      </c>
      <c r="C2322" t="str">
        <f t="shared" si="378"/>
        <v>36</v>
      </c>
      <c r="D2322">
        <v>6412</v>
      </c>
      <c r="E2322" t="str">
        <f>"09"</f>
        <v>09</v>
      </c>
      <c r="F2322" t="str">
        <f t="shared" si="384"/>
        <v>001</v>
      </c>
      <c r="G2322">
        <v>9</v>
      </c>
      <c r="H2322" t="str">
        <f t="shared" si="380"/>
        <v>91</v>
      </c>
      <c r="I2322" t="str">
        <f>"1"</f>
        <v>1</v>
      </c>
      <c r="J2322" t="str">
        <f t="shared" si="385"/>
        <v>39</v>
      </c>
      <c r="K2322">
        <v>20190802</v>
      </c>
      <c r="L2322" t="str">
        <f>"077555"</f>
        <v>077555</v>
      </c>
      <c r="M2322" t="str">
        <f>"58207"</f>
        <v>58207</v>
      </c>
      <c r="N2322" t="s">
        <v>292</v>
      </c>
      <c r="O2322">
        <v>125</v>
      </c>
      <c r="P2322">
        <v>20190801</v>
      </c>
      <c r="Q2322" t="s">
        <v>1297</v>
      </c>
      <c r="R2322" t="s">
        <v>1423</v>
      </c>
      <c r="S2322" t="s">
        <v>295</v>
      </c>
      <c r="T2322" t="s">
        <v>301</v>
      </c>
    </row>
    <row r="2323" spans="1:20" x14ac:dyDescent="0.25">
      <c r="A2323">
        <v>9</v>
      </c>
      <c r="B2323">
        <v>181</v>
      </c>
      <c r="C2323" t="str">
        <f t="shared" si="378"/>
        <v>36</v>
      </c>
      <c r="D2323">
        <v>6412</v>
      </c>
      <c r="E2323" t="str">
        <f>"3T"</f>
        <v>3T</v>
      </c>
      <c r="F2323" t="str">
        <f t="shared" si="384"/>
        <v>001</v>
      </c>
      <c r="G2323">
        <v>9</v>
      </c>
      <c r="H2323" t="str">
        <f t="shared" si="380"/>
        <v>91</v>
      </c>
      <c r="I2323" t="str">
        <f>"1"</f>
        <v>1</v>
      </c>
      <c r="J2323" t="str">
        <f t="shared" si="385"/>
        <v>39</v>
      </c>
      <c r="K2323">
        <v>20190802</v>
      </c>
      <c r="L2323" t="str">
        <f>"077557"</f>
        <v>077557</v>
      </c>
      <c r="M2323" t="str">
        <f>"68107"</f>
        <v>68107</v>
      </c>
      <c r="N2323" t="s">
        <v>449</v>
      </c>
      <c r="O2323">
        <v>492</v>
      </c>
      <c r="P2323">
        <v>20190801</v>
      </c>
      <c r="Q2323" t="s">
        <v>419</v>
      </c>
      <c r="R2323" t="s">
        <v>1432</v>
      </c>
      <c r="S2323" t="s">
        <v>295</v>
      </c>
      <c r="T2323" t="s">
        <v>301</v>
      </c>
    </row>
    <row r="2324" spans="1:20" x14ac:dyDescent="0.25">
      <c r="A2324">
        <v>9</v>
      </c>
      <c r="B2324">
        <v>181</v>
      </c>
      <c r="C2324" t="str">
        <f>"00"</f>
        <v>00</v>
      </c>
      <c r="D2324">
        <v>1109</v>
      </c>
      <c r="E2324" t="str">
        <f>"01"</f>
        <v>01</v>
      </c>
      <c r="F2324" t="str">
        <f>"000"</f>
        <v>000</v>
      </c>
      <c r="G2324">
        <v>9</v>
      </c>
      <c r="H2324" t="str">
        <f>"00"</f>
        <v>00</v>
      </c>
      <c r="I2324" t="str">
        <f>"0"</f>
        <v>0</v>
      </c>
      <c r="J2324" t="str">
        <f>"00"</f>
        <v>00</v>
      </c>
      <c r="K2324">
        <v>20190805</v>
      </c>
      <c r="L2324" t="str">
        <f>"077561"</f>
        <v>077561</v>
      </c>
      <c r="M2324" t="str">
        <f>"52196"</f>
        <v>52196</v>
      </c>
      <c r="N2324" t="s">
        <v>292</v>
      </c>
      <c r="O2324" s="1">
        <v>1500</v>
      </c>
      <c r="P2324">
        <v>20190805</v>
      </c>
      <c r="Q2324" t="s">
        <v>293</v>
      </c>
      <c r="R2324" t="s">
        <v>1433</v>
      </c>
      <c r="S2324" t="s">
        <v>295</v>
      </c>
      <c r="T2324" t="s">
        <v>296</v>
      </c>
    </row>
    <row r="2325" spans="1:20" x14ac:dyDescent="0.25">
      <c r="A2325">
        <v>9</v>
      </c>
      <c r="B2325">
        <v>181</v>
      </c>
      <c r="C2325" t="str">
        <f t="shared" ref="C2325:C2331" si="386">"36"</f>
        <v>36</v>
      </c>
      <c r="D2325">
        <v>6399</v>
      </c>
      <c r="E2325" t="str">
        <f>"30"</f>
        <v>30</v>
      </c>
      <c r="F2325" t="str">
        <f>"001"</f>
        <v>001</v>
      </c>
      <c r="G2325">
        <v>9</v>
      </c>
      <c r="H2325" t="str">
        <f t="shared" ref="H2325:H2331" si="387">"91"</f>
        <v>91</v>
      </c>
      <c r="I2325" t="str">
        <f>"0"</f>
        <v>0</v>
      </c>
      <c r="J2325" t="str">
        <f>"39"</f>
        <v>39</v>
      </c>
      <c r="K2325">
        <v>20190809</v>
      </c>
      <c r="L2325" t="str">
        <f>"077562"</f>
        <v>077562</v>
      </c>
      <c r="M2325" t="str">
        <f>"03710"</f>
        <v>03710</v>
      </c>
      <c r="N2325" t="s">
        <v>1385</v>
      </c>
      <c r="O2325">
        <v>318.36</v>
      </c>
      <c r="P2325">
        <v>20190806</v>
      </c>
      <c r="Q2325" t="s">
        <v>640</v>
      </c>
      <c r="R2325" t="s">
        <v>1434</v>
      </c>
      <c r="S2325" t="s">
        <v>295</v>
      </c>
      <c r="T2325" t="s">
        <v>301</v>
      </c>
    </row>
    <row r="2326" spans="1:20" x14ac:dyDescent="0.25">
      <c r="A2326">
        <v>9</v>
      </c>
      <c r="B2326">
        <v>181</v>
      </c>
      <c r="C2326" t="str">
        <f t="shared" si="386"/>
        <v>36</v>
      </c>
      <c r="D2326">
        <v>6399</v>
      </c>
      <c r="E2326" t="str">
        <f>"3F"</f>
        <v>3F</v>
      </c>
      <c r="F2326" t="str">
        <f>"001"</f>
        <v>001</v>
      </c>
      <c r="G2326">
        <v>9</v>
      </c>
      <c r="H2326" t="str">
        <f t="shared" si="387"/>
        <v>91</v>
      </c>
      <c r="I2326" t="str">
        <f>"0"</f>
        <v>0</v>
      </c>
      <c r="J2326" t="str">
        <f>"39"</f>
        <v>39</v>
      </c>
      <c r="K2326">
        <v>20190809</v>
      </c>
      <c r="L2326" t="str">
        <f>"077581"</f>
        <v>077581</v>
      </c>
      <c r="M2326" t="str">
        <f>"08788"</f>
        <v>08788</v>
      </c>
      <c r="N2326" t="s">
        <v>473</v>
      </c>
      <c r="O2326">
        <v>258.8</v>
      </c>
      <c r="P2326">
        <v>20190807</v>
      </c>
      <c r="Q2326" t="s">
        <v>466</v>
      </c>
      <c r="R2326" t="s">
        <v>1435</v>
      </c>
      <c r="S2326" t="s">
        <v>295</v>
      </c>
      <c r="T2326" t="s">
        <v>301</v>
      </c>
    </row>
    <row r="2327" spans="1:20" x14ac:dyDescent="0.25">
      <c r="A2327">
        <v>9</v>
      </c>
      <c r="B2327">
        <v>181</v>
      </c>
      <c r="C2327" t="str">
        <f t="shared" si="386"/>
        <v>36</v>
      </c>
      <c r="D2327">
        <v>6412</v>
      </c>
      <c r="E2327" t="str">
        <f>"3T"</f>
        <v>3T</v>
      </c>
      <c r="F2327" t="str">
        <f>"001"</f>
        <v>001</v>
      </c>
      <c r="G2327">
        <v>9</v>
      </c>
      <c r="H2327" t="str">
        <f t="shared" si="387"/>
        <v>91</v>
      </c>
      <c r="I2327" t="str">
        <f>"1"</f>
        <v>1</v>
      </c>
      <c r="J2327" t="str">
        <f>"39"</f>
        <v>39</v>
      </c>
      <c r="K2327">
        <v>20190809</v>
      </c>
      <c r="L2327" t="str">
        <f>"077588"</f>
        <v>077588</v>
      </c>
      <c r="M2327" t="str">
        <f>"20463"</f>
        <v>20463</v>
      </c>
      <c r="N2327" t="s">
        <v>509</v>
      </c>
      <c r="O2327">
        <v>104.32</v>
      </c>
      <c r="P2327">
        <v>20190808</v>
      </c>
      <c r="Q2327" t="s">
        <v>419</v>
      </c>
      <c r="R2327" t="s">
        <v>1436</v>
      </c>
      <c r="S2327" t="s">
        <v>295</v>
      </c>
      <c r="T2327" t="s">
        <v>301</v>
      </c>
    </row>
    <row r="2328" spans="1:20" x14ac:dyDescent="0.25">
      <c r="A2328">
        <v>9</v>
      </c>
      <c r="B2328">
        <v>181</v>
      </c>
      <c r="C2328" t="str">
        <f t="shared" si="386"/>
        <v>36</v>
      </c>
      <c r="D2328">
        <v>6412</v>
      </c>
      <c r="E2328" t="str">
        <f>"09"</f>
        <v>09</v>
      </c>
      <c r="F2328" t="str">
        <f>"001"</f>
        <v>001</v>
      </c>
      <c r="G2328">
        <v>9</v>
      </c>
      <c r="H2328" t="str">
        <f t="shared" si="387"/>
        <v>91</v>
      </c>
      <c r="I2328" t="str">
        <f>"1"</f>
        <v>1</v>
      </c>
      <c r="J2328" t="str">
        <f>"39"</f>
        <v>39</v>
      </c>
      <c r="K2328">
        <v>20190809</v>
      </c>
      <c r="L2328" t="str">
        <f>"077603"</f>
        <v>077603</v>
      </c>
      <c r="M2328" t="str">
        <f>"28680"</f>
        <v>28680</v>
      </c>
      <c r="N2328" t="s">
        <v>482</v>
      </c>
      <c r="O2328">
        <v>74</v>
      </c>
      <c r="P2328">
        <v>20190807</v>
      </c>
      <c r="Q2328" t="s">
        <v>1297</v>
      </c>
      <c r="R2328" t="s">
        <v>1423</v>
      </c>
      <c r="S2328" t="s">
        <v>295</v>
      </c>
      <c r="T2328" t="s">
        <v>301</v>
      </c>
    </row>
    <row r="2329" spans="1:20" x14ac:dyDescent="0.25">
      <c r="A2329">
        <v>9</v>
      </c>
      <c r="B2329">
        <v>181</v>
      </c>
      <c r="C2329" t="str">
        <f t="shared" si="386"/>
        <v>36</v>
      </c>
      <c r="D2329">
        <v>6412</v>
      </c>
      <c r="E2329" t="str">
        <f>"3Y"</f>
        <v>3Y</v>
      </c>
      <c r="F2329" t="str">
        <f>"001"</f>
        <v>001</v>
      </c>
      <c r="G2329">
        <v>9</v>
      </c>
      <c r="H2329" t="str">
        <f t="shared" si="387"/>
        <v>91</v>
      </c>
      <c r="I2329" t="str">
        <f>"1"</f>
        <v>1</v>
      </c>
      <c r="J2329" t="str">
        <f>"39"</f>
        <v>39</v>
      </c>
      <c r="K2329">
        <v>20190809</v>
      </c>
      <c r="L2329" t="str">
        <f>"077612"</f>
        <v>077612</v>
      </c>
      <c r="M2329" t="str">
        <f>"81632"</f>
        <v>81632</v>
      </c>
      <c r="N2329" t="s">
        <v>785</v>
      </c>
      <c r="O2329">
        <v>550</v>
      </c>
      <c r="P2329">
        <v>20190807</v>
      </c>
      <c r="Q2329" t="s">
        <v>350</v>
      </c>
      <c r="R2329" t="s">
        <v>1437</v>
      </c>
      <c r="S2329" t="s">
        <v>295</v>
      </c>
      <c r="T2329" t="s">
        <v>301</v>
      </c>
    </row>
    <row r="2330" spans="1:20" x14ac:dyDescent="0.25">
      <c r="A2330">
        <v>9</v>
      </c>
      <c r="B2330">
        <v>181</v>
      </c>
      <c r="C2330" t="str">
        <f t="shared" si="386"/>
        <v>36</v>
      </c>
      <c r="D2330">
        <v>6412</v>
      </c>
      <c r="E2330" t="str">
        <f>"3C"</f>
        <v>3C</v>
      </c>
      <c r="F2330" t="str">
        <f>"041"</f>
        <v>041</v>
      </c>
      <c r="G2330">
        <v>9</v>
      </c>
      <c r="H2330" t="str">
        <f t="shared" si="387"/>
        <v>91</v>
      </c>
      <c r="I2330" t="str">
        <f>"2"</f>
        <v>2</v>
      </c>
      <c r="J2330" t="str">
        <f>"41"</f>
        <v>41</v>
      </c>
      <c r="K2330">
        <v>20190809</v>
      </c>
      <c r="L2330" t="str">
        <f>"077639"</f>
        <v>077639</v>
      </c>
      <c r="M2330" t="str">
        <f>"53201"</f>
        <v>53201</v>
      </c>
      <c r="N2330" t="s">
        <v>991</v>
      </c>
      <c r="O2330">
        <v>120</v>
      </c>
      <c r="P2330">
        <v>20190807</v>
      </c>
      <c r="Q2330" t="s">
        <v>298</v>
      </c>
      <c r="R2330" t="s">
        <v>1438</v>
      </c>
      <c r="S2330" t="s">
        <v>295</v>
      </c>
      <c r="T2330" t="s">
        <v>106</v>
      </c>
    </row>
    <row r="2331" spans="1:20" x14ac:dyDescent="0.25">
      <c r="A2331">
        <v>9</v>
      </c>
      <c r="B2331">
        <v>181</v>
      </c>
      <c r="C2331" t="str">
        <f t="shared" si="386"/>
        <v>36</v>
      </c>
      <c r="D2331">
        <v>6412</v>
      </c>
      <c r="E2331" t="str">
        <f>"3C"</f>
        <v>3C</v>
      </c>
      <c r="F2331" t="str">
        <f>"001"</f>
        <v>001</v>
      </c>
      <c r="G2331">
        <v>9</v>
      </c>
      <c r="H2331" t="str">
        <f t="shared" si="387"/>
        <v>91</v>
      </c>
      <c r="I2331" t="str">
        <f>"2"</f>
        <v>2</v>
      </c>
      <c r="J2331" t="str">
        <f>"39"</f>
        <v>39</v>
      </c>
      <c r="K2331">
        <v>20190809</v>
      </c>
      <c r="L2331" t="str">
        <f>"077640"</f>
        <v>077640</v>
      </c>
      <c r="M2331" t="str">
        <f>"53201"</f>
        <v>53201</v>
      </c>
      <c r="N2331" t="s">
        <v>991</v>
      </c>
      <c r="O2331">
        <v>240</v>
      </c>
      <c r="P2331">
        <v>20190807</v>
      </c>
      <c r="Q2331" t="s">
        <v>300</v>
      </c>
      <c r="R2331" t="s">
        <v>1439</v>
      </c>
      <c r="S2331" t="s">
        <v>295</v>
      </c>
      <c r="T2331" t="s">
        <v>301</v>
      </c>
    </row>
    <row r="2332" spans="1:20" x14ac:dyDescent="0.25">
      <c r="A2332">
        <v>9</v>
      </c>
      <c r="B2332">
        <v>181</v>
      </c>
      <c r="C2332" t="str">
        <f>"00"</f>
        <v>00</v>
      </c>
      <c r="D2332">
        <v>1109</v>
      </c>
      <c r="E2332" t="str">
        <f>"01"</f>
        <v>01</v>
      </c>
      <c r="F2332" t="str">
        <f>"041"</f>
        <v>041</v>
      </c>
      <c r="G2332">
        <v>9</v>
      </c>
      <c r="H2332" t="str">
        <f>"00"</f>
        <v>00</v>
      </c>
      <c r="I2332" t="str">
        <f>"0"</f>
        <v>0</v>
      </c>
      <c r="J2332" t="str">
        <f>"00"</f>
        <v>00</v>
      </c>
      <c r="K2332">
        <v>20190809</v>
      </c>
      <c r="L2332" t="str">
        <f>"077657"</f>
        <v>077657</v>
      </c>
      <c r="M2332" t="str">
        <f>"64524"</f>
        <v>64524</v>
      </c>
      <c r="N2332" t="s">
        <v>1440</v>
      </c>
      <c r="O2332" s="1">
        <v>1500</v>
      </c>
      <c r="P2332">
        <v>20190807</v>
      </c>
      <c r="Q2332" t="s">
        <v>1441</v>
      </c>
      <c r="R2332" t="s">
        <v>1433</v>
      </c>
      <c r="S2332" t="s">
        <v>295</v>
      </c>
      <c r="T2332" t="s">
        <v>106</v>
      </c>
    </row>
    <row r="2333" spans="1:20" x14ac:dyDescent="0.25">
      <c r="A2333">
        <v>9</v>
      </c>
      <c r="B2333">
        <v>181</v>
      </c>
      <c r="C2333" t="str">
        <f t="shared" ref="C2333:C2373" si="388">"36"</f>
        <v>36</v>
      </c>
      <c r="D2333">
        <v>6219</v>
      </c>
      <c r="E2333" t="str">
        <f t="shared" ref="E2333:E2343" si="389">"3Y"</f>
        <v>3Y</v>
      </c>
      <c r="F2333" t="str">
        <f t="shared" ref="F2333:F2345" si="390">"001"</f>
        <v>001</v>
      </c>
      <c r="G2333">
        <v>9</v>
      </c>
      <c r="H2333" t="str">
        <f t="shared" ref="H2333:H2373" si="391">"91"</f>
        <v>91</v>
      </c>
      <c r="I2333" t="str">
        <f>"0"</f>
        <v>0</v>
      </c>
      <c r="J2333" t="str">
        <f t="shared" ref="J2333:J2345" si="392">"39"</f>
        <v>39</v>
      </c>
      <c r="K2333">
        <v>20190816</v>
      </c>
      <c r="L2333" t="str">
        <f>"077688"</f>
        <v>077688</v>
      </c>
      <c r="M2333" t="str">
        <f>"19294"</f>
        <v>19294</v>
      </c>
      <c r="N2333" t="s">
        <v>329</v>
      </c>
      <c r="O2333">
        <v>100</v>
      </c>
      <c r="P2333">
        <v>20190814</v>
      </c>
      <c r="Q2333" t="s">
        <v>330</v>
      </c>
      <c r="R2333" t="s">
        <v>1442</v>
      </c>
      <c r="S2333" t="s">
        <v>295</v>
      </c>
      <c r="T2333" t="s">
        <v>301</v>
      </c>
    </row>
    <row r="2334" spans="1:20" x14ac:dyDescent="0.25">
      <c r="A2334">
        <v>9</v>
      </c>
      <c r="B2334">
        <v>181</v>
      </c>
      <c r="C2334" t="str">
        <f t="shared" si="388"/>
        <v>36</v>
      </c>
      <c r="D2334">
        <v>6219</v>
      </c>
      <c r="E2334" t="str">
        <f t="shared" si="389"/>
        <v>3Y</v>
      </c>
      <c r="F2334" t="str">
        <f t="shared" si="390"/>
        <v>001</v>
      </c>
      <c r="G2334">
        <v>9</v>
      </c>
      <c r="H2334" t="str">
        <f t="shared" si="391"/>
        <v>91</v>
      </c>
      <c r="I2334" t="str">
        <f>"0"</f>
        <v>0</v>
      </c>
      <c r="J2334" t="str">
        <f t="shared" si="392"/>
        <v>39</v>
      </c>
      <c r="K2334">
        <v>20190816</v>
      </c>
      <c r="L2334" t="str">
        <f>"077690"</f>
        <v>077690</v>
      </c>
      <c r="M2334" t="str">
        <f>"20648"</f>
        <v>20648</v>
      </c>
      <c r="N2334" t="s">
        <v>1443</v>
      </c>
      <c r="O2334">
        <v>115</v>
      </c>
      <c r="P2334">
        <v>20190814</v>
      </c>
      <c r="Q2334" t="s">
        <v>330</v>
      </c>
      <c r="R2334" t="s">
        <v>1442</v>
      </c>
      <c r="S2334" t="s">
        <v>295</v>
      </c>
      <c r="T2334" t="s">
        <v>301</v>
      </c>
    </row>
    <row r="2335" spans="1:20" x14ac:dyDescent="0.25">
      <c r="A2335">
        <v>9</v>
      </c>
      <c r="B2335">
        <v>181</v>
      </c>
      <c r="C2335" t="str">
        <f t="shared" si="388"/>
        <v>36</v>
      </c>
      <c r="D2335">
        <v>6412</v>
      </c>
      <c r="E2335" t="str">
        <f t="shared" si="389"/>
        <v>3Y</v>
      </c>
      <c r="F2335" t="str">
        <f t="shared" si="390"/>
        <v>001</v>
      </c>
      <c r="G2335">
        <v>9</v>
      </c>
      <c r="H2335" t="str">
        <f t="shared" si="391"/>
        <v>91</v>
      </c>
      <c r="I2335" t="str">
        <f>"1"</f>
        <v>1</v>
      </c>
      <c r="J2335" t="str">
        <f t="shared" si="392"/>
        <v>39</v>
      </c>
      <c r="K2335">
        <v>20190816</v>
      </c>
      <c r="L2335" t="str">
        <f>"077701"</f>
        <v>077701</v>
      </c>
      <c r="M2335" t="str">
        <f>"30837"</f>
        <v>30837</v>
      </c>
      <c r="N2335" t="s">
        <v>621</v>
      </c>
      <c r="O2335">
        <v>86.44</v>
      </c>
      <c r="P2335">
        <v>20190814</v>
      </c>
      <c r="Q2335" t="s">
        <v>350</v>
      </c>
      <c r="R2335" t="s">
        <v>1444</v>
      </c>
      <c r="S2335" t="s">
        <v>295</v>
      </c>
      <c r="T2335" t="s">
        <v>301</v>
      </c>
    </row>
    <row r="2336" spans="1:20" x14ac:dyDescent="0.25">
      <c r="A2336">
        <v>9</v>
      </c>
      <c r="B2336">
        <v>181</v>
      </c>
      <c r="C2336" t="str">
        <f t="shared" si="388"/>
        <v>36</v>
      </c>
      <c r="D2336">
        <v>6412</v>
      </c>
      <c r="E2336" t="str">
        <f t="shared" si="389"/>
        <v>3Y</v>
      </c>
      <c r="F2336" t="str">
        <f t="shared" si="390"/>
        <v>001</v>
      </c>
      <c r="G2336">
        <v>9</v>
      </c>
      <c r="H2336" t="str">
        <f t="shared" si="391"/>
        <v>91</v>
      </c>
      <c r="I2336" t="str">
        <f>"1"</f>
        <v>1</v>
      </c>
      <c r="J2336" t="str">
        <f t="shared" si="392"/>
        <v>39</v>
      </c>
      <c r="K2336">
        <v>20190816</v>
      </c>
      <c r="L2336" t="str">
        <f>"077708"</f>
        <v>077708</v>
      </c>
      <c r="M2336" t="str">
        <f>"45093"</f>
        <v>45093</v>
      </c>
      <c r="N2336" t="s">
        <v>885</v>
      </c>
      <c r="O2336">
        <v>205.47</v>
      </c>
      <c r="P2336">
        <v>20190814</v>
      </c>
      <c r="Q2336" t="s">
        <v>350</v>
      </c>
      <c r="R2336" t="s">
        <v>1445</v>
      </c>
      <c r="S2336" t="s">
        <v>295</v>
      </c>
      <c r="T2336" t="s">
        <v>301</v>
      </c>
    </row>
    <row r="2337" spans="1:20" x14ac:dyDescent="0.25">
      <c r="A2337">
        <v>9</v>
      </c>
      <c r="B2337">
        <v>181</v>
      </c>
      <c r="C2337" t="str">
        <f t="shared" si="388"/>
        <v>36</v>
      </c>
      <c r="D2337">
        <v>6412</v>
      </c>
      <c r="E2337" t="str">
        <f t="shared" si="389"/>
        <v>3Y</v>
      </c>
      <c r="F2337" t="str">
        <f t="shared" si="390"/>
        <v>001</v>
      </c>
      <c r="G2337">
        <v>9</v>
      </c>
      <c r="H2337" t="str">
        <f t="shared" si="391"/>
        <v>91</v>
      </c>
      <c r="I2337" t="str">
        <f>"1"</f>
        <v>1</v>
      </c>
      <c r="J2337" t="str">
        <f t="shared" si="392"/>
        <v>39</v>
      </c>
      <c r="K2337">
        <v>20190816</v>
      </c>
      <c r="L2337" t="str">
        <f>"077708"</f>
        <v>077708</v>
      </c>
      <c r="M2337" t="str">
        <f>"45093"</f>
        <v>45093</v>
      </c>
      <c r="N2337" t="s">
        <v>885</v>
      </c>
      <c r="O2337">
        <v>226.67</v>
      </c>
      <c r="P2337">
        <v>20190814</v>
      </c>
      <c r="Q2337" t="s">
        <v>350</v>
      </c>
      <c r="R2337" t="s">
        <v>1446</v>
      </c>
      <c r="S2337" t="s">
        <v>295</v>
      </c>
      <c r="T2337" t="s">
        <v>301</v>
      </c>
    </row>
    <row r="2338" spans="1:20" x14ac:dyDescent="0.25">
      <c r="A2338">
        <v>9</v>
      </c>
      <c r="B2338">
        <v>181</v>
      </c>
      <c r="C2338" t="str">
        <f t="shared" si="388"/>
        <v>36</v>
      </c>
      <c r="D2338">
        <v>6219</v>
      </c>
      <c r="E2338" t="str">
        <f t="shared" si="389"/>
        <v>3Y</v>
      </c>
      <c r="F2338" t="str">
        <f t="shared" si="390"/>
        <v>001</v>
      </c>
      <c r="G2338">
        <v>9</v>
      </c>
      <c r="H2338" t="str">
        <f t="shared" si="391"/>
        <v>91</v>
      </c>
      <c r="I2338" t="str">
        <f>"0"</f>
        <v>0</v>
      </c>
      <c r="J2338" t="str">
        <f t="shared" si="392"/>
        <v>39</v>
      </c>
      <c r="K2338">
        <v>20190816</v>
      </c>
      <c r="L2338" t="str">
        <f>"077717"</f>
        <v>077717</v>
      </c>
      <c r="M2338" t="str">
        <f>"57987"</f>
        <v>57987</v>
      </c>
      <c r="N2338" t="s">
        <v>1447</v>
      </c>
      <c r="O2338">
        <v>115</v>
      </c>
      <c r="P2338">
        <v>20190814</v>
      </c>
      <c r="Q2338" t="s">
        <v>330</v>
      </c>
      <c r="R2338" t="s">
        <v>1442</v>
      </c>
      <c r="S2338" t="s">
        <v>295</v>
      </c>
      <c r="T2338" t="s">
        <v>301</v>
      </c>
    </row>
    <row r="2339" spans="1:20" x14ac:dyDescent="0.25">
      <c r="A2339">
        <v>9</v>
      </c>
      <c r="B2339">
        <v>181</v>
      </c>
      <c r="C2339" t="str">
        <f t="shared" si="388"/>
        <v>36</v>
      </c>
      <c r="D2339">
        <v>6219</v>
      </c>
      <c r="E2339" t="str">
        <f t="shared" si="389"/>
        <v>3Y</v>
      </c>
      <c r="F2339" t="str">
        <f t="shared" si="390"/>
        <v>001</v>
      </c>
      <c r="G2339">
        <v>9</v>
      </c>
      <c r="H2339" t="str">
        <f t="shared" si="391"/>
        <v>91</v>
      </c>
      <c r="I2339" t="str">
        <f>"0"</f>
        <v>0</v>
      </c>
      <c r="J2339" t="str">
        <f t="shared" si="392"/>
        <v>39</v>
      </c>
      <c r="K2339">
        <v>20190816</v>
      </c>
      <c r="L2339" t="str">
        <f>"077718"</f>
        <v>077718</v>
      </c>
      <c r="M2339" t="str">
        <f>"57981"</f>
        <v>57981</v>
      </c>
      <c r="N2339" t="s">
        <v>426</v>
      </c>
      <c r="O2339">
        <v>100</v>
      </c>
      <c r="P2339">
        <v>20190814</v>
      </c>
      <c r="Q2339" t="s">
        <v>330</v>
      </c>
      <c r="R2339" t="s">
        <v>1442</v>
      </c>
      <c r="S2339" t="s">
        <v>295</v>
      </c>
      <c r="T2339" t="s">
        <v>301</v>
      </c>
    </row>
    <row r="2340" spans="1:20" x14ac:dyDescent="0.25">
      <c r="A2340">
        <v>9</v>
      </c>
      <c r="B2340">
        <v>181</v>
      </c>
      <c r="C2340" t="str">
        <f t="shared" si="388"/>
        <v>36</v>
      </c>
      <c r="D2340">
        <v>6399</v>
      </c>
      <c r="E2340" t="str">
        <f t="shared" si="389"/>
        <v>3Y</v>
      </c>
      <c r="F2340" t="str">
        <f t="shared" si="390"/>
        <v>001</v>
      </c>
      <c r="G2340">
        <v>9</v>
      </c>
      <c r="H2340" t="str">
        <f t="shared" si="391"/>
        <v>91</v>
      </c>
      <c r="I2340" t="str">
        <f>"0"</f>
        <v>0</v>
      </c>
      <c r="J2340" t="str">
        <f t="shared" si="392"/>
        <v>39</v>
      </c>
      <c r="K2340">
        <v>20190823</v>
      </c>
      <c r="L2340" t="str">
        <f>"077749"</f>
        <v>077749</v>
      </c>
      <c r="M2340" t="str">
        <f>"08788"</f>
        <v>08788</v>
      </c>
      <c r="N2340" t="s">
        <v>473</v>
      </c>
      <c r="O2340" s="1">
        <v>3352.04</v>
      </c>
      <c r="P2340">
        <v>20190821</v>
      </c>
      <c r="Q2340" t="s">
        <v>821</v>
      </c>
      <c r="R2340" t="s">
        <v>1448</v>
      </c>
      <c r="S2340" t="s">
        <v>295</v>
      </c>
      <c r="T2340" t="s">
        <v>301</v>
      </c>
    </row>
    <row r="2341" spans="1:20" x14ac:dyDescent="0.25">
      <c r="A2341">
        <v>9</v>
      </c>
      <c r="B2341">
        <v>181</v>
      </c>
      <c r="C2341" t="str">
        <f t="shared" si="388"/>
        <v>36</v>
      </c>
      <c r="D2341">
        <v>6412</v>
      </c>
      <c r="E2341" t="str">
        <f t="shared" si="389"/>
        <v>3Y</v>
      </c>
      <c r="F2341" t="str">
        <f t="shared" si="390"/>
        <v>001</v>
      </c>
      <c r="G2341">
        <v>9</v>
      </c>
      <c r="H2341" t="str">
        <f t="shared" si="391"/>
        <v>91</v>
      </c>
      <c r="I2341" t="str">
        <f>"1"</f>
        <v>1</v>
      </c>
      <c r="J2341" t="str">
        <f t="shared" si="392"/>
        <v>39</v>
      </c>
      <c r="K2341">
        <v>20190823</v>
      </c>
      <c r="L2341" t="str">
        <f>"077750"</f>
        <v>077750</v>
      </c>
      <c r="M2341" t="str">
        <f>"00682"</f>
        <v>00682</v>
      </c>
      <c r="N2341" t="s">
        <v>882</v>
      </c>
      <c r="O2341">
        <v>207</v>
      </c>
      <c r="P2341">
        <v>20190821</v>
      </c>
      <c r="Q2341" t="s">
        <v>350</v>
      </c>
      <c r="R2341" t="s">
        <v>1449</v>
      </c>
      <c r="S2341" t="s">
        <v>295</v>
      </c>
      <c r="T2341" t="s">
        <v>301</v>
      </c>
    </row>
    <row r="2342" spans="1:20" x14ac:dyDescent="0.25">
      <c r="A2342">
        <v>9</v>
      </c>
      <c r="B2342">
        <v>181</v>
      </c>
      <c r="C2342" t="str">
        <f t="shared" si="388"/>
        <v>36</v>
      </c>
      <c r="D2342">
        <v>6412</v>
      </c>
      <c r="E2342" t="str">
        <f t="shared" si="389"/>
        <v>3Y</v>
      </c>
      <c r="F2342" t="str">
        <f t="shared" si="390"/>
        <v>001</v>
      </c>
      <c r="G2342">
        <v>9</v>
      </c>
      <c r="H2342" t="str">
        <f t="shared" si="391"/>
        <v>91</v>
      </c>
      <c r="I2342" t="str">
        <f>"1"</f>
        <v>1</v>
      </c>
      <c r="J2342" t="str">
        <f t="shared" si="392"/>
        <v>39</v>
      </c>
      <c r="K2342">
        <v>20190829</v>
      </c>
      <c r="L2342" t="str">
        <f>"077750"</f>
        <v>077750</v>
      </c>
      <c r="M2342" t="str">
        <f>"00682"</f>
        <v>00682</v>
      </c>
      <c r="N2342" t="s">
        <v>882</v>
      </c>
      <c r="O2342">
        <v>-207</v>
      </c>
      <c r="P2342">
        <v>20190829</v>
      </c>
      <c r="Q2342" t="s">
        <v>350</v>
      </c>
      <c r="R2342" t="s">
        <v>409</v>
      </c>
      <c r="S2342" t="s">
        <v>295</v>
      </c>
      <c r="T2342" t="s">
        <v>301</v>
      </c>
    </row>
    <row r="2343" spans="1:20" x14ac:dyDescent="0.25">
      <c r="A2343">
        <v>9</v>
      </c>
      <c r="B2343">
        <v>181</v>
      </c>
      <c r="C2343" t="str">
        <f t="shared" si="388"/>
        <v>36</v>
      </c>
      <c r="D2343">
        <v>6412</v>
      </c>
      <c r="E2343" t="str">
        <f t="shared" si="389"/>
        <v>3Y</v>
      </c>
      <c r="F2343" t="str">
        <f t="shared" si="390"/>
        <v>001</v>
      </c>
      <c r="G2343">
        <v>9</v>
      </c>
      <c r="H2343" t="str">
        <f t="shared" si="391"/>
        <v>91</v>
      </c>
      <c r="I2343" t="str">
        <f>"1"</f>
        <v>1</v>
      </c>
      <c r="J2343" t="str">
        <f t="shared" si="392"/>
        <v>39</v>
      </c>
      <c r="K2343">
        <v>20190823</v>
      </c>
      <c r="L2343" t="str">
        <f>"077760"</f>
        <v>077760</v>
      </c>
      <c r="M2343" t="str">
        <f>"20463"</f>
        <v>20463</v>
      </c>
      <c r="N2343" t="s">
        <v>509</v>
      </c>
      <c r="O2343">
        <v>167.84</v>
      </c>
      <c r="P2343">
        <v>20190821</v>
      </c>
      <c r="Q2343" t="s">
        <v>350</v>
      </c>
      <c r="R2343" t="s">
        <v>1450</v>
      </c>
      <c r="S2343" t="s">
        <v>295</v>
      </c>
      <c r="T2343" t="s">
        <v>301</v>
      </c>
    </row>
    <row r="2344" spans="1:20" x14ac:dyDescent="0.25">
      <c r="A2344">
        <v>9</v>
      </c>
      <c r="B2344">
        <v>181</v>
      </c>
      <c r="C2344" t="str">
        <f t="shared" si="388"/>
        <v>36</v>
      </c>
      <c r="D2344">
        <v>6412</v>
      </c>
      <c r="E2344" t="str">
        <f>"3C"</f>
        <v>3C</v>
      </c>
      <c r="F2344" t="str">
        <f t="shared" si="390"/>
        <v>001</v>
      </c>
      <c r="G2344">
        <v>9</v>
      </c>
      <c r="H2344" t="str">
        <f t="shared" si="391"/>
        <v>91</v>
      </c>
      <c r="I2344" t="str">
        <f>"1"</f>
        <v>1</v>
      </c>
      <c r="J2344" t="str">
        <f t="shared" si="392"/>
        <v>39</v>
      </c>
      <c r="K2344">
        <v>20190823</v>
      </c>
      <c r="L2344" t="str">
        <f>"077768"</f>
        <v>077768</v>
      </c>
      <c r="M2344" t="str">
        <f>"00880"</f>
        <v>00880</v>
      </c>
      <c r="N2344" t="s">
        <v>1451</v>
      </c>
      <c r="O2344">
        <v>217.13</v>
      </c>
      <c r="P2344">
        <v>20190821</v>
      </c>
      <c r="Q2344" t="s">
        <v>421</v>
      </c>
      <c r="R2344" t="s">
        <v>1430</v>
      </c>
      <c r="S2344" t="s">
        <v>295</v>
      </c>
      <c r="T2344" t="s">
        <v>301</v>
      </c>
    </row>
    <row r="2345" spans="1:20" x14ac:dyDescent="0.25">
      <c r="A2345">
        <v>9</v>
      </c>
      <c r="B2345">
        <v>181</v>
      </c>
      <c r="C2345" t="str">
        <f t="shared" si="388"/>
        <v>36</v>
      </c>
      <c r="D2345">
        <v>6399</v>
      </c>
      <c r="E2345" t="str">
        <f>"3D"</f>
        <v>3D</v>
      </c>
      <c r="F2345" t="str">
        <f t="shared" si="390"/>
        <v>001</v>
      </c>
      <c r="G2345">
        <v>9</v>
      </c>
      <c r="H2345" t="str">
        <f t="shared" si="391"/>
        <v>91</v>
      </c>
      <c r="I2345" t="str">
        <f>"0"</f>
        <v>0</v>
      </c>
      <c r="J2345" t="str">
        <f t="shared" si="392"/>
        <v>39</v>
      </c>
      <c r="K2345">
        <v>20190823</v>
      </c>
      <c r="L2345" t="str">
        <f>"077781"</f>
        <v>077781</v>
      </c>
      <c r="M2345" t="str">
        <f>"29741"</f>
        <v>29741</v>
      </c>
      <c r="N2345" t="s">
        <v>1452</v>
      </c>
      <c r="O2345" s="1">
        <v>1090.5</v>
      </c>
      <c r="P2345">
        <v>20190821</v>
      </c>
      <c r="Q2345" t="s">
        <v>818</v>
      </c>
      <c r="R2345" t="s">
        <v>1453</v>
      </c>
      <c r="S2345" t="s">
        <v>295</v>
      </c>
      <c r="T2345" t="s">
        <v>301</v>
      </c>
    </row>
    <row r="2346" spans="1:20" x14ac:dyDescent="0.25">
      <c r="A2346">
        <v>9</v>
      </c>
      <c r="B2346">
        <v>181</v>
      </c>
      <c r="C2346" t="str">
        <f t="shared" si="388"/>
        <v>36</v>
      </c>
      <c r="D2346">
        <v>6399</v>
      </c>
      <c r="E2346" t="str">
        <f>"3C"</f>
        <v>3C</v>
      </c>
      <c r="F2346" t="str">
        <f>"041"</f>
        <v>041</v>
      </c>
      <c r="G2346">
        <v>9</v>
      </c>
      <c r="H2346" t="str">
        <f t="shared" si="391"/>
        <v>91</v>
      </c>
      <c r="I2346" t="str">
        <f>"0"</f>
        <v>0</v>
      </c>
      <c r="J2346" t="str">
        <f>"41"</f>
        <v>41</v>
      </c>
      <c r="K2346">
        <v>20190823</v>
      </c>
      <c r="L2346" t="str">
        <f>"077811"</f>
        <v>077811</v>
      </c>
      <c r="M2346" t="str">
        <f>"58207"</f>
        <v>58207</v>
      </c>
      <c r="N2346" t="s">
        <v>292</v>
      </c>
      <c r="O2346">
        <v>39.92</v>
      </c>
      <c r="P2346">
        <v>20190821</v>
      </c>
      <c r="Q2346" t="s">
        <v>597</v>
      </c>
      <c r="R2346" t="s">
        <v>1454</v>
      </c>
      <c r="S2346" t="s">
        <v>295</v>
      </c>
      <c r="T2346" t="s">
        <v>106</v>
      </c>
    </row>
    <row r="2347" spans="1:20" x14ac:dyDescent="0.25">
      <c r="A2347">
        <v>9</v>
      </c>
      <c r="B2347">
        <v>181</v>
      </c>
      <c r="C2347" t="str">
        <f t="shared" si="388"/>
        <v>36</v>
      </c>
      <c r="D2347">
        <v>6412</v>
      </c>
      <c r="E2347" t="str">
        <f>"3Y"</f>
        <v>3Y</v>
      </c>
      <c r="F2347" t="str">
        <f t="shared" ref="F2347:F2352" si="393">"001"</f>
        <v>001</v>
      </c>
      <c r="G2347">
        <v>9</v>
      </c>
      <c r="H2347" t="str">
        <f t="shared" si="391"/>
        <v>91</v>
      </c>
      <c r="I2347" t="str">
        <f>"1"</f>
        <v>1</v>
      </c>
      <c r="J2347" t="str">
        <f t="shared" ref="J2347:J2352" si="394">"39"</f>
        <v>39</v>
      </c>
      <c r="K2347">
        <v>20190823</v>
      </c>
      <c r="L2347" t="str">
        <f>"077825"</f>
        <v>077825</v>
      </c>
      <c r="M2347" t="str">
        <f>"84370"</f>
        <v>84370</v>
      </c>
      <c r="N2347" t="s">
        <v>395</v>
      </c>
      <c r="O2347">
        <v>136.9</v>
      </c>
      <c r="P2347">
        <v>20190822</v>
      </c>
      <c r="Q2347" t="s">
        <v>350</v>
      </c>
      <c r="R2347" t="s">
        <v>1445</v>
      </c>
      <c r="S2347" t="s">
        <v>295</v>
      </c>
      <c r="T2347" t="s">
        <v>301</v>
      </c>
    </row>
    <row r="2348" spans="1:20" x14ac:dyDescent="0.25">
      <c r="A2348">
        <v>9</v>
      </c>
      <c r="B2348">
        <v>181</v>
      </c>
      <c r="C2348" t="str">
        <f t="shared" si="388"/>
        <v>36</v>
      </c>
      <c r="D2348">
        <v>6412</v>
      </c>
      <c r="E2348" t="str">
        <f>"3Y"</f>
        <v>3Y</v>
      </c>
      <c r="F2348" t="str">
        <f t="shared" si="393"/>
        <v>001</v>
      </c>
      <c r="G2348">
        <v>9</v>
      </c>
      <c r="H2348" t="str">
        <f t="shared" si="391"/>
        <v>91</v>
      </c>
      <c r="I2348" t="str">
        <f>"1"</f>
        <v>1</v>
      </c>
      <c r="J2348" t="str">
        <f t="shared" si="394"/>
        <v>39</v>
      </c>
      <c r="K2348">
        <v>20190823</v>
      </c>
      <c r="L2348" t="str">
        <f>"077825"</f>
        <v>077825</v>
      </c>
      <c r="M2348" t="str">
        <f>"84370"</f>
        <v>84370</v>
      </c>
      <c r="N2348" t="s">
        <v>395</v>
      </c>
      <c r="O2348">
        <v>106.63</v>
      </c>
      <c r="P2348">
        <v>20190822</v>
      </c>
      <c r="Q2348" t="s">
        <v>350</v>
      </c>
      <c r="R2348" t="s">
        <v>1455</v>
      </c>
      <c r="S2348" t="s">
        <v>295</v>
      </c>
      <c r="T2348" t="s">
        <v>301</v>
      </c>
    </row>
    <row r="2349" spans="1:20" x14ac:dyDescent="0.25">
      <c r="A2349">
        <v>9</v>
      </c>
      <c r="B2349">
        <v>181</v>
      </c>
      <c r="C2349" t="str">
        <f t="shared" si="388"/>
        <v>36</v>
      </c>
      <c r="D2349">
        <v>6412</v>
      </c>
      <c r="E2349" t="str">
        <f>"3Y"</f>
        <v>3Y</v>
      </c>
      <c r="F2349" t="str">
        <f t="shared" si="393"/>
        <v>001</v>
      </c>
      <c r="G2349">
        <v>9</v>
      </c>
      <c r="H2349" t="str">
        <f t="shared" si="391"/>
        <v>91</v>
      </c>
      <c r="I2349" t="str">
        <f>"1"</f>
        <v>1</v>
      </c>
      <c r="J2349" t="str">
        <f t="shared" si="394"/>
        <v>39</v>
      </c>
      <c r="K2349">
        <v>20190830</v>
      </c>
      <c r="L2349" t="str">
        <f>"077837"</f>
        <v>077837</v>
      </c>
      <c r="M2349" t="str">
        <f>"14146"</f>
        <v>14146</v>
      </c>
      <c r="N2349" t="s">
        <v>414</v>
      </c>
      <c r="O2349">
        <v>207</v>
      </c>
      <c r="P2349">
        <v>20190829</v>
      </c>
      <c r="Q2349" t="s">
        <v>350</v>
      </c>
      <c r="R2349" t="s">
        <v>1449</v>
      </c>
      <c r="S2349" t="s">
        <v>295</v>
      </c>
      <c r="T2349" t="s">
        <v>301</v>
      </c>
    </row>
    <row r="2350" spans="1:20" x14ac:dyDescent="0.25">
      <c r="A2350">
        <v>9</v>
      </c>
      <c r="B2350">
        <v>181</v>
      </c>
      <c r="C2350" t="str">
        <f t="shared" si="388"/>
        <v>36</v>
      </c>
      <c r="D2350">
        <v>6412</v>
      </c>
      <c r="E2350" t="str">
        <f>"3Y"</f>
        <v>3Y</v>
      </c>
      <c r="F2350" t="str">
        <f t="shared" si="393"/>
        <v>001</v>
      </c>
      <c r="G2350">
        <v>9</v>
      </c>
      <c r="H2350" t="str">
        <f t="shared" si="391"/>
        <v>91</v>
      </c>
      <c r="I2350" t="str">
        <f>"1"</f>
        <v>1</v>
      </c>
      <c r="J2350" t="str">
        <f t="shared" si="394"/>
        <v>39</v>
      </c>
      <c r="K2350">
        <v>20190830</v>
      </c>
      <c r="L2350" t="str">
        <f>"077837"</f>
        <v>077837</v>
      </c>
      <c r="M2350" t="str">
        <f>"14146"</f>
        <v>14146</v>
      </c>
      <c r="N2350" t="s">
        <v>414</v>
      </c>
      <c r="O2350">
        <v>207</v>
      </c>
      <c r="P2350">
        <v>20190829</v>
      </c>
      <c r="Q2350" t="s">
        <v>350</v>
      </c>
      <c r="R2350" t="s">
        <v>1456</v>
      </c>
      <c r="S2350" t="s">
        <v>295</v>
      </c>
      <c r="T2350" t="s">
        <v>301</v>
      </c>
    </row>
    <row r="2351" spans="1:20" x14ac:dyDescent="0.25">
      <c r="A2351">
        <v>9</v>
      </c>
      <c r="B2351">
        <v>181</v>
      </c>
      <c r="C2351" t="str">
        <f t="shared" si="388"/>
        <v>36</v>
      </c>
      <c r="D2351">
        <v>6219</v>
      </c>
      <c r="E2351" t="str">
        <f>"3Y"</f>
        <v>3Y</v>
      </c>
      <c r="F2351" t="str">
        <f t="shared" si="393"/>
        <v>001</v>
      </c>
      <c r="G2351">
        <v>9</v>
      </c>
      <c r="H2351" t="str">
        <f t="shared" si="391"/>
        <v>91</v>
      </c>
      <c r="I2351" t="str">
        <f>"0"</f>
        <v>0</v>
      </c>
      <c r="J2351" t="str">
        <f t="shared" si="394"/>
        <v>39</v>
      </c>
      <c r="K2351">
        <v>20190830</v>
      </c>
      <c r="L2351" t="str">
        <f>"077838"</f>
        <v>077838</v>
      </c>
      <c r="M2351" t="str">
        <f>"00883"</f>
        <v>00883</v>
      </c>
      <c r="N2351" t="s">
        <v>1457</v>
      </c>
      <c r="O2351">
        <v>115</v>
      </c>
      <c r="P2351">
        <v>20190829</v>
      </c>
      <c r="Q2351" t="s">
        <v>330</v>
      </c>
      <c r="R2351" t="s">
        <v>1458</v>
      </c>
      <c r="S2351" t="s">
        <v>295</v>
      </c>
      <c r="T2351" t="s">
        <v>301</v>
      </c>
    </row>
    <row r="2352" spans="1:20" x14ac:dyDescent="0.25">
      <c r="A2352">
        <v>9</v>
      </c>
      <c r="B2352">
        <v>181</v>
      </c>
      <c r="C2352" t="str">
        <f t="shared" si="388"/>
        <v>36</v>
      </c>
      <c r="D2352">
        <v>6219</v>
      </c>
      <c r="E2352" t="str">
        <f>"3F"</f>
        <v>3F</v>
      </c>
      <c r="F2352" t="str">
        <f t="shared" si="393"/>
        <v>001</v>
      </c>
      <c r="G2352">
        <v>9</v>
      </c>
      <c r="H2352" t="str">
        <f t="shared" si="391"/>
        <v>91</v>
      </c>
      <c r="I2352" t="str">
        <f>"0"</f>
        <v>0</v>
      </c>
      <c r="J2352" t="str">
        <f t="shared" si="394"/>
        <v>39</v>
      </c>
      <c r="K2352">
        <v>20190830</v>
      </c>
      <c r="L2352" t="str">
        <f>"077839"</f>
        <v>077839</v>
      </c>
      <c r="M2352" t="str">
        <f>"19273"</f>
        <v>19273</v>
      </c>
      <c r="N2352" t="s">
        <v>328</v>
      </c>
      <c r="O2352">
        <v>110</v>
      </c>
      <c r="P2352">
        <v>20190830</v>
      </c>
      <c r="Q2352" t="s">
        <v>333</v>
      </c>
      <c r="R2352" t="s">
        <v>1459</v>
      </c>
      <c r="S2352" t="s">
        <v>295</v>
      </c>
      <c r="T2352" t="s">
        <v>301</v>
      </c>
    </row>
    <row r="2353" spans="1:20" x14ac:dyDescent="0.25">
      <c r="A2353">
        <v>9</v>
      </c>
      <c r="B2353">
        <v>181</v>
      </c>
      <c r="C2353" t="str">
        <f t="shared" si="388"/>
        <v>36</v>
      </c>
      <c r="D2353">
        <v>6219</v>
      </c>
      <c r="E2353" t="str">
        <f>"3F"</f>
        <v>3F</v>
      </c>
      <c r="F2353" t="str">
        <f>"041"</f>
        <v>041</v>
      </c>
      <c r="G2353">
        <v>9</v>
      </c>
      <c r="H2353" t="str">
        <f t="shared" si="391"/>
        <v>91</v>
      </c>
      <c r="I2353" t="str">
        <f>"0"</f>
        <v>0</v>
      </c>
      <c r="J2353" t="str">
        <f>"41"</f>
        <v>41</v>
      </c>
      <c r="K2353">
        <v>20190830</v>
      </c>
      <c r="L2353" t="str">
        <f>"077840"</f>
        <v>077840</v>
      </c>
      <c r="M2353" t="str">
        <f>"20433"</f>
        <v>20433</v>
      </c>
      <c r="N2353" t="s">
        <v>332</v>
      </c>
      <c r="O2353">
        <v>40</v>
      </c>
      <c r="P2353">
        <v>20190829</v>
      </c>
      <c r="Q2353" t="s">
        <v>339</v>
      </c>
      <c r="R2353" t="s">
        <v>1460</v>
      </c>
      <c r="S2353" t="s">
        <v>295</v>
      </c>
      <c r="T2353" t="s">
        <v>106</v>
      </c>
    </row>
    <row r="2354" spans="1:20" x14ac:dyDescent="0.25">
      <c r="A2354">
        <v>9</v>
      </c>
      <c r="B2354">
        <v>181</v>
      </c>
      <c r="C2354" t="str">
        <f t="shared" si="388"/>
        <v>36</v>
      </c>
      <c r="D2354">
        <v>6412</v>
      </c>
      <c r="E2354" t="str">
        <f>"3Y"</f>
        <v>3Y</v>
      </c>
      <c r="F2354" t="str">
        <f>"041"</f>
        <v>041</v>
      </c>
      <c r="G2354">
        <v>9</v>
      </c>
      <c r="H2354" t="str">
        <f t="shared" si="391"/>
        <v>91</v>
      </c>
      <c r="I2354" t="str">
        <f>"1"</f>
        <v>1</v>
      </c>
      <c r="J2354" t="str">
        <f>"41"</f>
        <v>41</v>
      </c>
      <c r="K2354">
        <v>20190830</v>
      </c>
      <c r="L2354" t="str">
        <f>"077847"</f>
        <v>077847</v>
      </c>
      <c r="M2354" t="str">
        <f>"24343"</f>
        <v>24343</v>
      </c>
      <c r="N2354" t="s">
        <v>518</v>
      </c>
      <c r="O2354">
        <v>217.04</v>
      </c>
      <c r="P2354">
        <v>20190830</v>
      </c>
      <c r="Q2354" t="s">
        <v>403</v>
      </c>
      <c r="R2354" t="s">
        <v>1461</v>
      </c>
      <c r="S2354" t="s">
        <v>295</v>
      </c>
      <c r="T2354" t="s">
        <v>106</v>
      </c>
    </row>
    <row r="2355" spans="1:20" x14ac:dyDescent="0.25">
      <c r="A2355">
        <v>9</v>
      </c>
      <c r="B2355">
        <v>181</v>
      </c>
      <c r="C2355" t="str">
        <f t="shared" si="388"/>
        <v>36</v>
      </c>
      <c r="D2355">
        <v>6219</v>
      </c>
      <c r="E2355" t="str">
        <f>"3F"</f>
        <v>3F</v>
      </c>
      <c r="F2355" t="str">
        <f>"041"</f>
        <v>041</v>
      </c>
      <c r="G2355">
        <v>9</v>
      </c>
      <c r="H2355" t="str">
        <f t="shared" si="391"/>
        <v>91</v>
      </c>
      <c r="I2355" t="str">
        <f>"0"</f>
        <v>0</v>
      </c>
      <c r="J2355" t="str">
        <f>"41"</f>
        <v>41</v>
      </c>
      <c r="K2355">
        <v>20190830</v>
      </c>
      <c r="L2355" t="str">
        <f>"077848"</f>
        <v>077848</v>
      </c>
      <c r="M2355" t="str">
        <f>"00547"</f>
        <v>00547</v>
      </c>
      <c r="N2355" t="s">
        <v>338</v>
      </c>
      <c r="O2355">
        <v>150</v>
      </c>
      <c r="P2355">
        <v>20190829</v>
      </c>
      <c r="Q2355" t="s">
        <v>339</v>
      </c>
      <c r="R2355" t="s">
        <v>1460</v>
      </c>
      <c r="S2355" t="s">
        <v>295</v>
      </c>
      <c r="T2355" t="s">
        <v>106</v>
      </c>
    </row>
    <row r="2356" spans="1:20" x14ac:dyDescent="0.25">
      <c r="A2356">
        <v>9</v>
      </c>
      <c r="B2356">
        <v>181</v>
      </c>
      <c r="C2356" t="str">
        <f t="shared" si="388"/>
        <v>36</v>
      </c>
      <c r="D2356">
        <v>6219</v>
      </c>
      <c r="E2356" t="str">
        <f>"3Y"</f>
        <v>3Y</v>
      </c>
      <c r="F2356" t="str">
        <f>"001"</f>
        <v>001</v>
      </c>
      <c r="G2356">
        <v>9</v>
      </c>
      <c r="H2356" t="str">
        <f t="shared" si="391"/>
        <v>91</v>
      </c>
      <c r="I2356" t="str">
        <f>"0"</f>
        <v>0</v>
      </c>
      <c r="J2356" t="str">
        <f>"39"</f>
        <v>39</v>
      </c>
      <c r="K2356">
        <v>20190830</v>
      </c>
      <c r="L2356" t="str">
        <f>"077849"</f>
        <v>077849</v>
      </c>
      <c r="M2356" t="str">
        <f>"00887"</f>
        <v>00887</v>
      </c>
      <c r="N2356" t="s">
        <v>1462</v>
      </c>
      <c r="O2356">
        <v>100</v>
      </c>
      <c r="P2356">
        <v>20190830</v>
      </c>
      <c r="Q2356" t="s">
        <v>330</v>
      </c>
      <c r="R2356" t="s">
        <v>1463</v>
      </c>
      <c r="S2356" t="s">
        <v>295</v>
      </c>
      <c r="T2356" t="s">
        <v>301</v>
      </c>
    </row>
    <row r="2357" spans="1:20" x14ac:dyDescent="0.25">
      <c r="A2357">
        <v>9</v>
      </c>
      <c r="B2357">
        <v>181</v>
      </c>
      <c r="C2357" t="str">
        <f t="shared" si="388"/>
        <v>36</v>
      </c>
      <c r="D2357">
        <v>6219</v>
      </c>
      <c r="E2357" t="str">
        <f>"3Y"</f>
        <v>3Y</v>
      </c>
      <c r="F2357" t="str">
        <f>"001"</f>
        <v>001</v>
      </c>
      <c r="G2357">
        <v>9</v>
      </c>
      <c r="H2357" t="str">
        <f t="shared" si="391"/>
        <v>91</v>
      </c>
      <c r="I2357" t="str">
        <f>"1"</f>
        <v>1</v>
      </c>
      <c r="J2357" t="str">
        <f>"39"</f>
        <v>39</v>
      </c>
      <c r="K2357">
        <v>20190830</v>
      </c>
      <c r="L2357" t="str">
        <f>"077853"</f>
        <v>077853</v>
      </c>
      <c r="M2357" t="str">
        <f>"30118"</f>
        <v>30118</v>
      </c>
      <c r="N2357" t="s">
        <v>347</v>
      </c>
      <c r="O2357">
        <v>96</v>
      </c>
      <c r="P2357">
        <v>20190829</v>
      </c>
      <c r="Q2357" t="s">
        <v>408</v>
      </c>
      <c r="R2357" t="s">
        <v>1458</v>
      </c>
      <c r="S2357" t="s">
        <v>295</v>
      </c>
      <c r="T2357" t="s">
        <v>301</v>
      </c>
    </row>
    <row r="2358" spans="1:20" x14ac:dyDescent="0.25">
      <c r="A2358">
        <v>9</v>
      </c>
      <c r="B2358">
        <v>181</v>
      </c>
      <c r="C2358" t="str">
        <f t="shared" si="388"/>
        <v>36</v>
      </c>
      <c r="D2358">
        <v>6219</v>
      </c>
      <c r="E2358" t="str">
        <f>"3F"</f>
        <v>3F</v>
      </c>
      <c r="F2358" t="str">
        <f>"041"</f>
        <v>041</v>
      </c>
      <c r="G2358">
        <v>9</v>
      </c>
      <c r="H2358" t="str">
        <f t="shared" si="391"/>
        <v>91</v>
      </c>
      <c r="I2358" t="str">
        <f>"0"</f>
        <v>0</v>
      </c>
      <c r="J2358" t="str">
        <f>"41"</f>
        <v>41</v>
      </c>
      <c r="K2358">
        <v>20190830</v>
      </c>
      <c r="L2358" t="str">
        <f>"077855"</f>
        <v>077855</v>
      </c>
      <c r="M2358" t="str">
        <f>"00119"</f>
        <v>00119</v>
      </c>
      <c r="N2358" t="s">
        <v>1105</v>
      </c>
      <c r="O2358">
        <v>150</v>
      </c>
      <c r="P2358">
        <v>20190829</v>
      </c>
      <c r="Q2358" t="s">
        <v>339</v>
      </c>
      <c r="R2358" t="s">
        <v>1460</v>
      </c>
      <c r="S2358" t="s">
        <v>295</v>
      </c>
      <c r="T2358" t="s">
        <v>106</v>
      </c>
    </row>
    <row r="2359" spans="1:20" x14ac:dyDescent="0.25">
      <c r="A2359">
        <v>9</v>
      </c>
      <c r="B2359">
        <v>181</v>
      </c>
      <c r="C2359" t="str">
        <f t="shared" si="388"/>
        <v>36</v>
      </c>
      <c r="D2359">
        <v>6219</v>
      </c>
      <c r="E2359" t="str">
        <f>"3Y"</f>
        <v>3Y</v>
      </c>
      <c r="F2359" t="str">
        <f t="shared" ref="F2359:F2364" si="395">"001"</f>
        <v>001</v>
      </c>
      <c r="G2359">
        <v>9</v>
      </c>
      <c r="H2359" t="str">
        <f t="shared" si="391"/>
        <v>91</v>
      </c>
      <c r="I2359" t="str">
        <f>"0"</f>
        <v>0</v>
      </c>
      <c r="J2359" t="str">
        <f t="shared" ref="J2359:J2364" si="396">"39"</f>
        <v>39</v>
      </c>
      <c r="K2359">
        <v>20190830</v>
      </c>
      <c r="L2359" t="str">
        <f>"077862"</f>
        <v>077862</v>
      </c>
      <c r="M2359" t="str">
        <f>"49189"</f>
        <v>49189</v>
      </c>
      <c r="N2359" t="s">
        <v>364</v>
      </c>
      <c r="O2359">
        <v>115</v>
      </c>
      <c r="P2359">
        <v>20190830</v>
      </c>
      <c r="Q2359" t="s">
        <v>330</v>
      </c>
      <c r="R2359" t="s">
        <v>1463</v>
      </c>
      <c r="S2359" t="s">
        <v>295</v>
      </c>
      <c r="T2359" t="s">
        <v>301</v>
      </c>
    </row>
    <row r="2360" spans="1:20" x14ac:dyDescent="0.25">
      <c r="A2360">
        <v>9</v>
      </c>
      <c r="B2360">
        <v>181</v>
      </c>
      <c r="C2360" t="str">
        <f t="shared" si="388"/>
        <v>36</v>
      </c>
      <c r="D2360">
        <v>6219</v>
      </c>
      <c r="E2360" t="str">
        <f>"3Y"</f>
        <v>3Y</v>
      </c>
      <c r="F2360" t="str">
        <f t="shared" si="395"/>
        <v>001</v>
      </c>
      <c r="G2360">
        <v>9</v>
      </c>
      <c r="H2360" t="str">
        <f t="shared" si="391"/>
        <v>91</v>
      </c>
      <c r="I2360" t="str">
        <f>"0"</f>
        <v>0</v>
      </c>
      <c r="J2360" t="str">
        <f t="shared" si="396"/>
        <v>39</v>
      </c>
      <c r="K2360">
        <v>20190830</v>
      </c>
      <c r="L2360" t="str">
        <f>"077867"</f>
        <v>077867</v>
      </c>
      <c r="M2360" t="str">
        <f>"54078"</f>
        <v>54078</v>
      </c>
      <c r="N2360" t="s">
        <v>1464</v>
      </c>
      <c r="O2360">
        <v>115</v>
      </c>
      <c r="P2360">
        <v>20190829</v>
      </c>
      <c r="Q2360" t="s">
        <v>330</v>
      </c>
      <c r="R2360" t="s">
        <v>1458</v>
      </c>
      <c r="S2360" t="s">
        <v>295</v>
      </c>
      <c r="T2360" t="s">
        <v>301</v>
      </c>
    </row>
    <row r="2361" spans="1:20" x14ac:dyDescent="0.25">
      <c r="A2361">
        <v>9</v>
      </c>
      <c r="B2361">
        <v>181</v>
      </c>
      <c r="C2361" t="str">
        <f t="shared" si="388"/>
        <v>36</v>
      </c>
      <c r="D2361">
        <v>6219</v>
      </c>
      <c r="E2361" t="str">
        <f>"3F"</f>
        <v>3F</v>
      </c>
      <c r="F2361" t="str">
        <f t="shared" si="395"/>
        <v>001</v>
      </c>
      <c r="G2361">
        <v>9</v>
      </c>
      <c r="H2361" t="str">
        <f t="shared" si="391"/>
        <v>91</v>
      </c>
      <c r="I2361" t="str">
        <f>"0"</f>
        <v>0</v>
      </c>
      <c r="J2361" t="str">
        <f t="shared" si="396"/>
        <v>39</v>
      </c>
      <c r="K2361">
        <v>20190830</v>
      </c>
      <c r="L2361" t="str">
        <f>"077869"</f>
        <v>077869</v>
      </c>
      <c r="M2361" t="str">
        <f>"56385"</f>
        <v>56385</v>
      </c>
      <c r="N2361" t="s">
        <v>1465</v>
      </c>
      <c r="O2361">
        <v>110</v>
      </c>
      <c r="P2361">
        <v>20190830</v>
      </c>
      <c r="Q2361" t="s">
        <v>333</v>
      </c>
      <c r="R2361" t="s">
        <v>1459</v>
      </c>
      <c r="S2361" t="s">
        <v>295</v>
      </c>
      <c r="T2361" t="s">
        <v>301</v>
      </c>
    </row>
    <row r="2362" spans="1:20" x14ac:dyDescent="0.25">
      <c r="A2362">
        <v>9</v>
      </c>
      <c r="B2362">
        <v>181</v>
      </c>
      <c r="C2362" t="str">
        <f t="shared" si="388"/>
        <v>36</v>
      </c>
      <c r="D2362">
        <v>6219</v>
      </c>
      <c r="E2362" t="str">
        <f>"3F"</f>
        <v>3F</v>
      </c>
      <c r="F2362" t="str">
        <f t="shared" si="395"/>
        <v>001</v>
      </c>
      <c r="G2362">
        <v>9</v>
      </c>
      <c r="H2362" t="str">
        <f t="shared" si="391"/>
        <v>91</v>
      </c>
      <c r="I2362" t="str">
        <f>"0"</f>
        <v>0</v>
      </c>
      <c r="J2362" t="str">
        <f t="shared" si="396"/>
        <v>39</v>
      </c>
      <c r="K2362">
        <v>20190830</v>
      </c>
      <c r="L2362" t="str">
        <f>"077870"</f>
        <v>077870</v>
      </c>
      <c r="M2362" t="str">
        <f>"56387"</f>
        <v>56387</v>
      </c>
      <c r="N2362" t="s">
        <v>1466</v>
      </c>
      <c r="O2362">
        <v>110</v>
      </c>
      <c r="P2362">
        <v>20190830</v>
      </c>
      <c r="Q2362" t="s">
        <v>333</v>
      </c>
      <c r="R2362" t="s">
        <v>1459</v>
      </c>
      <c r="S2362" t="s">
        <v>295</v>
      </c>
      <c r="T2362" t="s">
        <v>301</v>
      </c>
    </row>
    <row r="2363" spans="1:20" x14ac:dyDescent="0.25">
      <c r="A2363">
        <v>9</v>
      </c>
      <c r="B2363">
        <v>181</v>
      </c>
      <c r="C2363" t="str">
        <f t="shared" si="388"/>
        <v>36</v>
      </c>
      <c r="D2363">
        <v>6219</v>
      </c>
      <c r="E2363" t="str">
        <f>"3Y"</f>
        <v>3Y</v>
      </c>
      <c r="F2363" t="str">
        <f t="shared" si="395"/>
        <v>001</v>
      </c>
      <c r="G2363">
        <v>9</v>
      </c>
      <c r="H2363" t="str">
        <f t="shared" si="391"/>
        <v>91</v>
      </c>
      <c r="I2363" t="str">
        <f>"1"</f>
        <v>1</v>
      </c>
      <c r="J2363" t="str">
        <f t="shared" si="396"/>
        <v>39</v>
      </c>
      <c r="K2363">
        <v>20190830</v>
      </c>
      <c r="L2363" t="str">
        <f>"077871"</f>
        <v>077871</v>
      </c>
      <c r="M2363" t="str">
        <f>"57964"</f>
        <v>57964</v>
      </c>
      <c r="N2363" t="s">
        <v>578</v>
      </c>
      <c r="O2363">
        <v>100</v>
      </c>
      <c r="P2363">
        <v>20190830</v>
      </c>
      <c r="Q2363" t="s">
        <v>408</v>
      </c>
      <c r="R2363" t="s">
        <v>1463</v>
      </c>
      <c r="S2363" t="s">
        <v>295</v>
      </c>
      <c r="T2363" t="s">
        <v>301</v>
      </c>
    </row>
    <row r="2364" spans="1:20" x14ac:dyDescent="0.25">
      <c r="A2364">
        <v>9</v>
      </c>
      <c r="B2364">
        <v>181</v>
      </c>
      <c r="C2364" t="str">
        <f t="shared" si="388"/>
        <v>36</v>
      </c>
      <c r="D2364">
        <v>6219</v>
      </c>
      <c r="E2364" t="str">
        <f>"3Y"</f>
        <v>3Y</v>
      </c>
      <c r="F2364" t="str">
        <f t="shared" si="395"/>
        <v>001</v>
      </c>
      <c r="G2364">
        <v>9</v>
      </c>
      <c r="H2364" t="str">
        <f t="shared" si="391"/>
        <v>91</v>
      </c>
      <c r="I2364" t="str">
        <f t="shared" ref="I2364:I2369" si="397">"0"</f>
        <v>0</v>
      </c>
      <c r="J2364" t="str">
        <f t="shared" si="396"/>
        <v>39</v>
      </c>
      <c r="K2364">
        <v>20190830</v>
      </c>
      <c r="L2364" t="str">
        <f>"077875"</f>
        <v>077875</v>
      </c>
      <c r="M2364" t="str">
        <f>"61271"</f>
        <v>61271</v>
      </c>
      <c r="N2364" t="s">
        <v>1467</v>
      </c>
      <c r="O2364">
        <v>115</v>
      </c>
      <c r="P2364">
        <v>20190829</v>
      </c>
      <c r="Q2364" t="s">
        <v>330</v>
      </c>
      <c r="R2364" t="s">
        <v>1458</v>
      </c>
      <c r="S2364" t="s">
        <v>295</v>
      </c>
      <c r="T2364" t="s">
        <v>301</v>
      </c>
    </row>
    <row r="2365" spans="1:20" x14ac:dyDescent="0.25">
      <c r="A2365">
        <v>9</v>
      </c>
      <c r="B2365">
        <v>181</v>
      </c>
      <c r="C2365" t="str">
        <f t="shared" si="388"/>
        <v>36</v>
      </c>
      <c r="D2365">
        <v>6299</v>
      </c>
      <c r="E2365" t="str">
        <f>"3F"</f>
        <v>3F</v>
      </c>
      <c r="F2365" t="str">
        <f>"041"</f>
        <v>041</v>
      </c>
      <c r="G2365">
        <v>9</v>
      </c>
      <c r="H2365" t="str">
        <f t="shared" si="391"/>
        <v>91</v>
      </c>
      <c r="I2365" t="str">
        <f t="shared" si="397"/>
        <v>0</v>
      </c>
      <c r="J2365" t="str">
        <f>"41"</f>
        <v>41</v>
      </c>
      <c r="K2365">
        <v>20190830</v>
      </c>
      <c r="L2365" t="str">
        <f>"077876"</f>
        <v>077876</v>
      </c>
      <c r="M2365" t="str">
        <f>"00530"</f>
        <v>00530</v>
      </c>
      <c r="N2365" t="s">
        <v>374</v>
      </c>
      <c r="O2365">
        <v>140</v>
      </c>
      <c r="P2365">
        <v>20190829</v>
      </c>
      <c r="Q2365" t="s">
        <v>375</v>
      </c>
      <c r="R2365" t="s">
        <v>1460</v>
      </c>
      <c r="S2365" t="s">
        <v>295</v>
      </c>
      <c r="T2365" t="s">
        <v>106</v>
      </c>
    </row>
    <row r="2366" spans="1:20" x14ac:dyDescent="0.25">
      <c r="A2366">
        <v>9</v>
      </c>
      <c r="B2366">
        <v>181</v>
      </c>
      <c r="C2366" t="str">
        <f t="shared" si="388"/>
        <v>36</v>
      </c>
      <c r="D2366">
        <v>6219</v>
      </c>
      <c r="E2366" t="str">
        <f>"3F"</f>
        <v>3F</v>
      </c>
      <c r="F2366" t="str">
        <f>"041"</f>
        <v>041</v>
      </c>
      <c r="G2366">
        <v>9</v>
      </c>
      <c r="H2366" t="str">
        <f t="shared" si="391"/>
        <v>91</v>
      </c>
      <c r="I2366" t="str">
        <f t="shared" si="397"/>
        <v>0</v>
      </c>
      <c r="J2366" t="str">
        <f>"41"</f>
        <v>41</v>
      </c>
      <c r="K2366">
        <v>20190830</v>
      </c>
      <c r="L2366" t="str">
        <f>"077878"</f>
        <v>077878</v>
      </c>
      <c r="M2366" t="str">
        <f>"64825"</f>
        <v>64825</v>
      </c>
      <c r="N2366" t="s">
        <v>658</v>
      </c>
      <c r="O2366">
        <v>150</v>
      </c>
      <c r="P2366">
        <v>20190829</v>
      </c>
      <c r="Q2366" t="s">
        <v>339</v>
      </c>
      <c r="R2366" t="s">
        <v>1460</v>
      </c>
      <c r="S2366" t="s">
        <v>295</v>
      </c>
      <c r="T2366" t="s">
        <v>106</v>
      </c>
    </row>
    <row r="2367" spans="1:20" x14ac:dyDescent="0.25">
      <c r="A2367">
        <v>9</v>
      </c>
      <c r="B2367">
        <v>181</v>
      </c>
      <c r="C2367" t="str">
        <f t="shared" si="388"/>
        <v>36</v>
      </c>
      <c r="D2367">
        <v>6219</v>
      </c>
      <c r="E2367" t="str">
        <f>"3F"</f>
        <v>3F</v>
      </c>
      <c r="F2367" t="str">
        <f>"001"</f>
        <v>001</v>
      </c>
      <c r="G2367">
        <v>9</v>
      </c>
      <c r="H2367" t="str">
        <f t="shared" si="391"/>
        <v>91</v>
      </c>
      <c r="I2367" t="str">
        <f t="shared" si="397"/>
        <v>0</v>
      </c>
      <c r="J2367" t="str">
        <f>"39"</f>
        <v>39</v>
      </c>
      <c r="K2367">
        <v>20190830</v>
      </c>
      <c r="L2367" t="str">
        <f>"077879"</f>
        <v>077879</v>
      </c>
      <c r="M2367" t="str">
        <f>"00555"</f>
        <v>00555</v>
      </c>
      <c r="N2367" t="s">
        <v>387</v>
      </c>
      <c r="O2367">
        <v>110</v>
      </c>
      <c r="P2367">
        <v>20190830</v>
      </c>
      <c r="Q2367" t="s">
        <v>333</v>
      </c>
      <c r="R2367" t="s">
        <v>1459</v>
      </c>
      <c r="S2367" t="s">
        <v>295</v>
      </c>
      <c r="T2367" t="s">
        <v>301</v>
      </c>
    </row>
    <row r="2368" spans="1:20" x14ac:dyDescent="0.25">
      <c r="A2368">
        <v>9</v>
      </c>
      <c r="B2368">
        <v>181</v>
      </c>
      <c r="C2368" t="str">
        <f t="shared" si="388"/>
        <v>36</v>
      </c>
      <c r="D2368">
        <v>6219</v>
      </c>
      <c r="E2368" t="str">
        <f>"3Y"</f>
        <v>3Y</v>
      </c>
      <c r="F2368" t="str">
        <f>"001"</f>
        <v>001</v>
      </c>
      <c r="G2368">
        <v>9</v>
      </c>
      <c r="H2368" t="str">
        <f t="shared" si="391"/>
        <v>91</v>
      </c>
      <c r="I2368" t="str">
        <f t="shared" si="397"/>
        <v>0</v>
      </c>
      <c r="J2368" t="str">
        <f>"39"</f>
        <v>39</v>
      </c>
      <c r="K2368">
        <v>20190830</v>
      </c>
      <c r="L2368" t="str">
        <f>"077883"</f>
        <v>077883</v>
      </c>
      <c r="M2368" t="str">
        <f>"80146"</f>
        <v>80146</v>
      </c>
      <c r="N2368" t="s">
        <v>390</v>
      </c>
      <c r="O2368">
        <v>115</v>
      </c>
      <c r="P2368">
        <v>20190829</v>
      </c>
      <c r="Q2368" t="s">
        <v>330</v>
      </c>
      <c r="R2368" t="s">
        <v>1458</v>
      </c>
      <c r="S2368" t="s">
        <v>295</v>
      </c>
      <c r="T2368" t="s">
        <v>301</v>
      </c>
    </row>
    <row r="2369" spans="1:20" x14ac:dyDescent="0.25">
      <c r="A2369">
        <v>9</v>
      </c>
      <c r="B2369">
        <v>181</v>
      </c>
      <c r="C2369" t="str">
        <f t="shared" si="388"/>
        <v>36</v>
      </c>
      <c r="D2369">
        <v>6219</v>
      </c>
      <c r="E2369" t="str">
        <f>"3Y"</f>
        <v>3Y</v>
      </c>
      <c r="F2369" t="str">
        <f>"001"</f>
        <v>001</v>
      </c>
      <c r="G2369">
        <v>9</v>
      </c>
      <c r="H2369" t="str">
        <f t="shared" si="391"/>
        <v>91</v>
      </c>
      <c r="I2369" t="str">
        <f t="shared" si="397"/>
        <v>0</v>
      </c>
      <c r="J2369" t="str">
        <f>"39"</f>
        <v>39</v>
      </c>
      <c r="K2369">
        <v>20190830</v>
      </c>
      <c r="L2369" t="str">
        <f>"077885"</f>
        <v>077885</v>
      </c>
      <c r="M2369" t="str">
        <f>"00888"</f>
        <v>00888</v>
      </c>
      <c r="N2369" t="s">
        <v>1468</v>
      </c>
      <c r="O2369">
        <v>100</v>
      </c>
      <c r="P2369">
        <v>20190830</v>
      </c>
      <c r="Q2369" t="s">
        <v>330</v>
      </c>
      <c r="R2369" t="s">
        <v>1463</v>
      </c>
      <c r="S2369" t="s">
        <v>295</v>
      </c>
      <c r="T2369" t="s">
        <v>301</v>
      </c>
    </row>
    <row r="2370" spans="1:20" x14ac:dyDescent="0.25">
      <c r="A2370">
        <v>9</v>
      </c>
      <c r="B2370">
        <v>181</v>
      </c>
      <c r="C2370" t="str">
        <f t="shared" si="388"/>
        <v>36</v>
      </c>
      <c r="D2370">
        <v>6412</v>
      </c>
      <c r="E2370" t="str">
        <f>"3F"</f>
        <v>3F</v>
      </c>
      <c r="F2370" t="str">
        <f>"001"</f>
        <v>001</v>
      </c>
      <c r="G2370">
        <v>9</v>
      </c>
      <c r="H2370" t="str">
        <f t="shared" si="391"/>
        <v>91</v>
      </c>
      <c r="I2370" t="str">
        <f>"1"</f>
        <v>1</v>
      </c>
      <c r="J2370" t="str">
        <f>"39"</f>
        <v>39</v>
      </c>
      <c r="K2370">
        <v>20190830</v>
      </c>
      <c r="L2370" t="str">
        <f>"077887"</f>
        <v>077887</v>
      </c>
      <c r="M2370" t="str">
        <f>"84370"</f>
        <v>84370</v>
      </c>
      <c r="N2370" t="s">
        <v>395</v>
      </c>
      <c r="O2370">
        <v>172.5</v>
      </c>
      <c r="P2370">
        <v>20190830</v>
      </c>
      <c r="Q2370" t="s">
        <v>342</v>
      </c>
      <c r="R2370" t="s">
        <v>1469</v>
      </c>
      <c r="S2370" t="s">
        <v>295</v>
      </c>
      <c r="T2370" t="s">
        <v>301</v>
      </c>
    </row>
    <row r="2371" spans="1:20" x14ac:dyDescent="0.25">
      <c r="A2371">
        <v>9</v>
      </c>
      <c r="B2371">
        <v>181</v>
      </c>
      <c r="C2371" t="str">
        <f t="shared" si="388"/>
        <v>36</v>
      </c>
      <c r="D2371">
        <v>6412</v>
      </c>
      <c r="E2371" t="str">
        <f>"3F"</f>
        <v>3F</v>
      </c>
      <c r="F2371" t="str">
        <f>"001"</f>
        <v>001</v>
      </c>
      <c r="G2371">
        <v>9</v>
      </c>
      <c r="H2371" t="str">
        <f t="shared" si="391"/>
        <v>91</v>
      </c>
      <c r="I2371" t="str">
        <f>"1"</f>
        <v>1</v>
      </c>
      <c r="J2371" t="str">
        <f>"39"</f>
        <v>39</v>
      </c>
      <c r="K2371">
        <v>20190830</v>
      </c>
      <c r="L2371" t="str">
        <f>"077887"</f>
        <v>077887</v>
      </c>
      <c r="M2371" t="str">
        <f>"84370"</f>
        <v>84370</v>
      </c>
      <c r="N2371" t="s">
        <v>395</v>
      </c>
      <c r="O2371">
        <v>201.25</v>
      </c>
      <c r="P2371">
        <v>20190830</v>
      </c>
      <c r="Q2371" t="s">
        <v>342</v>
      </c>
      <c r="R2371" t="s">
        <v>1470</v>
      </c>
      <c r="S2371" t="s">
        <v>295</v>
      </c>
      <c r="T2371" t="s">
        <v>301</v>
      </c>
    </row>
    <row r="2372" spans="1:20" x14ac:dyDescent="0.25">
      <c r="A2372">
        <v>9</v>
      </c>
      <c r="B2372">
        <v>181</v>
      </c>
      <c r="C2372" t="str">
        <f t="shared" si="388"/>
        <v>36</v>
      </c>
      <c r="D2372">
        <v>6412</v>
      </c>
      <c r="E2372" t="str">
        <f>"3F"</f>
        <v>3F</v>
      </c>
      <c r="F2372" t="str">
        <f>"041"</f>
        <v>041</v>
      </c>
      <c r="G2372">
        <v>9</v>
      </c>
      <c r="H2372" t="str">
        <f t="shared" si="391"/>
        <v>91</v>
      </c>
      <c r="I2372" t="str">
        <f>"1"</f>
        <v>1</v>
      </c>
      <c r="J2372" t="str">
        <f>"41"</f>
        <v>41</v>
      </c>
      <c r="K2372">
        <v>20190830</v>
      </c>
      <c r="L2372" t="str">
        <f>"077887"</f>
        <v>077887</v>
      </c>
      <c r="M2372" t="str">
        <f>"84370"</f>
        <v>84370</v>
      </c>
      <c r="N2372" t="s">
        <v>395</v>
      </c>
      <c r="O2372">
        <v>502.32</v>
      </c>
      <c r="P2372">
        <v>20190829</v>
      </c>
      <c r="Q2372" t="s">
        <v>400</v>
      </c>
      <c r="R2372" t="s">
        <v>1471</v>
      </c>
      <c r="S2372" t="s">
        <v>295</v>
      </c>
      <c r="T2372" t="s">
        <v>106</v>
      </c>
    </row>
    <row r="2373" spans="1:20" x14ac:dyDescent="0.25">
      <c r="A2373">
        <v>9</v>
      </c>
      <c r="B2373">
        <v>181</v>
      </c>
      <c r="C2373" t="str">
        <f t="shared" si="388"/>
        <v>36</v>
      </c>
      <c r="D2373">
        <v>6219</v>
      </c>
      <c r="E2373" t="str">
        <f>"3Y"</f>
        <v>3Y</v>
      </c>
      <c r="F2373" t="str">
        <f>"001"</f>
        <v>001</v>
      </c>
      <c r="G2373">
        <v>9</v>
      </c>
      <c r="H2373" t="str">
        <f t="shared" si="391"/>
        <v>91</v>
      </c>
      <c r="I2373" t="str">
        <f t="shared" ref="I2373:I2404" si="398">"0"</f>
        <v>0</v>
      </c>
      <c r="J2373" t="str">
        <f>"39"</f>
        <v>39</v>
      </c>
      <c r="K2373">
        <v>20190830</v>
      </c>
      <c r="L2373" t="str">
        <f>"077888"</f>
        <v>077888</v>
      </c>
      <c r="M2373" t="str">
        <f>"84400"</f>
        <v>84400</v>
      </c>
      <c r="N2373" t="s">
        <v>764</v>
      </c>
      <c r="O2373">
        <v>115</v>
      </c>
      <c r="P2373">
        <v>20190830</v>
      </c>
      <c r="Q2373" t="s">
        <v>330</v>
      </c>
      <c r="R2373" t="s">
        <v>1463</v>
      </c>
      <c r="S2373" t="s">
        <v>295</v>
      </c>
      <c r="T2373" t="s">
        <v>301</v>
      </c>
    </row>
    <row r="2374" spans="1:20" x14ac:dyDescent="0.25">
      <c r="A2374">
        <v>9</v>
      </c>
      <c r="B2374">
        <v>192</v>
      </c>
      <c r="C2374" t="str">
        <f>"00"</f>
        <v>00</v>
      </c>
      <c r="D2374">
        <v>2110</v>
      </c>
      <c r="E2374" t="str">
        <f>"18"</f>
        <v>18</v>
      </c>
      <c r="F2374" t="str">
        <f>"000"</f>
        <v>000</v>
      </c>
      <c r="G2374">
        <v>9</v>
      </c>
      <c r="H2374" t="str">
        <f>"00"</f>
        <v>00</v>
      </c>
      <c r="I2374" t="str">
        <f t="shared" si="398"/>
        <v>0</v>
      </c>
      <c r="J2374" t="str">
        <f>"00"</f>
        <v>00</v>
      </c>
      <c r="K2374">
        <v>20180907</v>
      </c>
      <c r="L2374" t="str">
        <f>"073769"</f>
        <v>073769</v>
      </c>
      <c r="M2374" t="str">
        <f>"50453"</f>
        <v>50453</v>
      </c>
      <c r="N2374" t="s">
        <v>1472</v>
      </c>
      <c r="O2374">
        <v>816.42</v>
      </c>
      <c r="P2374">
        <v>20180907</v>
      </c>
      <c r="Q2374" t="s">
        <v>1473</v>
      </c>
      <c r="R2374" t="s">
        <v>1474</v>
      </c>
      <c r="S2374" t="s">
        <v>1475</v>
      </c>
      <c r="T2374" t="s">
        <v>296</v>
      </c>
    </row>
    <row r="2375" spans="1:20" x14ac:dyDescent="0.25">
      <c r="A2375">
        <v>9</v>
      </c>
      <c r="B2375">
        <v>192</v>
      </c>
      <c r="C2375" t="str">
        <f>"13"</f>
        <v>13</v>
      </c>
      <c r="D2375">
        <v>6411</v>
      </c>
      <c r="E2375" t="str">
        <f>"00"</f>
        <v>00</v>
      </c>
      <c r="F2375" t="str">
        <f>"101"</f>
        <v>101</v>
      </c>
      <c r="G2375">
        <v>9</v>
      </c>
      <c r="H2375" t="str">
        <f>"30"</f>
        <v>30</v>
      </c>
      <c r="I2375" t="str">
        <f t="shared" si="398"/>
        <v>0</v>
      </c>
      <c r="J2375" t="str">
        <f>"38"</f>
        <v>38</v>
      </c>
      <c r="K2375">
        <v>20180914</v>
      </c>
      <c r="L2375" t="str">
        <f>"073783"</f>
        <v>073783</v>
      </c>
      <c r="M2375" t="str">
        <f>"37597"</f>
        <v>37597</v>
      </c>
      <c r="N2375" t="s">
        <v>1476</v>
      </c>
      <c r="O2375">
        <v>139.52000000000001</v>
      </c>
      <c r="P2375">
        <v>20180913</v>
      </c>
      <c r="Q2375" t="s">
        <v>1477</v>
      </c>
      <c r="R2375" t="s">
        <v>1478</v>
      </c>
      <c r="S2375" t="s">
        <v>1475</v>
      </c>
      <c r="T2375" t="s">
        <v>1479</v>
      </c>
    </row>
    <row r="2376" spans="1:20" x14ac:dyDescent="0.25">
      <c r="A2376">
        <v>9</v>
      </c>
      <c r="B2376">
        <v>192</v>
      </c>
      <c r="C2376" t="str">
        <f>"00"</f>
        <v>00</v>
      </c>
      <c r="D2376">
        <v>2110</v>
      </c>
      <c r="E2376" t="str">
        <f>"18"</f>
        <v>18</v>
      </c>
      <c r="F2376" t="str">
        <f>"000"</f>
        <v>000</v>
      </c>
      <c r="G2376">
        <v>9</v>
      </c>
      <c r="H2376" t="str">
        <f>"00"</f>
        <v>00</v>
      </c>
      <c r="I2376" t="str">
        <f t="shared" si="398"/>
        <v>0</v>
      </c>
      <c r="J2376" t="str">
        <f>"00"</f>
        <v>00</v>
      </c>
      <c r="K2376">
        <v>20180914</v>
      </c>
      <c r="L2376" t="str">
        <f>"073802"</f>
        <v>073802</v>
      </c>
      <c r="M2376" t="str">
        <f>"00549"</f>
        <v>00549</v>
      </c>
      <c r="N2376" t="s">
        <v>1480</v>
      </c>
      <c r="O2376">
        <v>121.46</v>
      </c>
      <c r="P2376">
        <v>20180913</v>
      </c>
      <c r="Q2376" t="s">
        <v>1473</v>
      </c>
      <c r="R2376" t="s">
        <v>1481</v>
      </c>
      <c r="S2376" t="s">
        <v>1475</v>
      </c>
      <c r="T2376" t="s">
        <v>296</v>
      </c>
    </row>
    <row r="2377" spans="1:20" x14ac:dyDescent="0.25">
      <c r="A2377">
        <v>9</v>
      </c>
      <c r="B2377">
        <v>192</v>
      </c>
      <c r="C2377" t="str">
        <f>"13"</f>
        <v>13</v>
      </c>
      <c r="D2377">
        <v>6411</v>
      </c>
      <c r="E2377" t="str">
        <f>"10"</f>
        <v>10</v>
      </c>
      <c r="F2377" t="str">
        <f>"002"</f>
        <v>002</v>
      </c>
      <c r="G2377">
        <v>9</v>
      </c>
      <c r="H2377" t="str">
        <f>"26"</f>
        <v>26</v>
      </c>
      <c r="I2377" t="str">
        <f t="shared" si="398"/>
        <v>0</v>
      </c>
      <c r="J2377" t="str">
        <f>"26"</f>
        <v>26</v>
      </c>
      <c r="K2377">
        <v>20180914</v>
      </c>
      <c r="L2377" t="str">
        <f>"073804"</f>
        <v>073804</v>
      </c>
      <c r="M2377" t="str">
        <f>"73552"</f>
        <v>73552</v>
      </c>
      <c r="N2377" t="s">
        <v>1482</v>
      </c>
      <c r="O2377">
        <v>160</v>
      </c>
      <c r="P2377">
        <v>20180913</v>
      </c>
      <c r="Q2377" t="s">
        <v>1483</v>
      </c>
      <c r="R2377" t="s">
        <v>1484</v>
      </c>
      <c r="S2377" t="s">
        <v>1475</v>
      </c>
      <c r="T2377" t="s">
        <v>1485</v>
      </c>
    </row>
    <row r="2378" spans="1:20" x14ac:dyDescent="0.25">
      <c r="A2378">
        <v>9</v>
      </c>
      <c r="B2378">
        <v>192</v>
      </c>
      <c r="C2378" t="str">
        <f>"00"</f>
        <v>00</v>
      </c>
      <c r="D2378">
        <v>2110</v>
      </c>
      <c r="E2378" t="str">
        <f>"18"</f>
        <v>18</v>
      </c>
      <c r="F2378" t="str">
        <f>"000"</f>
        <v>000</v>
      </c>
      <c r="G2378">
        <v>9</v>
      </c>
      <c r="H2378" t="str">
        <f>"00"</f>
        <v>00</v>
      </c>
      <c r="I2378" t="str">
        <f t="shared" si="398"/>
        <v>0</v>
      </c>
      <c r="J2378" t="str">
        <f>"00"</f>
        <v>00</v>
      </c>
      <c r="K2378">
        <v>20180921</v>
      </c>
      <c r="L2378" t="str">
        <f>"073858"</f>
        <v>073858</v>
      </c>
      <c r="M2378" t="str">
        <f>"28680"</f>
        <v>28680</v>
      </c>
      <c r="N2378" t="s">
        <v>482</v>
      </c>
      <c r="O2378">
        <v>148</v>
      </c>
      <c r="P2378">
        <v>20180920</v>
      </c>
      <c r="Q2378" t="s">
        <v>1473</v>
      </c>
      <c r="R2378" t="s">
        <v>1481</v>
      </c>
      <c r="S2378" t="s">
        <v>1475</v>
      </c>
      <c r="T2378" t="s">
        <v>296</v>
      </c>
    </row>
    <row r="2379" spans="1:20" x14ac:dyDescent="0.25">
      <c r="A2379">
        <v>9</v>
      </c>
      <c r="B2379">
        <v>192</v>
      </c>
      <c r="C2379" t="str">
        <f>"95"</f>
        <v>95</v>
      </c>
      <c r="D2379">
        <v>6223</v>
      </c>
      <c r="E2379" t="str">
        <f>"10"</f>
        <v>10</v>
      </c>
      <c r="F2379" t="str">
        <f>"003"</f>
        <v>003</v>
      </c>
      <c r="G2379">
        <v>9</v>
      </c>
      <c r="H2379" t="str">
        <f>"28"</f>
        <v>28</v>
      </c>
      <c r="I2379" t="str">
        <f t="shared" si="398"/>
        <v>0</v>
      </c>
      <c r="J2379" t="str">
        <f>"29"</f>
        <v>29</v>
      </c>
      <c r="K2379">
        <v>20180921</v>
      </c>
      <c r="L2379" t="str">
        <f>"073896"</f>
        <v>073896</v>
      </c>
      <c r="M2379" t="str">
        <f>"56007"</f>
        <v>56007</v>
      </c>
      <c r="N2379" t="s">
        <v>1486</v>
      </c>
      <c r="O2379" s="1">
        <v>3967.2</v>
      </c>
      <c r="P2379">
        <v>20180921</v>
      </c>
      <c r="Q2379" t="s">
        <v>1487</v>
      </c>
      <c r="R2379" t="s">
        <v>1488</v>
      </c>
      <c r="S2379" t="s">
        <v>1475</v>
      </c>
      <c r="T2379" t="s">
        <v>1489</v>
      </c>
    </row>
    <row r="2380" spans="1:20" x14ac:dyDescent="0.25">
      <c r="A2380">
        <v>9</v>
      </c>
      <c r="B2380">
        <v>192</v>
      </c>
      <c r="C2380" t="str">
        <f>"00"</f>
        <v>00</v>
      </c>
      <c r="D2380">
        <v>2110</v>
      </c>
      <c r="E2380" t="str">
        <f>"18"</f>
        <v>18</v>
      </c>
      <c r="F2380" t="str">
        <f>"000"</f>
        <v>000</v>
      </c>
      <c r="G2380">
        <v>9</v>
      </c>
      <c r="H2380" t="str">
        <f>"00"</f>
        <v>00</v>
      </c>
      <c r="I2380" t="str">
        <f t="shared" si="398"/>
        <v>0</v>
      </c>
      <c r="J2380" t="str">
        <f>"00"</f>
        <v>00</v>
      </c>
      <c r="K2380">
        <v>20180928</v>
      </c>
      <c r="L2380" t="str">
        <f>"074024"</f>
        <v>074024</v>
      </c>
      <c r="M2380" t="str">
        <f>"58211"</f>
        <v>58211</v>
      </c>
      <c r="N2380" t="s">
        <v>1472</v>
      </c>
      <c r="O2380">
        <v>-37.26</v>
      </c>
      <c r="P2380">
        <v>20180928</v>
      </c>
      <c r="Q2380" t="s">
        <v>1473</v>
      </c>
      <c r="R2380" t="s">
        <v>412</v>
      </c>
      <c r="S2380" t="s">
        <v>1475</v>
      </c>
      <c r="T2380" t="s">
        <v>296</v>
      </c>
    </row>
    <row r="2381" spans="1:20" x14ac:dyDescent="0.25">
      <c r="A2381">
        <v>9</v>
      </c>
      <c r="B2381">
        <v>192</v>
      </c>
      <c r="C2381" t="str">
        <f>"00"</f>
        <v>00</v>
      </c>
      <c r="D2381">
        <v>2110</v>
      </c>
      <c r="E2381" t="str">
        <f>"18"</f>
        <v>18</v>
      </c>
      <c r="F2381" t="str">
        <f>"000"</f>
        <v>000</v>
      </c>
      <c r="G2381">
        <v>9</v>
      </c>
      <c r="H2381" t="str">
        <f>"00"</f>
        <v>00</v>
      </c>
      <c r="I2381" t="str">
        <f t="shared" si="398"/>
        <v>0</v>
      </c>
      <c r="J2381" t="str">
        <f>"00"</f>
        <v>00</v>
      </c>
      <c r="K2381">
        <v>20181005</v>
      </c>
      <c r="L2381" t="str">
        <f>"074123"</f>
        <v>074123</v>
      </c>
      <c r="M2381" t="str">
        <f>"27906"</f>
        <v>27906</v>
      </c>
      <c r="N2381" t="s">
        <v>1490</v>
      </c>
      <c r="O2381">
        <v>575</v>
      </c>
      <c r="P2381">
        <v>20181004</v>
      </c>
      <c r="Q2381" t="s">
        <v>1473</v>
      </c>
      <c r="R2381" t="s">
        <v>1481</v>
      </c>
      <c r="S2381" t="s">
        <v>1475</v>
      </c>
      <c r="T2381" t="s">
        <v>296</v>
      </c>
    </row>
    <row r="2382" spans="1:20" x14ac:dyDescent="0.25">
      <c r="A2382">
        <v>9</v>
      </c>
      <c r="B2382">
        <v>192</v>
      </c>
      <c r="C2382" t="str">
        <f>"00"</f>
        <v>00</v>
      </c>
      <c r="D2382">
        <v>2110</v>
      </c>
      <c r="E2382" t="str">
        <f>"18"</f>
        <v>18</v>
      </c>
      <c r="F2382" t="str">
        <f>"000"</f>
        <v>000</v>
      </c>
      <c r="G2382">
        <v>9</v>
      </c>
      <c r="H2382" t="str">
        <f>"00"</f>
        <v>00</v>
      </c>
      <c r="I2382" t="str">
        <f t="shared" si="398"/>
        <v>0</v>
      </c>
      <c r="J2382" t="str">
        <f>"00"</f>
        <v>00</v>
      </c>
      <c r="K2382">
        <v>20181005</v>
      </c>
      <c r="L2382" t="str">
        <f>"074168"</f>
        <v>074168</v>
      </c>
      <c r="M2382" t="str">
        <f>"58211"</f>
        <v>58211</v>
      </c>
      <c r="N2382" t="s">
        <v>1472</v>
      </c>
      <c r="O2382">
        <v>37.26</v>
      </c>
      <c r="P2382">
        <v>20181001</v>
      </c>
      <c r="Q2382" t="s">
        <v>1473</v>
      </c>
      <c r="R2382" t="s">
        <v>1491</v>
      </c>
      <c r="S2382" t="s">
        <v>1475</v>
      </c>
      <c r="T2382" t="s">
        <v>296</v>
      </c>
    </row>
    <row r="2383" spans="1:20" x14ac:dyDescent="0.25">
      <c r="A2383">
        <v>9</v>
      </c>
      <c r="B2383">
        <v>192</v>
      </c>
      <c r="C2383" t="str">
        <f>"13"</f>
        <v>13</v>
      </c>
      <c r="D2383">
        <v>6411</v>
      </c>
      <c r="E2383" t="str">
        <f>"10"</f>
        <v>10</v>
      </c>
      <c r="F2383" t="str">
        <f>"002"</f>
        <v>002</v>
      </c>
      <c r="G2383">
        <v>9</v>
      </c>
      <c r="H2383" t="str">
        <f>"26"</f>
        <v>26</v>
      </c>
      <c r="I2383" t="str">
        <f t="shared" si="398"/>
        <v>0</v>
      </c>
      <c r="J2383" t="str">
        <f>"26"</f>
        <v>26</v>
      </c>
      <c r="K2383">
        <v>20181005</v>
      </c>
      <c r="L2383" t="str">
        <f>"074187"</f>
        <v>074187</v>
      </c>
      <c r="M2383" t="str">
        <f>"77048"</f>
        <v>77048</v>
      </c>
      <c r="N2383" t="s">
        <v>1492</v>
      </c>
      <c r="O2383">
        <v>289</v>
      </c>
      <c r="P2383">
        <v>20181004</v>
      </c>
      <c r="Q2383" t="s">
        <v>1483</v>
      </c>
      <c r="R2383" t="s">
        <v>1493</v>
      </c>
      <c r="S2383" t="s">
        <v>1475</v>
      </c>
      <c r="T2383" t="s">
        <v>1485</v>
      </c>
    </row>
    <row r="2384" spans="1:20" x14ac:dyDescent="0.25">
      <c r="A2384">
        <v>9</v>
      </c>
      <c r="B2384">
        <v>192</v>
      </c>
      <c r="C2384" t="str">
        <f>"11"</f>
        <v>11</v>
      </c>
      <c r="D2384">
        <v>6399</v>
      </c>
      <c r="E2384" t="str">
        <f>"10"</f>
        <v>10</v>
      </c>
      <c r="F2384" t="str">
        <f>"002"</f>
        <v>002</v>
      </c>
      <c r="G2384">
        <v>9</v>
      </c>
      <c r="H2384" t="str">
        <f>"26"</f>
        <v>26</v>
      </c>
      <c r="I2384" t="str">
        <f t="shared" si="398"/>
        <v>0</v>
      </c>
      <c r="J2384" t="str">
        <f>"26"</f>
        <v>26</v>
      </c>
      <c r="K2384">
        <v>20181012</v>
      </c>
      <c r="L2384" t="str">
        <f>"074223"</f>
        <v>074223</v>
      </c>
      <c r="M2384" t="str">
        <f>"04410"</f>
        <v>04410</v>
      </c>
      <c r="N2384" t="s">
        <v>410</v>
      </c>
      <c r="O2384">
        <v>50.95</v>
      </c>
      <c r="P2384">
        <v>20181011</v>
      </c>
      <c r="Q2384" t="s">
        <v>1494</v>
      </c>
      <c r="R2384" t="s">
        <v>1495</v>
      </c>
      <c r="S2384" t="s">
        <v>1475</v>
      </c>
      <c r="T2384" t="s">
        <v>1485</v>
      </c>
    </row>
    <row r="2385" spans="1:20" x14ac:dyDescent="0.25">
      <c r="A2385">
        <v>9</v>
      </c>
      <c r="B2385">
        <v>192</v>
      </c>
      <c r="C2385" t="str">
        <f>"11"</f>
        <v>11</v>
      </c>
      <c r="D2385">
        <v>6399</v>
      </c>
      <c r="E2385" t="str">
        <f>"10"</f>
        <v>10</v>
      </c>
      <c r="F2385" t="str">
        <f>"002"</f>
        <v>002</v>
      </c>
      <c r="G2385">
        <v>9</v>
      </c>
      <c r="H2385" t="str">
        <f>"26"</f>
        <v>26</v>
      </c>
      <c r="I2385" t="str">
        <f t="shared" si="398"/>
        <v>0</v>
      </c>
      <c r="J2385" t="str">
        <f>"26"</f>
        <v>26</v>
      </c>
      <c r="K2385">
        <v>20181012</v>
      </c>
      <c r="L2385" t="str">
        <f>"074227"</f>
        <v>074227</v>
      </c>
      <c r="M2385" t="str">
        <f>"09170"</f>
        <v>09170</v>
      </c>
      <c r="N2385" t="s">
        <v>679</v>
      </c>
      <c r="O2385">
        <v>52.15</v>
      </c>
      <c r="P2385">
        <v>20181011</v>
      </c>
      <c r="Q2385" t="s">
        <v>1494</v>
      </c>
      <c r="R2385" t="s">
        <v>1496</v>
      </c>
      <c r="S2385" t="s">
        <v>1475</v>
      </c>
      <c r="T2385" t="s">
        <v>1485</v>
      </c>
    </row>
    <row r="2386" spans="1:20" x14ac:dyDescent="0.25">
      <c r="A2386">
        <v>9</v>
      </c>
      <c r="B2386">
        <v>192</v>
      </c>
      <c r="C2386" t="str">
        <f>"00"</f>
        <v>00</v>
      </c>
      <c r="D2386">
        <v>2110</v>
      </c>
      <c r="E2386" t="str">
        <f>"18"</f>
        <v>18</v>
      </c>
      <c r="F2386" t="str">
        <f>"000"</f>
        <v>000</v>
      </c>
      <c r="G2386">
        <v>9</v>
      </c>
      <c r="H2386" t="str">
        <f>"00"</f>
        <v>00</v>
      </c>
      <c r="I2386" t="str">
        <f t="shared" si="398"/>
        <v>0</v>
      </c>
      <c r="J2386" t="str">
        <f>"00"</f>
        <v>00</v>
      </c>
      <c r="K2386">
        <v>20181012</v>
      </c>
      <c r="L2386" t="str">
        <f>"074250"</f>
        <v>074250</v>
      </c>
      <c r="M2386" t="str">
        <f>"27906"</f>
        <v>27906</v>
      </c>
      <c r="N2386" t="s">
        <v>1490</v>
      </c>
      <c r="O2386">
        <v>150</v>
      </c>
      <c r="P2386">
        <v>20181011</v>
      </c>
      <c r="Q2386" t="s">
        <v>1473</v>
      </c>
      <c r="R2386" t="s">
        <v>1478</v>
      </c>
      <c r="S2386" t="s">
        <v>1475</v>
      </c>
      <c r="T2386" t="s">
        <v>296</v>
      </c>
    </row>
    <row r="2387" spans="1:20" x14ac:dyDescent="0.25">
      <c r="A2387">
        <v>9</v>
      </c>
      <c r="B2387">
        <v>192</v>
      </c>
      <c r="C2387" t="str">
        <f>"11"</f>
        <v>11</v>
      </c>
      <c r="D2387">
        <v>6399</v>
      </c>
      <c r="E2387" t="str">
        <f>"10"</f>
        <v>10</v>
      </c>
      <c r="F2387" t="str">
        <f>"002"</f>
        <v>002</v>
      </c>
      <c r="G2387">
        <v>9</v>
      </c>
      <c r="H2387" t="str">
        <f>"26"</f>
        <v>26</v>
      </c>
      <c r="I2387" t="str">
        <f t="shared" si="398"/>
        <v>0</v>
      </c>
      <c r="J2387" t="str">
        <f>"26"</f>
        <v>26</v>
      </c>
      <c r="K2387">
        <v>20181012</v>
      </c>
      <c r="L2387" t="str">
        <f>"074285"</f>
        <v>074285</v>
      </c>
      <c r="M2387" t="str">
        <f>"58211"</f>
        <v>58211</v>
      </c>
      <c r="N2387" t="s">
        <v>1472</v>
      </c>
      <c r="O2387">
        <v>18.98</v>
      </c>
      <c r="P2387">
        <v>20181011</v>
      </c>
      <c r="Q2387" t="s">
        <v>1494</v>
      </c>
      <c r="R2387" t="s">
        <v>1497</v>
      </c>
      <c r="S2387" t="s">
        <v>1475</v>
      </c>
      <c r="T2387" t="s">
        <v>1485</v>
      </c>
    </row>
    <row r="2388" spans="1:20" x14ac:dyDescent="0.25">
      <c r="A2388">
        <v>9</v>
      </c>
      <c r="B2388">
        <v>192</v>
      </c>
      <c r="C2388" t="str">
        <f>"13"</f>
        <v>13</v>
      </c>
      <c r="D2388">
        <v>6411</v>
      </c>
      <c r="E2388" t="str">
        <f>"00"</f>
        <v>00</v>
      </c>
      <c r="F2388" t="str">
        <f>"101"</f>
        <v>101</v>
      </c>
      <c r="G2388">
        <v>9</v>
      </c>
      <c r="H2388" t="str">
        <f>"30"</f>
        <v>30</v>
      </c>
      <c r="I2388" t="str">
        <f t="shared" si="398"/>
        <v>0</v>
      </c>
      <c r="J2388" t="str">
        <f>"38"</f>
        <v>38</v>
      </c>
      <c r="K2388">
        <v>20181012</v>
      </c>
      <c r="L2388" t="str">
        <f>"074315"</f>
        <v>074315</v>
      </c>
      <c r="M2388" t="str">
        <f>"00549"</f>
        <v>00549</v>
      </c>
      <c r="N2388" t="s">
        <v>1480</v>
      </c>
      <c r="O2388">
        <v>223.7</v>
      </c>
      <c r="P2388">
        <v>20181011</v>
      </c>
      <c r="Q2388" t="s">
        <v>1477</v>
      </c>
      <c r="R2388" t="s">
        <v>1478</v>
      </c>
      <c r="S2388" t="s">
        <v>1475</v>
      </c>
      <c r="T2388" t="s">
        <v>1479</v>
      </c>
    </row>
    <row r="2389" spans="1:20" x14ac:dyDescent="0.25">
      <c r="A2389">
        <v>9</v>
      </c>
      <c r="B2389">
        <v>192</v>
      </c>
      <c r="C2389" t="str">
        <f>"11"</f>
        <v>11</v>
      </c>
      <c r="D2389">
        <v>6399</v>
      </c>
      <c r="E2389" t="str">
        <f t="shared" ref="E2389:E2395" si="399">"10"</f>
        <v>10</v>
      </c>
      <c r="F2389" t="str">
        <f>"002"</f>
        <v>002</v>
      </c>
      <c r="G2389">
        <v>9</v>
      </c>
      <c r="H2389" t="str">
        <f>"26"</f>
        <v>26</v>
      </c>
      <c r="I2389" t="str">
        <f t="shared" si="398"/>
        <v>0</v>
      </c>
      <c r="J2389" t="str">
        <f>"26"</f>
        <v>26</v>
      </c>
      <c r="K2389">
        <v>20181102</v>
      </c>
      <c r="L2389" t="str">
        <f>"074435"</f>
        <v>074435</v>
      </c>
      <c r="M2389" t="str">
        <f>"04410"</f>
        <v>04410</v>
      </c>
      <c r="N2389" t="s">
        <v>410</v>
      </c>
      <c r="O2389">
        <v>42.41</v>
      </c>
      <c r="P2389">
        <v>20181031</v>
      </c>
      <c r="Q2389" t="s">
        <v>1494</v>
      </c>
      <c r="R2389" t="s">
        <v>1498</v>
      </c>
      <c r="S2389" t="s">
        <v>1475</v>
      </c>
      <c r="T2389" t="s">
        <v>1485</v>
      </c>
    </row>
    <row r="2390" spans="1:20" x14ac:dyDescent="0.25">
      <c r="A2390">
        <v>9</v>
      </c>
      <c r="B2390">
        <v>192</v>
      </c>
      <c r="C2390" t="str">
        <f>"11"</f>
        <v>11</v>
      </c>
      <c r="D2390">
        <v>6399</v>
      </c>
      <c r="E2390" t="str">
        <f t="shared" si="399"/>
        <v>10</v>
      </c>
      <c r="F2390" t="str">
        <f>"002"</f>
        <v>002</v>
      </c>
      <c r="G2390">
        <v>9</v>
      </c>
      <c r="H2390" t="str">
        <f>"26"</f>
        <v>26</v>
      </c>
      <c r="I2390" t="str">
        <f t="shared" si="398"/>
        <v>0</v>
      </c>
      <c r="J2390" t="str">
        <f>"26"</f>
        <v>26</v>
      </c>
      <c r="K2390">
        <v>20181102</v>
      </c>
      <c r="L2390" t="str">
        <f>"074435"</f>
        <v>074435</v>
      </c>
      <c r="M2390" t="str">
        <f>"04410"</f>
        <v>04410</v>
      </c>
      <c r="N2390" t="s">
        <v>410</v>
      </c>
      <c r="O2390">
        <v>100.9</v>
      </c>
      <c r="P2390">
        <v>20181031</v>
      </c>
      <c r="Q2390" t="s">
        <v>1494</v>
      </c>
      <c r="R2390" t="s">
        <v>1499</v>
      </c>
      <c r="S2390" t="s">
        <v>1475</v>
      </c>
      <c r="T2390" t="s">
        <v>1485</v>
      </c>
    </row>
    <row r="2391" spans="1:20" x14ac:dyDescent="0.25">
      <c r="A2391">
        <v>9</v>
      </c>
      <c r="B2391">
        <v>192</v>
      </c>
      <c r="C2391" t="str">
        <f>"11"</f>
        <v>11</v>
      </c>
      <c r="D2391">
        <v>6399</v>
      </c>
      <c r="E2391" t="str">
        <f t="shared" si="399"/>
        <v>10</v>
      </c>
      <c r="F2391" t="str">
        <f>"002"</f>
        <v>002</v>
      </c>
      <c r="G2391">
        <v>9</v>
      </c>
      <c r="H2391" t="str">
        <f>"26"</f>
        <v>26</v>
      </c>
      <c r="I2391" t="str">
        <f t="shared" si="398"/>
        <v>0</v>
      </c>
      <c r="J2391" t="str">
        <f>"26"</f>
        <v>26</v>
      </c>
      <c r="K2391">
        <v>20181102</v>
      </c>
      <c r="L2391" t="str">
        <f>"074435"</f>
        <v>074435</v>
      </c>
      <c r="M2391" t="str">
        <f>"04410"</f>
        <v>04410</v>
      </c>
      <c r="N2391" t="s">
        <v>410</v>
      </c>
      <c r="O2391">
        <v>6.99</v>
      </c>
      <c r="P2391">
        <v>20181031</v>
      </c>
      <c r="Q2391" t="s">
        <v>1494</v>
      </c>
      <c r="R2391" t="s">
        <v>1500</v>
      </c>
      <c r="S2391" t="s">
        <v>1475</v>
      </c>
      <c r="T2391" t="s">
        <v>1485</v>
      </c>
    </row>
    <row r="2392" spans="1:20" x14ac:dyDescent="0.25">
      <c r="A2392">
        <v>9</v>
      </c>
      <c r="B2392">
        <v>192</v>
      </c>
      <c r="C2392" t="str">
        <f>"11"</f>
        <v>11</v>
      </c>
      <c r="D2392">
        <v>6399</v>
      </c>
      <c r="E2392" t="str">
        <f t="shared" si="399"/>
        <v>10</v>
      </c>
      <c r="F2392" t="str">
        <f>"002"</f>
        <v>002</v>
      </c>
      <c r="G2392">
        <v>9</v>
      </c>
      <c r="H2392" t="str">
        <f>"26"</f>
        <v>26</v>
      </c>
      <c r="I2392" t="str">
        <f t="shared" si="398"/>
        <v>0</v>
      </c>
      <c r="J2392" t="str">
        <f>"26"</f>
        <v>26</v>
      </c>
      <c r="K2392">
        <v>20181102</v>
      </c>
      <c r="L2392" t="str">
        <f>"074440"</f>
        <v>074440</v>
      </c>
      <c r="M2392" t="str">
        <f>"09170"</f>
        <v>09170</v>
      </c>
      <c r="N2392" t="s">
        <v>679</v>
      </c>
      <c r="O2392">
        <v>58.11</v>
      </c>
      <c r="P2392">
        <v>20181031</v>
      </c>
      <c r="Q2392" t="s">
        <v>1494</v>
      </c>
      <c r="R2392" t="s">
        <v>1501</v>
      </c>
      <c r="S2392" t="s">
        <v>1475</v>
      </c>
      <c r="T2392" t="s">
        <v>1485</v>
      </c>
    </row>
    <row r="2393" spans="1:20" x14ac:dyDescent="0.25">
      <c r="A2393">
        <v>9</v>
      </c>
      <c r="B2393">
        <v>192</v>
      </c>
      <c r="C2393" t="str">
        <f>"95"</f>
        <v>95</v>
      </c>
      <c r="D2393">
        <v>6223</v>
      </c>
      <c r="E2393" t="str">
        <f t="shared" si="399"/>
        <v>10</v>
      </c>
      <c r="F2393" t="str">
        <f>"003"</f>
        <v>003</v>
      </c>
      <c r="G2393">
        <v>9</v>
      </c>
      <c r="H2393" t="str">
        <f>"28"</f>
        <v>28</v>
      </c>
      <c r="I2393" t="str">
        <f t="shared" si="398"/>
        <v>0</v>
      </c>
      <c r="J2393" t="str">
        <f>"29"</f>
        <v>29</v>
      </c>
      <c r="K2393">
        <v>20181102</v>
      </c>
      <c r="L2393" t="str">
        <f>"074495"</f>
        <v>074495</v>
      </c>
      <c r="M2393" t="str">
        <f>"56007"</f>
        <v>56007</v>
      </c>
      <c r="N2393" t="s">
        <v>1486</v>
      </c>
      <c r="O2393" s="1">
        <v>4802.3999999999996</v>
      </c>
      <c r="P2393">
        <v>20181031</v>
      </c>
      <c r="Q2393" t="s">
        <v>1487</v>
      </c>
      <c r="R2393" t="s">
        <v>1502</v>
      </c>
      <c r="S2393" t="s">
        <v>1475</v>
      </c>
      <c r="T2393" t="s">
        <v>1489</v>
      </c>
    </row>
    <row r="2394" spans="1:20" x14ac:dyDescent="0.25">
      <c r="A2394">
        <v>9</v>
      </c>
      <c r="B2394">
        <v>192</v>
      </c>
      <c r="C2394" t="str">
        <f>"95"</f>
        <v>95</v>
      </c>
      <c r="D2394">
        <v>6223</v>
      </c>
      <c r="E2394" t="str">
        <f t="shared" si="399"/>
        <v>10</v>
      </c>
      <c r="F2394" t="str">
        <f>"003"</f>
        <v>003</v>
      </c>
      <c r="G2394">
        <v>9</v>
      </c>
      <c r="H2394" t="str">
        <f>"28"</f>
        <v>28</v>
      </c>
      <c r="I2394" t="str">
        <f t="shared" si="398"/>
        <v>0</v>
      </c>
      <c r="J2394" t="str">
        <f>"29"</f>
        <v>29</v>
      </c>
      <c r="K2394">
        <v>20181109</v>
      </c>
      <c r="L2394" t="str">
        <f>"074607"</f>
        <v>074607</v>
      </c>
      <c r="M2394" t="str">
        <f>"56007"</f>
        <v>56007</v>
      </c>
      <c r="N2394" t="s">
        <v>1486</v>
      </c>
      <c r="O2394" s="1">
        <v>3967.2</v>
      </c>
      <c r="P2394">
        <v>20181108</v>
      </c>
      <c r="Q2394" t="s">
        <v>1487</v>
      </c>
      <c r="R2394" t="s">
        <v>1503</v>
      </c>
      <c r="S2394" t="s">
        <v>1475</v>
      </c>
      <c r="T2394" t="s">
        <v>1489</v>
      </c>
    </row>
    <row r="2395" spans="1:20" x14ac:dyDescent="0.25">
      <c r="A2395">
        <v>9</v>
      </c>
      <c r="B2395">
        <v>192</v>
      </c>
      <c r="C2395" t="str">
        <f>"13"</f>
        <v>13</v>
      </c>
      <c r="D2395">
        <v>6411</v>
      </c>
      <c r="E2395" t="str">
        <f t="shared" si="399"/>
        <v>10</v>
      </c>
      <c r="F2395" t="str">
        <f>"002"</f>
        <v>002</v>
      </c>
      <c r="G2395">
        <v>9</v>
      </c>
      <c r="H2395" t="str">
        <f>"26"</f>
        <v>26</v>
      </c>
      <c r="I2395" t="str">
        <f t="shared" si="398"/>
        <v>0</v>
      </c>
      <c r="J2395" t="str">
        <f>"26"</f>
        <v>26</v>
      </c>
      <c r="K2395">
        <v>20181116</v>
      </c>
      <c r="L2395" t="str">
        <f>"074672"</f>
        <v>074672</v>
      </c>
      <c r="M2395" t="str">
        <f>"21297"</f>
        <v>21297</v>
      </c>
      <c r="N2395" t="s">
        <v>1504</v>
      </c>
      <c r="O2395">
        <v>134.47</v>
      </c>
      <c r="P2395">
        <v>20181115</v>
      </c>
      <c r="Q2395" t="s">
        <v>1483</v>
      </c>
      <c r="R2395" t="s">
        <v>1505</v>
      </c>
      <c r="S2395" t="s">
        <v>1475</v>
      </c>
      <c r="T2395" t="s">
        <v>1485</v>
      </c>
    </row>
    <row r="2396" spans="1:20" x14ac:dyDescent="0.25">
      <c r="A2396">
        <v>9</v>
      </c>
      <c r="B2396">
        <v>192</v>
      </c>
      <c r="C2396" t="str">
        <f>"11"</f>
        <v>11</v>
      </c>
      <c r="D2396">
        <v>6396</v>
      </c>
      <c r="E2396" t="str">
        <f>"00"</f>
        <v>00</v>
      </c>
      <c r="F2396" t="str">
        <f>"041"</f>
        <v>041</v>
      </c>
      <c r="G2396">
        <v>9</v>
      </c>
      <c r="H2396" t="str">
        <f>"24"</f>
        <v>24</v>
      </c>
      <c r="I2396" t="str">
        <f t="shared" si="398"/>
        <v>0</v>
      </c>
      <c r="J2396" t="str">
        <f>"24"</f>
        <v>24</v>
      </c>
      <c r="K2396">
        <v>20181116</v>
      </c>
      <c r="L2396" t="str">
        <f>"074676"</f>
        <v>074676</v>
      </c>
      <c r="M2396" t="str">
        <f>"23974"</f>
        <v>23974</v>
      </c>
      <c r="N2396" t="s">
        <v>1506</v>
      </c>
      <c r="O2396" s="1">
        <v>15900</v>
      </c>
      <c r="P2396">
        <v>20181115</v>
      </c>
      <c r="Q2396" t="s">
        <v>1507</v>
      </c>
      <c r="R2396" t="s">
        <v>1508</v>
      </c>
      <c r="S2396" t="s">
        <v>1475</v>
      </c>
      <c r="T2396" t="s">
        <v>106</v>
      </c>
    </row>
    <row r="2397" spans="1:20" x14ac:dyDescent="0.25">
      <c r="A2397">
        <v>9</v>
      </c>
      <c r="B2397">
        <v>192</v>
      </c>
      <c r="C2397" t="str">
        <f>"11"</f>
        <v>11</v>
      </c>
      <c r="D2397">
        <v>6396</v>
      </c>
      <c r="E2397" t="str">
        <f>"00"</f>
        <v>00</v>
      </c>
      <c r="F2397" t="str">
        <f>"104"</f>
        <v>104</v>
      </c>
      <c r="G2397">
        <v>9</v>
      </c>
      <c r="H2397" t="str">
        <f>"30"</f>
        <v>30</v>
      </c>
      <c r="I2397" t="str">
        <f t="shared" si="398"/>
        <v>0</v>
      </c>
      <c r="J2397" t="str">
        <f>"24"</f>
        <v>24</v>
      </c>
      <c r="K2397">
        <v>20181116</v>
      </c>
      <c r="L2397" t="str">
        <f>"074676"</f>
        <v>074676</v>
      </c>
      <c r="M2397" t="str">
        <f>"23974"</f>
        <v>23974</v>
      </c>
      <c r="N2397" t="s">
        <v>1506</v>
      </c>
      <c r="O2397" s="1">
        <v>15900</v>
      </c>
      <c r="P2397">
        <v>20181115</v>
      </c>
      <c r="Q2397" t="s">
        <v>1509</v>
      </c>
      <c r="R2397" t="s">
        <v>1508</v>
      </c>
      <c r="S2397" t="s">
        <v>1475</v>
      </c>
      <c r="T2397" t="s">
        <v>46</v>
      </c>
    </row>
    <row r="2398" spans="1:20" x14ac:dyDescent="0.25">
      <c r="A2398">
        <v>9</v>
      </c>
      <c r="B2398">
        <v>192</v>
      </c>
      <c r="C2398" t="str">
        <f>"11"</f>
        <v>11</v>
      </c>
      <c r="D2398">
        <v>6399</v>
      </c>
      <c r="E2398" t="str">
        <f>"10"</f>
        <v>10</v>
      </c>
      <c r="F2398" t="str">
        <f>"002"</f>
        <v>002</v>
      </c>
      <c r="G2398">
        <v>9</v>
      </c>
      <c r="H2398" t="str">
        <f>"26"</f>
        <v>26</v>
      </c>
      <c r="I2398" t="str">
        <f t="shared" si="398"/>
        <v>0</v>
      </c>
      <c r="J2398" t="str">
        <f>"26"</f>
        <v>26</v>
      </c>
      <c r="K2398">
        <v>20181116</v>
      </c>
      <c r="L2398" t="str">
        <f>"074676"</f>
        <v>074676</v>
      </c>
      <c r="M2398" t="str">
        <f>"23974"</f>
        <v>23974</v>
      </c>
      <c r="N2398" t="s">
        <v>1506</v>
      </c>
      <c r="O2398">
        <v>450</v>
      </c>
      <c r="P2398">
        <v>20181115</v>
      </c>
      <c r="Q2398" t="s">
        <v>1494</v>
      </c>
      <c r="R2398" t="s">
        <v>1510</v>
      </c>
      <c r="S2398" t="s">
        <v>1475</v>
      </c>
      <c r="T2398" t="s">
        <v>1485</v>
      </c>
    </row>
    <row r="2399" spans="1:20" x14ac:dyDescent="0.25">
      <c r="A2399">
        <v>9</v>
      </c>
      <c r="B2399">
        <v>192</v>
      </c>
      <c r="C2399" t="str">
        <f>"11"</f>
        <v>11</v>
      </c>
      <c r="D2399">
        <v>6399</v>
      </c>
      <c r="E2399" t="str">
        <f>"24"</f>
        <v>24</v>
      </c>
      <c r="F2399" t="str">
        <f>"001"</f>
        <v>001</v>
      </c>
      <c r="G2399">
        <v>9</v>
      </c>
      <c r="H2399" t="str">
        <f>"24"</f>
        <v>24</v>
      </c>
      <c r="I2399" t="str">
        <f t="shared" si="398"/>
        <v>0</v>
      </c>
      <c r="J2399" t="str">
        <f>"24"</f>
        <v>24</v>
      </c>
      <c r="K2399">
        <v>20181130</v>
      </c>
      <c r="L2399" t="str">
        <f>"074746"</f>
        <v>074746</v>
      </c>
      <c r="M2399" t="str">
        <f>"04410"</f>
        <v>04410</v>
      </c>
      <c r="N2399" t="s">
        <v>410</v>
      </c>
      <c r="O2399">
        <v>50</v>
      </c>
      <c r="P2399">
        <v>20181128</v>
      </c>
      <c r="Q2399" t="s">
        <v>1511</v>
      </c>
      <c r="R2399" t="s">
        <v>1512</v>
      </c>
      <c r="S2399" t="s">
        <v>1475</v>
      </c>
      <c r="T2399" t="s">
        <v>301</v>
      </c>
    </row>
    <row r="2400" spans="1:20" x14ac:dyDescent="0.25">
      <c r="A2400">
        <v>9</v>
      </c>
      <c r="B2400">
        <v>192</v>
      </c>
      <c r="C2400" t="str">
        <f>"11"</f>
        <v>11</v>
      </c>
      <c r="D2400">
        <v>6399</v>
      </c>
      <c r="E2400" t="str">
        <f>"10"</f>
        <v>10</v>
      </c>
      <c r="F2400" t="str">
        <f>"002"</f>
        <v>002</v>
      </c>
      <c r="G2400">
        <v>9</v>
      </c>
      <c r="H2400" t="str">
        <f>"26"</f>
        <v>26</v>
      </c>
      <c r="I2400" t="str">
        <f t="shared" si="398"/>
        <v>0</v>
      </c>
      <c r="J2400" t="str">
        <f>"26"</f>
        <v>26</v>
      </c>
      <c r="K2400">
        <v>20181130</v>
      </c>
      <c r="L2400" t="str">
        <f>"074750"</f>
        <v>074750</v>
      </c>
      <c r="M2400" t="str">
        <f>"09170"</f>
        <v>09170</v>
      </c>
      <c r="N2400" t="s">
        <v>679</v>
      </c>
      <c r="O2400">
        <v>52.15</v>
      </c>
      <c r="P2400">
        <v>20181128</v>
      </c>
      <c r="Q2400" t="s">
        <v>1494</v>
      </c>
      <c r="R2400" t="s">
        <v>1513</v>
      </c>
      <c r="S2400" t="s">
        <v>1475</v>
      </c>
      <c r="T2400" t="s">
        <v>1485</v>
      </c>
    </row>
    <row r="2401" spans="1:20" x14ac:dyDescent="0.25">
      <c r="A2401">
        <v>9</v>
      </c>
      <c r="B2401">
        <v>192</v>
      </c>
      <c r="C2401" t="str">
        <f>"13"</f>
        <v>13</v>
      </c>
      <c r="D2401">
        <v>6411</v>
      </c>
      <c r="E2401" t="str">
        <f>"10"</f>
        <v>10</v>
      </c>
      <c r="F2401" t="str">
        <f>"002"</f>
        <v>002</v>
      </c>
      <c r="G2401">
        <v>9</v>
      </c>
      <c r="H2401" t="str">
        <f>"26"</f>
        <v>26</v>
      </c>
      <c r="I2401" t="str">
        <f t="shared" si="398"/>
        <v>0</v>
      </c>
      <c r="J2401" t="str">
        <f>"26"</f>
        <v>26</v>
      </c>
      <c r="K2401">
        <v>20181130</v>
      </c>
      <c r="L2401" t="str">
        <f>"074750"</f>
        <v>074750</v>
      </c>
      <c r="M2401" t="str">
        <f>"09170"</f>
        <v>09170</v>
      </c>
      <c r="N2401" t="s">
        <v>679</v>
      </c>
      <c r="O2401">
        <v>186.61</v>
      </c>
      <c r="P2401">
        <v>20181128</v>
      </c>
      <c r="Q2401" t="s">
        <v>1483</v>
      </c>
      <c r="R2401" t="s">
        <v>1505</v>
      </c>
      <c r="S2401" t="s">
        <v>1475</v>
      </c>
      <c r="T2401" t="s">
        <v>1485</v>
      </c>
    </row>
    <row r="2402" spans="1:20" x14ac:dyDescent="0.25">
      <c r="A2402">
        <v>9</v>
      </c>
      <c r="B2402">
        <v>192</v>
      </c>
      <c r="C2402" t="str">
        <f>"13"</f>
        <v>13</v>
      </c>
      <c r="D2402">
        <v>6411</v>
      </c>
      <c r="E2402" t="str">
        <f>"10"</f>
        <v>10</v>
      </c>
      <c r="F2402" t="str">
        <f>"002"</f>
        <v>002</v>
      </c>
      <c r="G2402">
        <v>9</v>
      </c>
      <c r="H2402" t="str">
        <f>"26"</f>
        <v>26</v>
      </c>
      <c r="I2402" t="str">
        <f t="shared" si="398"/>
        <v>0</v>
      </c>
      <c r="J2402" t="str">
        <f>"26"</f>
        <v>26</v>
      </c>
      <c r="K2402">
        <v>20181130</v>
      </c>
      <c r="L2402" t="str">
        <f>"074750"</f>
        <v>074750</v>
      </c>
      <c r="M2402" t="str">
        <f>"09170"</f>
        <v>09170</v>
      </c>
      <c r="N2402" t="s">
        <v>679</v>
      </c>
      <c r="O2402">
        <v>166.95</v>
      </c>
      <c r="P2402">
        <v>20181128</v>
      </c>
      <c r="Q2402" t="s">
        <v>1483</v>
      </c>
      <c r="R2402" t="s">
        <v>1505</v>
      </c>
      <c r="S2402" t="s">
        <v>1475</v>
      </c>
      <c r="T2402" t="s">
        <v>1485</v>
      </c>
    </row>
    <row r="2403" spans="1:20" x14ac:dyDescent="0.25">
      <c r="A2403">
        <v>9</v>
      </c>
      <c r="B2403">
        <v>192</v>
      </c>
      <c r="C2403" t="str">
        <f t="shared" ref="C2403:C2408" si="400">"11"</f>
        <v>11</v>
      </c>
      <c r="D2403">
        <v>6395</v>
      </c>
      <c r="E2403" t="str">
        <f>"10"</f>
        <v>10</v>
      </c>
      <c r="F2403" t="str">
        <f>"002"</f>
        <v>002</v>
      </c>
      <c r="G2403">
        <v>9</v>
      </c>
      <c r="H2403" t="str">
        <f>"26"</f>
        <v>26</v>
      </c>
      <c r="I2403" t="str">
        <f t="shared" si="398"/>
        <v>0</v>
      </c>
      <c r="J2403" t="str">
        <f>"26"</f>
        <v>26</v>
      </c>
      <c r="K2403">
        <v>20181130</v>
      </c>
      <c r="L2403" t="str">
        <f>"074819"</f>
        <v>074819</v>
      </c>
      <c r="M2403" t="str">
        <f>"81303"</f>
        <v>81303</v>
      </c>
      <c r="N2403" t="s">
        <v>66</v>
      </c>
      <c r="O2403">
        <v>37.5</v>
      </c>
      <c r="P2403">
        <v>20181129</v>
      </c>
      <c r="Q2403" t="s">
        <v>1514</v>
      </c>
      <c r="R2403" t="s">
        <v>1515</v>
      </c>
      <c r="S2403" t="s">
        <v>1475</v>
      </c>
      <c r="T2403" t="s">
        <v>1485</v>
      </c>
    </row>
    <row r="2404" spans="1:20" x14ac:dyDescent="0.25">
      <c r="A2404">
        <v>9</v>
      </c>
      <c r="B2404">
        <v>192</v>
      </c>
      <c r="C2404" t="str">
        <f t="shared" si="400"/>
        <v>11</v>
      </c>
      <c r="D2404">
        <v>6399</v>
      </c>
      <c r="E2404" t="str">
        <f>"24"</f>
        <v>24</v>
      </c>
      <c r="F2404" t="str">
        <f>"001"</f>
        <v>001</v>
      </c>
      <c r="G2404">
        <v>9</v>
      </c>
      <c r="H2404" t="str">
        <f>"28"</f>
        <v>28</v>
      </c>
      <c r="I2404" t="str">
        <f t="shared" si="398"/>
        <v>0</v>
      </c>
      <c r="J2404" t="str">
        <f>"28"</f>
        <v>28</v>
      </c>
      <c r="K2404">
        <v>20181207</v>
      </c>
      <c r="L2404" t="str">
        <f>"074835"</f>
        <v>074835</v>
      </c>
      <c r="M2404" t="str">
        <f>"04410"</f>
        <v>04410</v>
      </c>
      <c r="N2404" t="s">
        <v>410</v>
      </c>
      <c r="O2404">
        <v>237.54</v>
      </c>
      <c r="P2404">
        <v>20181206</v>
      </c>
      <c r="Q2404" t="s">
        <v>1516</v>
      </c>
      <c r="R2404" t="s">
        <v>1517</v>
      </c>
      <c r="S2404" t="s">
        <v>1475</v>
      </c>
      <c r="T2404" t="s">
        <v>301</v>
      </c>
    </row>
    <row r="2405" spans="1:20" x14ac:dyDescent="0.25">
      <c r="A2405">
        <v>9</v>
      </c>
      <c r="B2405">
        <v>192</v>
      </c>
      <c r="C2405" t="str">
        <f t="shared" si="400"/>
        <v>11</v>
      </c>
      <c r="D2405">
        <v>6399</v>
      </c>
      <c r="E2405" t="str">
        <f>"11"</f>
        <v>11</v>
      </c>
      <c r="F2405" t="str">
        <f>"001"</f>
        <v>001</v>
      </c>
      <c r="G2405">
        <v>9</v>
      </c>
      <c r="H2405" t="str">
        <f>"24"</f>
        <v>24</v>
      </c>
      <c r="I2405" t="str">
        <f t="shared" ref="I2405:I2436" si="401">"0"</f>
        <v>0</v>
      </c>
      <c r="J2405" t="str">
        <f>"24"</f>
        <v>24</v>
      </c>
      <c r="K2405">
        <v>20181207</v>
      </c>
      <c r="L2405" t="str">
        <f>"074887"</f>
        <v>074887</v>
      </c>
      <c r="M2405" t="str">
        <f>"56208"</f>
        <v>56208</v>
      </c>
      <c r="N2405" t="s">
        <v>1518</v>
      </c>
      <c r="O2405" s="1">
        <v>17500</v>
      </c>
      <c r="P2405">
        <v>20181206</v>
      </c>
      <c r="Q2405" t="s">
        <v>1519</v>
      </c>
      <c r="R2405" t="s">
        <v>1520</v>
      </c>
      <c r="S2405" t="s">
        <v>1475</v>
      </c>
      <c r="T2405" t="s">
        <v>301</v>
      </c>
    </row>
    <row r="2406" spans="1:20" x14ac:dyDescent="0.25">
      <c r="A2406">
        <v>9</v>
      </c>
      <c r="B2406">
        <v>192</v>
      </c>
      <c r="C2406" t="str">
        <f t="shared" si="400"/>
        <v>11</v>
      </c>
      <c r="D2406">
        <v>6399</v>
      </c>
      <c r="E2406" t="str">
        <f>"11"</f>
        <v>11</v>
      </c>
      <c r="F2406" t="str">
        <f>"002"</f>
        <v>002</v>
      </c>
      <c r="G2406">
        <v>9</v>
      </c>
      <c r="H2406" t="str">
        <f>"26"</f>
        <v>26</v>
      </c>
      <c r="I2406" t="str">
        <f t="shared" si="401"/>
        <v>0</v>
      </c>
      <c r="J2406" t="str">
        <f>"26"</f>
        <v>26</v>
      </c>
      <c r="K2406">
        <v>20181207</v>
      </c>
      <c r="L2406" t="str">
        <f>"074887"</f>
        <v>074887</v>
      </c>
      <c r="M2406" t="str">
        <f>"56208"</f>
        <v>56208</v>
      </c>
      <c r="N2406" t="s">
        <v>1518</v>
      </c>
      <c r="O2406" s="1">
        <v>1875</v>
      </c>
      <c r="P2406">
        <v>20181206</v>
      </c>
      <c r="Q2406" t="s">
        <v>1521</v>
      </c>
      <c r="R2406" t="s">
        <v>1520</v>
      </c>
      <c r="S2406" t="s">
        <v>1475</v>
      </c>
      <c r="T2406" t="s">
        <v>1485</v>
      </c>
    </row>
    <row r="2407" spans="1:20" x14ac:dyDescent="0.25">
      <c r="A2407">
        <v>9</v>
      </c>
      <c r="B2407">
        <v>192</v>
      </c>
      <c r="C2407" t="str">
        <f t="shared" si="400"/>
        <v>11</v>
      </c>
      <c r="D2407">
        <v>6399</v>
      </c>
      <c r="E2407" t="str">
        <f>"11"</f>
        <v>11</v>
      </c>
      <c r="F2407" t="str">
        <f>"041"</f>
        <v>041</v>
      </c>
      <c r="G2407">
        <v>9</v>
      </c>
      <c r="H2407" t="str">
        <f>"24"</f>
        <v>24</v>
      </c>
      <c r="I2407" t="str">
        <f t="shared" si="401"/>
        <v>0</v>
      </c>
      <c r="J2407" t="str">
        <f>"24"</f>
        <v>24</v>
      </c>
      <c r="K2407">
        <v>20181207</v>
      </c>
      <c r="L2407" t="str">
        <f>"074887"</f>
        <v>074887</v>
      </c>
      <c r="M2407" t="str">
        <f>"56208"</f>
        <v>56208</v>
      </c>
      <c r="N2407" t="s">
        <v>1518</v>
      </c>
      <c r="O2407">
        <v>625</v>
      </c>
      <c r="P2407">
        <v>20181206</v>
      </c>
      <c r="Q2407" t="s">
        <v>1522</v>
      </c>
      <c r="R2407" t="s">
        <v>1520</v>
      </c>
      <c r="S2407" t="s">
        <v>1475</v>
      </c>
      <c r="T2407" t="s">
        <v>106</v>
      </c>
    </row>
    <row r="2408" spans="1:20" x14ac:dyDescent="0.25">
      <c r="A2408">
        <v>9</v>
      </c>
      <c r="B2408">
        <v>192</v>
      </c>
      <c r="C2408" t="str">
        <f t="shared" si="400"/>
        <v>11</v>
      </c>
      <c r="D2408">
        <v>6239</v>
      </c>
      <c r="E2408" t="str">
        <f>"10"</f>
        <v>10</v>
      </c>
      <c r="F2408" t="str">
        <f>"002"</f>
        <v>002</v>
      </c>
      <c r="G2408">
        <v>9</v>
      </c>
      <c r="H2408" t="str">
        <f>"26"</f>
        <v>26</v>
      </c>
      <c r="I2408" t="str">
        <f t="shared" si="401"/>
        <v>0</v>
      </c>
      <c r="J2408" t="str">
        <f>"26"</f>
        <v>26</v>
      </c>
      <c r="K2408">
        <v>20181214</v>
      </c>
      <c r="L2408" t="str">
        <f>"075012"</f>
        <v>075012</v>
      </c>
      <c r="M2408" t="str">
        <f>"27900"</f>
        <v>27900</v>
      </c>
      <c r="N2408" t="s">
        <v>1490</v>
      </c>
      <c r="O2408">
        <v>120.3</v>
      </c>
      <c r="P2408">
        <v>20181212</v>
      </c>
      <c r="Q2408" t="s">
        <v>1523</v>
      </c>
      <c r="R2408" t="s">
        <v>1524</v>
      </c>
      <c r="S2408" t="s">
        <v>1475</v>
      </c>
      <c r="T2408" t="s">
        <v>1485</v>
      </c>
    </row>
    <row r="2409" spans="1:20" x14ac:dyDescent="0.25">
      <c r="A2409">
        <v>9</v>
      </c>
      <c r="B2409">
        <v>192</v>
      </c>
      <c r="C2409" t="str">
        <f>"95"</f>
        <v>95</v>
      </c>
      <c r="D2409">
        <v>6223</v>
      </c>
      <c r="E2409" t="str">
        <f>"10"</f>
        <v>10</v>
      </c>
      <c r="F2409" t="str">
        <f>"003"</f>
        <v>003</v>
      </c>
      <c r="G2409">
        <v>9</v>
      </c>
      <c r="H2409" t="str">
        <f>"28"</f>
        <v>28</v>
      </c>
      <c r="I2409" t="str">
        <f t="shared" si="401"/>
        <v>0</v>
      </c>
      <c r="J2409" t="str">
        <f>"29"</f>
        <v>29</v>
      </c>
      <c r="K2409">
        <v>20181214</v>
      </c>
      <c r="L2409" t="str">
        <f>"075061"</f>
        <v>075061</v>
      </c>
      <c r="M2409" t="str">
        <f>"56007"</f>
        <v>56007</v>
      </c>
      <c r="N2409" t="s">
        <v>1486</v>
      </c>
      <c r="O2409" s="1">
        <v>3132</v>
      </c>
      <c r="P2409">
        <v>20181212</v>
      </c>
      <c r="Q2409" t="s">
        <v>1487</v>
      </c>
      <c r="R2409" t="s">
        <v>1525</v>
      </c>
      <c r="S2409" t="s">
        <v>1475</v>
      </c>
      <c r="T2409" t="s">
        <v>1489</v>
      </c>
    </row>
    <row r="2410" spans="1:20" x14ac:dyDescent="0.25">
      <c r="A2410">
        <v>9</v>
      </c>
      <c r="B2410">
        <v>192</v>
      </c>
      <c r="C2410" t="str">
        <f>"11"</f>
        <v>11</v>
      </c>
      <c r="D2410">
        <v>6399</v>
      </c>
      <c r="E2410" t="str">
        <f>"24"</f>
        <v>24</v>
      </c>
      <c r="F2410" t="str">
        <f>"001"</f>
        <v>001</v>
      </c>
      <c r="G2410">
        <v>9</v>
      </c>
      <c r="H2410" t="str">
        <f>"28"</f>
        <v>28</v>
      </c>
      <c r="I2410" t="str">
        <f t="shared" si="401"/>
        <v>0</v>
      </c>
      <c r="J2410" t="str">
        <f>"28"</f>
        <v>28</v>
      </c>
      <c r="K2410">
        <v>20181214</v>
      </c>
      <c r="L2410" t="str">
        <f>"075081"</f>
        <v>075081</v>
      </c>
      <c r="M2410" t="str">
        <f>"65106"</f>
        <v>65106</v>
      </c>
      <c r="N2410" t="s">
        <v>1175</v>
      </c>
      <c r="O2410">
        <v>578.13</v>
      </c>
      <c r="P2410">
        <v>20181213</v>
      </c>
      <c r="Q2410" t="s">
        <v>1516</v>
      </c>
      <c r="R2410" t="s">
        <v>1517</v>
      </c>
      <c r="S2410" t="s">
        <v>1475</v>
      </c>
      <c r="T2410" t="s">
        <v>301</v>
      </c>
    </row>
    <row r="2411" spans="1:20" x14ac:dyDescent="0.25">
      <c r="A2411">
        <v>9</v>
      </c>
      <c r="B2411">
        <v>192</v>
      </c>
      <c r="C2411" t="str">
        <f>"11"</f>
        <v>11</v>
      </c>
      <c r="D2411">
        <v>6412</v>
      </c>
      <c r="E2411" t="str">
        <f t="shared" ref="E2411:E2441" si="402">"10"</f>
        <v>10</v>
      </c>
      <c r="F2411" t="str">
        <f>"002"</f>
        <v>002</v>
      </c>
      <c r="G2411">
        <v>9</v>
      </c>
      <c r="H2411" t="str">
        <f>"26"</f>
        <v>26</v>
      </c>
      <c r="I2411" t="str">
        <f t="shared" si="401"/>
        <v>0</v>
      </c>
      <c r="J2411" t="str">
        <f>"26"</f>
        <v>26</v>
      </c>
      <c r="K2411">
        <v>20181214</v>
      </c>
      <c r="L2411" t="str">
        <f>"075086"</f>
        <v>075086</v>
      </c>
      <c r="M2411" t="str">
        <f>"67510"</f>
        <v>67510</v>
      </c>
      <c r="N2411" t="s">
        <v>1526</v>
      </c>
      <c r="O2411">
        <v>150</v>
      </c>
      <c r="P2411">
        <v>20181213</v>
      </c>
      <c r="Q2411" t="s">
        <v>1527</v>
      </c>
      <c r="R2411" t="s">
        <v>1528</v>
      </c>
      <c r="S2411" t="s">
        <v>1475</v>
      </c>
      <c r="T2411" t="s">
        <v>1485</v>
      </c>
    </row>
    <row r="2412" spans="1:20" x14ac:dyDescent="0.25">
      <c r="A2412">
        <v>9</v>
      </c>
      <c r="B2412">
        <v>192</v>
      </c>
      <c r="C2412" t="str">
        <f>"23"</f>
        <v>23</v>
      </c>
      <c r="D2412">
        <v>6411</v>
      </c>
      <c r="E2412" t="str">
        <f t="shared" si="402"/>
        <v>10</v>
      </c>
      <c r="F2412" t="str">
        <f>"002"</f>
        <v>002</v>
      </c>
      <c r="G2412">
        <v>9</v>
      </c>
      <c r="H2412" t="str">
        <f>"26"</f>
        <v>26</v>
      </c>
      <c r="I2412" t="str">
        <f t="shared" si="401"/>
        <v>0</v>
      </c>
      <c r="J2412" t="str">
        <f>"26"</f>
        <v>26</v>
      </c>
      <c r="K2412">
        <v>20181214</v>
      </c>
      <c r="L2412" t="str">
        <f>"075086"</f>
        <v>075086</v>
      </c>
      <c r="M2412" t="str">
        <f>"67510"</f>
        <v>67510</v>
      </c>
      <c r="N2412" t="s">
        <v>1526</v>
      </c>
      <c r="O2412">
        <v>150</v>
      </c>
      <c r="P2412">
        <v>20181213</v>
      </c>
      <c r="Q2412" t="s">
        <v>1529</v>
      </c>
      <c r="R2412" t="s">
        <v>1528</v>
      </c>
      <c r="S2412" t="s">
        <v>1475</v>
      </c>
      <c r="T2412" t="s">
        <v>1485</v>
      </c>
    </row>
    <row r="2413" spans="1:20" x14ac:dyDescent="0.25">
      <c r="A2413">
        <v>9</v>
      </c>
      <c r="B2413">
        <v>192</v>
      </c>
      <c r="C2413" t="str">
        <f>"11"</f>
        <v>11</v>
      </c>
      <c r="D2413">
        <v>6399</v>
      </c>
      <c r="E2413" t="str">
        <f t="shared" si="402"/>
        <v>10</v>
      </c>
      <c r="F2413" t="str">
        <f>"002"</f>
        <v>002</v>
      </c>
      <c r="G2413">
        <v>9</v>
      </c>
      <c r="H2413" t="str">
        <f>"26"</f>
        <v>26</v>
      </c>
      <c r="I2413" t="str">
        <f t="shared" si="401"/>
        <v>0</v>
      </c>
      <c r="J2413" t="str">
        <f>"26"</f>
        <v>26</v>
      </c>
      <c r="K2413">
        <v>20190111</v>
      </c>
      <c r="L2413" t="str">
        <f>"075156"</f>
        <v>075156</v>
      </c>
      <c r="M2413" t="str">
        <f>"09170"</f>
        <v>09170</v>
      </c>
      <c r="N2413" t="s">
        <v>679</v>
      </c>
      <c r="O2413">
        <v>50.66</v>
      </c>
      <c r="P2413">
        <v>20190109</v>
      </c>
      <c r="Q2413" t="s">
        <v>1494</v>
      </c>
      <c r="R2413" t="s">
        <v>1530</v>
      </c>
      <c r="S2413" t="s">
        <v>1475</v>
      </c>
      <c r="T2413" t="s">
        <v>1485</v>
      </c>
    </row>
    <row r="2414" spans="1:20" x14ac:dyDescent="0.25">
      <c r="A2414">
        <v>9</v>
      </c>
      <c r="B2414">
        <v>192</v>
      </c>
      <c r="C2414" t="str">
        <f>"95"</f>
        <v>95</v>
      </c>
      <c r="D2414">
        <v>6223</v>
      </c>
      <c r="E2414" t="str">
        <f t="shared" si="402"/>
        <v>10</v>
      </c>
      <c r="F2414" t="str">
        <f>"003"</f>
        <v>003</v>
      </c>
      <c r="G2414">
        <v>9</v>
      </c>
      <c r="H2414" t="str">
        <f>"28"</f>
        <v>28</v>
      </c>
      <c r="I2414" t="str">
        <f t="shared" si="401"/>
        <v>0</v>
      </c>
      <c r="J2414" t="str">
        <f>"29"</f>
        <v>29</v>
      </c>
      <c r="K2414">
        <v>20190111</v>
      </c>
      <c r="L2414" t="str">
        <f>"075245"</f>
        <v>075245</v>
      </c>
      <c r="M2414" t="str">
        <f>"56007"</f>
        <v>56007</v>
      </c>
      <c r="N2414" t="s">
        <v>1486</v>
      </c>
      <c r="O2414" s="1">
        <v>3758.4</v>
      </c>
      <c r="P2414">
        <v>20190110</v>
      </c>
      <c r="Q2414" t="s">
        <v>1487</v>
      </c>
      <c r="R2414" t="s">
        <v>1531</v>
      </c>
      <c r="S2414" t="s">
        <v>1475</v>
      </c>
      <c r="T2414" t="s">
        <v>1489</v>
      </c>
    </row>
    <row r="2415" spans="1:20" x14ac:dyDescent="0.25">
      <c r="A2415">
        <v>9</v>
      </c>
      <c r="B2415">
        <v>192</v>
      </c>
      <c r="C2415" t="str">
        <f>"11"</f>
        <v>11</v>
      </c>
      <c r="D2415">
        <v>6399</v>
      </c>
      <c r="E2415" t="str">
        <f t="shared" si="402"/>
        <v>10</v>
      </c>
      <c r="F2415" t="str">
        <f t="shared" ref="F2415:F2422" si="403">"002"</f>
        <v>002</v>
      </c>
      <c r="G2415">
        <v>9</v>
      </c>
      <c r="H2415" t="str">
        <f t="shared" ref="H2415:H2422" si="404">"26"</f>
        <v>26</v>
      </c>
      <c r="I2415" t="str">
        <f t="shared" si="401"/>
        <v>0</v>
      </c>
      <c r="J2415" t="str">
        <f t="shared" ref="J2415:J2422" si="405">"26"</f>
        <v>26</v>
      </c>
      <c r="K2415">
        <v>20190125</v>
      </c>
      <c r="L2415" t="str">
        <f>"075321"</f>
        <v>075321</v>
      </c>
      <c r="M2415" t="str">
        <f>"09170"</f>
        <v>09170</v>
      </c>
      <c r="N2415" t="s">
        <v>679</v>
      </c>
      <c r="O2415">
        <v>53.64</v>
      </c>
      <c r="P2415">
        <v>20190124</v>
      </c>
      <c r="Q2415" t="s">
        <v>1494</v>
      </c>
      <c r="R2415" t="s">
        <v>1532</v>
      </c>
      <c r="S2415" t="s">
        <v>1475</v>
      </c>
      <c r="T2415" t="s">
        <v>1485</v>
      </c>
    </row>
    <row r="2416" spans="1:20" x14ac:dyDescent="0.25">
      <c r="A2416">
        <v>9</v>
      </c>
      <c r="B2416">
        <v>192</v>
      </c>
      <c r="C2416" t="str">
        <f>"11"</f>
        <v>11</v>
      </c>
      <c r="D2416">
        <v>6399</v>
      </c>
      <c r="E2416" t="str">
        <f t="shared" si="402"/>
        <v>10</v>
      </c>
      <c r="F2416" t="str">
        <f t="shared" si="403"/>
        <v>002</v>
      </c>
      <c r="G2416">
        <v>9</v>
      </c>
      <c r="H2416" t="str">
        <f t="shared" si="404"/>
        <v>26</v>
      </c>
      <c r="I2416" t="str">
        <f t="shared" si="401"/>
        <v>0</v>
      </c>
      <c r="J2416" t="str">
        <f t="shared" si="405"/>
        <v>26</v>
      </c>
      <c r="K2416">
        <v>20190125</v>
      </c>
      <c r="L2416" t="str">
        <f>"075321"</f>
        <v>075321</v>
      </c>
      <c r="M2416" t="str">
        <f>"09170"</f>
        <v>09170</v>
      </c>
      <c r="N2416" t="s">
        <v>679</v>
      </c>
      <c r="O2416">
        <v>480</v>
      </c>
      <c r="P2416">
        <v>20190124</v>
      </c>
      <c r="Q2416" t="s">
        <v>1494</v>
      </c>
      <c r="R2416" t="s">
        <v>1533</v>
      </c>
      <c r="S2416" t="s">
        <v>1475</v>
      </c>
      <c r="T2416" t="s">
        <v>1485</v>
      </c>
    </row>
    <row r="2417" spans="1:20" x14ac:dyDescent="0.25">
      <c r="A2417">
        <v>9</v>
      </c>
      <c r="B2417">
        <v>192</v>
      </c>
      <c r="C2417" t="str">
        <f t="shared" ref="C2417:C2422" si="406">"13"</f>
        <v>13</v>
      </c>
      <c r="D2417">
        <v>6239</v>
      </c>
      <c r="E2417" t="str">
        <f t="shared" si="402"/>
        <v>10</v>
      </c>
      <c r="F2417" t="str">
        <f t="shared" si="403"/>
        <v>002</v>
      </c>
      <c r="G2417">
        <v>9</v>
      </c>
      <c r="H2417" t="str">
        <f t="shared" si="404"/>
        <v>26</v>
      </c>
      <c r="I2417" t="str">
        <f t="shared" si="401"/>
        <v>0</v>
      </c>
      <c r="J2417" t="str">
        <f t="shared" si="405"/>
        <v>26</v>
      </c>
      <c r="K2417">
        <v>20190125</v>
      </c>
      <c r="L2417" t="str">
        <f>"075350"</f>
        <v>075350</v>
      </c>
      <c r="M2417" t="str">
        <f>"27900"</f>
        <v>27900</v>
      </c>
      <c r="N2417" t="s">
        <v>1490</v>
      </c>
      <c r="O2417">
        <v>100.75</v>
      </c>
      <c r="P2417">
        <v>20190124</v>
      </c>
      <c r="Q2417" t="s">
        <v>1534</v>
      </c>
      <c r="R2417" t="s">
        <v>1535</v>
      </c>
      <c r="S2417" t="s">
        <v>1475</v>
      </c>
      <c r="T2417" t="s">
        <v>1485</v>
      </c>
    </row>
    <row r="2418" spans="1:20" x14ac:dyDescent="0.25">
      <c r="A2418">
        <v>9</v>
      </c>
      <c r="B2418">
        <v>192</v>
      </c>
      <c r="C2418" t="str">
        <f t="shared" si="406"/>
        <v>13</v>
      </c>
      <c r="D2418">
        <v>6411</v>
      </c>
      <c r="E2418" t="str">
        <f t="shared" si="402"/>
        <v>10</v>
      </c>
      <c r="F2418" t="str">
        <f t="shared" si="403"/>
        <v>002</v>
      </c>
      <c r="G2418">
        <v>9</v>
      </c>
      <c r="H2418" t="str">
        <f t="shared" si="404"/>
        <v>26</v>
      </c>
      <c r="I2418" t="str">
        <f t="shared" si="401"/>
        <v>0</v>
      </c>
      <c r="J2418" t="str">
        <f t="shared" si="405"/>
        <v>26</v>
      </c>
      <c r="K2418">
        <v>20190125</v>
      </c>
      <c r="L2418" t="str">
        <f>"075351"</f>
        <v>075351</v>
      </c>
      <c r="M2418" t="str">
        <f>"28573"</f>
        <v>28573</v>
      </c>
      <c r="N2418" t="s">
        <v>1072</v>
      </c>
      <c r="O2418">
        <v>201.6</v>
      </c>
      <c r="P2418">
        <v>20190124</v>
      </c>
      <c r="Q2418" t="s">
        <v>1483</v>
      </c>
      <c r="R2418" t="s">
        <v>1536</v>
      </c>
      <c r="S2418" t="s">
        <v>1475</v>
      </c>
      <c r="T2418" t="s">
        <v>1485</v>
      </c>
    </row>
    <row r="2419" spans="1:20" x14ac:dyDescent="0.25">
      <c r="A2419">
        <v>9</v>
      </c>
      <c r="B2419">
        <v>192</v>
      </c>
      <c r="C2419" t="str">
        <f t="shared" si="406"/>
        <v>13</v>
      </c>
      <c r="D2419">
        <v>6411</v>
      </c>
      <c r="E2419" t="str">
        <f t="shared" si="402"/>
        <v>10</v>
      </c>
      <c r="F2419" t="str">
        <f t="shared" si="403"/>
        <v>002</v>
      </c>
      <c r="G2419">
        <v>9</v>
      </c>
      <c r="H2419" t="str">
        <f t="shared" si="404"/>
        <v>26</v>
      </c>
      <c r="I2419" t="str">
        <f t="shared" si="401"/>
        <v>0</v>
      </c>
      <c r="J2419" t="str">
        <f t="shared" si="405"/>
        <v>26</v>
      </c>
      <c r="K2419">
        <v>20190125</v>
      </c>
      <c r="L2419" t="str">
        <f>"075352"</f>
        <v>075352</v>
      </c>
      <c r="M2419" t="str">
        <f>"28573"</f>
        <v>28573</v>
      </c>
      <c r="N2419" t="s">
        <v>1072</v>
      </c>
      <c r="O2419">
        <v>201.6</v>
      </c>
      <c r="P2419">
        <v>20190124</v>
      </c>
      <c r="Q2419" t="s">
        <v>1483</v>
      </c>
      <c r="R2419" t="s">
        <v>1536</v>
      </c>
      <c r="S2419" t="s">
        <v>1475</v>
      </c>
      <c r="T2419" t="s">
        <v>1485</v>
      </c>
    </row>
    <row r="2420" spans="1:20" x14ac:dyDescent="0.25">
      <c r="A2420">
        <v>9</v>
      </c>
      <c r="B2420">
        <v>192</v>
      </c>
      <c r="C2420" t="str">
        <f t="shared" si="406"/>
        <v>13</v>
      </c>
      <c r="D2420">
        <v>6411</v>
      </c>
      <c r="E2420" t="str">
        <f t="shared" si="402"/>
        <v>10</v>
      </c>
      <c r="F2420" t="str">
        <f t="shared" si="403"/>
        <v>002</v>
      </c>
      <c r="G2420">
        <v>9</v>
      </c>
      <c r="H2420" t="str">
        <f t="shared" si="404"/>
        <v>26</v>
      </c>
      <c r="I2420" t="str">
        <f t="shared" si="401"/>
        <v>0</v>
      </c>
      <c r="J2420" t="str">
        <f t="shared" si="405"/>
        <v>26</v>
      </c>
      <c r="K2420">
        <v>20190125</v>
      </c>
      <c r="L2420" t="str">
        <f>"075353"</f>
        <v>075353</v>
      </c>
      <c r="M2420" t="str">
        <f>"28573"</f>
        <v>28573</v>
      </c>
      <c r="N2420" t="s">
        <v>1072</v>
      </c>
      <c r="O2420">
        <v>201.6</v>
      </c>
      <c r="P2420">
        <v>20190124</v>
      </c>
      <c r="Q2420" t="s">
        <v>1483</v>
      </c>
      <c r="R2420" t="s">
        <v>1536</v>
      </c>
      <c r="S2420" t="s">
        <v>1475</v>
      </c>
      <c r="T2420" t="s">
        <v>1485</v>
      </c>
    </row>
    <row r="2421" spans="1:20" x14ac:dyDescent="0.25">
      <c r="A2421">
        <v>9</v>
      </c>
      <c r="B2421">
        <v>192</v>
      </c>
      <c r="C2421" t="str">
        <f t="shared" si="406"/>
        <v>13</v>
      </c>
      <c r="D2421">
        <v>6411</v>
      </c>
      <c r="E2421" t="str">
        <f t="shared" si="402"/>
        <v>10</v>
      </c>
      <c r="F2421" t="str">
        <f t="shared" si="403"/>
        <v>002</v>
      </c>
      <c r="G2421">
        <v>9</v>
      </c>
      <c r="H2421" t="str">
        <f t="shared" si="404"/>
        <v>26</v>
      </c>
      <c r="I2421" t="str">
        <f t="shared" si="401"/>
        <v>0</v>
      </c>
      <c r="J2421" t="str">
        <f t="shared" si="405"/>
        <v>26</v>
      </c>
      <c r="K2421">
        <v>20190125</v>
      </c>
      <c r="L2421" t="str">
        <f>"075354"</f>
        <v>075354</v>
      </c>
      <c r="M2421" t="str">
        <f>"28573"</f>
        <v>28573</v>
      </c>
      <c r="N2421" t="s">
        <v>1072</v>
      </c>
      <c r="O2421">
        <v>201.6</v>
      </c>
      <c r="P2421">
        <v>20190124</v>
      </c>
      <c r="Q2421" t="s">
        <v>1483</v>
      </c>
      <c r="R2421" t="s">
        <v>1536</v>
      </c>
      <c r="S2421" t="s">
        <v>1475</v>
      </c>
      <c r="T2421" t="s">
        <v>1485</v>
      </c>
    </row>
    <row r="2422" spans="1:20" x14ac:dyDescent="0.25">
      <c r="A2422">
        <v>9</v>
      </c>
      <c r="B2422">
        <v>192</v>
      </c>
      <c r="C2422" t="str">
        <f t="shared" si="406"/>
        <v>13</v>
      </c>
      <c r="D2422">
        <v>6411</v>
      </c>
      <c r="E2422" t="str">
        <f t="shared" si="402"/>
        <v>10</v>
      </c>
      <c r="F2422" t="str">
        <f t="shared" si="403"/>
        <v>002</v>
      </c>
      <c r="G2422">
        <v>9</v>
      </c>
      <c r="H2422" t="str">
        <f t="shared" si="404"/>
        <v>26</v>
      </c>
      <c r="I2422" t="str">
        <f t="shared" si="401"/>
        <v>0</v>
      </c>
      <c r="J2422" t="str">
        <f t="shared" si="405"/>
        <v>26</v>
      </c>
      <c r="K2422">
        <v>20190125</v>
      </c>
      <c r="L2422" t="str">
        <f>"075370"</f>
        <v>075370</v>
      </c>
      <c r="M2422" t="str">
        <f>"51511"</f>
        <v>51511</v>
      </c>
      <c r="N2422" t="s">
        <v>1537</v>
      </c>
      <c r="O2422">
        <v>858.31</v>
      </c>
      <c r="P2422">
        <v>20190124</v>
      </c>
      <c r="Q2422" t="s">
        <v>1483</v>
      </c>
      <c r="R2422" t="s">
        <v>1493</v>
      </c>
      <c r="S2422" t="s">
        <v>1475</v>
      </c>
      <c r="T2422" t="s">
        <v>1485</v>
      </c>
    </row>
    <row r="2423" spans="1:20" x14ac:dyDescent="0.25">
      <c r="A2423">
        <v>9</v>
      </c>
      <c r="B2423">
        <v>192</v>
      </c>
      <c r="C2423" t="str">
        <f>"95"</f>
        <v>95</v>
      </c>
      <c r="D2423">
        <v>6223</v>
      </c>
      <c r="E2423" t="str">
        <f t="shared" si="402"/>
        <v>10</v>
      </c>
      <c r="F2423" t="str">
        <f>"003"</f>
        <v>003</v>
      </c>
      <c r="G2423">
        <v>9</v>
      </c>
      <c r="H2423" t="str">
        <f>"28"</f>
        <v>28</v>
      </c>
      <c r="I2423" t="str">
        <f t="shared" si="401"/>
        <v>0</v>
      </c>
      <c r="J2423" t="str">
        <f>"29"</f>
        <v>29</v>
      </c>
      <c r="K2423">
        <v>20190208</v>
      </c>
      <c r="L2423" t="str">
        <f>"075624"</f>
        <v>075624</v>
      </c>
      <c r="M2423" t="str">
        <f>"56007"</f>
        <v>56007</v>
      </c>
      <c r="N2423" t="s">
        <v>1486</v>
      </c>
      <c r="O2423" s="1">
        <v>3967.2</v>
      </c>
      <c r="P2423">
        <v>20190207</v>
      </c>
      <c r="Q2423" t="s">
        <v>1487</v>
      </c>
      <c r="R2423" t="s">
        <v>1538</v>
      </c>
      <c r="S2423" t="s">
        <v>1475</v>
      </c>
      <c r="T2423" t="s">
        <v>1489</v>
      </c>
    </row>
    <row r="2424" spans="1:20" x14ac:dyDescent="0.25">
      <c r="A2424">
        <v>9</v>
      </c>
      <c r="B2424">
        <v>192</v>
      </c>
      <c r="C2424" t="str">
        <f t="shared" ref="C2424:C2430" si="407">"11"</f>
        <v>11</v>
      </c>
      <c r="D2424">
        <v>6399</v>
      </c>
      <c r="E2424" t="str">
        <f t="shared" si="402"/>
        <v>10</v>
      </c>
      <c r="F2424" t="str">
        <f>"001"</f>
        <v>001</v>
      </c>
      <c r="G2424">
        <v>9</v>
      </c>
      <c r="H2424" t="str">
        <f>"24"</f>
        <v>24</v>
      </c>
      <c r="I2424" t="str">
        <f t="shared" si="401"/>
        <v>0</v>
      </c>
      <c r="J2424" t="str">
        <f>"24"</f>
        <v>24</v>
      </c>
      <c r="K2424">
        <v>20190208</v>
      </c>
      <c r="L2424" t="str">
        <f>"075649"</f>
        <v>075649</v>
      </c>
      <c r="M2424" t="str">
        <f>"69033"</f>
        <v>69033</v>
      </c>
      <c r="N2424" t="s">
        <v>1539</v>
      </c>
      <c r="O2424" s="1">
        <v>8175</v>
      </c>
      <c r="P2424">
        <v>20190207</v>
      </c>
      <c r="Q2424" t="s">
        <v>1540</v>
      </c>
      <c r="R2424" t="s">
        <v>1541</v>
      </c>
      <c r="S2424" t="s">
        <v>1475</v>
      </c>
      <c r="T2424" t="s">
        <v>301</v>
      </c>
    </row>
    <row r="2425" spans="1:20" x14ac:dyDescent="0.25">
      <c r="A2425">
        <v>9</v>
      </c>
      <c r="B2425">
        <v>192</v>
      </c>
      <c r="C2425" t="str">
        <f t="shared" si="407"/>
        <v>11</v>
      </c>
      <c r="D2425">
        <v>6399</v>
      </c>
      <c r="E2425" t="str">
        <f t="shared" si="402"/>
        <v>10</v>
      </c>
      <c r="F2425" t="str">
        <f t="shared" ref="F2425:F2439" si="408">"002"</f>
        <v>002</v>
      </c>
      <c r="G2425">
        <v>9</v>
      </c>
      <c r="H2425" t="str">
        <f t="shared" ref="H2425:H2439" si="409">"26"</f>
        <v>26</v>
      </c>
      <c r="I2425" t="str">
        <f t="shared" si="401"/>
        <v>0</v>
      </c>
      <c r="J2425" t="str">
        <f t="shared" ref="J2425:J2439" si="410">"26"</f>
        <v>26</v>
      </c>
      <c r="K2425">
        <v>20190208</v>
      </c>
      <c r="L2425" t="str">
        <f>"075649"</f>
        <v>075649</v>
      </c>
      <c r="M2425" t="str">
        <f>"69033"</f>
        <v>69033</v>
      </c>
      <c r="N2425" t="s">
        <v>1539</v>
      </c>
      <c r="O2425">
        <v>580</v>
      </c>
      <c r="P2425">
        <v>20190207</v>
      </c>
      <c r="Q2425" t="s">
        <v>1494</v>
      </c>
      <c r="R2425" t="s">
        <v>1542</v>
      </c>
      <c r="S2425" t="s">
        <v>1475</v>
      </c>
      <c r="T2425" t="s">
        <v>1485</v>
      </c>
    </row>
    <row r="2426" spans="1:20" x14ac:dyDescent="0.25">
      <c r="A2426">
        <v>9</v>
      </c>
      <c r="B2426">
        <v>192</v>
      </c>
      <c r="C2426" t="str">
        <f t="shared" si="407"/>
        <v>11</v>
      </c>
      <c r="D2426">
        <v>6399</v>
      </c>
      <c r="E2426" t="str">
        <f t="shared" si="402"/>
        <v>10</v>
      </c>
      <c r="F2426" t="str">
        <f t="shared" si="408"/>
        <v>002</v>
      </c>
      <c r="G2426">
        <v>9</v>
      </c>
      <c r="H2426" t="str">
        <f t="shared" si="409"/>
        <v>26</v>
      </c>
      <c r="I2426" t="str">
        <f t="shared" si="401"/>
        <v>0</v>
      </c>
      <c r="J2426" t="str">
        <f t="shared" si="410"/>
        <v>26</v>
      </c>
      <c r="K2426">
        <v>20190308</v>
      </c>
      <c r="L2426" t="str">
        <f>"075862"</f>
        <v>075862</v>
      </c>
      <c r="M2426" t="str">
        <f>"04410"</f>
        <v>04410</v>
      </c>
      <c r="N2426" t="s">
        <v>410</v>
      </c>
      <c r="O2426">
        <v>87.99</v>
      </c>
      <c r="P2426">
        <v>20190305</v>
      </c>
      <c r="Q2426" t="s">
        <v>1494</v>
      </c>
      <c r="R2426" t="s">
        <v>1543</v>
      </c>
      <c r="S2426" t="s">
        <v>1475</v>
      </c>
      <c r="T2426" t="s">
        <v>1485</v>
      </c>
    </row>
    <row r="2427" spans="1:20" x14ac:dyDescent="0.25">
      <c r="A2427">
        <v>9</v>
      </c>
      <c r="B2427">
        <v>192</v>
      </c>
      <c r="C2427" t="str">
        <f t="shared" si="407"/>
        <v>11</v>
      </c>
      <c r="D2427">
        <v>6399</v>
      </c>
      <c r="E2427" t="str">
        <f t="shared" si="402"/>
        <v>10</v>
      </c>
      <c r="F2427" t="str">
        <f t="shared" si="408"/>
        <v>002</v>
      </c>
      <c r="G2427">
        <v>9</v>
      </c>
      <c r="H2427" t="str">
        <f t="shared" si="409"/>
        <v>26</v>
      </c>
      <c r="I2427" t="str">
        <f t="shared" si="401"/>
        <v>0</v>
      </c>
      <c r="J2427" t="str">
        <f t="shared" si="410"/>
        <v>26</v>
      </c>
      <c r="K2427">
        <v>20190308</v>
      </c>
      <c r="L2427" t="str">
        <f>"075862"</f>
        <v>075862</v>
      </c>
      <c r="M2427" t="str">
        <f>"04410"</f>
        <v>04410</v>
      </c>
      <c r="N2427" t="s">
        <v>410</v>
      </c>
      <c r="O2427">
        <v>287.76</v>
      </c>
      <c r="P2427">
        <v>20190305</v>
      </c>
      <c r="Q2427" t="s">
        <v>1494</v>
      </c>
      <c r="R2427" t="s">
        <v>1544</v>
      </c>
      <c r="S2427" t="s">
        <v>1475</v>
      </c>
      <c r="T2427" t="s">
        <v>1485</v>
      </c>
    </row>
    <row r="2428" spans="1:20" x14ac:dyDescent="0.25">
      <c r="A2428">
        <v>9</v>
      </c>
      <c r="B2428">
        <v>192</v>
      </c>
      <c r="C2428" t="str">
        <f t="shared" si="407"/>
        <v>11</v>
      </c>
      <c r="D2428">
        <v>6649</v>
      </c>
      <c r="E2428" t="str">
        <f t="shared" si="402"/>
        <v>10</v>
      </c>
      <c r="F2428" t="str">
        <f t="shared" si="408"/>
        <v>002</v>
      </c>
      <c r="G2428">
        <v>9</v>
      </c>
      <c r="H2428" t="str">
        <f t="shared" si="409"/>
        <v>26</v>
      </c>
      <c r="I2428" t="str">
        <f t="shared" si="401"/>
        <v>0</v>
      </c>
      <c r="J2428" t="str">
        <f t="shared" si="410"/>
        <v>26</v>
      </c>
      <c r="K2428">
        <v>20190308</v>
      </c>
      <c r="L2428" t="str">
        <f>"075864"</f>
        <v>075864</v>
      </c>
      <c r="M2428" t="str">
        <f>"06509"</f>
        <v>06509</v>
      </c>
      <c r="N2428" t="s">
        <v>1545</v>
      </c>
      <c r="O2428" s="1">
        <v>1196</v>
      </c>
      <c r="P2428">
        <v>20190305</v>
      </c>
      <c r="Q2428" t="s">
        <v>1546</v>
      </c>
      <c r="R2428" t="s">
        <v>1547</v>
      </c>
      <c r="S2428" t="s">
        <v>1475</v>
      </c>
      <c r="T2428" t="s">
        <v>1485</v>
      </c>
    </row>
    <row r="2429" spans="1:20" x14ac:dyDescent="0.25">
      <c r="A2429">
        <v>9</v>
      </c>
      <c r="B2429">
        <v>192</v>
      </c>
      <c r="C2429" t="str">
        <f t="shared" si="407"/>
        <v>11</v>
      </c>
      <c r="D2429">
        <v>6649</v>
      </c>
      <c r="E2429" t="str">
        <f t="shared" si="402"/>
        <v>10</v>
      </c>
      <c r="F2429" t="str">
        <f t="shared" si="408"/>
        <v>002</v>
      </c>
      <c r="G2429">
        <v>9</v>
      </c>
      <c r="H2429" t="str">
        <f t="shared" si="409"/>
        <v>26</v>
      </c>
      <c r="I2429" t="str">
        <f t="shared" si="401"/>
        <v>0</v>
      </c>
      <c r="J2429" t="str">
        <f t="shared" si="410"/>
        <v>26</v>
      </c>
      <c r="K2429">
        <v>20190308</v>
      </c>
      <c r="L2429" t="str">
        <f>"075864"</f>
        <v>075864</v>
      </c>
      <c r="M2429" t="str">
        <f>"06509"</f>
        <v>06509</v>
      </c>
      <c r="N2429" t="s">
        <v>1545</v>
      </c>
      <c r="O2429" s="1">
        <v>5880</v>
      </c>
      <c r="P2429">
        <v>20190305</v>
      </c>
      <c r="Q2429" t="s">
        <v>1546</v>
      </c>
      <c r="R2429" t="s">
        <v>1547</v>
      </c>
      <c r="S2429" t="s">
        <v>1475</v>
      </c>
      <c r="T2429" t="s">
        <v>1485</v>
      </c>
    </row>
    <row r="2430" spans="1:20" x14ac:dyDescent="0.25">
      <c r="A2430">
        <v>9</v>
      </c>
      <c r="B2430">
        <v>192</v>
      </c>
      <c r="C2430" t="str">
        <f t="shared" si="407"/>
        <v>11</v>
      </c>
      <c r="D2430">
        <v>6399</v>
      </c>
      <c r="E2430" t="str">
        <f t="shared" si="402"/>
        <v>10</v>
      </c>
      <c r="F2430" t="str">
        <f t="shared" si="408"/>
        <v>002</v>
      </c>
      <c r="G2430">
        <v>9</v>
      </c>
      <c r="H2430" t="str">
        <f t="shared" si="409"/>
        <v>26</v>
      </c>
      <c r="I2430" t="str">
        <f t="shared" si="401"/>
        <v>0</v>
      </c>
      <c r="J2430" t="str">
        <f t="shared" si="410"/>
        <v>26</v>
      </c>
      <c r="K2430">
        <v>20190308</v>
      </c>
      <c r="L2430" t="str">
        <f>"075869"</f>
        <v>075869</v>
      </c>
      <c r="M2430" t="str">
        <f>"09170"</f>
        <v>09170</v>
      </c>
      <c r="N2430" t="s">
        <v>679</v>
      </c>
      <c r="O2430">
        <v>59.6</v>
      </c>
      <c r="P2430">
        <v>20190305</v>
      </c>
      <c r="Q2430" t="s">
        <v>1494</v>
      </c>
      <c r="R2430" t="s">
        <v>1548</v>
      </c>
      <c r="S2430" t="s">
        <v>1475</v>
      </c>
      <c r="T2430" t="s">
        <v>1485</v>
      </c>
    </row>
    <row r="2431" spans="1:20" x14ac:dyDescent="0.25">
      <c r="A2431">
        <v>9</v>
      </c>
      <c r="B2431">
        <v>192</v>
      </c>
      <c r="C2431" t="str">
        <f>"13"</f>
        <v>13</v>
      </c>
      <c r="D2431">
        <v>6411</v>
      </c>
      <c r="E2431" t="str">
        <f t="shared" si="402"/>
        <v>10</v>
      </c>
      <c r="F2431" t="str">
        <f t="shared" si="408"/>
        <v>002</v>
      </c>
      <c r="G2431">
        <v>9</v>
      </c>
      <c r="H2431" t="str">
        <f t="shared" si="409"/>
        <v>26</v>
      </c>
      <c r="I2431" t="str">
        <f t="shared" si="401"/>
        <v>0</v>
      </c>
      <c r="J2431" t="str">
        <f t="shared" si="410"/>
        <v>26</v>
      </c>
      <c r="K2431">
        <v>20190308</v>
      </c>
      <c r="L2431" t="str">
        <f>"075878"</f>
        <v>075878</v>
      </c>
      <c r="M2431" t="str">
        <f>"00743"</f>
        <v>00743</v>
      </c>
      <c r="N2431" t="s">
        <v>1549</v>
      </c>
      <c r="O2431">
        <v>45.07</v>
      </c>
      <c r="P2431">
        <v>20190305</v>
      </c>
      <c r="Q2431" t="s">
        <v>1483</v>
      </c>
      <c r="R2431" t="s">
        <v>1536</v>
      </c>
      <c r="S2431" t="s">
        <v>1475</v>
      </c>
      <c r="T2431" t="s">
        <v>1485</v>
      </c>
    </row>
    <row r="2432" spans="1:20" x14ac:dyDescent="0.25">
      <c r="A2432">
        <v>9</v>
      </c>
      <c r="B2432">
        <v>192</v>
      </c>
      <c r="C2432" t="str">
        <f>"13"</f>
        <v>13</v>
      </c>
      <c r="D2432">
        <v>6411</v>
      </c>
      <c r="E2432" t="str">
        <f t="shared" si="402"/>
        <v>10</v>
      </c>
      <c r="F2432" t="str">
        <f t="shared" si="408"/>
        <v>002</v>
      </c>
      <c r="G2432">
        <v>9</v>
      </c>
      <c r="H2432" t="str">
        <f t="shared" si="409"/>
        <v>26</v>
      </c>
      <c r="I2432" t="str">
        <f t="shared" si="401"/>
        <v>0</v>
      </c>
      <c r="J2432" t="str">
        <f t="shared" si="410"/>
        <v>26</v>
      </c>
      <c r="K2432">
        <v>20190308</v>
      </c>
      <c r="L2432" t="str">
        <f>"075887"</f>
        <v>075887</v>
      </c>
      <c r="M2432" t="str">
        <f>"20413"</f>
        <v>20413</v>
      </c>
      <c r="N2432" t="s">
        <v>1550</v>
      </c>
      <c r="O2432">
        <v>64.16</v>
      </c>
      <c r="P2432">
        <v>20190305</v>
      </c>
      <c r="Q2432" t="s">
        <v>1483</v>
      </c>
      <c r="R2432" t="s">
        <v>1536</v>
      </c>
      <c r="S2432" t="s">
        <v>1475</v>
      </c>
      <c r="T2432" t="s">
        <v>1485</v>
      </c>
    </row>
    <row r="2433" spans="1:20" x14ac:dyDescent="0.25">
      <c r="A2433">
        <v>9</v>
      </c>
      <c r="B2433">
        <v>192</v>
      </c>
      <c r="C2433" t="str">
        <f>"13"</f>
        <v>13</v>
      </c>
      <c r="D2433">
        <v>6411</v>
      </c>
      <c r="E2433" t="str">
        <f t="shared" si="402"/>
        <v>10</v>
      </c>
      <c r="F2433" t="str">
        <f t="shared" si="408"/>
        <v>002</v>
      </c>
      <c r="G2433">
        <v>9</v>
      </c>
      <c r="H2433" t="str">
        <f t="shared" si="409"/>
        <v>26</v>
      </c>
      <c r="I2433" t="str">
        <f t="shared" si="401"/>
        <v>0</v>
      </c>
      <c r="J2433" t="str">
        <f t="shared" si="410"/>
        <v>26</v>
      </c>
      <c r="K2433">
        <v>20190308</v>
      </c>
      <c r="L2433" t="str">
        <f>"075898"</f>
        <v>075898</v>
      </c>
      <c r="M2433" t="str">
        <f>"21297"</f>
        <v>21297</v>
      </c>
      <c r="N2433" t="s">
        <v>1504</v>
      </c>
      <c r="O2433">
        <v>65.44</v>
      </c>
      <c r="P2433">
        <v>20190306</v>
      </c>
      <c r="Q2433" t="s">
        <v>1483</v>
      </c>
      <c r="R2433" t="s">
        <v>1536</v>
      </c>
      <c r="S2433" t="s">
        <v>1475</v>
      </c>
      <c r="T2433" t="s">
        <v>1485</v>
      </c>
    </row>
    <row r="2434" spans="1:20" x14ac:dyDescent="0.25">
      <c r="A2434">
        <v>9</v>
      </c>
      <c r="B2434">
        <v>192</v>
      </c>
      <c r="C2434" t="str">
        <f>"13"</f>
        <v>13</v>
      </c>
      <c r="D2434">
        <v>6411</v>
      </c>
      <c r="E2434" t="str">
        <f t="shared" si="402"/>
        <v>10</v>
      </c>
      <c r="F2434" t="str">
        <f t="shared" si="408"/>
        <v>002</v>
      </c>
      <c r="G2434">
        <v>9</v>
      </c>
      <c r="H2434" t="str">
        <f t="shared" si="409"/>
        <v>26</v>
      </c>
      <c r="I2434" t="str">
        <f t="shared" si="401"/>
        <v>0</v>
      </c>
      <c r="J2434" t="str">
        <f t="shared" si="410"/>
        <v>26</v>
      </c>
      <c r="K2434">
        <v>20190308</v>
      </c>
      <c r="L2434" t="str">
        <f>"075901"</f>
        <v>075901</v>
      </c>
      <c r="M2434" t="str">
        <f>"00744"</f>
        <v>00744</v>
      </c>
      <c r="N2434" t="s">
        <v>1551</v>
      </c>
      <c r="O2434">
        <v>186.6</v>
      </c>
      <c r="P2434">
        <v>20190306</v>
      </c>
      <c r="Q2434" t="s">
        <v>1483</v>
      </c>
      <c r="R2434" t="s">
        <v>1536</v>
      </c>
      <c r="S2434" t="s">
        <v>1475</v>
      </c>
      <c r="T2434" t="s">
        <v>1485</v>
      </c>
    </row>
    <row r="2435" spans="1:20" x14ac:dyDescent="0.25">
      <c r="A2435">
        <v>9</v>
      </c>
      <c r="B2435">
        <v>192</v>
      </c>
      <c r="C2435" t="str">
        <f>"13"</f>
        <v>13</v>
      </c>
      <c r="D2435">
        <v>6411</v>
      </c>
      <c r="E2435" t="str">
        <f t="shared" si="402"/>
        <v>10</v>
      </c>
      <c r="F2435" t="str">
        <f t="shared" si="408"/>
        <v>002</v>
      </c>
      <c r="G2435">
        <v>9</v>
      </c>
      <c r="H2435" t="str">
        <f t="shared" si="409"/>
        <v>26</v>
      </c>
      <c r="I2435" t="str">
        <f t="shared" si="401"/>
        <v>0</v>
      </c>
      <c r="J2435" t="str">
        <f t="shared" si="410"/>
        <v>26</v>
      </c>
      <c r="K2435">
        <v>20190308</v>
      </c>
      <c r="L2435" t="str">
        <f>"075952"</f>
        <v>075952</v>
      </c>
      <c r="M2435" t="str">
        <f>"00745"</f>
        <v>00745</v>
      </c>
      <c r="N2435" t="s">
        <v>1552</v>
      </c>
      <c r="O2435">
        <v>36.71</v>
      </c>
      <c r="P2435">
        <v>20190306</v>
      </c>
      <c r="Q2435" t="s">
        <v>1483</v>
      </c>
      <c r="R2435" t="s">
        <v>1536</v>
      </c>
      <c r="S2435" t="s">
        <v>1475</v>
      </c>
      <c r="T2435" t="s">
        <v>1485</v>
      </c>
    </row>
    <row r="2436" spans="1:20" x14ac:dyDescent="0.25">
      <c r="A2436">
        <v>9</v>
      </c>
      <c r="B2436">
        <v>192</v>
      </c>
      <c r="C2436" t="str">
        <f>"23"</f>
        <v>23</v>
      </c>
      <c r="D2436">
        <v>6411</v>
      </c>
      <c r="E2436" t="str">
        <f t="shared" si="402"/>
        <v>10</v>
      </c>
      <c r="F2436" t="str">
        <f t="shared" si="408"/>
        <v>002</v>
      </c>
      <c r="G2436">
        <v>9</v>
      </c>
      <c r="H2436" t="str">
        <f t="shared" si="409"/>
        <v>26</v>
      </c>
      <c r="I2436" t="str">
        <f t="shared" si="401"/>
        <v>0</v>
      </c>
      <c r="J2436" t="str">
        <f t="shared" si="410"/>
        <v>26</v>
      </c>
      <c r="K2436">
        <v>20190308</v>
      </c>
      <c r="L2436" t="str">
        <f>"075957"</f>
        <v>075957</v>
      </c>
      <c r="M2436" t="str">
        <f>"50453"</f>
        <v>50453</v>
      </c>
      <c r="N2436" t="s">
        <v>1472</v>
      </c>
      <c r="O2436">
        <v>227.18</v>
      </c>
      <c r="P2436">
        <v>20190306</v>
      </c>
      <c r="Q2436" t="s">
        <v>1529</v>
      </c>
      <c r="R2436" t="s">
        <v>1536</v>
      </c>
      <c r="S2436" t="s">
        <v>1475</v>
      </c>
      <c r="T2436" t="s">
        <v>1485</v>
      </c>
    </row>
    <row r="2437" spans="1:20" x14ac:dyDescent="0.25">
      <c r="A2437">
        <v>9</v>
      </c>
      <c r="B2437">
        <v>192</v>
      </c>
      <c r="C2437" t="str">
        <f>"13"</f>
        <v>13</v>
      </c>
      <c r="D2437">
        <v>6411</v>
      </c>
      <c r="E2437" t="str">
        <f t="shared" si="402"/>
        <v>10</v>
      </c>
      <c r="F2437" t="str">
        <f t="shared" si="408"/>
        <v>002</v>
      </c>
      <c r="G2437">
        <v>9</v>
      </c>
      <c r="H2437" t="str">
        <f t="shared" si="409"/>
        <v>26</v>
      </c>
      <c r="I2437" t="str">
        <f t="shared" ref="I2437:I2468" si="411">"0"</f>
        <v>0</v>
      </c>
      <c r="J2437" t="str">
        <f t="shared" si="410"/>
        <v>26</v>
      </c>
      <c r="K2437">
        <v>20190308</v>
      </c>
      <c r="L2437" t="str">
        <f>"075960"</f>
        <v>075960</v>
      </c>
      <c r="M2437" t="str">
        <f>"00746"</f>
        <v>00746</v>
      </c>
      <c r="N2437" t="s">
        <v>1553</v>
      </c>
      <c r="O2437">
        <v>25</v>
      </c>
      <c r="P2437">
        <v>20190306</v>
      </c>
      <c r="Q2437" t="s">
        <v>1483</v>
      </c>
      <c r="R2437" t="s">
        <v>1536</v>
      </c>
      <c r="S2437" t="s">
        <v>1475</v>
      </c>
      <c r="T2437" t="s">
        <v>1485</v>
      </c>
    </row>
    <row r="2438" spans="1:20" x14ac:dyDescent="0.25">
      <c r="A2438">
        <v>9</v>
      </c>
      <c r="B2438">
        <v>192</v>
      </c>
      <c r="C2438" t="str">
        <f>"13"</f>
        <v>13</v>
      </c>
      <c r="D2438">
        <v>6411</v>
      </c>
      <c r="E2438" t="str">
        <f t="shared" si="402"/>
        <v>10</v>
      </c>
      <c r="F2438" t="str">
        <f t="shared" si="408"/>
        <v>002</v>
      </c>
      <c r="G2438">
        <v>9</v>
      </c>
      <c r="H2438" t="str">
        <f t="shared" si="409"/>
        <v>26</v>
      </c>
      <c r="I2438" t="str">
        <f t="shared" si="411"/>
        <v>0</v>
      </c>
      <c r="J2438" t="str">
        <f t="shared" si="410"/>
        <v>26</v>
      </c>
      <c r="K2438">
        <v>20190308</v>
      </c>
      <c r="L2438" t="str">
        <f>"075982"</f>
        <v>075982</v>
      </c>
      <c r="M2438" t="str">
        <f>"00271"</f>
        <v>00271</v>
      </c>
      <c r="N2438" t="s">
        <v>1554</v>
      </c>
      <c r="O2438">
        <v>392.66</v>
      </c>
      <c r="P2438">
        <v>20190306</v>
      </c>
      <c r="Q2438" t="s">
        <v>1483</v>
      </c>
      <c r="R2438" t="s">
        <v>1493</v>
      </c>
      <c r="S2438" t="s">
        <v>1475</v>
      </c>
      <c r="T2438" t="s">
        <v>1485</v>
      </c>
    </row>
    <row r="2439" spans="1:20" x14ac:dyDescent="0.25">
      <c r="A2439">
        <v>9</v>
      </c>
      <c r="B2439">
        <v>192</v>
      </c>
      <c r="C2439" t="str">
        <f>"13"</f>
        <v>13</v>
      </c>
      <c r="D2439">
        <v>6411</v>
      </c>
      <c r="E2439" t="str">
        <f t="shared" si="402"/>
        <v>10</v>
      </c>
      <c r="F2439" t="str">
        <f t="shared" si="408"/>
        <v>002</v>
      </c>
      <c r="G2439">
        <v>9</v>
      </c>
      <c r="H2439" t="str">
        <f t="shared" si="409"/>
        <v>26</v>
      </c>
      <c r="I2439" t="str">
        <f t="shared" si="411"/>
        <v>0</v>
      </c>
      <c r="J2439" t="str">
        <f t="shared" si="410"/>
        <v>26</v>
      </c>
      <c r="K2439">
        <v>20190315</v>
      </c>
      <c r="L2439" t="str">
        <f>"076057"</f>
        <v>076057</v>
      </c>
      <c r="M2439" t="str">
        <f>"27900"</f>
        <v>27900</v>
      </c>
      <c r="N2439" t="s">
        <v>1490</v>
      </c>
      <c r="O2439">
        <v>425</v>
      </c>
      <c r="P2439">
        <v>20190313</v>
      </c>
      <c r="Q2439" t="s">
        <v>1483</v>
      </c>
      <c r="R2439" t="s">
        <v>1555</v>
      </c>
      <c r="S2439" t="s">
        <v>1475</v>
      </c>
      <c r="T2439" t="s">
        <v>1485</v>
      </c>
    </row>
    <row r="2440" spans="1:20" x14ac:dyDescent="0.25">
      <c r="A2440">
        <v>9</v>
      </c>
      <c r="B2440">
        <v>192</v>
      </c>
      <c r="C2440" t="str">
        <f>"95"</f>
        <v>95</v>
      </c>
      <c r="D2440">
        <v>6223</v>
      </c>
      <c r="E2440" t="str">
        <f t="shared" si="402"/>
        <v>10</v>
      </c>
      <c r="F2440" t="str">
        <f>"003"</f>
        <v>003</v>
      </c>
      <c r="G2440">
        <v>9</v>
      </c>
      <c r="H2440" t="str">
        <f>"28"</f>
        <v>28</v>
      </c>
      <c r="I2440" t="str">
        <f t="shared" si="411"/>
        <v>0</v>
      </c>
      <c r="J2440" t="str">
        <f>"29"</f>
        <v>29</v>
      </c>
      <c r="K2440">
        <v>20190315</v>
      </c>
      <c r="L2440" t="str">
        <f>"076098"</f>
        <v>076098</v>
      </c>
      <c r="M2440" t="str">
        <f>"56007"</f>
        <v>56007</v>
      </c>
      <c r="N2440" t="s">
        <v>1486</v>
      </c>
      <c r="O2440" s="1">
        <v>3340.8</v>
      </c>
      <c r="P2440">
        <v>20190314</v>
      </c>
      <c r="Q2440" t="s">
        <v>1487</v>
      </c>
      <c r="R2440" t="s">
        <v>1556</v>
      </c>
      <c r="S2440" t="s">
        <v>1475</v>
      </c>
      <c r="T2440" t="s">
        <v>1489</v>
      </c>
    </row>
    <row r="2441" spans="1:20" x14ac:dyDescent="0.25">
      <c r="A2441">
        <v>9</v>
      </c>
      <c r="B2441">
        <v>192</v>
      </c>
      <c r="C2441" t="str">
        <f>"11"</f>
        <v>11</v>
      </c>
      <c r="D2441">
        <v>6395</v>
      </c>
      <c r="E2441" t="str">
        <f t="shared" si="402"/>
        <v>10</v>
      </c>
      <c r="F2441" t="str">
        <f>"002"</f>
        <v>002</v>
      </c>
      <c r="G2441">
        <v>9</v>
      </c>
      <c r="H2441" t="str">
        <f>"26"</f>
        <v>26</v>
      </c>
      <c r="I2441" t="str">
        <f t="shared" si="411"/>
        <v>0</v>
      </c>
      <c r="J2441" t="str">
        <f>"26"</f>
        <v>26</v>
      </c>
      <c r="K2441">
        <v>20190315</v>
      </c>
      <c r="L2441" t="str">
        <f>"076132"</f>
        <v>076132</v>
      </c>
      <c r="M2441" t="str">
        <f>"81303"</f>
        <v>81303</v>
      </c>
      <c r="N2441" t="s">
        <v>66</v>
      </c>
      <c r="O2441">
        <v>76</v>
      </c>
      <c r="P2441">
        <v>20190315</v>
      </c>
      <c r="Q2441" t="s">
        <v>1514</v>
      </c>
      <c r="R2441" t="s">
        <v>1515</v>
      </c>
      <c r="S2441" t="s">
        <v>1475</v>
      </c>
      <c r="T2441" t="s">
        <v>1485</v>
      </c>
    </row>
    <row r="2442" spans="1:20" x14ac:dyDescent="0.25">
      <c r="A2442">
        <v>9</v>
      </c>
      <c r="B2442">
        <v>192</v>
      </c>
      <c r="C2442" t="str">
        <f>"11"</f>
        <v>11</v>
      </c>
      <c r="D2442">
        <v>6399</v>
      </c>
      <c r="E2442" t="str">
        <f>"24"</f>
        <v>24</v>
      </c>
      <c r="F2442" t="str">
        <f>"001"</f>
        <v>001</v>
      </c>
      <c r="G2442">
        <v>9</v>
      </c>
      <c r="H2442" t="str">
        <f>"28"</f>
        <v>28</v>
      </c>
      <c r="I2442" t="str">
        <f t="shared" si="411"/>
        <v>0</v>
      </c>
      <c r="J2442" t="str">
        <f>"28"</f>
        <v>28</v>
      </c>
      <c r="K2442">
        <v>20190322</v>
      </c>
      <c r="L2442" t="str">
        <f>"076138"</f>
        <v>076138</v>
      </c>
      <c r="M2442" t="str">
        <f>"04410"</f>
        <v>04410</v>
      </c>
      <c r="N2442" t="s">
        <v>410</v>
      </c>
      <c r="O2442">
        <v>93.94</v>
      </c>
      <c r="P2442">
        <v>20190320</v>
      </c>
      <c r="Q2442" t="s">
        <v>1516</v>
      </c>
      <c r="R2442" t="s">
        <v>1557</v>
      </c>
      <c r="S2442" t="s">
        <v>1475</v>
      </c>
      <c r="T2442" t="s">
        <v>301</v>
      </c>
    </row>
    <row r="2443" spans="1:20" x14ac:dyDescent="0.25">
      <c r="A2443">
        <v>9</v>
      </c>
      <c r="B2443">
        <v>192</v>
      </c>
      <c r="C2443" t="str">
        <f>"11"</f>
        <v>11</v>
      </c>
      <c r="D2443">
        <v>6396</v>
      </c>
      <c r="E2443" t="str">
        <f t="shared" ref="E2443:E2455" si="412">"10"</f>
        <v>10</v>
      </c>
      <c r="F2443" t="str">
        <f>"002"</f>
        <v>002</v>
      </c>
      <c r="G2443">
        <v>9</v>
      </c>
      <c r="H2443" t="str">
        <f>"26"</f>
        <v>26</v>
      </c>
      <c r="I2443" t="str">
        <f t="shared" si="411"/>
        <v>0</v>
      </c>
      <c r="J2443" t="str">
        <f>"26"</f>
        <v>26</v>
      </c>
      <c r="K2443">
        <v>20190329</v>
      </c>
      <c r="L2443" t="str">
        <f>"076219"</f>
        <v>076219</v>
      </c>
      <c r="M2443" t="str">
        <f>"04410"</f>
        <v>04410</v>
      </c>
      <c r="N2443" t="s">
        <v>410</v>
      </c>
      <c r="O2443">
        <v>149.94</v>
      </c>
      <c r="P2443">
        <v>20190327</v>
      </c>
      <c r="Q2443" t="s">
        <v>1558</v>
      </c>
      <c r="R2443" t="s">
        <v>1559</v>
      </c>
      <c r="S2443" t="s">
        <v>1475</v>
      </c>
      <c r="T2443" t="s">
        <v>1485</v>
      </c>
    </row>
    <row r="2444" spans="1:20" x14ac:dyDescent="0.25">
      <c r="A2444">
        <v>9</v>
      </c>
      <c r="B2444">
        <v>192</v>
      </c>
      <c r="C2444" t="str">
        <f>"11"</f>
        <v>11</v>
      </c>
      <c r="D2444">
        <v>6399</v>
      </c>
      <c r="E2444" t="str">
        <f t="shared" si="412"/>
        <v>10</v>
      </c>
      <c r="F2444" t="str">
        <f>"002"</f>
        <v>002</v>
      </c>
      <c r="G2444">
        <v>9</v>
      </c>
      <c r="H2444" t="str">
        <f>"26"</f>
        <v>26</v>
      </c>
      <c r="I2444" t="str">
        <f t="shared" si="411"/>
        <v>0</v>
      </c>
      <c r="J2444" t="str">
        <f>"26"</f>
        <v>26</v>
      </c>
      <c r="K2444">
        <v>20190329</v>
      </c>
      <c r="L2444" t="str">
        <f>"076224"</f>
        <v>076224</v>
      </c>
      <c r="M2444" t="str">
        <f>"09170"</f>
        <v>09170</v>
      </c>
      <c r="N2444" t="s">
        <v>679</v>
      </c>
      <c r="O2444">
        <v>41.72</v>
      </c>
      <c r="P2444">
        <v>20190327</v>
      </c>
      <c r="Q2444" t="s">
        <v>1494</v>
      </c>
      <c r="R2444" t="s">
        <v>1560</v>
      </c>
      <c r="S2444" t="s">
        <v>1475</v>
      </c>
      <c r="T2444" t="s">
        <v>1485</v>
      </c>
    </row>
    <row r="2445" spans="1:20" x14ac:dyDescent="0.25">
      <c r="A2445">
        <v>9</v>
      </c>
      <c r="B2445">
        <v>192</v>
      </c>
      <c r="C2445" t="str">
        <f>"95"</f>
        <v>95</v>
      </c>
      <c r="D2445">
        <v>6223</v>
      </c>
      <c r="E2445" t="str">
        <f t="shared" si="412"/>
        <v>10</v>
      </c>
      <c r="F2445" t="str">
        <f>"003"</f>
        <v>003</v>
      </c>
      <c r="G2445">
        <v>9</v>
      </c>
      <c r="H2445" t="str">
        <f>"28"</f>
        <v>28</v>
      </c>
      <c r="I2445" t="str">
        <f t="shared" si="411"/>
        <v>0</v>
      </c>
      <c r="J2445" t="str">
        <f>"29"</f>
        <v>29</v>
      </c>
      <c r="K2445">
        <v>20190405</v>
      </c>
      <c r="L2445" t="str">
        <f>"076382"</f>
        <v>076382</v>
      </c>
      <c r="M2445" t="str">
        <f>"56007"</f>
        <v>56007</v>
      </c>
      <c r="N2445" t="s">
        <v>1486</v>
      </c>
      <c r="O2445" s="1">
        <v>4176</v>
      </c>
      <c r="P2445">
        <v>20190404</v>
      </c>
      <c r="Q2445" t="s">
        <v>1487</v>
      </c>
      <c r="R2445" t="s">
        <v>1561</v>
      </c>
      <c r="S2445" t="s">
        <v>1475</v>
      </c>
      <c r="T2445" t="s">
        <v>1489</v>
      </c>
    </row>
    <row r="2446" spans="1:20" x14ac:dyDescent="0.25">
      <c r="A2446">
        <v>9</v>
      </c>
      <c r="B2446">
        <v>192</v>
      </c>
      <c r="C2446" t="str">
        <f>"11"</f>
        <v>11</v>
      </c>
      <c r="D2446">
        <v>6395</v>
      </c>
      <c r="E2446" t="str">
        <f t="shared" si="412"/>
        <v>10</v>
      </c>
      <c r="F2446" t="str">
        <f t="shared" ref="F2446:F2454" si="413">"002"</f>
        <v>002</v>
      </c>
      <c r="G2446">
        <v>9</v>
      </c>
      <c r="H2446" t="str">
        <f t="shared" ref="H2446:H2454" si="414">"26"</f>
        <v>26</v>
      </c>
      <c r="I2446" t="str">
        <f t="shared" si="411"/>
        <v>0</v>
      </c>
      <c r="J2446" t="str">
        <f t="shared" ref="J2446:J2454" si="415">"26"</f>
        <v>26</v>
      </c>
      <c r="K2446">
        <v>20190405</v>
      </c>
      <c r="L2446" t="str">
        <f>"076405"</f>
        <v>076405</v>
      </c>
      <c r="M2446" t="str">
        <f>"81303"</f>
        <v>81303</v>
      </c>
      <c r="N2446" t="s">
        <v>66</v>
      </c>
      <c r="O2446">
        <v>45</v>
      </c>
      <c r="P2446">
        <v>20190405</v>
      </c>
      <c r="Q2446" t="s">
        <v>1514</v>
      </c>
      <c r="R2446" t="s">
        <v>1562</v>
      </c>
      <c r="S2446" t="s">
        <v>1475</v>
      </c>
      <c r="T2446" t="s">
        <v>1485</v>
      </c>
    </row>
    <row r="2447" spans="1:20" x14ac:dyDescent="0.25">
      <c r="A2447">
        <v>9</v>
      </c>
      <c r="B2447">
        <v>192</v>
      </c>
      <c r="C2447" t="str">
        <f>"11"</f>
        <v>11</v>
      </c>
      <c r="D2447">
        <v>6395</v>
      </c>
      <c r="E2447" t="str">
        <f t="shared" si="412"/>
        <v>10</v>
      </c>
      <c r="F2447" t="str">
        <f t="shared" si="413"/>
        <v>002</v>
      </c>
      <c r="G2447">
        <v>9</v>
      </c>
      <c r="H2447" t="str">
        <f t="shared" si="414"/>
        <v>26</v>
      </c>
      <c r="I2447" t="str">
        <f t="shared" si="411"/>
        <v>0</v>
      </c>
      <c r="J2447" t="str">
        <f t="shared" si="415"/>
        <v>26</v>
      </c>
      <c r="K2447">
        <v>20190405</v>
      </c>
      <c r="L2447" t="str">
        <f>"076405"</f>
        <v>076405</v>
      </c>
      <c r="M2447" t="str">
        <f>"81303"</f>
        <v>81303</v>
      </c>
      <c r="N2447" t="s">
        <v>66</v>
      </c>
      <c r="O2447">
        <v>16.5</v>
      </c>
      <c r="P2447">
        <v>20190405</v>
      </c>
      <c r="Q2447" t="s">
        <v>1514</v>
      </c>
      <c r="R2447" t="s">
        <v>1563</v>
      </c>
      <c r="S2447" t="s">
        <v>1475</v>
      </c>
      <c r="T2447" t="s">
        <v>1485</v>
      </c>
    </row>
    <row r="2448" spans="1:20" x14ac:dyDescent="0.25">
      <c r="A2448">
        <v>9</v>
      </c>
      <c r="B2448">
        <v>192</v>
      </c>
      <c r="C2448" t="str">
        <f>"11"</f>
        <v>11</v>
      </c>
      <c r="D2448">
        <v>6399</v>
      </c>
      <c r="E2448" t="str">
        <f t="shared" si="412"/>
        <v>10</v>
      </c>
      <c r="F2448" t="str">
        <f t="shared" si="413"/>
        <v>002</v>
      </c>
      <c r="G2448">
        <v>9</v>
      </c>
      <c r="H2448" t="str">
        <f t="shared" si="414"/>
        <v>26</v>
      </c>
      <c r="I2448" t="str">
        <f t="shared" si="411"/>
        <v>0</v>
      </c>
      <c r="J2448" t="str">
        <f t="shared" si="415"/>
        <v>26</v>
      </c>
      <c r="K2448">
        <v>20190412</v>
      </c>
      <c r="L2448" t="str">
        <f>"076499"</f>
        <v>076499</v>
      </c>
      <c r="M2448" t="str">
        <f>"58211"</f>
        <v>58211</v>
      </c>
      <c r="N2448" t="s">
        <v>1472</v>
      </c>
      <c r="O2448">
        <v>132.76</v>
      </c>
      <c r="P2448">
        <v>20190411</v>
      </c>
      <c r="Q2448" t="s">
        <v>1494</v>
      </c>
      <c r="R2448" t="s">
        <v>1541</v>
      </c>
      <c r="S2448" t="s">
        <v>1475</v>
      </c>
      <c r="T2448" t="s">
        <v>1485</v>
      </c>
    </row>
    <row r="2449" spans="1:20" x14ac:dyDescent="0.25">
      <c r="A2449">
        <v>9</v>
      </c>
      <c r="B2449">
        <v>192</v>
      </c>
      <c r="C2449" t="str">
        <f>"11"</f>
        <v>11</v>
      </c>
      <c r="D2449">
        <v>6399</v>
      </c>
      <c r="E2449" t="str">
        <f t="shared" si="412"/>
        <v>10</v>
      </c>
      <c r="F2449" t="str">
        <f t="shared" si="413"/>
        <v>002</v>
      </c>
      <c r="G2449">
        <v>9</v>
      </c>
      <c r="H2449" t="str">
        <f t="shared" si="414"/>
        <v>26</v>
      </c>
      <c r="I2449" t="str">
        <f t="shared" si="411"/>
        <v>0</v>
      </c>
      <c r="J2449" t="str">
        <f t="shared" si="415"/>
        <v>26</v>
      </c>
      <c r="K2449">
        <v>20190419</v>
      </c>
      <c r="L2449" t="str">
        <f>"076534"</f>
        <v>076534</v>
      </c>
      <c r="M2449" t="str">
        <f>"09170"</f>
        <v>09170</v>
      </c>
      <c r="N2449" t="s">
        <v>679</v>
      </c>
      <c r="O2449">
        <v>50.66</v>
      </c>
      <c r="P2449">
        <v>20190418</v>
      </c>
      <c r="Q2449" t="s">
        <v>1494</v>
      </c>
      <c r="R2449" t="s">
        <v>1564</v>
      </c>
      <c r="S2449" t="s">
        <v>1475</v>
      </c>
      <c r="T2449" t="s">
        <v>1485</v>
      </c>
    </row>
    <row r="2450" spans="1:20" x14ac:dyDescent="0.25">
      <c r="A2450">
        <v>9</v>
      </c>
      <c r="B2450">
        <v>192</v>
      </c>
      <c r="C2450" t="str">
        <f>"13"</f>
        <v>13</v>
      </c>
      <c r="D2450">
        <v>6411</v>
      </c>
      <c r="E2450" t="str">
        <f t="shared" si="412"/>
        <v>10</v>
      </c>
      <c r="F2450" t="str">
        <f t="shared" si="413"/>
        <v>002</v>
      </c>
      <c r="G2450">
        <v>9</v>
      </c>
      <c r="H2450" t="str">
        <f t="shared" si="414"/>
        <v>26</v>
      </c>
      <c r="I2450" t="str">
        <f t="shared" si="411"/>
        <v>0</v>
      </c>
      <c r="J2450" t="str">
        <f t="shared" si="415"/>
        <v>26</v>
      </c>
      <c r="K2450">
        <v>20190419</v>
      </c>
      <c r="L2450" t="str">
        <f>"076542"</f>
        <v>076542</v>
      </c>
      <c r="M2450" t="str">
        <f>"74220"</f>
        <v>74220</v>
      </c>
      <c r="N2450" t="s">
        <v>1565</v>
      </c>
      <c r="O2450" s="1">
        <v>1505</v>
      </c>
      <c r="P2450">
        <v>20190418</v>
      </c>
      <c r="Q2450" t="s">
        <v>1483</v>
      </c>
      <c r="R2450" t="s">
        <v>1536</v>
      </c>
      <c r="S2450" t="s">
        <v>1475</v>
      </c>
      <c r="T2450" t="s">
        <v>1485</v>
      </c>
    </row>
    <row r="2451" spans="1:20" x14ac:dyDescent="0.25">
      <c r="A2451">
        <v>9</v>
      </c>
      <c r="B2451">
        <v>192</v>
      </c>
      <c r="C2451" t="str">
        <f>"11"</f>
        <v>11</v>
      </c>
      <c r="D2451">
        <v>6399</v>
      </c>
      <c r="E2451" t="str">
        <f t="shared" si="412"/>
        <v>10</v>
      </c>
      <c r="F2451" t="str">
        <f t="shared" si="413"/>
        <v>002</v>
      </c>
      <c r="G2451">
        <v>9</v>
      </c>
      <c r="H2451" t="str">
        <f t="shared" si="414"/>
        <v>26</v>
      </c>
      <c r="I2451" t="str">
        <f t="shared" si="411"/>
        <v>0</v>
      </c>
      <c r="J2451" t="str">
        <f t="shared" si="415"/>
        <v>26</v>
      </c>
      <c r="K2451">
        <v>20190426</v>
      </c>
      <c r="L2451" t="str">
        <f>"076596"</f>
        <v>076596</v>
      </c>
      <c r="M2451" t="str">
        <f>"50453"</f>
        <v>50453</v>
      </c>
      <c r="N2451" t="s">
        <v>1472</v>
      </c>
      <c r="O2451">
        <v>200</v>
      </c>
      <c r="P2451">
        <v>20190425</v>
      </c>
      <c r="Q2451" t="s">
        <v>1494</v>
      </c>
      <c r="R2451" t="s">
        <v>1566</v>
      </c>
      <c r="S2451" t="s">
        <v>1475</v>
      </c>
      <c r="T2451" t="s">
        <v>1485</v>
      </c>
    </row>
    <row r="2452" spans="1:20" x14ac:dyDescent="0.25">
      <c r="A2452">
        <v>9</v>
      </c>
      <c r="B2452">
        <v>192</v>
      </c>
      <c r="C2452" t="str">
        <f>"11"</f>
        <v>11</v>
      </c>
      <c r="D2452">
        <v>6399</v>
      </c>
      <c r="E2452" t="str">
        <f t="shared" si="412"/>
        <v>10</v>
      </c>
      <c r="F2452" t="str">
        <f t="shared" si="413"/>
        <v>002</v>
      </c>
      <c r="G2452">
        <v>9</v>
      </c>
      <c r="H2452" t="str">
        <f t="shared" si="414"/>
        <v>26</v>
      </c>
      <c r="I2452" t="str">
        <f t="shared" si="411"/>
        <v>0</v>
      </c>
      <c r="J2452" t="str">
        <f t="shared" si="415"/>
        <v>26</v>
      </c>
      <c r="K2452">
        <v>20190426</v>
      </c>
      <c r="L2452" t="str">
        <f>"076598"</f>
        <v>076598</v>
      </c>
      <c r="M2452" t="str">
        <f>"00810"</f>
        <v>00810</v>
      </c>
      <c r="N2452" t="s">
        <v>1567</v>
      </c>
      <c r="O2452">
        <v>756.52</v>
      </c>
      <c r="P2452">
        <v>20190425</v>
      </c>
      <c r="Q2452" t="s">
        <v>1494</v>
      </c>
      <c r="R2452" t="s">
        <v>1568</v>
      </c>
      <c r="S2452" t="s">
        <v>1475</v>
      </c>
      <c r="T2452" t="s">
        <v>1485</v>
      </c>
    </row>
    <row r="2453" spans="1:20" x14ac:dyDescent="0.25">
      <c r="A2453">
        <v>9</v>
      </c>
      <c r="B2453">
        <v>192</v>
      </c>
      <c r="C2453" t="str">
        <f>"11"</f>
        <v>11</v>
      </c>
      <c r="D2453">
        <v>6399</v>
      </c>
      <c r="E2453" t="str">
        <f t="shared" si="412"/>
        <v>10</v>
      </c>
      <c r="F2453" t="str">
        <f t="shared" si="413"/>
        <v>002</v>
      </c>
      <c r="G2453">
        <v>9</v>
      </c>
      <c r="H2453" t="str">
        <f t="shared" si="414"/>
        <v>26</v>
      </c>
      <c r="I2453" t="str">
        <f t="shared" si="411"/>
        <v>0</v>
      </c>
      <c r="J2453" t="str">
        <f t="shared" si="415"/>
        <v>26</v>
      </c>
      <c r="K2453">
        <v>20190503</v>
      </c>
      <c r="L2453" t="str">
        <f>"076642"</f>
        <v>076642</v>
      </c>
      <c r="M2453" t="str">
        <f>"02251"</f>
        <v>02251</v>
      </c>
      <c r="N2453" t="s">
        <v>1569</v>
      </c>
      <c r="O2453">
        <v>878.85</v>
      </c>
      <c r="P2453">
        <v>20190502</v>
      </c>
      <c r="Q2453" t="s">
        <v>1494</v>
      </c>
      <c r="R2453" t="s">
        <v>1570</v>
      </c>
      <c r="S2453" t="s">
        <v>1475</v>
      </c>
      <c r="T2453" t="s">
        <v>1485</v>
      </c>
    </row>
    <row r="2454" spans="1:20" x14ac:dyDescent="0.25">
      <c r="A2454">
        <v>9</v>
      </c>
      <c r="B2454">
        <v>192</v>
      </c>
      <c r="C2454" t="str">
        <f>"11"</f>
        <v>11</v>
      </c>
      <c r="D2454">
        <v>6399</v>
      </c>
      <c r="E2454" t="str">
        <f t="shared" si="412"/>
        <v>10</v>
      </c>
      <c r="F2454" t="str">
        <f t="shared" si="413"/>
        <v>002</v>
      </c>
      <c r="G2454">
        <v>9</v>
      </c>
      <c r="H2454" t="str">
        <f t="shared" si="414"/>
        <v>26</v>
      </c>
      <c r="I2454" t="str">
        <f t="shared" si="411"/>
        <v>0</v>
      </c>
      <c r="J2454" t="str">
        <f t="shared" si="415"/>
        <v>26</v>
      </c>
      <c r="K2454">
        <v>20190510</v>
      </c>
      <c r="L2454" t="str">
        <f>"076777"</f>
        <v>076777</v>
      </c>
      <c r="M2454" t="str">
        <f>"60601"</f>
        <v>60601</v>
      </c>
      <c r="N2454" t="s">
        <v>1571</v>
      </c>
      <c r="O2454">
        <v>299</v>
      </c>
      <c r="P2454">
        <v>20190509</v>
      </c>
      <c r="Q2454" t="s">
        <v>1494</v>
      </c>
      <c r="R2454" t="s">
        <v>1572</v>
      </c>
      <c r="S2454" t="s">
        <v>1475</v>
      </c>
      <c r="T2454" t="s">
        <v>1485</v>
      </c>
    </row>
    <row r="2455" spans="1:20" x14ac:dyDescent="0.25">
      <c r="A2455">
        <v>9</v>
      </c>
      <c r="B2455">
        <v>192</v>
      </c>
      <c r="C2455" t="str">
        <f>"95"</f>
        <v>95</v>
      </c>
      <c r="D2455">
        <v>6223</v>
      </c>
      <c r="E2455" t="str">
        <f t="shared" si="412"/>
        <v>10</v>
      </c>
      <c r="F2455" t="str">
        <f>"003"</f>
        <v>003</v>
      </c>
      <c r="G2455">
        <v>9</v>
      </c>
      <c r="H2455" t="str">
        <f>"28"</f>
        <v>28</v>
      </c>
      <c r="I2455" t="str">
        <f t="shared" si="411"/>
        <v>0</v>
      </c>
      <c r="J2455" t="str">
        <f>"29"</f>
        <v>29</v>
      </c>
      <c r="K2455">
        <v>20190510</v>
      </c>
      <c r="L2455" t="str">
        <f>"076790"</f>
        <v>076790</v>
      </c>
      <c r="M2455" t="str">
        <f>"56007"</f>
        <v>56007</v>
      </c>
      <c r="N2455" t="s">
        <v>1486</v>
      </c>
      <c r="O2455" s="1">
        <v>4176</v>
      </c>
      <c r="P2455">
        <v>20190508</v>
      </c>
      <c r="Q2455" t="s">
        <v>1487</v>
      </c>
      <c r="R2455" t="s">
        <v>1573</v>
      </c>
      <c r="S2455" t="s">
        <v>1475</v>
      </c>
      <c r="T2455" t="s">
        <v>1489</v>
      </c>
    </row>
    <row r="2456" spans="1:20" x14ac:dyDescent="0.25">
      <c r="A2456">
        <v>9</v>
      </c>
      <c r="B2456">
        <v>192</v>
      </c>
      <c r="C2456" t="str">
        <f t="shared" ref="C2456:C2469" si="416">"11"</f>
        <v>11</v>
      </c>
      <c r="D2456">
        <v>6399</v>
      </c>
      <c r="E2456" t="str">
        <f>"24"</f>
        <v>24</v>
      </c>
      <c r="F2456" t="str">
        <f>"001"</f>
        <v>001</v>
      </c>
      <c r="G2456">
        <v>9</v>
      </c>
      <c r="H2456" t="str">
        <f>"28"</f>
        <v>28</v>
      </c>
      <c r="I2456" t="str">
        <f t="shared" si="411"/>
        <v>0</v>
      </c>
      <c r="J2456" t="str">
        <f>"28"</f>
        <v>28</v>
      </c>
      <c r="K2456">
        <v>20190517</v>
      </c>
      <c r="L2456" t="str">
        <f>"076825"</f>
        <v>076825</v>
      </c>
      <c r="M2456" t="str">
        <f>"04410"</f>
        <v>04410</v>
      </c>
      <c r="N2456" t="s">
        <v>410</v>
      </c>
      <c r="O2456">
        <v>579.87</v>
      </c>
      <c r="P2456">
        <v>20190515</v>
      </c>
      <c r="Q2456" t="s">
        <v>1516</v>
      </c>
      <c r="R2456" t="s">
        <v>1574</v>
      </c>
      <c r="S2456" t="s">
        <v>1475</v>
      </c>
      <c r="T2456" t="s">
        <v>301</v>
      </c>
    </row>
    <row r="2457" spans="1:20" x14ac:dyDescent="0.25">
      <c r="A2457">
        <v>9</v>
      </c>
      <c r="B2457">
        <v>192</v>
      </c>
      <c r="C2457" t="str">
        <f t="shared" si="416"/>
        <v>11</v>
      </c>
      <c r="D2457">
        <v>6399</v>
      </c>
      <c r="E2457" t="str">
        <f>"10"</f>
        <v>10</v>
      </c>
      <c r="F2457" t="str">
        <f>"002"</f>
        <v>002</v>
      </c>
      <c r="G2457">
        <v>9</v>
      </c>
      <c r="H2457" t="str">
        <f>"26"</f>
        <v>26</v>
      </c>
      <c r="I2457" t="str">
        <f t="shared" si="411"/>
        <v>0</v>
      </c>
      <c r="J2457" t="str">
        <f>"26"</f>
        <v>26</v>
      </c>
      <c r="K2457">
        <v>20190517</v>
      </c>
      <c r="L2457" t="str">
        <f>"076875"</f>
        <v>076875</v>
      </c>
      <c r="M2457" t="str">
        <f>"60070"</f>
        <v>60070</v>
      </c>
      <c r="N2457" t="s">
        <v>1575</v>
      </c>
      <c r="O2457">
        <v>674.08</v>
      </c>
      <c r="P2457">
        <v>20190515</v>
      </c>
      <c r="Q2457" t="s">
        <v>1494</v>
      </c>
      <c r="R2457" t="s">
        <v>1576</v>
      </c>
      <c r="S2457" t="s">
        <v>1475</v>
      </c>
      <c r="T2457" t="s">
        <v>1485</v>
      </c>
    </row>
    <row r="2458" spans="1:20" x14ac:dyDescent="0.25">
      <c r="A2458">
        <v>9</v>
      </c>
      <c r="B2458">
        <v>192</v>
      </c>
      <c r="C2458" t="str">
        <f t="shared" si="416"/>
        <v>11</v>
      </c>
      <c r="D2458">
        <v>6396</v>
      </c>
      <c r="E2458" t="str">
        <f>"00"</f>
        <v>00</v>
      </c>
      <c r="F2458" t="str">
        <f>"101"</f>
        <v>101</v>
      </c>
      <c r="G2458">
        <v>9</v>
      </c>
      <c r="H2458" t="str">
        <f>"30"</f>
        <v>30</v>
      </c>
      <c r="I2458" t="str">
        <f t="shared" si="411"/>
        <v>0</v>
      </c>
      <c r="J2458" t="str">
        <f>"38"</f>
        <v>38</v>
      </c>
      <c r="K2458">
        <v>20190517</v>
      </c>
      <c r="L2458" t="str">
        <f>"076876"</f>
        <v>076876</v>
      </c>
      <c r="M2458" t="str">
        <f>"61350"</f>
        <v>61350</v>
      </c>
      <c r="N2458" t="s">
        <v>1577</v>
      </c>
      <c r="O2458">
        <v>690</v>
      </c>
      <c r="P2458">
        <v>20190515</v>
      </c>
      <c r="Q2458" t="s">
        <v>1578</v>
      </c>
      <c r="R2458" t="s">
        <v>1579</v>
      </c>
      <c r="S2458" t="s">
        <v>1475</v>
      </c>
      <c r="T2458" t="s">
        <v>1479</v>
      </c>
    </row>
    <row r="2459" spans="1:20" x14ac:dyDescent="0.25">
      <c r="A2459">
        <v>9</v>
      </c>
      <c r="B2459">
        <v>192</v>
      </c>
      <c r="C2459" t="str">
        <f t="shared" si="416"/>
        <v>11</v>
      </c>
      <c r="D2459">
        <v>6649</v>
      </c>
      <c r="E2459" t="str">
        <f t="shared" ref="E2459:E2476" si="417">"10"</f>
        <v>10</v>
      </c>
      <c r="F2459" t="str">
        <f t="shared" ref="F2459:F2475" si="418">"002"</f>
        <v>002</v>
      </c>
      <c r="G2459">
        <v>9</v>
      </c>
      <c r="H2459" t="str">
        <f t="shared" ref="H2459:H2475" si="419">"26"</f>
        <v>26</v>
      </c>
      <c r="I2459" t="str">
        <f t="shared" si="411"/>
        <v>0</v>
      </c>
      <c r="J2459" t="str">
        <f t="shared" ref="J2459:J2475" si="420">"26"</f>
        <v>26</v>
      </c>
      <c r="K2459">
        <v>20190531</v>
      </c>
      <c r="L2459" t="str">
        <f>"076970"</f>
        <v>076970</v>
      </c>
      <c r="M2459" t="str">
        <f>"06509"</f>
        <v>06509</v>
      </c>
      <c r="N2459" t="s">
        <v>1545</v>
      </c>
      <c r="O2459" s="1">
        <v>5880</v>
      </c>
      <c r="P2459">
        <v>20190529</v>
      </c>
      <c r="Q2459" t="s">
        <v>1546</v>
      </c>
      <c r="R2459" t="s">
        <v>1547</v>
      </c>
      <c r="S2459" t="s">
        <v>1475</v>
      </c>
      <c r="T2459" t="s">
        <v>1485</v>
      </c>
    </row>
    <row r="2460" spans="1:20" x14ac:dyDescent="0.25">
      <c r="A2460">
        <v>9</v>
      </c>
      <c r="B2460">
        <v>192</v>
      </c>
      <c r="C2460" t="str">
        <f t="shared" si="416"/>
        <v>11</v>
      </c>
      <c r="D2460">
        <v>6399</v>
      </c>
      <c r="E2460" t="str">
        <f t="shared" si="417"/>
        <v>10</v>
      </c>
      <c r="F2460" t="str">
        <f t="shared" si="418"/>
        <v>002</v>
      </c>
      <c r="G2460">
        <v>9</v>
      </c>
      <c r="H2460" t="str">
        <f t="shared" si="419"/>
        <v>26</v>
      </c>
      <c r="I2460" t="str">
        <f t="shared" si="411"/>
        <v>0</v>
      </c>
      <c r="J2460" t="str">
        <f t="shared" si="420"/>
        <v>26</v>
      </c>
      <c r="K2460">
        <v>20190531</v>
      </c>
      <c r="L2460" t="str">
        <f>"076974"</f>
        <v>076974</v>
      </c>
      <c r="M2460" t="str">
        <f>"09170"</f>
        <v>09170</v>
      </c>
      <c r="N2460" t="s">
        <v>679</v>
      </c>
      <c r="O2460">
        <v>32.78</v>
      </c>
      <c r="P2460">
        <v>20190530</v>
      </c>
      <c r="Q2460" t="s">
        <v>1494</v>
      </c>
      <c r="R2460" t="s">
        <v>1580</v>
      </c>
      <c r="S2460" t="s">
        <v>1475</v>
      </c>
      <c r="T2460" t="s">
        <v>1485</v>
      </c>
    </row>
    <row r="2461" spans="1:20" x14ac:dyDescent="0.25">
      <c r="A2461">
        <v>9</v>
      </c>
      <c r="B2461">
        <v>192</v>
      </c>
      <c r="C2461" t="str">
        <f t="shared" si="416"/>
        <v>11</v>
      </c>
      <c r="D2461">
        <v>6399</v>
      </c>
      <c r="E2461" t="str">
        <f t="shared" si="417"/>
        <v>10</v>
      </c>
      <c r="F2461" t="str">
        <f t="shared" si="418"/>
        <v>002</v>
      </c>
      <c r="G2461">
        <v>9</v>
      </c>
      <c r="H2461" t="str">
        <f t="shared" si="419"/>
        <v>26</v>
      </c>
      <c r="I2461" t="str">
        <f t="shared" si="411"/>
        <v>0</v>
      </c>
      <c r="J2461" t="str">
        <f t="shared" si="420"/>
        <v>26</v>
      </c>
      <c r="K2461">
        <v>20190531</v>
      </c>
      <c r="L2461" t="str">
        <f>"076986"</f>
        <v>076986</v>
      </c>
      <c r="M2461" t="str">
        <f>"16807"</f>
        <v>16807</v>
      </c>
      <c r="N2461" t="s">
        <v>1581</v>
      </c>
      <c r="O2461">
        <v>265</v>
      </c>
      <c r="P2461">
        <v>20190530</v>
      </c>
      <c r="Q2461" t="s">
        <v>1494</v>
      </c>
      <c r="R2461" t="s">
        <v>1582</v>
      </c>
      <c r="S2461" t="s">
        <v>1475</v>
      </c>
      <c r="T2461" t="s">
        <v>1485</v>
      </c>
    </row>
    <row r="2462" spans="1:20" x14ac:dyDescent="0.25">
      <c r="A2462">
        <v>9</v>
      </c>
      <c r="B2462">
        <v>192</v>
      </c>
      <c r="C2462" t="str">
        <f t="shared" si="416"/>
        <v>11</v>
      </c>
      <c r="D2462">
        <v>6649</v>
      </c>
      <c r="E2462" t="str">
        <f t="shared" si="417"/>
        <v>10</v>
      </c>
      <c r="F2462" t="str">
        <f t="shared" si="418"/>
        <v>002</v>
      </c>
      <c r="G2462">
        <v>9</v>
      </c>
      <c r="H2462" t="str">
        <f t="shared" si="419"/>
        <v>26</v>
      </c>
      <c r="I2462" t="str">
        <f t="shared" si="411"/>
        <v>0</v>
      </c>
      <c r="J2462" t="str">
        <f t="shared" si="420"/>
        <v>26</v>
      </c>
      <c r="K2462">
        <v>20190531</v>
      </c>
      <c r="L2462" t="str">
        <f>"076986"</f>
        <v>076986</v>
      </c>
      <c r="M2462" t="str">
        <f>"16807"</f>
        <v>16807</v>
      </c>
      <c r="N2462" t="s">
        <v>1581</v>
      </c>
      <c r="O2462" s="1">
        <v>2646.1</v>
      </c>
      <c r="P2462">
        <v>20190530</v>
      </c>
      <c r="Q2462" t="s">
        <v>1546</v>
      </c>
      <c r="R2462" t="s">
        <v>1583</v>
      </c>
      <c r="S2462" t="s">
        <v>1475</v>
      </c>
      <c r="T2462" t="s">
        <v>1485</v>
      </c>
    </row>
    <row r="2463" spans="1:20" x14ac:dyDescent="0.25">
      <c r="A2463">
        <v>9</v>
      </c>
      <c r="B2463">
        <v>192</v>
      </c>
      <c r="C2463" t="str">
        <f t="shared" si="416"/>
        <v>11</v>
      </c>
      <c r="D2463">
        <v>6399</v>
      </c>
      <c r="E2463" t="str">
        <f t="shared" si="417"/>
        <v>10</v>
      </c>
      <c r="F2463" t="str">
        <f t="shared" si="418"/>
        <v>002</v>
      </c>
      <c r="G2463">
        <v>9</v>
      </c>
      <c r="H2463" t="str">
        <f t="shared" si="419"/>
        <v>26</v>
      </c>
      <c r="I2463" t="str">
        <f t="shared" si="411"/>
        <v>0</v>
      </c>
      <c r="J2463" t="str">
        <f t="shared" si="420"/>
        <v>26</v>
      </c>
      <c r="K2463">
        <v>20190607</v>
      </c>
      <c r="L2463" t="str">
        <f>"077087"</f>
        <v>077087</v>
      </c>
      <c r="M2463" t="str">
        <f>"00761"</f>
        <v>00761</v>
      </c>
      <c r="N2463" t="s">
        <v>1584</v>
      </c>
      <c r="O2463" s="1">
        <v>1600</v>
      </c>
      <c r="P2463">
        <v>20190605</v>
      </c>
      <c r="Q2463" t="s">
        <v>1494</v>
      </c>
      <c r="R2463" t="s">
        <v>1585</v>
      </c>
      <c r="S2463" t="s">
        <v>1475</v>
      </c>
      <c r="T2463" t="s">
        <v>1485</v>
      </c>
    </row>
    <row r="2464" spans="1:20" x14ac:dyDescent="0.25">
      <c r="A2464">
        <v>9</v>
      </c>
      <c r="B2464">
        <v>192</v>
      </c>
      <c r="C2464" t="str">
        <f t="shared" si="416"/>
        <v>11</v>
      </c>
      <c r="D2464">
        <v>6399</v>
      </c>
      <c r="E2464" t="str">
        <f t="shared" si="417"/>
        <v>10</v>
      </c>
      <c r="F2464" t="str">
        <f t="shared" si="418"/>
        <v>002</v>
      </c>
      <c r="G2464">
        <v>9</v>
      </c>
      <c r="H2464" t="str">
        <f t="shared" si="419"/>
        <v>26</v>
      </c>
      <c r="I2464" t="str">
        <f t="shared" si="411"/>
        <v>0</v>
      </c>
      <c r="J2464" t="str">
        <f t="shared" si="420"/>
        <v>26</v>
      </c>
      <c r="K2464">
        <v>20190614</v>
      </c>
      <c r="L2464" t="str">
        <f>"077155"</f>
        <v>077155</v>
      </c>
      <c r="M2464" t="str">
        <f>"00824"</f>
        <v>00824</v>
      </c>
      <c r="N2464" t="s">
        <v>1586</v>
      </c>
      <c r="O2464">
        <v>741</v>
      </c>
      <c r="P2464">
        <v>20190612</v>
      </c>
      <c r="Q2464" t="s">
        <v>1494</v>
      </c>
      <c r="R2464" t="s">
        <v>1587</v>
      </c>
      <c r="S2464" t="s">
        <v>1475</v>
      </c>
      <c r="T2464" t="s">
        <v>1485</v>
      </c>
    </row>
    <row r="2465" spans="1:20" x14ac:dyDescent="0.25">
      <c r="A2465">
        <v>9</v>
      </c>
      <c r="B2465">
        <v>192</v>
      </c>
      <c r="C2465" t="str">
        <f t="shared" si="416"/>
        <v>11</v>
      </c>
      <c r="D2465">
        <v>6399</v>
      </c>
      <c r="E2465" t="str">
        <f t="shared" si="417"/>
        <v>10</v>
      </c>
      <c r="F2465" t="str">
        <f t="shared" si="418"/>
        <v>002</v>
      </c>
      <c r="G2465">
        <v>9</v>
      </c>
      <c r="H2465" t="str">
        <f t="shared" si="419"/>
        <v>26</v>
      </c>
      <c r="I2465" t="str">
        <f t="shared" si="411"/>
        <v>0</v>
      </c>
      <c r="J2465" t="str">
        <f t="shared" si="420"/>
        <v>26</v>
      </c>
      <c r="K2465">
        <v>20190621</v>
      </c>
      <c r="L2465" t="str">
        <f>"077217"</f>
        <v>077217</v>
      </c>
      <c r="M2465" t="str">
        <f>"04410"</f>
        <v>04410</v>
      </c>
      <c r="N2465" t="s">
        <v>410</v>
      </c>
      <c r="O2465">
        <v>239.8</v>
      </c>
      <c r="P2465">
        <v>20190619</v>
      </c>
      <c r="Q2465" t="s">
        <v>1494</v>
      </c>
      <c r="R2465" t="s">
        <v>1588</v>
      </c>
      <c r="S2465" t="s">
        <v>1475</v>
      </c>
      <c r="T2465" t="s">
        <v>1485</v>
      </c>
    </row>
    <row r="2466" spans="1:20" x14ac:dyDescent="0.25">
      <c r="A2466">
        <v>9</v>
      </c>
      <c r="B2466">
        <v>192</v>
      </c>
      <c r="C2466" t="str">
        <f t="shared" si="416"/>
        <v>11</v>
      </c>
      <c r="D2466">
        <v>6399</v>
      </c>
      <c r="E2466" t="str">
        <f t="shared" si="417"/>
        <v>10</v>
      </c>
      <c r="F2466" t="str">
        <f t="shared" si="418"/>
        <v>002</v>
      </c>
      <c r="G2466">
        <v>9</v>
      </c>
      <c r="H2466" t="str">
        <f t="shared" si="419"/>
        <v>26</v>
      </c>
      <c r="I2466" t="str">
        <f t="shared" si="411"/>
        <v>0</v>
      </c>
      <c r="J2466" t="str">
        <f t="shared" si="420"/>
        <v>26</v>
      </c>
      <c r="K2466">
        <v>20190621</v>
      </c>
      <c r="L2466" t="str">
        <f>"077217"</f>
        <v>077217</v>
      </c>
      <c r="M2466" t="str">
        <f>"04410"</f>
        <v>04410</v>
      </c>
      <c r="N2466" t="s">
        <v>410</v>
      </c>
      <c r="O2466">
        <v>69.900000000000006</v>
      </c>
      <c r="P2466">
        <v>20190619</v>
      </c>
      <c r="Q2466" t="s">
        <v>1494</v>
      </c>
      <c r="R2466" t="s">
        <v>1589</v>
      </c>
      <c r="S2466" t="s">
        <v>1475</v>
      </c>
      <c r="T2466" t="s">
        <v>1485</v>
      </c>
    </row>
    <row r="2467" spans="1:20" x14ac:dyDescent="0.25">
      <c r="A2467">
        <v>9</v>
      </c>
      <c r="B2467">
        <v>192</v>
      </c>
      <c r="C2467" t="str">
        <f t="shared" si="416"/>
        <v>11</v>
      </c>
      <c r="D2467">
        <v>6399</v>
      </c>
      <c r="E2467" t="str">
        <f t="shared" si="417"/>
        <v>10</v>
      </c>
      <c r="F2467" t="str">
        <f t="shared" si="418"/>
        <v>002</v>
      </c>
      <c r="G2467">
        <v>9</v>
      </c>
      <c r="H2467" t="str">
        <f t="shared" si="419"/>
        <v>26</v>
      </c>
      <c r="I2467" t="str">
        <f t="shared" si="411"/>
        <v>0</v>
      </c>
      <c r="J2467" t="str">
        <f t="shared" si="420"/>
        <v>26</v>
      </c>
      <c r="K2467">
        <v>20190712</v>
      </c>
      <c r="L2467" t="str">
        <f>"077327"</f>
        <v>077327</v>
      </c>
      <c r="M2467" t="str">
        <f>"03710"</f>
        <v>03710</v>
      </c>
      <c r="N2467" t="s">
        <v>1385</v>
      </c>
      <c r="O2467" s="1">
        <v>1279.5999999999999</v>
      </c>
      <c r="P2467">
        <v>20190710</v>
      </c>
      <c r="Q2467" t="s">
        <v>1494</v>
      </c>
      <c r="R2467" t="s">
        <v>641</v>
      </c>
      <c r="S2467" t="s">
        <v>1475</v>
      </c>
      <c r="T2467" t="s">
        <v>1485</v>
      </c>
    </row>
    <row r="2468" spans="1:20" x14ac:dyDescent="0.25">
      <c r="A2468">
        <v>9</v>
      </c>
      <c r="B2468">
        <v>192</v>
      </c>
      <c r="C2468" t="str">
        <f t="shared" si="416"/>
        <v>11</v>
      </c>
      <c r="D2468">
        <v>6399</v>
      </c>
      <c r="E2468" t="str">
        <f t="shared" si="417"/>
        <v>10</v>
      </c>
      <c r="F2468" t="str">
        <f t="shared" si="418"/>
        <v>002</v>
      </c>
      <c r="G2468">
        <v>9</v>
      </c>
      <c r="H2468" t="str">
        <f t="shared" si="419"/>
        <v>26</v>
      </c>
      <c r="I2468" t="str">
        <f t="shared" si="411"/>
        <v>0</v>
      </c>
      <c r="J2468" t="str">
        <f t="shared" si="420"/>
        <v>26</v>
      </c>
      <c r="K2468">
        <v>20190712</v>
      </c>
      <c r="L2468" t="str">
        <f>"077337"</f>
        <v>077337</v>
      </c>
      <c r="M2468" t="str">
        <f>"09170"</f>
        <v>09170</v>
      </c>
      <c r="N2468" t="s">
        <v>679</v>
      </c>
      <c r="O2468">
        <v>19.37</v>
      </c>
      <c r="P2468">
        <v>20190711</v>
      </c>
      <c r="Q2468" t="s">
        <v>1494</v>
      </c>
      <c r="R2468" t="s">
        <v>1590</v>
      </c>
      <c r="S2468" t="s">
        <v>1475</v>
      </c>
      <c r="T2468" t="s">
        <v>1485</v>
      </c>
    </row>
    <row r="2469" spans="1:20" x14ac:dyDescent="0.25">
      <c r="A2469">
        <v>9</v>
      </c>
      <c r="B2469">
        <v>192</v>
      </c>
      <c r="C2469" t="str">
        <f t="shared" si="416"/>
        <v>11</v>
      </c>
      <c r="D2469">
        <v>6649</v>
      </c>
      <c r="E2469" t="str">
        <f t="shared" si="417"/>
        <v>10</v>
      </c>
      <c r="F2469" t="str">
        <f t="shared" si="418"/>
        <v>002</v>
      </c>
      <c r="G2469">
        <v>9</v>
      </c>
      <c r="H2469" t="str">
        <f t="shared" si="419"/>
        <v>26</v>
      </c>
      <c r="I2469" t="str">
        <f t="shared" ref="I2469:I2491" si="421">"0"</f>
        <v>0</v>
      </c>
      <c r="J2469" t="str">
        <f t="shared" si="420"/>
        <v>26</v>
      </c>
      <c r="K2469">
        <v>20190712</v>
      </c>
      <c r="L2469" t="str">
        <f>"077349"</f>
        <v>077349</v>
      </c>
      <c r="M2469" t="str">
        <f>"16807"</f>
        <v>16807</v>
      </c>
      <c r="N2469" t="s">
        <v>1581</v>
      </c>
      <c r="O2469" s="1">
        <v>2700</v>
      </c>
      <c r="P2469">
        <v>20190710</v>
      </c>
      <c r="Q2469" t="s">
        <v>1546</v>
      </c>
      <c r="R2469" t="s">
        <v>1591</v>
      </c>
      <c r="S2469" t="s">
        <v>1475</v>
      </c>
      <c r="T2469" t="s">
        <v>1485</v>
      </c>
    </row>
    <row r="2470" spans="1:20" x14ac:dyDescent="0.25">
      <c r="A2470">
        <v>9</v>
      </c>
      <c r="B2470">
        <v>192</v>
      </c>
      <c r="C2470" t="str">
        <f>"13"</f>
        <v>13</v>
      </c>
      <c r="D2470">
        <v>6411</v>
      </c>
      <c r="E2470" t="str">
        <f t="shared" si="417"/>
        <v>10</v>
      </c>
      <c r="F2470" t="str">
        <f t="shared" si="418"/>
        <v>002</v>
      </c>
      <c r="G2470">
        <v>9</v>
      </c>
      <c r="H2470" t="str">
        <f t="shared" si="419"/>
        <v>26</v>
      </c>
      <c r="I2470" t="str">
        <f t="shared" si="421"/>
        <v>0</v>
      </c>
      <c r="J2470" t="str">
        <f t="shared" si="420"/>
        <v>26</v>
      </c>
      <c r="K2470">
        <v>20190719</v>
      </c>
      <c r="L2470" t="str">
        <f>"077447"</f>
        <v>077447</v>
      </c>
      <c r="M2470" t="str">
        <f>"27900"</f>
        <v>27900</v>
      </c>
      <c r="N2470" t="s">
        <v>1490</v>
      </c>
      <c r="O2470" s="1">
        <v>1320</v>
      </c>
      <c r="P2470">
        <v>20190717</v>
      </c>
      <c r="Q2470" t="s">
        <v>1483</v>
      </c>
      <c r="R2470" t="s">
        <v>1592</v>
      </c>
      <c r="S2470" t="s">
        <v>1475</v>
      </c>
      <c r="T2470" t="s">
        <v>1485</v>
      </c>
    </row>
    <row r="2471" spans="1:20" x14ac:dyDescent="0.25">
      <c r="A2471">
        <v>9</v>
      </c>
      <c r="B2471">
        <v>192</v>
      </c>
      <c r="C2471" t="str">
        <f t="shared" ref="C2471:C2476" si="422">"11"</f>
        <v>11</v>
      </c>
      <c r="D2471">
        <v>6399</v>
      </c>
      <c r="E2471" t="str">
        <f t="shared" si="417"/>
        <v>10</v>
      </c>
      <c r="F2471" t="str">
        <f t="shared" si="418"/>
        <v>002</v>
      </c>
      <c r="G2471">
        <v>9</v>
      </c>
      <c r="H2471" t="str">
        <f t="shared" si="419"/>
        <v>26</v>
      </c>
      <c r="I2471" t="str">
        <f t="shared" si="421"/>
        <v>0</v>
      </c>
      <c r="J2471" t="str">
        <f t="shared" si="420"/>
        <v>26</v>
      </c>
      <c r="K2471">
        <v>20190726</v>
      </c>
      <c r="L2471" t="str">
        <f>"077482"</f>
        <v>077482</v>
      </c>
      <c r="M2471" t="str">
        <f>"09170"</f>
        <v>09170</v>
      </c>
      <c r="N2471" t="s">
        <v>679</v>
      </c>
      <c r="O2471">
        <v>19.37</v>
      </c>
      <c r="P2471">
        <v>20190724</v>
      </c>
      <c r="Q2471" t="s">
        <v>1494</v>
      </c>
      <c r="R2471" t="s">
        <v>1593</v>
      </c>
      <c r="S2471" t="s">
        <v>1475</v>
      </c>
      <c r="T2471" t="s">
        <v>1485</v>
      </c>
    </row>
    <row r="2472" spans="1:20" x14ac:dyDescent="0.25">
      <c r="A2472">
        <v>9</v>
      </c>
      <c r="B2472">
        <v>192</v>
      </c>
      <c r="C2472" t="str">
        <f t="shared" si="422"/>
        <v>11</v>
      </c>
      <c r="D2472">
        <v>6396</v>
      </c>
      <c r="E2472" t="str">
        <f t="shared" si="417"/>
        <v>10</v>
      </c>
      <c r="F2472" t="str">
        <f t="shared" si="418"/>
        <v>002</v>
      </c>
      <c r="G2472">
        <v>9</v>
      </c>
      <c r="H2472" t="str">
        <f t="shared" si="419"/>
        <v>26</v>
      </c>
      <c r="I2472" t="str">
        <f t="shared" si="421"/>
        <v>0</v>
      </c>
      <c r="J2472" t="str">
        <f t="shared" si="420"/>
        <v>26</v>
      </c>
      <c r="K2472">
        <v>20190809</v>
      </c>
      <c r="L2472" t="str">
        <f>"077568"</f>
        <v>077568</v>
      </c>
      <c r="M2472" t="str">
        <f>"04410"</f>
        <v>04410</v>
      </c>
      <c r="N2472" t="s">
        <v>410</v>
      </c>
      <c r="O2472">
        <v>41.69</v>
      </c>
      <c r="P2472">
        <v>20190806</v>
      </c>
      <c r="Q2472" t="s">
        <v>1558</v>
      </c>
      <c r="R2472" t="s">
        <v>1594</v>
      </c>
      <c r="S2472" t="s">
        <v>1475</v>
      </c>
      <c r="T2472" t="s">
        <v>1485</v>
      </c>
    </row>
    <row r="2473" spans="1:20" x14ac:dyDescent="0.25">
      <c r="A2473">
        <v>9</v>
      </c>
      <c r="B2473">
        <v>192</v>
      </c>
      <c r="C2473" t="str">
        <f t="shared" si="422"/>
        <v>11</v>
      </c>
      <c r="D2473">
        <v>6399</v>
      </c>
      <c r="E2473" t="str">
        <f t="shared" si="417"/>
        <v>10</v>
      </c>
      <c r="F2473" t="str">
        <f t="shared" si="418"/>
        <v>002</v>
      </c>
      <c r="G2473">
        <v>9</v>
      </c>
      <c r="H2473" t="str">
        <f t="shared" si="419"/>
        <v>26</v>
      </c>
      <c r="I2473" t="str">
        <f t="shared" si="421"/>
        <v>0</v>
      </c>
      <c r="J2473" t="str">
        <f t="shared" si="420"/>
        <v>26</v>
      </c>
      <c r="K2473">
        <v>20190809</v>
      </c>
      <c r="L2473" t="str">
        <f>"077607"</f>
        <v>077607</v>
      </c>
      <c r="M2473" t="str">
        <f>"29091"</f>
        <v>29091</v>
      </c>
      <c r="N2473" t="s">
        <v>1595</v>
      </c>
      <c r="O2473">
        <v>875</v>
      </c>
      <c r="P2473">
        <v>20190807</v>
      </c>
      <c r="Q2473" t="s">
        <v>1494</v>
      </c>
      <c r="R2473" t="s">
        <v>1596</v>
      </c>
      <c r="S2473" t="s">
        <v>1475</v>
      </c>
      <c r="T2473" t="s">
        <v>1485</v>
      </c>
    </row>
    <row r="2474" spans="1:20" x14ac:dyDescent="0.25">
      <c r="A2474">
        <v>9</v>
      </c>
      <c r="B2474">
        <v>192</v>
      </c>
      <c r="C2474" t="str">
        <f t="shared" si="422"/>
        <v>11</v>
      </c>
      <c r="D2474">
        <v>6399</v>
      </c>
      <c r="E2474" t="str">
        <f t="shared" si="417"/>
        <v>10</v>
      </c>
      <c r="F2474" t="str">
        <f t="shared" si="418"/>
        <v>002</v>
      </c>
      <c r="G2474">
        <v>9</v>
      </c>
      <c r="H2474" t="str">
        <f t="shared" si="419"/>
        <v>26</v>
      </c>
      <c r="I2474" t="str">
        <f t="shared" si="421"/>
        <v>0</v>
      </c>
      <c r="J2474" t="str">
        <f t="shared" si="420"/>
        <v>26</v>
      </c>
      <c r="K2474">
        <v>20190816</v>
      </c>
      <c r="L2474" t="str">
        <f>"077719"</f>
        <v>077719</v>
      </c>
      <c r="M2474" t="str">
        <f>"58211"</f>
        <v>58211</v>
      </c>
      <c r="N2474" t="s">
        <v>1472</v>
      </c>
      <c r="O2474">
        <v>98.8</v>
      </c>
      <c r="P2474">
        <v>20190814</v>
      </c>
      <c r="Q2474" t="s">
        <v>1494</v>
      </c>
      <c r="R2474" t="s">
        <v>1597</v>
      </c>
      <c r="S2474" t="s">
        <v>1475</v>
      </c>
      <c r="T2474" t="s">
        <v>1485</v>
      </c>
    </row>
    <row r="2475" spans="1:20" x14ac:dyDescent="0.25">
      <c r="A2475">
        <v>9</v>
      </c>
      <c r="B2475">
        <v>192</v>
      </c>
      <c r="C2475" t="str">
        <f t="shared" si="422"/>
        <v>11</v>
      </c>
      <c r="D2475">
        <v>6399</v>
      </c>
      <c r="E2475" t="str">
        <f t="shared" si="417"/>
        <v>10</v>
      </c>
      <c r="F2475" t="str">
        <f t="shared" si="418"/>
        <v>002</v>
      </c>
      <c r="G2475">
        <v>9</v>
      </c>
      <c r="H2475" t="str">
        <f t="shared" si="419"/>
        <v>26</v>
      </c>
      <c r="I2475" t="str">
        <f t="shared" si="421"/>
        <v>0</v>
      </c>
      <c r="J2475" t="str">
        <f t="shared" si="420"/>
        <v>26</v>
      </c>
      <c r="K2475">
        <v>20190823</v>
      </c>
      <c r="L2475" t="str">
        <f>"077744"</f>
        <v>077744</v>
      </c>
      <c r="M2475" t="str">
        <f>"09170"</f>
        <v>09170</v>
      </c>
      <c r="N2475" t="s">
        <v>679</v>
      </c>
      <c r="O2475">
        <v>50.66</v>
      </c>
      <c r="P2475">
        <v>20190821</v>
      </c>
      <c r="Q2475" t="s">
        <v>1494</v>
      </c>
      <c r="R2475" t="s">
        <v>1598</v>
      </c>
      <c r="S2475" t="s">
        <v>1475</v>
      </c>
      <c r="T2475" t="s">
        <v>1485</v>
      </c>
    </row>
    <row r="2476" spans="1:20" x14ac:dyDescent="0.25">
      <c r="A2476">
        <v>9</v>
      </c>
      <c r="B2476">
        <v>192</v>
      </c>
      <c r="C2476" t="str">
        <f t="shared" si="422"/>
        <v>11</v>
      </c>
      <c r="D2476">
        <v>6649</v>
      </c>
      <c r="E2476" t="str">
        <f t="shared" si="417"/>
        <v>10</v>
      </c>
      <c r="F2476" t="str">
        <f>"001"</f>
        <v>001</v>
      </c>
      <c r="G2476">
        <v>9</v>
      </c>
      <c r="H2476" t="str">
        <f>"24"</f>
        <v>24</v>
      </c>
      <c r="I2476" t="str">
        <f t="shared" si="421"/>
        <v>0</v>
      </c>
      <c r="J2476" t="str">
        <f>"24"</f>
        <v>24</v>
      </c>
      <c r="K2476">
        <v>20190823</v>
      </c>
      <c r="L2476" t="str">
        <f>"077756"</f>
        <v>077756</v>
      </c>
      <c r="M2476" t="str">
        <f>"16807"</f>
        <v>16807</v>
      </c>
      <c r="N2476" t="s">
        <v>1581</v>
      </c>
      <c r="O2476" s="1">
        <v>1350</v>
      </c>
      <c r="P2476">
        <v>20190821</v>
      </c>
      <c r="Q2476" t="s">
        <v>1599</v>
      </c>
      <c r="R2476" t="s">
        <v>1591</v>
      </c>
      <c r="S2476" t="s">
        <v>1475</v>
      </c>
      <c r="T2476" t="s">
        <v>301</v>
      </c>
    </row>
    <row r="2477" spans="1:20" x14ac:dyDescent="0.25">
      <c r="A2477">
        <v>9</v>
      </c>
      <c r="B2477">
        <v>192</v>
      </c>
      <c r="C2477" t="str">
        <f t="shared" ref="C2477:C2482" si="423">"13"</f>
        <v>13</v>
      </c>
      <c r="D2477">
        <v>6411</v>
      </c>
      <c r="E2477" t="str">
        <f>"00"</f>
        <v>00</v>
      </c>
      <c r="F2477" t="str">
        <f>"001"</f>
        <v>001</v>
      </c>
      <c r="G2477">
        <v>9</v>
      </c>
      <c r="H2477" t="str">
        <f>"30"</f>
        <v>30</v>
      </c>
      <c r="I2477" t="str">
        <f t="shared" si="421"/>
        <v>0</v>
      </c>
      <c r="J2477" t="str">
        <f>"38"</f>
        <v>38</v>
      </c>
      <c r="K2477">
        <v>20190823</v>
      </c>
      <c r="L2477" t="str">
        <f t="shared" ref="L2477:L2482" si="424">"077774"</f>
        <v>077774</v>
      </c>
      <c r="M2477" t="str">
        <f t="shared" ref="M2477:M2482" si="425">"27900"</f>
        <v>27900</v>
      </c>
      <c r="N2477" t="s">
        <v>1490</v>
      </c>
      <c r="O2477">
        <v>150</v>
      </c>
      <c r="P2477">
        <v>20190821</v>
      </c>
      <c r="Q2477" t="s">
        <v>1600</v>
      </c>
      <c r="R2477" t="s">
        <v>1601</v>
      </c>
      <c r="S2477" t="s">
        <v>1475</v>
      </c>
      <c r="T2477" t="s">
        <v>301</v>
      </c>
    </row>
    <row r="2478" spans="1:20" x14ac:dyDescent="0.25">
      <c r="A2478">
        <v>9</v>
      </c>
      <c r="B2478">
        <v>192</v>
      </c>
      <c r="C2478" t="str">
        <f t="shared" si="423"/>
        <v>13</v>
      </c>
      <c r="D2478">
        <v>6411</v>
      </c>
      <c r="E2478" t="str">
        <f>"00"</f>
        <v>00</v>
      </c>
      <c r="F2478" t="str">
        <f>"104"</f>
        <v>104</v>
      </c>
      <c r="G2478">
        <v>9</v>
      </c>
      <c r="H2478" t="str">
        <f>"30"</f>
        <v>30</v>
      </c>
      <c r="I2478" t="str">
        <f t="shared" si="421"/>
        <v>0</v>
      </c>
      <c r="J2478" t="str">
        <f>"38"</f>
        <v>38</v>
      </c>
      <c r="K2478">
        <v>20190823</v>
      </c>
      <c r="L2478" t="str">
        <f t="shared" si="424"/>
        <v>077774</v>
      </c>
      <c r="M2478" t="str">
        <f t="shared" si="425"/>
        <v>27900</v>
      </c>
      <c r="N2478" t="s">
        <v>1490</v>
      </c>
      <c r="O2478">
        <v>150</v>
      </c>
      <c r="P2478">
        <v>20190821</v>
      </c>
      <c r="Q2478" t="s">
        <v>1602</v>
      </c>
      <c r="R2478" t="s">
        <v>1603</v>
      </c>
      <c r="S2478" t="s">
        <v>1475</v>
      </c>
      <c r="T2478" t="s">
        <v>46</v>
      </c>
    </row>
    <row r="2479" spans="1:20" x14ac:dyDescent="0.25">
      <c r="A2479">
        <v>9</v>
      </c>
      <c r="B2479">
        <v>192</v>
      </c>
      <c r="C2479" t="str">
        <f t="shared" si="423"/>
        <v>13</v>
      </c>
      <c r="D2479">
        <v>6411</v>
      </c>
      <c r="E2479" t="str">
        <f>"00"</f>
        <v>00</v>
      </c>
      <c r="F2479" t="str">
        <f>"104"</f>
        <v>104</v>
      </c>
      <c r="G2479">
        <v>9</v>
      </c>
      <c r="H2479" t="str">
        <f>"30"</f>
        <v>30</v>
      </c>
      <c r="I2479" t="str">
        <f t="shared" si="421"/>
        <v>0</v>
      </c>
      <c r="J2479" t="str">
        <f>"38"</f>
        <v>38</v>
      </c>
      <c r="K2479">
        <v>20190823</v>
      </c>
      <c r="L2479" t="str">
        <f t="shared" si="424"/>
        <v>077774</v>
      </c>
      <c r="M2479" t="str">
        <f t="shared" si="425"/>
        <v>27900</v>
      </c>
      <c r="N2479" t="s">
        <v>1490</v>
      </c>
      <c r="O2479">
        <v>150</v>
      </c>
      <c r="P2479">
        <v>20190821</v>
      </c>
      <c r="Q2479" t="s">
        <v>1602</v>
      </c>
      <c r="R2479" t="s">
        <v>1601</v>
      </c>
      <c r="S2479" t="s">
        <v>1475</v>
      </c>
      <c r="T2479" t="s">
        <v>46</v>
      </c>
    </row>
    <row r="2480" spans="1:20" x14ac:dyDescent="0.25">
      <c r="A2480">
        <v>9</v>
      </c>
      <c r="B2480">
        <v>192</v>
      </c>
      <c r="C2480" t="str">
        <f t="shared" si="423"/>
        <v>13</v>
      </c>
      <c r="D2480">
        <v>6411</v>
      </c>
      <c r="E2480" t="str">
        <f>"10"</f>
        <v>10</v>
      </c>
      <c r="F2480" t="str">
        <f>"002"</f>
        <v>002</v>
      </c>
      <c r="G2480">
        <v>9</v>
      </c>
      <c r="H2480" t="str">
        <f>"26"</f>
        <v>26</v>
      </c>
      <c r="I2480" t="str">
        <f t="shared" si="421"/>
        <v>0</v>
      </c>
      <c r="J2480" t="str">
        <f>"26"</f>
        <v>26</v>
      </c>
      <c r="K2480">
        <v>20190823</v>
      </c>
      <c r="L2480" t="str">
        <f t="shared" si="424"/>
        <v>077774</v>
      </c>
      <c r="M2480" t="str">
        <f t="shared" si="425"/>
        <v>27900</v>
      </c>
      <c r="N2480" t="s">
        <v>1490</v>
      </c>
      <c r="O2480">
        <v>450</v>
      </c>
      <c r="P2480">
        <v>20190821</v>
      </c>
      <c r="Q2480" t="s">
        <v>1483</v>
      </c>
      <c r="R2480" t="s">
        <v>1604</v>
      </c>
      <c r="S2480" t="s">
        <v>1475</v>
      </c>
      <c r="T2480" t="s">
        <v>1485</v>
      </c>
    </row>
    <row r="2481" spans="1:20" x14ac:dyDescent="0.25">
      <c r="A2481">
        <v>9</v>
      </c>
      <c r="B2481">
        <v>192</v>
      </c>
      <c r="C2481" t="str">
        <f t="shared" si="423"/>
        <v>13</v>
      </c>
      <c r="D2481">
        <v>6411</v>
      </c>
      <c r="E2481" t="str">
        <f>"24"</f>
        <v>24</v>
      </c>
      <c r="F2481" t="str">
        <f>"101"</f>
        <v>101</v>
      </c>
      <c r="G2481">
        <v>9</v>
      </c>
      <c r="H2481" t="str">
        <f>"30"</f>
        <v>30</v>
      </c>
      <c r="I2481" t="str">
        <f t="shared" si="421"/>
        <v>0</v>
      </c>
      <c r="J2481" t="str">
        <f>"24"</f>
        <v>24</v>
      </c>
      <c r="K2481">
        <v>20190823</v>
      </c>
      <c r="L2481" t="str">
        <f t="shared" si="424"/>
        <v>077774</v>
      </c>
      <c r="M2481" t="str">
        <f t="shared" si="425"/>
        <v>27900</v>
      </c>
      <c r="N2481" t="s">
        <v>1490</v>
      </c>
      <c r="O2481">
        <v>150</v>
      </c>
      <c r="P2481">
        <v>20190821</v>
      </c>
      <c r="Q2481" t="s">
        <v>1605</v>
      </c>
      <c r="R2481" t="s">
        <v>1603</v>
      </c>
      <c r="S2481" t="s">
        <v>1475</v>
      </c>
      <c r="T2481" t="s">
        <v>1479</v>
      </c>
    </row>
    <row r="2482" spans="1:20" x14ac:dyDescent="0.25">
      <c r="A2482">
        <v>9</v>
      </c>
      <c r="B2482">
        <v>192</v>
      </c>
      <c r="C2482" t="str">
        <f t="shared" si="423"/>
        <v>13</v>
      </c>
      <c r="D2482">
        <v>6411</v>
      </c>
      <c r="E2482" t="str">
        <f>"24"</f>
        <v>24</v>
      </c>
      <c r="F2482" t="str">
        <f>"101"</f>
        <v>101</v>
      </c>
      <c r="G2482">
        <v>9</v>
      </c>
      <c r="H2482" t="str">
        <f>"30"</f>
        <v>30</v>
      </c>
      <c r="I2482" t="str">
        <f t="shared" si="421"/>
        <v>0</v>
      </c>
      <c r="J2482" t="str">
        <f>"24"</f>
        <v>24</v>
      </c>
      <c r="K2482">
        <v>20190823</v>
      </c>
      <c r="L2482" t="str">
        <f t="shared" si="424"/>
        <v>077774</v>
      </c>
      <c r="M2482" t="str">
        <f t="shared" si="425"/>
        <v>27900</v>
      </c>
      <c r="N2482" t="s">
        <v>1490</v>
      </c>
      <c r="O2482">
        <v>150</v>
      </c>
      <c r="P2482">
        <v>20190821</v>
      </c>
      <c r="Q2482" t="s">
        <v>1605</v>
      </c>
      <c r="R2482" t="s">
        <v>1601</v>
      </c>
      <c r="S2482" t="s">
        <v>1475</v>
      </c>
      <c r="T2482" t="s">
        <v>1479</v>
      </c>
    </row>
    <row r="2483" spans="1:20" x14ac:dyDescent="0.25">
      <c r="A2483">
        <v>9</v>
      </c>
      <c r="B2483">
        <v>192</v>
      </c>
      <c r="C2483" t="str">
        <f>"23"</f>
        <v>23</v>
      </c>
      <c r="D2483">
        <v>6411</v>
      </c>
      <c r="E2483" t="str">
        <f>"10"</f>
        <v>10</v>
      </c>
      <c r="F2483" t="str">
        <f>"002"</f>
        <v>002</v>
      </c>
      <c r="G2483">
        <v>9</v>
      </c>
      <c r="H2483" t="str">
        <f>"26"</f>
        <v>26</v>
      </c>
      <c r="I2483" t="str">
        <f t="shared" si="421"/>
        <v>0</v>
      </c>
      <c r="J2483" t="str">
        <f>"26"</f>
        <v>26</v>
      </c>
      <c r="K2483">
        <v>20190823</v>
      </c>
      <c r="L2483" t="str">
        <f>"077802"</f>
        <v>077802</v>
      </c>
      <c r="M2483" t="str">
        <f>"50453"</f>
        <v>50453</v>
      </c>
      <c r="N2483" t="s">
        <v>1472</v>
      </c>
      <c r="O2483">
        <v>536.25</v>
      </c>
      <c r="P2483">
        <v>20190821</v>
      </c>
      <c r="Q2483" t="s">
        <v>1529</v>
      </c>
      <c r="R2483" t="s">
        <v>1606</v>
      </c>
      <c r="S2483" t="s">
        <v>1475</v>
      </c>
      <c r="T2483" t="s">
        <v>1485</v>
      </c>
    </row>
    <row r="2484" spans="1:20" x14ac:dyDescent="0.25">
      <c r="A2484">
        <v>9</v>
      </c>
      <c r="B2484">
        <v>192</v>
      </c>
      <c r="C2484" t="str">
        <f>"95"</f>
        <v>95</v>
      </c>
      <c r="D2484">
        <v>6223</v>
      </c>
      <c r="E2484" t="str">
        <f>"10"</f>
        <v>10</v>
      </c>
      <c r="F2484" t="str">
        <f>"003"</f>
        <v>003</v>
      </c>
      <c r="G2484">
        <v>9</v>
      </c>
      <c r="H2484" t="str">
        <f>"28"</f>
        <v>28</v>
      </c>
      <c r="I2484" t="str">
        <f t="shared" si="421"/>
        <v>0</v>
      </c>
      <c r="J2484" t="str">
        <f>"29"</f>
        <v>29</v>
      </c>
      <c r="K2484">
        <v>20190830</v>
      </c>
      <c r="L2484" t="str">
        <f>"077868"</f>
        <v>077868</v>
      </c>
      <c r="M2484" t="str">
        <f>"56007"</f>
        <v>56007</v>
      </c>
      <c r="N2484" t="s">
        <v>1486</v>
      </c>
      <c r="O2484" s="1">
        <v>1044</v>
      </c>
      <c r="P2484">
        <v>20190829</v>
      </c>
      <c r="Q2484" t="s">
        <v>1487</v>
      </c>
      <c r="R2484" t="s">
        <v>1607</v>
      </c>
      <c r="S2484" t="s">
        <v>1475</v>
      </c>
      <c r="T2484" t="s">
        <v>1489</v>
      </c>
    </row>
    <row r="2485" spans="1:20" x14ac:dyDescent="0.25">
      <c r="A2485">
        <v>9</v>
      </c>
      <c r="B2485">
        <v>198</v>
      </c>
      <c r="C2485" t="str">
        <f>"41"</f>
        <v>41</v>
      </c>
      <c r="D2485">
        <v>6649</v>
      </c>
      <c r="E2485" t="str">
        <f>"00"</f>
        <v>00</v>
      </c>
      <c r="F2485" t="str">
        <f>"702"</f>
        <v>702</v>
      </c>
      <c r="G2485">
        <v>9</v>
      </c>
      <c r="H2485" t="str">
        <f>"99"</f>
        <v>99</v>
      </c>
      <c r="I2485" t="str">
        <f t="shared" si="421"/>
        <v>0</v>
      </c>
      <c r="J2485" t="str">
        <f>"00"</f>
        <v>00</v>
      </c>
      <c r="K2485">
        <v>20181012</v>
      </c>
      <c r="L2485" t="str">
        <f>"074227"</f>
        <v>074227</v>
      </c>
      <c r="M2485" t="str">
        <f>"09170"</f>
        <v>09170</v>
      </c>
      <c r="N2485" t="s">
        <v>679</v>
      </c>
      <c r="O2485">
        <v>849</v>
      </c>
      <c r="P2485">
        <v>20181011</v>
      </c>
      <c r="Q2485" t="s">
        <v>1608</v>
      </c>
      <c r="R2485" t="s">
        <v>1609</v>
      </c>
      <c r="S2485" t="s">
        <v>1610</v>
      </c>
      <c r="T2485" t="s">
        <v>1611</v>
      </c>
    </row>
    <row r="2486" spans="1:20" x14ac:dyDescent="0.25">
      <c r="A2486">
        <v>9</v>
      </c>
      <c r="B2486">
        <v>199</v>
      </c>
      <c r="C2486" t="str">
        <f>"00"</f>
        <v>00</v>
      </c>
      <c r="D2486">
        <v>2110</v>
      </c>
      <c r="E2486" t="str">
        <f>"18"</f>
        <v>18</v>
      </c>
      <c r="F2486" t="str">
        <f>"000"</f>
        <v>000</v>
      </c>
      <c r="G2486">
        <v>9</v>
      </c>
      <c r="H2486" t="str">
        <f>"00"</f>
        <v>00</v>
      </c>
      <c r="I2486" t="str">
        <f t="shared" si="421"/>
        <v>0</v>
      </c>
      <c r="J2486" t="str">
        <f>"00"</f>
        <v>00</v>
      </c>
      <c r="K2486">
        <v>20180907</v>
      </c>
      <c r="L2486" t="str">
        <f>"073770"</f>
        <v>073770</v>
      </c>
      <c r="M2486" t="str">
        <f>"83410"</f>
        <v>83410</v>
      </c>
      <c r="N2486" t="s">
        <v>1612</v>
      </c>
      <c r="O2486">
        <v>861.1</v>
      </c>
      <c r="P2486">
        <v>20180907</v>
      </c>
      <c r="Q2486" t="s">
        <v>1613</v>
      </c>
      <c r="R2486" t="s">
        <v>1614</v>
      </c>
      <c r="S2486" t="s">
        <v>1615</v>
      </c>
      <c r="T2486" t="s">
        <v>296</v>
      </c>
    </row>
    <row r="2487" spans="1:20" x14ac:dyDescent="0.25">
      <c r="A2487">
        <v>9</v>
      </c>
      <c r="B2487">
        <v>199</v>
      </c>
      <c r="C2487" t="str">
        <f>"36"</f>
        <v>36</v>
      </c>
      <c r="D2487">
        <v>6412</v>
      </c>
      <c r="E2487" t="str">
        <f>"8M"</f>
        <v>8M</v>
      </c>
      <c r="F2487" t="str">
        <f>"001"</f>
        <v>001</v>
      </c>
      <c r="G2487">
        <v>9</v>
      </c>
      <c r="H2487" t="str">
        <f>"99"</f>
        <v>99</v>
      </c>
      <c r="I2487" t="str">
        <f t="shared" si="421"/>
        <v>0</v>
      </c>
      <c r="J2487" t="str">
        <f>"33"</f>
        <v>33</v>
      </c>
      <c r="K2487">
        <v>20180914</v>
      </c>
      <c r="L2487" t="str">
        <f>"073772"</f>
        <v>073772</v>
      </c>
      <c r="M2487" t="str">
        <f>"07712"</f>
        <v>07712</v>
      </c>
      <c r="N2487" t="s">
        <v>1616</v>
      </c>
      <c r="O2487">
        <v>50</v>
      </c>
      <c r="P2487">
        <v>20180913</v>
      </c>
      <c r="Q2487" t="s">
        <v>1617</v>
      </c>
      <c r="R2487" t="s">
        <v>1618</v>
      </c>
      <c r="S2487" t="s">
        <v>1615</v>
      </c>
      <c r="T2487" t="s">
        <v>301</v>
      </c>
    </row>
    <row r="2488" spans="1:20" x14ac:dyDescent="0.25">
      <c r="A2488">
        <v>9</v>
      </c>
      <c r="B2488">
        <v>199</v>
      </c>
      <c r="C2488" t="str">
        <f>"36"</f>
        <v>36</v>
      </c>
      <c r="D2488">
        <v>6412</v>
      </c>
      <c r="E2488" t="str">
        <f>"8M"</f>
        <v>8M</v>
      </c>
      <c r="F2488" t="str">
        <f>"001"</f>
        <v>001</v>
      </c>
      <c r="G2488">
        <v>9</v>
      </c>
      <c r="H2488" t="str">
        <f>"99"</f>
        <v>99</v>
      </c>
      <c r="I2488" t="str">
        <f t="shared" si="421"/>
        <v>0</v>
      </c>
      <c r="J2488" t="str">
        <f>"33"</f>
        <v>33</v>
      </c>
      <c r="K2488">
        <v>20180914</v>
      </c>
      <c r="L2488" t="str">
        <f>"073777"</f>
        <v>073777</v>
      </c>
      <c r="M2488" t="str">
        <f>"19208"</f>
        <v>19208</v>
      </c>
      <c r="N2488" t="s">
        <v>478</v>
      </c>
      <c r="O2488">
        <v>200</v>
      </c>
      <c r="P2488">
        <v>20180913</v>
      </c>
      <c r="Q2488" t="s">
        <v>1617</v>
      </c>
      <c r="R2488" t="s">
        <v>1619</v>
      </c>
      <c r="S2488" t="s">
        <v>1615</v>
      </c>
      <c r="T2488" t="s">
        <v>301</v>
      </c>
    </row>
    <row r="2489" spans="1:20" x14ac:dyDescent="0.25">
      <c r="A2489">
        <v>9</v>
      </c>
      <c r="B2489">
        <v>199</v>
      </c>
      <c r="C2489" t="str">
        <f>"00"</f>
        <v>00</v>
      </c>
      <c r="D2489">
        <v>2110</v>
      </c>
      <c r="E2489" t="str">
        <f>"18"</f>
        <v>18</v>
      </c>
      <c r="F2489" t="str">
        <f>"000"</f>
        <v>000</v>
      </c>
      <c r="G2489">
        <v>9</v>
      </c>
      <c r="H2489" t="str">
        <f>"00"</f>
        <v>00</v>
      </c>
      <c r="I2489" t="str">
        <f t="shared" si="421"/>
        <v>0</v>
      </c>
      <c r="J2489" t="str">
        <f>"00"</f>
        <v>00</v>
      </c>
      <c r="K2489">
        <v>20180914</v>
      </c>
      <c r="L2489" t="str">
        <f>"073778"</f>
        <v>073778</v>
      </c>
      <c r="M2489" t="str">
        <f>"25144"</f>
        <v>25144</v>
      </c>
      <c r="N2489" t="s">
        <v>1620</v>
      </c>
      <c r="O2489" s="1">
        <v>8225.85</v>
      </c>
      <c r="P2489">
        <v>20180913</v>
      </c>
      <c r="Q2489" t="s">
        <v>1613</v>
      </c>
      <c r="R2489" t="s">
        <v>1621</v>
      </c>
      <c r="S2489" t="s">
        <v>1615</v>
      </c>
      <c r="T2489" t="s">
        <v>296</v>
      </c>
    </row>
    <row r="2490" spans="1:20" x14ac:dyDescent="0.25">
      <c r="A2490">
        <v>9</v>
      </c>
      <c r="B2490">
        <v>199</v>
      </c>
      <c r="C2490" t="str">
        <f t="shared" ref="C2490:C2498" si="426">"36"</f>
        <v>36</v>
      </c>
      <c r="D2490">
        <v>6412</v>
      </c>
      <c r="E2490" t="str">
        <f>"8M"</f>
        <v>8M</v>
      </c>
      <c r="F2490" t="str">
        <f t="shared" ref="F2490:F2498" si="427">"001"</f>
        <v>001</v>
      </c>
      <c r="G2490">
        <v>9</v>
      </c>
      <c r="H2490" t="str">
        <f t="shared" ref="H2490:H2498" si="428">"99"</f>
        <v>99</v>
      </c>
      <c r="I2490" t="str">
        <f t="shared" si="421"/>
        <v>0</v>
      </c>
      <c r="J2490" t="str">
        <f>"33"</f>
        <v>33</v>
      </c>
      <c r="K2490">
        <v>20180914</v>
      </c>
      <c r="L2490" t="str">
        <f>"073780"</f>
        <v>073780</v>
      </c>
      <c r="M2490" t="str">
        <f>"00352"</f>
        <v>00352</v>
      </c>
      <c r="N2490" t="s">
        <v>1622</v>
      </c>
      <c r="O2490">
        <v>35</v>
      </c>
      <c r="P2490">
        <v>20180913</v>
      </c>
      <c r="Q2490" t="s">
        <v>1617</v>
      </c>
      <c r="R2490" t="s">
        <v>1623</v>
      </c>
      <c r="S2490" t="s">
        <v>1615</v>
      </c>
      <c r="T2490" t="s">
        <v>301</v>
      </c>
    </row>
    <row r="2491" spans="1:20" x14ac:dyDescent="0.25">
      <c r="A2491">
        <v>9</v>
      </c>
      <c r="B2491">
        <v>199</v>
      </c>
      <c r="C2491" t="str">
        <f t="shared" si="426"/>
        <v>36</v>
      </c>
      <c r="D2491">
        <v>6412</v>
      </c>
      <c r="E2491" t="str">
        <f>"8S"</f>
        <v>8S</v>
      </c>
      <c r="F2491" t="str">
        <f t="shared" si="427"/>
        <v>001</v>
      </c>
      <c r="G2491">
        <v>9</v>
      </c>
      <c r="H2491" t="str">
        <f t="shared" si="428"/>
        <v>99</v>
      </c>
      <c r="I2491" t="str">
        <f t="shared" si="421"/>
        <v>0</v>
      </c>
      <c r="J2491" t="str">
        <f>"01"</f>
        <v>01</v>
      </c>
      <c r="K2491">
        <v>20180914</v>
      </c>
      <c r="L2491" t="str">
        <f>"073784"</f>
        <v>073784</v>
      </c>
      <c r="M2491" t="str">
        <f>"37801"</f>
        <v>37801</v>
      </c>
      <c r="N2491" t="s">
        <v>1624</v>
      </c>
      <c r="O2491" s="1">
        <v>2025</v>
      </c>
      <c r="P2491">
        <v>20180913</v>
      </c>
      <c r="Q2491" t="s">
        <v>1625</v>
      </c>
      <c r="R2491" t="s">
        <v>1626</v>
      </c>
      <c r="S2491" t="s">
        <v>1615</v>
      </c>
      <c r="T2491" t="s">
        <v>301</v>
      </c>
    </row>
    <row r="2492" spans="1:20" x14ac:dyDescent="0.25">
      <c r="A2492">
        <v>9</v>
      </c>
      <c r="B2492">
        <v>199</v>
      </c>
      <c r="C2492" t="str">
        <f t="shared" si="426"/>
        <v>36</v>
      </c>
      <c r="D2492">
        <v>6411</v>
      </c>
      <c r="E2492" t="str">
        <f>"8M"</f>
        <v>8M</v>
      </c>
      <c r="F2492" t="str">
        <f t="shared" si="427"/>
        <v>001</v>
      </c>
      <c r="G2492">
        <v>9</v>
      </c>
      <c r="H2492" t="str">
        <f t="shared" si="428"/>
        <v>99</v>
      </c>
      <c r="I2492" t="str">
        <f t="shared" ref="I2492:I2498" si="429">"1"</f>
        <v>1</v>
      </c>
      <c r="J2492" t="str">
        <f>"33"</f>
        <v>33</v>
      </c>
      <c r="K2492">
        <v>20180914</v>
      </c>
      <c r="L2492" t="str">
        <f>"073786"</f>
        <v>073786</v>
      </c>
      <c r="M2492" t="str">
        <f>"37805"</f>
        <v>37805</v>
      </c>
      <c r="N2492" t="s">
        <v>1627</v>
      </c>
      <c r="O2492">
        <v>16.66</v>
      </c>
      <c r="P2492">
        <v>20180913</v>
      </c>
      <c r="Q2492" t="s">
        <v>1628</v>
      </c>
      <c r="R2492" t="s">
        <v>1619</v>
      </c>
      <c r="S2492" t="s">
        <v>1615</v>
      </c>
      <c r="T2492" t="s">
        <v>301</v>
      </c>
    </row>
    <row r="2493" spans="1:20" x14ac:dyDescent="0.25">
      <c r="A2493">
        <v>9</v>
      </c>
      <c r="B2493">
        <v>199</v>
      </c>
      <c r="C2493" t="str">
        <f t="shared" si="426"/>
        <v>36</v>
      </c>
      <c r="D2493">
        <v>6412</v>
      </c>
      <c r="E2493" t="str">
        <f>"8M"</f>
        <v>8M</v>
      </c>
      <c r="F2493" t="str">
        <f t="shared" si="427"/>
        <v>001</v>
      </c>
      <c r="G2493">
        <v>9</v>
      </c>
      <c r="H2493" t="str">
        <f t="shared" si="428"/>
        <v>99</v>
      </c>
      <c r="I2493" t="str">
        <f t="shared" si="429"/>
        <v>1</v>
      </c>
      <c r="J2493" t="str">
        <f>"33"</f>
        <v>33</v>
      </c>
      <c r="K2493">
        <v>20180914</v>
      </c>
      <c r="L2493" t="str">
        <f>"073786"</f>
        <v>073786</v>
      </c>
      <c r="M2493" t="str">
        <f>"37805"</f>
        <v>37805</v>
      </c>
      <c r="N2493" t="s">
        <v>1627</v>
      </c>
      <c r="O2493">
        <v>125</v>
      </c>
      <c r="P2493">
        <v>20180913</v>
      </c>
      <c r="Q2493" t="s">
        <v>1629</v>
      </c>
      <c r="R2493" t="s">
        <v>1619</v>
      </c>
      <c r="S2493" t="s">
        <v>1615</v>
      </c>
      <c r="T2493" t="s">
        <v>301</v>
      </c>
    </row>
    <row r="2494" spans="1:20" x14ac:dyDescent="0.25">
      <c r="A2494">
        <v>9</v>
      </c>
      <c r="B2494">
        <v>199</v>
      </c>
      <c r="C2494" t="str">
        <f t="shared" si="426"/>
        <v>36</v>
      </c>
      <c r="D2494">
        <v>6412</v>
      </c>
      <c r="E2494" t="str">
        <f>"8M"</f>
        <v>8M</v>
      </c>
      <c r="F2494" t="str">
        <f t="shared" si="427"/>
        <v>001</v>
      </c>
      <c r="G2494">
        <v>9</v>
      </c>
      <c r="H2494" t="str">
        <f t="shared" si="428"/>
        <v>99</v>
      </c>
      <c r="I2494" t="str">
        <f t="shared" si="429"/>
        <v>1</v>
      </c>
      <c r="J2494" t="str">
        <f>"33"</f>
        <v>33</v>
      </c>
      <c r="K2494">
        <v>20180914</v>
      </c>
      <c r="L2494" t="str">
        <f>"073787"</f>
        <v>073787</v>
      </c>
      <c r="M2494" t="str">
        <f>"37805"</f>
        <v>37805</v>
      </c>
      <c r="N2494" t="s">
        <v>1627</v>
      </c>
      <c r="O2494">
        <v>100</v>
      </c>
      <c r="P2494">
        <v>20180913</v>
      </c>
      <c r="Q2494" t="s">
        <v>1629</v>
      </c>
      <c r="R2494" t="s">
        <v>1630</v>
      </c>
      <c r="S2494" t="s">
        <v>1615</v>
      </c>
      <c r="T2494" t="s">
        <v>301</v>
      </c>
    </row>
    <row r="2495" spans="1:20" x14ac:dyDescent="0.25">
      <c r="A2495">
        <v>9</v>
      </c>
      <c r="B2495">
        <v>199</v>
      </c>
      <c r="C2495" t="str">
        <f t="shared" si="426"/>
        <v>36</v>
      </c>
      <c r="D2495">
        <v>6411</v>
      </c>
      <c r="E2495" t="str">
        <f>"8S"</f>
        <v>8S</v>
      </c>
      <c r="F2495" t="str">
        <f t="shared" si="427"/>
        <v>001</v>
      </c>
      <c r="G2495">
        <v>9</v>
      </c>
      <c r="H2495" t="str">
        <f t="shared" si="428"/>
        <v>99</v>
      </c>
      <c r="I2495" t="str">
        <f t="shared" si="429"/>
        <v>1</v>
      </c>
      <c r="J2495" t="str">
        <f>"01"</f>
        <v>01</v>
      </c>
      <c r="K2495">
        <v>20180914</v>
      </c>
      <c r="L2495" t="str">
        <f>"073790"</f>
        <v>073790</v>
      </c>
      <c r="M2495" t="str">
        <f>"46348"</f>
        <v>46348</v>
      </c>
      <c r="N2495" t="s">
        <v>1631</v>
      </c>
      <c r="O2495">
        <v>25</v>
      </c>
      <c r="P2495">
        <v>20180913</v>
      </c>
      <c r="Q2495" t="s">
        <v>1632</v>
      </c>
      <c r="R2495" t="s">
        <v>1633</v>
      </c>
      <c r="S2495" t="s">
        <v>1615</v>
      </c>
      <c r="T2495" t="s">
        <v>301</v>
      </c>
    </row>
    <row r="2496" spans="1:20" x14ac:dyDescent="0.25">
      <c r="A2496">
        <v>9</v>
      </c>
      <c r="B2496">
        <v>199</v>
      </c>
      <c r="C2496" t="str">
        <f t="shared" si="426"/>
        <v>36</v>
      </c>
      <c r="D2496">
        <v>6412</v>
      </c>
      <c r="E2496" t="str">
        <f>"8S"</f>
        <v>8S</v>
      </c>
      <c r="F2496" t="str">
        <f t="shared" si="427"/>
        <v>001</v>
      </c>
      <c r="G2496">
        <v>9</v>
      </c>
      <c r="H2496" t="str">
        <f t="shared" si="428"/>
        <v>99</v>
      </c>
      <c r="I2496" t="str">
        <f t="shared" si="429"/>
        <v>1</v>
      </c>
      <c r="J2496" t="str">
        <f>"01"</f>
        <v>01</v>
      </c>
      <c r="K2496">
        <v>20180914</v>
      </c>
      <c r="L2496" t="str">
        <f>"073790"</f>
        <v>073790</v>
      </c>
      <c r="M2496" t="str">
        <f>"46348"</f>
        <v>46348</v>
      </c>
      <c r="N2496" t="s">
        <v>1631</v>
      </c>
      <c r="O2496">
        <v>90</v>
      </c>
      <c r="P2496">
        <v>20180913</v>
      </c>
      <c r="Q2496" t="s">
        <v>1634</v>
      </c>
      <c r="R2496" t="s">
        <v>1633</v>
      </c>
      <c r="S2496" t="s">
        <v>1615</v>
      </c>
      <c r="T2496" t="s">
        <v>301</v>
      </c>
    </row>
    <row r="2497" spans="1:20" x14ac:dyDescent="0.25">
      <c r="A2497">
        <v>9</v>
      </c>
      <c r="B2497">
        <v>199</v>
      </c>
      <c r="C2497" t="str">
        <f t="shared" si="426"/>
        <v>36</v>
      </c>
      <c r="D2497">
        <v>6411</v>
      </c>
      <c r="E2497" t="str">
        <f>"8S"</f>
        <v>8S</v>
      </c>
      <c r="F2497" t="str">
        <f t="shared" si="427"/>
        <v>001</v>
      </c>
      <c r="G2497">
        <v>9</v>
      </c>
      <c r="H2497" t="str">
        <f t="shared" si="428"/>
        <v>99</v>
      </c>
      <c r="I2497" t="str">
        <f t="shared" si="429"/>
        <v>1</v>
      </c>
      <c r="J2497" t="str">
        <f>"01"</f>
        <v>01</v>
      </c>
      <c r="K2497">
        <v>20180927</v>
      </c>
      <c r="L2497" t="str">
        <f>"073790"</f>
        <v>073790</v>
      </c>
      <c r="M2497" t="str">
        <f>"46348"</f>
        <v>46348</v>
      </c>
      <c r="N2497" t="s">
        <v>1631</v>
      </c>
      <c r="O2497">
        <v>-25</v>
      </c>
      <c r="P2497">
        <v>20180927</v>
      </c>
      <c r="Q2497" t="s">
        <v>1632</v>
      </c>
      <c r="R2497" t="s">
        <v>1635</v>
      </c>
      <c r="S2497" t="s">
        <v>1615</v>
      </c>
      <c r="T2497" t="s">
        <v>301</v>
      </c>
    </row>
    <row r="2498" spans="1:20" x14ac:dyDescent="0.25">
      <c r="A2498">
        <v>9</v>
      </c>
      <c r="B2498">
        <v>199</v>
      </c>
      <c r="C2498" t="str">
        <f t="shared" si="426"/>
        <v>36</v>
      </c>
      <c r="D2498">
        <v>6412</v>
      </c>
      <c r="E2498" t="str">
        <f>"8S"</f>
        <v>8S</v>
      </c>
      <c r="F2498" t="str">
        <f t="shared" si="427"/>
        <v>001</v>
      </c>
      <c r="G2498">
        <v>9</v>
      </c>
      <c r="H2498" t="str">
        <f t="shared" si="428"/>
        <v>99</v>
      </c>
      <c r="I2498" t="str">
        <f t="shared" si="429"/>
        <v>1</v>
      </c>
      <c r="J2498" t="str">
        <f>"01"</f>
        <v>01</v>
      </c>
      <c r="K2498">
        <v>20180927</v>
      </c>
      <c r="L2498" t="str">
        <f>"073790"</f>
        <v>073790</v>
      </c>
      <c r="M2498" t="str">
        <f>"46348"</f>
        <v>46348</v>
      </c>
      <c r="N2498" t="s">
        <v>1631</v>
      </c>
      <c r="O2498">
        <v>-90</v>
      </c>
      <c r="P2498">
        <v>20180927</v>
      </c>
      <c r="Q2498" t="s">
        <v>1634</v>
      </c>
      <c r="R2498" t="s">
        <v>1635</v>
      </c>
      <c r="S2498" t="s">
        <v>1615</v>
      </c>
      <c r="T2498" t="s">
        <v>301</v>
      </c>
    </row>
    <row r="2499" spans="1:20" x14ac:dyDescent="0.25">
      <c r="A2499">
        <v>9</v>
      </c>
      <c r="B2499">
        <v>199</v>
      </c>
      <c r="C2499" t="str">
        <f>"00"</f>
        <v>00</v>
      </c>
      <c r="D2499">
        <v>1291</v>
      </c>
      <c r="E2499" t="str">
        <f>"05"</f>
        <v>05</v>
      </c>
      <c r="F2499" t="str">
        <f>"000"</f>
        <v>000</v>
      </c>
      <c r="G2499">
        <v>9</v>
      </c>
      <c r="H2499" t="str">
        <f>"00"</f>
        <v>00</v>
      </c>
      <c r="I2499" t="str">
        <f t="shared" ref="I2499:I2516" si="430">"0"</f>
        <v>0</v>
      </c>
      <c r="J2499" t="str">
        <f>"00"</f>
        <v>00</v>
      </c>
      <c r="K2499">
        <v>20180914</v>
      </c>
      <c r="L2499" t="str">
        <f>"073791"</f>
        <v>073791</v>
      </c>
      <c r="M2499" t="str">
        <f>"46398"</f>
        <v>46398</v>
      </c>
      <c r="N2499" t="s">
        <v>1636</v>
      </c>
      <c r="O2499" s="1">
        <v>1820</v>
      </c>
      <c r="P2499">
        <v>20180913</v>
      </c>
      <c r="Q2499" t="s">
        <v>1637</v>
      </c>
      <c r="R2499" t="s">
        <v>1638</v>
      </c>
      <c r="S2499" t="s">
        <v>1615</v>
      </c>
      <c r="T2499" t="s">
        <v>296</v>
      </c>
    </row>
    <row r="2500" spans="1:20" x14ac:dyDescent="0.25">
      <c r="A2500">
        <v>9</v>
      </c>
      <c r="B2500">
        <v>199</v>
      </c>
      <c r="C2500" t="str">
        <f>"00"</f>
        <v>00</v>
      </c>
      <c r="D2500">
        <v>1291</v>
      </c>
      <c r="E2500" t="str">
        <f>"05"</f>
        <v>05</v>
      </c>
      <c r="F2500" t="str">
        <f>"000"</f>
        <v>000</v>
      </c>
      <c r="G2500">
        <v>9</v>
      </c>
      <c r="H2500" t="str">
        <f>"00"</f>
        <v>00</v>
      </c>
      <c r="I2500" t="str">
        <f t="shared" si="430"/>
        <v>0</v>
      </c>
      <c r="J2500" t="str">
        <f>"00"</f>
        <v>00</v>
      </c>
      <c r="K2500">
        <v>20180914</v>
      </c>
      <c r="L2500" t="str">
        <f>"073792"</f>
        <v>073792</v>
      </c>
      <c r="M2500" t="str">
        <f>"46351"</f>
        <v>46351</v>
      </c>
      <c r="N2500" t="s">
        <v>1639</v>
      </c>
      <c r="O2500">
        <v>633.32000000000005</v>
      </c>
      <c r="P2500">
        <v>20180913</v>
      </c>
      <c r="Q2500" t="s">
        <v>1637</v>
      </c>
      <c r="R2500" t="s">
        <v>1640</v>
      </c>
      <c r="S2500" t="s">
        <v>1615</v>
      </c>
      <c r="T2500" t="s">
        <v>296</v>
      </c>
    </row>
    <row r="2501" spans="1:20" x14ac:dyDescent="0.25">
      <c r="A2501">
        <v>9</v>
      </c>
      <c r="B2501">
        <v>199</v>
      </c>
      <c r="C2501" t="str">
        <f>"00"</f>
        <v>00</v>
      </c>
      <c r="D2501">
        <v>1291</v>
      </c>
      <c r="E2501" t="str">
        <f>"05"</f>
        <v>05</v>
      </c>
      <c r="F2501" t="str">
        <f>"000"</f>
        <v>000</v>
      </c>
      <c r="G2501">
        <v>9</v>
      </c>
      <c r="H2501" t="str">
        <f>"00"</f>
        <v>00</v>
      </c>
      <c r="I2501" t="str">
        <f t="shared" si="430"/>
        <v>0</v>
      </c>
      <c r="J2501" t="str">
        <f>"00"</f>
        <v>00</v>
      </c>
      <c r="K2501">
        <v>20180914</v>
      </c>
      <c r="L2501" t="str">
        <f>"073792"</f>
        <v>073792</v>
      </c>
      <c r="M2501" t="str">
        <f>"46351"</f>
        <v>46351</v>
      </c>
      <c r="N2501" t="s">
        <v>1639</v>
      </c>
      <c r="O2501" s="1">
        <v>11074.01</v>
      </c>
      <c r="P2501">
        <v>20180913</v>
      </c>
      <c r="Q2501" t="s">
        <v>1637</v>
      </c>
      <c r="R2501" t="s">
        <v>1641</v>
      </c>
      <c r="S2501" t="s">
        <v>1615</v>
      </c>
      <c r="T2501" t="s">
        <v>296</v>
      </c>
    </row>
    <row r="2502" spans="1:20" x14ac:dyDescent="0.25">
      <c r="A2502">
        <v>9</v>
      </c>
      <c r="B2502">
        <v>199</v>
      </c>
      <c r="C2502" t="str">
        <f>"41"</f>
        <v>41</v>
      </c>
      <c r="D2502">
        <v>6269</v>
      </c>
      <c r="E2502" t="str">
        <f>"10"</f>
        <v>10</v>
      </c>
      <c r="F2502" t="str">
        <f>"933"</f>
        <v>933</v>
      </c>
      <c r="G2502">
        <v>9</v>
      </c>
      <c r="H2502" t="str">
        <f>"99"</f>
        <v>99</v>
      </c>
      <c r="I2502" t="str">
        <f t="shared" si="430"/>
        <v>0</v>
      </c>
      <c r="J2502" t="str">
        <f>"85"</f>
        <v>85</v>
      </c>
      <c r="K2502">
        <v>20180914</v>
      </c>
      <c r="L2502" t="str">
        <f>"073792"</f>
        <v>073792</v>
      </c>
      <c r="M2502" t="str">
        <f>"46351"</f>
        <v>46351</v>
      </c>
      <c r="N2502" t="s">
        <v>1639</v>
      </c>
      <c r="O2502" s="1">
        <v>4248.04</v>
      </c>
      <c r="P2502">
        <v>20180913</v>
      </c>
      <c r="Q2502" t="s">
        <v>1642</v>
      </c>
      <c r="R2502" t="s">
        <v>1641</v>
      </c>
      <c r="S2502" t="s">
        <v>1615</v>
      </c>
      <c r="T2502" t="s">
        <v>1643</v>
      </c>
    </row>
    <row r="2503" spans="1:20" x14ac:dyDescent="0.25">
      <c r="A2503">
        <v>9</v>
      </c>
      <c r="B2503">
        <v>199</v>
      </c>
      <c r="C2503" t="str">
        <f>"41"</f>
        <v>41</v>
      </c>
      <c r="D2503">
        <v>6419</v>
      </c>
      <c r="E2503" t="str">
        <f>"10"</f>
        <v>10</v>
      </c>
      <c r="F2503" t="str">
        <f>"702"</f>
        <v>702</v>
      </c>
      <c r="G2503">
        <v>9</v>
      </c>
      <c r="H2503" t="str">
        <f>"99"</f>
        <v>99</v>
      </c>
      <c r="I2503" t="str">
        <f t="shared" si="430"/>
        <v>0</v>
      </c>
      <c r="J2503" t="str">
        <f>"93"</f>
        <v>93</v>
      </c>
      <c r="K2503">
        <v>20180914</v>
      </c>
      <c r="L2503" t="str">
        <f>"073793"</f>
        <v>073793</v>
      </c>
      <c r="M2503" t="str">
        <f>"00552"</f>
        <v>00552</v>
      </c>
      <c r="N2503" t="s">
        <v>1644</v>
      </c>
      <c r="O2503">
        <v>669.63</v>
      </c>
      <c r="P2503">
        <v>20180913</v>
      </c>
      <c r="Q2503" t="s">
        <v>1645</v>
      </c>
      <c r="R2503" t="s">
        <v>1646</v>
      </c>
      <c r="S2503" t="s">
        <v>1615</v>
      </c>
      <c r="T2503" t="s">
        <v>1611</v>
      </c>
    </row>
    <row r="2504" spans="1:20" x14ac:dyDescent="0.25">
      <c r="A2504">
        <v>9</v>
      </c>
      <c r="B2504">
        <v>199</v>
      </c>
      <c r="C2504" t="str">
        <f>"41"</f>
        <v>41</v>
      </c>
      <c r="D2504">
        <v>6419</v>
      </c>
      <c r="E2504" t="str">
        <f>"10"</f>
        <v>10</v>
      </c>
      <c r="F2504" t="str">
        <f>"702"</f>
        <v>702</v>
      </c>
      <c r="G2504">
        <v>9</v>
      </c>
      <c r="H2504" t="str">
        <f>"99"</f>
        <v>99</v>
      </c>
      <c r="I2504" t="str">
        <f t="shared" si="430"/>
        <v>0</v>
      </c>
      <c r="J2504" t="str">
        <f>"93"</f>
        <v>93</v>
      </c>
      <c r="K2504">
        <v>20180914</v>
      </c>
      <c r="L2504" t="str">
        <f>"073794"</f>
        <v>073794</v>
      </c>
      <c r="M2504" t="str">
        <f>"00552"</f>
        <v>00552</v>
      </c>
      <c r="N2504" t="s">
        <v>1644</v>
      </c>
      <c r="O2504">
        <v>669.63</v>
      </c>
      <c r="P2504">
        <v>20180913</v>
      </c>
      <c r="Q2504" t="s">
        <v>1645</v>
      </c>
      <c r="R2504" t="s">
        <v>1646</v>
      </c>
      <c r="S2504" t="s">
        <v>1615</v>
      </c>
      <c r="T2504" t="s">
        <v>1611</v>
      </c>
    </row>
    <row r="2505" spans="1:20" x14ac:dyDescent="0.25">
      <c r="A2505">
        <v>9</v>
      </c>
      <c r="B2505">
        <v>199</v>
      </c>
      <c r="C2505" t="str">
        <f>"00"</f>
        <v>00</v>
      </c>
      <c r="D2505">
        <v>2110</v>
      </c>
      <c r="E2505" t="str">
        <f>"18"</f>
        <v>18</v>
      </c>
      <c r="F2505" t="str">
        <f>"000"</f>
        <v>000</v>
      </c>
      <c r="G2505">
        <v>9</v>
      </c>
      <c r="H2505" t="str">
        <f>"00"</f>
        <v>00</v>
      </c>
      <c r="I2505" t="str">
        <f t="shared" si="430"/>
        <v>0</v>
      </c>
      <c r="J2505" t="str">
        <f>"00"</f>
        <v>00</v>
      </c>
      <c r="K2505">
        <v>20180914</v>
      </c>
      <c r="L2505" t="str">
        <f>"073798"</f>
        <v>073798</v>
      </c>
      <c r="M2505" t="str">
        <f>"00522"</f>
        <v>00522</v>
      </c>
      <c r="N2505" t="s">
        <v>1647</v>
      </c>
      <c r="O2505" s="1">
        <v>2100</v>
      </c>
      <c r="P2505">
        <v>20180913</v>
      </c>
      <c r="Q2505" t="s">
        <v>1613</v>
      </c>
      <c r="R2505" t="s">
        <v>1648</v>
      </c>
      <c r="S2505" t="s">
        <v>1615</v>
      </c>
      <c r="T2505" t="s">
        <v>296</v>
      </c>
    </row>
    <row r="2506" spans="1:20" x14ac:dyDescent="0.25">
      <c r="A2506">
        <v>9</v>
      </c>
      <c r="B2506">
        <v>199</v>
      </c>
      <c r="C2506" t="str">
        <f>"36"</f>
        <v>36</v>
      </c>
      <c r="D2506">
        <v>6495</v>
      </c>
      <c r="E2506" t="str">
        <f>"7K"</f>
        <v>7K</v>
      </c>
      <c r="F2506" t="str">
        <f>"001"</f>
        <v>001</v>
      </c>
      <c r="G2506">
        <v>9</v>
      </c>
      <c r="H2506" t="str">
        <f>"99"</f>
        <v>99</v>
      </c>
      <c r="I2506" t="str">
        <f t="shared" si="430"/>
        <v>0</v>
      </c>
      <c r="J2506" t="str">
        <f>"01"</f>
        <v>01</v>
      </c>
      <c r="K2506">
        <v>20180914</v>
      </c>
      <c r="L2506" t="str">
        <f>"073799"</f>
        <v>073799</v>
      </c>
      <c r="M2506" t="str">
        <f>"54104"</f>
        <v>54104</v>
      </c>
      <c r="N2506" t="s">
        <v>1649</v>
      </c>
      <c r="O2506">
        <v>400</v>
      </c>
      <c r="P2506">
        <v>20180913</v>
      </c>
      <c r="Q2506" t="s">
        <v>1650</v>
      </c>
      <c r="R2506" t="s">
        <v>1651</v>
      </c>
      <c r="S2506" t="s">
        <v>1615</v>
      </c>
      <c r="T2506" t="s">
        <v>301</v>
      </c>
    </row>
    <row r="2507" spans="1:20" x14ac:dyDescent="0.25">
      <c r="A2507">
        <v>9</v>
      </c>
      <c r="B2507">
        <v>199</v>
      </c>
      <c r="C2507" t="str">
        <f>"00"</f>
        <v>00</v>
      </c>
      <c r="D2507">
        <v>2110</v>
      </c>
      <c r="E2507" t="str">
        <f>"18"</f>
        <v>18</v>
      </c>
      <c r="F2507" t="str">
        <f>"000"</f>
        <v>000</v>
      </c>
      <c r="G2507">
        <v>9</v>
      </c>
      <c r="H2507" t="str">
        <f>"00"</f>
        <v>00</v>
      </c>
      <c r="I2507" t="str">
        <f t="shared" si="430"/>
        <v>0</v>
      </c>
      <c r="J2507" t="str">
        <f>"00"</f>
        <v>00</v>
      </c>
      <c r="K2507">
        <v>20180914</v>
      </c>
      <c r="L2507" t="str">
        <f>"073803"</f>
        <v>073803</v>
      </c>
      <c r="M2507" t="str">
        <f>"72340"</f>
        <v>72340</v>
      </c>
      <c r="N2507" t="s">
        <v>1652</v>
      </c>
      <c r="O2507">
        <v>222.88</v>
      </c>
      <c r="P2507">
        <v>20180913</v>
      </c>
      <c r="Q2507" t="s">
        <v>1613</v>
      </c>
      <c r="R2507" t="s">
        <v>1653</v>
      </c>
      <c r="S2507" t="s">
        <v>1615</v>
      </c>
      <c r="T2507" t="s">
        <v>296</v>
      </c>
    </row>
    <row r="2508" spans="1:20" x14ac:dyDescent="0.25">
      <c r="A2508">
        <v>9</v>
      </c>
      <c r="B2508">
        <v>199</v>
      </c>
      <c r="C2508" t="str">
        <f>"36"</f>
        <v>36</v>
      </c>
      <c r="D2508">
        <v>6412</v>
      </c>
      <c r="E2508" t="str">
        <f>"7E"</f>
        <v>7E</v>
      </c>
      <c r="F2508" t="str">
        <f>"001"</f>
        <v>001</v>
      </c>
      <c r="G2508">
        <v>9</v>
      </c>
      <c r="H2508" t="str">
        <f>"99"</f>
        <v>99</v>
      </c>
      <c r="I2508" t="str">
        <f t="shared" si="430"/>
        <v>0</v>
      </c>
      <c r="J2508" t="str">
        <f>"31"</f>
        <v>31</v>
      </c>
      <c r="K2508">
        <v>20180914</v>
      </c>
      <c r="L2508" t="str">
        <f>"073809"</f>
        <v>073809</v>
      </c>
      <c r="M2508" t="str">
        <f>"78730"</f>
        <v>78730</v>
      </c>
      <c r="N2508" t="s">
        <v>1654</v>
      </c>
      <c r="O2508">
        <v>267</v>
      </c>
      <c r="P2508">
        <v>20180913</v>
      </c>
      <c r="Q2508" t="s">
        <v>1655</v>
      </c>
      <c r="R2508" t="s">
        <v>1656</v>
      </c>
      <c r="S2508" t="s">
        <v>1615</v>
      </c>
      <c r="T2508" t="s">
        <v>301</v>
      </c>
    </row>
    <row r="2509" spans="1:20" x14ac:dyDescent="0.25">
      <c r="A2509">
        <v>9</v>
      </c>
      <c r="B2509">
        <v>199</v>
      </c>
      <c r="C2509" t="str">
        <f>"36"</f>
        <v>36</v>
      </c>
      <c r="D2509">
        <v>6412</v>
      </c>
      <c r="E2509" t="str">
        <f>"7B"</f>
        <v>7B</v>
      </c>
      <c r="F2509" t="str">
        <f>"001"</f>
        <v>001</v>
      </c>
      <c r="G2509">
        <v>9</v>
      </c>
      <c r="H2509" t="str">
        <f>"99"</f>
        <v>99</v>
      </c>
      <c r="I2509" t="str">
        <f t="shared" si="430"/>
        <v>0</v>
      </c>
      <c r="J2509" t="str">
        <f>"32"</f>
        <v>32</v>
      </c>
      <c r="K2509">
        <v>20180914</v>
      </c>
      <c r="L2509" t="str">
        <f>"073810"</f>
        <v>073810</v>
      </c>
      <c r="M2509" t="str">
        <f>"78729"</f>
        <v>78729</v>
      </c>
      <c r="N2509" t="s">
        <v>1657</v>
      </c>
      <c r="O2509">
        <v>40</v>
      </c>
      <c r="P2509">
        <v>20180913</v>
      </c>
      <c r="Q2509" t="s">
        <v>1658</v>
      </c>
      <c r="R2509" t="s">
        <v>1659</v>
      </c>
      <c r="S2509" t="s">
        <v>1615</v>
      </c>
      <c r="T2509" t="s">
        <v>301</v>
      </c>
    </row>
    <row r="2510" spans="1:20" x14ac:dyDescent="0.25">
      <c r="A2510">
        <v>9</v>
      </c>
      <c r="B2510">
        <v>199</v>
      </c>
      <c r="C2510" t="str">
        <f>"00"</f>
        <v>00</v>
      </c>
      <c r="D2510">
        <v>2110</v>
      </c>
      <c r="E2510" t="str">
        <f>"18"</f>
        <v>18</v>
      </c>
      <c r="F2510" t="str">
        <f>"000"</f>
        <v>000</v>
      </c>
      <c r="G2510">
        <v>9</v>
      </c>
      <c r="H2510" t="str">
        <f>"00"</f>
        <v>00</v>
      </c>
      <c r="I2510" t="str">
        <f t="shared" si="430"/>
        <v>0</v>
      </c>
      <c r="J2510" t="str">
        <f>"00"</f>
        <v>00</v>
      </c>
      <c r="K2510">
        <v>20180914</v>
      </c>
      <c r="L2510" t="str">
        <f>"073811"</f>
        <v>073811</v>
      </c>
      <c r="M2510" t="str">
        <f>"80611"</f>
        <v>80611</v>
      </c>
      <c r="N2510" t="s">
        <v>1660</v>
      </c>
      <c r="O2510" s="1">
        <v>2274.58</v>
      </c>
      <c r="P2510">
        <v>20180913</v>
      </c>
      <c r="Q2510" t="s">
        <v>1613</v>
      </c>
      <c r="R2510" t="s">
        <v>1648</v>
      </c>
      <c r="S2510" t="s">
        <v>1615</v>
      </c>
      <c r="T2510" t="s">
        <v>296</v>
      </c>
    </row>
    <row r="2511" spans="1:20" x14ac:dyDescent="0.25">
      <c r="A2511">
        <v>9</v>
      </c>
      <c r="B2511">
        <v>199</v>
      </c>
      <c r="C2511" t="str">
        <f>"36"</f>
        <v>36</v>
      </c>
      <c r="D2511">
        <v>6495</v>
      </c>
      <c r="E2511" t="str">
        <f>"09"</f>
        <v>09</v>
      </c>
      <c r="F2511" t="str">
        <f>"001"</f>
        <v>001</v>
      </c>
      <c r="G2511">
        <v>9</v>
      </c>
      <c r="H2511" t="str">
        <f>"91"</f>
        <v>91</v>
      </c>
      <c r="I2511" t="str">
        <f t="shared" si="430"/>
        <v>0</v>
      </c>
      <c r="J2511" t="str">
        <f>"91"</f>
        <v>91</v>
      </c>
      <c r="K2511">
        <v>20180914</v>
      </c>
      <c r="L2511" t="str">
        <f>"073812"</f>
        <v>073812</v>
      </c>
      <c r="M2511" t="str">
        <f>"82176"</f>
        <v>82176</v>
      </c>
      <c r="N2511" t="s">
        <v>1286</v>
      </c>
      <c r="O2511" s="1">
        <v>1950</v>
      </c>
      <c r="P2511">
        <v>20180913</v>
      </c>
      <c r="Q2511" t="s">
        <v>1661</v>
      </c>
      <c r="R2511" t="s">
        <v>1662</v>
      </c>
      <c r="S2511" t="s">
        <v>1615</v>
      </c>
      <c r="T2511" t="s">
        <v>301</v>
      </c>
    </row>
    <row r="2512" spans="1:20" x14ac:dyDescent="0.25">
      <c r="A2512">
        <v>9</v>
      </c>
      <c r="B2512">
        <v>199</v>
      </c>
      <c r="C2512" t="str">
        <f>"11"</f>
        <v>11</v>
      </c>
      <c r="D2512">
        <v>6396</v>
      </c>
      <c r="E2512" t="str">
        <f>"10"</f>
        <v>10</v>
      </c>
      <c r="F2512" t="str">
        <f>"001"</f>
        <v>001</v>
      </c>
      <c r="G2512">
        <v>9</v>
      </c>
      <c r="H2512" t="str">
        <f>"11"</f>
        <v>11</v>
      </c>
      <c r="I2512" t="str">
        <f t="shared" si="430"/>
        <v>0</v>
      </c>
      <c r="J2512" t="str">
        <f>"80"</f>
        <v>80</v>
      </c>
      <c r="K2512">
        <v>20180914</v>
      </c>
      <c r="L2512" t="str">
        <f>"073813"</f>
        <v>073813</v>
      </c>
      <c r="M2512" t="str">
        <f>"83305"</f>
        <v>83305</v>
      </c>
      <c r="N2512" t="s">
        <v>1663</v>
      </c>
      <c r="O2512">
        <v>240</v>
      </c>
      <c r="P2512">
        <v>20180913</v>
      </c>
      <c r="Q2512" t="s">
        <v>1664</v>
      </c>
      <c r="R2512" t="s">
        <v>1665</v>
      </c>
      <c r="S2512" t="s">
        <v>1615</v>
      </c>
      <c r="T2512" t="s">
        <v>301</v>
      </c>
    </row>
    <row r="2513" spans="1:20" x14ac:dyDescent="0.25">
      <c r="A2513">
        <v>9</v>
      </c>
      <c r="B2513">
        <v>199</v>
      </c>
      <c r="C2513" t="str">
        <f>"11"</f>
        <v>11</v>
      </c>
      <c r="D2513">
        <v>6396</v>
      </c>
      <c r="E2513" t="str">
        <f>"10"</f>
        <v>10</v>
      </c>
      <c r="F2513" t="str">
        <f>"041"</f>
        <v>041</v>
      </c>
      <c r="G2513">
        <v>9</v>
      </c>
      <c r="H2513" t="str">
        <f>"11"</f>
        <v>11</v>
      </c>
      <c r="I2513" t="str">
        <f t="shared" si="430"/>
        <v>0</v>
      </c>
      <c r="J2513" t="str">
        <f>"80"</f>
        <v>80</v>
      </c>
      <c r="K2513">
        <v>20180914</v>
      </c>
      <c r="L2513" t="str">
        <f>"073813"</f>
        <v>073813</v>
      </c>
      <c r="M2513" t="str">
        <f>"83305"</f>
        <v>83305</v>
      </c>
      <c r="N2513" t="s">
        <v>1663</v>
      </c>
      <c r="O2513">
        <v>240</v>
      </c>
      <c r="P2513">
        <v>20180913</v>
      </c>
      <c r="Q2513" t="s">
        <v>1666</v>
      </c>
      <c r="R2513" t="s">
        <v>1665</v>
      </c>
      <c r="S2513" t="s">
        <v>1615</v>
      </c>
      <c r="T2513" t="s">
        <v>106</v>
      </c>
    </row>
    <row r="2514" spans="1:20" x14ac:dyDescent="0.25">
      <c r="A2514">
        <v>9</v>
      </c>
      <c r="B2514">
        <v>199</v>
      </c>
      <c r="C2514" t="str">
        <f>"11"</f>
        <v>11</v>
      </c>
      <c r="D2514">
        <v>6396</v>
      </c>
      <c r="E2514" t="str">
        <f>"10"</f>
        <v>10</v>
      </c>
      <c r="F2514" t="str">
        <f>"101"</f>
        <v>101</v>
      </c>
      <c r="G2514">
        <v>9</v>
      </c>
      <c r="H2514" t="str">
        <f>"11"</f>
        <v>11</v>
      </c>
      <c r="I2514" t="str">
        <f t="shared" si="430"/>
        <v>0</v>
      </c>
      <c r="J2514" t="str">
        <f>"80"</f>
        <v>80</v>
      </c>
      <c r="K2514">
        <v>20180914</v>
      </c>
      <c r="L2514" t="str">
        <f>"073813"</f>
        <v>073813</v>
      </c>
      <c r="M2514" t="str">
        <f>"83305"</f>
        <v>83305</v>
      </c>
      <c r="N2514" t="s">
        <v>1663</v>
      </c>
      <c r="O2514">
        <v>240</v>
      </c>
      <c r="P2514">
        <v>20180913</v>
      </c>
      <c r="Q2514" t="s">
        <v>1667</v>
      </c>
      <c r="R2514" t="s">
        <v>1665</v>
      </c>
      <c r="S2514" t="s">
        <v>1615</v>
      </c>
      <c r="T2514" t="s">
        <v>1479</v>
      </c>
    </row>
    <row r="2515" spans="1:20" x14ac:dyDescent="0.25">
      <c r="A2515">
        <v>9</v>
      </c>
      <c r="B2515">
        <v>199</v>
      </c>
      <c r="C2515" t="str">
        <f>"11"</f>
        <v>11</v>
      </c>
      <c r="D2515">
        <v>6396</v>
      </c>
      <c r="E2515" t="str">
        <f>"10"</f>
        <v>10</v>
      </c>
      <c r="F2515" t="str">
        <f>"104"</f>
        <v>104</v>
      </c>
      <c r="G2515">
        <v>9</v>
      </c>
      <c r="H2515" t="str">
        <f>"11"</f>
        <v>11</v>
      </c>
      <c r="I2515" t="str">
        <f t="shared" si="430"/>
        <v>0</v>
      </c>
      <c r="J2515" t="str">
        <f>"80"</f>
        <v>80</v>
      </c>
      <c r="K2515">
        <v>20180914</v>
      </c>
      <c r="L2515" t="str">
        <f>"073813"</f>
        <v>073813</v>
      </c>
      <c r="M2515" t="str">
        <f>"83305"</f>
        <v>83305</v>
      </c>
      <c r="N2515" t="s">
        <v>1663</v>
      </c>
      <c r="O2515">
        <v>240</v>
      </c>
      <c r="P2515">
        <v>20180913</v>
      </c>
      <c r="Q2515" t="s">
        <v>1668</v>
      </c>
      <c r="R2515" t="s">
        <v>1665</v>
      </c>
      <c r="S2515" t="s">
        <v>1615</v>
      </c>
      <c r="T2515" t="s">
        <v>46</v>
      </c>
    </row>
    <row r="2516" spans="1:20" x14ac:dyDescent="0.25">
      <c r="A2516">
        <v>9</v>
      </c>
      <c r="B2516">
        <v>199</v>
      </c>
      <c r="C2516" t="str">
        <f>"00"</f>
        <v>00</v>
      </c>
      <c r="D2516">
        <v>2110</v>
      </c>
      <c r="E2516" t="str">
        <f>"18"</f>
        <v>18</v>
      </c>
      <c r="F2516" t="str">
        <f>"000"</f>
        <v>000</v>
      </c>
      <c r="G2516">
        <v>9</v>
      </c>
      <c r="H2516" t="str">
        <f>"00"</f>
        <v>00</v>
      </c>
      <c r="I2516" t="str">
        <f t="shared" si="430"/>
        <v>0</v>
      </c>
      <c r="J2516" t="str">
        <f>"00"</f>
        <v>00</v>
      </c>
      <c r="K2516">
        <v>20180914</v>
      </c>
      <c r="L2516" t="str">
        <f>"073814"</f>
        <v>073814</v>
      </c>
      <c r="M2516" t="str">
        <f>"00242"</f>
        <v>00242</v>
      </c>
      <c r="N2516" t="s">
        <v>1669</v>
      </c>
      <c r="O2516">
        <v>300</v>
      </c>
      <c r="P2516">
        <v>20180913</v>
      </c>
      <c r="Q2516" t="s">
        <v>1613</v>
      </c>
      <c r="R2516" t="s">
        <v>1670</v>
      </c>
      <c r="S2516" t="s">
        <v>1615</v>
      </c>
      <c r="T2516" t="s">
        <v>296</v>
      </c>
    </row>
    <row r="2517" spans="1:20" x14ac:dyDescent="0.25">
      <c r="A2517">
        <v>9</v>
      </c>
      <c r="B2517">
        <v>199</v>
      </c>
      <c r="C2517" t="str">
        <f>"36"</f>
        <v>36</v>
      </c>
      <c r="D2517">
        <v>6411</v>
      </c>
      <c r="E2517" t="str">
        <f>"8S"</f>
        <v>8S</v>
      </c>
      <c r="F2517" t="str">
        <f>"001"</f>
        <v>001</v>
      </c>
      <c r="G2517">
        <v>9</v>
      </c>
      <c r="H2517" t="str">
        <f>"99"</f>
        <v>99</v>
      </c>
      <c r="I2517" t="str">
        <f>"1"</f>
        <v>1</v>
      </c>
      <c r="J2517" t="str">
        <f>"01"</f>
        <v>01</v>
      </c>
      <c r="K2517">
        <v>20180914</v>
      </c>
      <c r="L2517" t="str">
        <f>"073815"</f>
        <v>073815</v>
      </c>
      <c r="M2517" t="str">
        <f>"46348"</f>
        <v>46348</v>
      </c>
      <c r="N2517" t="s">
        <v>1631</v>
      </c>
      <c r="O2517">
        <v>25</v>
      </c>
      <c r="P2517">
        <v>20180913</v>
      </c>
      <c r="Q2517" t="s">
        <v>1632</v>
      </c>
      <c r="R2517" t="s">
        <v>1626</v>
      </c>
      <c r="S2517" t="s">
        <v>1615</v>
      </c>
      <c r="T2517" t="s">
        <v>301</v>
      </c>
    </row>
    <row r="2518" spans="1:20" x14ac:dyDescent="0.25">
      <c r="A2518">
        <v>9</v>
      </c>
      <c r="B2518">
        <v>199</v>
      </c>
      <c r="C2518" t="str">
        <f>"36"</f>
        <v>36</v>
      </c>
      <c r="D2518">
        <v>6412</v>
      </c>
      <c r="E2518" t="str">
        <f>"8S"</f>
        <v>8S</v>
      </c>
      <c r="F2518" t="str">
        <f>"001"</f>
        <v>001</v>
      </c>
      <c r="G2518">
        <v>9</v>
      </c>
      <c r="H2518" t="str">
        <f>"99"</f>
        <v>99</v>
      </c>
      <c r="I2518" t="str">
        <f>"1"</f>
        <v>1</v>
      </c>
      <c r="J2518" t="str">
        <f>"01"</f>
        <v>01</v>
      </c>
      <c r="K2518">
        <v>20180914</v>
      </c>
      <c r="L2518" t="str">
        <f>"073815"</f>
        <v>073815</v>
      </c>
      <c r="M2518" t="str">
        <f>"46348"</f>
        <v>46348</v>
      </c>
      <c r="N2518" t="s">
        <v>1631</v>
      </c>
      <c r="O2518">
        <v>525</v>
      </c>
      <c r="P2518">
        <v>20180913</v>
      </c>
      <c r="Q2518" t="s">
        <v>1634</v>
      </c>
      <c r="R2518" t="s">
        <v>1626</v>
      </c>
      <c r="S2518" t="s">
        <v>1615</v>
      </c>
      <c r="T2518" t="s">
        <v>301</v>
      </c>
    </row>
    <row r="2519" spans="1:20" x14ac:dyDescent="0.25">
      <c r="A2519">
        <v>9</v>
      </c>
      <c r="B2519">
        <v>199</v>
      </c>
      <c r="C2519" t="str">
        <f>"11"</f>
        <v>11</v>
      </c>
      <c r="D2519">
        <v>6399</v>
      </c>
      <c r="E2519" t="str">
        <f>"7K"</f>
        <v>7K</v>
      </c>
      <c r="F2519" t="str">
        <f>"001"</f>
        <v>001</v>
      </c>
      <c r="G2519">
        <v>9</v>
      </c>
      <c r="H2519" t="str">
        <f>"11"</f>
        <v>11</v>
      </c>
      <c r="I2519" t="str">
        <f t="shared" ref="I2519:I2532" si="431">"0"</f>
        <v>0</v>
      </c>
      <c r="J2519" t="str">
        <f>"01"</f>
        <v>01</v>
      </c>
      <c r="K2519">
        <v>20180914</v>
      </c>
      <c r="L2519" t="str">
        <f>"073816"</f>
        <v>073816</v>
      </c>
      <c r="M2519" t="str">
        <f>"54104"</f>
        <v>54104</v>
      </c>
      <c r="N2519" t="s">
        <v>1649</v>
      </c>
      <c r="O2519">
        <v>375</v>
      </c>
      <c r="P2519">
        <v>20180913</v>
      </c>
      <c r="Q2519" t="s">
        <v>1671</v>
      </c>
      <c r="R2519" t="s">
        <v>1651</v>
      </c>
      <c r="S2519" t="s">
        <v>1615</v>
      </c>
      <c r="T2519" t="s">
        <v>301</v>
      </c>
    </row>
    <row r="2520" spans="1:20" x14ac:dyDescent="0.25">
      <c r="A2520">
        <v>9</v>
      </c>
      <c r="B2520">
        <v>199</v>
      </c>
      <c r="C2520" t="str">
        <f>"36"</f>
        <v>36</v>
      </c>
      <c r="D2520">
        <v>6495</v>
      </c>
      <c r="E2520" t="str">
        <f>"7K"</f>
        <v>7K</v>
      </c>
      <c r="F2520" t="str">
        <f>"001"</f>
        <v>001</v>
      </c>
      <c r="G2520">
        <v>9</v>
      </c>
      <c r="H2520" t="str">
        <f>"99"</f>
        <v>99</v>
      </c>
      <c r="I2520" t="str">
        <f t="shared" si="431"/>
        <v>0</v>
      </c>
      <c r="J2520" t="str">
        <f>"01"</f>
        <v>01</v>
      </c>
      <c r="K2520">
        <v>20180914</v>
      </c>
      <c r="L2520" t="str">
        <f>"073816"</f>
        <v>073816</v>
      </c>
      <c r="M2520" t="str">
        <f>"54104"</f>
        <v>54104</v>
      </c>
      <c r="N2520" t="s">
        <v>1649</v>
      </c>
      <c r="O2520" s="1">
        <v>2450</v>
      </c>
      <c r="P2520">
        <v>20180913</v>
      </c>
      <c r="Q2520" t="s">
        <v>1650</v>
      </c>
      <c r="R2520" t="s">
        <v>1651</v>
      </c>
      <c r="S2520" t="s">
        <v>1615</v>
      </c>
      <c r="T2520" t="s">
        <v>301</v>
      </c>
    </row>
    <row r="2521" spans="1:20" x14ac:dyDescent="0.25">
      <c r="A2521">
        <v>9</v>
      </c>
      <c r="B2521">
        <v>199</v>
      </c>
      <c r="C2521" t="str">
        <f>"00"</f>
        <v>00</v>
      </c>
      <c r="D2521">
        <v>2110</v>
      </c>
      <c r="E2521" t="str">
        <f>"18"</f>
        <v>18</v>
      </c>
      <c r="F2521" t="str">
        <f>"000"</f>
        <v>000</v>
      </c>
      <c r="G2521">
        <v>9</v>
      </c>
      <c r="H2521" t="str">
        <f>"00"</f>
        <v>00</v>
      </c>
      <c r="I2521" t="str">
        <f t="shared" si="431"/>
        <v>0</v>
      </c>
      <c r="J2521" t="str">
        <f>"00"</f>
        <v>00</v>
      </c>
      <c r="K2521">
        <v>20180921</v>
      </c>
      <c r="L2521" t="str">
        <f>"073818"</f>
        <v>073818</v>
      </c>
      <c r="M2521" t="str">
        <f>"01530"</f>
        <v>01530</v>
      </c>
      <c r="N2521" t="s">
        <v>1672</v>
      </c>
      <c r="O2521">
        <v>253</v>
      </c>
      <c r="P2521">
        <v>20180921</v>
      </c>
      <c r="Q2521" t="s">
        <v>1613</v>
      </c>
      <c r="R2521" t="s">
        <v>1648</v>
      </c>
      <c r="S2521" t="s">
        <v>1615</v>
      </c>
      <c r="T2521" t="s">
        <v>296</v>
      </c>
    </row>
    <row r="2522" spans="1:20" x14ac:dyDescent="0.25">
      <c r="A2522">
        <v>9</v>
      </c>
      <c r="B2522">
        <v>199</v>
      </c>
      <c r="C2522" t="str">
        <f>"00"</f>
        <v>00</v>
      </c>
      <c r="D2522">
        <v>2110</v>
      </c>
      <c r="E2522" t="str">
        <f>"18"</f>
        <v>18</v>
      </c>
      <c r="F2522" t="str">
        <f>"000"</f>
        <v>000</v>
      </c>
      <c r="G2522">
        <v>9</v>
      </c>
      <c r="H2522" t="str">
        <f>"00"</f>
        <v>00</v>
      </c>
      <c r="I2522" t="str">
        <f t="shared" si="431"/>
        <v>0</v>
      </c>
      <c r="J2522" t="str">
        <f>"00"</f>
        <v>00</v>
      </c>
      <c r="K2522">
        <v>20180921</v>
      </c>
      <c r="L2522" t="str">
        <f>"073820"</f>
        <v>073820</v>
      </c>
      <c r="M2522" t="str">
        <f>"02230"</f>
        <v>02230</v>
      </c>
      <c r="N2522" t="s">
        <v>1673</v>
      </c>
      <c r="O2522">
        <v>85.27</v>
      </c>
      <c r="P2522">
        <v>20180920</v>
      </c>
      <c r="Q2522" t="s">
        <v>1613</v>
      </c>
      <c r="R2522" t="s">
        <v>1648</v>
      </c>
      <c r="S2522" t="s">
        <v>1615</v>
      </c>
      <c r="T2522" t="s">
        <v>296</v>
      </c>
    </row>
    <row r="2523" spans="1:20" x14ac:dyDescent="0.25">
      <c r="A2523">
        <v>9</v>
      </c>
      <c r="B2523">
        <v>199</v>
      </c>
      <c r="C2523" t="str">
        <f>"11"</f>
        <v>11</v>
      </c>
      <c r="D2523">
        <v>6399</v>
      </c>
      <c r="E2523" t="str">
        <f>"10"</f>
        <v>10</v>
      </c>
      <c r="F2523" t="str">
        <f>"001"</f>
        <v>001</v>
      </c>
      <c r="G2523">
        <v>9</v>
      </c>
      <c r="H2523" t="str">
        <f>"11"</f>
        <v>11</v>
      </c>
      <c r="I2523" t="str">
        <f t="shared" si="431"/>
        <v>0</v>
      </c>
      <c r="J2523" t="str">
        <f>"01"</f>
        <v>01</v>
      </c>
      <c r="K2523">
        <v>20180921</v>
      </c>
      <c r="L2523" t="str">
        <f>"073821"</f>
        <v>073821</v>
      </c>
      <c r="M2523" t="str">
        <f>"06490"</f>
        <v>06490</v>
      </c>
      <c r="N2523" t="s">
        <v>1674</v>
      </c>
      <c r="O2523" s="1">
        <v>1027.05</v>
      </c>
      <c r="P2523">
        <v>20180920</v>
      </c>
      <c r="Q2523" t="s">
        <v>1675</v>
      </c>
      <c r="R2523" t="s">
        <v>1676</v>
      </c>
      <c r="S2523" t="s">
        <v>1615</v>
      </c>
      <c r="T2523" t="s">
        <v>301</v>
      </c>
    </row>
    <row r="2524" spans="1:20" x14ac:dyDescent="0.25">
      <c r="A2524">
        <v>9</v>
      </c>
      <c r="B2524">
        <v>199</v>
      </c>
      <c r="C2524" t="str">
        <f>"11"</f>
        <v>11</v>
      </c>
      <c r="D2524">
        <v>6399</v>
      </c>
      <c r="E2524" t="str">
        <f>"AP"</f>
        <v>AP</v>
      </c>
      <c r="F2524" t="str">
        <f>"001"</f>
        <v>001</v>
      </c>
      <c r="G2524">
        <v>9</v>
      </c>
      <c r="H2524" t="str">
        <f>"31"</f>
        <v>31</v>
      </c>
      <c r="I2524" t="str">
        <f t="shared" si="431"/>
        <v>0</v>
      </c>
      <c r="J2524" t="str">
        <f>"34"</f>
        <v>34</v>
      </c>
      <c r="K2524">
        <v>20180921</v>
      </c>
      <c r="L2524" t="str">
        <f>"073821"</f>
        <v>073821</v>
      </c>
      <c r="M2524" t="str">
        <f>"06490"</f>
        <v>06490</v>
      </c>
      <c r="N2524" t="s">
        <v>1674</v>
      </c>
      <c r="O2524" s="1">
        <v>1027.06</v>
      </c>
      <c r="P2524">
        <v>20180920</v>
      </c>
      <c r="Q2524" t="s">
        <v>1677</v>
      </c>
      <c r="R2524" t="s">
        <v>1676</v>
      </c>
      <c r="S2524" t="s">
        <v>1615</v>
      </c>
      <c r="T2524" t="s">
        <v>301</v>
      </c>
    </row>
    <row r="2525" spans="1:20" x14ac:dyDescent="0.25">
      <c r="A2525">
        <v>9</v>
      </c>
      <c r="B2525">
        <v>199</v>
      </c>
      <c r="C2525" t="str">
        <f>"00"</f>
        <v>00</v>
      </c>
      <c r="D2525">
        <v>2110</v>
      </c>
      <c r="E2525" t="str">
        <f>"18"</f>
        <v>18</v>
      </c>
      <c r="F2525" t="str">
        <f>"000"</f>
        <v>000</v>
      </c>
      <c r="G2525">
        <v>9</v>
      </c>
      <c r="H2525" t="str">
        <f>"00"</f>
        <v>00</v>
      </c>
      <c r="I2525" t="str">
        <f t="shared" si="431"/>
        <v>0</v>
      </c>
      <c r="J2525" t="str">
        <f>"00"</f>
        <v>00</v>
      </c>
      <c r="K2525">
        <v>20180921</v>
      </c>
      <c r="L2525" t="str">
        <f>"073822"</f>
        <v>073822</v>
      </c>
      <c r="M2525" t="str">
        <f>"07685"</f>
        <v>07685</v>
      </c>
      <c r="N2525" t="s">
        <v>1678</v>
      </c>
      <c r="O2525">
        <v>600</v>
      </c>
      <c r="P2525">
        <v>20180920</v>
      </c>
      <c r="Q2525" t="s">
        <v>1613</v>
      </c>
      <c r="R2525" t="s">
        <v>1679</v>
      </c>
      <c r="S2525" t="s">
        <v>1615</v>
      </c>
      <c r="T2525" t="s">
        <v>296</v>
      </c>
    </row>
    <row r="2526" spans="1:20" x14ac:dyDescent="0.25">
      <c r="A2526">
        <v>9</v>
      </c>
      <c r="B2526">
        <v>199</v>
      </c>
      <c r="C2526" t="str">
        <f>"36"</f>
        <v>36</v>
      </c>
      <c r="D2526">
        <v>6412</v>
      </c>
      <c r="E2526" t="str">
        <f>"8M"</f>
        <v>8M</v>
      </c>
      <c r="F2526" t="str">
        <f>"001"</f>
        <v>001</v>
      </c>
      <c r="G2526">
        <v>9</v>
      </c>
      <c r="H2526" t="str">
        <f>"99"</f>
        <v>99</v>
      </c>
      <c r="I2526" t="str">
        <f t="shared" si="431"/>
        <v>0</v>
      </c>
      <c r="J2526" t="str">
        <f>"33"</f>
        <v>33</v>
      </c>
      <c r="K2526">
        <v>20180921</v>
      </c>
      <c r="L2526" t="str">
        <f>"073823"</f>
        <v>073823</v>
      </c>
      <c r="M2526" t="str">
        <f>"06763"</f>
        <v>06763</v>
      </c>
      <c r="N2526" t="s">
        <v>1680</v>
      </c>
      <c r="O2526">
        <v>105</v>
      </c>
      <c r="P2526">
        <v>20180920</v>
      </c>
      <c r="Q2526" t="s">
        <v>1617</v>
      </c>
      <c r="R2526" t="s">
        <v>1681</v>
      </c>
      <c r="S2526" t="s">
        <v>1615</v>
      </c>
      <c r="T2526" t="s">
        <v>301</v>
      </c>
    </row>
    <row r="2527" spans="1:20" x14ac:dyDescent="0.25">
      <c r="A2527">
        <v>9</v>
      </c>
      <c r="B2527">
        <v>199</v>
      </c>
      <c r="C2527" t="str">
        <f>"00"</f>
        <v>00</v>
      </c>
      <c r="D2527">
        <v>2110</v>
      </c>
      <c r="E2527" t="str">
        <f>"18"</f>
        <v>18</v>
      </c>
      <c r="F2527" t="str">
        <f>"000"</f>
        <v>000</v>
      </c>
      <c r="G2527">
        <v>9</v>
      </c>
      <c r="H2527" t="str">
        <f>"00"</f>
        <v>00</v>
      </c>
      <c r="I2527" t="str">
        <f t="shared" si="431"/>
        <v>0</v>
      </c>
      <c r="J2527" t="str">
        <f>"00"</f>
        <v>00</v>
      </c>
      <c r="K2527">
        <v>20180921</v>
      </c>
      <c r="L2527" t="str">
        <f>"073826"</f>
        <v>073826</v>
      </c>
      <c r="M2527" t="str">
        <f>"00453"</f>
        <v>00453</v>
      </c>
      <c r="N2527" t="s">
        <v>1682</v>
      </c>
      <c r="O2527">
        <v>105</v>
      </c>
      <c r="P2527">
        <v>20180920</v>
      </c>
      <c r="Q2527" t="s">
        <v>1613</v>
      </c>
      <c r="R2527" t="s">
        <v>1683</v>
      </c>
      <c r="S2527" t="s">
        <v>1615</v>
      </c>
      <c r="T2527" t="s">
        <v>296</v>
      </c>
    </row>
    <row r="2528" spans="1:20" x14ac:dyDescent="0.25">
      <c r="A2528">
        <v>9</v>
      </c>
      <c r="B2528">
        <v>199</v>
      </c>
      <c r="C2528" t="str">
        <f>"41"</f>
        <v>41</v>
      </c>
      <c r="D2528">
        <v>6211</v>
      </c>
      <c r="E2528" t="str">
        <f>"01"</f>
        <v>01</v>
      </c>
      <c r="F2528" t="str">
        <f>"702"</f>
        <v>702</v>
      </c>
      <c r="G2528">
        <v>9</v>
      </c>
      <c r="H2528" t="str">
        <f>"99"</f>
        <v>99</v>
      </c>
      <c r="I2528" t="str">
        <f t="shared" si="431"/>
        <v>0</v>
      </c>
      <c r="J2528" t="str">
        <f>"93"</f>
        <v>93</v>
      </c>
      <c r="K2528">
        <v>20180921</v>
      </c>
      <c r="L2528" t="str">
        <f>"073828"</f>
        <v>073828</v>
      </c>
      <c r="M2528" t="str">
        <f>"13281"</f>
        <v>13281</v>
      </c>
      <c r="N2528" t="s">
        <v>1684</v>
      </c>
      <c r="O2528" s="1">
        <v>3208.33</v>
      </c>
      <c r="P2528">
        <v>20180920</v>
      </c>
      <c r="Q2528" t="s">
        <v>1685</v>
      </c>
      <c r="R2528" t="s">
        <v>1686</v>
      </c>
      <c r="S2528" t="s">
        <v>1615</v>
      </c>
      <c r="T2528" t="s">
        <v>1611</v>
      </c>
    </row>
    <row r="2529" spans="1:20" x14ac:dyDescent="0.25">
      <c r="A2529">
        <v>9</v>
      </c>
      <c r="B2529">
        <v>199</v>
      </c>
      <c r="C2529" t="str">
        <f>"00"</f>
        <v>00</v>
      </c>
      <c r="D2529">
        <v>2110</v>
      </c>
      <c r="E2529" t="str">
        <f>"18"</f>
        <v>18</v>
      </c>
      <c r="F2529" t="str">
        <f>"000"</f>
        <v>000</v>
      </c>
      <c r="G2529">
        <v>9</v>
      </c>
      <c r="H2529" t="str">
        <f>"00"</f>
        <v>00</v>
      </c>
      <c r="I2529" t="str">
        <f t="shared" si="431"/>
        <v>0</v>
      </c>
      <c r="J2529" t="str">
        <f>"00"</f>
        <v>00</v>
      </c>
      <c r="K2529">
        <v>20180921</v>
      </c>
      <c r="L2529" t="str">
        <f>"073831"</f>
        <v>073831</v>
      </c>
      <c r="M2529" t="str">
        <f>"19094"</f>
        <v>19094</v>
      </c>
      <c r="N2529" t="s">
        <v>1687</v>
      </c>
      <c r="O2529">
        <v>24.84</v>
      </c>
      <c r="P2529">
        <v>20180921</v>
      </c>
      <c r="Q2529" t="s">
        <v>1613</v>
      </c>
      <c r="R2529" t="s">
        <v>1688</v>
      </c>
      <c r="S2529" t="s">
        <v>1615</v>
      </c>
      <c r="T2529" t="s">
        <v>296</v>
      </c>
    </row>
    <row r="2530" spans="1:20" x14ac:dyDescent="0.25">
      <c r="A2530">
        <v>9</v>
      </c>
      <c r="B2530">
        <v>199</v>
      </c>
      <c r="C2530" t="str">
        <f>"00"</f>
        <v>00</v>
      </c>
      <c r="D2530">
        <v>2110</v>
      </c>
      <c r="E2530" t="str">
        <f>"18"</f>
        <v>18</v>
      </c>
      <c r="F2530" t="str">
        <f>"000"</f>
        <v>000</v>
      </c>
      <c r="G2530">
        <v>9</v>
      </c>
      <c r="H2530" t="str">
        <f>"00"</f>
        <v>00</v>
      </c>
      <c r="I2530" t="str">
        <f t="shared" si="431"/>
        <v>0</v>
      </c>
      <c r="J2530" t="str">
        <f>"00"</f>
        <v>00</v>
      </c>
      <c r="K2530">
        <v>20180921</v>
      </c>
      <c r="L2530" t="str">
        <f>"073834"</f>
        <v>073834</v>
      </c>
      <c r="M2530" t="str">
        <f>"19310"</f>
        <v>19310</v>
      </c>
      <c r="N2530" t="s">
        <v>1689</v>
      </c>
      <c r="O2530">
        <v>340.43</v>
      </c>
      <c r="P2530">
        <v>20180920</v>
      </c>
      <c r="Q2530" t="s">
        <v>1613</v>
      </c>
      <c r="R2530" t="s">
        <v>1690</v>
      </c>
      <c r="S2530" t="s">
        <v>1615</v>
      </c>
      <c r="T2530" t="s">
        <v>296</v>
      </c>
    </row>
    <row r="2531" spans="1:20" x14ac:dyDescent="0.25">
      <c r="A2531">
        <v>9</v>
      </c>
      <c r="B2531">
        <v>199</v>
      </c>
      <c r="C2531" t="str">
        <f>"00"</f>
        <v>00</v>
      </c>
      <c r="D2531">
        <v>2110</v>
      </c>
      <c r="E2531" t="str">
        <f>"18"</f>
        <v>18</v>
      </c>
      <c r="F2531" t="str">
        <f>"000"</f>
        <v>000</v>
      </c>
      <c r="G2531">
        <v>9</v>
      </c>
      <c r="H2531" t="str">
        <f>"00"</f>
        <v>00</v>
      </c>
      <c r="I2531" t="str">
        <f t="shared" si="431"/>
        <v>0</v>
      </c>
      <c r="J2531" t="str">
        <f>"00"</f>
        <v>00</v>
      </c>
      <c r="K2531">
        <v>20180921</v>
      </c>
      <c r="L2531" t="str">
        <f>"073836"</f>
        <v>073836</v>
      </c>
      <c r="M2531" t="str">
        <f>"74150"</f>
        <v>74150</v>
      </c>
      <c r="N2531" t="s">
        <v>1691</v>
      </c>
      <c r="O2531" s="1">
        <v>3454.2</v>
      </c>
      <c r="P2531">
        <v>20180920</v>
      </c>
      <c r="Q2531" t="s">
        <v>1613</v>
      </c>
      <c r="R2531" t="s">
        <v>1692</v>
      </c>
      <c r="S2531" t="s">
        <v>1615</v>
      </c>
      <c r="T2531" t="s">
        <v>296</v>
      </c>
    </row>
    <row r="2532" spans="1:20" x14ac:dyDescent="0.25">
      <c r="A2532">
        <v>9</v>
      </c>
      <c r="B2532">
        <v>199</v>
      </c>
      <c r="C2532" t="str">
        <f>"36"</f>
        <v>36</v>
      </c>
      <c r="D2532">
        <v>6411</v>
      </c>
      <c r="E2532" t="str">
        <f>"7B"</f>
        <v>7B</v>
      </c>
      <c r="F2532" t="str">
        <f>"001"</f>
        <v>001</v>
      </c>
      <c r="G2532">
        <v>9</v>
      </c>
      <c r="H2532" t="str">
        <f>"99"</f>
        <v>99</v>
      </c>
      <c r="I2532" t="str">
        <f t="shared" si="431"/>
        <v>0</v>
      </c>
      <c r="J2532" t="str">
        <f>"32"</f>
        <v>32</v>
      </c>
      <c r="K2532">
        <v>20180921</v>
      </c>
      <c r="L2532" t="str">
        <f>"073837"</f>
        <v>073837</v>
      </c>
      <c r="M2532" t="str">
        <f>"20416"</f>
        <v>20416</v>
      </c>
      <c r="N2532" t="s">
        <v>1693</v>
      </c>
      <c r="O2532">
        <v>30</v>
      </c>
      <c r="P2532">
        <v>20180920</v>
      </c>
      <c r="Q2532" t="s">
        <v>1694</v>
      </c>
      <c r="R2532" t="s">
        <v>1695</v>
      </c>
      <c r="S2532" t="s">
        <v>1615</v>
      </c>
      <c r="T2532" t="s">
        <v>301</v>
      </c>
    </row>
    <row r="2533" spans="1:20" x14ac:dyDescent="0.25">
      <c r="A2533">
        <v>9</v>
      </c>
      <c r="B2533">
        <v>199</v>
      </c>
      <c r="C2533" t="str">
        <f>"36"</f>
        <v>36</v>
      </c>
      <c r="D2533">
        <v>6412</v>
      </c>
      <c r="E2533" t="str">
        <f>"7B"</f>
        <v>7B</v>
      </c>
      <c r="F2533" t="str">
        <f>"001"</f>
        <v>001</v>
      </c>
      <c r="G2533">
        <v>9</v>
      </c>
      <c r="H2533" t="str">
        <f>"99"</f>
        <v>99</v>
      </c>
      <c r="I2533" t="str">
        <f>"1"</f>
        <v>1</v>
      </c>
      <c r="J2533" t="str">
        <f>"32"</f>
        <v>32</v>
      </c>
      <c r="K2533">
        <v>20180921</v>
      </c>
      <c r="L2533" t="str">
        <f>"073837"</f>
        <v>073837</v>
      </c>
      <c r="M2533" t="str">
        <f>"20416"</f>
        <v>20416</v>
      </c>
      <c r="N2533" t="s">
        <v>1693</v>
      </c>
      <c r="O2533">
        <v>470</v>
      </c>
      <c r="P2533">
        <v>20180920</v>
      </c>
      <c r="Q2533" t="s">
        <v>1696</v>
      </c>
      <c r="R2533" t="s">
        <v>1695</v>
      </c>
      <c r="S2533" t="s">
        <v>1615</v>
      </c>
      <c r="T2533" t="s">
        <v>301</v>
      </c>
    </row>
    <row r="2534" spans="1:20" x14ac:dyDescent="0.25">
      <c r="A2534">
        <v>9</v>
      </c>
      <c r="B2534">
        <v>199</v>
      </c>
      <c r="C2534" t="str">
        <f t="shared" ref="C2534:C2540" si="432">"00"</f>
        <v>00</v>
      </c>
      <c r="D2534">
        <v>2110</v>
      </c>
      <c r="E2534" t="str">
        <f t="shared" ref="E2534:E2540" si="433">"18"</f>
        <v>18</v>
      </c>
      <c r="F2534" t="str">
        <f t="shared" ref="F2534:F2540" si="434">"000"</f>
        <v>000</v>
      </c>
      <c r="G2534">
        <v>9</v>
      </c>
      <c r="H2534" t="str">
        <f t="shared" ref="H2534:H2540" si="435">"00"</f>
        <v>00</v>
      </c>
      <c r="I2534" t="str">
        <f t="shared" ref="I2534:I2545" si="436">"0"</f>
        <v>0</v>
      </c>
      <c r="J2534" t="str">
        <f t="shared" ref="J2534:J2540" si="437">"00"</f>
        <v>00</v>
      </c>
      <c r="K2534">
        <v>20180921</v>
      </c>
      <c r="L2534" t="str">
        <f>"073839"</f>
        <v>073839</v>
      </c>
      <c r="M2534" t="str">
        <f>"20683"</f>
        <v>20683</v>
      </c>
      <c r="N2534" t="s">
        <v>1697</v>
      </c>
      <c r="O2534">
        <v>58.16</v>
      </c>
      <c r="P2534">
        <v>20180921</v>
      </c>
      <c r="Q2534" t="s">
        <v>1613</v>
      </c>
      <c r="R2534" t="s">
        <v>1698</v>
      </c>
      <c r="S2534" t="s">
        <v>1615</v>
      </c>
      <c r="T2534" t="s">
        <v>296</v>
      </c>
    </row>
    <row r="2535" spans="1:20" x14ac:dyDescent="0.25">
      <c r="A2535">
        <v>9</v>
      </c>
      <c r="B2535">
        <v>199</v>
      </c>
      <c r="C2535" t="str">
        <f t="shared" si="432"/>
        <v>00</v>
      </c>
      <c r="D2535">
        <v>2110</v>
      </c>
      <c r="E2535" t="str">
        <f t="shared" si="433"/>
        <v>18</v>
      </c>
      <c r="F2535" t="str">
        <f t="shared" si="434"/>
        <v>000</v>
      </c>
      <c r="G2535">
        <v>9</v>
      </c>
      <c r="H2535" t="str">
        <f t="shared" si="435"/>
        <v>00</v>
      </c>
      <c r="I2535" t="str">
        <f t="shared" si="436"/>
        <v>0</v>
      </c>
      <c r="J2535" t="str">
        <f t="shared" si="437"/>
        <v>00</v>
      </c>
      <c r="K2535">
        <v>20180921</v>
      </c>
      <c r="L2535" t="str">
        <f>"073839"</f>
        <v>073839</v>
      </c>
      <c r="M2535" t="str">
        <f>"20683"</f>
        <v>20683</v>
      </c>
      <c r="N2535" t="s">
        <v>1697</v>
      </c>
      <c r="O2535">
        <v>13.74</v>
      </c>
      <c r="P2535">
        <v>20180921</v>
      </c>
      <c r="Q2535" t="s">
        <v>1613</v>
      </c>
      <c r="R2535" t="s">
        <v>1698</v>
      </c>
      <c r="S2535" t="s">
        <v>1615</v>
      </c>
      <c r="T2535" t="s">
        <v>296</v>
      </c>
    </row>
    <row r="2536" spans="1:20" x14ac:dyDescent="0.25">
      <c r="A2536">
        <v>9</v>
      </c>
      <c r="B2536">
        <v>199</v>
      </c>
      <c r="C2536" t="str">
        <f t="shared" si="432"/>
        <v>00</v>
      </c>
      <c r="D2536">
        <v>2110</v>
      </c>
      <c r="E2536" t="str">
        <f t="shared" si="433"/>
        <v>18</v>
      </c>
      <c r="F2536" t="str">
        <f t="shared" si="434"/>
        <v>000</v>
      </c>
      <c r="G2536">
        <v>9</v>
      </c>
      <c r="H2536" t="str">
        <f t="shared" si="435"/>
        <v>00</v>
      </c>
      <c r="I2536" t="str">
        <f t="shared" si="436"/>
        <v>0</v>
      </c>
      <c r="J2536" t="str">
        <f t="shared" si="437"/>
        <v>00</v>
      </c>
      <c r="K2536">
        <v>20180921</v>
      </c>
      <c r="L2536" t="str">
        <f>"073840"</f>
        <v>073840</v>
      </c>
      <c r="M2536" t="str">
        <f>"00246"</f>
        <v>00246</v>
      </c>
      <c r="N2536" t="s">
        <v>1699</v>
      </c>
      <c r="O2536">
        <v>155</v>
      </c>
      <c r="P2536">
        <v>20180920</v>
      </c>
      <c r="Q2536" t="s">
        <v>1613</v>
      </c>
      <c r="R2536" t="s">
        <v>1700</v>
      </c>
      <c r="S2536" t="s">
        <v>1615</v>
      </c>
      <c r="T2536" t="s">
        <v>296</v>
      </c>
    </row>
    <row r="2537" spans="1:20" x14ac:dyDescent="0.25">
      <c r="A2537">
        <v>9</v>
      </c>
      <c r="B2537">
        <v>199</v>
      </c>
      <c r="C2537" t="str">
        <f t="shared" si="432"/>
        <v>00</v>
      </c>
      <c r="D2537">
        <v>2110</v>
      </c>
      <c r="E2537" t="str">
        <f t="shared" si="433"/>
        <v>18</v>
      </c>
      <c r="F2537" t="str">
        <f t="shared" si="434"/>
        <v>000</v>
      </c>
      <c r="G2537">
        <v>9</v>
      </c>
      <c r="H2537" t="str">
        <f t="shared" si="435"/>
        <v>00</v>
      </c>
      <c r="I2537" t="str">
        <f t="shared" si="436"/>
        <v>0</v>
      </c>
      <c r="J2537" t="str">
        <f t="shared" si="437"/>
        <v>00</v>
      </c>
      <c r="K2537">
        <v>20180921</v>
      </c>
      <c r="L2537" t="str">
        <f>"073840"</f>
        <v>073840</v>
      </c>
      <c r="M2537" t="str">
        <f>"00246"</f>
        <v>00246</v>
      </c>
      <c r="N2537" t="s">
        <v>1699</v>
      </c>
      <c r="O2537">
        <v>214.2</v>
      </c>
      <c r="P2537">
        <v>20180920</v>
      </c>
      <c r="Q2537" t="s">
        <v>1613</v>
      </c>
      <c r="R2537" t="s">
        <v>1700</v>
      </c>
      <c r="S2537" t="s">
        <v>1615</v>
      </c>
      <c r="T2537" t="s">
        <v>296</v>
      </c>
    </row>
    <row r="2538" spans="1:20" x14ac:dyDescent="0.25">
      <c r="A2538">
        <v>9</v>
      </c>
      <c r="B2538">
        <v>199</v>
      </c>
      <c r="C2538" t="str">
        <f t="shared" si="432"/>
        <v>00</v>
      </c>
      <c r="D2538">
        <v>2110</v>
      </c>
      <c r="E2538" t="str">
        <f t="shared" si="433"/>
        <v>18</v>
      </c>
      <c r="F2538" t="str">
        <f t="shared" si="434"/>
        <v>000</v>
      </c>
      <c r="G2538">
        <v>9</v>
      </c>
      <c r="H2538" t="str">
        <f t="shared" si="435"/>
        <v>00</v>
      </c>
      <c r="I2538" t="str">
        <f t="shared" si="436"/>
        <v>0</v>
      </c>
      <c r="J2538" t="str">
        <f t="shared" si="437"/>
        <v>00</v>
      </c>
      <c r="K2538">
        <v>20180921</v>
      </c>
      <c r="L2538" t="str">
        <f>"073840"</f>
        <v>073840</v>
      </c>
      <c r="M2538" t="str">
        <f>"00246"</f>
        <v>00246</v>
      </c>
      <c r="N2538" t="s">
        <v>1699</v>
      </c>
      <c r="O2538">
        <v>50</v>
      </c>
      <c r="P2538">
        <v>20180920</v>
      </c>
      <c r="Q2538" t="s">
        <v>1613</v>
      </c>
      <c r="R2538" t="s">
        <v>1700</v>
      </c>
      <c r="S2538" t="s">
        <v>1615</v>
      </c>
      <c r="T2538" t="s">
        <v>296</v>
      </c>
    </row>
    <row r="2539" spans="1:20" x14ac:dyDescent="0.25">
      <c r="A2539">
        <v>9</v>
      </c>
      <c r="B2539">
        <v>199</v>
      </c>
      <c r="C2539" t="str">
        <f t="shared" si="432"/>
        <v>00</v>
      </c>
      <c r="D2539">
        <v>2110</v>
      </c>
      <c r="E2539" t="str">
        <f t="shared" si="433"/>
        <v>18</v>
      </c>
      <c r="F2539" t="str">
        <f t="shared" si="434"/>
        <v>000</v>
      </c>
      <c r="G2539">
        <v>9</v>
      </c>
      <c r="H2539" t="str">
        <f t="shared" si="435"/>
        <v>00</v>
      </c>
      <c r="I2539" t="str">
        <f t="shared" si="436"/>
        <v>0</v>
      </c>
      <c r="J2539" t="str">
        <f t="shared" si="437"/>
        <v>00</v>
      </c>
      <c r="K2539">
        <v>20180921</v>
      </c>
      <c r="L2539" t="str">
        <f>"073841"</f>
        <v>073841</v>
      </c>
      <c r="M2539" t="str">
        <f>"21358"</f>
        <v>21358</v>
      </c>
      <c r="N2539" t="s">
        <v>420</v>
      </c>
      <c r="O2539">
        <v>19.32</v>
      </c>
      <c r="P2539">
        <v>20180921</v>
      </c>
      <c r="Q2539" t="s">
        <v>1613</v>
      </c>
      <c r="R2539" t="s">
        <v>1688</v>
      </c>
      <c r="S2539" t="s">
        <v>1615</v>
      </c>
      <c r="T2539" t="s">
        <v>296</v>
      </c>
    </row>
    <row r="2540" spans="1:20" x14ac:dyDescent="0.25">
      <c r="A2540">
        <v>9</v>
      </c>
      <c r="B2540">
        <v>199</v>
      </c>
      <c r="C2540" t="str">
        <f t="shared" si="432"/>
        <v>00</v>
      </c>
      <c r="D2540">
        <v>2110</v>
      </c>
      <c r="E2540" t="str">
        <f t="shared" si="433"/>
        <v>18</v>
      </c>
      <c r="F2540" t="str">
        <f t="shared" si="434"/>
        <v>000</v>
      </c>
      <c r="G2540">
        <v>9</v>
      </c>
      <c r="H2540" t="str">
        <f t="shared" si="435"/>
        <v>00</v>
      </c>
      <c r="I2540" t="str">
        <f t="shared" si="436"/>
        <v>0</v>
      </c>
      <c r="J2540" t="str">
        <f t="shared" si="437"/>
        <v>00</v>
      </c>
      <c r="K2540">
        <v>20180921</v>
      </c>
      <c r="L2540" t="str">
        <f>"073842"</f>
        <v>073842</v>
      </c>
      <c r="M2540" t="str">
        <f>"21769"</f>
        <v>21769</v>
      </c>
      <c r="N2540" t="s">
        <v>1701</v>
      </c>
      <c r="O2540" s="1">
        <v>2500</v>
      </c>
      <c r="P2540">
        <v>20180920</v>
      </c>
      <c r="Q2540" t="s">
        <v>1613</v>
      </c>
      <c r="R2540" t="s">
        <v>1702</v>
      </c>
      <c r="S2540" t="s">
        <v>1615</v>
      </c>
      <c r="T2540" t="s">
        <v>296</v>
      </c>
    </row>
    <row r="2541" spans="1:20" x14ac:dyDescent="0.25">
      <c r="A2541">
        <v>9</v>
      </c>
      <c r="B2541">
        <v>199</v>
      </c>
      <c r="C2541" t="str">
        <f>"36"</f>
        <v>36</v>
      </c>
      <c r="D2541">
        <v>6412</v>
      </c>
      <c r="E2541" t="str">
        <f>"H2"</f>
        <v>H2</v>
      </c>
      <c r="F2541" t="str">
        <f>"001"</f>
        <v>001</v>
      </c>
      <c r="G2541">
        <v>9</v>
      </c>
      <c r="H2541" t="str">
        <f t="shared" ref="H2541:H2548" si="438">"99"</f>
        <v>99</v>
      </c>
      <c r="I2541" t="str">
        <f t="shared" si="436"/>
        <v>0</v>
      </c>
      <c r="J2541" t="str">
        <f>"37"</f>
        <v>37</v>
      </c>
      <c r="K2541">
        <v>20180921</v>
      </c>
      <c r="L2541" t="str">
        <f>"073843"</f>
        <v>073843</v>
      </c>
      <c r="M2541" t="str">
        <f>"21839"</f>
        <v>21839</v>
      </c>
      <c r="N2541" t="s">
        <v>1703</v>
      </c>
      <c r="O2541">
        <v>68</v>
      </c>
      <c r="P2541">
        <v>20180920</v>
      </c>
      <c r="Q2541" t="s">
        <v>1704</v>
      </c>
      <c r="R2541" t="s">
        <v>1705</v>
      </c>
      <c r="S2541" t="s">
        <v>1615</v>
      </c>
      <c r="T2541" t="s">
        <v>301</v>
      </c>
    </row>
    <row r="2542" spans="1:20" x14ac:dyDescent="0.25">
      <c r="A2542">
        <v>9</v>
      </c>
      <c r="B2542">
        <v>199</v>
      </c>
      <c r="C2542" t="str">
        <f>"36"</f>
        <v>36</v>
      </c>
      <c r="D2542">
        <v>6412</v>
      </c>
      <c r="E2542" t="str">
        <f>"H2"</f>
        <v>H2</v>
      </c>
      <c r="F2542" t="str">
        <f>"001"</f>
        <v>001</v>
      </c>
      <c r="G2542">
        <v>9</v>
      </c>
      <c r="H2542" t="str">
        <f t="shared" si="438"/>
        <v>99</v>
      </c>
      <c r="I2542" t="str">
        <f t="shared" si="436"/>
        <v>0</v>
      </c>
      <c r="J2542" t="str">
        <f>"37"</f>
        <v>37</v>
      </c>
      <c r="K2542">
        <v>20180921</v>
      </c>
      <c r="L2542" t="str">
        <f>"073843"</f>
        <v>073843</v>
      </c>
      <c r="M2542" t="str">
        <f>"21839"</f>
        <v>21839</v>
      </c>
      <c r="N2542" t="s">
        <v>1703</v>
      </c>
      <c r="O2542">
        <v>68</v>
      </c>
      <c r="P2542">
        <v>20180920</v>
      </c>
      <c r="Q2542" t="s">
        <v>1704</v>
      </c>
      <c r="R2542" t="s">
        <v>1705</v>
      </c>
      <c r="S2542" t="s">
        <v>1615</v>
      </c>
      <c r="T2542" t="s">
        <v>301</v>
      </c>
    </row>
    <row r="2543" spans="1:20" x14ac:dyDescent="0.25">
      <c r="A2543">
        <v>9</v>
      </c>
      <c r="B2543">
        <v>199</v>
      </c>
      <c r="C2543" t="str">
        <f>"36"</f>
        <v>36</v>
      </c>
      <c r="D2543">
        <v>6412</v>
      </c>
      <c r="E2543" t="str">
        <f>"H2"</f>
        <v>H2</v>
      </c>
      <c r="F2543" t="str">
        <f>"001"</f>
        <v>001</v>
      </c>
      <c r="G2543">
        <v>9</v>
      </c>
      <c r="H2543" t="str">
        <f t="shared" si="438"/>
        <v>99</v>
      </c>
      <c r="I2543" t="str">
        <f t="shared" si="436"/>
        <v>0</v>
      </c>
      <c r="J2543" t="str">
        <f>"37"</f>
        <v>37</v>
      </c>
      <c r="K2543">
        <v>20181013</v>
      </c>
      <c r="L2543" t="str">
        <f>"073843"</f>
        <v>073843</v>
      </c>
      <c r="M2543" t="str">
        <f>"21839"</f>
        <v>21839</v>
      </c>
      <c r="N2543" t="s">
        <v>1703</v>
      </c>
      <c r="O2543">
        <v>-68</v>
      </c>
      <c r="P2543">
        <v>20181013</v>
      </c>
      <c r="Q2543" t="s">
        <v>1704</v>
      </c>
      <c r="R2543" t="s">
        <v>1706</v>
      </c>
      <c r="S2543" t="s">
        <v>1615</v>
      </c>
      <c r="T2543" t="s">
        <v>301</v>
      </c>
    </row>
    <row r="2544" spans="1:20" x14ac:dyDescent="0.25">
      <c r="A2544">
        <v>9</v>
      </c>
      <c r="B2544">
        <v>199</v>
      </c>
      <c r="C2544" t="str">
        <f>"36"</f>
        <v>36</v>
      </c>
      <c r="D2544">
        <v>6412</v>
      </c>
      <c r="E2544" t="str">
        <f>"H2"</f>
        <v>H2</v>
      </c>
      <c r="F2544" t="str">
        <f>"001"</f>
        <v>001</v>
      </c>
      <c r="G2544">
        <v>9</v>
      </c>
      <c r="H2544" t="str">
        <f t="shared" si="438"/>
        <v>99</v>
      </c>
      <c r="I2544" t="str">
        <f t="shared" si="436"/>
        <v>0</v>
      </c>
      <c r="J2544" t="str">
        <f>"37"</f>
        <v>37</v>
      </c>
      <c r="K2544">
        <v>20181013</v>
      </c>
      <c r="L2544" t="str">
        <f>"073843"</f>
        <v>073843</v>
      </c>
      <c r="M2544" t="str">
        <f>"21839"</f>
        <v>21839</v>
      </c>
      <c r="N2544" t="s">
        <v>1703</v>
      </c>
      <c r="O2544">
        <v>-68</v>
      </c>
      <c r="P2544">
        <v>20181013</v>
      </c>
      <c r="Q2544" t="s">
        <v>1704</v>
      </c>
      <c r="R2544" t="s">
        <v>1706</v>
      </c>
      <c r="S2544" t="s">
        <v>1615</v>
      </c>
      <c r="T2544" t="s">
        <v>301</v>
      </c>
    </row>
    <row r="2545" spans="1:20" x14ac:dyDescent="0.25">
      <c r="A2545">
        <v>9</v>
      </c>
      <c r="B2545">
        <v>199</v>
      </c>
      <c r="C2545" t="str">
        <f>"51"</f>
        <v>51</v>
      </c>
      <c r="D2545">
        <v>6249</v>
      </c>
      <c r="E2545" t="str">
        <f>"MC"</f>
        <v>MC</v>
      </c>
      <c r="F2545" t="str">
        <f>"041"</f>
        <v>041</v>
      </c>
      <c r="G2545">
        <v>9</v>
      </c>
      <c r="H2545" t="str">
        <f t="shared" si="438"/>
        <v>99</v>
      </c>
      <c r="I2545" t="str">
        <f t="shared" si="436"/>
        <v>0</v>
      </c>
      <c r="J2545" t="str">
        <f>"81"</f>
        <v>81</v>
      </c>
      <c r="K2545">
        <v>20180921</v>
      </c>
      <c r="L2545" t="str">
        <f>"073845"</f>
        <v>073845</v>
      </c>
      <c r="M2545" t="str">
        <f>"24130"</f>
        <v>24130</v>
      </c>
      <c r="N2545" t="s">
        <v>567</v>
      </c>
      <c r="O2545">
        <v>177</v>
      </c>
      <c r="P2545">
        <v>20180920</v>
      </c>
      <c r="Q2545" t="s">
        <v>1707</v>
      </c>
      <c r="R2545" t="s">
        <v>1708</v>
      </c>
      <c r="S2545" t="s">
        <v>1615</v>
      </c>
      <c r="T2545" t="s">
        <v>106</v>
      </c>
    </row>
    <row r="2546" spans="1:20" x14ac:dyDescent="0.25">
      <c r="A2546">
        <v>9</v>
      </c>
      <c r="B2546">
        <v>199</v>
      </c>
      <c r="C2546" t="str">
        <f>"36"</f>
        <v>36</v>
      </c>
      <c r="D2546">
        <v>6412</v>
      </c>
      <c r="E2546" t="str">
        <f>"7B"</f>
        <v>7B</v>
      </c>
      <c r="F2546" t="str">
        <f>"001"</f>
        <v>001</v>
      </c>
      <c r="G2546">
        <v>9</v>
      </c>
      <c r="H2546" t="str">
        <f t="shared" si="438"/>
        <v>99</v>
      </c>
      <c r="I2546" t="str">
        <f>"1"</f>
        <v>1</v>
      </c>
      <c r="J2546" t="str">
        <f>"32"</f>
        <v>32</v>
      </c>
      <c r="K2546">
        <v>20180921</v>
      </c>
      <c r="L2546" t="str">
        <f>"073848"</f>
        <v>073848</v>
      </c>
      <c r="M2546" t="str">
        <f>"25871"</f>
        <v>25871</v>
      </c>
      <c r="N2546" t="s">
        <v>1150</v>
      </c>
      <c r="O2546">
        <v>213</v>
      </c>
      <c r="P2546">
        <v>20180920</v>
      </c>
      <c r="Q2546" t="s">
        <v>1696</v>
      </c>
      <c r="R2546" t="s">
        <v>1709</v>
      </c>
      <c r="S2546" t="s">
        <v>1615</v>
      </c>
      <c r="T2546" t="s">
        <v>301</v>
      </c>
    </row>
    <row r="2547" spans="1:20" x14ac:dyDescent="0.25">
      <c r="A2547">
        <v>9</v>
      </c>
      <c r="B2547">
        <v>199</v>
      </c>
      <c r="C2547" t="str">
        <f>"51"</f>
        <v>51</v>
      </c>
      <c r="D2547">
        <v>6396</v>
      </c>
      <c r="E2547" t="str">
        <f>"10"</f>
        <v>10</v>
      </c>
      <c r="F2547" t="str">
        <f>"936"</f>
        <v>936</v>
      </c>
      <c r="G2547">
        <v>9</v>
      </c>
      <c r="H2547" t="str">
        <f t="shared" si="438"/>
        <v>99</v>
      </c>
      <c r="I2547" t="str">
        <f t="shared" ref="I2547:I2559" si="439">"0"</f>
        <v>0</v>
      </c>
      <c r="J2547" t="str">
        <f>"81"</f>
        <v>81</v>
      </c>
      <c r="K2547">
        <v>20180921</v>
      </c>
      <c r="L2547" t="str">
        <f>"073850"</f>
        <v>073850</v>
      </c>
      <c r="M2547" t="str">
        <f>"65807"</f>
        <v>65807</v>
      </c>
      <c r="N2547" t="s">
        <v>1710</v>
      </c>
      <c r="O2547" s="1">
        <v>5337.81</v>
      </c>
      <c r="P2547">
        <v>20180920</v>
      </c>
      <c r="Q2547" t="s">
        <v>1711</v>
      </c>
      <c r="R2547" t="s">
        <v>1712</v>
      </c>
      <c r="S2547" t="s">
        <v>1615</v>
      </c>
      <c r="T2547" t="s">
        <v>1713</v>
      </c>
    </row>
    <row r="2548" spans="1:20" x14ac:dyDescent="0.25">
      <c r="A2548">
        <v>9</v>
      </c>
      <c r="B2548">
        <v>199</v>
      </c>
      <c r="C2548" t="str">
        <f>"36"</f>
        <v>36</v>
      </c>
      <c r="D2548">
        <v>6412</v>
      </c>
      <c r="E2548" t="str">
        <f>"8S"</f>
        <v>8S</v>
      </c>
      <c r="F2548" t="str">
        <f>"001"</f>
        <v>001</v>
      </c>
      <c r="G2548">
        <v>9</v>
      </c>
      <c r="H2548" t="str">
        <f t="shared" si="438"/>
        <v>99</v>
      </c>
      <c r="I2548" t="str">
        <f t="shared" si="439"/>
        <v>0</v>
      </c>
      <c r="J2548" t="str">
        <f>"01"</f>
        <v>01</v>
      </c>
      <c r="K2548">
        <v>20180921</v>
      </c>
      <c r="L2548" t="str">
        <f>"073851"</f>
        <v>073851</v>
      </c>
      <c r="M2548" t="str">
        <f>"00564"</f>
        <v>00564</v>
      </c>
      <c r="N2548" t="s">
        <v>1714</v>
      </c>
      <c r="O2548" s="1">
        <v>1404</v>
      </c>
      <c r="P2548">
        <v>20180920</v>
      </c>
      <c r="Q2548" t="s">
        <v>1625</v>
      </c>
      <c r="R2548" t="s">
        <v>1715</v>
      </c>
      <c r="S2548" t="s">
        <v>1615</v>
      </c>
      <c r="T2548" t="s">
        <v>301</v>
      </c>
    </row>
    <row r="2549" spans="1:20" x14ac:dyDescent="0.25">
      <c r="A2549">
        <v>9</v>
      </c>
      <c r="B2549">
        <v>199</v>
      </c>
      <c r="C2549" t="str">
        <f>"13"</f>
        <v>13</v>
      </c>
      <c r="D2549">
        <v>6411</v>
      </c>
      <c r="E2549" t="str">
        <f>"00"</f>
        <v>00</v>
      </c>
      <c r="F2549" t="str">
        <f>"101"</f>
        <v>101</v>
      </c>
      <c r="G2549">
        <v>9</v>
      </c>
      <c r="H2549" t="str">
        <f>"25"</f>
        <v>25</v>
      </c>
      <c r="I2549" t="str">
        <f t="shared" si="439"/>
        <v>0</v>
      </c>
      <c r="J2549" t="str">
        <f>"25"</f>
        <v>25</v>
      </c>
      <c r="K2549">
        <v>20180921</v>
      </c>
      <c r="L2549" t="str">
        <f>"073855"</f>
        <v>073855</v>
      </c>
      <c r="M2549" t="str">
        <f>"00529"</f>
        <v>00529</v>
      </c>
      <c r="N2549" t="s">
        <v>1716</v>
      </c>
      <c r="O2549">
        <v>586.73</v>
      </c>
      <c r="P2549">
        <v>20180920</v>
      </c>
      <c r="Q2549" t="s">
        <v>1717</v>
      </c>
      <c r="R2549" t="s">
        <v>1718</v>
      </c>
      <c r="S2549" t="s">
        <v>1615</v>
      </c>
      <c r="T2549" t="s">
        <v>1479</v>
      </c>
    </row>
    <row r="2550" spans="1:20" x14ac:dyDescent="0.25">
      <c r="A2550">
        <v>9</v>
      </c>
      <c r="B2550">
        <v>199</v>
      </c>
      <c r="C2550" t="str">
        <f>"13"</f>
        <v>13</v>
      </c>
      <c r="D2550">
        <v>6411</v>
      </c>
      <c r="E2550" t="str">
        <f>"00"</f>
        <v>00</v>
      </c>
      <c r="F2550" t="str">
        <f>"101"</f>
        <v>101</v>
      </c>
      <c r="G2550">
        <v>9</v>
      </c>
      <c r="H2550" t="str">
        <f>"25"</f>
        <v>25</v>
      </c>
      <c r="I2550" t="str">
        <f t="shared" si="439"/>
        <v>0</v>
      </c>
      <c r="J2550" t="str">
        <f>"25"</f>
        <v>25</v>
      </c>
      <c r="K2550">
        <v>20180921</v>
      </c>
      <c r="L2550" t="str">
        <f>"073856"</f>
        <v>073856</v>
      </c>
      <c r="M2550" t="str">
        <f>"00529"</f>
        <v>00529</v>
      </c>
      <c r="N2550" t="s">
        <v>1716</v>
      </c>
      <c r="O2550">
        <v>553.95000000000005</v>
      </c>
      <c r="P2550">
        <v>20180920</v>
      </c>
      <c r="Q2550" t="s">
        <v>1717</v>
      </c>
      <c r="R2550" t="s">
        <v>1718</v>
      </c>
      <c r="S2550" t="s">
        <v>1615</v>
      </c>
      <c r="T2550" t="s">
        <v>1479</v>
      </c>
    </row>
    <row r="2551" spans="1:20" x14ac:dyDescent="0.25">
      <c r="A2551">
        <v>9</v>
      </c>
      <c r="B2551">
        <v>199</v>
      </c>
      <c r="C2551" t="str">
        <f>"13"</f>
        <v>13</v>
      </c>
      <c r="D2551">
        <v>6411</v>
      </c>
      <c r="E2551" t="str">
        <f>"8T"</f>
        <v>8T</v>
      </c>
      <c r="F2551" t="str">
        <f>"001"</f>
        <v>001</v>
      </c>
      <c r="G2551">
        <v>9</v>
      </c>
      <c r="H2551" t="str">
        <f>"11"</f>
        <v>11</v>
      </c>
      <c r="I2551" t="str">
        <f t="shared" si="439"/>
        <v>0</v>
      </c>
      <c r="J2551" t="str">
        <f>"01"</f>
        <v>01</v>
      </c>
      <c r="K2551">
        <v>20180921</v>
      </c>
      <c r="L2551" t="str">
        <f>"073857"</f>
        <v>073857</v>
      </c>
      <c r="M2551" t="str">
        <f>"28646"</f>
        <v>28646</v>
      </c>
      <c r="N2551" t="s">
        <v>1719</v>
      </c>
      <c r="O2551">
        <v>313.92</v>
      </c>
      <c r="P2551">
        <v>20180920</v>
      </c>
      <c r="Q2551" t="s">
        <v>1720</v>
      </c>
      <c r="R2551" t="s">
        <v>1721</v>
      </c>
      <c r="S2551" t="s">
        <v>1615</v>
      </c>
      <c r="T2551" t="s">
        <v>301</v>
      </c>
    </row>
    <row r="2552" spans="1:20" x14ac:dyDescent="0.25">
      <c r="A2552">
        <v>9</v>
      </c>
      <c r="B2552">
        <v>199</v>
      </c>
      <c r="C2552" t="str">
        <f>"00"</f>
        <v>00</v>
      </c>
      <c r="D2552">
        <v>2110</v>
      </c>
      <c r="E2552" t="str">
        <f>"18"</f>
        <v>18</v>
      </c>
      <c r="F2552" t="str">
        <f>"000"</f>
        <v>000</v>
      </c>
      <c r="G2552">
        <v>9</v>
      </c>
      <c r="H2552" t="str">
        <f>"00"</f>
        <v>00</v>
      </c>
      <c r="I2552" t="str">
        <f t="shared" si="439"/>
        <v>0</v>
      </c>
      <c r="J2552" t="str">
        <f>"00"</f>
        <v>00</v>
      </c>
      <c r="K2552">
        <v>20180921</v>
      </c>
      <c r="L2552" t="str">
        <f>"073859"</f>
        <v>073859</v>
      </c>
      <c r="M2552" t="str">
        <f>"28825"</f>
        <v>28825</v>
      </c>
      <c r="N2552" t="s">
        <v>1722</v>
      </c>
      <c r="O2552">
        <v>664</v>
      </c>
      <c r="P2552">
        <v>20180921</v>
      </c>
      <c r="Q2552" t="s">
        <v>1613</v>
      </c>
      <c r="R2552" t="s">
        <v>1723</v>
      </c>
      <c r="S2552" t="s">
        <v>1615</v>
      </c>
      <c r="T2552" t="s">
        <v>296</v>
      </c>
    </row>
    <row r="2553" spans="1:20" x14ac:dyDescent="0.25">
      <c r="A2553">
        <v>9</v>
      </c>
      <c r="B2553">
        <v>199</v>
      </c>
      <c r="C2553" t="str">
        <f>"00"</f>
        <v>00</v>
      </c>
      <c r="D2553">
        <v>2110</v>
      </c>
      <c r="E2553" t="str">
        <f>"18"</f>
        <v>18</v>
      </c>
      <c r="F2553" t="str">
        <f>"000"</f>
        <v>000</v>
      </c>
      <c r="G2553">
        <v>9</v>
      </c>
      <c r="H2553" t="str">
        <f>"00"</f>
        <v>00</v>
      </c>
      <c r="I2553" t="str">
        <f t="shared" si="439"/>
        <v>0</v>
      </c>
      <c r="J2553" t="str">
        <f>"00"</f>
        <v>00</v>
      </c>
      <c r="K2553">
        <v>20181102</v>
      </c>
      <c r="L2553" t="str">
        <f>"073859"</f>
        <v>073859</v>
      </c>
      <c r="M2553" t="str">
        <f>"28825"</f>
        <v>28825</v>
      </c>
      <c r="N2553" t="s">
        <v>1722</v>
      </c>
      <c r="O2553">
        <v>-664</v>
      </c>
      <c r="P2553">
        <v>20181102</v>
      </c>
      <c r="Q2553" t="s">
        <v>1613</v>
      </c>
      <c r="R2553" t="s">
        <v>138</v>
      </c>
      <c r="S2553" t="s">
        <v>1615</v>
      </c>
      <c r="T2553" t="s">
        <v>296</v>
      </c>
    </row>
    <row r="2554" spans="1:20" x14ac:dyDescent="0.25">
      <c r="A2554">
        <v>9</v>
      </c>
      <c r="B2554">
        <v>199</v>
      </c>
      <c r="C2554" t="str">
        <f>"00"</f>
        <v>00</v>
      </c>
      <c r="D2554">
        <v>2110</v>
      </c>
      <c r="E2554" t="str">
        <f>"18"</f>
        <v>18</v>
      </c>
      <c r="F2554" t="str">
        <f>"000"</f>
        <v>000</v>
      </c>
      <c r="G2554">
        <v>9</v>
      </c>
      <c r="H2554" t="str">
        <f>"00"</f>
        <v>00</v>
      </c>
      <c r="I2554" t="str">
        <f t="shared" si="439"/>
        <v>0</v>
      </c>
      <c r="J2554" t="str">
        <f>"00"</f>
        <v>00</v>
      </c>
      <c r="K2554">
        <v>20180921</v>
      </c>
      <c r="L2554" t="str">
        <f>"073860"</f>
        <v>073860</v>
      </c>
      <c r="M2554" t="str">
        <f>"29622"</f>
        <v>29622</v>
      </c>
      <c r="N2554" t="s">
        <v>1724</v>
      </c>
      <c r="O2554">
        <v>7.68</v>
      </c>
      <c r="P2554">
        <v>20180920</v>
      </c>
      <c r="Q2554" t="s">
        <v>1613</v>
      </c>
      <c r="R2554" t="s">
        <v>1725</v>
      </c>
      <c r="S2554" t="s">
        <v>1615</v>
      </c>
      <c r="T2554" t="s">
        <v>296</v>
      </c>
    </row>
    <row r="2555" spans="1:20" x14ac:dyDescent="0.25">
      <c r="A2555">
        <v>9</v>
      </c>
      <c r="B2555">
        <v>199</v>
      </c>
      <c r="C2555" t="str">
        <f>"00"</f>
        <v>00</v>
      </c>
      <c r="D2555">
        <v>2110</v>
      </c>
      <c r="E2555" t="str">
        <f>"18"</f>
        <v>18</v>
      </c>
      <c r="F2555" t="str">
        <f>"000"</f>
        <v>000</v>
      </c>
      <c r="G2555">
        <v>9</v>
      </c>
      <c r="H2555" t="str">
        <f>"00"</f>
        <v>00</v>
      </c>
      <c r="I2555" t="str">
        <f t="shared" si="439"/>
        <v>0</v>
      </c>
      <c r="J2555" t="str">
        <f>"00"</f>
        <v>00</v>
      </c>
      <c r="K2555">
        <v>20180921</v>
      </c>
      <c r="L2555" t="str">
        <f>"073860"</f>
        <v>073860</v>
      </c>
      <c r="M2555" t="str">
        <f>"29622"</f>
        <v>29622</v>
      </c>
      <c r="N2555" t="s">
        <v>1724</v>
      </c>
      <c r="O2555">
        <v>6.76</v>
      </c>
      <c r="P2555">
        <v>20180920</v>
      </c>
      <c r="Q2555" t="s">
        <v>1613</v>
      </c>
      <c r="R2555" t="s">
        <v>1726</v>
      </c>
      <c r="S2555" t="s">
        <v>1615</v>
      </c>
      <c r="T2555" t="s">
        <v>296</v>
      </c>
    </row>
    <row r="2556" spans="1:20" x14ac:dyDescent="0.25">
      <c r="A2556">
        <v>9</v>
      </c>
      <c r="B2556">
        <v>199</v>
      </c>
      <c r="C2556" t="str">
        <f>"36"</f>
        <v>36</v>
      </c>
      <c r="D2556">
        <v>6412</v>
      </c>
      <c r="E2556" t="str">
        <f>"8M"</f>
        <v>8M</v>
      </c>
      <c r="F2556" t="str">
        <f>"001"</f>
        <v>001</v>
      </c>
      <c r="G2556">
        <v>9</v>
      </c>
      <c r="H2556" t="str">
        <f>"99"</f>
        <v>99</v>
      </c>
      <c r="I2556" t="str">
        <f t="shared" si="439"/>
        <v>0</v>
      </c>
      <c r="J2556" t="str">
        <f>"33"</f>
        <v>33</v>
      </c>
      <c r="K2556">
        <v>20180921</v>
      </c>
      <c r="L2556" t="str">
        <f>"073863"</f>
        <v>073863</v>
      </c>
      <c r="M2556" t="str">
        <f>"30159"</f>
        <v>30159</v>
      </c>
      <c r="N2556" t="s">
        <v>1727</v>
      </c>
      <c r="O2556">
        <v>350</v>
      </c>
      <c r="P2556">
        <v>20180920</v>
      </c>
      <c r="Q2556" t="s">
        <v>1617</v>
      </c>
      <c r="R2556" t="s">
        <v>1728</v>
      </c>
      <c r="S2556" t="s">
        <v>1615</v>
      </c>
      <c r="T2556" t="s">
        <v>301</v>
      </c>
    </row>
    <row r="2557" spans="1:20" x14ac:dyDescent="0.25">
      <c r="A2557">
        <v>9</v>
      </c>
      <c r="B2557">
        <v>199</v>
      </c>
      <c r="C2557" t="str">
        <f>"00"</f>
        <v>00</v>
      </c>
      <c r="D2557">
        <v>2110</v>
      </c>
      <c r="E2557" t="str">
        <f>"18"</f>
        <v>18</v>
      </c>
      <c r="F2557" t="str">
        <f>"000"</f>
        <v>000</v>
      </c>
      <c r="G2557">
        <v>9</v>
      </c>
      <c r="H2557" t="str">
        <f>"00"</f>
        <v>00</v>
      </c>
      <c r="I2557" t="str">
        <f t="shared" si="439"/>
        <v>0</v>
      </c>
      <c r="J2557" t="str">
        <f>"00"</f>
        <v>00</v>
      </c>
      <c r="K2557">
        <v>20180921</v>
      </c>
      <c r="L2557" t="str">
        <f>"073864"</f>
        <v>073864</v>
      </c>
      <c r="M2557" t="str">
        <f>"30744"</f>
        <v>30744</v>
      </c>
      <c r="N2557" t="s">
        <v>422</v>
      </c>
      <c r="O2557">
        <v>18.510000000000002</v>
      </c>
      <c r="P2557">
        <v>20180920</v>
      </c>
      <c r="Q2557" t="s">
        <v>1613</v>
      </c>
      <c r="R2557" t="s">
        <v>1481</v>
      </c>
      <c r="S2557" t="s">
        <v>1615</v>
      </c>
      <c r="T2557" t="s">
        <v>296</v>
      </c>
    </row>
    <row r="2558" spans="1:20" x14ac:dyDescent="0.25">
      <c r="A2558">
        <v>9</v>
      </c>
      <c r="B2558">
        <v>199</v>
      </c>
      <c r="C2558" t="str">
        <f>"00"</f>
        <v>00</v>
      </c>
      <c r="D2558">
        <v>2110</v>
      </c>
      <c r="E2558" t="str">
        <f>"18"</f>
        <v>18</v>
      </c>
      <c r="F2558" t="str">
        <f>"000"</f>
        <v>000</v>
      </c>
      <c r="G2558">
        <v>9</v>
      </c>
      <c r="H2558" t="str">
        <f>"00"</f>
        <v>00</v>
      </c>
      <c r="I2558" t="str">
        <f t="shared" si="439"/>
        <v>0</v>
      </c>
      <c r="J2558" t="str">
        <f>"00"</f>
        <v>00</v>
      </c>
      <c r="K2558">
        <v>20180921</v>
      </c>
      <c r="L2558" t="str">
        <f>"073864"</f>
        <v>073864</v>
      </c>
      <c r="M2558" t="str">
        <f>"30744"</f>
        <v>30744</v>
      </c>
      <c r="N2558" t="s">
        <v>422</v>
      </c>
      <c r="O2558">
        <v>55.59</v>
      </c>
      <c r="P2558">
        <v>20180920</v>
      </c>
      <c r="Q2558" t="s">
        <v>1613</v>
      </c>
      <c r="R2558" t="s">
        <v>1729</v>
      </c>
      <c r="S2558" t="s">
        <v>1615</v>
      </c>
      <c r="T2558" t="s">
        <v>296</v>
      </c>
    </row>
    <row r="2559" spans="1:20" x14ac:dyDescent="0.25">
      <c r="A2559">
        <v>9</v>
      </c>
      <c r="B2559">
        <v>199</v>
      </c>
      <c r="C2559" t="str">
        <f>"36"</f>
        <v>36</v>
      </c>
      <c r="D2559">
        <v>6412</v>
      </c>
      <c r="E2559" t="str">
        <f>"7B"</f>
        <v>7B</v>
      </c>
      <c r="F2559" t="str">
        <f>"001"</f>
        <v>001</v>
      </c>
      <c r="G2559">
        <v>9</v>
      </c>
      <c r="H2559" t="str">
        <f>"99"</f>
        <v>99</v>
      </c>
      <c r="I2559" t="str">
        <f t="shared" si="439"/>
        <v>0</v>
      </c>
      <c r="J2559" t="str">
        <f>"32"</f>
        <v>32</v>
      </c>
      <c r="K2559">
        <v>20180921</v>
      </c>
      <c r="L2559" t="str">
        <f>"073871"</f>
        <v>073871</v>
      </c>
      <c r="M2559" t="str">
        <f>"34954"</f>
        <v>34954</v>
      </c>
      <c r="N2559" t="s">
        <v>1730</v>
      </c>
      <c r="O2559">
        <v>300</v>
      </c>
      <c r="P2559">
        <v>20180920</v>
      </c>
      <c r="Q2559" t="s">
        <v>1658</v>
      </c>
      <c r="R2559" t="s">
        <v>1695</v>
      </c>
      <c r="S2559" t="s">
        <v>1615</v>
      </c>
      <c r="T2559" t="s">
        <v>301</v>
      </c>
    </row>
    <row r="2560" spans="1:20" x14ac:dyDescent="0.25">
      <c r="A2560">
        <v>9</v>
      </c>
      <c r="B2560">
        <v>199</v>
      </c>
      <c r="C2560" t="str">
        <f>"36"</f>
        <v>36</v>
      </c>
      <c r="D2560">
        <v>6411</v>
      </c>
      <c r="E2560" t="str">
        <f>"7C"</f>
        <v>7C</v>
      </c>
      <c r="F2560" t="str">
        <f>"001"</f>
        <v>001</v>
      </c>
      <c r="G2560">
        <v>9</v>
      </c>
      <c r="H2560" t="str">
        <f>"99"</f>
        <v>99</v>
      </c>
      <c r="I2560" t="str">
        <f>"1"</f>
        <v>1</v>
      </c>
      <c r="J2560" t="str">
        <f>"01"</f>
        <v>01</v>
      </c>
      <c r="K2560">
        <v>20180921</v>
      </c>
      <c r="L2560" t="str">
        <f>"073872"</f>
        <v>073872</v>
      </c>
      <c r="M2560" t="str">
        <f>"34670"</f>
        <v>34670</v>
      </c>
      <c r="N2560" t="s">
        <v>1731</v>
      </c>
      <c r="O2560">
        <v>8.33</v>
      </c>
      <c r="P2560">
        <v>20180920</v>
      </c>
      <c r="Q2560" t="s">
        <v>1732</v>
      </c>
      <c r="R2560" t="s">
        <v>1733</v>
      </c>
      <c r="S2560" t="s">
        <v>1615</v>
      </c>
      <c r="T2560" t="s">
        <v>301</v>
      </c>
    </row>
    <row r="2561" spans="1:20" x14ac:dyDescent="0.25">
      <c r="A2561">
        <v>9</v>
      </c>
      <c r="B2561">
        <v>199</v>
      </c>
      <c r="C2561" t="str">
        <f>"36"</f>
        <v>36</v>
      </c>
      <c r="D2561">
        <v>6412</v>
      </c>
      <c r="E2561" t="str">
        <f>"7C"</f>
        <v>7C</v>
      </c>
      <c r="F2561" t="str">
        <f>"001"</f>
        <v>001</v>
      </c>
      <c r="G2561">
        <v>9</v>
      </c>
      <c r="H2561" t="str">
        <f>"99"</f>
        <v>99</v>
      </c>
      <c r="I2561" t="str">
        <f>"0"</f>
        <v>0</v>
      </c>
      <c r="J2561" t="str">
        <f>"01"</f>
        <v>01</v>
      </c>
      <c r="K2561">
        <v>20180921</v>
      </c>
      <c r="L2561" t="str">
        <f>"073872"</f>
        <v>073872</v>
      </c>
      <c r="M2561" t="str">
        <f>"34670"</f>
        <v>34670</v>
      </c>
      <c r="N2561" t="s">
        <v>1731</v>
      </c>
      <c r="O2561">
        <v>85</v>
      </c>
      <c r="P2561">
        <v>20180920</v>
      </c>
      <c r="Q2561" t="s">
        <v>1734</v>
      </c>
      <c r="R2561" t="s">
        <v>1733</v>
      </c>
      <c r="S2561" t="s">
        <v>1615</v>
      </c>
      <c r="T2561" t="s">
        <v>301</v>
      </c>
    </row>
    <row r="2562" spans="1:20" x14ac:dyDescent="0.25">
      <c r="A2562">
        <v>9</v>
      </c>
      <c r="B2562">
        <v>199</v>
      </c>
      <c r="C2562" t="str">
        <f>"36"</f>
        <v>36</v>
      </c>
      <c r="D2562">
        <v>6411</v>
      </c>
      <c r="E2562" t="str">
        <f>"8S"</f>
        <v>8S</v>
      </c>
      <c r="F2562" t="str">
        <f>"001"</f>
        <v>001</v>
      </c>
      <c r="G2562">
        <v>9</v>
      </c>
      <c r="H2562" t="str">
        <f>"99"</f>
        <v>99</v>
      </c>
      <c r="I2562" t="str">
        <f>"1"</f>
        <v>1</v>
      </c>
      <c r="J2562" t="str">
        <f>"01"</f>
        <v>01</v>
      </c>
      <c r="K2562">
        <v>20180921</v>
      </c>
      <c r="L2562" t="str">
        <f>"073877"</f>
        <v>073877</v>
      </c>
      <c r="M2562" t="str">
        <f>"00565"</f>
        <v>00565</v>
      </c>
      <c r="N2562" t="s">
        <v>1735</v>
      </c>
      <c r="O2562">
        <v>116.15</v>
      </c>
      <c r="P2562">
        <v>20180920</v>
      </c>
      <c r="Q2562" t="s">
        <v>1632</v>
      </c>
      <c r="R2562" t="s">
        <v>1715</v>
      </c>
      <c r="S2562" t="s">
        <v>1615</v>
      </c>
      <c r="T2562" t="s">
        <v>301</v>
      </c>
    </row>
    <row r="2563" spans="1:20" x14ac:dyDescent="0.25">
      <c r="A2563">
        <v>9</v>
      </c>
      <c r="B2563">
        <v>199</v>
      </c>
      <c r="C2563" t="str">
        <f>"36"</f>
        <v>36</v>
      </c>
      <c r="D2563">
        <v>6412</v>
      </c>
      <c r="E2563" t="str">
        <f>"8S"</f>
        <v>8S</v>
      </c>
      <c r="F2563" t="str">
        <f>"001"</f>
        <v>001</v>
      </c>
      <c r="G2563">
        <v>9</v>
      </c>
      <c r="H2563" t="str">
        <f>"99"</f>
        <v>99</v>
      </c>
      <c r="I2563" t="str">
        <f>"0"</f>
        <v>0</v>
      </c>
      <c r="J2563" t="str">
        <f>"01"</f>
        <v>01</v>
      </c>
      <c r="K2563">
        <v>20180921</v>
      </c>
      <c r="L2563" t="str">
        <f>"073877"</f>
        <v>073877</v>
      </c>
      <c r="M2563" t="str">
        <f>"00565"</f>
        <v>00565</v>
      </c>
      <c r="N2563" t="s">
        <v>1735</v>
      </c>
      <c r="O2563">
        <v>580.75</v>
      </c>
      <c r="P2563">
        <v>20180920</v>
      </c>
      <c r="Q2563" t="s">
        <v>1625</v>
      </c>
      <c r="R2563" t="s">
        <v>1715</v>
      </c>
      <c r="S2563" t="s">
        <v>1615</v>
      </c>
      <c r="T2563" t="s">
        <v>301</v>
      </c>
    </row>
    <row r="2564" spans="1:20" x14ac:dyDescent="0.25">
      <c r="A2564">
        <v>9</v>
      </c>
      <c r="B2564">
        <v>199</v>
      </c>
      <c r="C2564" t="str">
        <f>"00"</f>
        <v>00</v>
      </c>
      <c r="D2564">
        <v>2110</v>
      </c>
      <c r="E2564" t="str">
        <f>"18"</f>
        <v>18</v>
      </c>
      <c r="F2564" t="str">
        <f>"000"</f>
        <v>000</v>
      </c>
      <c r="G2564">
        <v>9</v>
      </c>
      <c r="H2564" t="str">
        <f>"00"</f>
        <v>00</v>
      </c>
      <c r="I2564" t="str">
        <f>"0"</f>
        <v>0</v>
      </c>
      <c r="J2564" t="str">
        <f>"00"</f>
        <v>00</v>
      </c>
      <c r="K2564">
        <v>20180921</v>
      </c>
      <c r="L2564" t="str">
        <f>"073878"</f>
        <v>073878</v>
      </c>
      <c r="M2564" t="str">
        <f>"42194"</f>
        <v>42194</v>
      </c>
      <c r="N2564" t="s">
        <v>1736</v>
      </c>
      <c r="O2564" s="1">
        <v>81151.679999999993</v>
      </c>
      <c r="P2564">
        <v>20180920</v>
      </c>
      <c r="Q2564" t="s">
        <v>1613</v>
      </c>
      <c r="R2564" t="s">
        <v>1737</v>
      </c>
      <c r="S2564" t="s">
        <v>1615</v>
      </c>
      <c r="T2564" t="s">
        <v>296</v>
      </c>
    </row>
    <row r="2565" spans="1:20" x14ac:dyDescent="0.25">
      <c r="A2565">
        <v>9</v>
      </c>
      <c r="B2565">
        <v>199</v>
      </c>
      <c r="C2565" t="str">
        <f>"11"</f>
        <v>11</v>
      </c>
      <c r="D2565">
        <v>6499</v>
      </c>
      <c r="E2565" t="str">
        <f>"13"</f>
        <v>13</v>
      </c>
      <c r="F2565" t="str">
        <f>"041"</f>
        <v>041</v>
      </c>
      <c r="G2565">
        <v>9</v>
      </c>
      <c r="H2565" t="str">
        <f>"11"</f>
        <v>11</v>
      </c>
      <c r="I2565" t="str">
        <f>"0"</f>
        <v>0</v>
      </c>
      <c r="J2565" t="str">
        <f>"03"</f>
        <v>03</v>
      </c>
      <c r="K2565">
        <v>20180921</v>
      </c>
      <c r="L2565" t="str">
        <f>"073880"</f>
        <v>073880</v>
      </c>
      <c r="M2565" t="str">
        <f>"40781"</f>
        <v>40781</v>
      </c>
      <c r="N2565" t="s">
        <v>1738</v>
      </c>
      <c r="O2565">
        <v>179.55</v>
      </c>
      <c r="P2565">
        <v>20180920</v>
      </c>
      <c r="Q2565" t="s">
        <v>1739</v>
      </c>
      <c r="R2565" t="s">
        <v>1740</v>
      </c>
      <c r="S2565" t="s">
        <v>1615</v>
      </c>
      <c r="T2565" t="s">
        <v>106</v>
      </c>
    </row>
    <row r="2566" spans="1:20" x14ac:dyDescent="0.25">
      <c r="A2566">
        <v>9</v>
      </c>
      <c r="B2566">
        <v>199</v>
      </c>
      <c r="C2566" t="str">
        <f>"00"</f>
        <v>00</v>
      </c>
      <c r="D2566">
        <v>2110</v>
      </c>
      <c r="E2566" t="str">
        <f>"18"</f>
        <v>18</v>
      </c>
      <c r="F2566" t="str">
        <f>"000"</f>
        <v>000</v>
      </c>
      <c r="G2566">
        <v>9</v>
      </c>
      <c r="H2566" t="str">
        <f>"00"</f>
        <v>00</v>
      </c>
      <c r="I2566" t="str">
        <f>"0"</f>
        <v>0</v>
      </c>
      <c r="J2566" t="str">
        <f>"00"</f>
        <v>00</v>
      </c>
      <c r="K2566">
        <v>20180921</v>
      </c>
      <c r="L2566" t="str">
        <f>"073881"</f>
        <v>073881</v>
      </c>
      <c r="M2566" t="str">
        <f>"46025"</f>
        <v>46025</v>
      </c>
      <c r="N2566" t="s">
        <v>1741</v>
      </c>
      <c r="O2566">
        <v>413.75</v>
      </c>
      <c r="P2566">
        <v>20180920</v>
      </c>
      <c r="Q2566" t="s">
        <v>1613</v>
      </c>
      <c r="R2566" s="2">
        <v>43282</v>
      </c>
      <c r="S2566" t="s">
        <v>1615</v>
      </c>
      <c r="T2566" t="s">
        <v>296</v>
      </c>
    </row>
    <row r="2567" spans="1:20" x14ac:dyDescent="0.25">
      <c r="A2567">
        <v>9</v>
      </c>
      <c r="B2567">
        <v>199</v>
      </c>
      <c r="C2567" t="str">
        <f>"36"</f>
        <v>36</v>
      </c>
      <c r="D2567">
        <v>6411</v>
      </c>
      <c r="E2567" t="str">
        <f>"8S"</f>
        <v>8S</v>
      </c>
      <c r="F2567" t="str">
        <f>"001"</f>
        <v>001</v>
      </c>
      <c r="G2567">
        <v>9</v>
      </c>
      <c r="H2567" t="str">
        <f>"99"</f>
        <v>99</v>
      </c>
      <c r="I2567" t="str">
        <f>"1"</f>
        <v>1</v>
      </c>
      <c r="J2567" t="str">
        <f>"01"</f>
        <v>01</v>
      </c>
      <c r="K2567">
        <v>20180921</v>
      </c>
      <c r="L2567" t="str">
        <f>"073883"</f>
        <v>073883</v>
      </c>
      <c r="M2567" t="str">
        <f>"46348"</f>
        <v>46348</v>
      </c>
      <c r="N2567" t="s">
        <v>1631</v>
      </c>
      <c r="O2567">
        <v>50</v>
      </c>
      <c r="P2567">
        <v>20180920</v>
      </c>
      <c r="Q2567" t="s">
        <v>1632</v>
      </c>
      <c r="R2567" t="s">
        <v>1715</v>
      </c>
      <c r="S2567" t="s">
        <v>1615</v>
      </c>
      <c r="T2567" t="s">
        <v>301</v>
      </c>
    </row>
    <row r="2568" spans="1:20" x14ac:dyDescent="0.25">
      <c r="A2568">
        <v>9</v>
      </c>
      <c r="B2568">
        <v>199</v>
      </c>
      <c r="C2568" t="str">
        <f>"36"</f>
        <v>36</v>
      </c>
      <c r="D2568">
        <v>6412</v>
      </c>
      <c r="E2568" t="str">
        <f>"8S"</f>
        <v>8S</v>
      </c>
      <c r="F2568" t="str">
        <f>"001"</f>
        <v>001</v>
      </c>
      <c r="G2568">
        <v>9</v>
      </c>
      <c r="H2568" t="str">
        <f>"99"</f>
        <v>99</v>
      </c>
      <c r="I2568" t="str">
        <f>"1"</f>
        <v>1</v>
      </c>
      <c r="J2568" t="str">
        <f>"01"</f>
        <v>01</v>
      </c>
      <c r="K2568">
        <v>20180921</v>
      </c>
      <c r="L2568" t="str">
        <f>"073883"</f>
        <v>073883</v>
      </c>
      <c r="M2568" t="str">
        <f>"46348"</f>
        <v>46348</v>
      </c>
      <c r="N2568" t="s">
        <v>1631</v>
      </c>
      <c r="O2568">
        <v>450</v>
      </c>
      <c r="P2568">
        <v>20180920</v>
      </c>
      <c r="Q2568" t="s">
        <v>1634</v>
      </c>
      <c r="R2568" t="s">
        <v>1715</v>
      </c>
      <c r="S2568" t="s">
        <v>1615</v>
      </c>
      <c r="T2568" t="s">
        <v>301</v>
      </c>
    </row>
    <row r="2569" spans="1:20" x14ac:dyDescent="0.25">
      <c r="A2569">
        <v>9</v>
      </c>
      <c r="B2569">
        <v>199</v>
      </c>
      <c r="C2569" t="str">
        <f>"00"</f>
        <v>00</v>
      </c>
      <c r="D2569">
        <v>2110</v>
      </c>
      <c r="E2569" t="str">
        <f>"18"</f>
        <v>18</v>
      </c>
      <c r="F2569" t="str">
        <f>"000"</f>
        <v>000</v>
      </c>
      <c r="G2569">
        <v>9</v>
      </c>
      <c r="H2569" t="str">
        <f>"00"</f>
        <v>00</v>
      </c>
      <c r="I2569" t="str">
        <f t="shared" ref="I2569:I2600" si="440">"0"</f>
        <v>0</v>
      </c>
      <c r="J2569" t="str">
        <f>"00"</f>
        <v>00</v>
      </c>
      <c r="K2569">
        <v>20180921</v>
      </c>
      <c r="L2569" t="str">
        <f>"073884"</f>
        <v>073884</v>
      </c>
      <c r="M2569" t="str">
        <f>"00518"</f>
        <v>00518</v>
      </c>
      <c r="N2569" t="s">
        <v>1742</v>
      </c>
      <c r="O2569">
        <v>405</v>
      </c>
      <c r="P2569">
        <v>20180920</v>
      </c>
      <c r="Q2569" t="s">
        <v>1613</v>
      </c>
      <c r="R2569" t="s">
        <v>1743</v>
      </c>
      <c r="S2569" t="s">
        <v>1615</v>
      </c>
      <c r="T2569" t="s">
        <v>296</v>
      </c>
    </row>
    <row r="2570" spans="1:20" x14ac:dyDescent="0.25">
      <c r="A2570">
        <v>9</v>
      </c>
      <c r="B2570">
        <v>199</v>
      </c>
      <c r="C2570" t="str">
        <f>"51"</f>
        <v>51</v>
      </c>
      <c r="D2570">
        <v>6249</v>
      </c>
      <c r="E2570" t="str">
        <f>"MC"</f>
        <v>MC</v>
      </c>
      <c r="F2570" t="str">
        <f>"104"</f>
        <v>104</v>
      </c>
      <c r="G2570">
        <v>9</v>
      </c>
      <c r="H2570" t="str">
        <f>"99"</f>
        <v>99</v>
      </c>
      <c r="I2570" t="str">
        <f t="shared" si="440"/>
        <v>0</v>
      </c>
      <c r="J2570" t="str">
        <f>"81"</f>
        <v>81</v>
      </c>
      <c r="K2570">
        <v>20180921</v>
      </c>
      <c r="L2570" t="str">
        <f>"073884"</f>
        <v>073884</v>
      </c>
      <c r="M2570" t="str">
        <f>"00518"</f>
        <v>00518</v>
      </c>
      <c r="N2570" t="s">
        <v>1742</v>
      </c>
      <c r="O2570">
        <v>405</v>
      </c>
      <c r="P2570">
        <v>20180920</v>
      </c>
      <c r="Q2570" t="s">
        <v>1744</v>
      </c>
      <c r="R2570" t="s">
        <v>1745</v>
      </c>
      <c r="S2570" t="s">
        <v>1615</v>
      </c>
      <c r="T2570" t="s">
        <v>46</v>
      </c>
    </row>
    <row r="2571" spans="1:20" x14ac:dyDescent="0.25">
      <c r="A2571">
        <v>9</v>
      </c>
      <c r="B2571">
        <v>199</v>
      </c>
      <c r="C2571" t="str">
        <f>"00"</f>
        <v>00</v>
      </c>
      <c r="D2571">
        <v>2110</v>
      </c>
      <c r="E2571" t="str">
        <f>"18"</f>
        <v>18</v>
      </c>
      <c r="F2571" t="str">
        <f>"000"</f>
        <v>000</v>
      </c>
      <c r="G2571">
        <v>9</v>
      </c>
      <c r="H2571" t="str">
        <f>"00"</f>
        <v>00</v>
      </c>
      <c r="I2571" t="str">
        <f t="shared" si="440"/>
        <v>0</v>
      </c>
      <c r="J2571" t="str">
        <f>"00"</f>
        <v>00</v>
      </c>
      <c r="K2571">
        <v>20180921</v>
      </c>
      <c r="L2571" t="str">
        <f>"073887"</f>
        <v>073887</v>
      </c>
      <c r="M2571" t="str">
        <f>"00054"</f>
        <v>00054</v>
      </c>
      <c r="N2571" t="s">
        <v>1746</v>
      </c>
      <c r="O2571">
        <v>15.64</v>
      </c>
      <c r="P2571">
        <v>20180921</v>
      </c>
      <c r="Q2571" t="s">
        <v>1613</v>
      </c>
      <c r="R2571" t="s">
        <v>1747</v>
      </c>
      <c r="S2571" t="s">
        <v>1615</v>
      </c>
      <c r="T2571" t="s">
        <v>296</v>
      </c>
    </row>
    <row r="2572" spans="1:20" x14ac:dyDescent="0.25">
      <c r="A2572">
        <v>9</v>
      </c>
      <c r="B2572">
        <v>199</v>
      </c>
      <c r="C2572" t="str">
        <f>"00"</f>
        <v>00</v>
      </c>
      <c r="D2572">
        <v>2110</v>
      </c>
      <c r="E2572" t="str">
        <f>"18"</f>
        <v>18</v>
      </c>
      <c r="F2572" t="str">
        <f>"000"</f>
        <v>000</v>
      </c>
      <c r="G2572">
        <v>9</v>
      </c>
      <c r="H2572" t="str">
        <f>"00"</f>
        <v>00</v>
      </c>
      <c r="I2572" t="str">
        <f t="shared" si="440"/>
        <v>0</v>
      </c>
      <c r="J2572" t="str">
        <f>"00"</f>
        <v>00</v>
      </c>
      <c r="K2572">
        <v>20180921</v>
      </c>
      <c r="L2572" t="str">
        <f>"073890"</f>
        <v>073890</v>
      </c>
      <c r="M2572" t="str">
        <f>"52185"</f>
        <v>52185</v>
      </c>
      <c r="N2572" t="s">
        <v>1748</v>
      </c>
      <c r="O2572" s="1">
        <v>2232</v>
      </c>
      <c r="P2572">
        <v>20180920</v>
      </c>
      <c r="Q2572" t="s">
        <v>1613</v>
      </c>
      <c r="R2572" t="s">
        <v>1749</v>
      </c>
      <c r="S2572" t="s">
        <v>1615</v>
      </c>
      <c r="T2572" t="s">
        <v>296</v>
      </c>
    </row>
    <row r="2573" spans="1:20" x14ac:dyDescent="0.25">
      <c r="A2573">
        <v>9</v>
      </c>
      <c r="B2573">
        <v>199</v>
      </c>
      <c r="C2573" t="str">
        <f>"00"</f>
        <v>00</v>
      </c>
      <c r="D2573">
        <v>2110</v>
      </c>
      <c r="E2573" t="str">
        <f>"18"</f>
        <v>18</v>
      </c>
      <c r="F2573" t="str">
        <f>"000"</f>
        <v>000</v>
      </c>
      <c r="G2573">
        <v>9</v>
      </c>
      <c r="H2573" t="str">
        <f>"00"</f>
        <v>00</v>
      </c>
      <c r="I2573" t="str">
        <f t="shared" si="440"/>
        <v>0</v>
      </c>
      <c r="J2573" t="str">
        <f>"00"</f>
        <v>00</v>
      </c>
      <c r="K2573">
        <v>20180921</v>
      </c>
      <c r="L2573" t="str">
        <f>"073890"</f>
        <v>073890</v>
      </c>
      <c r="M2573" t="str">
        <f>"52185"</f>
        <v>52185</v>
      </c>
      <c r="N2573" t="s">
        <v>1748</v>
      </c>
      <c r="O2573">
        <v>904.8</v>
      </c>
      <c r="P2573">
        <v>20180920</v>
      </c>
      <c r="Q2573" t="s">
        <v>1613</v>
      </c>
      <c r="R2573" t="s">
        <v>1750</v>
      </c>
      <c r="S2573" t="s">
        <v>1615</v>
      </c>
      <c r="T2573" t="s">
        <v>296</v>
      </c>
    </row>
    <row r="2574" spans="1:20" x14ac:dyDescent="0.25">
      <c r="A2574">
        <v>9</v>
      </c>
      <c r="B2574">
        <v>199</v>
      </c>
      <c r="C2574" t="str">
        <f>"12"</f>
        <v>12</v>
      </c>
      <c r="D2574">
        <v>6249</v>
      </c>
      <c r="E2574" t="str">
        <f>"7U"</f>
        <v>7U</v>
      </c>
      <c r="F2574" t="str">
        <f>"001"</f>
        <v>001</v>
      </c>
      <c r="G2574">
        <v>9</v>
      </c>
      <c r="H2574" t="str">
        <f>"11"</f>
        <v>11</v>
      </c>
      <c r="I2574" t="str">
        <f t="shared" si="440"/>
        <v>0</v>
      </c>
      <c r="J2574" t="str">
        <f>"01"</f>
        <v>01</v>
      </c>
      <c r="K2574">
        <v>20180921</v>
      </c>
      <c r="L2574" t="str">
        <f>"073891"</f>
        <v>073891</v>
      </c>
      <c r="M2574" t="str">
        <f>"53995"</f>
        <v>53995</v>
      </c>
      <c r="N2574" t="s">
        <v>1751</v>
      </c>
      <c r="O2574">
        <v>471</v>
      </c>
      <c r="P2574">
        <v>20180920</v>
      </c>
      <c r="Q2574" t="s">
        <v>1752</v>
      </c>
      <c r="R2574" t="s">
        <v>1753</v>
      </c>
      <c r="S2574" t="s">
        <v>1615</v>
      </c>
      <c r="T2574" t="s">
        <v>301</v>
      </c>
    </row>
    <row r="2575" spans="1:20" x14ac:dyDescent="0.25">
      <c r="A2575">
        <v>9</v>
      </c>
      <c r="B2575">
        <v>199</v>
      </c>
      <c r="C2575" t="str">
        <f>"12"</f>
        <v>12</v>
      </c>
      <c r="D2575">
        <v>6398</v>
      </c>
      <c r="E2575" t="str">
        <f>"7U"</f>
        <v>7U</v>
      </c>
      <c r="F2575" t="str">
        <f>"041"</f>
        <v>041</v>
      </c>
      <c r="G2575">
        <v>9</v>
      </c>
      <c r="H2575" t="str">
        <f>"11"</f>
        <v>11</v>
      </c>
      <c r="I2575" t="str">
        <f t="shared" si="440"/>
        <v>0</v>
      </c>
      <c r="J2575" t="str">
        <f>"03"</f>
        <v>03</v>
      </c>
      <c r="K2575">
        <v>20180921</v>
      </c>
      <c r="L2575" t="str">
        <f>"073891"</f>
        <v>073891</v>
      </c>
      <c r="M2575" t="str">
        <f>"53995"</f>
        <v>53995</v>
      </c>
      <c r="N2575" t="s">
        <v>1751</v>
      </c>
      <c r="O2575">
        <v>441</v>
      </c>
      <c r="P2575">
        <v>20180920</v>
      </c>
      <c r="Q2575" t="s">
        <v>1754</v>
      </c>
      <c r="R2575" t="s">
        <v>1755</v>
      </c>
      <c r="S2575" t="s">
        <v>1615</v>
      </c>
      <c r="T2575" t="s">
        <v>106</v>
      </c>
    </row>
    <row r="2576" spans="1:20" x14ac:dyDescent="0.25">
      <c r="A2576">
        <v>9</v>
      </c>
      <c r="B2576">
        <v>199</v>
      </c>
      <c r="C2576" t="str">
        <f>"00"</f>
        <v>00</v>
      </c>
      <c r="D2576">
        <v>2110</v>
      </c>
      <c r="E2576" t="str">
        <f>"18"</f>
        <v>18</v>
      </c>
      <c r="F2576" t="str">
        <f>"000"</f>
        <v>000</v>
      </c>
      <c r="G2576">
        <v>9</v>
      </c>
      <c r="H2576" t="str">
        <f>"00"</f>
        <v>00</v>
      </c>
      <c r="I2576" t="str">
        <f t="shared" si="440"/>
        <v>0</v>
      </c>
      <c r="J2576" t="str">
        <f>"00"</f>
        <v>00</v>
      </c>
      <c r="K2576">
        <v>20180921</v>
      </c>
      <c r="L2576" t="str">
        <f>"073892"</f>
        <v>073892</v>
      </c>
      <c r="M2576" t="str">
        <f>"00501"</f>
        <v>00501</v>
      </c>
      <c r="N2576" t="s">
        <v>1756</v>
      </c>
      <c r="O2576" s="1">
        <v>2120</v>
      </c>
      <c r="P2576">
        <v>20180920</v>
      </c>
      <c r="Q2576" t="s">
        <v>1613</v>
      </c>
      <c r="R2576" t="s">
        <v>1757</v>
      </c>
      <c r="S2576" t="s">
        <v>1615</v>
      </c>
      <c r="T2576" t="s">
        <v>296</v>
      </c>
    </row>
    <row r="2577" spans="1:20" x14ac:dyDescent="0.25">
      <c r="A2577">
        <v>9</v>
      </c>
      <c r="B2577">
        <v>199</v>
      </c>
      <c r="C2577" t="str">
        <f>"99"</f>
        <v>99</v>
      </c>
      <c r="D2577">
        <v>6213</v>
      </c>
      <c r="E2577" t="str">
        <f>"10"</f>
        <v>10</v>
      </c>
      <c r="F2577" t="str">
        <f>"703"</f>
        <v>703</v>
      </c>
      <c r="G2577">
        <v>9</v>
      </c>
      <c r="H2577" t="str">
        <f>"99"</f>
        <v>99</v>
      </c>
      <c r="I2577" t="str">
        <f t="shared" si="440"/>
        <v>0</v>
      </c>
      <c r="J2577" t="str">
        <f>"91"</f>
        <v>91</v>
      </c>
      <c r="K2577">
        <v>20180921</v>
      </c>
      <c r="L2577" t="str">
        <f>"073895"</f>
        <v>073895</v>
      </c>
      <c r="M2577" t="str">
        <f>"56002"</f>
        <v>56002</v>
      </c>
      <c r="N2577" t="s">
        <v>1758</v>
      </c>
      <c r="O2577" s="1">
        <v>109606</v>
      </c>
      <c r="P2577">
        <v>20180920</v>
      </c>
      <c r="Q2577" t="s">
        <v>1759</v>
      </c>
      <c r="R2577" t="s">
        <v>1760</v>
      </c>
      <c r="S2577" t="s">
        <v>1615</v>
      </c>
      <c r="T2577" t="s">
        <v>1761</v>
      </c>
    </row>
    <row r="2578" spans="1:20" x14ac:dyDescent="0.25">
      <c r="A2578">
        <v>9</v>
      </c>
      <c r="B2578">
        <v>199</v>
      </c>
      <c r="C2578" t="str">
        <f>"51"</f>
        <v>51</v>
      </c>
      <c r="D2578">
        <v>6249</v>
      </c>
      <c r="E2578" t="str">
        <f>"M1"</f>
        <v>M1</v>
      </c>
      <c r="F2578" t="str">
        <f>"936"</f>
        <v>936</v>
      </c>
      <c r="G2578">
        <v>9</v>
      </c>
      <c r="H2578" t="str">
        <f>"99"</f>
        <v>99</v>
      </c>
      <c r="I2578" t="str">
        <f t="shared" si="440"/>
        <v>0</v>
      </c>
      <c r="J2578" t="str">
        <f>"81"</f>
        <v>81</v>
      </c>
      <c r="K2578">
        <v>20180921</v>
      </c>
      <c r="L2578" t="str">
        <f>"073897"</f>
        <v>073897</v>
      </c>
      <c r="M2578" t="str">
        <f>"00181"</f>
        <v>00181</v>
      </c>
      <c r="N2578" t="s">
        <v>1762</v>
      </c>
      <c r="O2578">
        <v>320</v>
      </c>
      <c r="P2578">
        <v>20180921</v>
      </c>
      <c r="Q2578" t="s">
        <v>1763</v>
      </c>
      <c r="R2578" s="2">
        <v>43344</v>
      </c>
      <c r="S2578" t="s">
        <v>1615</v>
      </c>
      <c r="T2578" t="s">
        <v>1713</v>
      </c>
    </row>
    <row r="2579" spans="1:20" x14ac:dyDescent="0.25">
      <c r="A2579">
        <v>9</v>
      </c>
      <c r="B2579">
        <v>199</v>
      </c>
      <c r="C2579" t="str">
        <f>"00"</f>
        <v>00</v>
      </c>
      <c r="D2579">
        <v>2110</v>
      </c>
      <c r="E2579" t="str">
        <f>"18"</f>
        <v>18</v>
      </c>
      <c r="F2579" t="str">
        <f>"000"</f>
        <v>000</v>
      </c>
      <c r="G2579">
        <v>9</v>
      </c>
      <c r="H2579" t="str">
        <f>"00"</f>
        <v>00</v>
      </c>
      <c r="I2579" t="str">
        <f t="shared" si="440"/>
        <v>0</v>
      </c>
      <c r="J2579" t="str">
        <f>"00"</f>
        <v>00</v>
      </c>
      <c r="K2579">
        <v>20180921</v>
      </c>
      <c r="L2579" t="str">
        <f>"073903"</f>
        <v>073903</v>
      </c>
      <c r="M2579" t="str">
        <f>"58173"</f>
        <v>58173</v>
      </c>
      <c r="N2579" t="s">
        <v>1764</v>
      </c>
      <c r="O2579">
        <v>600</v>
      </c>
      <c r="P2579">
        <v>20180921</v>
      </c>
      <c r="Q2579" t="s">
        <v>1613</v>
      </c>
      <c r="R2579" s="2">
        <v>43313</v>
      </c>
      <c r="S2579" t="s">
        <v>1615</v>
      </c>
      <c r="T2579" t="s">
        <v>296</v>
      </c>
    </row>
    <row r="2580" spans="1:20" x14ac:dyDescent="0.25">
      <c r="A2580">
        <v>9</v>
      </c>
      <c r="B2580">
        <v>199</v>
      </c>
      <c r="C2580" t="str">
        <f>"00"</f>
        <v>00</v>
      </c>
      <c r="D2580">
        <v>2110</v>
      </c>
      <c r="E2580" t="str">
        <f>"18"</f>
        <v>18</v>
      </c>
      <c r="F2580" t="str">
        <f>"000"</f>
        <v>000</v>
      </c>
      <c r="G2580">
        <v>9</v>
      </c>
      <c r="H2580" t="str">
        <f>"00"</f>
        <v>00</v>
      </c>
      <c r="I2580" t="str">
        <f t="shared" si="440"/>
        <v>0</v>
      </c>
      <c r="J2580" t="str">
        <f>"00"</f>
        <v>00</v>
      </c>
      <c r="K2580">
        <v>20180921</v>
      </c>
      <c r="L2580" t="str">
        <f>"073904"</f>
        <v>073904</v>
      </c>
      <c r="M2580" t="str">
        <f>"58200"</f>
        <v>58200</v>
      </c>
      <c r="N2580" t="s">
        <v>1765</v>
      </c>
      <c r="O2580">
        <v>44.67</v>
      </c>
      <c r="P2580">
        <v>20180921</v>
      </c>
      <c r="Q2580" t="s">
        <v>1613</v>
      </c>
      <c r="R2580" t="s">
        <v>1766</v>
      </c>
      <c r="S2580" t="s">
        <v>1615</v>
      </c>
      <c r="T2580" t="s">
        <v>296</v>
      </c>
    </row>
    <row r="2581" spans="1:20" x14ac:dyDescent="0.25">
      <c r="A2581">
        <v>9</v>
      </c>
      <c r="B2581">
        <v>199</v>
      </c>
      <c r="C2581" t="str">
        <f>"11"</f>
        <v>11</v>
      </c>
      <c r="D2581">
        <v>6399</v>
      </c>
      <c r="E2581" t="str">
        <f>"7K"</f>
        <v>7K</v>
      </c>
      <c r="F2581" t="str">
        <f>"001"</f>
        <v>001</v>
      </c>
      <c r="G2581">
        <v>9</v>
      </c>
      <c r="H2581" t="str">
        <f>"11"</f>
        <v>11</v>
      </c>
      <c r="I2581" t="str">
        <f t="shared" si="440"/>
        <v>0</v>
      </c>
      <c r="J2581" t="str">
        <f>"01"</f>
        <v>01</v>
      </c>
      <c r="K2581">
        <v>20180921</v>
      </c>
      <c r="L2581" t="str">
        <f>"073905"</f>
        <v>073905</v>
      </c>
      <c r="M2581" t="str">
        <f>"58204"</f>
        <v>58204</v>
      </c>
      <c r="N2581" t="s">
        <v>1767</v>
      </c>
      <c r="O2581">
        <v>240</v>
      </c>
      <c r="P2581">
        <v>20180921</v>
      </c>
      <c r="Q2581" t="s">
        <v>1671</v>
      </c>
      <c r="R2581" t="s">
        <v>1651</v>
      </c>
      <c r="S2581" t="s">
        <v>1615</v>
      </c>
      <c r="T2581" t="s">
        <v>301</v>
      </c>
    </row>
    <row r="2582" spans="1:20" x14ac:dyDescent="0.25">
      <c r="A2582">
        <v>9</v>
      </c>
      <c r="B2582">
        <v>199</v>
      </c>
      <c r="C2582" t="str">
        <f>"23"</f>
        <v>23</v>
      </c>
      <c r="D2582">
        <v>6397</v>
      </c>
      <c r="E2582" t="str">
        <f>"10"</f>
        <v>10</v>
      </c>
      <c r="F2582" t="str">
        <f>"001"</f>
        <v>001</v>
      </c>
      <c r="G2582">
        <v>9</v>
      </c>
      <c r="H2582" t="str">
        <f>"99"</f>
        <v>99</v>
      </c>
      <c r="I2582" t="str">
        <f t="shared" si="440"/>
        <v>0</v>
      </c>
      <c r="J2582" t="str">
        <f>"01"</f>
        <v>01</v>
      </c>
      <c r="K2582">
        <v>20180921</v>
      </c>
      <c r="L2582" t="str">
        <f>"073905"</f>
        <v>073905</v>
      </c>
      <c r="M2582" t="str">
        <f>"58204"</f>
        <v>58204</v>
      </c>
      <c r="N2582" t="s">
        <v>1767</v>
      </c>
      <c r="O2582">
        <v>47.7</v>
      </c>
      <c r="P2582">
        <v>20180921</v>
      </c>
      <c r="Q2582" t="s">
        <v>1768</v>
      </c>
      <c r="R2582" t="s">
        <v>1769</v>
      </c>
      <c r="S2582" t="s">
        <v>1615</v>
      </c>
      <c r="T2582" t="s">
        <v>301</v>
      </c>
    </row>
    <row r="2583" spans="1:20" x14ac:dyDescent="0.25">
      <c r="A2583">
        <v>9</v>
      </c>
      <c r="B2583">
        <v>199</v>
      </c>
      <c r="C2583" t="str">
        <f>"36"</f>
        <v>36</v>
      </c>
      <c r="D2583">
        <v>6399</v>
      </c>
      <c r="E2583" t="str">
        <f>"HC"</f>
        <v>HC</v>
      </c>
      <c r="F2583" t="str">
        <f>"001"</f>
        <v>001</v>
      </c>
      <c r="G2583">
        <v>9</v>
      </c>
      <c r="H2583" t="str">
        <f>"99"</f>
        <v>99</v>
      </c>
      <c r="I2583" t="str">
        <f t="shared" si="440"/>
        <v>0</v>
      </c>
      <c r="J2583" t="str">
        <f>"01"</f>
        <v>01</v>
      </c>
      <c r="K2583">
        <v>20180921</v>
      </c>
      <c r="L2583" t="str">
        <f>"073905"</f>
        <v>073905</v>
      </c>
      <c r="M2583" t="str">
        <f>"58204"</f>
        <v>58204</v>
      </c>
      <c r="N2583" t="s">
        <v>1767</v>
      </c>
      <c r="O2583">
        <v>78</v>
      </c>
      <c r="P2583">
        <v>20180921</v>
      </c>
      <c r="Q2583" t="s">
        <v>1770</v>
      </c>
      <c r="R2583" t="s">
        <v>1771</v>
      </c>
      <c r="S2583" t="s">
        <v>1615</v>
      </c>
      <c r="T2583" t="s">
        <v>301</v>
      </c>
    </row>
    <row r="2584" spans="1:20" x14ac:dyDescent="0.25">
      <c r="A2584">
        <v>9</v>
      </c>
      <c r="B2584">
        <v>199</v>
      </c>
      <c r="C2584" t="str">
        <f>"00"</f>
        <v>00</v>
      </c>
      <c r="D2584">
        <v>2110</v>
      </c>
      <c r="E2584" t="str">
        <f>"18"</f>
        <v>18</v>
      </c>
      <c r="F2584" t="str">
        <f>"000"</f>
        <v>000</v>
      </c>
      <c r="G2584">
        <v>9</v>
      </c>
      <c r="H2584" t="str">
        <f>"00"</f>
        <v>00</v>
      </c>
      <c r="I2584" t="str">
        <f t="shared" si="440"/>
        <v>0</v>
      </c>
      <c r="J2584" t="str">
        <f>"00"</f>
        <v>00</v>
      </c>
      <c r="K2584">
        <v>20180921</v>
      </c>
      <c r="L2584" t="str">
        <f>"073906"</f>
        <v>073906</v>
      </c>
      <c r="M2584" t="str">
        <f>"58927"</f>
        <v>58927</v>
      </c>
      <c r="N2584" t="s">
        <v>1772</v>
      </c>
      <c r="O2584">
        <v>55</v>
      </c>
      <c r="P2584">
        <v>20180921</v>
      </c>
      <c r="Q2584" t="s">
        <v>1613</v>
      </c>
      <c r="R2584" t="s">
        <v>1773</v>
      </c>
      <c r="S2584" t="s">
        <v>1615</v>
      </c>
      <c r="T2584" t="s">
        <v>296</v>
      </c>
    </row>
    <row r="2585" spans="1:20" x14ac:dyDescent="0.25">
      <c r="A2585">
        <v>9</v>
      </c>
      <c r="B2585">
        <v>199</v>
      </c>
      <c r="C2585" t="str">
        <f>"00"</f>
        <v>00</v>
      </c>
      <c r="D2585">
        <v>2110</v>
      </c>
      <c r="E2585" t="str">
        <f>"18"</f>
        <v>18</v>
      </c>
      <c r="F2585" t="str">
        <f>"000"</f>
        <v>000</v>
      </c>
      <c r="G2585">
        <v>9</v>
      </c>
      <c r="H2585" t="str">
        <f>"00"</f>
        <v>00</v>
      </c>
      <c r="I2585" t="str">
        <f t="shared" si="440"/>
        <v>0</v>
      </c>
      <c r="J2585" t="str">
        <f>"00"</f>
        <v>00</v>
      </c>
      <c r="K2585">
        <v>20180921</v>
      </c>
      <c r="L2585" t="str">
        <f>"073906"</f>
        <v>073906</v>
      </c>
      <c r="M2585" t="str">
        <f>"58927"</f>
        <v>58927</v>
      </c>
      <c r="N2585" t="s">
        <v>1772</v>
      </c>
      <c r="O2585">
        <v>55</v>
      </c>
      <c r="P2585">
        <v>20180921</v>
      </c>
      <c r="Q2585" t="s">
        <v>1613</v>
      </c>
      <c r="R2585" t="s">
        <v>1774</v>
      </c>
      <c r="S2585" t="s">
        <v>1615</v>
      </c>
      <c r="T2585" t="s">
        <v>296</v>
      </c>
    </row>
    <row r="2586" spans="1:20" x14ac:dyDescent="0.25">
      <c r="A2586">
        <v>9</v>
      </c>
      <c r="B2586">
        <v>199</v>
      </c>
      <c r="C2586" t="str">
        <f>"41"</f>
        <v>41</v>
      </c>
      <c r="D2586">
        <v>6264</v>
      </c>
      <c r="E2586" t="str">
        <f>"10"</f>
        <v>10</v>
      </c>
      <c r="F2586" t="str">
        <f>"934"</f>
        <v>934</v>
      </c>
      <c r="G2586">
        <v>9</v>
      </c>
      <c r="H2586" t="str">
        <f>"99"</f>
        <v>99</v>
      </c>
      <c r="I2586" t="str">
        <f t="shared" si="440"/>
        <v>0</v>
      </c>
      <c r="J2586" t="str">
        <f>"91"</f>
        <v>91</v>
      </c>
      <c r="K2586">
        <v>20180921</v>
      </c>
      <c r="L2586" t="str">
        <f>"073907"</f>
        <v>073907</v>
      </c>
      <c r="M2586" t="str">
        <f>"58936"</f>
        <v>58936</v>
      </c>
      <c r="N2586" t="s">
        <v>1775</v>
      </c>
      <c r="O2586">
        <v>180</v>
      </c>
      <c r="P2586">
        <v>20180921</v>
      </c>
      <c r="Q2586" t="s">
        <v>1776</v>
      </c>
      <c r="R2586" t="s">
        <v>1777</v>
      </c>
      <c r="S2586" t="s">
        <v>1615</v>
      </c>
      <c r="T2586" t="s">
        <v>1778</v>
      </c>
    </row>
    <row r="2587" spans="1:20" x14ac:dyDescent="0.25">
      <c r="A2587">
        <v>9</v>
      </c>
      <c r="B2587">
        <v>199</v>
      </c>
      <c r="C2587" t="str">
        <f>"36"</f>
        <v>36</v>
      </c>
      <c r="D2587">
        <v>6399</v>
      </c>
      <c r="E2587" t="str">
        <f>"8S"</f>
        <v>8S</v>
      </c>
      <c r="F2587" t="str">
        <f>"001"</f>
        <v>001</v>
      </c>
      <c r="G2587">
        <v>9</v>
      </c>
      <c r="H2587" t="str">
        <f>"99"</f>
        <v>99</v>
      </c>
      <c r="I2587" t="str">
        <f t="shared" si="440"/>
        <v>0</v>
      </c>
      <c r="J2587" t="str">
        <f>"01"</f>
        <v>01</v>
      </c>
      <c r="K2587">
        <v>20180921</v>
      </c>
      <c r="L2587" t="str">
        <f>"073908"</f>
        <v>073908</v>
      </c>
      <c r="M2587" t="str">
        <f>"00061"</f>
        <v>00061</v>
      </c>
      <c r="N2587" t="s">
        <v>1779</v>
      </c>
      <c r="O2587">
        <v>228</v>
      </c>
      <c r="P2587">
        <v>20180921</v>
      </c>
      <c r="Q2587" t="s">
        <v>1780</v>
      </c>
      <c r="R2587" t="s">
        <v>1781</v>
      </c>
      <c r="S2587" t="s">
        <v>1615</v>
      </c>
      <c r="T2587" t="s">
        <v>301</v>
      </c>
    </row>
    <row r="2588" spans="1:20" x14ac:dyDescent="0.25">
      <c r="A2588">
        <v>9</v>
      </c>
      <c r="B2588">
        <v>199</v>
      </c>
      <c r="C2588" t="str">
        <f>"23"</f>
        <v>23</v>
      </c>
      <c r="D2588">
        <v>6299</v>
      </c>
      <c r="E2588" t="str">
        <f>"10"</f>
        <v>10</v>
      </c>
      <c r="F2588" t="str">
        <f>"101"</f>
        <v>101</v>
      </c>
      <c r="G2588">
        <v>9</v>
      </c>
      <c r="H2588" t="str">
        <f>"99"</f>
        <v>99</v>
      </c>
      <c r="I2588" t="str">
        <f t="shared" si="440"/>
        <v>0</v>
      </c>
      <c r="J2588" t="str">
        <f>"04"</f>
        <v>04</v>
      </c>
      <c r="K2588">
        <v>20180921</v>
      </c>
      <c r="L2588" t="str">
        <f>"073911"</f>
        <v>073911</v>
      </c>
      <c r="M2588" t="str">
        <f>"61221"</f>
        <v>61221</v>
      </c>
      <c r="N2588" t="s">
        <v>1782</v>
      </c>
      <c r="O2588">
        <v>510</v>
      </c>
      <c r="P2588">
        <v>20180921</v>
      </c>
      <c r="Q2588" t="s">
        <v>1783</v>
      </c>
      <c r="R2588" t="s">
        <v>1784</v>
      </c>
      <c r="S2588" t="s">
        <v>1615</v>
      </c>
      <c r="T2588" t="s">
        <v>1479</v>
      </c>
    </row>
    <row r="2589" spans="1:20" x14ac:dyDescent="0.25">
      <c r="A2589">
        <v>9</v>
      </c>
      <c r="B2589">
        <v>199</v>
      </c>
      <c r="C2589" t="str">
        <f>"23"</f>
        <v>23</v>
      </c>
      <c r="D2589">
        <v>6399</v>
      </c>
      <c r="E2589" t="str">
        <f>"10"</f>
        <v>10</v>
      </c>
      <c r="F2589" t="str">
        <f>"001"</f>
        <v>001</v>
      </c>
      <c r="G2589">
        <v>9</v>
      </c>
      <c r="H2589" t="str">
        <f>"99"</f>
        <v>99</v>
      </c>
      <c r="I2589" t="str">
        <f t="shared" si="440"/>
        <v>0</v>
      </c>
      <c r="J2589" t="str">
        <f>"01"</f>
        <v>01</v>
      </c>
      <c r="K2589">
        <v>20180921</v>
      </c>
      <c r="L2589" t="str">
        <f>"073911"</f>
        <v>073911</v>
      </c>
      <c r="M2589" t="str">
        <f>"61221"</f>
        <v>61221</v>
      </c>
      <c r="N2589" t="s">
        <v>1782</v>
      </c>
      <c r="O2589">
        <v>100</v>
      </c>
      <c r="P2589">
        <v>20180921</v>
      </c>
      <c r="Q2589" t="s">
        <v>1785</v>
      </c>
      <c r="R2589" t="s">
        <v>1786</v>
      </c>
      <c r="S2589" t="s">
        <v>1615</v>
      </c>
      <c r="T2589" t="s">
        <v>301</v>
      </c>
    </row>
    <row r="2590" spans="1:20" x14ac:dyDescent="0.25">
      <c r="A2590">
        <v>9</v>
      </c>
      <c r="B2590">
        <v>199</v>
      </c>
      <c r="C2590" t="str">
        <f>"00"</f>
        <v>00</v>
      </c>
      <c r="D2590">
        <v>2110</v>
      </c>
      <c r="E2590" t="str">
        <f>"18"</f>
        <v>18</v>
      </c>
      <c r="F2590" t="str">
        <f>"000"</f>
        <v>000</v>
      </c>
      <c r="G2590">
        <v>9</v>
      </c>
      <c r="H2590" t="str">
        <f>"00"</f>
        <v>00</v>
      </c>
      <c r="I2590" t="str">
        <f t="shared" si="440"/>
        <v>0</v>
      </c>
      <c r="J2590" t="str">
        <f>"00"</f>
        <v>00</v>
      </c>
      <c r="K2590">
        <v>20180921</v>
      </c>
      <c r="L2590" t="str">
        <f>"073914"</f>
        <v>073914</v>
      </c>
      <c r="M2590" t="str">
        <f>"62340"</f>
        <v>62340</v>
      </c>
      <c r="N2590" t="s">
        <v>1787</v>
      </c>
      <c r="O2590">
        <v>570.86</v>
      </c>
      <c r="P2590">
        <v>20180921</v>
      </c>
      <c r="Q2590" t="s">
        <v>1613</v>
      </c>
      <c r="R2590" t="s">
        <v>1788</v>
      </c>
      <c r="S2590" t="s">
        <v>1615</v>
      </c>
      <c r="T2590" t="s">
        <v>296</v>
      </c>
    </row>
    <row r="2591" spans="1:20" x14ac:dyDescent="0.25">
      <c r="A2591">
        <v>9</v>
      </c>
      <c r="B2591">
        <v>199</v>
      </c>
      <c r="C2591" t="str">
        <f>"51"</f>
        <v>51</v>
      </c>
      <c r="D2591">
        <v>6259</v>
      </c>
      <c r="E2591" t="str">
        <f>"10"</f>
        <v>10</v>
      </c>
      <c r="F2591" t="str">
        <f>"936"</f>
        <v>936</v>
      </c>
      <c r="G2591">
        <v>9</v>
      </c>
      <c r="H2591" t="str">
        <f>"99"</f>
        <v>99</v>
      </c>
      <c r="I2591" t="str">
        <f t="shared" si="440"/>
        <v>0</v>
      </c>
      <c r="J2591" t="str">
        <f>"73"</f>
        <v>73</v>
      </c>
      <c r="K2591">
        <v>20180921</v>
      </c>
      <c r="L2591" t="str">
        <f>"073914"</f>
        <v>073914</v>
      </c>
      <c r="M2591" t="str">
        <f>"62340"</f>
        <v>62340</v>
      </c>
      <c r="N2591" t="s">
        <v>1787</v>
      </c>
      <c r="O2591" s="1">
        <v>5066.6499999999996</v>
      </c>
      <c r="P2591">
        <v>20180921</v>
      </c>
      <c r="Q2591" t="s">
        <v>1789</v>
      </c>
      <c r="R2591" t="s">
        <v>1790</v>
      </c>
      <c r="S2591" t="s">
        <v>1615</v>
      </c>
      <c r="T2591" t="s">
        <v>1713</v>
      </c>
    </row>
    <row r="2592" spans="1:20" x14ac:dyDescent="0.25">
      <c r="A2592">
        <v>9</v>
      </c>
      <c r="B2592">
        <v>199</v>
      </c>
      <c r="C2592" t="str">
        <f>"41"</f>
        <v>41</v>
      </c>
      <c r="D2592">
        <v>6499</v>
      </c>
      <c r="E2592" t="str">
        <f>"10"</f>
        <v>10</v>
      </c>
      <c r="F2592" t="str">
        <f>"730"</f>
        <v>730</v>
      </c>
      <c r="G2592">
        <v>9</v>
      </c>
      <c r="H2592" t="str">
        <f>"99"</f>
        <v>99</v>
      </c>
      <c r="I2592" t="str">
        <f t="shared" si="440"/>
        <v>0</v>
      </c>
      <c r="J2592" t="str">
        <f>"95"</f>
        <v>95</v>
      </c>
      <c r="K2592">
        <v>20180921</v>
      </c>
      <c r="L2592" t="str">
        <f>"073916"</f>
        <v>073916</v>
      </c>
      <c r="M2592" t="str">
        <f>"62881"</f>
        <v>62881</v>
      </c>
      <c r="N2592" t="s">
        <v>1791</v>
      </c>
      <c r="O2592">
        <v>142.82</v>
      </c>
      <c r="P2592">
        <v>20180921</v>
      </c>
      <c r="Q2592" t="s">
        <v>1792</v>
      </c>
      <c r="R2592" t="s">
        <v>1793</v>
      </c>
      <c r="S2592" t="s">
        <v>1615</v>
      </c>
      <c r="T2592" t="s">
        <v>1794</v>
      </c>
    </row>
    <row r="2593" spans="1:20" x14ac:dyDescent="0.25">
      <c r="A2593">
        <v>9</v>
      </c>
      <c r="B2593">
        <v>199</v>
      </c>
      <c r="C2593" t="str">
        <f>"11"</f>
        <v>11</v>
      </c>
      <c r="D2593">
        <v>6249</v>
      </c>
      <c r="E2593" t="str">
        <f>"57"</f>
        <v>57</v>
      </c>
      <c r="F2593" t="str">
        <f>"001"</f>
        <v>001</v>
      </c>
      <c r="G2593">
        <v>9</v>
      </c>
      <c r="H2593" t="str">
        <f>"11"</f>
        <v>11</v>
      </c>
      <c r="I2593" t="str">
        <f t="shared" si="440"/>
        <v>0</v>
      </c>
      <c r="J2593" t="str">
        <f>"80"</f>
        <v>80</v>
      </c>
      <c r="K2593">
        <v>20180921</v>
      </c>
      <c r="L2593" t="str">
        <f>"073924"</f>
        <v>073924</v>
      </c>
      <c r="M2593" t="str">
        <f>"70058"</f>
        <v>70058</v>
      </c>
      <c r="N2593" t="s">
        <v>1795</v>
      </c>
      <c r="O2593">
        <v>805.25</v>
      </c>
      <c r="P2593">
        <v>20180921</v>
      </c>
      <c r="Q2593" t="s">
        <v>1796</v>
      </c>
      <c r="R2593" t="s">
        <v>1797</v>
      </c>
      <c r="S2593" t="s">
        <v>1615</v>
      </c>
      <c r="T2593" t="s">
        <v>301</v>
      </c>
    </row>
    <row r="2594" spans="1:20" x14ac:dyDescent="0.25">
      <c r="A2594">
        <v>9</v>
      </c>
      <c r="B2594">
        <v>199</v>
      </c>
      <c r="C2594" t="str">
        <f>"11"</f>
        <v>11</v>
      </c>
      <c r="D2594">
        <v>6249</v>
      </c>
      <c r="E2594" t="str">
        <f>"57"</f>
        <v>57</v>
      </c>
      <c r="F2594" t="str">
        <f>"041"</f>
        <v>041</v>
      </c>
      <c r="G2594">
        <v>9</v>
      </c>
      <c r="H2594" t="str">
        <f>"11"</f>
        <v>11</v>
      </c>
      <c r="I2594" t="str">
        <f t="shared" si="440"/>
        <v>0</v>
      </c>
      <c r="J2594" t="str">
        <f>"80"</f>
        <v>80</v>
      </c>
      <c r="K2594">
        <v>20180921</v>
      </c>
      <c r="L2594" t="str">
        <f>"073924"</f>
        <v>073924</v>
      </c>
      <c r="M2594" t="str">
        <f>"70058"</f>
        <v>70058</v>
      </c>
      <c r="N2594" t="s">
        <v>1795</v>
      </c>
      <c r="O2594">
        <v>805.25</v>
      </c>
      <c r="P2594">
        <v>20180921</v>
      </c>
      <c r="Q2594" t="s">
        <v>1798</v>
      </c>
      <c r="R2594" t="s">
        <v>1797</v>
      </c>
      <c r="S2594" t="s">
        <v>1615</v>
      </c>
      <c r="T2594" t="s">
        <v>106</v>
      </c>
    </row>
    <row r="2595" spans="1:20" x14ac:dyDescent="0.25">
      <c r="A2595">
        <v>9</v>
      </c>
      <c r="B2595">
        <v>199</v>
      </c>
      <c r="C2595" t="str">
        <f>"11"</f>
        <v>11</v>
      </c>
      <c r="D2595">
        <v>6249</v>
      </c>
      <c r="E2595" t="str">
        <f>"57"</f>
        <v>57</v>
      </c>
      <c r="F2595" t="str">
        <f>"101"</f>
        <v>101</v>
      </c>
      <c r="G2595">
        <v>9</v>
      </c>
      <c r="H2595" t="str">
        <f>"11"</f>
        <v>11</v>
      </c>
      <c r="I2595" t="str">
        <f t="shared" si="440"/>
        <v>0</v>
      </c>
      <c r="J2595" t="str">
        <f>"80"</f>
        <v>80</v>
      </c>
      <c r="K2595">
        <v>20180921</v>
      </c>
      <c r="L2595" t="str">
        <f>"073924"</f>
        <v>073924</v>
      </c>
      <c r="M2595" t="str">
        <f>"70058"</f>
        <v>70058</v>
      </c>
      <c r="N2595" t="s">
        <v>1795</v>
      </c>
      <c r="O2595">
        <v>805.25</v>
      </c>
      <c r="P2595">
        <v>20180921</v>
      </c>
      <c r="Q2595" t="s">
        <v>1799</v>
      </c>
      <c r="R2595" t="s">
        <v>1797</v>
      </c>
      <c r="S2595" t="s">
        <v>1615</v>
      </c>
      <c r="T2595" t="s">
        <v>1479</v>
      </c>
    </row>
    <row r="2596" spans="1:20" x14ac:dyDescent="0.25">
      <c r="A2596">
        <v>9</v>
      </c>
      <c r="B2596">
        <v>199</v>
      </c>
      <c r="C2596" t="str">
        <f>"11"</f>
        <v>11</v>
      </c>
      <c r="D2596">
        <v>6249</v>
      </c>
      <c r="E2596" t="str">
        <f>"57"</f>
        <v>57</v>
      </c>
      <c r="F2596" t="str">
        <f>"104"</f>
        <v>104</v>
      </c>
      <c r="G2596">
        <v>9</v>
      </c>
      <c r="H2596" t="str">
        <f>"11"</f>
        <v>11</v>
      </c>
      <c r="I2596" t="str">
        <f t="shared" si="440"/>
        <v>0</v>
      </c>
      <c r="J2596" t="str">
        <f>"80"</f>
        <v>80</v>
      </c>
      <c r="K2596">
        <v>20180921</v>
      </c>
      <c r="L2596" t="str">
        <f>"073924"</f>
        <v>073924</v>
      </c>
      <c r="M2596" t="str">
        <f>"70058"</f>
        <v>70058</v>
      </c>
      <c r="N2596" t="s">
        <v>1795</v>
      </c>
      <c r="O2596">
        <v>805.25</v>
      </c>
      <c r="P2596">
        <v>20180921</v>
      </c>
      <c r="Q2596" t="s">
        <v>1800</v>
      </c>
      <c r="R2596" t="s">
        <v>1797</v>
      </c>
      <c r="S2596" t="s">
        <v>1615</v>
      </c>
      <c r="T2596" t="s">
        <v>46</v>
      </c>
    </row>
    <row r="2597" spans="1:20" x14ac:dyDescent="0.25">
      <c r="A2597">
        <v>9</v>
      </c>
      <c r="B2597">
        <v>199</v>
      </c>
      <c r="C2597" t="str">
        <f>"00"</f>
        <v>00</v>
      </c>
      <c r="D2597">
        <v>2110</v>
      </c>
      <c r="E2597" t="str">
        <f>"18"</f>
        <v>18</v>
      </c>
      <c r="F2597" t="str">
        <f>"000"</f>
        <v>000</v>
      </c>
      <c r="G2597">
        <v>9</v>
      </c>
      <c r="H2597" t="str">
        <f>"00"</f>
        <v>00</v>
      </c>
      <c r="I2597" t="str">
        <f t="shared" si="440"/>
        <v>0</v>
      </c>
      <c r="J2597" t="str">
        <f>"00"</f>
        <v>00</v>
      </c>
      <c r="K2597">
        <v>20180921</v>
      </c>
      <c r="L2597" t="str">
        <f>"073925"</f>
        <v>073925</v>
      </c>
      <c r="M2597" t="str">
        <f>"70668"</f>
        <v>70668</v>
      </c>
      <c r="N2597" t="s">
        <v>1801</v>
      </c>
      <c r="O2597">
        <v>346.8</v>
      </c>
      <c r="P2597">
        <v>20180921</v>
      </c>
      <c r="Q2597" t="s">
        <v>1613</v>
      </c>
      <c r="R2597" t="s">
        <v>1802</v>
      </c>
      <c r="S2597" t="s">
        <v>1615</v>
      </c>
      <c r="T2597" t="s">
        <v>296</v>
      </c>
    </row>
    <row r="2598" spans="1:20" x14ac:dyDescent="0.25">
      <c r="A2598">
        <v>9</v>
      </c>
      <c r="B2598">
        <v>199</v>
      </c>
      <c r="C2598" t="str">
        <f>"00"</f>
        <v>00</v>
      </c>
      <c r="D2598">
        <v>2110</v>
      </c>
      <c r="E2598" t="str">
        <f>"18"</f>
        <v>18</v>
      </c>
      <c r="F2598" t="str">
        <f>"000"</f>
        <v>000</v>
      </c>
      <c r="G2598">
        <v>9</v>
      </c>
      <c r="H2598" t="str">
        <f>"00"</f>
        <v>00</v>
      </c>
      <c r="I2598" t="str">
        <f t="shared" si="440"/>
        <v>0</v>
      </c>
      <c r="J2598" t="str">
        <f>"00"</f>
        <v>00</v>
      </c>
      <c r="K2598">
        <v>20180921</v>
      </c>
      <c r="L2598" t="str">
        <f>"073926"</f>
        <v>073926</v>
      </c>
      <c r="M2598" t="str">
        <f>"71225"</f>
        <v>71225</v>
      </c>
      <c r="N2598" t="s">
        <v>1803</v>
      </c>
      <c r="O2598">
        <v>40</v>
      </c>
      <c r="P2598">
        <v>20180921</v>
      </c>
      <c r="Q2598" t="s">
        <v>1613</v>
      </c>
      <c r="R2598" t="s">
        <v>1804</v>
      </c>
      <c r="S2598" t="s">
        <v>1615</v>
      </c>
      <c r="T2598" t="s">
        <v>296</v>
      </c>
    </row>
    <row r="2599" spans="1:20" x14ac:dyDescent="0.25">
      <c r="A2599">
        <v>9</v>
      </c>
      <c r="B2599">
        <v>199</v>
      </c>
      <c r="C2599" t="str">
        <f>"00"</f>
        <v>00</v>
      </c>
      <c r="D2599">
        <v>2110</v>
      </c>
      <c r="E2599" t="str">
        <f>"18"</f>
        <v>18</v>
      </c>
      <c r="F2599" t="str">
        <f>"000"</f>
        <v>000</v>
      </c>
      <c r="G2599">
        <v>9</v>
      </c>
      <c r="H2599" t="str">
        <f>"00"</f>
        <v>00</v>
      </c>
      <c r="I2599" t="str">
        <f t="shared" si="440"/>
        <v>0</v>
      </c>
      <c r="J2599" t="str">
        <f>"00"</f>
        <v>00</v>
      </c>
      <c r="K2599">
        <v>20180921</v>
      </c>
      <c r="L2599" t="str">
        <f>"073927"</f>
        <v>073927</v>
      </c>
      <c r="M2599" t="str">
        <f>"00406"</f>
        <v>00406</v>
      </c>
      <c r="N2599" t="s">
        <v>1805</v>
      </c>
      <c r="O2599">
        <v>300</v>
      </c>
      <c r="P2599">
        <v>20180921</v>
      </c>
      <c r="Q2599" t="s">
        <v>1613</v>
      </c>
      <c r="R2599" t="s">
        <v>1806</v>
      </c>
      <c r="S2599" t="s">
        <v>1615</v>
      </c>
      <c r="T2599" t="s">
        <v>296</v>
      </c>
    </row>
    <row r="2600" spans="1:20" x14ac:dyDescent="0.25">
      <c r="A2600">
        <v>9</v>
      </c>
      <c r="B2600">
        <v>199</v>
      </c>
      <c r="C2600" t="str">
        <f>"34"</f>
        <v>34</v>
      </c>
      <c r="D2600">
        <v>6219</v>
      </c>
      <c r="E2600" t="str">
        <f>"10"</f>
        <v>10</v>
      </c>
      <c r="F2600" t="str">
        <f>"937"</f>
        <v>937</v>
      </c>
      <c r="G2600">
        <v>9</v>
      </c>
      <c r="H2600" t="str">
        <f>"99"</f>
        <v>99</v>
      </c>
      <c r="I2600" t="str">
        <f t="shared" si="440"/>
        <v>0</v>
      </c>
      <c r="J2600" t="str">
        <f>"82"</f>
        <v>82</v>
      </c>
      <c r="K2600">
        <v>20180921</v>
      </c>
      <c r="L2600" t="str">
        <f>"073929"</f>
        <v>073929</v>
      </c>
      <c r="M2600" t="str">
        <f>"74161"</f>
        <v>74161</v>
      </c>
      <c r="N2600" t="s">
        <v>1807</v>
      </c>
      <c r="O2600">
        <v>550</v>
      </c>
      <c r="P2600">
        <v>20180921</v>
      </c>
      <c r="Q2600" t="s">
        <v>1808</v>
      </c>
      <c r="R2600" t="s">
        <v>1809</v>
      </c>
      <c r="S2600" t="s">
        <v>1615</v>
      </c>
      <c r="T2600" t="s">
        <v>1810</v>
      </c>
    </row>
    <row r="2601" spans="1:20" x14ac:dyDescent="0.25">
      <c r="A2601">
        <v>9</v>
      </c>
      <c r="B2601">
        <v>199</v>
      </c>
      <c r="C2601" t="str">
        <f>"00"</f>
        <v>00</v>
      </c>
      <c r="D2601">
        <v>2110</v>
      </c>
      <c r="E2601" t="str">
        <f>"18"</f>
        <v>18</v>
      </c>
      <c r="F2601" t="str">
        <f>"000"</f>
        <v>000</v>
      </c>
      <c r="G2601">
        <v>9</v>
      </c>
      <c r="H2601" t="str">
        <f>"00"</f>
        <v>00</v>
      </c>
      <c r="I2601" t="str">
        <f t="shared" ref="I2601:I2632" si="441">"0"</f>
        <v>0</v>
      </c>
      <c r="J2601" t="str">
        <f>"00"</f>
        <v>00</v>
      </c>
      <c r="K2601">
        <v>20180921</v>
      </c>
      <c r="L2601" t="str">
        <f>"073930"</f>
        <v>073930</v>
      </c>
      <c r="M2601" t="str">
        <f>"76531"</f>
        <v>76531</v>
      </c>
      <c r="N2601" t="s">
        <v>1811</v>
      </c>
      <c r="O2601" s="1">
        <v>1750</v>
      </c>
      <c r="P2601">
        <v>20180921</v>
      </c>
      <c r="Q2601" t="s">
        <v>1613</v>
      </c>
      <c r="R2601" t="s">
        <v>1718</v>
      </c>
      <c r="S2601" t="s">
        <v>1615</v>
      </c>
      <c r="T2601" t="s">
        <v>296</v>
      </c>
    </row>
    <row r="2602" spans="1:20" x14ac:dyDescent="0.25">
      <c r="A2602">
        <v>9</v>
      </c>
      <c r="B2602">
        <v>199</v>
      </c>
      <c r="C2602" t="str">
        <f>"41"</f>
        <v>41</v>
      </c>
      <c r="D2602">
        <v>6495</v>
      </c>
      <c r="E2602" t="str">
        <f>"10"</f>
        <v>10</v>
      </c>
      <c r="F2602" t="str">
        <f>"702"</f>
        <v>702</v>
      </c>
      <c r="G2602">
        <v>9</v>
      </c>
      <c r="H2602" t="str">
        <f>"99"</f>
        <v>99</v>
      </c>
      <c r="I2602" t="str">
        <f t="shared" si="441"/>
        <v>0</v>
      </c>
      <c r="J2602" t="str">
        <f>"93"</f>
        <v>93</v>
      </c>
      <c r="K2602">
        <v>20180921</v>
      </c>
      <c r="L2602" t="str">
        <f>"073931"</f>
        <v>073931</v>
      </c>
      <c r="M2602" t="str">
        <f>"74385"</f>
        <v>74385</v>
      </c>
      <c r="N2602" t="s">
        <v>1812</v>
      </c>
      <c r="O2602" s="1">
        <v>1250</v>
      </c>
      <c r="P2602">
        <v>20180921</v>
      </c>
      <c r="Q2602" t="s">
        <v>1813</v>
      </c>
      <c r="R2602" t="s">
        <v>1814</v>
      </c>
      <c r="S2602" t="s">
        <v>1615</v>
      </c>
      <c r="T2602" t="s">
        <v>1611</v>
      </c>
    </row>
    <row r="2603" spans="1:20" x14ac:dyDescent="0.25">
      <c r="A2603">
        <v>9</v>
      </c>
      <c r="B2603">
        <v>199</v>
      </c>
      <c r="C2603" t="str">
        <f>"51"</f>
        <v>51</v>
      </c>
      <c r="D2603">
        <v>6219</v>
      </c>
      <c r="E2603" t="str">
        <f>"11"</f>
        <v>11</v>
      </c>
      <c r="F2603" t="str">
        <f>"936"</f>
        <v>936</v>
      </c>
      <c r="G2603">
        <v>9</v>
      </c>
      <c r="H2603" t="str">
        <f>"99"</f>
        <v>99</v>
      </c>
      <c r="I2603" t="str">
        <f t="shared" si="441"/>
        <v>0</v>
      </c>
      <c r="J2603" t="str">
        <f>"81"</f>
        <v>81</v>
      </c>
      <c r="K2603">
        <v>20180921</v>
      </c>
      <c r="L2603" t="str">
        <f>"073931"</f>
        <v>073931</v>
      </c>
      <c r="M2603" t="str">
        <f>"74385"</f>
        <v>74385</v>
      </c>
      <c r="N2603" t="s">
        <v>1812</v>
      </c>
      <c r="O2603" s="1">
        <v>2325</v>
      </c>
      <c r="P2603">
        <v>20180921</v>
      </c>
      <c r="Q2603" t="s">
        <v>1815</v>
      </c>
      <c r="R2603" t="s">
        <v>1816</v>
      </c>
      <c r="S2603" t="s">
        <v>1615</v>
      </c>
      <c r="T2603" t="s">
        <v>1713</v>
      </c>
    </row>
    <row r="2604" spans="1:20" x14ac:dyDescent="0.25">
      <c r="A2604">
        <v>9</v>
      </c>
      <c r="B2604">
        <v>199</v>
      </c>
      <c r="C2604" t="str">
        <f>"41"</f>
        <v>41</v>
      </c>
      <c r="D2604">
        <v>6411</v>
      </c>
      <c r="E2604" t="str">
        <f>"00"</f>
        <v>00</v>
      </c>
      <c r="F2604" t="str">
        <f>"709"</f>
        <v>709</v>
      </c>
      <c r="G2604">
        <v>9</v>
      </c>
      <c r="H2604" t="str">
        <f>"99"</f>
        <v>99</v>
      </c>
      <c r="I2604" t="str">
        <f t="shared" si="441"/>
        <v>0</v>
      </c>
      <c r="J2604" t="str">
        <f>"83"</f>
        <v>83</v>
      </c>
      <c r="K2604">
        <v>20180921</v>
      </c>
      <c r="L2604" t="str">
        <f>"073932"</f>
        <v>073932</v>
      </c>
      <c r="M2604" t="str">
        <f>"76548"</f>
        <v>76548</v>
      </c>
      <c r="N2604" t="s">
        <v>1817</v>
      </c>
      <c r="O2604">
        <v>172.5</v>
      </c>
      <c r="P2604">
        <v>20180921</v>
      </c>
      <c r="Q2604" t="s">
        <v>1818</v>
      </c>
      <c r="R2604" t="s">
        <v>1819</v>
      </c>
      <c r="S2604" t="s">
        <v>1615</v>
      </c>
      <c r="T2604" t="s">
        <v>1820</v>
      </c>
    </row>
    <row r="2605" spans="1:20" x14ac:dyDescent="0.25">
      <c r="A2605">
        <v>9</v>
      </c>
      <c r="B2605">
        <v>199</v>
      </c>
      <c r="C2605" t="str">
        <f>"13"</f>
        <v>13</v>
      </c>
      <c r="D2605">
        <v>6411</v>
      </c>
      <c r="E2605" t="str">
        <f>"8T"</f>
        <v>8T</v>
      </c>
      <c r="F2605" t="str">
        <f t="shared" ref="F2605:F2610" si="442">"001"</f>
        <v>001</v>
      </c>
      <c r="G2605">
        <v>9</v>
      </c>
      <c r="H2605" t="str">
        <f>"11"</f>
        <v>11</v>
      </c>
      <c r="I2605" t="str">
        <f t="shared" si="441"/>
        <v>0</v>
      </c>
      <c r="J2605" t="str">
        <f t="shared" ref="J2605:J2610" si="443">"01"</f>
        <v>01</v>
      </c>
      <c r="K2605">
        <v>20180921</v>
      </c>
      <c r="L2605" t="str">
        <f>"073933"</f>
        <v>073933</v>
      </c>
      <c r="M2605" t="str">
        <f>"75451"</f>
        <v>75451</v>
      </c>
      <c r="N2605" t="s">
        <v>57</v>
      </c>
      <c r="O2605">
        <v>145</v>
      </c>
      <c r="P2605">
        <v>20180921</v>
      </c>
      <c r="Q2605" t="s">
        <v>1720</v>
      </c>
      <c r="R2605" t="s">
        <v>1721</v>
      </c>
      <c r="S2605" t="s">
        <v>1615</v>
      </c>
      <c r="T2605" t="s">
        <v>301</v>
      </c>
    </row>
    <row r="2606" spans="1:20" x14ac:dyDescent="0.25">
      <c r="A2606">
        <v>9</v>
      </c>
      <c r="B2606">
        <v>199</v>
      </c>
      <c r="C2606" t="str">
        <f>"36"</f>
        <v>36</v>
      </c>
      <c r="D2606">
        <v>6495</v>
      </c>
      <c r="E2606" t="str">
        <f>"8T"</f>
        <v>8T</v>
      </c>
      <c r="F2606" t="str">
        <f t="shared" si="442"/>
        <v>001</v>
      </c>
      <c r="G2606">
        <v>9</v>
      </c>
      <c r="H2606" t="str">
        <f t="shared" ref="H2606:H2611" si="444">"99"</f>
        <v>99</v>
      </c>
      <c r="I2606" t="str">
        <f t="shared" si="441"/>
        <v>0</v>
      </c>
      <c r="J2606" t="str">
        <f t="shared" si="443"/>
        <v>01</v>
      </c>
      <c r="K2606">
        <v>20180921</v>
      </c>
      <c r="L2606" t="str">
        <f>"073934"</f>
        <v>073934</v>
      </c>
      <c r="M2606" t="str">
        <f>"75451"</f>
        <v>75451</v>
      </c>
      <c r="N2606" t="s">
        <v>57</v>
      </c>
      <c r="O2606">
        <v>85</v>
      </c>
      <c r="P2606">
        <v>20180921</v>
      </c>
      <c r="Q2606" t="s">
        <v>1821</v>
      </c>
      <c r="R2606" t="s">
        <v>1822</v>
      </c>
      <c r="S2606" t="s">
        <v>1615</v>
      </c>
      <c r="T2606" t="s">
        <v>301</v>
      </c>
    </row>
    <row r="2607" spans="1:20" x14ac:dyDescent="0.25">
      <c r="A2607">
        <v>9</v>
      </c>
      <c r="B2607">
        <v>199</v>
      </c>
      <c r="C2607" t="str">
        <f>"23"</f>
        <v>23</v>
      </c>
      <c r="D2607">
        <v>6495</v>
      </c>
      <c r="E2607" t="str">
        <f>"10"</f>
        <v>10</v>
      </c>
      <c r="F2607" t="str">
        <f t="shared" si="442"/>
        <v>001</v>
      </c>
      <c r="G2607">
        <v>9</v>
      </c>
      <c r="H2607" t="str">
        <f t="shared" si="444"/>
        <v>99</v>
      </c>
      <c r="I2607" t="str">
        <f t="shared" si="441"/>
        <v>0</v>
      </c>
      <c r="J2607" t="str">
        <f t="shared" si="443"/>
        <v>01</v>
      </c>
      <c r="K2607">
        <v>20180921</v>
      </c>
      <c r="L2607" t="str">
        <f>"073935"</f>
        <v>073935</v>
      </c>
      <c r="M2607" t="str">
        <f>"76505"</f>
        <v>76505</v>
      </c>
      <c r="N2607" t="s">
        <v>1823</v>
      </c>
      <c r="O2607">
        <v>240</v>
      </c>
      <c r="P2607">
        <v>20180921</v>
      </c>
      <c r="Q2607" t="s">
        <v>1824</v>
      </c>
      <c r="R2607" t="s">
        <v>1825</v>
      </c>
      <c r="S2607" t="s">
        <v>1615</v>
      </c>
      <c r="T2607" t="s">
        <v>301</v>
      </c>
    </row>
    <row r="2608" spans="1:20" x14ac:dyDescent="0.25">
      <c r="A2608">
        <v>9</v>
      </c>
      <c r="B2608">
        <v>199</v>
      </c>
      <c r="C2608" t="str">
        <f>"23"</f>
        <v>23</v>
      </c>
      <c r="D2608">
        <v>6495</v>
      </c>
      <c r="E2608" t="str">
        <f>"10"</f>
        <v>10</v>
      </c>
      <c r="F2608" t="str">
        <f t="shared" si="442"/>
        <v>001</v>
      </c>
      <c r="G2608">
        <v>9</v>
      </c>
      <c r="H2608" t="str">
        <f t="shared" si="444"/>
        <v>99</v>
      </c>
      <c r="I2608" t="str">
        <f t="shared" si="441"/>
        <v>0</v>
      </c>
      <c r="J2608" t="str">
        <f t="shared" si="443"/>
        <v>01</v>
      </c>
      <c r="K2608">
        <v>20180921</v>
      </c>
      <c r="L2608" t="str">
        <f>"073935"</f>
        <v>073935</v>
      </c>
      <c r="M2608" t="str">
        <f>"76505"</f>
        <v>76505</v>
      </c>
      <c r="N2608" t="s">
        <v>1823</v>
      </c>
      <c r="O2608">
        <v>240</v>
      </c>
      <c r="P2608">
        <v>20180921</v>
      </c>
      <c r="Q2608" t="s">
        <v>1824</v>
      </c>
      <c r="R2608" t="s">
        <v>1826</v>
      </c>
      <c r="S2608" t="s">
        <v>1615</v>
      </c>
      <c r="T2608" t="s">
        <v>301</v>
      </c>
    </row>
    <row r="2609" spans="1:20" x14ac:dyDescent="0.25">
      <c r="A2609">
        <v>9</v>
      </c>
      <c r="B2609">
        <v>199</v>
      </c>
      <c r="C2609" t="str">
        <f>"23"</f>
        <v>23</v>
      </c>
      <c r="D2609">
        <v>6495</v>
      </c>
      <c r="E2609" t="str">
        <f>"10"</f>
        <v>10</v>
      </c>
      <c r="F2609" t="str">
        <f t="shared" si="442"/>
        <v>001</v>
      </c>
      <c r="G2609">
        <v>9</v>
      </c>
      <c r="H2609" t="str">
        <f t="shared" si="444"/>
        <v>99</v>
      </c>
      <c r="I2609" t="str">
        <f t="shared" si="441"/>
        <v>0</v>
      </c>
      <c r="J2609" t="str">
        <f t="shared" si="443"/>
        <v>01</v>
      </c>
      <c r="K2609">
        <v>20180921</v>
      </c>
      <c r="L2609" t="str">
        <f>"073935"</f>
        <v>073935</v>
      </c>
      <c r="M2609" t="str">
        <f>"76505"</f>
        <v>76505</v>
      </c>
      <c r="N2609" t="s">
        <v>1823</v>
      </c>
      <c r="O2609">
        <v>240</v>
      </c>
      <c r="P2609">
        <v>20180921</v>
      </c>
      <c r="Q2609" t="s">
        <v>1824</v>
      </c>
      <c r="R2609" t="s">
        <v>1827</v>
      </c>
      <c r="S2609" t="s">
        <v>1615</v>
      </c>
      <c r="T2609" t="s">
        <v>301</v>
      </c>
    </row>
    <row r="2610" spans="1:20" x14ac:dyDescent="0.25">
      <c r="A2610">
        <v>9</v>
      </c>
      <c r="B2610">
        <v>199</v>
      </c>
      <c r="C2610" t="str">
        <f>"23"</f>
        <v>23</v>
      </c>
      <c r="D2610">
        <v>6495</v>
      </c>
      <c r="E2610" t="str">
        <f>"10"</f>
        <v>10</v>
      </c>
      <c r="F2610" t="str">
        <f t="shared" si="442"/>
        <v>001</v>
      </c>
      <c r="G2610">
        <v>9</v>
      </c>
      <c r="H2610" t="str">
        <f t="shared" si="444"/>
        <v>99</v>
      </c>
      <c r="I2610" t="str">
        <f t="shared" si="441"/>
        <v>0</v>
      </c>
      <c r="J2610" t="str">
        <f t="shared" si="443"/>
        <v>01</v>
      </c>
      <c r="K2610">
        <v>20180921</v>
      </c>
      <c r="L2610" t="str">
        <f>"073935"</f>
        <v>073935</v>
      </c>
      <c r="M2610" t="str">
        <f>"76505"</f>
        <v>76505</v>
      </c>
      <c r="N2610" t="s">
        <v>1823</v>
      </c>
      <c r="O2610">
        <v>240</v>
      </c>
      <c r="P2610">
        <v>20180921</v>
      </c>
      <c r="Q2610" t="s">
        <v>1824</v>
      </c>
      <c r="R2610" t="s">
        <v>1828</v>
      </c>
      <c r="S2610" t="s">
        <v>1615</v>
      </c>
      <c r="T2610" t="s">
        <v>301</v>
      </c>
    </row>
    <row r="2611" spans="1:20" x14ac:dyDescent="0.25">
      <c r="A2611">
        <v>9</v>
      </c>
      <c r="B2611">
        <v>199</v>
      </c>
      <c r="C2611" t="str">
        <f>"51"</f>
        <v>51</v>
      </c>
      <c r="D2611">
        <v>6411</v>
      </c>
      <c r="E2611" t="str">
        <f>"00"</f>
        <v>00</v>
      </c>
      <c r="F2611" t="str">
        <f>"942"</f>
        <v>942</v>
      </c>
      <c r="G2611">
        <v>9</v>
      </c>
      <c r="H2611" t="str">
        <f t="shared" si="444"/>
        <v>99</v>
      </c>
      <c r="I2611" t="str">
        <f t="shared" si="441"/>
        <v>0</v>
      </c>
      <c r="J2611" t="str">
        <f>"88"</f>
        <v>88</v>
      </c>
      <c r="K2611">
        <v>20180921</v>
      </c>
      <c r="L2611" t="str">
        <f>"073936"</f>
        <v>073936</v>
      </c>
      <c r="M2611" t="str">
        <f>"78304"</f>
        <v>78304</v>
      </c>
      <c r="N2611" t="s">
        <v>1829</v>
      </c>
      <c r="O2611">
        <v>170</v>
      </c>
      <c r="P2611">
        <v>20180921</v>
      </c>
      <c r="Q2611" t="s">
        <v>1830</v>
      </c>
      <c r="R2611" t="s">
        <v>1721</v>
      </c>
      <c r="S2611" t="s">
        <v>1615</v>
      </c>
      <c r="T2611" t="s">
        <v>1831</v>
      </c>
    </row>
    <row r="2612" spans="1:20" x14ac:dyDescent="0.25">
      <c r="A2612">
        <v>9</v>
      </c>
      <c r="B2612">
        <v>199</v>
      </c>
      <c r="C2612" t="str">
        <f>"13"</f>
        <v>13</v>
      </c>
      <c r="D2612">
        <v>6411</v>
      </c>
      <c r="E2612" t="str">
        <f>"7K"</f>
        <v>7K</v>
      </c>
      <c r="F2612" t="str">
        <f>"041"</f>
        <v>041</v>
      </c>
      <c r="G2612">
        <v>9</v>
      </c>
      <c r="H2612" t="str">
        <f>"11"</f>
        <v>11</v>
      </c>
      <c r="I2612" t="str">
        <f t="shared" si="441"/>
        <v>0</v>
      </c>
      <c r="J2612" t="str">
        <f>"03"</f>
        <v>03</v>
      </c>
      <c r="K2612">
        <v>20180921</v>
      </c>
      <c r="L2612" t="str">
        <f>"073937"</f>
        <v>073937</v>
      </c>
      <c r="M2612" t="str">
        <f>"78304"</f>
        <v>78304</v>
      </c>
      <c r="N2612" t="s">
        <v>1829</v>
      </c>
      <c r="O2612">
        <v>170</v>
      </c>
      <c r="P2612">
        <v>20180921</v>
      </c>
      <c r="Q2612" t="s">
        <v>1832</v>
      </c>
      <c r="R2612" t="s">
        <v>1721</v>
      </c>
      <c r="S2612" t="s">
        <v>1615</v>
      </c>
      <c r="T2612" t="s">
        <v>106</v>
      </c>
    </row>
    <row r="2613" spans="1:20" x14ac:dyDescent="0.25">
      <c r="A2613">
        <v>9</v>
      </c>
      <c r="B2613">
        <v>199</v>
      </c>
      <c r="C2613" t="str">
        <f>"13"</f>
        <v>13</v>
      </c>
      <c r="D2613">
        <v>6411</v>
      </c>
      <c r="E2613" t="str">
        <f>"7K"</f>
        <v>7K</v>
      </c>
      <c r="F2613" t="str">
        <f>"001"</f>
        <v>001</v>
      </c>
      <c r="G2613">
        <v>9</v>
      </c>
      <c r="H2613" t="str">
        <f>"11"</f>
        <v>11</v>
      </c>
      <c r="I2613" t="str">
        <f t="shared" si="441"/>
        <v>0</v>
      </c>
      <c r="J2613" t="str">
        <f>"01"</f>
        <v>01</v>
      </c>
      <c r="K2613">
        <v>20180921</v>
      </c>
      <c r="L2613" t="str">
        <f>"073938"</f>
        <v>073938</v>
      </c>
      <c r="M2613" t="str">
        <f>"78304"</f>
        <v>78304</v>
      </c>
      <c r="N2613" t="s">
        <v>1829</v>
      </c>
      <c r="O2613">
        <v>120</v>
      </c>
      <c r="P2613">
        <v>20180921</v>
      </c>
      <c r="Q2613" t="s">
        <v>1833</v>
      </c>
      <c r="R2613" t="s">
        <v>1834</v>
      </c>
      <c r="S2613" t="s">
        <v>1615</v>
      </c>
      <c r="T2613" t="s">
        <v>301</v>
      </c>
    </row>
    <row r="2614" spans="1:20" x14ac:dyDescent="0.25">
      <c r="A2614">
        <v>9</v>
      </c>
      <c r="B2614">
        <v>199</v>
      </c>
      <c r="C2614" t="str">
        <f>"36"</f>
        <v>36</v>
      </c>
      <c r="D2614">
        <v>6495</v>
      </c>
      <c r="E2614" t="str">
        <f>"H1"</f>
        <v>H1</v>
      </c>
      <c r="F2614" t="str">
        <f>"001"</f>
        <v>001</v>
      </c>
      <c r="G2614">
        <v>9</v>
      </c>
      <c r="H2614" t="str">
        <f>"31"</f>
        <v>31</v>
      </c>
      <c r="I2614" t="str">
        <f t="shared" si="441"/>
        <v>0</v>
      </c>
      <c r="J2614" t="str">
        <f>"34"</f>
        <v>34</v>
      </c>
      <c r="K2614">
        <v>20180921</v>
      </c>
      <c r="L2614" t="str">
        <f>"073939"</f>
        <v>073939</v>
      </c>
      <c r="M2614" t="str">
        <f>"76491"</f>
        <v>76491</v>
      </c>
      <c r="N2614" t="s">
        <v>1835</v>
      </c>
      <c r="O2614" s="1">
        <v>1300</v>
      </c>
      <c r="P2614">
        <v>20180921</v>
      </c>
      <c r="Q2614" t="s">
        <v>1836</v>
      </c>
      <c r="R2614" t="s">
        <v>1837</v>
      </c>
      <c r="S2614" t="s">
        <v>1615</v>
      </c>
      <c r="T2614" t="s">
        <v>301</v>
      </c>
    </row>
    <row r="2615" spans="1:20" x14ac:dyDescent="0.25">
      <c r="A2615">
        <v>9</v>
      </c>
      <c r="B2615">
        <v>199</v>
      </c>
      <c r="C2615" t="str">
        <f>"41"</f>
        <v>41</v>
      </c>
      <c r="D2615">
        <v>6495</v>
      </c>
      <c r="E2615" t="str">
        <f>"11"</f>
        <v>11</v>
      </c>
      <c r="F2615" t="str">
        <f>"701"</f>
        <v>701</v>
      </c>
      <c r="G2615">
        <v>9</v>
      </c>
      <c r="H2615" t="str">
        <f>"99"</f>
        <v>99</v>
      </c>
      <c r="I2615" t="str">
        <f t="shared" si="441"/>
        <v>0</v>
      </c>
      <c r="J2615" t="str">
        <f>"92"</f>
        <v>92</v>
      </c>
      <c r="K2615">
        <v>20180921</v>
      </c>
      <c r="L2615" t="str">
        <f>"073940"</f>
        <v>073940</v>
      </c>
      <c r="M2615" t="str">
        <f>"74242"</f>
        <v>74242</v>
      </c>
      <c r="N2615" t="s">
        <v>1838</v>
      </c>
      <c r="O2615">
        <v>800</v>
      </c>
      <c r="P2615">
        <v>20180921</v>
      </c>
      <c r="Q2615" t="s">
        <v>1839</v>
      </c>
      <c r="R2615" t="s">
        <v>1840</v>
      </c>
      <c r="S2615" t="s">
        <v>1615</v>
      </c>
      <c r="T2615" t="s">
        <v>1841</v>
      </c>
    </row>
    <row r="2616" spans="1:20" x14ac:dyDescent="0.25">
      <c r="A2616">
        <v>9</v>
      </c>
      <c r="B2616">
        <v>199</v>
      </c>
      <c r="C2616" t="str">
        <f>"36"</f>
        <v>36</v>
      </c>
      <c r="D2616">
        <v>6411</v>
      </c>
      <c r="E2616" t="str">
        <f>"7E"</f>
        <v>7E</v>
      </c>
      <c r="F2616" t="str">
        <f>"001"</f>
        <v>001</v>
      </c>
      <c r="G2616">
        <v>9</v>
      </c>
      <c r="H2616" t="str">
        <f>"99"</f>
        <v>99</v>
      </c>
      <c r="I2616" t="str">
        <f t="shared" si="441"/>
        <v>0</v>
      </c>
      <c r="J2616" t="str">
        <f>"31"</f>
        <v>31</v>
      </c>
      <c r="K2616">
        <v>20180921</v>
      </c>
      <c r="L2616" t="str">
        <f>"073942"</f>
        <v>073942</v>
      </c>
      <c r="M2616" t="str">
        <f>"78727"</f>
        <v>78727</v>
      </c>
      <c r="N2616" t="s">
        <v>1842</v>
      </c>
      <c r="O2616">
        <v>110</v>
      </c>
      <c r="P2616">
        <v>20180921</v>
      </c>
      <c r="Q2616" t="s">
        <v>1843</v>
      </c>
      <c r="R2616" t="s">
        <v>1844</v>
      </c>
      <c r="S2616" t="s">
        <v>1615</v>
      </c>
      <c r="T2616" t="s">
        <v>301</v>
      </c>
    </row>
    <row r="2617" spans="1:20" x14ac:dyDescent="0.25">
      <c r="A2617">
        <v>9</v>
      </c>
      <c r="B2617">
        <v>199</v>
      </c>
      <c r="C2617" t="str">
        <f>"13"</f>
        <v>13</v>
      </c>
      <c r="D2617">
        <v>6411</v>
      </c>
      <c r="E2617" t="str">
        <f>"8S"</f>
        <v>8S</v>
      </c>
      <c r="F2617" t="str">
        <f>"001"</f>
        <v>001</v>
      </c>
      <c r="G2617">
        <v>9</v>
      </c>
      <c r="H2617" t="str">
        <f>"11"</f>
        <v>11</v>
      </c>
      <c r="I2617" t="str">
        <f t="shared" si="441"/>
        <v>0</v>
      </c>
      <c r="J2617" t="str">
        <f>"01"</f>
        <v>01</v>
      </c>
      <c r="K2617">
        <v>20180921</v>
      </c>
      <c r="L2617" t="str">
        <f>"073943"</f>
        <v>073943</v>
      </c>
      <c r="M2617" t="str">
        <f>"78313"</f>
        <v>78313</v>
      </c>
      <c r="N2617" t="s">
        <v>1845</v>
      </c>
      <c r="O2617">
        <v>240</v>
      </c>
      <c r="P2617">
        <v>20180921</v>
      </c>
      <c r="Q2617" t="s">
        <v>1846</v>
      </c>
      <c r="R2617" t="s">
        <v>1847</v>
      </c>
      <c r="S2617" t="s">
        <v>1615</v>
      </c>
      <c r="T2617" t="s">
        <v>301</v>
      </c>
    </row>
    <row r="2618" spans="1:20" x14ac:dyDescent="0.25">
      <c r="A2618">
        <v>9</v>
      </c>
      <c r="B2618">
        <v>199</v>
      </c>
      <c r="C2618" t="str">
        <f>"23"</f>
        <v>23</v>
      </c>
      <c r="D2618">
        <v>6495</v>
      </c>
      <c r="E2618" t="str">
        <f>"10"</f>
        <v>10</v>
      </c>
      <c r="F2618" t="str">
        <f>"001"</f>
        <v>001</v>
      </c>
      <c r="G2618">
        <v>9</v>
      </c>
      <c r="H2618" t="str">
        <f>"99"</f>
        <v>99</v>
      </c>
      <c r="I2618" t="str">
        <f t="shared" si="441"/>
        <v>0</v>
      </c>
      <c r="J2618" t="str">
        <f>"01"</f>
        <v>01</v>
      </c>
      <c r="K2618">
        <v>20180921</v>
      </c>
      <c r="L2618" t="str">
        <f>"073948"</f>
        <v>073948</v>
      </c>
      <c r="M2618" t="str">
        <f>"81155"</f>
        <v>81155</v>
      </c>
      <c r="N2618" t="s">
        <v>149</v>
      </c>
      <c r="O2618">
        <v>140</v>
      </c>
      <c r="P2618">
        <v>20180921</v>
      </c>
      <c r="Q2618" t="s">
        <v>1824</v>
      </c>
      <c r="R2618" t="s">
        <v>1848</v>
      </c>
      <c r="S2618" t="s">
        <v>1615</v>
      </c>
      <c r="T2618" t="s">
        <v>301</v>
      </c>
    </row>
    <row r="2619" spans="1:20" x14ac:dyDescent="0.25">
      <c r="A2619">
        <v>9</v>
      </c>
      <c r="B2619">
        <v>199</v>
      </c>
      <c r="C2619" t="str">
        <f>"00"</f>
        <v>00</v>
      </c>
      <c r="D2619">
        <v>2110</v>
      </c>
      <c r="E2619" t="str">
        <f>"18"</f>
        <v>18</v>
      </c>
      <c r="F2619" t="str">
        <f>"000"</f>
        <v>000</v>
      </c>
      <c r="G2619">
        <v>9</v>
      </c>
      <c r="H2619" t="str">
        <f>"00"</f>
        <v>00</v>
      </c>
      <c r="I2619" t="str">
        <f t="shared" si="441"/>
        <v>0</v>
      </c>
      <c r="J2619" t="str">
        <f>"00"</f>
        <v>00</v>
      </c>
      <c r="K2619">
        <v>20180921</v>
      </c>
      <c r="L2619" t="str">
        <f>"073950"</f>
        <v>073950</v>
      </c>
      <c r="M2619" t="str">
        <f>"80481"</f>
        <v>80481</v>
      </c>
      <c r="N2619" t="s">
        <v>1849</v>
      </c>
      <c r="O2619">
        <v>74</v>
      </c>
      <c r="P2619">
        <v>20180921</v>
      </c>
      <c r="Q2619" t="s">
        <v>1613</v>
      </c>
      <c r="R2619" t="s">
        <v>1648</v>
      </c>
      <c r="S2619" t="s">
        <v>1615</v>
      </c>
      <c r="T2619" t="s">
        <v>296</v>
      </c>
    </row>
    <row r="2620" spans="1:20" x14ac:dyDescent="0.25">
      <c r="A2620">
        <v>9</v>
      </c>
      <c r="B2620">
        <v>199</v>
      </c>
      <c r="C2620" t="str">
        <f>"36"</f>
        <v>36</v>
      </c>
      <c r="D2620">
        <v>6412</v>
      </c>
      <c r="E2620" t="str">
        <f>"7B"</f>
        <v>7B</v>
      </c>
      <c r="F2620" t="str">
        <f>"001"</f>
        <v>001</v>
      </c>
      <c r="G2620">
        <v>9</v>
      </c>
      <c r="H2620" t="str">
        <f>"99"</f>
        <v>99</v>
      </c>
      <c r="I2620" t="str">
        <f t="shared" si="441"/>
        <v>0</v>
      </c>
      <c r="J2620" t="str">
        <f>"32"</f>
        <v>32</v>
      </c>
      <c r="K2620">
        <v>20180921</v>
      </c>
      <c r="L2620" t="str">
        <f>"073953"</f>
        <v>073953</v>
      </c>
      <c r="M2620" t="str">
        <f>"82126"</f>
        <v>82126</v>
      </c>
      <c r="N2620" t="s">
        <v>1850</v>
      </c>
      <c r="O2620">
        <v>315</v>
      </c>
      <c r="P2620">
        <v>20180921</v>
      </c>
      <c r="Q2620" t="s">
        <v>1658</v>
      </c>
      <c r="R2620" t="s">
        <v>1851</v>
      </c>
      <c r="S2620" t="s">
        <v>1615</v>
      </c>
      <c r="T2620" t="s">
        <v>301</v>
      </c>
    </row>
    <row r="2621" spans="1:20" x14ac:dyDescent="0.25">
      <c r="A2621">
        <v>9</v>
      </c>
      <c r="B2621">
        <v>199</v>
      </c>
      <c r="C2621" t="str">
        <f>"00"</f>
        <v>00</v>
      </c>
      <c r="D2621">
        <v>2110</v>
      </c>
      <c r="E2621" t="str">
        <f>"18"</f>
        <v>18</v>
      </c>
      <c r="F2621" t="str">
        <f>"000"</f>
        <v>000</v>
      </c>
      <c r="G2621">
        <v>9</v>
      </c>
      <c r="H2621" t="str">
        <f>"00"</f>
        <v>00</v>
      </c>
      <c r="I2621" t="str">
        <f t="shared" si="441"/>
        <v>0</v>
      </c>
      <c r="J2621" t="str">
        <f>"00"</f>
        <v>00</v>
      </c>
      <c r="K2621">
        <v>20180921</v>
      </c>
      <c r="L2621" t="str">
        <f>"073956"</f>
        <v>073956</v>
      </c>
      <c r="M2621" t="str">
        <f>"83034"</f>
        <v>83034</v>
      </c>
      <c r="N2621" t="s">
        <v>1852</v>
      </c>
      <c r="O2621" s="1">
        <v>3299.79</v>
      </c>
      <c r="P2621">
        <v>20180921</v>
      </c>
      <c r="Q2621" t="s">
        <v>1613</v>
      </c>
      <c r="R2621" t="s">
        <v>1853</v>
      </c>
      <c r="S2621" t="s">
        <v>1615</v>
      </c>
      <c r="T2621" t="s">
        <v>296</v>
      </c>
    </row>
    <row r="2622" spans="1:20" x14ac:dyDescent="0.25">
      <c r="A2622">
        <v>9</v>
      </c>
      <c r="B2622">
        <v>199</v>
      </c>
      <c r="C2622" t="str">
        <f>"52"</f>
        <v>52</v>
      </c>
      <c r="D2622">
        <v>6219</v>
      </c>
      <c r="E2622" t="str">
        <f>"00"</f>
        <v>00</v>
      </c>
      <c r="F2622" t="str">
        <f>"101"</f>
        <v>101</v>
      </c>
      <c r="G2622">
        <v>9</v>
      </c>
      <c r="H2622" t="str">
        <f>"99"</f>
        <v>99</v>
      </c>
      <c r="I2622" t="str">
        <f t="shared" si="441"/>
        <v>0</v>
      </c>
      <c r="J2622" t="str">
        <f>"00"</f>
        <v>00</v>
      </c>
      <c r="K2622">
        <v>20180921</v>
      </c>
      <c r="L2622" t="str">
        <f>"073960"</f>
        <v>073960</v>
      </c>
      <c r="M2622" t="str">
        <f>"00242"</f>
        <v>00242</v>
      </c>
      <c r="N2622" t="s">
        <v>1669</v>
      </c>
      <c r="O2622">
        <v>240</v>
      </c>
      <c r="P2622">
        <v>20180921</v>
      </c>
      <c r="Q2622" t="s">
        <v>1854</v>
      </c>
      <c r="R2622" t="s">
        <v>1855</v>
      </c>
      <c r="S2622" t="s">
        <v>1615</v>
      </c>
      <c r="T2622" t="s">
        <v>1479</v>
      </c>
    </row>
    <row r="2623" spans="1:20" x14ac:dyDescent="0.25">
      <c r="A2623">
        <v>9</v>
      </c>
      <c r="B2623">
        <v>199</v>
      </c>
      <c r="C2623" t="str">
        <f>"36"</f>
        <v>36</v>
      </c>
      <c r="D2623">
        <v>6412</v>
      </c>
      <c r="E2623" t="str">
        <f>"H2"</f>
        <v>H2</v>
      </c>
      <c r="F2623" t="str">
        <f>"001"</f>
        <v>001</v>
      </c>
      <c r="G2623">
        <v>9</v>
      </c>
      <c r="H2623" t="str">
        <f>"99"</f>
        <v>99</v>
      </c>
      <c r="I2623" t="str">
        <f t="shared" si="441"/>
        <v>0</v>
      </c>
      <c r="J2623" t="str">
        <f>"37"</f>
        <v>37</v>
      </c>
      <c r="K2623">
        <v>20180921</v>
      </c>
      <c r="L2623" t="str">
        <f>"073963"</f>
        <v>073963</v>
      </c>
      <c r="M2623" t="str">
        <f>"21839"</f>
        <v>21839</v>
      </c>
      <c r="N2623" t="s">
        <v>1703</v>
      </c>
      <c r="O2623">
        <v>68</v>
      </c>
      <c r="P2623">
        <v>20180921</v>
      </c>
      <c r="Q2623" t="s">
        <v>1704</v>
      </c>
      <c r="R2623" t="s">
        <v>1856</v>
      </c>
      <c r="S2623" t="s">
        <v>1615</v>
      </c>
      <c r="T2623" t="s">
        <v>301</v>
      </c>
    </row>
    <row r="2624" spans="1:20" x14ac:dyDescent="0.25">
      <c r="A2624">
        <v>9</v>
      </c>
      <c r="B2624">
        <v>199</v>
      </c>
      <c r="C2624" t="str">
        <f>"36"</f>
        <v>36</v>
      </c>
      <c r="D2624">
        <v>6412</v>
      </c>
      <c r="E2624" t="str">
        <f>"H2"</f>
        <v>H2</v>
      </c>
      <c r="F2624" t="str">
        <f>"001"</f>
        <v>001</v>
      </c>
      <c r="G2624">
        <v>9</v>
      </c>
      <c r="H2624" t="str">
        <f>"99"</f>
        <v>99</v>
      </c>
      <c r="I2624" t="str">
        <f t="shared" si="441"/>
        <v>0</v>
      </c>
      <c r="J2624" t="str">
        <f>"37"</f>
        <v>37</v>
      </c>
      <c r="K2624">
        <v>20180921</v>
      </c>
      <c r="L2624" t="str">
        <f>"073963"</f>
        <v>073963</v>
      </c>
      <c r="M2624" t="str">
        <f>"21839"</f>
        <v>21839</v>
      </c>
      <c r="N2624" t="s">
        <v>1703</v>
      </c>
      <c r="O2624">
        <v>68</v>
      </c>
      <c r="P2624">
        <v>20180921</v>
      </c>
      <c r="Q2624" t="s">
        <v>1704</v>
      </c>
      <c r="R2624" t="s">
        <v>1705</v>
      </c>
      <c r="S2624" t="s">
        <v>1615</v>
      </c>
      <c r="T2624" t="s">
        <v>301</v>
      </c>
    </row>
    <row r="2625" spans="1:20" x14ac:dyDescent="0.25">
      <c r="A2625">
        <v>9</v>
      </c>
      <c r="B2625">
        <v>199</v>
      </c>
      <c r="C2625" t="str">
        <f>"00"</f>
        <v>00</v>
      </c>
      <c r="D2625">
        <v>2110</v>
      </c>
      <c r="E2625" t="str">
        <f>"18"</f>
        <v>18</v>
      </c>
      <c r="F2625" t="str">
        <f>"000"</f>
        <v>000</v>
      </c>
      <c r="G2625">
        <v>9</v>
      </c>
      <c r="H2625" t="str">
        <f>"00"</f>
        <v>00</v>
      </c>
      <c r="I2625" t="str">
        <f t="shared" si="441"/>
        <v>0</v>
      </c>
      <c r="J2625" t="str">
        <f>"00"</f>
        <v>00</v>
      </c>
      <c r="K2625">
        <v>20180928</v>
      </c>
      <c r="L2625" t="str">
        <f>"073965"</f>
        <v>073965</v>
      </c>
      <c r="M2625" t="str">
        <f>"00280"</f>
        <v>00280</v>
      </c>
      <c r="N2625" t="s">
        <v>1857</v>
      </c>
      <c r="O2625" s="1">
        <v>-1142.2</v>
      </c>
      <c r="P2625">
        <v>20180928</v>
      </c>
      <c r="Q2625" t="s">
        <v>1613</v>
      </c>
      <c r="R2625" t="s">
        <v>412</v>
      </c>
      <c r="S2625" t="s">
        <v>1615</v>
      </c>
      <c r="T2625" t="s">
        <v>296</v>
      </c>
    </row>
    <row r="2626" spans="1:20" x14ac:dyDescent="0.25">
      <c r="A2626">
        <v>9</v>
      </c>
      <c r="B2626">
        <v>199</v>
      </c>
      <c r="C2626" t="str">
        <f>"11"</f>
        <v>11</v>
      </c>
      <c r="D2626">
        <v>6399</v>
      </c>
      <c r="E2626" t="str">
        <f>"45"</f>
        <v>45</v>
      </c>
      <c r="F2626" t="str">
        <f>"101"</f>
        <v>101</v>
      </c>
      <c r="G2626">
        <v>9</v>
      </c>
      <c r="H2626" t="str">
        <f>"11"</f>
        <v>11</v>
      </c>
      <c r="I2626" t="str">
        <f t="shared" si="441"/>
        <v>0</v>
      </c>
      <c r="J2626" t="str">
        <f>"04"</f>
        <v>04</v>
      </c>
      <c r="K2626">
        <v>20180928</v>
      </c>
      <c r="L2626" t="str">
        <f>"073966"</f>
        <v>073966</v>
      </c>
      <c r="M2626" t="str">
        <f>"00314"</f>
        <v>00314</v>
      </c>
      <c r="N2626" t="s">
        <v>1858</v>
      </c>
      <c r="O2626">
        <v>-107.96</v>
      </c>
      <c r="P2626">
        <v>20180928</v>
      </c>
      <c r="Q2626" t="s">
        <v>1859</v>
      </c>
      <c r="R2626" t="s">
        <v>412</v>
      </c>
      <c r="S2626" t="s">
        <v>1615</v>
      </c>
      <c r="T2626" t="s">
        <v>1479</v>
      </c>
    </row>
    <row r="2627" spans="1:20" x14ac:dyDescent="0.25">
      <c r="A2627">
        <v>9</v>
      </c>
      <c r="B2627">
        <v>199</v>
      </c>
      <c r="C2627" t="str">
        <f>"00"</f>
        <v>00</v>
      </c>
      <c r="D2627">
        <v>1312</v>
      </c>
      <c r="E2627" t="str">
        <f>"00"</f>
        <v>00</v>
      </c>
      <c r="F2627" t="str">
        <f>"000"</f>
        <v>000</v>
      </c>
      <c r="G2627">
        <v>9</v>
      </c>
      <c r="H2627" t="str">
        <f>"00"</f>
        <v>00</v>
      </c>
      <c r="I2627" t="str">
        <f t="shared" si="441"/>
        <v>0</v>
      </c>
      <c r="J2627" t="str">
        <f>"00"</f>
        <v>00</v>
      </c>
      <c r="K2627">
        <v>20180928</v>
      </c>
      <c r="L2627" t="str">
        <f t="shared" ref="L2627:L2645" si="445">"073967"</f>
        <v>073967</v>
      </c>
      <c r="M2627" t="str">
        <f t="shared" ref="M2627:M2645" si="446">"04410"</f>
        <v>04410</v>
      </c>
      <c r="N2627" t="s">
        <v>410</v>
      </c>
      <c r="O2627">
        <v>-69.81</v>
      </c>
      <c r="P2627">
        <v>20180928</v>
      </c>
      <c r="Q2627" t="s">
        <v>1860</v>
      </c>
      <c r="R2627" t="s">
        <v>412</v>
      </c>
      <c r="S2627" t="s">
        <v>1615</v>
      </c>
      <c r="T2627" t="s">
        <v>296</v>
      </c>
    </row>
    <row r="2628" spans="1:20" x14ac:dyDescent="0.25">
      <c r="A2628">
        <v>9</v>
      </c>
      <c r="B2628">
        <v>199</v>
      </c>
      <c r="C2628" t="str">
        <f>"00"</f>
        <v>00</v>
      </c>
      <c r="D2628">
        <v>1312</v>
      </c>
      <c r="E2628" t="str">
        <f>"00"</f>
        <v>00</v>
      </c>
      <c r="F2628" t="str">
        <f>"000"</f>
        <v>000</v>
      </c>
      <c r="G2628">
        <v>9</v>
      </c>
      <c r="H2628" t="str">
        <f>"00"</f>
        <v>00</v>
      </c>
      <c r="I2628" t="str">
        <f t="shared" si="441"/>
        <v>0</v>
      </c>
      <c r="J2628" t="str">
        <f>"00"</f>
        <v>00</v>
      </c>
      <c r="K2628">
        <v>20180928</v>
      </c>
      <c r="L2628" t="str">
        <f t="shared" si="445"/>
        <v>073967</v>
      </c>
      <c r="M2628" t="str">
        <f t="shared" si="446"/>
        <v>04410</v>
      </c>
      <c r="N2628" t="s">
        <v>410</v>
      </c>
      <c r="O2628">
        <v>-52.67</v>
      </c>
      <c r="P2628">
        <v>20180928</v>
      </c>
      <c r="Q2628" t="s">
        <v>1860</v>
      </c>
      <c r="R2628" t="s">
        <v>412</v>
      </c>
      <c r="S2628" t="s">
        <v>1615</v>
      </c>
      <c r="T2628" t="s">
        <v>296</v>
      </c>
    </row>
    <row r="2629" spans="1:20" x14ac:dyDescent="0.25">
      <c r="A2629">
        <v>9</v>
      </c>
      <c r="B2629">
        <v>199</v>
      </c>
      <c r="C2629" t="str">
        <f>"00"</f>
        <v>00</v>
      </c>
      <c r="D2629">
        <v>1312</v>
      </c>
      <c r="E2629" t="str">
        <f>"00"</f>
        <v>00</v>
      </c>
      <c r="F2629" t="str">
        <f>"000"</f>
        <v>000</v>
      </c>
      <c r="G2629">
        <v>9</v>
      </c>
      <c r="H2629" t="str">
        <f>"00"</f>
        <v>00</v>
      </c>
      <c r="I2629" t="str">
        <f t="shared" si="441"/>
        <v>0</v>
      </c>
      <c r="J2629" t="str">
        <f>"00"</f>
        <v>00</v>
      </c>
      <c r="K2629">
        <v>20180928</v>
      </c>
      <c r="L2629" t="str">
        <f t="shared" si="445"/>
        <v>073967</v>
      </c>
      <c r="M2629" t="str">
        <f t="shared" si="446"/>
        <v>04410</v>
      </c>
      <c r="N2629" t="s">
        <v>410</v>
      </c>
      <c r="O2629">
        <v>-90.2</v>
      </c>
      <c r="P2629">
        <v>20180928</v>
      </c>
      <c r="Q2629" t="s">
        <v>1860</v>
      </c>
      <c r="R2629" t="s">
        <v>412</v>
      </c>
      <c r="S2629" t="s">
        <v>1615</v>
      </c>
      <c r="T2629" t="s">
        <v>296</v>
      </c>
    </row>
    <row r="2630" spans="1:20" x14ac:dyDescent="0.25">
      <c r="A2630">
        <v>9</v>
      </c>
      <c r="B2630">
        <v>199</v>
      </c>
      <c r="C2630" t="str">
        <f t="shared" ref="C2630:C2641" si="447">"11"</f>
        <v>11</v>
      </c>
      <c r="D2630">
        <v>6321</v>
      </c>
      <c r="E2630" t="str">
        <f>"10"</f>
        <v>10</v>
      </c>
      <c r="F2630" t="str">
        <f t="shared" ref="F2630:F2643" si="448">"001"</f>
        <v>001</v>
      </c>
      <c r="G2630">
        <v>9</v>
      </c>
      <c r="H2630" t="str">
        <f>"11"</f>
        <v>11</v>
      </c>
      <c r="I2630" t="str">
        <f t="shared" si="441"/>
        <v>0</v>
      </c>
      <c r="J2630" t="str">
        <f>"01"</f>
        <v>01</v>
      </c>
      <c r="K2630">
        <v>20180928</v>
      </c>
      <c r="L2630" t="str">
        <f t="shared" si="445"/>
        <v>073967</v>
      </c>
      <c r="M2630" t="str">
        <f t="shared" si="446"/>
        <v>04410</v>
      </c>
      <c r="N2630" t="s">
        <v>410</v>
      </c>
      <c r="O2630">
        <v>-569.9</v>
      </c>
      <c r="P2630">
        <v>20180928</v>
      </c>
      <c r="Q2630" t="s">
        <v>1861</v>
      </c>
      <c r="R2630" t="s">
        <v>412</v>
      </c>
      <c r="S2630" t="s">
        <v>1615</v>
      </c>
      <c r="T2630" t="s">
        <v>301</v>
      </c>
    </row>
    <row r="2631" spans="1:20" x14ac:dyDescent="0.25">
      <c r="A2631">
        <v>9</v>
      </c>
      <c r="B2631">
        <v>199</v>
      </c>
      <c r="C2631" t="str">
        <f t="shared" si="447"/>
        <v>11</v>
      </c>
      <c r="D2631">
        <v>6399</v>
      </c>
      <c r="E2631" t="str">
        <f>"7K"</f>
        <v>7K</v>
      </c>
      <c r="F2631" t="str">
        <f t="shared" si="448"/>
        <v>001</v>
      </c>
      <c r="G2631">
        <v>9</v>
      </c>
      <c r="H2631" t="str">
        <f>"11"</f>
        <v>11</v>
      </c>
      <c r="I2631" t="str">
        <f t="shared" si="441"/>
        <v>0</v>
      </c>
      <c r="J2631" t="str">
        <f>"01"</f>
        <v>01</v>
      </c>
      <c r="K2631">
        <v>20180928</v>
      </c>
      <c r="L2631" t="str">
        <f t="shared" si="445"/>
        <v>073967</v>
      </c>
      <c r="M2631" t="str">
        <f t="shared" si="446"/>
        <v>04410</v>
      </c>
      <c r="N2631" t="s">
        <v>410</v>
      </c>
      <c r="O2631">
        <v>-59.55</v>
      </c>
      <c r="P2631">
        <v>20180928</v>
      </c>
      <c r="Q2631" t="s">
        <v>1671</v>
      </c>
      <c r="R2631" t="s">
        <v>412</v>
      </c>
      <c r="S2631" t="s">
        <v>1615</v>
      </c>
      <c r="T2631" t="s">
        <v>301</v>
      </c>
    </row>
    <row r="2632" spans="1:20" x14ac:dyDescent="0.25">
      <c r="A2632">
        <v>9</v>
      </c>
      <c r="B2632">
        <v>199</v>
      </c>
      <c r="C2632" t="str">
        <f t="shared" si="447"/>
        <v>11</v>
      </c>
      <c r="D2632">
        <v>6399</v>
      </c>
      <c r="E2632" t="str">
        <f>"7K"</f>
        <v>7K</v>
      </c>
      <c r="F2632" t="str">
        <f t="shared" si="448"/>
        <v>001</v>
      </c>
      <c r="G2632">
        <v>9</v>
      </c>
      <c r="H2632" t="str">
        <f>"11"</f>
        <v>11</v>
      </c>
      <c r="I2632" t="str">
        <f t="shared" si="441"/>
        <v>0</v>
      </c>
      <c r="J2632" t="str">
        <f>"01"</f>
        <v>01</v>
      </c>
      <c r="K2632">
        <v>20180928</v>
      </c>
      <c r="L2632" t="str">
        <f t="shared" si="445"/>
        <v>073967</v>
      </c>
      <c r="M2632" t="str">
        <f t="shared" si="446"/>
        <v>04410</v>
      </c>
      <c r="N2632" t="s">
        <v>410</v>
      </c>
      <c r="O2632">
        <v>-53.1</v>
      </c>
      <c r="P2632">
        <v>20180928</v>
      </c>
      <c r="Q2632" t="s">
        <v>1671</v>
      </c>
      <c r="R2632" t="s">
        <v>412</v>
      </c>
      <c r="S2632" t="s">
        <v>1615</v>
      </c>
      <c r="T2632" t="s">
        <v>301</v>
      </c>
    </row>
    <row r="2633" spans="1:20" x14ac:dyDescent="0.25">
      <c r="A2633">
        <v>9</v>
      </c>
      <c r="B2633">
        <v>199</v>
      </c>
      <c r="C2633" t="str">
        <f t="shared" si="447"/>
        <v>11</v>
      </c>
      <c r="D2633">
        <v>6399</v>
      </c>
      <c r="E2633" t="str">
        <f>"7K"</f>
        <v>7K</v>
      </c>
      <c r="F2633" t="str">
        <f t="shared" si="448"/>
        <v>001</v>
      </c>
      <c r="G2633">
        <v>9</v>
      </c>
      <c r="H2633" t="str">
        <f>"11"</f>
        <v>11</v>
      </c>
      <c r="I2633" t="str">
        <f t="shared" ref="I2633:I2654" si="449">"0"</f>
        <v>0</v>
      </c>
      <c r="J2633" t="str">
        <f>"01"</f>
        <v>01</v>
      </c>
      <c r="K2633">
        <v>20180928</v>
      </c>
      <c r="L2633" t="str">
        <f t="shared" si="445"/>
        <v>073967</v>
      </c>
      <c r="M2633" t="str">
        <f t="shared" si="446"/>
        <v>04410</v>
      </c>
      <c r="N2633" t="s">
        <v>410</v>
      </c>
      <c r="O2633">
        <v>-101.83</v>
      </c>
      <c r="P2633">
        <v>20180928</v>
      </c>
      <c r="Q2633" t="s">
        <v>1671</v>
      </c>
      <c r="R2633" t="s">
        <v>412</v>
      </c>
      <c r="S2633" t="s">
        <v>1615</v>
      </c>
      <c r="T2633" t="s">
        <v>301</v>
      </c>
    </row>
    <row r="2634" spans="1:20" x14ac:dyDescent="0.25">
      <c r="A2634">
        <v>9</v>
      </c>
      <c r="B2634">
        <v>199</v>
      </c>
      <c r="C2634" t="str">
        <f t="shared" si="447"/>
        <v>11</v>
      </c>
      <c r="D2634">
        <v>6399</v>
      </c>
      <c r="E2634" t="str">
        <f>"VD"</f>
        <v>VD</v>
      </c>
      <c r="F2634" t="str">
        <f t="shared" si="448"/>
        <v>001</v>
      </c>
      <c r="G2634">
        <v>9</v>
      </c>
      <c r="H2634" t="str">
        <f t="shared" ref="H2634:H2641" si="450">"22"</f>
        <v>22</v>
      </c>
      <c r="I2634" t="str">
        <f t="shared" si="449"/>
        <v>0</v>
      </c>
      <c r="J2634" t="str">
        <f t="shared" ref="J2634:J2641" si="451">"22"</f>
        <v>22</v>
      </c>
      <c r="K2634">
        <v>20180928</v>
      </c>
      <c r="L2634" t="str">
        <f t="shared" si="445"/>
        <v>073967</v>
      </c>
      <c r="M2634" t="str">
        <f t="shared" si="446"/>
        <v>04410</v>
      </c>
      <c r="N2634" t="s">
        <v>410</v>
      </c>
      <c r="O2634">
        <v>-533.54999999999995</v>
      </c>
      <c r="P2634">
        <v>20180928</v>
      </c>
      <c r="Q2634" t="s">
        <v>1862</v>
      </c>
      <c r="R2634" t="s">
        <v>412</v>
      </c>
      <c r="S2634" t="s">
        <v>1615</v>
      </c>
      <c r="T2634" t="s">
        <v>301</v>
      </c>
    </row>
    <row r="2635" spans="1:20" x14ac:dyDescent="0.25">
      <c r="A2635">
        <v>9</v>
      </c>
      <c r="B2635">
        <v>199</v>
      </c>
      <c r="C2635" t="str">
        <f t="shared" si="447"/>
        <v>11</v>
      </c>
      <c r="D2635">
        <v>6399</v>
      </c>
      <c r="E2635" t="str">
        <f>"VD"</f>
        <v>VD</v>
      </c>
      <c r="F2635" t="str">
        <f t="shared" si="448"/>
        <v>001</v>
      </c>
      <c r="G2635">
        <v>9</v>
      </c>
      <c r="H2635" t="str">
        <f t="shared" si="450"/>
        <v>22</v>
      </c>
      <c r="I2635" t="str">
        <f t="shared" si="449"/>
        <v>0</v>
      </c>
      <c r="J2635" t="str">
        <f t="shared" si="451"/>
        <v>22</v>
      </c>
      <c r="K2635">
        <v>20180928</v>
      </c>
      <c r="L2635" t="str">
        <f t="shared" si="445"/>
        <v>073967</v>
      </c>
      <c r="M2635" t="str">
        <f t="shared" si="446"/>
        <v>04410</v>
      </c>
      <c r="N2635" t="s">
        <v>410</v>
      </c>
      <c r="O2635">
        <v>-69.5</v>
      </c>
      <c r="P2635">
        <v>20180928</v>
      </c>
      <c r="Q2635" t="s">
        <v>1862</v>
      </c>
      <c r="R2635" t="s">
        <v>412</v>
      </c>
      <c r="S2635" t="s">
        <v>1615</v>
      </c>
      <c r="T2635" t="s">
        <v>301</v>
      </c>
    </row>
    <row r="2636" spans="1:20" x14ac:dyDescent="0.25">
      <c r="A2636">
        <v>9</v>
      </c>
      <c r="B2636">
        <v>199</v>
      </c>
      <c r="C2636" t="str">
        <f t="shared" si="447"/>
        <v>11</v>
      </c>
      <c r="D2636">
        <v>6399</v>
      </c>
      <c r="E2636" t="str">
        <f t="shared" ref="E2636:E2641" si="452">"VR"</f>
        <v>VR</v>
      </c>
      <c r="F2636" t="str">
        <f t="shared" si="448"/>
        <v>001</v>
      </c>
      <c r="G2636">
        <v>9</v>
      </c>
      <c r="H2636" t="str">
        <f t="shared" si="450"/>
        <v>22</v>
      </c>
      <c r="I2636" t="str">
        <f t="shared" si="449"/>
        <v>0</v>
      </c>
      <c r="J2636" t="str">
        <f t="shared" si="451"/>
        <v>22</v>
      </c>
      <c r="K2636">
        <v>20180928</v>
      </c>
      <c r="L2636" t="str">
        <f t="shared" si="445"/>
        <v>073967</v>
      </c>
      <c r="M2636" t="str">
        <f t="shared" si="446"/>
        <v>04410</v>
      </c>
      <c r="N2636" t="s">
        <v>410</v>
      </c>
      <c r="O2636">
        <v>-60.9</v>
      </c>
      <c r="P2636">
        <v>20180928</v>
      </c>
      <c r="Q2636" t="s">
        <v>1863</v>
      </c>
      <c r="R2636" t="s">
        <v>412</v>
      </c>
      <c r="S2636" t="s">
        <v>1615</v>
      </c>
      <c r="T2636" t="s">
        <v>301</v>
      </c>
    </row>
    <row r="2637" spans="1:20" x14ac:dyDescent="0.25">
      <c r="A2637">
        <v>9</v>
      </c>
      <c r="B2637">
        <v>199</v>
      </c>
      <c r="C2637" t="str">
        <f t="shared" si="447"/>
        <v>11</v>
      </c>
      <c r="D2637">
        <v>6399</v>
      </c>
      <c r="E2637" t="str">
        <f t="shared" si="452"/>
        <v>VR</v>
      </c>
      <c r="F2637" t="str">
        <f t="shared" si="448"/>
        <v>001</v>
      </c>
      <c r="G2637">
        <v>9</v>
      </c>
      <c r="H2637" t="str">
        <f t="shared" si="450"/>
        <v>22</v>
      </c>
      <c r="I2637" t="str">
        <f t="shared" si="449"/>
        <v>0</v>
      </c>
      <c r="J2637" t="str">
        <f t="shared" si="451"/>
        <v>22</v>
      </c>
      <c r="K2637">
        <v>20180928</v>
      </c>
      <c r="L2637" t="str">
        <f t="shared" si="445"/>
        <v>073967</v>
      </c>
      <c r="M2637" t="str">
        <f t="shared" si="446"/>
        <v>04410</v>
      </c>
      <c r="N2637" t="s">
        <v>410</v>
      </c>
      <c r="O2637">
        <v>-253.56</v>
      </c>
      <c r="P2637">
        <v>20180928</v>
      </c>
      <c r="Q2637" t="s">
        <v>1863</v>
      </c>
      <c r="R2637" t="s">
        <v>412</v>
      </c>
      <c r="S2637" t="s">
        <v>1615</v>
      </c>
      <c r="T2637" t="s">
        <v>301</v>
      </c>
    </row>
    <row r="2638" spans="1:20" x14ac:dyDescent="0.25">
      <c r="A2638">
        <v>9</v>
      </c>
      <c r="B2638">
        <v>199</v>
      </c>
      <c r="C2638" t="str">
        <f t="shared" si="447"/>
        <v>11</v>
      </c>
      <c r="D2638">
        <v>6399</v>
      </c>
      <c r="E2638" t="str">
        <f t="shared" si="452"/>
        <v>VR</v>
      </c>
      <c r="F2638" t="str">
        <f t="shared" si="448"/>
        <v>001</v>
      </c>
      <c r="G2638">
        <v>9</v>
      </c>
      <c r="H2638" t="str">
        <f t="shared" si="450"/>
        <v>22</v>
      </c>
      <c r="I2638" t="str">
        <f t="shared" si="449"/>
        <v>0</v>
      </c>
      <c r="J2638" t="str">
        <f t="shared" si="451"/>
        <v>22</v>
      </c>
      <c r="K2638">
        <v>20180928</v>
      </c>
      <c r="L2638" t="str">
        <f t="shared" si="445"/>
        <v>073967</v>
      </c>
      <c r="M2638" t="str">
        <f t="shared" si="446"/>
        <v>04410</v>
      </c>
      <c r="N2638" t="s">
        <v>410</v>
      </c>
      <c r="O2638">
        <v>-76.459999999999994</v>
      </c>
      <c r="P2638">
        <v>20180928</v>
      </c>
      <c r="Q2638" t="s">
        <v>1863</v>
      </c>
      <c r="R2638" t="s">
        <v>412</v>
      </c>
      <c r="S2638" t="s">
        <v>1615</v>
      </c>
      <c r="T2638" t="s">
        <v>301</v>
      </c>
    </row>
    <row r="2639" spans="1:20" x14ac:dyDescent="0.25">
      <c r="A2639">
        <v>9</v>
      </c>
      <c r="B2639">
        <v>199</v>
      </c>
      <c r="C2639" t="str">
        <f t="shared" si="447"/>
        <v>11</v>
      </c>
      <c r="D2639">
        <v>6399</v>
      </c>
      <c r="E2639" t="str">
        <f t="shared" si="452"/>
        <v>VR</v>
      </c>
      <c r="F2639" t="str">
        <f t="shared" si="448"/>
        <v>001</v>
      </c>
      <c r="G2639">
        <v>9</v>
      </c>
      <c r="H2639" t="str">
        <f t="shared" si="450"/>
        <v>22</v>
      </c>
      <c r="I2639" t="str">
        <f t="shared" si="449"/>
        <v>0</v>
      </c>
      <c r="J2639" t="str">
        <f t="shared" si="451"/>
        <v>22</v>
      </c>
      <c r="K2639">
        <v>20180928</v>
      </c>
      <c r="L2639" t="str">
        <f t="shared" si="445"/>
        <v>073967</v>
      </c>
      <c r="M2639" t="str">
        <f t="shared" si="446"/>
        <v>04410</v>
      </c>
      <c r="N2639" t="s">
        <v>410</v>
      </c>
      <c r="O2639">
        <v>-17.7</v>
      </c>
      <c r="P2639">
        <v>20180928</v>
      </c>
      <c r="Q2639" t="s">
        <v>1863</v>
      </c>
      <c r="R2639" t="s">
        <v>412</v>
      </c>
      <c r="S2639" t="s">
        <v>1615</v>
      </c>
      <c r="T2639" t="s">
        <v>301</v>
      </c>
    </row>
    <row r="2640" spans="1:20" x14ac:dyDescent="0.25">
      <c r="A2640">
        <v>9</v>
      </c>
      <c r="B2640">
        <v>199</v>
      </c>
      <c r="C2640" t="str">
        <f t="shared" si="447"/>
        <v>11</v>
      </c>
      <c r="D2640">
        <v>6399</v>
      </c>
      <c r="E2640" t="str">
        <f t="shared" si="452"/>
        <v>VR</v>
      </c>
      <c r="F2640" t="str">
        <f t="shared" si="448"/>
        <v>001</v>
      </c>
      <c r="G2640">
        <v>9</v>
      </c>
      <c r="H2640" t="str">
        <f t="shared" si="450"/>
        <v>22</v>
      </c>
      <c r="I2640" t="str">
        <f t="shared" si="449"/>
        <v>0</v>
      </c>
      <c r="J2640" t="str">
        <f t="shared" si="451"/>
        <v>22</v>
      </c>
      <c r="K2640">
        <v>20180928</v>
      </c>
      <c r="L2640" t="str">
        <f t="shared" si="445"/>
        <v>073967</v>
      </c>
      <c r="M2640" t="str">
        <f t="shared" si="446"/>
        <v>04410</v>
      </c>
      <c r="N2640" t="s">
        <v>410</v>
      </c>
      <c r="O2640">
        <v>-47.96</v>
      </c>
      <c r="P2640">
        <v>20180928</v>
      </c>
      <c r="Q2640" t="s">
        <v>1863</v>
      </c>
      <c r="R2640" t="s">
        <v>412</v>
      </c>
      <c r="S2640" t="s">
        <v>1615</v>
      </c>
      <c r="T2640" t="s">
        <v>301</v>
      </c>
    </row>
    <row r="2641" spans="1:20" x14ac:dyDescent="0.25">
      <c r="A2641">
        <v>9</v>
      </c>
      <c r="B2641">
        <v>199</v>
      </c>
      <c r="C2641" t="str">
        <f t="shared" si="447"/>
        <v>11</v>
      </c>
      <c r="D2641">
        <v>6399</v>
      </c>
      <c r="E2641" t="str">
        <f t="shared" si="452"/>
        <v>VR</v>
      </c>
      <c r="F2641" t="str">
        <f t="shared" si="448"/>
        <v>001</v>
      </c>
      <c r="G2641">
        <v>9</v>
      </c>
      <c r="H2641" t="str">
        <f t="shared" si="450"/>
        <v>22</v>
      </c>
      <c r="I2641" t="str">
        <f t="shared" si="449"/>
        <v>0</v>
      </c>
      <c r="J2641" t="str">
        <f t="shared" si="451"/>
        <v>22</v>
      </c>
      <c r="K2641">
        <v>20180928</v>
      </c>
      <c r="L2641" t="str">
        <f t="shared" si="445"/>
        <v>073967</v>
      </c>
      <c r="M2641" t="str">
        <f t="shared" si="446"/>
        <v>04410</v>
      </c>
      <c r="N2641" t="s">
        <v>410</v>
      </c>
      <c r="O2641">
        <v>-15.39</v>
      </c>
      <c r="P2641">
        <v>20180928</v>
      </c>
      <c r="Q2641" t="s">
        <v>1863</v>
      </c>
      <c r="R2641" t="s">
        <v>412</v>
      </c>
      <c r="S2641" t="s">
        <v>1615</v>
      </c>
      <c r="T2641" t="s">
        <v>301</v>
      </c>
    </row>
    <row r="2642" spans="1:20" x14ac:dyDescent="0.25">
      <c r="A2642">
        <v>9</v>
      </c>
      <c r="B2642">
        <v>199</v>
      </c>
      <c r="C2642" t="str">
        <f>"23"</f>
        <v>23</v>
      </c>
      <c r="D2642">
        <v>6399</v>
      </c>
      <c r="E2642" t="str">
        <f>"10"</f>
        <v>10</v>
      </c>
      <c r="F2642" t="str">
        <f t="shared" si="448"/>
        <v>001</v>
      </c>
      <c r="G2642">
        <v>9</v>
      </c>
      <c r="H2642" t="str">
        <f>"99"</f>
        <v>99</v>
      </c>
      <c r="I2642" t="str">
        <f t="shared" si="449"/>
        <v>0</v>
      </c>
      <c r="J2642" t="str">
        <f>"01"</f>
        <v>01</v>
      </c>
      <c r="K2642">
        <v>20180928</v>
      </c>
      <c r="L2642" t="str">
        <f t="shared" si="445"/>
        <v>073967</v>
      </c>
      <c r="M2642" t="str">
        <f t="shared" si="446"/>
        <v>04410</v>
      </c>
      <c r="N2642" t="s">
        <v>410</v>
      </c>
      <c r="O2642">
        <v>-37.18</v>
      </c>
      <c r="P2642">
        <v>20180928</v>
      </c>
      <c r="Q2642" t="s">
        <v>1785</v>
      </c>
      <c r="R2642" t="s">
        <v>412</v>
      </c>
      <c r="S2642" t="s">
        <v>1615</v>
      </c>
      <c r="T2642" t="s">
        <v>301</v>
      </c>
    </row>
    <row r="2643" spans="1:20" x14ac:dyDescent="0.25">
      <c r="A2643">
        <v>9</v>
      </c>
      <c r="B2643">
        <v>199</v>
      </c>
      <c r="C2643" t="str">
        <f>"31"</f>
        <v>31</v>
      </c>
      <c r="D2643">
        <v>6399</v>
      </c>
      <c r="E2643" t="str">
        <f>"7F"</f>
        <v>7F</v>
      </c>
      <c r="F2643" t="str">
        <f t="shared" si="448"/>
        <v>001</v>
      </c>
      <c r="G2643">
        <v>9</v>
      </c>
      <c r="H2643" t="str">
        <f>"31"</f>
        <v>31</v>
      </c>
      <c r="I2643" t="str">
        <f t="shared" si="449"/>
        <v>0</v>
      </c>
      <c r="J2643" t="str">
        <f>"34"</f>
        <v>34</v>
      </c>
      <c r="K2643">
        <v>20180928</v>
      </c>
      <c r="L2643" t="str">
        <f t="shared" si="445"/>
        <v>073967</v>
      </c>
      <c r="M2643" t="str">
        <f t="shared" si="446"/>
        <v>04410</v>
      </c>
      <c r="N2643" t="s">
        <v>410</v>
      </c>
      <c r="O2643" s="1">
        <v>-1491.79</v>
      </c>
      <c r="P2643">
        <v>20180928</v>
      </c>
      <c r="Q2643" t="s">
        <v>1864</v>
      </c>
      <c r="R2643" t="s">
        <v>412</v>
      </c>
      <c r="S2643" t="s">
        <v>1615</v>
      </c>
      <c r="T2643" t="s">
        <v>301</v>
      </c>
    </row>
    <row r="2644" spans="1:20" x14ac:dyDescent="0.25">
      <c r="A2644">
        <v>9</v>
      </c>
      <c r="B2644">
        <v>199</v>
      </c>
      <c r="C2644" t="str">
        <f>"53"</f>
        <v>53</v>
      </c>
      <c r="D2644">
        <v>6399</v>
      </c>
      <c r="E2644" t="str">
        <f>"10"</f>
        <v>10</v>
      </c>
      <c r="F2644" t="str">
        <f>"880"</f>
        <v>880</v>
      </c>
      <c r="G2644">
        <v>9</v>
      </c>
      <c r="H2644" t="str">
        <f>"99"</f>
        <v>99</v>
      </c>
      <c r="I2644" t="str">
        <f t="shared" si="449"/>
        <v>0</v>
      </c>
      <c r="J2644" t="str">
        <f>"80"</f>
        <v>80</v>
      </c>
      <c r="K2644">
        <v>20180928</v>
      </c>
      <c r="L2644" t="str">
        <f t="shared" si="445"/>
        <v>073967</v>
      </c>
      <c r="M2644" t="str">
        <f t="shared" si="446"/>
        <v>04410</v>
      </c>
      <c r="N2644" t="s">
        <v>410</v>
      </c>
      <c r="O2644">
        <v>-109.99</v>
      </c>
      <c r="P2644">
        <v>20180928</v>
      </c>
      <c r="Q2644" t="s">
        <v>1865</v>
      </c>
      <c r="R2644" t="s">
        <v>412</v>
      </c>
      <c r="S2644" t="s">
        <v>1615</v>
      </c>
      <c r="T2644" t="s">
        <v>1866</v>
      </c>
    </row>
    <row r="2645" spans="1:20" x14ac:dyDescent="0.25">
      <c r="A2645">
        <v>9</v>
      </c>
      <c r="B2645">
        <v>199</v>
      </c>
      <c r="C2645" t="str">
        <f>"53"</f>
        <v>53</v>
      </c>
      <c r="D2645">
        <v>6399</v>
      </c>
      <c r="E2645" t="str">
        <f>"10"</f>
        <v>10</v>
      </c>
      <c r="F2645" t="str">
        <f>"880"</f>
        <v>880</v>
      </c>
      <c r="G2645">
        <v>9</v>
      </c>
      <c r="H2645" t="str">
        <f>"99"</f>
        <v>99</v>
      </c>
      <c r="I2645" t="str">
        <f t="shared" si="449"/>
        <v>0</v>
      </c>
      <c r="J2645" t="str">
        <f>"80"</f>
        <v>80</v>
      </c>
      <c r="K2645">
        <v>20180928</v>
      </c>
      <c r="L2645" t="str">
        <f t="shared" si="445"/>
        <v>073967</v>
      </c>
      <c r="M2645" t="str">
        <f t="shared" si="446"/>
        <v>04410</v>
      </c>
      <c r="N2645" t="s">
        <v>410</v>
      </c>
      <c r="O2645">
        <v>-45.98</v>
      </c>
      <c r="P2645">
        <v>20180928</v>
      </c>
      <c r="Q2645" t="s">
        <v>1865</v>
      </c>
      <c r="R2645" t="s">
        <v>412</v>
      </c>
      <c r="S2645" t="s">
        <v>1615</v>
      </c>
      <c r="T2645" t="s">
        <v>1866</v>
      </c>
    </row>
    <row r="2646" spans="1:20" x14ac:dyDescent="0.25">
      <c r="A2646">
        <v>9</v>
      </c>
      <c r="B2646">
        <v>199</v>
      </c>
      <c r="C2646" t="str">
        <f>"00"</f>
        <v>00</v>
      </c>
      <c r="D2646">
        <v>2110</v>
      </c>
      <c r="E2646" t="str">
        <f>"18"</f>
        <v>18</v>
      </c>
      <c r="F2646" t="str">
        <f>"000"</f>
        <v>000</v>
      </c>
      <c r="G2646">
        <v>9</v>
      </c>
      <c r="H2646" t="str">
        <f>"00"</f>
        <v>00</v>
      </c>
      <c r="I2646" t="str">
        <f t="shared" si="449"/>
        <v>0</v>
      </c>
      <c r="J2646" t="str">
        <f>"00"</f>
        <v>00</v>
      </c>
      <c r="K2646">
        <v>20180928</v>
      </c>
      <c r="L2646" t="str">
        <f>"073968"</f>
        <v>073968</v>
      </c>
      <c r="M2646" t="str">
        <f>"06267"</f>
        <v>06267</v>
      </c>
      <c r="N2646" t="s">
        <v>1867</v>
      </c>
      <c r="O2646">
        <v>-539.03</v>
      </c>
      <c r="P2646">
        <v>20180928</v>
      </c>
      <c r="Q2646" t="s">
        <v>1613</v>
      </c>
      <c r="R2646" t="s">
        <v>412</v>
      </c>
      <c r="S2646" t="s">
        <v>1615</v>
      </c>
      <c r="T2646" t="s">
        <v>296</v>
      </c>
    </row>
    <row r="2647" spans="1:20" x14ac:dyDescent="0.25">
      <c r="A2647">
        <v>9</v>
      </c>
      <c r="B2647">
        <v>199</v>
      </c>
      <c r="C2647" t="str">
        <f>"00"</f>
        <v>00</v>
      </c>
      <c r="D2647">
        <v>2110</v>
      </c>
      <c r="E2647" t="str">
        <f>"18"</f>
        <v>18</v>
      </c>
      <c r="F2647" t="str">
        <f>"000"</f>
        <v>000</v>
      </c>
      <c r="G2647">
        <v>9</v>
      </c>
      <c r="H2647" t="str">
        <f>"00"</f>
        <v>00</v>
      </c>
      <c r="I2647" t="str">
        <f t="shared" si="449"/>
        <v>0</v>
      </c>
      <c r="J2647" t="str">
        <f>"00"</f>
        <v>00</v>
      </c>
      <c r="K2647">
        <v>20180928</v>
      </c>
      <c r="L2647" t="str">
        <f>"073968"</f>
        <v>073968</v>
      </c>
      <c r="M2647" t="str">
        <f>"06267"</f>
        <v>06267</v>
      </c>
      <c r="N2647" t="s">
        <v>1867</v>
      </c>
      <c r="O2647">
        <v>-990.73</v>
      </c>
      <c r="P2647">
        <v>20180928</v>
      </c>
      <c r="Q2647" t="s">
        <v>1613</v>
      </c>
      <c r="R2647" t="s">
        <v>412</v>
      </c>
      <c r="S2647" t="s">
        <v>1615</v>
      </c>
      <c r="T2647" t="s">
        <v>296</v>
      </c>
    </row>
    <row r="2648" spans="1:20" x14ac:dyDescent="0.25">
      <c r="A2648">
        <v>9</v>
      </c>
      <c r="B2648">
        <v>199</v>
      </c>
      <c r="C2648" t="str">
        <f>"11"</f>
        <v>11</v>
      </c>
      <c r="D2648">
        <v>6399</v>
      </c>
      <c r="E2648" t="str">
        <f>"VR"</f>
        <v>VR</v>
      </c>
      <c r="F2648" t="str">
        <f>"001"</f>
        <v>001</v>
      </c>
      <c r="G2648">
        <v>9</v>
      </c>
      <c r="H2648" t="str">
        <f>"22"</f>
        <v>22</v>
      </c>
      <c r="I2648" t="str">
        <f t="shared" si="449"/>
        <v>0</v>
      </c>
      <c r="J2648" t="str">
        <f>"22"</f>
        <v>22</v>
      </c>
      <c r="K2648">
        <v>20180928</v>
      </c>
      <c r="L2648" t="str">
        <f>"073969"</f>
        <v>073969</v>
      </c>
      <c r="M2648" t="str">
        <f>"06480"</f>
        <v>06480</v>
      </c>
      <c r="N2648" t="s">
        <v>1868</v>
      </c>
      <c r="O2648">
        <v>-60.4</v>
      </c>
      <c r="P2648">
        <v>20180928</v>
      </c>
      <c r="Q2648" t="s">
        <v>1863</v>
      </c>
      <c r="R2648" t="s">
        <v>412</v>
      </c>
      <c r="S2648" t="s">
        <v>1615</v>
      </c>
      <c r="T2648" t="s">
        <v>301</v>
      </c>
    </row>
    <row r="2649" spans="1:20" x14ac:dyDescent="0.25">
      <c r="A2649">
        <v>9</v>
      </c>
      <c r="B2649">
        <v>199</v>
      </c>
      <c r="C2649" t="str">
        <f>"51"</f>
        <v>51</v>
      </c>
      <c r="D2649">
        <v>6256</v>
      </c>
      <c r="E2649" t="str">
        <f>"10"</f>
        <v>10</v>
      </c>
      <c r="F2649" t="str">
        <f>"880"</f>
        <v>880</v>
      </c>
      <c r="G2649">
        <v>9</v>
      </c>
      <c r="H2649" t="str">
        <f>"99"</f>
        <v>99</v>
      </c>
      <c r="I2649" t="str">
        <f t="shared" si="449"/>
        <v>0</v>
      </c>
      <c r="J2649" t="str">
        <f>"80"</f>
        <v>80</v>
      </c>
      <c r="K2649">
        <v>20180928</v>
      </c>
      <c r="L2649" t="str">
        <f>"073971"</f>
        <v>073971</v>
      </c>
      <c r="M2649" t="str">
        <f>"00390"</f>
        <v>00390</v>
      </c>
      <c r="N2649" t="s">
        <v>1869</v>
      </c>
      <c r="O2649">
        <v>-80.78</v>
      </c>
      <c r="P2649">
        <v>20180928</v>
      </c>
      <c r="Q2649" t="s">
        <v>1870</v>
      </c>
      <c r="R2649" t="s">
        <v>412</v>
      </c>
      <c r="S2649" t="s">
        <v>1615</v>
      </c>
      <c r="T2649" t="s">
        <v>1866</v>
      </c>
    </row>
    <row r="2650" spans="1:20" x14ac:dyDescent="0.25">
      <c r="A2650">
        <v>9</v>
      </c>
      <c r="B2650">
        <v>199</v>
      </c>
      <c r="C2650" t="str">
        <f>"51"</f>
        <v>51</v>
      </c>
      <c r="D2650">
        <v>6256</v>
      </c>
      <c r="E2650" t="str">
        <f>"10"</f>
        <v>10</v>
      </c>
      <c r="F2650" t="str">
        <f>"880"</f>
        <v>880</v>
      </c>
      <c r="G2650">
        <v>9</v>
      </c>
      <c r="H2650" t="str">
        <f>"99"</f>
        <v>99</v>
      </c>
      <c r="I2650" t="str">
        <f t="shared" si="449"/>
        <v>0</v>
      </c>
      <c r="J2650" t="str">
        <f>"80"</f>
        <v>80</v>
      </c>
      <c r="K2650">
        <v>20180928</v>
      </c>
      <c r="L2650" t="str">
        <f>"073971"</f>
        <v>073971</v>
      </c>
      <c r="M2650" t="str">
        <f>"00390"</f>
        <v>00390</v>
      </c>
      <c r="N2650" t="s">
        <v>1869</v>
      </c>
      <c r="O2650" s="1">
        <v>-4347.32</v>
      </c>
      <c r="P2650">
        <v>20180928</v>
      </c>
      <c r="Q2650" t="s">
        <v>1870</v>
      </c>
      <c r="R2650" t="s">
        <v>412</v>
      </c>
      <c r="S2650" t="s">
        <v>1615</v>
      </c>
      <c r="T2650" t="s">
        <v>1866</v>
      </c>
    </row>
    <row r="2651" spans="1:20" x14ac:dyDescent="0.25">
      <c r="A2651">
        <v>9</v>
      </c>
      <c r="B2651">
        <v>199</v>
      </c>
      <c r="C2651" t="str">
        <f>"51"</f>
        <v>51</v>
      </c>
      <c r="D2651">
        <v>6256</v>
      </c>
      <c r="E2651" t="str">
        <f>"11"</f>
        <v>11</v>
      </c>
      <c r="F2651" t="str">
        <f>"880"</f>
        <v>880</v>
      </c>
      <c r="G2651">
        <v>9</v>
      </c>
      <c r="H2651" t="str">
        <f>"99"</f>
        <v>99</v>
      </c>
      <c r="I2651" t="str">
        <f t="shared" si="449"/>
        <v>0</v>
      </c>
      <c r="J2651" t="str">
        <f>"80"</f>
        <v>80</v>
      </c>
      <c r="K2651">
        <v>20180928</v>
      </c>
      <c r="L2651" t="str">
        <f>"073972"</f>
        <v>073972</v>
      </c>
      <c r="M2651" t="str">
        <f>"00392"</f>
        <v>00392</v>
      </c>
      <c r="N2651" t="s">
        <v>1869</v>
      </c>
      <c r="O2651">
        <v>-46.9</v>
      </c>
      <c r="P2651">
        <v>20180928</v>
      </c>
      <c r="Q2651" t="s">
        <v>1871</v>
      </c>
      <c r="R2651" t="s">
        <v>412</v>
      </c>
      <c r="S2651" t="s">
        <v>1615</v>
      </c>
      <c r="T2651" t="s">
        <v>1866</v>
      </c>
    </row>
    <row r="2652" spans="1:20" x14ac:dyDescent="0.25">
      <c r="A2652">
        <v>9</v>
      </c>
      <c r="B2652">
        <v>199</v>
      </c>
      <c r="C2652" t="str">
        <f>"11"</f>
        <v>11</v>
      </c>
      <c r="D2652">
        <v>6299</v>
      </c>
      <c r="E2652" t="str">
        <f>"7E"</f>
        <v>7E</v>
      </c>
      <c r="F2652" t="str">
        <f>"001"</f>
        <v>001</v>
      </c>
      <c r="G2652">
        <v>9</v>
      </c>
      <c r="H2652" t="str">
        <f>"11"</f>
        <v>11</v>
      </c>
      <c r="I2652" t="str">
        <f t="shared" si="449"/>
        <v>0</v>
      </c>
      <c r="J2652" t="str">
        <f>"31"</f>
        <v>31</v>
      </c>
      <c r="K2652">
        <v>20180928</v>
      </c>
      <c r="L2652" t="str">
        <f>"073975"</f>
        <v>073975</v>
      </c>
      <c r="M2652" t="str">
        <f>"13165"</f>
        <v>13165</v>
      </c>
      <c r="N2652" t="s">
        <v>1872</v>
      </c>
      <c r="O2652">
        <v>-150</v>
      </c>
      <c r="P2652">
        <v>20180928</v>
      </c>
      <c r="Q2652" t="s">
        <v>1873</v>
      </c>
      <c r="R2652" t="s">
        <v>412</v>
      </c>
      <c r="S2652" t="s">
        <v>1615</v>
      </c>
      <c r="T2652" t="s">
        <v>301</v>
      </c>
    </row>
    <row r="2653" spans="1:20" x14ac:dyDescent="0.25">
      <c r="A2653">
        <v>9</v>
      </c>
      <c r="B2653">
        <v>199</v>
      </c>
      <c r="C2653" t="str">
        <f>"36"</f>
        <v>36</v>
      </c>
      <c r="D2653">
        <v>6412</v>
      </c>
      <c r="E2653" t="str">
        <f>"7B"</f>
        <v>7B</v>
      </c>
      <c r="F2653" t="str">
        <f>"001"</f>
        <v>001</v>
      </c>
      <c r="G2653">
        <v>9</v>
      </c>
      <c r="H2653" t="str">
        <f>"99"</f>
        <v>99</v>
      </c>
      <c r="I2653" t="str">
        <f t="shared" si="449"/>
        <v>0</v>
      </c>
      <c r="J2653" t="str">
        <f>"32"</f>
        <v>32</v>
      </c>
      <c r="K2653">
        <v>20180928</v>
      </c>
      <c r="L2653" t="str">
        <f>"073978"</f>
        <v>073978</v>
      </c>
      <c r="M2653" t="str">
        <f>"18251"</f>
        <v>18251</v>
      </c>
      <c r="N2653" t="s">
        <v>302</v>
      </c>
      <c r="O2653">
        <v>-300</v>
      </c>
      <c r="P2653">
        <v>20180928</v>
      </c>
      <c r="Q2653" t="s">
        <v>1658</v>
      </c>
      <c r="R2653" t="s">
        <v>412</v>
      </c>
      <c r="S2653" t="s">
        <v>1615</v>
      </c>
      <c r="T2653" t="s">
        <v>301</v>
      </c>
    </row>
    <row r="2654" spans="1:20" x14ac:dyDescent="0.25">
      <c r="A2654">
        <v>9</v>
      </c>
      <c r="B2654">
        <v>199</v>
      </c>
      <c r="C2654" t="str">
        <f>"36"</f>
        <v>36</v>
      </c>
      <c r="D2654">
        <v>6411</v>
      </c>
      <c r="E2654" t="str">
        <f>"7B"</f>
        <v>7B</v>
      </c>
      <c r="F2654" t="str">
        <f>"001"</f>
        <v>001</v>
      </c>
      <c r="G2654">
        <v>9</v>
      </c>
      <c r="H2654" t="str">
        <f>"99"</f>
        <v>99</v>
      </c>
      <c r="I2654" t="str">
        <f t="shared" si="449"/>
        <v>0</v>
      </c>
      <c r="J2654" t="str">
        <f>"32"</f>
        <v>32</v>
      </c>
      <c r="K2654">
        <v>20180928</v>
      </c>
      <c r="L2654" t="str">
        <f>"073980"</f>
        <v>073980</v>
      </c>
      <c r="M2654" t="str">
        <f>"20416"</f>
        <v>20416</v>
      </c>
      <c r="N2654" t="s">
        <v>1693</v>
      </c>
      <c r="O2654">
        <v>-35</v>
      </c>
      <c r="P2654">
        <v>20180928</v>
      </c>
      <c r="Q2654" t="s">
        <v>1694</v>
      </c>
      <c r="R2654" t="s">
        <v>412</v>
      </c>
      <c r="S2654" t="s">
        <v>1615</v>
      </c>
      <c r="T2654" t="s">
        <v>301</v>
      </c>
    </row>
    <row r="2655" spans="1:20" x14ac:dyDescent="0.25">
      <c r="A2655">
        <v>9</v>
      </c>
      <c r="B2655">
        <v>199</v>
      </c>
      <c r="C2655" t="str">
        <f>"36"</f>
        <v>36</v>
      </c>
      <c r="D2655">
        <v>6412</v>
      </c>
      <c r="E2655" t="str">
        <f>"7B"</f>
        <v>7B</v>
      </c>
      <c r="F2655" t="str">
        <f>"001"</f>
        <v>001</v>
      </c>
      <c r="G2655">
        <v>9</v>
      </c>
      <c r="H2655" t="str">
        <f>"99"</f>
        <v>99</v>
      </c>
      <c r="I2655" t="str">
        <f>"1"</f>
        <v>1</v>
      </c>
      <c r="J2655" t="str">
        <f>"32"</f>
        <v>32</v>
      </c>
      <c r="K2655">
        <v>20180928</v>
      </c>
      <c r="L2655" t="str">
        <f>"073980"</f>
        <v>073980</v>
      </c>
      <c r="M2655" t="str">
        <f>"20416"</f>
        <v>20416</v>
      </c>
      <c r="N2655" t="s">
        <v>1693</v>
      </c>
      <c r="O2655">
        <v>-470</v>
      </c>
      <c r="P2655">
        <v>20180928</v>
      </c>
      <c r="Q2655" t="s">
        <v>1696</v>
      </c>
      <c r="R2655" t="s">
        <v>412</v>
      </c>
      <c r="S2655" t="s">
        <v>1615</v>
      </c>
      <c r="T2655" t="s">
        <v>301</v>
      </c>
    </row>
    <row r="2656" spans="1:20" x14ac:dyDescent="0.25">
      <c r="A2656">
        <v>9</v>
      </c>
      <c r="B2656">
        <v>199</v>
      </c>
      <c r="C2656" t="str">
        <f>"51"</f>
        <v>51</v>
      </c>
      <c r="D2656">
        <v>6249</v>
      </c>
      <c r="E2656" t="str">
        <f>"MC"</f>
        <v>MC</v>
      </c>
      <c r="F2656" t="str">
        <f>"935"</f>
        <v>935</v>
      </c>
      <c r="G2656">
        <v>9</v>
      </c>
      <c r="H2656" t="str">
        <f>"99"</f>
        <v>99</v>
      </c>
      <c r="I2656" t="str">
        <f t="shared" ref="I2656:I2668" si="453">"0"</f>
        <v>0</v>
      </c>
      <c r="J2656" t="str">
        <f>"81"</f>
        <v>81</v>
      </c>
      <c r="K2656">
        <v>20180928</v>
      </c>
      <c r="L2656" t="str">
        <f>"073985"</f>
        <v>073985</v>
      </c>
      <c r="M2656" t="str">
        <f>"22226"</f>
        <v>22226</v>
      </c>
      <c r="N2656" t="s">
        <v>1874</v>
      </c>
      <c r="O2656">
        <v>-46.4</v>
      </c>
      <c r="P2656">
        <v>20180928</v>
      </c>
      <c r="Q2656" t="s">
        <v>1875</v>
      </c>
      <c r="R2656" t="s">
        <v>412</v>
      </c>
      <c r="S2656" t="s">
        <v>1615</v>
      </c>
      <c r="T2656" t="s">
        <v>1876</v>
      </c>
    </row>
    <row r="2657" spans="1:20" x14ac:dyDescent="0.25">
      <c r="A2657">
        <v>9</v>
      </c>
      <c r="B2657">
        <v>199</v>
      </c>
      <c r="C2657" t="str">
        <f>"11"</f>
        <v>11</v>
      </c>
      <c r="D2657">
        <v>6412</v>
      </c>
      <c r="E2657" t="str">
        <f>"VL"</f>
        <v>VL</v>
      </c>
      <c r="F2657" t="str">
        <f>"001"</f>
        <v>001</v>
      </c>
      <c r="G2657">
        <v>9</v>
      </c>
      <c r="H2657" t="str">
        <f>"22"</f>
        <v>22</v>
      </c>
      <c r="I2657" t="str">
        <f t="shared" si="453"/>
        <v>0</v>
      </c>
      <c r="J2657" t="str">
        <f>"22"</f>
        <v>22</v>
      </c>
      <c r="K2657">
        <v>20180928</v>
      </c>
      <c r="L2657" t="str">
        <f>"073988"</f>
        <v>073988</v>
      </c>
      <c r="M2657" t="str">
        <f>"25855"</f>
        <v>25855</v>
      </c>
      <c r="N2657" t="s">
        <v>1877</v>
      </c>
      <c r="O2657">
        <v>-225</v>
      </c>
      <c r="P2657">
        <v>20180928</v>
      </c>
      <c r="Q2657" t="s">
        <v>1878</v>
      </c>
      <c r="R2657" t="s">
        <v>412</v>
      </c>
      <c r="S2657" t="s">
        <v>1615</v>
      </c>
      <c r="T2657" t="s">
        <v>301</v>
      </c>
    </row>
    <row r="2658" spans="1:20" x14ac:dyDescent="0.25">
      <c r="A2658">
        <v>9</v>
      </c>
      <c r="B2658">
        <v>199</v>
      </c>
      <c r="C2658" t="str">
        <f>"36"</f>
        <v>36</v>
      </c>
      <c r="D2658">
        <v>6411</v>
      </c>
      <c r="E2658" t="str">
        <f>"VL"</f>
        <v>VL</v>
      </c>
      <c r="F2658" t="str">
        <f>"001"</f>
        <v>001</v>
      </c>
      <c r="G2658">
        <v>9</v>
      </c>
      <c r="H2658" t="str">
        <f>"22"</f>
        <v>22</v>
      </c>
      <c r="I2658" t="str">
        <f t="shared" si="453"/>
        <v>0</v>
      </c>
      <c r="J2658" t="str">
        <f>"22"</f>
        <v>22</v>
      </c>
      <c r="K2658">
        <v>20180928</v>
      </c>
      <c r="L2658" t="str">
        <f>"073988"</f>
        <v>073988</v>
      </c>
      <c r="M2658" t="str">
        <f>"25855"</f>
        <v>25855</v>
      </c>
      <c r="N2658" t="s">
        <v>1877</v>
      </c>
      <c r="O2658">
        <v>-25</v>
      </c>
      <c r="P2658">
        <v>20180928</v>
      </c>
      <c r="Q2658" t="s">
        <v>1879</v>
      </c>
      <c r="R2658" t="s">
        <v>412</v>
      </c>
      <c r="S2658" t="s">
        <v>1615</v>
      </c>
      <c r="T2658" t="s">
        <v>301</v>
      </c>
    </row>
    <row r="2659" spans="1:20" x14ac:dyDescent="0.25">
      <c r="A2659">
        <v>9</v>
      </c>
      <c r="B2659">
        <v>199</v>
      </c>
      <c r="C2659" t="str">
        <f>"00"</f>
        <v>00</v>
      </c>
      <c r="D2659">
        <v>2110</v>
      </c>
      <c r="E2659" t="str">
        <f>"18"</f>
        <v>18</v>
      </c>
      <c r="F2659" t="str">
        <f>"000"</f>
        <v>000</v>
      </c>
      <c r="G2659">
        <v>9</v>
      </c>
      <c r="H2659" t="str">
        <f>"00"</f>
        <v>00</v>
      </c>
      <c r="I2659" t="str">
        <f t="shared" si="453"/>
        <v>0</v>
      </c>
      <c r="J2659" t="str">
        <f>"00"</f>
        <v>00</v>
      </c>
      <c r="K2659">
        <v>20180928</v>
      </c>
      <c r="L2659" t="str">
        <f>"073989"</f>
        <v>073989</v>
      </c>
      <c r="M2659" t="str">
        <f>"77113"</f>
        <v>77113</v>
      </c>
      <c r="N2659" t="s">
        <v>1880</v>
      </c>
      <c r="O2659">
        <v>-153.18</v>
      </c>
      <c r="P2659">
        <v>20180928</v>
      </c>
      <c r="Q2659" t="s">
        <v>1613</v>
      </c>
      <c r="R2659" t="s">
        <v>412</v>
      </c>
      <c r="S2659" t="s">
        <v>1615</v>
      </c>
      <c r="T2659" t="s">
        <v>296</v>
      </c>
    </row>
    <row r="2660" spans="1:20" x14ac:dyDescent="0.25">
      <c r="A2660">
        <v>9</v>
      </c>
      <c r="B2660">
        <v>199</v>
      </c>
      <c r="C2660" t="str">
        <f t="shared" ref="C2660:C2666" si="454">"11"</f>
        <v>11</v>
      </c>
      <c r="D2660">
        <v>6299</v>
      </c>
      <c r="E2660" t="str">
        <f>"7E"</f>
        <v>7E</v>
      </c>
      <c r="F2660" t="str">
        <f>"001"</f>
        <v>001</v>
      </c>
      <c r="G2660">
        <v>9</v>
      </c>
      <c r="H2660" t="str">
        <f>"11"</f>
        <v>11</v>
      </c>
      <c r="I2660" t="str">
        <f t="shared" si="453"/>
        <v>0</v>
      </c>
      <c r="J2660" t="str">
        <f>"31"</f>
        <v>31</v>
      </c>
      <c r="K2660">
        <v>20180928</v>
      </c>
      <c r="L2660" t="str">
        <f>"073990"</f>
        <v>073990</v>
      </c>
      <c r="M2660" t="str">
        <f>"25875"</f>
        <v>25875</v>
      </c>
      <c r="N2660" t="s">
        <v>1881</v>
      </c>
      <c r="O2660">
        <v>-150</v>
      </c>
      <c r="P2660">
        <v>20180928</v>
      </c>
      <c r="Q2660" t="s">
        <v>1873</v>
      </c>
      <c r="R2660" t="s">
        <v>412</v>
      </c>
      <c r="S2660" t="s">
        <v>1615</v>
      </c>
      <c r="T2660" t="s">
        <v>301</v>
      </c>
    </row>
    <row r="2661" spans="1:20" x14ac:dyDescent="0.25">
      <c r="A2661">
        <v>9</v>
      </c>
      <c r="B2661">
        <v>199</v>
      </c>
      <c r="C2661" t="str">
        <f t="shared" si="454"/>
        <v>11</v>
      </c>
      <c r="D2661">
        <v>6249</v>
      </c>
      <c r="E2661" t="str">
        <f>"57"</f>
        <v>57</v>
      </c>
      <c r="F2661" t="str">
        <f>"001"</f>
        <v>001</v>
      </c>
      <c r="G2661">
        <v>9</v>
      </c>
      <c r="H2661" t="str">
        <f>"11"</f>
        <v>11</v>
      </c>
      <c r="I2661" t="str">
        <f t="shared" si="453"/>
        <v>0</v>
      </c>
      <c r="J2661" t="str">
        <f>"80"</f>
        <v>80</v>
      </c>
      <c r="K2661">
        <v>20180928</v>
      </c>
      <c r="L2661" t="str">
        <f>"073995"</f>
        <v>073995</v>
      </c>
      <c r="M2661" t="str">
        <f>"28548"</f>
        <v>28548</v>
      </c>
      <c r="N2661" t="s">
        <v>1882</v>
      </c>
      <c r="O2661" s="1">
        <v>-1515</v>
      </c>
      <c r="P2661">
        <v>20180928</v>
      </c>
      <c r="Q2661" t="s">
        <v>1796</v>
      </c>
      <c r="R2661" t="s">
        <v>412</v>
      </c>
      <c r="S2661" t="s">
        <v>1615</v>
      </c>
      <c r="T2661" t="s">
        <v>301</v>
      </c>
    </row>
    <row r="2662" spans="1:20" x14ac:dyDescent="0.25">
      <c r="A2662">
        <v>9</v>
      </c>
      <c r="B2662">
        <v>199</v>
      </c>
      <c r="C2662" t="str">
        <f t="shared" si="454"/>
        <v>11</v>
      </c>
      <c r="D2662">
        <v>6249</v>
      </c>
      <c r="E2662" t="str">
        <f>"57"</f>
        <v>57</v>
      </c>
      <c r="F2662" t="str">
        <f>"041"</f>
        <v>041</v>
      </c>
      <c r="G2662">
        <v>9</v>
      </c>
      <c r="H2662" t="str">
        <f>"11"</f>
        <v>11</v>
      </c>
      <c r="I2662" t="str">
        <f t="shared" si="453"/>
        <v>0</v>
      </c>
      <c r="J2662" t="str">
        <f>"80"</f>
        <v>80</v>
      </c>
      <c r="K2662">
        <v>20180928</v>
      </c>
      <c r="L2662" t="str">
        <f>"073995"</f>
        <v>073995</v>
      </c>
      <c r="M2662" t="str">
        <f>"28548"</f>
        <v>28548</v>
      </c>
      <c r="N2662" t="s">
        <v>1882</v>
      </c>
      <c r="O2662" s="1">
        <v>-1515</v>
      </c>
      <c r="P2662">
        <v>20180928</v>
      </c>
      <c r="Q2662" t="s">
        <v>1798</v>
      </c>
      <c r="R2662" t="s">
        <v>412</v>
      </c>
      <c r="S2662" t="s">
        <v>1615</v>
      </c>
      <c r="T2662" t="s">
        <v>106</v>
      </c>
    </row>
    <row r="2663" spans="1:20" x14ac:dyDescent="0.25">
      <c r="A2663">
        <v>9</v>
      </c>
      <c r="B2663">
        <v>199</v>
      </c>
      <c r="C2663" t="str">
        <f t="shared" si="454"/>
        <v>11</v>
      </c>
      <c r="D2663">
        <v>6249</v>
      </c>
      <c r="E2663" t="str">
        <f>"57"</f>
        <v>57</v>
      </c>
      <c r="F2663" t="str">
        <f>"101"</f>
        <v>101</v>
      </c>
      <c r="G2663">
        <v>9</v>
      </c>
      <c r="H2663" t="str">
        <f>"11"</f>
        <v>11</v>
      </c>
      <c r="I2663" t="str">
        <f t="shared" si="453"/>
        <v>0</v>
      </c>
      <c r="J2663" t="str">
        <f>"80"</f>
        <v>80</v>
      </c>
      <c r="K2663">
        <v>20180928</v>
      </c>
      <c r="L2663" t="str">
        <f>"073995"</f>
        <v>073995</v>
      </c>
      <c r="M2663" t="str">
        <f>"28548"</f>
        <v>28548</v>
      </c>
      <c r="N2663" t="s">
        <v>1882</v>
      </c>
      <c r="O2663" s="1">
        <v>-1515</v>
      </c>
      <c r="P2663">
        <v>20180928</v>
      </c>
      <c r="Q2663" t="s">
        <v>1799</v>
      </c>
      <c r="R2663" t="s">
        <v>412</v>
      </c>
      <c r="S2663" t="s">
        <v>1615</v>
      </c>
      <c r="T2663" t="s">
        <v>1479</v>
      </c>
    </row>
    <row r="2664" spans="1:20" x14ac:dyDescent="0.25">
      <c r="A2664">
        <v>9</v>
      </c>
      <c r="B2664">
        <v>199</v>
      </c>
      <c r="C2664" t="str">
        <f t="shared" si="454"/>
        <v>11</v>
      </c>
      <c r="D2664">
        <v>6249</v>
      </c>
      <c r="E2664" t="str">
        <f>"57"</f>
        <v>57</v>
      </c>
      <c r="F2664" t="str">
        <f>"104"</f>
        <v>104</v>
      </c>
      <c r="G2664">
        <v>9</v>
      </c>
      <c r="H2664" t="str">
        <f>"11"</f>
        <v>11</v>
      </c>
      <c r="I2664" t="str">
        <f t="shared" si="453"/>
        <v>0</v>
      </c>
      <c r="J2664" t="str">
        <f>"80"</f>
        <v>80</v>
      </c>
      <c r="K2664">
        <v>20180928</v>
      </c>
      <c r="L2664" t="str">
        <f>"073995"</f>
        <v>073995</v>
      </c>
      <c r="M2664" t="str">
        <f>"28548"</f>
        <v>28548</v>
      </c>
      <c r="N2664" t="s">
        <v>1882</v>
      </c>
      <c r="O2664" s="1">
        <v>-1515</v>
      </c>
      <c r="P2664">
        <v>20180928</v>
      </c>
      <c r="Q2664" t="s">
        <v>1800</v>
      </c>
      <c r="R2664" t="s">
        <v>412</v>
      </c>
      <c r="S2664" t="s">
        <v>1615</v>
      </c>
      <c r="T2664" t="s">
        <v>46</v>
      </c>
    </row>
    <row r="2665" spans="1:20" x14ac:dyDescent="0.25">
      <c r="A2665">
        <v>9</v>
      </c>
      <c r="B2665">
        <v>199</v>
      </c>
      <c r="C2665" t="str">
        <f t="shared" si="454"/>
        <v>11</v>
      </c>
      <c r="D2665">
        <v>6412</v>
      </c>
      <c r="E2665" t="str">
        <f>"V8"</f>
        <v>V8</v>
      </c>
      <c r="F2665" t="str">
        <f>"001"</f>
        <v>001</v>
      </c>
      <c r="G2665">
        <v>9</v>
      </c>
      <c r="H2665" t="str">
        <f>"22"</f>
        <v>22</v>
      </c>
      <c r="I2665" t="str">
        <f t="shared" si="453"/>
        <v>0</v>
      </c>
      <c r="J2665" t="str">
        <f>"22"</f>
        <v>22</v>
      </c>
      <c r="K2665">
        <v>20180928</v>
      </c>
      <c r="L2665" t="str">
        <f>"073996"</f>
        <v>073996</v>
      </c>
      <c r="M2665" t="str">
        <f>"21049"</f>
        <v>21049</v>
      </c>
      <c r="N2665" t="s">
        <v>1883</v>
      </c>
      <c r="O2665">
        <v>-100</v>
      </c>
      <c r="P2665">
        <v>20180928</v>
      </c>
      <c r="Q2665" t="s">
        <v>1884</v>
      </c>
      <c r="R2665" t="s">
        <v>412</v>
      </c>
      <c r="S2665" t="s">
        <v>1615</v>
      </c>
      <c r="T2665" t="s">
        <v>301</v>
      </c>
    </row>
    <row r="2666" spans="1:20" x14ac:dyDescent="0.25">
      <c r="A2666">
        <v>9</v>
      </c>
      <c r="B2666">
        <v>199</v>
      </c>
      <c r="C2666" t="str">
        <f t="shared" si="454"/>
        <v>11</v>
      </c>
      <c r="D2666">
        <v>6412</v>
      </c>
      <c r="E2666" t="str">
        <f>"V8"</f>
        <v>V8</v>
      </c>
      <c r="F2666" t="str">
        <f>"001"</f>
        <v>001</v>
      </c>
      <c r="G2666">
        <v>9</v>
      </c>
      <c r="H2666" t="str">
        <f>"22"</f>
        <v>22</v>
      </c>
      <c r="I2666" t="str">
        <f t="shared" si="453"/>
        <v>0</v>
      </c>
      <c r="J2666" t="str">
        <f>"22"</f>
        <v>22</v>
      </c>
      <c r="K2666">
        <v>20180928</v>
      </c>
      <c r="L2666" t="str">
        <f>"073997"</f>
        <v>073997</v>
      </c>
      <c r="M2666" t="str">
        <f>"30744"</f>
        <v>30744</v>
      </c>
      <c r="N2666" t="s">
        <v>422</v>
      </c>
      <c r="O2666">
        <v>-51.49</v>
      </c>
      <c r="P2666">
        <v>20180928</v>
      </c>
      <c r="Q2666" t="s">
        <v>1884</v>
      </c>
      <c r="R2666" t="s">
        <v>412</v>
      </c>
      <c r="S2666" t="s">
        <v>1615</v>
      </c>
      <c r="T2666" t="s">
        <v>301</v>
      </c>
    </row>
    <row r="2667" spans="1:20" x14ac:dyDescent="0.25">
      <c r="A2667">
        <v>9</v>
      </c>
      <c r="B2667">
        <v>199</v>
      </c>
      <c r="C2667" t="str">
        <f>"36"</f>
        <v>36</v>
      </c>
      <c r="D2667">
        <v>6412</v>
      </c>
      <c r="E2667" t="str">
        <f>"7B"</f>
        <v>7B</v>
      </c>
      <c r="F2667" t="str">
        <f>"001"</f>
        <v>001</v>
      </c>
      <c r="G2667">
        <v>9</v>
      </c>
      <c r="H2667" t="str">
        <f>"99"</f>
        <v>99</v>
      </c>
      <c r="I2667" t="str">
        <f t="shared" si="453"/>
        <v>0</v>
      </c>
      <c r="J2667" t="str">
        <f>"32"</f>
        <v>32</v>
      </c>
      <c r="K2667">
        <v>20180928</v>
      </c>
      <c r="L2667" t="str">
        <f>"073997"</f>
        <v>073997</v>
      </c>
      <c r="M2667" t="str">
        <f>"30744"</f>
        <v>30744</v>
      </c>
      <c r="N2667" t="s">
        <v>422</v>
      </c>
      <c r="O2667">
        <v>-41.01</v>
      </c>
      <c r="P2667">
        <v>20180928</v>
      </c>
      <c r="Q2667" t="s">
        <v>1658</v>
      </c>
      <c r="R2667" t="s">
        <v>412</v>
      </c>
      <c r="S2667" t="s">
        <v>1615</v>
      </c>
      <c r="T2667" t="s">
        <v>301</v>
      </c>
    </row>
    <row r="2668" spans="1:20" x14ac:dyDescent="0.25">
      <c r="A2668">
        <v>9</v>
      </c>
      <c r="B2668">
        <v>199</v>
      </c>
      <c r="C2668" t="str">
        <f>"36"</f>
        <v>36</v>
      </c>
      <c r="D2668">
        <v>6412</v>
      </c>
      <c r="E2668" t="str">
        <f>"7B"</f>
        <v>7B</v>
      </c>
      <c r="F2668" t="str">
        <f>"001"</f>
        <v>001</v>
      </c>
      <c r="G2668">
        <v>9</v>
      </c>
      <c r="H2668" t="str">
        <f>"99"</f>
        <v>99</v>
      </c>
      <c r="I2668" t="str">
        <f t="shared" si="453"/>
        <v>0</v>
      </c>
      <c r="J2668" t="str">
        <f>"32"</f>
        <v>32</v>
      </c>
      <c r="K2668">
        <v>20180928</v>
      </c>
      <c r="L2668" t="str">
        <f>"073997"</f>
        <v>073997</v>
      </c>
      <c r="M2668" t="str">
        <f>"30744"</f>
        <v>30744</v>
      </c>
      <c r="N2668" t="s">
        <v>422</v>
      </c>
      <c r="O2668">
        <v>-37.31</v>
      </c>
      <c r="P2668">
        <v>20180928</v>
      </c>
      <c r="Q2668" t="s">
        <v>1658</v>
      </c>
      <c r="R2668" t="s">
        <v>412</v>
      </c>
      <c r="S2668" t="s">
        <v>1615</v>
      </c>
      <c r="T2668" t="s">
        <v>301</v>
      </c>
    </row>
    <row r="2669" spans="1:20" x14ac:dyDescent="0.25">
      <c r="A2669">
        <v>9</v>
      </c>
      <c r="B2669">
        <v>199</v>
      </c>
      <c r="C2669" t="str">
        <f>"11"</f>
        <v>11</v>
      </c>
      <c r="D2669">
        <v>6412</v>
      </c>
      <c r="E2669" t="str">
        <f>"S6"</f>
        <v>S6</v>
      </c>
      <c r="F2669" t="str">
        <f>"001"</f>
        <v>001</v>
      </c>
      <c r="G2669">
        <v>9</v>
      </c>
      <c r="H2669" t="str">
        <f>"23"</f>
        <v>23</v>
      </c>
      <c r="I2669" t="str">
        <f>"1"</f>
        <v>1</v>
      </c>
      <c r="J2669" t="str">
        <f>"23"</f>
        <v>23</v>
      </c>
      <c r="K2669">
        <v>20180928</v>
      </c>
      <c r="L2669" t="str">
        <f>"073998"</f>
        <v>073998</v>
      </c>
      <c r="M2669" t="str">
        <f>"31361"</f>
        <v>31361</v>
      </c>
      <c r="N2669" t="s">
        <v>1885</v>
      </c>
      <c r="O2669">
        <v>-200</v>
      </c>
      <c r="P2669">
        <v>20180928</v>
      </c>
      <c r="Q2669" t="s">
        <v>1886</v>
      </c>
      <c r="R2669" t="s">
        <v>412</v>
      </c>
      <c r="S2669" t="s">
        <v>1615</v>
      </c>
      <c r="T2669" t="s">
        <v>301</v>
      </c>
    </row>
    <row r="2670" spans="1:20" x14ac:dyDescent="0.25">
      <c r="A2670">
        <v>9</v>
      </c>
      <c r="B2670">
        <v>199</v>
      </c>
      <c r="C2670" t="str">
        <f>"11"</f>
        <v>11</v>
      </c>
      <c r="D2670">
        <v>6412</v>
      </c>
      <c r="E2670" t="str">
        <f>"S6"</f>
        <v>S6</v>
      </c>
      <c r="F2670" t="str">
        <f>"041"</f>
        <v>041</v>
      </c>
      <c r="G2670">
        <v>9</v>
      </c>
      <c r="H2670" t="str">
        <f>"23"</f>
        <v>23</v>
      </c>
      <c r="I2670" t="str">
        <f>"1"</f>
        <v>1</v>
      </c>
      <c r="J2670" t="str">
        <f>"23"</f>
        <v>23</v>
      </c>
      <c r="K2670">
        <v>20180928</v>
      </c>
      <c r="L2670" t="str">
        <f>"073998"</f>
        <v>073998</v>
      </c>
      <c r="M2670" t="str">
        <f>"31361"</f>
        <v>31361</v>
      </c>
      <c r="N2670" t="s">
        <v>1885</v>
      </c>
      <c r="O2670">
        <v>-64</v>
      </c>
      <c r="P2670">
        <v>20180928</v>
      </c>
      <c r="Q2670" t="s">
        <v>1887</v>
      </c>
      <c r="R2670" t="s">
        <v>412</v>
      </c>
      <c r="S2670" t="s">
        <v>1615</v>
      </c>
      <c r="T2670" t="s">
        <v>106</v>
      </c>
    </row>
    <row r="2671" spans="1:20" x14ac:dyDescent="0.25">
      <c r="A2671">
        <v>9</v>
      </c>
      <c r="B2671">
        <v>199</v>
      </c>
      <c r="C2671" t="str">
        <f>"11"</f>
        <v>11</v>
      </c>
      <c r="D2671">
        <v>6412</v>
      </c>
      <c r="E2671" t="str">
        <f>"S6"</f>
        <v>S6</v>
      </c>
      <c r="F2671" t="str">
        <f>"101"</f>
        <v>101</v>
      </c>
      <c r="G2671">
        <v>9</v>
      </c>
      <c r="H2671" t="str">
        <f>"23"</f>
        <v>23</v>
      </c>
      <c r="I2671" t="str">
        <f>"1"</f>
        <v>1</v>
      </c>
      <c r="J2671" t="str">
        <f>"23"</f>
        <v>23</v>
      </c>
      <c r="K2671">
        <v>20180928</v>
      </c>
      <c r="L2671" t="str">
        <f>"073998"</f>
        <v>073998</v>
      </c>
      <c r="M2671" t="str">
        <f>"31361"</f>
        <v>31361</v>
      </c>
      <c r="N2671" t="s">
        <v>1885</v>
      </c>
      <c r="O2671">
        <v>-64</v>
      </c>
      <c r="P2671">
        <v>20180928</v>
      </c>
      <c r="Q2671" t="s">
        <v>1888</v>
      </c>
      <c r="R2671" t="s">
        <v>412</v>
      </c>
      <c r="S2671" t="s">
        <v>1615</v>
      </c>
      <c r="T2671" t="s">
        <v>1479</v>
      </c>
    </row>
    <row r="2672" spans="1:20" x14ac:dyDescent="0.25">
      <c r="A2672">
        <v>9</v>
      </c>
      <c r="B2672">
        <v>199</v>
      </c>
      <c r="C2672" t="str">
        <f>"11"</f>
        <v>11</v>
      </c>
      <c r="D2672">
        <v>6412</v>
      </c>
      <c r="E2672" t="str">
        <f>"S6"</f>
        <v>S6</v>
      </c>
      <c r="F2672" t="str">
        <f>"104"</f>
        <v>104</v>
      </c>
      <c r="G2672">
        <v>9</v>
      </c>
      <c r="H2672" t="str">
        <f>"23"</f>
        <v>23</v>
      </c>
      <c r="I2672" t="str">
        <f>"0"</f>
        <v>0</v>
      </c>
      <c r="J2672" t="str">
        <f>"23"</f>
        <v>23</v>
      </c>
      <c r="K2672">
        <v>20180928</v>
      </c>
      <c r="L2672" t="str">
        <f>"073998"</f>
        <v>073998</v>
      </c>
      <c r="M2672" t="str">
        <f>"31361"</f>
        <v>31361</v>
      </c>
      <c r="N2672" t="s">
        <v>1885</v>
      </c>
      <c r="O2672">
        <v>-64</v>
      </c>
      <c r="P2672">
        <v>20180928</v>
      </c>
      <c r="Q2672" t="s">
        <v>1889</v>
      </c>
      <c r="R2672" t="s">
        <v>412</v>
      </c>
      <c r="S2672" t="s">
        <v>1615</v>
      </c>
      <c r="T2672" t="s">
        <v>46</v>
      </c>
    </row>
    <row r="2673" spans="1:20" x14ac:dyDescent="0.25">
      <c r="A2673">
        <v>9</v>
      </c>
      <c r="B2673">
        <v>199</v>
      </c>
      <c r="C2673" t="str">
        <f>"36"</f>
        <v>36</v>
      </c>
      <c r="D2673">
        <v>6411</v>
      </c>
      <c r="E2673" t="str">
        <f>"7C"</f>
        <v>7C</v>
      </c>
      <c r="F2673" t="str">
        <f>"001"</f>
        <v>001</v>
      </c>
      <c r="G2673">
        <v>9</v>
      </c>
      <c r="H2673" t="str">
        <f>"99"</f>
        <v>99</v>
      </c>
      <c r="I2673" t="str">
        <f>"1"</f>
        <v>1</v>
      </c>
      <c r="J2673" t="str">
        <f>"01"</f>
        <v>01</v>
      </c>
      <c r="K2673">
        <v>20180928</v>
      </c>
      <c r="L2673" t="str">
        <f>"074000"</f>
        <v>074000</v>
      </c>
      <c r="M2673" t="str">
        <f>"34670"</f>
        <v>34670</v>
      </c>
      <c r="N2673" t="s">
        <v>1731</v>
      </c>
      <c r="O2673">
        <v>-8.33</v>
      </c>
      <c r="P2673">
        <v>20180928</v>
      </c>
      <c r="Q2673" t="s">
        <v>1732</v>
      </c>
      <c r="R2673" t="s">
        <v>412</v>
      </c>
      <c r="S2673" t="s">
        <v>1615</v>
      </c>
      <c r="T2673" t="s">
        <v>301</v>
      </c>
    </row>
    <row r="2674" spans="1:20" x14ac:dyDescent="0.25">
      <c r="A2674">
        <v>9</v>
      </c>
      <c r="B2674">
        <v>199</v>
      </c>
      <c r="C2674" t="str">
        <f>"36"</f>
        <v>36</v>
      </c>
      <c r="D2674">
        <v>6412</v>
      </c>
      <c r="E2674" t="str">
        <f>"7C"</f>
        <v>7C</v>
      </c>
      <c r="F2674" t="str">
        <f>"001"</f>
        <v>001</v>
      </c>
      <c r="G2674">
        <v>9</v>
      </c>
      <c r="H2674" t="str">
        <f>"99"</f>
        <v>99</v>
      </c>
      <c r="I2674" t="str">
        <f>"0"</f>
        <v>0</v>
      </c>
      <c r="J2674" t="str">
        <f>"01"</f>
        <v>01</v>
      </c>
      <c r="K2674">
        <v>20180928</v>
      </c>
      <c r="L2674" t="str">
        <f>"074000"</f>
        <v>074000</v>
      </c>
      <c r="M2674" t="str">
        <f>"34670"</f>
        <v>34670</v>
      </c>
      <c r="N2674" t="s">
        <v>1731</v>
      </c>
      <c r="O2674">
        <v>-70</v>
      </c>
      <c r="P2674">
        <v>20180928</v>
      </c>
      <c r="Q2674" t="s">
        <v>1734</v>
      </c>
      <c r="R2674" t="s">
        <v>412</v>
      </c>
      <c r="S2674" t="s">
        <v>1615</v>
      </c>
      <c r="T2674" t="s">
        <v>301</v>
      </c>
    </row>
    <row r="2675" spans="1:20" x14ac:dyDescent="0.25">
      <c r="A2675">
        <v>9</v>
      </c>
      <c r="B2675">
        <v>199</v>
      </c>
      <c r="C2675" t="str">
        <f>"11"</f>
        <v>11</v>
      </c>
      <c r="D2675">
        <v>6299</v>
      </c>
      <c r="E2675" t="str">
        <f>"7E"</f>
        <v>7E</v>
      </c>
      <c r="F2675" t="str">
        <f>"001"</f>
        <v>001</v>
      </c>
      <c r="G2675">
        <v>9</v>
      </c>
      <c r="H2675" t="str">
        <f>"11"</f>
        <v>11</v>
      </c>
      <c r="I2675" t="str">
        <f>"0"</f>
        <v>0</v>
      </c>
      <c r="J2675" t="str">
        <f>"31"</f>
        <v>31</v>
      </c>
      <c r="K2675">
        <v>20180928</v>
      </c>
      <c r="L2675" t="str">
        <f>"074002"</f>
        <v>074002</v>
      </c>
      <c r="M2675" t="str">
        <f>"37260"</f>
        <v>37260</v>
      </c>
      <c r="N2675" t="s">
        <v>1890</v>
      </c>
      <c r="O2675">
        <v>-400</v>
      </c>
      <c r="P2675">
        <v>20180928</v>
      </c>
      <c r="Q2675" t="s">
        <v>1873</v>
      </c>
      <c r="R2675" t="s">
        <v>412</v>
      </c>
      <c r="S2675" t="s">
        <v>1615</v>
      </c>
      <c r="T2675" t="s">
        <v>301</v>
      </c>
    </row>
    <row r="2676" spans="1:20" x14ac:dyDescent="0.25">
      <c r="A2676">
        <v>9</v>
      </c>
      <c r="B2676">
        <v>199</v>
      </c>
      <c r="C2676" t="str">
        <f>"51"</f>
        <v>51</v>
      </c>
      <c r="D2676">
        <v>6254</v>
      </c>
      <c r="E2676" t="str">
        <f>"ME"</f>
        <v>ME</v>
      </c>
      <c r="F2676" t="str">
        <f>"936"</f>
        <v>936</v>
      </c>
      <c r="G2676">
        <v>9</v>
      </c>
      <c r="H2676" t="str">
        <f>"99"</f>
        <v>99</v>
      </c>
      <c r="I2676" t="str">
        <f>"1"</f>
        <v>1</v>
      </c>
      <c r="J2676" t="str">
        <f>"73"</f>
        <v>73</v>
      </c>
      <c r="K2676">
        <v>20180928</v>
      </c>
      <c r="L2676" t="str">
        <f>"074005"</f>
        <v>074005</v>
      </c>
      <c r="M2676" t="str">
        <f>"42194"</f>
        <v>42194</v>
      </c>
      <c r="N2676" t="s">
        <v>1736</v>
      </c>
      <c r="O2676" s="1">
        <v>-1144.4100000000001</v>
      </c>
      <c r="P2676">
        <v>20180928</v>
      </c>
      <c r="Q2676" t="s">
        <v>1891</v>
      </c>
      <c r="R2676" t="s">
        <v>412</v>
      </c>
      <c r="S2676" t="s">
        <v>1615</v>
      </c>
      <c r="T2676" t="s">
        <v>1713</v>
      </c>
    </row>
    <row r="2677" spans="1:20" x14ac:dyDescent="0.25">
      <c r="A2677">
        <v>9</v>
      </c>
      <c r="B2677">
        <v>199</v>
      </c>
      <c r="C2677" t="str">
        <f>"11"</f>
        <v>11</v>
      </c>
      <c r="D2677">
        <v>6412</v>
      </c>
      <c r="E2677" t="str">
        <f>"VL"</f>
        <v>VL</v>
      </c>
      <c r="F2677" t="str">
        <f t="shared" ref="F2677:F2682" si="455">"001"</f>
        <v>001</v>
      </c>
      <c r="G2677">
        <v>9</v>
      </c>
      <c r="H2677" t="str">
        <f>"22"</f>
        <v>22</v>
      </c>
      <c r="I2677" t="str">
        <f>"0"</f>
        <v>0</v>
      </c>
      <c r="J2677" t="str">
        <f>"22"</f>
        <v>22</v>
      </c>
      <c r="K2677">
        <v>20180928</v>
      </c>
      <c r="L2677" t="str">
        <f>"074006"</f>
        <v>074006</v>
      </c>
      <c r="M2677" t="str">
        <f>"42212"</f>
        <v>42212</v>
      </c>
      <c r="N2677" t="s">
        <v>1892</v>
      </c>
      <c r="O2677">
        <v>-72</v>
      </c>
      <c r="P2677">
        <v>20180928</v>
      </c>
      <c r="Q2677" t="s">
        <v>1878</v>
      </c>
      <c r="R2677" t="s">
        <v>412</v>
      </c>
      <c r="S2677" t="s">
        <v>1615</v>
      </c>
      <c r="T2677" t="s">
        <v>301</v>
      </c>
    </row>
    <row r="2678" spans="1:20" x14ac:dyDescent="0.25">
      <c r="A2678">
        <v>9</v>
      </c>
      <c r="B2678">
        <v>199</v>
      </c>
      <c r="C2678" t="str">
        <f>"36"</f>
        <v>36</v>
      </c>
      <c r="D2678">
        <v>6411</v>
      </c>
      <c r="E2678" t="str">
        <f>"VL"</f>
        <v>VL</v>
      </c>
      <c r="F2678" t="str">
        <f t="shared" si="455"/>
        <v>001</v>
      </c>
      <c r="G2678">
        <v>9</v>
      </c>
      <c r="H2678" t="str">
        <f>"22"</f>
        <v>22</v>
      </c>
      <c r="I2678" t="str">
        <f>"0"</f>
        <v>0</v>
      </c>
      <c r="J2678" t="str">
        <f>"22"</f>
        <v>22</v>
      </c>
      <c r="K2678">
        <v>20180928</v>
      </c>
      <c r="L2678" t="str">
        <f>"074006"</f>
        <v>074006</v>
      </c>
      <c r="M2678" t="str">
        <f>"42212"</f>
        <v>42212</v>
      </c>
      <c r="N2678" t="s">
        <v>1892</v>
      </c>
      <c r="O2678">
        <v>-10</v>
      </c>
      <c r="P2678">
        <v>20180928</v>
      </c>
      <c r="Q2678" t="s">
        <v>1879</v>
      </c>
      <c r="R2678" t="s">
        <v>412</v>
      </c>
      <c r="S2678" t="s">
        <v>1615</v>
      </c>
      <c r="T2678" t="s">
        <v>301</v>
      </c>
    </row>
    <row r="2679" spans="1:20" x14ac:dyDescent="0.25">
      <c r="A2679">
        <v>9</v>
      </c>
      <c r="B2679">
        <v>199</v>
      </c>
      <c r="C2679" t="str">
        <f>"12"</f>
        <v>12</v>
      </c>
      <c r="D2679">
        <v>6328</v>
      </c>
      <c r="E2679" t="str">
        <f>"7U"</f>
        <v>7U</v>
      </c>
      <c r="F2679" t="str">
        <f t="shared" si="455"/>
        <v>001</v>
      </c>
      <c r="G2679">
        <v>9</v>
      </c>
      <c r="H2679" t="str">
        <f>"11"</f>
        <v>11</v>
      </c>
      <c r="I2679" t="str">
        <f>"0"</f>
        <v>0</v>
      </c>
      <c r="J2679" t="str">
        <f>"01"</f>
        <v>01</v>
      </c>
      <c r="K2679">
        <v>20180928</v>
      </c>
      <c r="L2679" t="str">
        <f>"074007"</f>
        <v>074007</v>
      </c>
      <c r="M2679" t="str">
        <f>"45694"</f>
        <v>45694</v>
      </c>
      <c r="N2679" t="s">
        <v>1893</v>
      </c>
      <c r="O2679" s="1">
        <v>-1897.38</v>
      </c>
      <c r="P2679">
        <v>20180928</v>
      </c>
      <c r="Q2679" t="s">
        <v>1894</v>
      </c>
      <c r="R2679" t="s">
        <v>412</v>
      </c>
      <c r="S2679" t="s">
        <v>1615</v>
      </c>
      <c r="T2679" t="s">
        <v>301</v>
      </c>
    </row>
    <row r="2680" spans="1:20" x14ac:dyDescent="0.25">
      <c r="A2680">
        <v>9</v>
      </c>
      <c r="B2680">
        <v>199</v>
      </c>
      <c r="C2680" t="str">
        <f>"36"</f>
        <v>36</v>
      </c>
      <c r="D2680">
        <v>6411</v>
      </c>
      <c r="E2680" t="str">
        <f>"8S"</f>
        <v>8S</v>
      </c>
      <c r="F2680" t="str">
        <f t="shared" si="455"/>
        <v>001</v>
      </c>
      <c r="G2680">
        <v>9</v>
      </c>
      <c r="H2680" t="str">
        <f>"99"</f>
        <v>99</v>
      </c>
      <c r="I2680" t="str">
        <f>"1"</f>
        <v>1</v>
      </c>
      <c r="J2680" t="str">
        <f>"01"</f>
        <v>01</v>
      </c>
      <c r="K2680">
        <v>20180928</v>
      </c>
      <c r="L2680" t="str">
        <f>"074008"</f>
        <v>074008</v>
      </c>
      <c r="M2680" t="str">
        <f>"46348"</f>
        <v>46348</v>
      </c>
      <c r="N2680" t="s">
        <v>1631</v>
      </c>
      <c r="O2680">
        <v>-50</v>
      </c>
      <c r="P2680">
        <v>20180928</v>
      </c>
      <c r="Q2680" t="s">
        <v>1632</v>
      </c>
      <c r="R2680" t="s">
        <v>412</v>
      </c>
      <c r="S2680" t="s">
        <v>1615</v>
      </c>
      <c r="T2680" t="s">
        <v>301</v>
      </c>
    </row>
    <row r="2681" spans="1:20" x14ac:dyDescent="0.25">
      <c r="A2681">
        <v>9</v>
      </c>
      <c r="B2681">
        <v>199</v>
      </c>
      <c r="C2681" t="str">
        <f>"36"</f>
        <v>36</v>
      </c>
      <c r="D2681">
        <v>6412</v>
      </c>
      <c r="E2681" t="str">
        <f>"8S"</f>
        <v>8S</v>
      </c>
      <c r="F2681" t="str">
        <f t="shared" si="455"/>
        <v>001</v>
      </c>
      <c r="G2681">
        <v>9</v>
      </c>
      <c r="H2681" t="str">
        <f>"99"</f>
        <v>99</v>
      </c>
      <c r="I2681" t="str">
        <f>"1"</f>
        <v>1</v>
      </c>
      <c r="J2681" t="str">
        <f>"01"</f>
        <v>01</v>
      </c>
      <c r="K2681">
        <v>20180928</v>
      </c>
      <c r="L2681" t="str">
        <f>"074008"</f>
        <v>074008</v>
      </c>
      <c r="M2681" t="str">
        <f>"46348"</f>
        <v>46348</v>
      </c>
      <c r="N2681" t="s">
        <v>1631</v>
      </c>
      <c r="O2681">
        <v>-525</v>
      </c>
      <c r="P2681">
        <v>20180928</v>
      </c>
      <c r="Q2681" t="s">
        <v>1634</v>
      </c>
      <c r="R2681" t="s">
        <v>412</v>
      </c>
      <c r="S2681" t="s">
        <v>1615</v>
      </c>
      <c r="T2681" t="s">
        <v>301</v>
      </c>
    </row>
    <row r="2682" spans="1:20" x14ac:dyDescent="0.25">
      <c r="A2682">
        <v>9</v>
      </c>
      <c r="B2682">
        <v>199</v>
      </c>
      <c r="C2682" t="str">
        <f>"11"</f>
        <v>11</v>
      </c>
      <c r="D2682">
        <v>6399</v>
      </c>
      <c r="E2682" t="str">
        <f>"NL"</f>
        <v>NL</v>
      </c>
      <c r="F2682" t="str">
        <f t="shared" si="455"/>
        <v>001</v>
      </c>
      <c r="G2682">
        <v>9</v>
      </c>
      <c r="H2682" t="str">
        <f>"22"</f>
        <v>22</v>
      </c>
      <c r="I2682" t="str">
        <f t="shared" ref="I2682:I2690" si="456">"0"</f>
        <v>0</v>
      </c>
      <c r="J2682" t="str">
        <f>"22"</f>
        <v>22</v>
      </c>
      <c r="K2682">
        <v>20180928</v>
      </c>
      <c r="L2682" t="str">
        <f>"074009"</f>
        <v>074009</v>
      </c>
      <c r="M2682" t="str">
        <f>"46779"</f>
        <v>46779</v>
      </c>
      <c r="N2682" t="s">
        <v>1895</v>
      </c>
      <c r="O2682">
        <v>-910.43</v>
      </c>
      <c r="P2682">
        <v>20180928</v>
      </c>
      <c r="Q2682" t="s">
        <v>1896</v>
      </c>
      <c r="R2682" t="s">
        <v>412</v>
      </c>
      <c r="S2682" t="s">
        <v>1615</v>
      </c>
      <c r="T2682" t="s">
        <v>301</v>
      </c>
    </row>
    <row r="2683" spans="1:20" x14ac:dyDescent="0.25">
      <c r="A2683">
        <v>9</v>
      </c>
      <c r="B2683">
        <v>199</v>
      </c>
      <c r="C2683" t="str">
        <f>"11"</f>
        <v>11</v>
      </c>
      <c r="D2683">
        <v>6399</v>
      </c>
      <c r="E2683" t="str">
        <f>"7M"</f>
        <v>7M</v>
      </c>
      <c r="F2683" t="str">
        <f>"041"</f>
        <v>041</v>
      </c>
      <c r="G2683">
        <v>9</v>
      </c>
      <c r="H2683" t="str">
        <f>"11"</f>
        <v>11</v>
      </c>
      <c r="I2683" t="str">
        <f t="shared" si="456"/>
        <v>0</v>
      </c>
      <c r="J2683" t="str">
        <f>"36"</f>
        <v>36</v>
      </c>
      <c r="K2683">
        <v>20180928</v>
      </c>
      <c r="L2683" t="str">
        <f>"074011"</f>
        <v>074011</v>
      </c>
      <c r="M2683" t="str">
        <f>"00192"</f>
        <v>00192</v>
      </c>
      <c r="N2683" t="s">
        <v>1897</v>
      </c>
      <c r="O2683">
        <v>-246</v>
      </c>
      <c r="P2683">
        <v>20180928</v>
      </c>
      <c r="Q2683" t="s">
        <v>1898</v>
      </c>
      <c r="R2683" t="s">
        <v>412</v>
      </c>
      <c r="S2683" t="s">
        <v>1615</v>
      </c>
      <c r="T2683" t="s">
        <v>106</v>
      </c>
    </row>
    <row r="2684" spans="1:20" x14ac:dyDescent="0.25">
      <c r="A2684">
        <v>9</v>
      </c>
      <c r="B2684">
        <v>199</v>
      </c>
      <c r="C2684" t="str">
        <f>"11"</f>
        <v>11</v>
      </c>
      <c r="D2684">
        <v>6649</v>
      </c>
      <c r="E2684" t="str">
        <f>"7M"</f>
        <v>7M</v>
      </c>
      <c r="F2684" t="str">
        <f>"041"</f>
        <v>041</v>
      </c>
      <c r="G2684">
        <v>9</v>
      </c>
      <c r="H2684" t="str">
        <f>"11"</f>
        <v>11</v>
      </c>
      <c r="I2684" t="str">
        <f t="shared" si="456"/>
        <v>0</v>
      </c>
      <c r="J2684" t="str">
        <f>"36"</f>
        <v>36</v>
      </c>
      <c r="K2684">
        <v>20180928</v>
      </c>
      <c r="L2684" t="str">
        <f>"074011"</f>
        <v>074011</v>
      </c>
      <c r="M2684" t="str">
        <f>"00192"</f>
        <v>00192</v>
      </c>
      <c r="N2684" t="s">
        <v>1897</v>
      </c>
      <c r="O2684" s="1">
        <v>-2054.85</v>
      </c>
      <c r="P2684">
        <v>20180928</v>
      </c>
      <c r="Q2684" t="s">
        <v>1899</v>
      </c>
      <c r="R2684" t="s">
        <v>412</v>
      </c>
      <c r="S2684" t="s">
        <v>1615</v>
      </c>
      <c r="T2684" t="s">
        <v>106</v>
      </c>
    </row>
    <row r="2685" spans="1:20" x14ac:dyDescent="0.25">
      <c r="A2685">
        <v>9</v>
      </c>
      <c r="B2685">
        <v>199</v>
      </c>
      <c r="C2685" t="str">
        <f>"53"</f>
        <v>53</v>
      </c>
      <c r="D2685">
        <v>6411</v>
      </c>
      <c r="E2685" t="str">
        <f>"10"</f>
        <v>10</v>
      </c>
      <c r="F2685" t="str">
        <f>"880"</f>
        <v>880</v>
      </c>
      <c r="G2685">
        <v>9</v>
      </c>
      <c r="H2685" t="str">
        <f>"99"</f>
        <v>99</v>
      </c>
      <c r="I2685" t="str">
        <f t="shared" si="456"/>
        <v>0</v>
      </c>
      <c r="J2685" t="str">
        <f>"80"</f>
        <v>80</v>
      </c>
      <c r="K2685">
        <v>20180928</v>
      </c>
      <c r="L2685" t="str">
        <f>"074013"</f>
        <v>074013</v>
      </c>
      <c r="M2685" t="str">
        <f>"53084"</f>
        <v>53084</v>
      </c>
      <c r="N2685" t="s">
        <v>1900</v>
      </c>
      <c r="O2685">
        <v>-14.6</v>
      </c>
      <c r="P2685">
        <v>20180928</v>
      </c>
      <c r="Q2685" t="s">
        <v>1901</v>
      </c>
      <c r="R2685" t="s">
        <v>412</v>
      </c>
      <c r="S2685" t="s">
        <v>1615</v>
      </c>
      <c r="T2685" t="s">
        <v>1866</v>
      </c>
    </row>
    <row r="2686" spans="1:20" x14ac:dyDescent="0.25">
      <c r="A2686">
        <v>9</v>
      </c>
      <c r="B2686">
        <v>199</v>
      </c>
      <c r="C2686" t="str">
        <f>"51"</f>
        <v>51</v>
      </c>
      <c r="D2686">
        <v>6249</v>
      </c>
      <c r="E2686" t="str">
        <f>"M1"</f>
        <v>M1</v>
      </c>
      <c r="F2686" t="str">
        <f>"936"</f>
        <v>936</v>
      </c>
      <c r="G2686">
        <v>9</v>
      </c>
      <c r="H2686" t="str">
        <f>"99"</f>
        <v>99</v>
      </c>
      <c r="I2686" t="str">
        <f t="shared" si="456"/>
        <v>0</v>
      </c>
      <c r="J2686" t="str">
        <f>"81"</f>
        <v>81</v>
      </c>
      <c r="K2686">
        <v>20180928</v>
      </c>
      <c r="L2686" t="str">
        <f>"074018"</f>
        <v>074018</v>
      </c>
      <c r="M2686" t="str">
        <f>"00181"</f>
        <v>00181</v>
      </c>
      <c r="N2686" t="s">
        <v>1762</v>
      </c>
      <c r="O2686">
        <v>-320</v>
      </c>
      <c r="P2686">
        <v>20180928</v>
      </c>
      <c r="Q2686" t="s">
        <v>1763</v>
      </c>
      <c r="R2686" t="s">
        <v>412</v>
      </c>
      <c r="S2686" t="s">
        <v>1615</v>
      </c>
      <c r="T2686" t="s">
        <v>1713</v>
      </c>
    </row>
    <row r="2687" spans="1:20" x14ac:dyDescent="0.25">
      <c r="A2687">
        <v>9</v>
      </c>
      <c r="B2687">
        <v>199</v>
      </c>
      <c r="C2687" t="str">
        <f>"36"</f>
        <v>36</v>
      </c>
      <c r="D2687">
        <v>6269</v>
      </c>
      <c r="E2687" t="str">
        <f>"7B"</f>
        <v>7B</v>
      </c>
      <c r="F2687" t="str">
        <f>"001"</f>
        <v>001</v>
      </c>
      <c r="G2687">
        <v>9</v>
      </c>
      <c r="H2687" t="str">
        <f>"99"</f>
        <v>99</v>
      </c>
      <c r="I2687" t="str">
        <f t="shared" si="456"/>
        <v>0</v>
      </c>
      <c r="J2687" t="str">
        <f>"32"</f>
        <v>32</v>
      </c>
      <c r="K2687">
        <v>20180928</v>
      </c>
      <c r="L2687" t="str">
        <f>"074019"</f>
        <v>074019</v>
      </c>
      <c r="M2687" t="str">
        <f>"57697"</f>
        <v>57697</v>
      </c>
      <c r="N2687" t="s">
        <v>1902</v>
      </c>
      <c r="O2687">
        <v>-180.26</v>
      </c>
      <c r="P2687">
        <v>20180928</v>
      </c>
      <c r="Q2687" t="s">
        <v>1903</v>
      </c>
      <c r="R2687" t="s">
        <v>412</v>
      </c>
      <c r="S2687" t="s">
        <v>1615</v>
      </c>
      <c r="T2687" t="s">
        <v>301</v>
      </c>
    </row>
    <row r="2688" spans="1:20" x14ac:dyDescent="0.25">
      <c r="A2688">
        <v>9</v>
      </c>
      <c r="B2688">
        <v>199</v>
      </c>
      <c r="C2688" t="str">
        <f>"36"</f>
        <v>36</v>
      </c>
      <c r="D2688">
        <v>6269</v>
      </c>
      <c r="E2688" t="str">
        <f>"7B"</f>
        <v>7B</v>
      </c>
      <c r="F2688" t="str">
        <f>"001"</f>
        <v>001</v>
      </c>
      <c r="G2688">
        <v>9</v>
      </c>
      <c r="H2688" t="str">
        <f>"99"</f>
        <v>99</v>
      </c>
      <c r="I2688" t="str">
        <f t="shared" si="456"/>
        <v>0</v>
      </c>
      <c r="J2688" t="str">
        <f>"32"</f>
        <v>32</v>
      </c>
      <c r="K2688">
        <v>20180928</v>
      </c>
      <c r="L2688" t="str">
        <f>"074019"</f>
        <v>074019</v>
      </c>
      <c r="M2688" t="str">
        <f>"57697"</f>
        <v>57697</v>
      </c>
      <c r="N2688" t="s">
        <v>1902</v>
      </c>
      <c r="O2688">
        <v>-144.44</v>
      </c>
      <c r="P2688">
        <v>20180928</v>
      </c>
      <c r="Q2688" t="s">
        <v>1903</v>
      </c>
      <c r="R2688" t="s">
        <v>412</v>
      </c>
      <c r="S2688" t="s">
        <v>1615</v>
      </c>
      <c r="T2688" t="s">
        <v>301</v>
      </c>
    </row>
    <row r="2689" spans="1:20" x14ac:dyDescent="0.25">
      <c r="A2689">
        <v>9</v>
      </c>
      <c r="B2689">
        <v>199</v>
      </c>
      <c r="C2689" t="str">
        <f>"11"</f>
        <v>11</v>
      </c>
      <c r="D2689">
        <v>6299</v>
      </c>
      <c r="E2689" t="str">
        <f>"7E"</f>
        <v>7E</v>
      </c>
      <c r="F2689" t="str">
        <f>"001"</f>
        <v>001</v>
      </c>
      <c r="G2689">
        <v>9</v>
      </c>
      <c r="H2689" t="str">
        <f>"11"</f>
        <v>11</v>
      </c>
      <c r="I2689" t="str">
        <f t="shared" si="456"/>
        <v>0</v>
      </c>
      <c r="J2689" t="str">
        <f>"31"</f>
        <v>31</v>
      </c>
      <c r="K2689">
        <v>20180928</v>
      </c>
      <c r="L2689" t="str">
        <f>"074023"</f>
        <v>074023</v>
      </c>
      <c r="M2689" t="str">
        <f>"57997"</f>
        <v>57997</v>
      </c>
      <c r="N2689" t="s">
        <v>1904</v>
      </c>
      <c r="O2689">
        <v>-150</v>
      </c>
      <c r="P2689">
        <v>20180928</v>
      </c>
      <c r="Q2689" t="s">
        <v>1873</v>
      </c>
      <c r="R2689" t="s">
        <v>412</v>
      </c>
      <c r="S2689" t="s">
        <v>1615</v>
      </c>
      <c r="T2689" t="s">
        <v>301</v>
      </c>
    </row>
    <row r="2690" spans="1:20" x14ac:dyDescent="0.25">
      <c r="A2690">
        <v>9</v>
      </c>
      <c r="B2690">
        <v>199</v>
      </c>
      <c r="C2690" t="str">
        <f>"00"</f>
        <v>00</v>
      </c>
      <c r="D2690">
        <v>2110</v>
      </c>
      <c r="E2690" t="str">
        <f>"18"</f>
        <v>18</v>
      </c>
      <c r="F2690" t="str">
        <f>"000"</f>
        <v>000</v>
      </c>
      <c r="G2690">
        <v>9</v>
      </c>
      <c r="H2690" t="str">
        <f>"00"</f>
        <v>00</v>
      </c>
      <c r="I2690" t="str">
        <f t="shared" si="456"/>
        <v>0</v>
      </c>
      <c r="J2690" t="str">
        <f>"00"</f>
        <v>00</v>
      </c>
      <c r="K2690">
        <v>20180928</v>
      </c>
      <c r="L2690" t="str">
        <f>"074024"</f>
        <v>074024</v>
      </c>
      <c r="M2690" t="str">
        <f>"58211"</f>
        <v>58211</v>
      </c>
      <c r="N2690" t="s">
        <v>1472</v>
      </c>
      <c r="O2690">
        <v>-207.46</v>
      </c>
      <c r="P2690">
        <v>20180928</v>
      </c>
      <c r="Q2690" t="s">
        <v>1613</v>
      </c>
      <c r="R2690" t="s">
        <v>412</v>
      </c>
      <c r="S2690" t="s">
        <v>1615</v>
      </c>
      <c r="T2690" t="s">
        <v>296</v>
      </c>
    </row>
    <row r="2691" spans="1:20" x14ac:dyDescent="0.25">
      <c r="A2691">
        <v>9</v>
      </c>
      <c r="B2691">
        <v>199</v>
      </c>
      <c r="C2691" t="str">
        <f t="shared" ref="C2691:C2696" si="457">"11"</f>
        <v>11</v>
      </c>
      <c r="D2691">
        <v>6411</v>
      </c>
      <c r="E2691" t="str">
        <f t="shared" ref="E2691:E2696" si="458">"S6"</f>
        <v>S6</v>
      </c>
      <c r="F2691" t="str">
        <f>"001"</f>
        <v>001</v>
      </c>
      <c r="G2691">
        <v>9</v>
      </c>
      <c r="H2691" t="str">
        <f t="shared" ref="H2691:H2696" si="459">"23"</f>
        <v>23</v>
      </c>
      <c r="I2691" t="str">
        <f>"1"</f>
        <v>1</v>
      </c>
      <c r="J2691" t="str">
        <f t="shared" ref="J2691:J2696" si="460">"23"</f>
        <v>23</v>
      </c>
      <c r="K2691">
        <v>20180928</v>
      </c>
      <c r="L2691" t="str">
        <f t="shared" ref="L2691:L2696" si="461">"074025"</f>
        <v>074025</v>
      </c>
      <c r="M2691" t="str">
        <f t="shared" ref="M2691:M2696" si="462">"58210"</f>
        <v>58210</v>
      </c>
      <c r="N2691" t="s">
        <v>1905</v>
      </c>
      <c r="O2691">
        <v>-40</v>
      </c>
      <c r="P2691">
        <v>20180928</v>
      </c>
      <c r="Q2691" t="s">
        <v>1906</v>
      </c>
      <c r="R2691" t="s">
        <v>412</v>
      </c>
      <c r="S2691" t="s">
        <v>1615</v>
      </c>
      <c r="T2691" t="s">
        <v>301</v>
      </c>
    </row>
    <row r="2692" spans="1:20" x14ac:dyDescent="0.25">
      <c r="A2692">
        <v>9</v>
      </c>
      <c r="B2692">
        <v>199</v>
      </c>
      <c r="C2692" t="str">
        <f t="shared" si="457"/>
        <v>11</v>
      </c>
      <c r="D2692">
        <v>6412</v>
      </c>
      <c r="E2692" t="str">
        <f t="shared" si="458"/>
        <v>S6</v>
      </c>
      <c r="F2692" t="str">
        <f>"001"</f>
        <v>001</v>
      </c>
      <c r="G2692">
        <v>9</v>
      </c>
      <c r="H2692" t="str">
        <f t="shared" si="459"/>
        <v>23</v>
      </c>
      <c r="I2692" t="str">
        <f>"1"</f>
        <v>1</v>
      </c>
      <c r="J2692" t="str">
        <f t="shared" si="460"/>
        <v>23</v>
      </c>
      <c r="K2692">
        <v>20180928</v>
      </c>
      <c r="L2692" t="str">
        <f t="shared" si="461"/>
        <v>074025</v>
      </c>
      <c r="M2692" t="str">
        <f t="shared" si="462"/>
        <v>58210</v>
      </c>
      <c r="N2692" t="s">
        <v>1905</v>
      </c>
      <c r="O2692">
        <v>-148</v>
      </c>
      <c r="P2692">
        <v>20180928</v>
      </c>
      <c r="Q2692" t="s">
        <v>1886</v>
      </c>
      <c r="R2692" t="s">
        <v>412</v>
      </c>
      <c r="S2692" t="s">
        <v>1615</v>
      </c>
      <c r="T2692" t="s">
        <v>301</v>
      </c>
    </row>
    <row r="2693" spans="1:20" x14ac:dyDescent="0.25">
      <c r="A2693">
        <v>9</v>
      </c>
      <c r="B2693">
        <v>199</v>
      </c>
      <c r="C2693" t="str">
        <f t="shared" si="457"/>
        <v>11</v>
      </c>
      <c r="D2693">
        <v>6412</v>
      </c>
      <c r="E2693" t="str">
        <f t="shared" si="458"/>
        <v>S6</v>
      </c>
      <c r="F2693" t="str">
        <f>"001"</f>
        <v>001</v>
      </c>
      <c r="G2693">
        <v>9</v>
      </c>
      <c r="H2693" t="str">
        <f t="shared" si="459"/>
        <v>23</v>
      </c>
      <c r="I2693" t="str">
        <f>"1"</f>
        <v>1</v>
      </c>
      <c r="J2693" t="str">
        <f t="shared" si="460"/>
        <v>23</v>
      </c>
      <c r="K2693">
        <v>20180928</v>
      </c>
      <c r="L2693" t="str">
        <f t="shared" si="461"/>
        <v>074025</v>
      </c>
      <c r="M2693" t="str">
        <f t="shared" si="462"/>
        <v>58210</v>
      </c>
      <c r="N2693" t="s">
        <v>1905</v>
      </c>
      <c r="O2693">
        <v>-8</v>
      </c>
      <c r="P2693">
        <v>20180928</v>
      </c>
      <c r="Q2693" t="s">
        <v>1886</v>
      </c>
      <c r="R2693" t="s">
        <v>412</v>
      </c>
      <c r="S2693" t="s">
        <v>1615</v>
      </c>
      <c r="T2693" t="s">
        <v>301</v>
      </c>
    </row>
    <row r="2694" spans="1:20" x14ac:dyDescent="0.25">
      <c r="A2694">
        <v>9</v>
      </c>
      <c r="B2694">
        <v>199</v>
      </c>
      <c r="C2694" t="str">
        <f t="shared" si="457"/>
        <v>11</v>
      </c>
      <c r="D2694">
        <v>6412</v>
      </c>
      <c r="E2694" t="str">
        <f t="shared" si="458"/>
        <v>S6</v>
      </c>
      <c r="F2694" t="str">
        <f>"041"</f>
        <v>041</v>
      </c>
      <c r="G2694">
        <v>9</v>
      </c>
      <c r="H2694" t="str">
        <f t="shared" si="459"/>
        <v>23</v>
      </c>
      <c r="I2694" t="str">
        <f>"1"</f>
        <v>1</v>
      </c>
      <c r="J2694" t="str">
        <f t="shared" si="460"/>
        <v>23</v>
      </c>
      <c r="K2694">
        <v>20180928</v>
      </c>
      <c r="L2694" t="str">
        <f t="shared" si="461"/>
        <v>074025</v>
      </c>
      <c r="M2694" t="str">
        <f t="shared" si="462"/>
        <v>58210</v>
      </c>
      <c r="N2694" t="s">
        <v>1905</v>
      </c>
      <c r="O2694">
        <v>-54</v>
      </c>
      <c r="P2694">
        <v>20180928</v>
      </c>
      <c r="Q2694" t="s">
        <v>1887</v>
      </c>
      <c r="R2694" t="s">
        <v>412</v>
      </c>
      <c r="S2694" t="s">
        <v>1615</v>
      </c>
      <c r="T2694" t="s">
        <v>106</v>
      </c>
    </row>
    <row r="2695" spans="1:20" x14ac:dyDescent="0.25">
      <c r="A2695">
        <v>9</v>
      </c>
      <c r="B2695">
        <v>199</v>
      </c>
      <c r="C2695" t="str">
        <f t="shared" si="457"/>
        <v>11</v>
      </c>
      <c r="D2695">
        <v>6412</v>
      </c>
      <c r="E2695" t="str">
        <f t="shared" si="458"/>
        <v>S6</v>
      </c>
      <c r="F2695" t="str">
        <f>"101"</f>
        <v>101</v>
      </c>
      <c r="G2695">
        <v>9</v>
      </c>
      <c r="H2695" t="str">
        <f t="shared" si="459"/>
        <v>23</v>
      </c>
      <c r="I2695" t="str">
        <f>"1"</f>
        <v>1</v>
      </c>
      <c r="J2695" t="str">
        <f t="shared" si="460"/>
        <v>23</v>
      </c>
      <c r="K2695">
        <v>20180928</v>
      </c>
      <c r="L2695" t="str">
        <f t="shared" si="461"/>
        <v>074025</v>
      </c>
      <c r="M2695" t="str">
        <f t="shared" si="462"/>
        <v>58210</v>
      </c>
      <c r="N2695" t="s">
        <v>1905</v>
      </c>
      <c r="O2695">
        <v>-51</v>
      </c>
      <c r="P2695">
        <v>20180928</v>
      </c>
      <c r="Q2695" t="s">
        <v>1888</v>
      </c>
      <c r="R2695" t="s">
        <v>412</v>
      </c>
      <c r="S2695" t="s">
        <v>1615</v>
      </c>
      <c r="T2695" t="s">
        <v>1479</v>
      </c>
    </row>
    <row r="2696" spans="1:20" x14ac:dyDescent="0.25">
      <c r="A2696">
        <v>9</v>
      </c>
      <c r="B2696">
        <v>199</v>
      </c>
      <c r="C2696" t="str">
        <f t="shared" si="457"/>
        <v>11</v>
      </c>
      <c r="D2696">
        <v>6412</v>
      </c>
      <c r="E2696" t="str">
        <f t="shared" si="458"/>
        <v>S6</v>
      </c>
      <c r="F2696" t="str">
        <f>"104"</f>
        <v>104</v>
      </c>
      <c r="G2696">
        <v>9</v>
      </c>
      <c r="H2696" t="str">
        <f t="shared" si="459"/>
        <v>23</v>
      </c>
      <c r="I2696" t="str">
        <f t="shared" ref="I2696:I2730" si="463">"0"</f>
        <v>0</v>
      </c>
      <c r="J2696" t="str">
        <f t="shared" si="460"/>
        <v>23</v>
      </c>
      <c r="K2696">
        <v>20180928</v>
      </c>
      <c r="L2696" t="str">
        <f t="shared" si="461"/>
        <v>074025</v>
      </c>
      <c r="M2696" t="str">
        <f t="shared" si="462"/>
        <v>58210</v>
      </c>
      <c r="N2696" t="s">
        <v>1905</v>
      </c>
      <c r="O2696">
        <v>-51</v>
      </c>
      <c r="P2696">
        <v>20180928</v>
      </c>
      <c r="Q2696" t="s">
        <v>1889</v>
      </c>
      <c r="R2696" t="s">
        <v>412</v>
      </c>
      <c r="S2696" t="s">
        <v>1615</v>
      </c>
      <c r="T2696" t="s">
        <v>46</v>
      </c>
    </row>
    <row r="2697" spans="1:20" x14ac:dyDescent="0.25">
      <c r="A2697">
        <v>9</v>
      </c>
      <c r="B2697">
        <v>199</v>
      </c>
      <c r="C2697" t="str">
        <f>"36"</f>
        <v>36</v>
      </c>
      <c r="D2697">
        <v>6412</v>
      </c>
      <c r="E2697" t="str">
        <f>"8S"</f>
        <v>8S</v>
      </c>
      <c r="F2697" t="str">
        <f>"001"</f>
        <v>001</v>
      </c>
      <c r="G2697">
        <v>9</v>
      </c>
      <c r="H2697" t="str">
        <f>"99"</f>
        <v>99</v>
      </c>
      <c r="I2697" t="str">
        <f t="shared" si="463"/>
        <v>0</v>
      </c>
      <c r="J2697" t="str">
        <f>"01"</f>
        <v>01</v>
      </c>
      <c r="K2697">
        <v>20180928</v>
      </c>
      <c r="L2697" t="str">
        <f>"074026"</f>
        <v>074026</v>
      </c>
      <c r="M2697" t="str">
        <f>"58322"</f>
        <v>58322</v>
      </c>
      <c r="N2697" t="s">
        <v>1907</v>
      </c>
      <c r="O2697" s="1">
        <v>-1570</v>
      </c>
      <c r="P2697">
        <v>20180928</v>
      </c>
      <c r="Q2697" t="s">
        <v>1625</v>
      </c>
      <c r="R2697" t="s">
        <v>412</v>
      </c>
      <c r="S2697" t="s">
        <v>1615</v>
      </c>
      <c r="T2697" t="s">
        <v>301</v>
      </c>
    </row>
    <row r="2698" spans="1:20" x14ac:dyDescent="0.25">
      <c r="A2698">
        <v>9</v>
      </c>
      <c r="B2698">
        <v>199</v>
      </c>
      <c r="C2698" t="str">
        <f>"11"</f>
        <v>11</v>
      </c>
      <c r="D2698">
        <v>6299</v>
      </c>
      <c r="E2698" t="str">
        <f>"7E"</f>
        <v>7E</v>
      </c>
      <c r="F2698" t="str">
        <f>"001"</f>
        <v>001</v>
      </c>
      <c r="G2698">
        <v>9</v>
      </c>
      <c r="H2698" t="str">
        <f>"11"</f>
        <v>11</v>
      </c>
      <c r="I2698" t="str">
        <f t="shared" si="463"/>
        <v>0</v>
      </c>
      <c r="J2698" t="str">
        <f>"31"</f>
        <v>31</v>
      </c>
      <c r="K2698">
        <v>20180928</v>
      </c>
      <c r="L2698" t="str">
        <f>"074027"</f>
        <v>074027</v>
      </c>
      <c r="M2698" t="str">
        <f>"58816"</f>
        <v>58816</v>
      </c>
      <c r="N2698" t="s">
        <v>1908</v>
      </c>
      <c r="O2698">
        <v>-150</v>
      </c>
      <c r="P2698">
        <v>20180928</v>
      </c>
      <c r="Q2698" t="s">
        <v>1873</v>
      </c>
      <c r="R2698" t="s">
        <v>412</v>
      </c>
      <c r="S2698" t="s">
        <v>1615</v>
      </c>
      <c r="T2698" t="s">
        <v>301</v>
      </c>
    </row>
    <row r="2699" spans="1:20" x14ac:dyDescent="0.25">
      <c r="A2699">
        <v>9</v>
      </c>
      <c r="B2699">
        <v>199</v>
      </c>
      <c r="C2699" t="str">
        <f>"31"</f>
        <v>31</v>
      </c>
      <c r="D2699">
        <v>6399</v>
      </c>
      <c r="E2699" t="str">
        <f>"7F"</f>
        <v>7F</v>
      </c>
      <c r="F2699" t="str">
        <f>"104"</f>
        <v>104</v>
      </c>
      <c r="G2699">
        <v>9</v>
      </c>
      <c r="H2699" t="str">
        <f>"99"</f>
        <v>99</v>
      </c>
      <c r="I2699" t="str">
        <f t="shared" si="463"/>
        <v>0</v>
      </c>
      <c r="J2699" t="str">
        <f>"05"</f>
        <v>05</v>
      </c>
      <c r="K2699">
        <v>20180928</v>
      </c>
      <c r="L2699" t="str">
        <f>"074028"</f>
        <v>074028</v>
      </c>
      <c r="M2699" t="str">
        <f>"60603"</f>
        <v>60603</v>
      </c>
      <c r="N2699" t="s">
        <v>1909</v>
      </c>
      <c r="O2699">
        <v>-9.34</v>
      </c>
      <c r="P2699">
        <v>20180928</v>
      </c>
      <c r="Q2699" t="s">
        <v>1910</v>
      </c>
      <c r="R2699" t="s">
        <v>412</v>
      </c>
      <c r="S2699" t="s">
        <v>1615</v>
      </c>
      <c r="T2699" t="s">
        <v>46</v>
      </c>
    </row>
    <row r="2700" spans="1:20" x14ac:dyDescent="0.25">
      <c r="A2700">
        <v>9</v>
      </c>
      <c r="B2700">
        <v>199</v>
      </c>
      <c r="C2700" t="str">
        <f>"31"</f>
        <v>31</v>
      </c>
      <c r="D2700">
        <v>6399</v>
      </c>
      <c r="E2700" t="str">
        <f>"7F"</f>
        <v>7F</v>
      </c>
      <c r="F2700" t="str">
        <f>"104"</f>
        <v>104</v>
      </c>
      <c r="G2700">
        <v>9</v>
      </c>
      <c r="H2700" t="str">
        <f>"99"</f>
        <v>99</v>
      </c>
      <c r="I2700" t="str">
        <f t="shared" si="463"/>
        <v>0</v>
      </c>
      <c r="J2700" t="str">
        <f>"05"</f>
        <v>05</v>
      </c>
      <c r="K2700">
        <v>20180928</v>
      </c>
      <c r="L2700" t="str">
        <f>"074028"</f>
        <v>074028</v>
      </c>
      <c r="M2700" t="str">
        <f>"60603"</f>
        <v>60603</v>
      </c>
      <c r="N2700" t="s">
        <v>1909</v>
      </c>
      <c r="O2700">
        <v>-79.37</v>
      </c>
      <c r="P2700">
        <v>20180928</v>
      </c>
      <c r="Q2700" t="s">
        <v>1910</v>
      </c>
      <c r="R2700" t="s">
        <v>412</v>
      </c>
      <c r="S2700" t="s">
        <v>1615</v>
      </c>
      <c r="T2700" t="s">
        <v>46</v>
      </c>
    </row>
    <row r="2701" spans="1:20" x14ac:dyDescent="0.25">
      <c r="A2701">
        <v>9</v>
      </c>
      <c r="B2701">
        <v>199</v>
      </c>
      <c r="C2701" t="str">
        <f>"31"</f>
        <v>31</v>
      </c>
      <c r="D2701">
        <v>6399</v>
      </c>
      <c r="E2701" t="str">
        <f>"7F"</f>
        <v>7F</v>
      </c>
      <c r="F2701" t="str">
        <f>"104"</f>
        <v>104</v>
      </c>
      <c r="G2701">
        <v>9</v>
      </c>
      <c r="H2701" t="str">
        <f>"99"</f>
        <v>99</v>
      </c>
      <c r="I2701" t="str">
        <f t="shared" si="463"/>
        <v>0</v>
      </c>
      <c r="J2701" t="str">
        <f>"05"</f>
        <v>05</v>
      </c>
      <c r="K2701">
        <v>20180928</v>
      </c>
      <c r="L2701" t="str">
        <f>"074028"</f>
        <v>074028</v>
      </c>
      <c r="M2701" t="str">
        <f>"60603"</f>
        <v>60603</v>
      </c>
      <c r="N2701" t="s">
        <v>1909</v>
      </c>
      <c r="O2701">
        <v>-30.24</v>
      </c>
      <c r="P2701">
        <v>20180928</v>
      </c>
      <c r="Q2701" t="s">
        <v>1910</v>
      </c>
      <c r="R2701" t="s">
        <v>412</v>
      </c>
      <c r="S2701" t="s">
        <v>1615</v>
      </c>
      <c r="T2701" t="s">
        <v>46</v>
      </c>
    </row>
    <row r="2702" spans="1:20" x14ac:dyDescent="0.25">
      <c r="A2702">
        <v>9</v>
      </c>
      <c r="B2702">
        <v>199</v>
      </c>
      <c r="C2702" t="str">
        <f>"31"</f>
        <v>31</v>
      </c>
      <c r="D2702">
        <v>6399</v>
      </c>
      <c r="E2702" t="str">
        <f>"7F"</f>
        <v>7F</v>
      </c>
      <c r="F2702" t="str">
        <f>"104"</f>
        <v>104</v>
      </c>
      <c r="G2702">
        <v>9</v>
      </c>
      <c r="H2702" t="str">
        <f>"99"</f>
        <v>99</v>
      </c>
      <c r="I2702" t="str">
        <f t="shared" si="463"/>
        <v>0</v>
      </c>
      <c r="J2702" t="str">
        <f>"05"</f>
        <v>05</v>
      </c>
      <c r="K2702">
        <v>20180928</v>
      </c>
      <c r="L2702" t="str">
        <f>"074028"</f>
        <v>074028</v>
      </c>
      <c r="M2702" t="str">
        <f>"60603"</f>
        <v>60603</v>
      </c>
      <c r="N2702" t="s">
        <v>1909</v>
      </c>
      <c r="O2702">
        <v>-16.14</v>
      </c>
      <c r="P2702">
        <v>20180928</v>
      </c>
      <c r="Q2702" t="s">
        <v>1910</v>
      </c>
      <c r="R2702" t="s">
        <v>412</v>
      </c>
      <c r="S2702" t="s">
        <v>1615</v>
      </c>
      <c r="T2702" t="s">
        <v>46</v>
      </c>
    </row>
    <row r="2703" spans="1:20" x14ac:dyDescent="0.25">
      <c r="A2703">
        <v>9</v>
      </c>
      <c r="B2703">
        <v>199</v>
      </c>
      <c r="C2703" t="str">
        <f>"11"</f>
        <v>11</v>
      </c>
      <c r="D2703">
        <v>6399</v>
      </c>
      <c r="E2703" t="str">
        <f>"VH"</f>
        <v>VH</v>
      </c>
      <c r="F2703" t="str">
        <f>"002"</f>
        <v>002</v>
      </c>
      <c r="G2703">
        <v>9</v>
      </c>
      <c r="H2703" t="str">
        <f>"22"</f>
        <v>22</v>
      </c>
      <c r="I2703" t="str">
        <f t="shared" si="463"/>
        <v>0</v>
      </c>
      <c r="J2703" t="str">
        <f>"22"</f>
        <v>22</v>
      </c>
      <c r="K2703">
        <v>20180928</v>
      </c>
      <c r="L2703" t="str">
        <f>"074029"</f>
        <v>074029</v>
      </c>
      <c r="M2703" t="str">
        <f>"61914"</f>
        <v>61914</v>
      </c>
      <c r="N2703" t="s">
        <v>1911</v>
      </c>
      <c r="O2703">
        <v>-240</v>
      </c>
      <c r="P2703">
        <v>20180928</v>
      </c>
      <c r="Q2703" t="s">
        <v>1912</v>
      </c>
      <c r="R2703" t="s">
        <v>412</v>
      </c>
      <c r="S2703" t="s">
        <v>1615</v>
      </c>
      <c r="T2703" t="s">
        <v>1485</v>
      </c>
    </row>
    <row r="2704" spans="1:20" x14ac:dyDescent="0.25">
      <c r="A2704">
        <v>9</v>
      </c>
      <c r="B2704">
        <v>199</v>
      </c>
      <c r="C2704" t="str">
        <f>"34"</f>
        <v>34</v>
      </c>
      <c r="D2704">
        <v>6311</v>
      </c>
      <c r="E2704" t="str">
        <f>"10"</f>
        <v>10</v>
      </c>
      <c r="F2704" t="str">
        <f>"937"</f>
        <v>937</v>
      </c>
      <c r="G2704">
        <v>9</v>
      </c>
      <c r="H2704" t="str">
        <f>"99"</f>
        <v>99</v>
      </c>
      <c r="I2704" t="str">
        <f t="shared" si="463"/>
        <v>0</v>
      </c>
      <c r="J2704" t="str">
        <f>"82"</f>
        <v>82</v>
      </c>
      <c r="K2704">
        <v>20180928</v>
      </c>
      <c r="L2704" t="str">
        <f>"074031"</f>
        <v>074031</v>
      </c>
      <c r="M2704" t="str">
        <f>"65212"</f>
        <v>65212</v>
      </c>
      <c r="N2704" t="s">
        <v>1913</v>
      </c>
      <c r="O2704" s="1">
        <v>-16724.650000000001</v>
      </c>
      <c r="P2704">
        <v>20180928</v>
      </c>
      <c r="Q2704" t="s">
        <v>1914</v>
      </c>
      <c r="R2704" t="s">
        <v>412</v>
      </c>
      <c r="S2704" t="s">
        <v>1615</v>
      </c>
      <c r="T2704" t="s">
        <v>1810</v>
      </c>
    </row>
    <row r="2705" spans="1:20" x14ac:dyDescent="0.25">
      <c r="A2705">
        <v>9</v>
      </c>
      <c r="B2705">
        <v>199</v>
      </c>
      <c r="C2705" t="str">
        <f>"11"</f>
        <v>11</v>
      </c>
      <c r="D2705">
        <v>6396</v>
      </c>
      <c r="E2705" t="str">
        <f>"11"</f>
        <v>11</v>
      </c>
      <c r="F2705" t="str">
        <f>"001"</f>
        <v>001</v>
      </c>
      <c r="G2705">
        <v>9</v>
      </c>
      <c r="H2705" t="str">
        <f>"11"</f>
        <v>11</v>
      </c>
      <c r="I2705" t="str">
        <f t="shared" si="463"/>
        <v>0</v>
      </c>
      <c r="J2705" t="str">
        <f>"80"</f>
        <v>80</v>
      </c>
      <c r="K2705">
        <v>20180928</v>
      </c>
      <c r="L2705" t="str">
        <f>"074033"</f>
        <v>074033</v>
      </c>
      <c r="M2705" t="str">
        <f>"64650"</f>
        <v>64650</v>
      </c>
      <c r="N2705" t="s">
        <v>1915</v>
      </c>
      <c r="O2705" s="1">
        <v>-4102.84</v>
      </c>
      <c r="P2705">
        <v>20180928</v>
      </c>
      <c r="Q2705" t="s">
        <v>1916</v>
      </c>
      <c r="R2705" t="s">
        <v>412</v>
      </c>
      <c r="S2705" t="s">
        <v>1615</v>
      </c>
      <c r="T2705" t="s">
        <v>301</v>
      </c>
    </row>
    <row r="2706" spans="1:20" x14ac:dyDescent="0.25">
      <c r="A2706">
        <v>9</v>
      </c>
      <c r="B2706">
        <v>199</v>
      </c>
      <c r="C2706" t="str">
        <f>"11"</f>
        <v>11</v>
      </c>
      <c r="D2706">
        <v>6396</v>
      </c>
      <c r="E2706" t="str">
        <f>"11"</f>
        <v>11</v>
      </c>
      <c r="F2706" t="str">
        <f>"041"</f>
        <v>041</v>
      </c>
      <c r="G2706">
        <v>9</v>
      </c>
      <c r="H2706" t="str">
        <f>"11"</f>
        <v>11</v>
      </c>
      <c r="I2706" t="str">
        <f t="shared" si="463"/>
        <v>0</v>
      </c>
      <c r="J2706" t="str">
        <f>"80"</f>
        <v>80</v>
      </c>
      <c r="K2706">
        <v>20180928</v>
      </c>
      <c r="L2706" t="str">
        <f>"074033"</f>
        <v>074033</v>
      </c>
      <c r="M2706" t="str">
        <f>"64650"</f>
        <v>64650</v>
      </c>
      <c r="N2706" t="s">
        <v>1915</v>
      </c>
      <c r="O2706" s="1">
        <v>-4102.84</v>
      </c>
      <c r="P2706">
        <v>20180928</v>
      </c>
      <c r="Q2706" t="s">
        <v>1917</v>
      </c>
      <c r="R2706" t="s">
        <v>412</v>
      </c>
      <c r="S2706" t="s">
        <v>1615</v>
      </c>
      <c r="T2706" t="s">
        <v>106</v>
      </c>
    </row>
    <row r="2707" spans="1:20" x14ac:dyDescent="0.25">
      <c r="A2707">
        <v>9</v>
      </c>
      <c r="B2707">
        <v>199</v>
      </c>
      <c r="C2707" t="str">
        <f>"11"</f>
        <v>11</v>
      </c>
      <c r="D2707">
        <v>6396</v>
      </c>
      <c r="E2707" t="str">
        <f>"11"</f>
        <v>11</v>
      </c>
      <c r="F2707" t="str">
        <f>"101"</f>
        <v>101</v>
      </c>
      <c r="G2707">
        <v>9</v>
      </c>
      <c r="H2707" t="str">
        <f>"11"</f>
        <v>11</v>
      </c>
      <c r="I2707" t="str">
        <f t="shared" si="463"/>
        <v>0</v>
      </c>
      <c r="J2707" t="str">
        <f>"80"</f>
        <v>80</v>
      </c>
      <c r="K2707">
        <v>20180928</v>
      </c>
      <c r="L2707" t="str">
        <f>"074033"</f>
        <v>074033</v>
      </c>
      <c r="M2707" t="str">
        <f>"64650"</f>
        <v>64650</v>
      </c>
      <c r="N2707" t="s">
        <v>1915</v>
      </c>
      <c r="O2707" s="1">
        <v>-4102.8500000000004</v>
      </c>
      <c r="P2707">
        <v>20180928</v>
      </c>
      <c r="Q2707" t="s">
        <v>1918</v>
      </c>
      <c r="R2707" t="s">
        <v>412</v>
      </c>
      <c r="S2707" t="s">
        <v>1615</v>
      </c>
      <c r="T2707" t="s">
        <v>1479</v>
      </c>
    </row>
    <row r="2708" spans="1:20" x14ac:dyDescent="0.25">
      <c r="A2708">
        <v>9</v>
      </c>
      <c r="B2708">
        <v>199</v>
      </c>
      <c r="C2708" t="str">
        <f>"11"</f>
        <v>11</v>
      </c>
      <c r="D2708">
        <v>6396</v>
      </c>
      <c r="E2708" t="str">
        <f>"11"</f>
        <v>11</v>
      </c>
      <c r="F2708" t="str">
        <f>"104"</f>
        <v>104</v>
      </c>
      <c r="G2708">
        <v>9</v>
      </c>
      <c r="H2708" t="str">
        <f>"11"</f>
        <v>11</v>
      </c>
      <c r="I2708" t="str">
        <f t="shared" si="463"/>
        <v>0</v>
      </c>
      <c r="J2708" t="str">
        <f>"80"</f>
        <v>80</v>
      </c>
      <c r="K2708">
        <v>20180928</v>
      </c>
      <c r="L2708" t="str">
        <f>"074033"</f>
        <v>074033</v>
      </c>
      <c r="M2708" t="str">
        <f>"64650"</f>
        <v>64650</v>
      </c>
      <c r="N2708" t="s">
        <v>1915</v>
      </c>
      <c r="O2708" s="1">
        <v>-4102.8500000000004</v>
      </c>
      <c r="P2708">
        <v>20180928</v>
      </c>
      <c r="Q2708" t="s">
        <v>1919</v>
      </c>
      <c r="R2708" t="s">
        <v>412</v>
      </c>
      <c r="S2708" t="s">
        <v>1615</v>
      </c>
      <c r="T2708" t="s">
        <v>46</v>
      </c>
    </row>
    <row r="2709" spans="1:20" x14ac:dyDescent="0.25">
      <c r="A2709">
        <v>9</v>
      </c>
      <c r="B2709">
        <v>199</v>
      </c>
      <c r="C2709" t="str">
        <f>"11"</f>
        <v>11</v>
      </c>
      <c r="D2709">
        <v>6399</v>
      </c>
      <c r="E2709" t="str">
        <f>"7B"</f>
        <v>7B</v>
      </c>
      <c r="F2709" t="str">
        <f>"041"</f>
        <v>041</v>
      </c>
      <c r="G2709">
        <v>9</v>
      </c>
      <c r="H2709" t="str">
        <f>"11"</f>
        <v>11</v>
      </c>
      <c r="I2709" t="str">
        <f t="shared" si="463"/>
        <v>0</v>
      </c>
      <c r="J2709" t="str">
        <f>"36"</f>
        <v>36</v>
      </c>
      <c r="K2709">
        <v>20180928</v>
      </c>
      <c r="L2709" t="str">
        <f>"074034"</f>
        <v>074034</v>
      </c>
      <c r="M2709" t="str">
        <f>"70650"</f>
        <v>70650</v>
      </c>
      <c r="N2709" t="s">
        <v>1920</v>
      </c>
      <c r="O2709" s="1">
        <v>-1237.92</v>
      </c>
      <c r="P2709">
        <v>20180928</v>
      </c>
      <c r="Q2709" t="s">
        <v>1921</v>
      </c>
      <c r="R2709" t="s">
        <v>412</v>
      </c>
      <c r="S2709" t="s">
        <v>1615</v>
      </c>
      <c r="T2709" t="s">
        <v>106</v>
      </c>
    </row>
    <row r="2710" spans="1:20" x14ac:dyDescent="0.25">
      <c r="A2710">
        <v>9</v>
      </c>
      <c r="B2710">
        <v>199</v>
      </c>
      <c r="C2710" t="str">
        <f>"00"</f>
        <v>00</v>
      </c>
      <c r="D2710">
        <v>2183</v>
      </c>
      <c r="E2710" t="str">
        <f>"00"</f>
        <v>00</v>
      </c>
      <c r="F2710" t="str">
        <f>"000"</f>
        <v>000</v>
      </c>
      <c r="G2710">
        <v>9</v>
      </c>
      <c r="H2710" t="str">
        <f>"00"</f>
        <v>00</v>
      </c>
      <c r="I2710" t="str">
        <f t="shared" si="463"/>
        <v>0</v>
      </c>
      <c r="J2710" t="str">
        <f>"00"</f>
        <v>00</v>
      </c>
      <c r="K2710">
        <v>20180928</v>
      </c>
      <c r="L2710" t="str">
        <f>"074035"</f>
        <v>074035</v>
      </c>
      <c r="M2710" t="str">
        <f>"00561"</f>
        <v>00561</v>
      </c>
      <c r="N2710" t="s">
        <v>1922</v>
      </c>
      <c r="O2710" s="1">
        <v>-1800</v>
      </c>
      <c r="P2710">
        <v>20180928</v>
      </c>
      <c r="Q2710" t="s">
        <v>1923</v>
      </c>
      <c r="R2710" t="s">
        <v>412</v>
      </c>
      <c r="S2710" t="s">
        <v>1615</v>
      </c>
      <c r="T2710" t="s">
        <v>296</v>
      </c>
    </row>
    <row r="2711" spans="1:20" x14ac:dyDescent="0.25">
      <c r="A2711">
        <v>9</v>
      </c>
      <c r="B2711">
        <v>199</v>
      </c>
      <c r="C2711" t="str">
        <f>"11"</f>
        <v>11</v>
      </c>
      <c r="D2711">
        <v>6399</v>
      </c>
      <c r="E2711" t="str">
        <f>"7K"</f>
        <v>7K</v>
      </c>
      <c r="F2711" t="str">
        <f>"001"</f>
        <v>001</v>
      </c>
      <c r="G2711">
        <v>9</v>
      </c>
      <c r="H2711" t="str">
        <f>"11"</f>
        <v>11</v>
      </c>
      <c r="I2711" t="str">
        <f t="shared" si="463"/>
        <v>0</v>
      </c>
      <c r="J2711" t="str">
        <f>"01"</f>
        <v>01</v>
      </c>
      <c r="K2711">
        <v>20180928</v>
      </c>
      <c r="L2711" t="str">
        <f>"074036"</f>
        <v>074036</v>
      </c>
      <c r="M2711" t="str">
        <f>"73875"</f>
        <v>73875</v>
      </c>
      <c r="N2711" t="s">
        <v>1924</v>
      </c>
      <c r="O2711">
        <v>-168.07</v>
      </c>
      <c r="P2711">
        <v>20180928</v>
      </c>
      <c r="Q2711" t="s">
        <v>1671</v>
      </c>
      <c r="R2711" t="s">
        <v>412</v>
      </c>
      <c r="S2711" t="s">
        <v>1615</v>
      </c>
      <c r="T2711" t="s">
        <v>301</v>
      </c>
    </row>
    <row r="2712" spans="1:20" x14ac:dyDescent="0.25">
      <c r="A2712">
        <v>9</v>
      </c>
      <c r="B2712">
        <v>199</v>
      </c>
      <c r="C2712" t="str">
        <f>"41"</f>
        <v>41</v>
      </c>
      <c r="D2712">
        <v>6495</v>
      </c>
      <c r="E2712" t="str">
        <f>"10"</f>
        <v>10</v>
      </c>
      <c r="F2712" t="str">
        <f>"702"</f>
        <v>702</v>
      </c>
      <c r="G2712">
        <v>9</v>
      </c>
      <c r="H2712" t="str">
        <f>"99"</f>
        <v>99</v>
      </c>
      <c r="I2712" t="str">
        <f t="shared" si="463"/>
        <v>0</v>
      </c>
      <c r="J2712" t="str">
        <f>"93"</f>
        <v>93</v>
      </c>
      <c r="K2712">
        <v>20180928</v>
      </c>
      <c r="L2712" t="str">
        <f>"074037"</f>
        <v>074037</v>
      </c>
      <c r="M2712" t="str">
        <f>"74385"</f>
        <v>74385</v>
      </c>
      <c r="N2712" t="s">
        <v>1812</v>
      </c>
      <c r="O2712" s="1">
        <v>-1100</v>
      </c>
      <c r="P2712">
        <v>20180928</v>
      </c>
      <c r="Q2712" t="s">
        <v>1813</v>
      </c>
      <c r="R2712" t="s">
        <v>412</v>
      </c>
      <c r="S2712" t="s">
        <v>1615</v>
      </c>
      <c r="T2712" t="s">
        <v>1611</v>
      </c>
    </row>
    <row r="2713" spans="1:20" x14ac:dyDescent="0.25">
      <c r="A2713">
        <v>9</v>
      </c>
      <c r="B2713">
        <v>199</v>
      </c>
      <c r="C2713" t="str">
        <f>"41"</f>
        <v>41</v>
      </c>
      <c r="D2713">
        <v>6495</v>
      </c>
      <c r="E2713" t="str">
        <f>"10"</f>
        <v>10</v>
      </c>
      <c r="F2713" t="str">
        <f>"702"</f>
        <v>702</v>
      </c>
      <c r="G2713">
        <v>9</v>
      </c>
      <c r="H2713" t="str">
        <f>"99"</f>
        <v>99</v>
      </c>
      <c r="I2713" t="str">
        <f t="shared" si="463"/>
        <v>0</v>
      </c>
      <c r="J2713" t="str">
        <f>"93"</f>
        <v>93</v>
      </c>
      <c r="K2713">
        <v>20180928</v>
      </c>
      <c r="L2713" t="str">
        <f>"074037"</f>
        <v>074037</v>
      </c>
      <c r="M2713" t="str">
        <f>"74385"</f>
        <v>74385</v>
      </c>
      <c r="N2713" t="s">
        <v>1812</v>
      </c>
      <c r="O2713" s="1">
        <v>-1025</v>
      </c>
      <c r="P2713">
        <v>20180928</v>
      </c>
      <c r="Q2713" t="s">
        <v>1813</v>
      </c>
      <c r="R2713" t="s">
        <v>412</v>
      </c>
      <c r="S2713" t="s">
        <v>1615</v>
      </c>
      <c r="T2713" t="s">
        <v>1611</v>
      </c>
    </row>
    <row r="2714" spans="1:20" x14ac:dyDescent="0.25">
      <c r="A2714">
        <v>9</v>
      </c>
      <c r="B2714">
        <v>199</v>
      </c>
      <c r="C2714" t="str">
        <f>"11"</f>
        <v>11</v>
      </c>
      <c r="D2714">
        <v>6495</v>
      </c>
      <c r="E2714" t="str">
        <f>"VD"</f>
        <v>VD</v>
      </c>
      <c r="F2714" t="str">
        <f>"001"</f>
        <v>001</v>
      </c>
      <c r="G2714">
        <v>9</v>
      </c>
      <c r="H2714" t="str">
        <f>"22"</f>
        <v>22</v>
      </c>
      <c r="I2714" t="str">
        <f t="shared" si="463"/>
        <v>0</v>
      </c>
      <c r="J2714" t="str">
        <f>"22"</f>
        <v>22</v>
      </c>
      <c r="K2714">
        <v>20180928</v>
      </c>
      <c r="L2714" t="str">
        <f>"074038"</f>
        <v>074038</v>
      </c>
      <c r="M2714" t="str">
        <f>"45162"</f>
        <v>45162</v>
      </c>
      <c r="N2714" t="s">
        <v>1925</v>
      </c>
      <c r="O2714">
        <v>-770</v>
      </c>
      <c r="P2714">
        <v>20180928</v>
      </c>
      <c r="Q2714" t="s">
        <v>1926</v>
      </c>
      <c r="R2714" t="s">
        <v>412</v>
      </c>
      <c r="S2714" t="s">
        <v>1615</v>
      </c>
      <c r="T2714" t="s">
        <v>301</v>
      </c>
    </row>
    <row r="2715" spans="1:20" x14ac:dyDescent="0.25">
      <c r="A2715">
        <v>9</v>
      </c>
      <c r="B2715">
        <v>199</v>
      </c>
      <c r="C2715" t="str">
        <f>"11"</f>
        <v>11</v>
      </c>
      <c r="D2715">
        <v>6399</v>
      </c>
      <c r="E2715" t="str">
        <f>"8M"</f>
        <v>8M</v>
      </c>
      <c r="F2715" t="str">
        <f>"001"</f>
        <v>001</v>
      </c>
      <c r="G2715">
        <v>9</v>
      </c>
      <c r="H2715" t="str">
        <f>"11"</f>
        <v>11</v>
      </c>
      <c r="I2715" t="str">
        <f t="shared" si="463"/>
        <v>0</v>
      </c>
      <c r="J2715" t="str">
        <f>"33"</f>
        <v>33</v>
      </c>
      <c r="K2715">
        <v>20180928</v>
      </c>
      <c r="L2715" t="str">
        <f>"074045"</f>
        <v>074045</v>
      </c>
      <c r="M2715" t="str">
        <f>"80600"</f>
        <v>80600</v>
      </c>
      <c r="N2715" t="s">
        <v>1927</v>
      </c>
      <c r="O2715">
        <v>-220</v>
      </c>
      <c r="P2715">
        <v>20180928</v>
      </c>
      <c r="Q2715" t="s">
        <v>1928</v>
      </c>
      <c r="R2715" t="s">
        <v>412</v>
      </c>
      <c r="S2715" t="s">
        <v>1615</v>
      </c>
      <c r="T2715" t="s">
        <v>301</v>
      </c>
    </row>
    <row r="2716" spans="1:20" x14ac:dyDescent="0.25">
      <c r="A2716">
        <v>9</v>
      </c>
      <c r="B2716">
        <v>199</v>
      </c>
      <c r="C2716" t="str">
        <f>"11"</f>
        <v>11</v>
      </c>
      <c r="D2716">
        <v>6395</v>
      </c>
      <c r="E2716" t="str">
        <f>"10"</f>
        <v>10</v>
      </c>
      <c r="F2716" t="str">
        <f>"001"</f>
        <v>001</v>
      </c>
      <c r="G2716">
        <v>9</v>
      </c>
      <c r="H2716" t="str">
        <f>"11"</f>
        <v>11</v>
      </c>
      <c r="I2716" t="str">
        <f t="shared" si="463"/>
        <v>0</v>
      </c>
      <c r="J2716" t="str">
        <f>"01"</f>
        <v>01</v>
      </c>
      <c r="K2716">
        <v>20180928</v>
      </c>
      <c r="L2716" t="str">
        <f t="shared" ref="L2716:L2722" si="464">"074048"</f>
        <v>074048</v>
      </c>
      <c r="M2716" t="str">
        <f t="shared" ref="M2716:M2722" si="465">"81303"</f>
        <v>81303</v>
      </c>
      <c r="N2716" t="s">
        <v>66</v>
      </c>
      <c r="O2716">
        <v>-16.25</v>
      </c>
      <c r="P2716">
        <v>20180928</v>
      </c>
      <c r="Q2716" t="s">
        <v>1929</v>
      </c>
      <c r="R2716" t="s">
        <v>412</v>
      </c>
      <c r="S2716" t="s">
        <v>1615</v>
      </c>
      <c r="T2716" t="s">
        <v>301</v>
      </c>
    </row>
    <row r="2717" spans="1:20" x14ac:dyDescent="0.25">
      <c r="A2717">
        <v>9</v>
      </c>
      <c r="B2717">
        <v>199</v>
      </c>
      <c r="C2717" t="str">
        <f>"11"</f>
        <v>11</v>
      </c>
      <c r="D2717">
        <v>6399</v>
      </c>
      <c r="E2717" t="str">
        <f>"00"</f>
        <v>00</v>
      </c>
      <c r="F2717" t="str">
        <f>"041"</f>
        <v>041</v>
      </c>
      <c r="G2717">
        <v>9</v>
      </c>
      <c r="H2717" t="str">
        <f>"25"</f>
        <v>25</v>
      </c>
      <c r="I2717" t="str">
        <f t="shared" si="463"/>
        <v>0</v>
      </c>
      <c r="J2717" t="str">
        <f>"25"</f>
        <v>25</v>
      </c>
      <c r="K2717">
        <v>20180928</v>
      </c>
      <c r="L2717" t="str">
        <f t="shared" si="464"/>
        <v>074048</v>
      </c>
      <c r="M2717" t="str">
        <f t="shared" si="465"/>
        <v>81303</v>
      </c>
      <c r="N2717" t="s">
        <v>66</v>
      </c>
      <c r="O2717">
        <v>-6.5</v>
      </c>
      <c r="P2717">
        <v>20180928</v>
      </c>
      <c r="Q2717" t="s">
        <v>1930</v>
      </c>
      <c r="R2717" t="s">
        <v>412</v>
      </c>
      <c r="S2717" t="s">
        <v>1615</v>
      </c>
      <c r="T2717" t="s">
        <v>106</v>
      </c>
    </row>
    <row r="2718" spans="1:20" x14ac:dyDescent="0.25">
      <c r="A2718">
        <v>9</v>
      </c>
      <c r="B2718">
        <v>199</v>
      </c>
      <c r="C2718" t="str">
        <f>"11"</f>
        <v>11</v>
      </c>
      <c r="D2718">
        <v>6399</v>
      </c>
      <c r="E2718" t="str">
        <f>"7K"</f>
        <v>7K</v>
      </c>
      <c r="F2718" t="str">
        <f>"001"</f>
        <v>001</v>
      </c>
      <c r="G2718">
        <v>9</v>
      </c>
      <c r="H2718" t="str">
        <f>"11"</f>
        <v>11</v>
      </c>
      <c r="I2718" t="str">
        <f t="shared" si="463"/>
        <v>0</v>
      </c>
      <c r="J2718" t="str">
        <f>"01"</f>
        <v>01</v>
      </c>
      <c r="K2718">
        <v>20180928</v>
      </c>
      <c r="L2718" t="str">
        <f t="shared" si="464"/>
        <v>074048</v>
      </c>
      <c r="M2718" t="str">
        <f t="shared" si="465"/>
        <v>81303</v>
      </c>
      <c r="N2718" t="s">
        <v>66</v>
      </c>
      <c r="O2718">
        <v>-150.96</v>
      </c>
      <c r="P2718">
        <v>20180928</v>
      </c>
      <c r="Q2718" t="s">
        <v>1671</v>
      </c>
      <c r="R2718" t="s">
        <v>412</v>
      </c>
      <c r="S2718" t="s">
        <v>1615</v>
      </c>
      <c r="T2718" t="s">
        <v>301</v>
      </c>
    </row>
    <row r="2719" spans="1:20" x14ac:dyDescent="0.25">
      <c r="A2719">
        <v>9</v>
      </c>
      <c r="B2719">
        <v>199</v>
      </c>
      <c r="C2719" t="str">
        <f>"21"</f>
        <v>21</v>
      </c>
      <c r="D2719">
        <v>6395</v>
      </c>
      <c r="E2719" t="str">
        <f>"10"</f>
        <v>10</v>
      </c>
      <c r="F2719" t="str">
        <f>"871"</f>
        <v>871</v>
      </c>
      <c r="G2719">
        <v>9</v>
      </c>
      <c r="H2719" t="str">
        <f>"99"</f>
        <v>99</v>
      </c>
      <c r="I2719" t="str">
        <f t="shared" si="463"/>
        <v>0</v>
      </c>
      <c r="J2719" t="str">
        <f>"94"</f>
        <v>94</v>
      </c>
      <c r="K2719">
        <v>20180928</v>
      </c>
      <c r="L2719" t="str">
        <f t="shared" si="464"/>
        <v>074048</v>
      </c>
      <c r="M2719" t="str">
        <f t="shared" si="465"/>
        <v>81303</v>
      </c>
      <c r="N2719" t="s">
        <v>66</v>
      </c>
      <c r="O2719">
        <v>-35</v>
      </c>
      <c r="P2719">
        <v>20180928</v>
      </c>
      <c r="Q2719" t="s">
        <v>1931</v>
      </c>
      <c r="R2719" t="s">
        <v>412</v>
      </c>
      <c r="S2719" t="s">
        <v>1615</v>
      </c>
      <c r="T2719" t="s">
        <v>1932</v>
      </c>
    </row>
    <row r="2720" spans="1:20" x14ac:dyDescent="0.25">
      <c r="A2720">
        <v>9</v>
      </c>
      <c r="B2720">
        <v>199</v>
      </c>
      <c r="C2720" t="str">
        <f>"23"</f>
        <v>23</v>
      </c>
      <c r="D2720">
        <v>6395</v>
      </c>
      <c r="E2720" t="str">
        <f>"10"</f>
        <v>10</v>
      </c>
      <c r="F2720" t="str">
        <f>"104"</f>
        <v>104</v>
      </c>
      <c r="G2720">
        <v>9</v>
      </c>
      <c r="H2720" t="str">
        <f>"99"</f>
        <v>99</v>
      </c>
      <c r="I2720" t="str">
        <f t="shared" si="463"/>
        <v>0</v>
      </c>
      <c r="J2720" t="str">
        <f>"05"</f>
        <v>05</v>
      </c>
      <c r="K2720">
        <v>20180928</v>
      </c>
      <c r="L2720" t="str">
        <f t="shared" si="464"/>
        <v>074048</v>
      </c>
      <c r="M2720" t="str">
        <f t="shared" si="465"/>
        <v>81303</v>
      </c>
      <c r="N2720" t="s">
        <v>66</v>
      </c>
      <c r="O2720">
        <v>-117.5</v>
      </c>
      <c r="P2720">
        <v>20180928</v>
      </c>
      <c r="Q2720" t="s">
        <v>1933</v>
      </c>
      <c r="R2720" t="s">
        <v>412</v>
      </c>
      <c r="S2720" t="s">
        <v>1615</v>
      </c>
      <c r="T2720" t="s">
        <v>46</v>
      </c>
    </row>
    <row r="2721" spans="1:20" x14ac:dyDescent="0.25">
      <c r="A2721">
        <v>9</v>
      </c>
      <c r="B2721">
        <v>199</v>
      </c>
      <c r="C2721" t="str">
        <f>"31"</f>
        <v>31</v>
      </c>
      <c r="D2721">
        <v>6395</v>
      </c>
      <c r="E2721" t="str">
        <f>"7F"</f>
        <v>7F</v>
      </c>
      <c r="F2721" t="str">
        <f>"001"</f>
        <v>001</v>
      </c>
      <c r="G2721">
        <v>9</v>
      </c>
      <c r="H2721" t="str">
        <f>"99"</f>
        <v>99</v>
      </c>
      <c r="I2721" t="str">
        <f t="shared" si="463"/>
        <v>0</v>
      </c>
      <c r="J2721" t="str">
        <f>"01"</f>
        <v>01</v>
      </c>
      <c r="K2721">
        <v>20180928</v>
      </c>
      <c r="L2721" t="str">
        <f t="shared" si="464"/>
        <v>074048</v>
      </c>
      <c r="M2721" t="str">
        <f t="shared" si="465"/>
        <v>81303</v>
      </c>
      <c r="N2721" t="s">
        <v>66</v>
      </c>
      <c r="O2721">
        <v>-120</v>
      </c>
      <c r="P2721">
        <v>20180928</v>
      </c>
      <c r="Q2721" t="s">
        <v>1934</v>
      </c>
      <c r="R2721" t="s">
        <v>412</v>
      </c>
      <c r="S2721" t="s">
        <v>1615</v>
      </c>
      <c r="T2721" t="s">
        <v>301</v>
      </c>
    </row>
    <row r="2722" spans="1:20" x14ac:dyDescent="0.25">
      <c r="A2722">
        <v>9</v>
      </c>
      <c r="B2722">
        <v>199</v>
      </c>
      <c r="C2722" t="str">
        <f>"31"</f>
        <v>31</v>
      </c>
      <c r="D2722">
        <v>6395</v>
      </c>
      <c r="E2722" t="str">
        <f>"7F"</f>
        <v>7F</v>
      </c>
      <c r="F2722" t="str">
        <f>"104"</f>
        <v>104</v>
      </c>
      <c r="G2722">
        <v>9</v>
      </c>
      <c r="H2722" t="str">
        <f>"99"</f>
        <v>99</v>
      </c>
      <c r="I2722" t="str">
        <f t="shared" si="463"/>
        <v>0</v>
      </c>
      <c r="J2722" t="str">
        <f>"05"</f>
        <v>05</v>
      </c>
      <c r="K2722">
        <v>20180928</v>
      </c>
      <c r="L2722" t="str">
        <f t="shared" si="464"/>
        <v>074048</v>
      </c>
      <c r="M2722" t="str">
        <f t="shared" si="465"/>
        <v>81303</v>
      </c>
      <c r="N2722" t="s">
        <v>66</v>
      </c>
      <c r="O2722">
        <v>-25</v>
      </c>
      <c r="P2722">
        <v>20180928</v>
      </c>
      <c r="Q2722" t="s">
        <v>1935</v>
      </c>
      <c r="R2722" t="s">
        <v>412</v>
      </c>
      <c r="S2722" t="s">
        <v>1615</v>
      </c>
      <c r="T2722" t="s">
        <v>46</v>
      </c>
    </row>
    <row r="2723" spans="1:20" x14ac:dyDescent="0.25">
      <c r="A2723">
        <v>9</v>
      </c>
      <c r="B2723">
        <v>199</v>
      </c>
      <c r="C2723" t="str">
        <f>"11"</f>
        <v>11</v>
      </c>
      <c r="D2723">
        <v>6299</v>
      </c>
      <c r="E2723" t="str">
        <f>"7E"</f>
        <v>7E</v>
      </c>
      <c r="F2723" t="str">
        <f>"001"</f>
        <v>001</v>
      </c>
      <c r="G2723">
        <v>9</v>
      </c>
      <c r="H2723" t="str">
        <f>"11"</f>
        <v>11</v>
      </c>
      <c r="I2723" t="str">
        <f t="shared" si="463"/>
        <v>0</v>
      </c>
      <c r="J2723" t="str">
        <f>"31"</f>
        <v>31</v>
      </c>
      <c r="K2723">
        <v>20180928</v>
      </c>
      <c r="L2723" t="str">
        <f>"074051"</f>
        <v>074051</v>
      </c>
      <c r="M2723" t="str">
        <f>"82371"</f>
        <v>82371</v>
      </c>
      <c r="N2723" t="s">
        <v>1936</v>
      </c>
      <c r="O2723">
        <v>-150</v>
      </c>
      <c r="P2723">
        <v>20180928</v>
      </c>
      <c r="Q2723" t="s">
        <v>1873</v>
      </c>
      <c r="R2723" t="s">
        <v>412</v>
      </c>
      <c r="S2723" t="s">
        <v>1615</v>
      </c>
      <c r="T2723" t="s">
        <v>301</v>
      </c>
    </row>
    <row r="2724" spans="1:20" x14ac:dyDescent="0.25">
      <c r="A2724">
        <v>9</v>
      </c>
      <c r="B2724">
        <v>199</v>
      </c>
      <c r="C2724" t="str">
        <f>"11"</f>
        <v>11</v>
      </c>
      <c r="D2724">
        <v>6299</v>
      </c>
      <c r="E2724" t="str">
        <f>"7E"</f>
        <v>7E</v>
      </c>
      <c r="F2724" t="str">
        <f>"001"</f>
        <v>001</v>
      </c>
      <c r="G2724">
        <v>9</v>
      </c>
      <c r="H2724" t="str">
        <f>"11"</f>
        <v>11</v>
      </c>
      <c r="I2724" t="str">
        <f t="shared" si="463"/>
        <v>0</v>
      </c>
      <c r="J2724" t="str">
        <f>"31"</f>
        <v>31</v>
      </c>
      <c r="K2724">
        <v>20180928</v>
      </c>
      <c r="L2724" t="str">
        <f>"074053"</f>
        <v>074053</v>
      </c>
      <c r="M2724" t="str">
        <f>"00548"</f>
        <v>00548</v>
      </c>
      <c r="N2724" t="s">
        <v>1937</v>
      </c>
      <c r="O2724">
        <v>-150</v>
      </c>
      <c r="P2724">
        <v>20180928</v>
      </c>
      <c r="Q2724" t="s">
        <v>1873</v>
      </c>
      <c r="R2724" t="s">
        <v>412</v>
      </c>
      <c r="S2724" t="s">
        <v>1615</v>
      </c>
      <c r="T2724" t="s">
        <v>301</v>
      </c>
    </row>
    <row r="2725" spans="1:20" x14ac:dyDescent="0.25">
      <c r="A2725">
        <v>9</v>
      </c>
      <c r="B2725">
        <v>199</v>
      </c>
      <c r="C2725" t="str">
        <f>"52"</f>
        <v>52</v>
      </c>
      <c r="D2725">
        <v>6219</v>
      </c>
      <c r="E2725" t="str">
        <f>"00"</f>
        <v>00</v>
      </c>
      <c r="F2725" t="str">
        <f>"101"</f>
        <v>101</v>
      </c>
      <c r="G2725">
        <v>9</v>
      </c>
      <c r="H2725" t="str">
        <f t="shared" ref="H2725:H2731" si="466">"99"</f>
        <v>99</v>
      </c>
      <c r="I2725" t="str">
        <f t="shared" si="463"/>
        <v>0</v>
      </c>
      <c r="J2725" t="str">
        <f>"00"</f>
        <v>00</v>
      </c>
      <c r="K2725">
        <v>20180928</v>
      </c>
      <c r="L2725" t="str">
        <f>"074056"</f>
        <v>074056</v>
      </c>
      <c r="M2725" t="str">
        <f>"00242"</f>
        <v>00242</v>
      </c>
      <c r="N2725" t="s">
        <v>1669</v>
      </c>
      <c r="O2725">
        <v>-300</v>
      </c>
      <c r="P2725">
        <v>20180928</v>
      </c>
      <c r="Q2725" t="s">
        <v>1854</v>
      </c>
      <c r="R2725" t="s">
        <v>412</v>
      </c>
      <c r="S2725" t="s">
        <v>1615</v>
      </c>
      <c r="T2725" t="s">
        <v>1479</v>
      </c>
    </row>
    <row r="2726" spans="1:20" x14ac:dyDescent="0.25">
      <c r="A2726">
        <v>9</v>
      </c>
      <c r="B2726">
        <v>199</v>
      </c>
      <c r="C2726" t="str">
        <f>"51"</f>
        <v>51</v>
      </c>
      <c r="D2726">
        <v>6256</v>
      </c>
      <c r="E2726" t="str">
        <f>"10"</f>
        <v>10</v>
      </c>
      <c r="F2726" t="str">
        <f>"880"</f>
        <v>880</v>
      </c>
      <c r="G2726">
        <v>9</v>
      </c>
      <c r="H2726" t="str">
        <f t="shared" si="466"/>
        <v>99</v>
      </c>
      <c r="I2726" t="str">
        <f t="shared" si="463"/>
        <v>0</v>
      </c>
      <c r="J2726" t="str">
        <f>"80"</f>
        <v>80</v>
      </c>
      <c r="K2726">
        <v>20180928</v>
      </c>
      <c r="L2726" t="str">
        <f>"074057"</f>
        <v>074057</v>
      </c>
      <c r="M2726" t="str">
        <f>"00390"</f>
        <v>00390</v>
      </c>
      <c r="N2726" t="s">
        <v>1869</v>
      </c>
      <c r="O2726">
        <v>80.78</v>
      </c>
      <c r="P2726">
        <v>20180928</v>
      </c>
      <c r="Q2726" t="s">
        <v>1870</v>
      </c>
      <c r="R2726" t="s">
        <v>1938</v>
      </c>
      <c r="S2726" t="s">
        <v>1615</v>
      </c>
      <c r="T2726" t="s">
        <v>1866</v>
      </c>
    </row>
    <row r="2727" spans="1:20" x14ac:dyDescent="0.25">
      <c r="A2727">
        <v>9</v>
      </c>
      <c r="B2727">
        <v>199</v>
      </c>
      <c r="C2727" t="str">
        <f>"51"</f>
        <v>51</v>
      </c>
      <c r="D2727">
        <v>6256</v>
      </c>
      <c r="E2727" t="str">
        <f>"10"</f>
        <v>10</v>
      </c>
      <c r="F2727" t="str">
        <f>"880"</f>
        <v>880</v>
      </c>
      <c r="G2727">
        <v>9</v>
      </c>
      <c r="H2727" t="str">
        <f t="shared" si="466"/>
        <v>99</v>
      </c>
      <c r="I2727" t="str">
        <f t="shared" si="463"/>
        <v>0</v>
      </c>
      <c r="J2727" t="str">
        <f>"80"</f>
        <v>80</v>
      </c>
      <c r="K2727">
        <v>20180928</v>
      </c>
      <c r="L2727" t="str">
        <f>"074057"</f>
        <v>074057</v>
      </c>
      <c r="M2727" t="str">
        <f>"00390"</f>
        <v>00390</v>
      </c>
      <c r="N2727" t="s">
        <v>1869</v>
      </c>
      <c r="O2727" s="1">
        <v>4347.32</v>
      </c>
      <c r="P2727">
        <v>20180928</v>
      </c>
      <c r="Q2727" t="s">
        <v>1870</v>
      </c>
      <c r="R2727" t="s">
        <v>1938</v>
      </c>
      <c r="S2727" t="s">
        <v>1615</v>
      </c>
      <c r="T2727" t="s">
        <v>1866</v>
      </c>
    </row>
    <row r="2728" spans="1:20" x14ac:dyDescent="0.25">
      <c r="A2728">
        <v>9</v>
      </c>
      <c r="B2728">
        <v>199</v>
      </c>
      <c r="C2728" t="str">
        <f>"51"</f>
        <v>51</v>
      </c>
      <c r="D2728">
        <v>6256</v>
      </c>
      <c r="E2728" t="str">
        <f>"11"</f>
        <v>11</v>
      </c>
      <c r="F2728" t="str">
        <f>"880"</f>
        <v>880</v>
      </c>
      <c r="G2728">
        <v>9</v>
      </c>
      <c r="H2728" t="str">
        <f t="shared" si="466"/>
        <v>99</v>
      </c>
      <c r="I2728" t="str">
        <f t="shared" si="463"/>
        <v>0</v>
      </c>
      <c r="J2728" t="str">
        <f>"80"</f>
        <v>80</v>
      </c>
      <c r="K2728">
        <v>20180928</v>
      </c>
      <c r="L2728" t="str">
        <f>"074058"</f>
        <v>074058</v>
      </c>
      <c r="M2728" t="str">
        <f>"00392"</f>
        <v>00392</v>
      </c>
      <c r="N2728" t="s">
        <v>1869</v>
      </c>
      <c r="O2728">
        <v>46.9</v>
      </c>
      <c r="P2728">
        <v>20180928</v>
      </c>
      <c r="Q2728" t="s">
        <v>1871</v>
      </c>
      <c r="R2728" t="s">
        <v>1938</v>
      </c>
      <c r="S2728" t="s">
        <v>1615</v>
      </c>
      <c r="T2728" t="s">
        <v>1866</v>
      </c>
    </row>
    <row r="2729" spans="1:20" x14ac:dyDescent="0.25">
      <c r="A2729">
        <v>9</v>
      </c>
      <c r="B2729">
        <v>199</v>
      </c>
      <c r="C2729" t="str">
        <f>"36"</f>
        <v>36</v>
      </c>
      <c r="D2729">
        <v>6412</v>
      </c>
      <c r="E2729" t="str">
        <f>"7B"</f>
        <v>7B</v>
      </c>
      <c r="F2729" t="str">
        <f t="shared" ref="F2729:F2734" si="467">"001"</f>
        <v>001</v>
      </c>
      <c r="G2729">
        <v>9</v>
      </c>
      <c r="H2729" t="str">
        <f t="shared" si="466"/>
        <v>99</v>
      </c>
      <c r="I2729" t="str">
        <f t="shared" si="463"/>
        <v>0</v>
      </c>
      <c r="J2729" t="str">
        <f>"32"</f>
        <v>32</v>
      </c>
      <c r="K2729">
        <v>20180928</v>
      </c>
      <c r="L2729" t="str">
        <f>"074060"</f>
        <v>074060</v>
      </c>
      <c r="M2729" t="str">
        <f>"18251"</f>
        <v>18251</v>
      </c>
      <c r="N2729" t="s">
        <v>302</v>
      </c>
      <c r="O2729">
        <v>300</v>
      </c>
      <c r="P2729">
        <v>20180928</v>
      </c>
      <c r="Q2729" t="s">
        <v>1658</v>
      </c>
      <c r="R2729" t="s">
        <v>1851</v>
      </c>
      <c r="S2729" t="s">
        <v>1615</v>
      </c>
      <c r="T2729" t="s">
        <v>301</v>
      </c>
    </row>
    <row r="2730" spans="1:20" x14ac:dyDescent="0.25">
      <c r="A2730">
        <v>9</v>
      </c>
      <c r="B2730">
        <v>199</v>
      </c>
      <c r="C2730" t="str">
        <f>"36"</f>
        <v>36</v>
      </c>
      <c r="D2730">
        <v>6411</v>
      </c>
      <c r="E2730" t="str">
        <f>"7B"</f>
        <v>7B</v>
      </c>
      <c r="F2730" t="str">
        <f t="shared" si="467"/>
        <v>001</v>
      </c>
      <c r="G2730">
        <v>9</v>
      </c>
      <c r="H2730" t="str">
        <f t="shared" si="466"/>
        <v>99</v>
      </c>
      <c r="I2730" t="str">
        <f t="shared" si="463"/>
        <v>0</v>
      </c>
      <c r="J2730" t="str">
        <f>"32"</f>
        <v>32</v>
      </c>
      <c r="K2730">
        <v>20180928</v>
      </c>
      <c r="L2730" t="str">
        <f>"074061"</f>
        <v>074061</v>
      </c>
      <c r="M2730" t="str">
        <f>"20416"</f>
        <v>20416</v>
      </c>
      <c r="N2730" t="s">
        <v>1693</v>
      </c>
      <c r="O2730">
        <v>35</v>
      </c>
      <c r="P2730">
        <v>20180928</v>
      </c>
      <c r="Q2730" t="s">
        <v>1694</v>
      </c>
      <c r="R2730" t="s">
        <v>1851</v>
      </c>
      <c r="S2730" t="s">
        <v>1615</v>
      </c>
      <c r="T2730" t="s">
        <v>301</v>
      </c>
    </row>
    <row r="2731" spans="1:20" x14ac:dyDescent="0.25">
      <c r="A2731">
        <v>9</v>
      </c>
      <c r="B2731">
        <v>199</v>
      </c>
      <c r="C2731" t="str">
        <f>"36"</f>
        <v>36</v>
      </c>
      <c r="D2731">
        <v>6412</v>
      </c>
      <c r="E2731" t="str">
        <f>"7B"</f>
        <v>7B</v>
      </c>
      <c r="F2731" t="str">
        <f t="shared" si="467"/>
        <v>001</v>
      </c>
      <c r="G2731">
        <v>9</v>
      </c>
      <c r="H2731" t="str">
        <f t="shared" si="466"/>
        <v>99</v>
      </c>
      <c r="I2731" t="str">
        <f>"1"</f>
        <v>1</v>
      </c>
      <c r="J2731" t="str">
        <f>"32"</f>
        <v>32</v>
      </c>
      <c r="K2731">
        <v>20180928</v>
      </c>
      <c r="L2731" t="str">
        <f>"074061"</f>
        <v>074061</v>
      </c>
      <c r="M2731" t="str">
        <f>"20416"</f>
        <v>20416</v>
      </c>
      <c r="N2731" t="s">
        <v>1693</v>
      </c>
      <c r="O2731">
        <v>470</v>
      </c>
      <c r="P2731">
        <v>20180928</v>
      </c>
      <c r="Q2731" t="s">
        <v>1696</v>
      </c>
      <c r="R2731" t="s">
        <v>1851</v>
      </c>
      <c r="S2731" t="s">
        <v>1615</v>
      </c>
      <c r="T2731" t="s">
        <v>301</v>
      </c>
    </row>
    <row r="2732" spans="1:20" x14ac:dyDescent="0.25">
      <c r="A2732">
        <v>9</v>
      </c>
      <c r="B2732">
        <v>199</v>
      </c>
      <c r="C2732" t="str">
        <f>"11"</f>
        <v>11</v>
      </c>
      <c r="D2732">
        <v>6412</v>
      </c>
      <c r="E2732" t="str">
        <f>"VL"</f>
        <v>VL</v>
      </c>
      <c r="F2732" t="str">
        <f t="shared" si="467"/>
        <v>001</v>
      </c>
      <c r="G2732">
        <v>9</v>
      </c>
      <c r="H2732" t="str">
        <f>"22"</f>
        <v>22</v>
      </c>
      <c r="I2732" t="str">
        <f t="shared" ref="I2732:I2741" si="468">"0"</f>
        <v>0</v>
      </c>
      <c r="J2732" t="str">
        <f>"22"</f>
        <v>22</v>
      </c>
      <c r="K2732">
        <v>20180928</v>
      </c>
      <c r="L2732" t="str">
        <f>"074062"</f>
        <v>074062</v>
      </c>
      <c r="M2732" t="str">
        <f>"25855"</f>
        <v>25855</v>
      </c>
      <c r="N2732" t="s">
        <v>1877</v>
      </c>
      <c r="O2732">
        <v>225</v>
      </c>
      <c r="P2732">
        <v>20180928</v>
      </c>
      <c r="Q2732" t="s">
        <v>1878</v>
      </c>
      <c r="R2732" t="s">
        <v>1939</v>
      </c>
      <c r="S2732" t="s">
        <v>1615</v>
      </c>
      <c r="T2732" t="s">
        <v>301</v>
      </c>
    </row>
    <row r="2733" spans="1:20" x14ac:dyDescent="0.25">
      <c r="A2733">
        <v>9</v>
      </c>
      <c r="B2733">
        <v>199</v>
      </c>
      <c r="C2733" t="str">
        <f>"36"</f>
        <v>36</v>
      </c>
      <c r="D2733">
        <v>6411</v>
      </c>
      <c r="E2733" t="str">
        <f>"VL"</f>
        <v>VL</v>
      </c>
      <c r="F2733" t="str">
        <f t="shared" si="467"/>
        <v>001</v>
      </c>
      <c r="G2733">
        <v>9</v>
      </c>
      <c r="H2733" t="str">
        <f>"22"</f>
        <v>22</v>
      </c>
      <c r="I2733" t="str">
        <f t="shared" si="468"/>
        <v>0</v>
      </c>
      <c r="J2733" t="str">
        <f>"22"</f>
        <v>22</v>
      </c>
      <c r="K2733">
        <v>20180928</v>
      </c>
      <c r="L2733" t="str">
        <f>"074062"</f>
        <v>074062</v>
      </c>
      <c r="M2733" t="str">
        <f>"25855"</f>
        <v>25855</v>
      </c>
      <c r="N2733" t="s">
        <v>1877</v>
      </c>
      <c r="O2733">
        <v>25</v>
      </c>
      <c r="P2733">
        <v>20180928</v>
      </c>
      <c r="Q2733" t="s">
        <v>1879</v>
      </c>
      <c r="R2733" t="s">
        <v>1939</v>
      </c>
      <c r="S2733" t="s">
        <v>1615</v>
      </c>
      <c r="T2733" t="s">
        <v>301</v>
      </c>
    </row>
    <row r="2734" spans="1:20" x14ac:dyDescent="0.25">
      <c r="A2734">
        <v>9</v>
      </c>
      <c r="B2734">
        <v>199</v>
      </c>
      <c r="C2734" t="str">
        <f t="shared" ref="C2734:C2739" si="469">"11"</f>
        <v>11</v>
      </c>
      <c r="D2734">
        <v>6249</v>
      </c>
      <c r="E2734" t="str">
        <f>"57"</f>
        <v>57</v>
      </c>
      <c r="F2734" t="str">
        <f t="shared" si="467"/>
        <v>001</v>
      </c>
      <c r="G2734">
        <v>9</v>
      </c>
      <c r="H2734" t="str">
        <f>"11"</f>
        <v>11</v>
      </c>
      <c r="I2734" t="str">
        <f t="shared" si="468"/>
        <v>0</v>
      </c>
      <c r="J2734" t="str">
        <f>"80"</f>
        <v>80</v>
      </c>
      <c r="K2734">
        <v>20180928</v>
      </c>
      <c r="L2734" t="str">
        <f>"074067"</f>
        <v>074067</v>
      </c>
      <c r="M2734" t="str">
        <f>"28548"</f>
        <v>28548</v>
      </c>
      <c r="N2734" t="s">
        <v>1882</v>
      </c>
      <c r="O2734" s="1">
        <v>1515</v>
      </c>
      <c r="P2734">
        <v>20180928</v>
      </c>
      <c r="Q2734" t="s">
        <v>1796</v>
      </c>
      <c r="R2734" t="s">
        <v>1816</v>
      </c>
      <c r="S2734" t="s">
        <v>1615</v>
      </c>
      <c r="T2734" t="s">
        <v>301</v>
      </c>
    </row>
    <row r="2735" spans="1:20" x14ac:dyDescent="0.25">
      <c r="A2735">
        <v>9</v>
      </c>
      <c r="B2735">
        <v>199</v>
      </c>
      <c r="C2735" t="str">
        <f t="shared" si="469"/>
        <v>11</v>
      </c>
      <c r="D2735">
        <v>6249</v>
      </c>
      <c r="E2735" t="str">
        <f>"57"</f>
        <v>57</v>
      </c>
      <c r="F2735" t="str">
        <f>"041"</f>
        <v>041</v>
      </c>
      <c r="G2735">
        <v>9</v>
      </c>
      <c r="H2735" t="str">
        <f>"11"</f>
        <v>11</v>
      </c>
      <c r="I2735" t="str">
        <f t="shared" si="468"/>
        <v>0</v>
      </c>
      <c r="J2735" t="str">
        <f>"80"</f>
        <v>80</v>
      </c>
      <c r="K2735">
        <v>20180928</v>
      </c>
      <c r="L2735" t="str">
        <f>"074067"</f>
        <v>074067</v>
      </c>
      <c r="M2735" t="str">
        <f>"28548"</f>
        <v>28548</v>
      </c>
      <c r="N2735" t="s">
        <v>1882</v>
      </c>
      <c r="O2735" s="1">
        <v>1515</v>
      </c>
      <c r="P2735">
        <v>20180928</v>
      </c>
      <c r="Q2735" t="s">
        <v>1798</v>
      </c>
      <c r="R2735" t="s">
        <v>1816</v>
      </c>
      <c r="S2735" t="s">
        <v>1615</v>
      </c>
      <c r="T2735" t="s">
        <v>106</v>
      </c>
    </row>
    <row r="2736" spans="1:20" x14ac:dyDescent="0.25">
      <c r="A2736">
        <v>9</v>
      </c>
      <c r="B2736">
        <v>199</v>
      </c>
      <c r="C2736" t="str">
        <f t="shared" si="469"/>
        <v>11</v>
      </c>
      <c r="D2736">
        <v>6249</v>
      </c>
      <c r="E2736" t="str">
        <f>"57"</f>
        <v>57</v>
      </c>
      <c r="F2736" t="str">
        <f>"101"</f>
        <v>101</v>
      </c>
      <c r="G2736">
        <v>9</v>
      </c>
      <c r="H2736" t="str">
        <f>"11"</f>
        <v>11</v>
      </c>
      <c r="I2736" t="str">
        <f t="shared" si="468"/>
        <v>0</v>
      </c>
      <c r="J2736" t="str">
        <f>"80"</f>
        <v>80</v>
      </c>
      <c r="K2736">
        <v>20180928</v>
      </c>
      <c r="L2736" t="str">
        <f>"074067"</f>
        <v>074067</v>
      </c>
      <c r="M2736" t="str">
        <f>"28548"</f>
        <v>28548</v>
      </c>
      <c r="N2736" t="s">
        <v>1882</v>
      </c>
      <c r="O2736" s="1">
        <v>1515</v>
      </c>
      <c r="P2736">
        <v>20180928</v>
      </c>
      <c r="Q2736" t="s">
        <v>1799</v>
      </c>
      <c r="R2736" t="s">
        <v>1816</v>
      </c>
      <c r="S2736" t="s">
        <v>1615</v>
      </c>
      <c r="T2736" t="s">
        <v>1479</v>
      </c>
    </row>
    <row r="2737" spans="1:20" x14ac:dyDescent="0.25">
      <c r="A2737">
        <v>9</v>
      </c>
      <c r="B2737">
        <v>199</v>
      </c>
      <c r="C2737" t="str">
        <f t="shared" si="469"/>
        <v>11</v>
      </c>
      <c r="D2737">
        <v>6249</v>
      </c>
      <c r="E2737" t="str">
        <f>"57"</f>
        <v>57</v>
      </c>
      <c r="F2737" t="str">
        <f>"104"</f>
        <v>104</v>
      </c>
      <c r="G2737">
        <v>9</v>
      </c>
      <c r="H2737" t="str">
        <f>"11"</f>
        <v>11</v>
      </c>
      <c r="I2737" t="str">
        <f t="shared" si="468"/>
        <v>0</v>
      </c>
      <c r="J2737" t="str">
        <f>"80"</f>
        <v>80</v>
      </c>
      <c r="K2737">
        <v>20180928</v>
      </c>
      <c r="L2737" t="str">
        <f>"074067"</f>
        <v>074067</v>
      </c>
      <c r="M2737" t="str">
        <f>"28548"</f>
        <v>28548</v>
      </c>
      <c r="N2737" t="s">
        <v>1882</v>
      </c>
      <c r="O2737" s="1">
        <v>1515</v>
      </c>
      <c r="P2737">
        <v>20180928</v>
      </c>
      <c r="Q2737" t="s">
        <v>1800</v>
      </c>
      <c r="R2737" t="s">
        <v>1816</v>
      </c>
      <c r="S2737" t="s">
        <v>1615</v>
      </c>
      <c r="T2737" t="s">
        <v>46</v>
      </c>
    </row>
    <row r="2738" spans="1:20" x14ac:dyDescent="0.25">
      <c r="A2738">
        <v>9</v>
      </c>
      <c r="B2738">
        <v>199</v>
      </c>
      <c r="C2738" t="str">
        <f t="shared" si="469"/>
        <v>11</v>
      </c>
      <c r="D2738">
        <v>6412</v>
      </c>
      <c r="E2738" t="str">
        <f>"V8"</f>
        <v>V8</v>
      </c>
      <c r="F2738" t="str">
        <f>"001"</f>
        <v>001</v>
      </c>
      <c r="G2738">
        <v>9</v>
      </c>
      <c r="H2738" t="str">
        <f>"22"</f>
        <v>22</v>
      </c>
      <c r="I2738" t="str">
        <f t="shared" si="468"/>
        <v>0</v>
      </c>
      <c r="J2738" t="str">
        <f>"22"</f>
        <v>22</v>
      </c>
      <c r="K2738">
        <v>20180928</v>
      </c>
      <c r="L2738" t="str">
        <f>"074068"</f>
        <v>074068</v>
      </c>
      <c r="M2738" t="str">
        <f>"21049"</f>
        <v>21049</v>
      </c>
      <c r="N2738" t="s">
        <v>1883</v>
      </c>
      <c r="O2738">
        <v>100</v>
      </c>
      <c r="P2738">
        <v>20180928</v>
      </c>
      <c r="Q2738" t="s">
        <v>1884</v>
      </c>
      <c r="R2738" t="s">
        <v>1940</v>
      </c>
      <c r="S2738" t="s">
        <v>1615</v>
      </c>
      <c r="T2738" t="s">
        <v>301</v>
      </c>
    </row>
    <row r="2739" spans="1:20" x14ac:dyDescent="0.25">
      <c r="A2739">
        <v>9</v>
      </c>
      <c r="B2739">
        <v>199</v>
      </c>
      <c r="C2739" t="str">
        <f t="shared" si="469"/>
        <v>11</v>
      </c>
      <c r="D2739">
        <v>6412</v>
      </c>
      <c r="E2739" t="str">
        <f>"V8"</f>
        <v>V8</v>
      </c>
      <c r="F2739" t="str">
        <f>"001"</f>
        <v>001</v>
      </c>
      <c r="G2739">
        <v>9</v>
      </c>
      <c r="H2739" t="str">
        <f>"22"</f>
        <v>22</v>
      </c>
      <c r="I2739" t="str">
        <f t="shared" si="468"/>
        <v>0</v>
      </c>
      <c r="J2739" t="str">
        <f>"22"</f>
        <v>22</v>
      </c>
      <c r="K2739">
        <v>20180928</v>
      </c>
      <c r="L2739" t="str">
        <f>"074069"</f>
        <v>074069</v>
      </c>
      <c r="M2739" t="str">
        <f>"30744"</f>
        <v>30744</v>
      </c>
      <c r="N2739" t="s">
        <v>422</v>
      </c>
      <c r="O2739">
        <v>51.49</v>
      </c>
      <c r="P2739">
        <v>20180928</v>
      </c>
      <c r="Q2739" t="s">
        <v>1884</v>
      </c>
      <c r="R2739" t="s">
        <v>1941</v>
      </c>
      <c r="S2739" t="s">
        <v>1615</v>
      </c>
      <c r="T2739" t="s">
        <v>301</v>
      </c>
    </row>
    <row r="2740" spans="1:20" x14ac:dyDescent="0.25">
      <c r="A2740">
        <v>9</v>
      </c>
      <c r="B2740">
        <v>199</v>
      </c>
      <c r="C2740" t="str">
        <f>"36"</f>
        <v>36</v>
      </c>
      <c r="D2740">
        <v>6412</v>
      </c>
      <c r="E2740" t="str">
        <f>"7B"</f>
        <v>7B</v>
      </c>
      <c r="F2740" t="str">
        <f>"001"</f>
        <v>001</v>
      </c>
      <c r="G2740">
        <v>9</v>
      </c>
      <c r="H2740" t="str">
        <f>"99"</f>
        <v>99</v>
      </c>
      <c r="I2740" t="str">
        <f t="shared" si="468"/>
        <v>0</v>
      </c>
      <c r="J2740" t="str">
        <f>"32"</f>
        <v>32</v>
      </c>
      <c r="K2740">
        <v>20180928</v>
      </c>
      <c r="L2740" t="str">
        <f>"074069"</f>
        <v>074069</v>
      </c>
      <c r="M2740" t="str">
        <f>"30744"</f>
        <v>30744</v>
      </c>
      <c r="N2740" t="s">
        <v>422</v>
      </c>
      <c r="O2740">
        <v>41.01</v>
      </c>
      <c r="P2740">
        <v>20180928</v>
      </c>
      <c r="Q2740" t="s">
        <v>1658</v>
      </c>
      <c r="R2740" t="s">
        <v>1942</v>
      </c>
      <c r="S2740" t="s">
        <v>1615</v>
      </c>
      <c r="T2740" t="s">
        <v>301</v>
      </c>
    </row>
    <row r="2741" spans="1:20" x14ac:dyDescent="0.25">
      <c r="A2741">
        <v>9</v>
      </c>
      <c r="B2741">
        <v>199</v>
      </c>
      <c r="C2741" t="str">
        <f>"36"</f>
        <v>36</v>
      </c>
      <c r="D2741">
        <v>6412</v>
      </c>
      <c r="E2741" t="str">
        <f>"7B"</f>
        <v>7B</v>
      </c>
      <c r="F2741" t="str">
        <f>"001"</f>
        <v>001</v>
      </c>
      <c r="G2741">
        <v>9</v>
      </c>
      <c r="H2741" t="str">
        <f>"99"</f>
        <v>99</v>
      </c>
      <c r="I2741" t="str">
        <f t="shared" si="468"/>
        <v>0</v>
      </c>
      <c r="J2741" t="str">
        <f>"32"</f>
        <v>32</v>
      </c>
      <c r="K2741">
        <v>20180928</v>
      </c>
      <c r="L2741" t="str">
        <f>"074069"</f>
        <v>074069</v>
      </c>
      <c r="M2741" t="str">
        <f>"30744"</f>
        <v>30744</v>
      </c>
      <c r="N2741" t="s">
        <v>422</v>
      </c>
      <c r="O2741">
        <v>37.31</v>
      </c>
      <c r="P2741">
        <v>20180928</v>
      </c>
      <c r="Q2741" t="s">
        <v>1658</v>
      </c>
      <c r="R2741" t="s">
        <v>1942</v>
      </c>
      <c r="S2741" t="s">
        <v>1615</v>
      </c>
      <c r="T2741" t="s">
        <v>301</v>
      </c>
    </row>
    <row r="2742" spans="1:20" x14ac:dyDescent="0.25">
      <c r="A2742">
        <v>9</v>
      </c>
      <c r="B2742">
        <v>199</v>
      </c>
      <c r="C2742" t="str">
        <f>"11"</f>
        <v>11</v>
      </c>
      <c r="D2742">
        <v>6412</v>
      </c>
      <c r="E2742" t="str">
        <f>"S6"</f>
        <v>S6</v>
      </c>
      <c r="F2742" t="str">
        <f>"001"</f>
        <v>001</v>
      </c>
      <c r="G2742">
        <v>9</v>
      </c>
      <c r="H2742" t="str">
        <f>"23"</f>
        <v>23</v>
      </c>
      <c r="I2742" t="str">
        <f>"1"</f>
        <v>1</v>
      </c>
      <c r="J2742" t="str">
        <f>"23"</f>
        <v>23</v>
      </c>
      <c r="K2742">
        <v>20180928</v>
      </c>
      <c r="L2742" t="str">
        <f>"074070"</f>
        <v>074070</v>
      </c>
      <c r="M2742" t="str">
        <f>"31361"</f>
        <v>31361</v>
      </c>
      <c r="N2742" t="s">
        <v>1885</v>
      </c>
      <c r="O2742">
        <v>200</v>
      </c>
      <c r="P2742">
        <v>20180928</v>
      </c>
      <c r="Q2742" t="s">
        <v>1886</v>
      </c>
      <c r="R2742" t="s">
        <v>1943</v>
      </c>
      <c r="S2742" t="s">
        <v>1615</v>
      </c>
      <c r="T2742" t="s">
        <v>301</v>
      </c>
    </row>
    <row r="2743" spans="1:20" x14ac:dyDescent="0.25">
      <c r="A2743">
        <v>9</v>
      </c>
      <c r="B2743">
        <v>199</v>
      </c>
      <c r="C2743" t="str">
        <f>"11"</f>
        <v>11</v>
      </c>
      <c r="D2743">
        <v>6412</v>
      </c>
      <c r="E2743" t="str">
        <f>"S6"</f>
        <v>S6</v>
      </c>
      <c r="F2743" t="str">
        <f>"041"</f>
        <v>041</v>
      </c>
      <c r="G2743">
        <v>9</v>
      </c>
      <c r="H2743" t="str">
        <f>"23"</f>
        <v>23</v>
      </c>
      <c r="I2743" t="str">
        <f>"1"</f>
        <v>1</v>
      </c>
      <c r="J2743" t="str">
        <f>"23"</f>
        <v>23</v>
      </c>
      <c r="K2743">
        <v>20180928</v>
      </c>
      <c r="L2743" t="str">
        <f>"074070"</f>
        <v>074070</v>
      </c>
      <c r="M2743" t="str">
        <f>"31361"</f>
        <v>31361</v>
      </c>
      <c r="N2743" t="s">
        <v>1885</v>
      </c>
      <c r="O2743">
        <v>64</v>
      </c>
      <c r="P2743">
        <v>20180928</v>
      </c>
      <c r="Q2743" t="s">
        <v>1887</v>
      </c>
      <c r="R2743" t="s">
        <v>1943</v>
      </c>
      <c r="S2743" t="s">
        <v>1615</v>
      </c>
      <c r="T2743" t="s">
        <v>106</v>
      </c>
    </row>
    <row r="2744" spans="1:20" x14ac:dyDescent="0.25">
      <c r="A2744">
        <v>9</v>
      </c>
      <c r="B2744">
        <v>199</v>
      </c>
      <c r="C2744" t="str">
        <f>"11"</f>
        <v>11</v>
      </c>
      <c r="D2744">
        <v>6412</v>
      </c>
      <c r="E2744" t="str">
        <f>"S6"</f>
        <v>S6</v>
      </c>
      <c r="F2744" t="str">
        <f>"101"</f>
        <v>101</v>
      </c>
      <c r="G2744">
        <v>9</v>
      </c>
      <c r="H2744" t="str">
        <f>"23"</f>
        <v>23</v>
      </c>
      <c r="I2744" t="str">
        <f>"1"</f>
        <v>1</v>
      </c>
      <c r="J2744" t="str">
        <f>"23"</f>
        <v>23</v>
      </c>
      <c r="K2744">
        <v>20180928</v>
      </c>
      <c r="L2744" t="str">
        <f>"074070"</f>
        <v>074070</v>
      </c>
      <c r="M2744" t="str">
        <f>"31361"</f>
        <v>31361</v>
      </c>
      <c r="N2744" t="s">
        <v>1885</v>
      </c>
      <c r="O2744">
        <v>64</v>
      </c>
      <c r="P2744">
        <v>20180928</v>
      </c>
      <c r="Q2744" t="s">
        <v>1888</v>
      </c>
      <c r="R2744" t="s">
        <v>1943</v>
      </c>
      <c r="S2744" t="s">
        <v>1615</v>
      </c>
      <c r="T2744" t="s">
        <v>1479</v>
      </c>
    </row>
    <row r="2745" spans="1:20" x14ac:dyDescent="0.25">
      <c r="A2745">
        <v>9</v>
      </c>
      <c r="B2745">
        <v>199</v>
      </c>
      <c r="C2745" t="str">
        <f>"11"</f>
        <v>11</v>
      </c>
      <c r="D2745">
        <v>6412</v>
      </c>
      <c r="E2745" t="str">
        <f>"S6"</f>
        <v>S6</v>
      </c>
      <c r="F2745" t="str">
        <f>"104"</f>
        <v>104</v>
      </c>
      <c r="G2745">
        <v>9</v>
      </c>
      <c r="H2745" t="str">
        <f>"23"</f>
        <v>23</v>
      </c>
      <c r="I2745" t="str">
        <f>"0"</f>
        <v>0</v>
      </c>
      <c r="J2745" t="str">
        <f>"23"</f>
        <v>23</v>
      </c>
      <c r="K2745">
        <v>20180928</v>
      </c>
      <c r="L2745" t="str">
        <f>"074070"</f>
        <v>074070</v>
      </c>
      <c r="M2745" t="str">
        <f>"31361"</f>
        <v>31361</v>
      </c>
      <c r="N2745" t="s">
        <v>1885</v>
      </c>
      <c r="O2745">
        <v>64</v>
      </c>
      <c r="P2745">
        <v>20180928</v>
      </c>
      <c r="Q2745" t="s">
        <v>1889</v>
      </c>
      <c r="R2745" t="s">
        <v>1943</v>
      </c>
      <c r="S2745" t="s">
        <v>1615</v>
      </c>
      <c r="T2745" t="s">
        <v>46</v>
      </c>
    </row>
    <row r="2746" spans="1:20" x14ac:dyDescent="0.25">
      <c r="A2746">
        <v>9</v>
      </c>
      <c r="B2746">
        <v>199</v>
      </c>
      <c r="C2746" t="str">
        <f>"36"</f>
        <v>36</v>
      </c>
      <c r="D2746">
        <v>6411</v>
      </c>
      <c r="E2746" t="str">
        <f>"7C"</f>
        <v>7C</v>
      </c>
      <c r="F2746" t="str">
        <f t="shared" ref="F2746:F2752" si="470">"001"</f>
        <v>001</v>
      </c>
      <c r="G2746">
        <v>9</v>
      </c>
      <c r="H2746" t="str">
        <f>"99"</f>
        <v>99</v>
      </c>
      <c r="I2746" t="str">
        <f>"1"</f>
        <v>1</v>
      </c>
      <c r="J2746" t="str">
        <f>"01"</f>
        <v>01</v>
      </c>
      <c r="K2746">
        <v>20180928</v>
      </c>
      <c r="L2746" t="str">
        <f>"074072"</f>
        <v>074072</v>
      </c>
      <c r="M2746" t="str">
        <f>"34670"</f>
        <v>34670</v>
      </c>
      <c r="N2746" t="s">
        <v>1731</v>
      </c>
      <c r="O2746">
        <v>8.33</v>
      </c>
      <c r="P2746">
        <v>20180928</v>
      </c>
      <c r="Q2746" t="s">
        <v>1732</v>
      </c>
      <c r="R2746" t="s">
        <v>1944</v>
      </c>
      <c r="S2746" t="s">
        <v>1615</v>
      </c>
      <c r="T2746" t="s">
        <v>301</v>
      </c>
    </row>
    <row r="2747" spans="1:20" x14ac:dyDescent="0.25">
      <c r="A2747">
        <v>9</v>
      </c>
      <c r="B2747">
        <v>199</v>
      </c>
      <c r="C2747" t="str">
        <f>"36"</f>
        <v>36</v>
      </c>
      <c r="D2747">
        <v>6412</v>
      </c>
      <c r="E2747" t="str">
        <f>"7C"</f>
        <v>7C</v>
      </c>
      <c r="F2747" t="str">
        <f t="shared" si="470"/>
        <v>001</v>
      </c>
      <c r="G2747">
        <v>9</v>
      </c>
      <c r="H2747" t="str">
        <f>"99"</f>
        <v>99</v>
      </c>
      <c r="I2747" t="str">
        <f>"0"</f>
        <v>0</v>
      </c>
      <c r="J2747" t="str">
        <f>"01"</f>
        <v>01</v>
      </c>
      <c r="K2747">
        <v>20180928</v>
      </c>
      <c r="L2747" t="str">
        <f>"074072"</f>
        <v>074072</v>
      </c>
      <c r="M2747" t="str">
        <f>"34670"</f>
        <v>34670</v>
      </c>
      <c r="N2747" t="s">
        <v>1731</v>
      </c>
      <c r="O2747">
        <v>70</v>
      </c>
      <c r="P2747">
        <v>20180928</v>
      </c>
      <c r="Q2747" t="s">
        <v>1734</v>
      </c>
      <c r="R2747" t="s">
        <v>1944</v>
      </c>
      <c r="S2747" t="s">
        <v>1615</v>
      </c>
      <c r="T2747" t="s">
        <v>301</v>
      </c>
    </row>
    <row r="2748" spans="1:20" x14ac:dyDescent="0.25">
      <c r="A2748">
        <v>9</v>
      </c>
      <c r="B2748">
        <v>199</v>
      </c>
      <c r="C2748" t="str">
        <f>"11"</f>
        <v>11</v>
      </c>
      <c r="D2748">
        <v>6412</v>
      </c>
      <c r="E2748" t="str">
        <f>"VL"</f>
        <v>VL</v>
      </c>
      <c r="F2748" t="str">
        <f t="shared" si="470"/>
        <v>001</v>
      </c>
      <c r="G2748">
        <v>9</v>
      </c>
      <c r="H2748" t="str">
        <f>"22"</f>
        <v>22</v>
      </c>
      <c r="I2748" t="str">
        <f>"0"</f>
        <v>0</v>
      </c>
      <c r="J2748" t="str">
        <f>"22"</f>
        <v>22</v>
      </c>
      <c r="K2748">
        <v>20180928</v>
      </c>
      <c r="L2748" t="str">
        <f>"074073"</f>
        <v>074073</v>
      </c>
      <c r="M2748" t="str">
        <f>"42212"</f>
        <v>42212</v>
      </c>
      <c r="N2748" t="s">
        <v>1892</v>
      </c>
      <c r="O2748">
        <v>72</v>
      </c>
      <c r="P2748">
        <v>20180928</v>
      </c>
      <c r="Q2748" t="s">
        <v>1878</v>
      </c>
      <c r="R2748" t="s">
        <v>1939</v>
      </c>
      <c r="S2748" t="s">
        <v>1615</v>
      </c>
      <c r="T2748" t="s">
        <v>301</v>
      </c>
    </row>
    <row r="2749" spans="1:20" x14ac:dyDescent="0.25">
      <c r="A2749">
        <v>9</v>
      </c>
      <c r="B2749">
        <v>199</v>
      </c>
      <c r="C2749" t="str">
        <f>"36"</f>
        <v>36</v>
      </c>
      <c r="D2749">
        <v>6411</v>
      </c>
      <c r="E2749" t="str">
        <f>"VL"</f>
        <v>VL</v>
      </c>
      <c r="F2749" t="str">
        <f t="shared" si="470"/>
        <v>001</v>
      </c>
      <c r="G2749">
        <v>9</v>
      </c>
      <c r="H2749" t="str">
        <f>"22"</f>
        <v>22</v>
      </c>
      <c r="I2749" t="str">
        <f>"0"</f>
        <v>0</v>
      </c>
      <c r="J2749" t="str">
        <f>"22"</f>
        <v>22</v>
      </c>
      <c r="K2749">
        <v>20180928</v>
      </c>
      <c r="L2749" t="str">
        <f>"074073"</f>
        <v>074073</v>
      </c>
      <c r="M2749" t="str">
        <f>"42212"</f>
        <v>42212</v>
      </c>
      <c r="N2749" t="s">
        <v>1892</v>
      </c>
      <c r="O2749">
        <v>10</v>
      </c>
      <c r="P2749">
        <v>20180928</v>
      </c>
      <c r="Q2749" t="s">
        <v>1879</v>
      </c>
      <c r="R2749" t="s">
        <v>1939</v>
      </c>
      <c r="S2749" t="s">
        <v>1615</v>
      </c>
      <c r="T2749" t="s">
        <v>301</v>
      </c>
    </row>
    <row r="2750" spans="1:20" x14ac:dyDescent="0.25">
      <c r="A2750">
        <v>9</v>
      </c>
      <c r="B2750">
        <v>199</v>
      </c>
      <c r="C2750" t="str">
        <f>"12"</f>
        <v>12</v>
      </c>
      <c r="D2750">
        <v>6328</v>
      </c>
      <c r="E2750" t="str">
        <f>"7U"</f>
        <v>7U</v>
      </c>
      <c r="F2750" t="str">
        <f t="shared" si="470"/>
        <v>001</v>
      </c>
      <c r="G2750">
        <v>9</v>
      </c>
      <c r="H2750" t="str">
        <f>"11"</f>
        <v>11</v>
      </c>
      <c r="I2750" t="str">
        <f>"0"</f>
        <v>0</v>
      </c>
      <c r="J2750" t="str">
        <f>"01"</f>
        <v>01</v>
      </c>
      <c r="K2750">
        <v>20180928</v>
      </c>
      <c r="L2750" t="str">
        <f>"074074"</f>
        <v>074074</v>
      </c>
      <c r="M2750" t="str">
        <f>"45694"</f>
        <v>45694</v>
      </c>
      <c r="N2750" t="s">
        <v>1893</v>
      </c>
      <c r="O2750" s="1">
        <v>1897.38</v>
      </c>
      <c r="P2750">
        <v>20180928</v>
      </c>
      <c r="Q2750" t="s">
        <v>1894</v>
      </c>
      <c r="R2750" t="s">
        <v>1945</v>
      </c>
      <c r="S2750" t="s">
        <v>1615</v>
      </c>
      <c r="T2750" t="s">
        <v>301</v>
      </c>
    </row>
    <row r="2751" spans="1:20" x14ac:dyDescent="0.25">
      <c r="A2751">
        <v>9</v>
      </c>
      <c r="B2751">
        <v>199</v>
      </c>
      <c r="C2751" t="str">
        <f>"36"</f>
        <v>36</v>
      </c>
      <c r="D2751">
        <v>6411</v>
      </c>
      <c r="E2751" t="str">
        <f>"8S"</f>
        <v>8S</v>
      </c>
      <c r="F2751" t="str">
        <f t="shared" si="470"/>
        <v>001</v>
      </c>
      <c r="G2751">
        <v>9</v>
      </c>
      <c r="H2751" t="str">
        <f>"99"</f>
        <v>99</v>
      </c>
      <c r="I2751" t="str">
        <f>"1"</f>
        <v>1</v>
      </c>
      <c r="J2751" t="str">
        <f>"01"</f>
        <v>01</v>
      </c>
      <c r="K2751">
        <v>20180928</v>
      </c>
      <c r="L2751" t="str">
        <f>"074075"</f>
        <v>074075</v>
      </c>
      <c r="M2751" t="str">
        <f>"46348"</f>
        <v>46348</v>
      </c>
      <c r="N2751" t="s">
        <v>1631</v>
      </c>
      <c r="O2751">
        <v>50</v>
      </c>
      <c r="P2751">
        <v>20180928</v>
      </c>
      <c r="Q2751" t="s">
        <v>1632</v>
      </c>
      <c r="R2751" t="s">
        <v>1946</v>
      </c>
      <c r="S2751" t="s">
        <v>1615</v>
      </c>
      <c r="T2751" t="s">
        <v>301</v>
      </c>
    </row>
    <row r="2752" spans="1:20" x14ac:dyDescent="0.25">
      <c r="A2752">
        <v>9</v>
      </c>
      <c r="B2752">
        <v>199</v>
      </c>
      <c r="C2752" t="str">
        <f>"36"</f>
        <v>36</v>
      </c>
      <c r="D2752">
        <v>6412</v>
      </c>
      <c r="E2752" t="str">
        <f>"8S"</f>
        <v>8S</v>
      </c>
      <c r="F2752" t="str">
        <f t="shared" si="470"/>
        <v>001</v>
      </c>
      <c r="G2752">
        <v>9</v>
      </c>
      <c r="H2752" t="str">
        <f>"99"</f>
        <v>99</v>
      </c>
      <c r="I2752" t="str">
        <f>"1"</f>
        <v>1</v>
      </c>
      <c r="J2752" t="str">
        <f>"01"</f>
        <v>01</v>
      </c>
      <c r="K2752">
        <v>20180928</v>
      </c>
      <c r="L2752" t="str">
        <f>"074075"</f>
        <v>074075</v>
      </c>
      <c r="M2752" t="str">
        <f>"46348"</f>
        <v>46348</v>
      </c>
      <c r="N2752" t="s">
        <v>1631</v>
      </c>
      <c r="O2752">
        <v>525</v>
      </c>
      <c r="P2752">
        <v>20180928</v>
      </c>
      <c r="Q2752" t="s">
        <v>1634</v>
      </c>
      <c r="R2752" t="s">
        <v>1946</v>
      </c>
      <c r="S2752" t="s">
        <v>1615</v>
      </c>
      <c r="T2752" t="s">
        <v>301</v>
      </c>
    </row>
    <row r="2753" spans="1:20" x14ac:dyDescent="0.25">
      <c r="A2753">
        <v>9</v>
      </c>
      <c r="B2753">
        <v>199</v>
      </c>
      <c r="C2753" t="str">
        <f>"11"</f>
        <v>11</v>
      </c>
      <c r="D2753">
        <v>6399</v>
      </c>
      <c r="E2753" t="str">
        <f>"7M"</f>
        <v>7M</v>
      </c>
      <c r="F2753" t="str">
        <f>"041"</f>
        <v>041</v>
      </c>
      <c r="G2753">
        <v>9</v>
      </c>
      <c r="H2753" t="str">
        <f>"11"</f>
        <v>11</v>
      </c>
      <c r="I2753" t="str">
        <f t="shared" ref="I2753:I2794" si="471">"0"</f>
        <v>0</v>
      </c>
      <c r="J2753" t="str">
        <f>"36"</f>
        <v>36</v>
      </c>
      <c r="K2753">
        <v>20180928</v>
      </c>
      <c r="L2753" t="str">
        <f>"074076"</f>
        <v>074076</v>
      </c>
      <c r="M2753" t="str">
        <f>"00192"</f>
        <v>00192</v>
      </c>
      <c r="N2753" t="s">
        <v>1897</v>
      </c>
      <c r="O2753">
        <v>246</v>
      </c>
      <c r="P2753">
        <v>20180928</v>
      </c>
      <c r="Q2753" t="s">
        <v>1898</v>
      </c>
      <c r="R2753" t="s">
        <v>1947</v>
      </c>
      <c r="S2753" t="s">
        <v>1615</v>
      </c>
      <c r="T2753" t="s">
        <v>106</v>
      </c>
    </row>
    <row r="2754" spans="1:20" x14ac:dyDescent="0.25">
      <c r="A2754">
        <v>9</v>
      </c>
      <c r="B2754">
        <v>199</v>
      </c>
      <c r="C2754" t="str">
        <f>"11"</f>
        <v>11</v>
      </c>
      <c r="D2754">
        <v>6649</v>
      </c>
      <c r="E2754" t="str">
        <f>"7M"</f>
        <v>7M</v>
      </c>
      <c r="F2754" t="str">
        <f>"041"</f>
        <v>041</v>
      </c>
      <c r="G2754">
        <v>9</v>
      </c>
      <c r="H2754" t="str">
        <f>"11"</f>
        <v>11</v>
      </c>
      <c r="I2754" t="str">
        <f t="shared" si="471"/>
        <v>0</v>
      </c>
      <c r="J2754" t="str">
        <f>"36"</f>
        <v>36</v>
      </c>
      <c r="K2754">
        <v>20180928</v>
      </c>
      <c r="L2754" t="str">
        <f>"074076"</f>
        <v>074076</v>
      </c>
      <c r="M2754" t="str">
        <f>"00192"</f>
        <v>00192</v>
      </c>
      <c r="N2754" t="s">
        <v>1897</v>
      </c>
      <c r="O2754" s="1">
        <v>2054.85</v>
      </c>
      <c r="P2754">
        <v>20180928</v>
      </c>
      <c r="Q2754" t="s">
        <v>1899</v>
      </c>
      <c r="R2754" t="s">
        <v>1948</v>
      </c>
      <c r="S2754" t="s">
        <v>1615</v>
      </c>
      <c r="T2754" t="s">
        <v>106</v>
      </c>
    </row>
    <row r="2755" spans="1:20" x14ac:dyDescent="0.25">
      <c r="A2755">
        <v>9</v>
      </c>
      <c r="B2755">
        <v>199</v>
      </c>
      <c r="C2755" t="str">
        <f>"53"</f>
        <v>53</v>
      </c>
      <c r="D2755">
        <v>6411</v>
      </c>
      <c r="E2755" t="str">
        <f>"10"</f>
        <v>10</v>
      </c>
      <c r="F2755" t="str">
        <f>"880"</f>
        <v>880</v>
      </c>
      <c r="G2755">
        <v>9</v>
      </c>
      <c r="H2755" t="str">
        <f>"99"</f>
        <v>99</v>
      </c>
      <c r="I2755" t="str">
        <f t="shared" si="471"/>
        <v>0</v>
      </c>
      <c r="J2755" t="str">
        <f>"80"</f>
        <v>80</v>
      </c>
      <c r="K2755">
        <v>20180928</v>
      </c>
      <c r="L2755" t="str">
        <f>"074077"</f>
        <v>074077</v>
      </c>
      <c r="M2755" t="str">
        <f>"53084"</f>
        <v>53084</v>
      </c>
      <c r="N2755" t="s">
        <v>1900</v>
      </c>
      <c r="O2755">
        <v>14.6</v>
      </c>
      <c r="P2755">
        <v>20180928</v>
      </c>
      <c r="Q2755" t="s">
        <v>1901</v>
      </c>
      <c r="R2755" t="s">
        <v>1949</v>
      </c>
      <c r="S2755" t="s">
        <v>1615</v>
      </c>
      <c r="T2755" t="s">
        <v>1866</v>
      </c>
    </row>
    <row r="2756" spans="1:20" x14ac:dyDescent="0.25">
      <c r="A2756">
        <v>9</v>
      </c>
      <c r="B2756">
        <v>199</v>
      </c>
      <c r="C2756" t="str">
        <f>"36"</f>
        <v>36</v>
      </c>
      <c r="D2756">
        <v>6269</v>
      </c>
      <c r="E2756" t="str">
        <f>"7B"</f>
        <v>7B</v>
      </c>
      <c r="F2756" t="str">
        <f>"001"</f>
        <v>001</v>
      </c>
      <c r="G2756">
        <v>9</v>
      </c>
      <c r="H2756" t="str">
        <f>"99"</f>
        <v>99</v>
      </c>
      <c r="I2756" t="str">
        <f t="shared" si="471"/>
        <v>0</v>
      </c>
      <c r="J2756" t="str">
        <f>"32"</f>
        <v>32</v>
      </c>
      <c r="K2756">
        <v>20180928</v>
      </c>
      <c r="L2756" t="str">
        <f>"074078"</f>
        <v>074078</v>
      </c>
      <c r="M2756" t="str">
        <f>"57697"</f>
        <v>57697</v>
      </c>
      <c r="N2756" t="s">
        <v>1902</v>
      </c>
      <c r="O2756">
        <v>180.26</v>
      </c>
      <c r="P2756">
        <v>20180928</v>
      </c>
      <c r="Q2756" t="s">
        <v>1903</v>
      </c>
      <c r="R2756" t="s">
        <v>1942</v>
      </c>
      <c r="S2756" t="s">
        <v>1615</v>
      </c>
      <c r="T2756" t="s">
        <v>301</v>
      </c>
    </row>
    <row r="2757" spans="1:20" x14ac:dyDescent="0.25">
      <c r="A2757">
        <v>9</v>
      </c>
      <c r="B2757">
        <v>199</v>
      </c>
      <c r="C2757" t="str">
        <f>"36"</f>
        <v>36</v>
      </c>
      <c r="D2757">
        <v>6269</v>
      </c>
      <c r="E2757" t="str">
        <f>"7B"</f>
        <v>7B</v>
      </c>
      <c r="F2757" t="str">
        <f>"001"</f>
        <v>001</v>
      </c>
      <c r="G2757">
        <v>9</v>
      </c>
      <c r="H2757" t="str">
        <f>"99"</f>
        <v>99</v>
      </c>
      <c r="I2757" t="str">
        <f t="shared" si="471"/>
        <v>0</v>
      </c>
      <c r="J2757" t="str">
        <f>"32"</f>
        <v>32</v>
      </c>
      <c r="K2757">
        <v>20180928</v>
      </c>
      <c r="L2757" t="str">
        <f>"074078"</f>
        <v>074078</v>
      </c>
      <c r="M2757" t="str">
        <f>"57697"</f>
        <v>57697</v>
      </c>
      <c r="N2757" t="s">
        <v>1902</v>
      </c>
      <c r="O2757">
        <v>144.44</v>
      </c>
      <c r="P2757">
        <v>20180928</v>
      </c>
      <c r="Q2757" t="s">
        <v>1903</v>
      </c>
      <c r="R2757" t="s">
        <v>1942</v>
      </c>
      <c r="S2757" t="s">
        <v>1615</v>
      </c>
      <c r="T2757" t="s">
        <v>301</v>
      </c>
    </row>
    <row r="2758" spans="1:20" x14ac:dyDescent="0.25">
      <c r="A2758">
        <v>9</v>
      </c>
      <c r="B2758">
        <v>199</v>
      </c>
      <c r="C2758" t="str">
        <f>"36"</f>
        <v>36</v>
      </c>
      <c r="D2758">
        <v>6412</v>
      </c>
      <c r="E2758" t="str">
        <f>"8S"</f>
        <v>8S</v>
      </c>
      <c r="F2758" t="str">
        <f>"001"</f>
        <v>001</v>
      </c>
      <c r="G2758">
        <v>9</v>
      </c>
      <c r="H2758" t="str">
        <f>"99"</f>
        <v>99</v>
      </c>
      <c r="I2758" t="str">
        <f t="shared" si="471"/>
        <v>0</v>
      </c>
      <c r="J2758" t="str">
        <f>"01"</f>
        <v>01</v>
      </c>
      <c r="K2758">
        <v>20180928</v>
      </c>
      <c r="L2758" t="str">
        <f>"074079"</f>
        <v>074079</v>
      </c>
      <c r="M2758" t="str">
        <f>"00578"</f>
        <v>00578</v>
      </c>
      <c r="N2758" t="s">
        <v>1950</v>
      </c>
      <c r="O2758" s="1">
        <v>1570</v>
      </c>
      <c r="P2758">
        <v>20180928</v>
      </c>
      <c r="Q2758" t="s">
        <v>1625</v>
      </c>
      <c r="R2758" t="s">
        <v>1946</v>
      </c>
      <c r="S2758" t="s">
        <v>1615</v>
      </c>
      <c r="T2758" t="s">
        <v>301</v>
      </c>
    </row>
    <row r="2759" spans="1:20" x14ac:dyDescent="0.25">
      <c r="A2759">
        <v>9</v>
      </c>
      <c r="B2759">
        <v>199</v>
      </c>
      <c r="C2759" t="str">
        <f>"00"</f>
        <v>00</v>
      </c>
      <c r="D2759">
        <v>2183</v>
      </c>
      <c r="E2759" t="str">
        <f>"00"</f>
        <v>00</v>
      </c>
      <c r="F2759" t="str">
        <f>"000"</f>
        <v>000</v>
      </c>
      <c r="G2759">
        <v>9</v>
      </c>
      <c r="H2759" t="str">
        <f>"00"</f>
        <v>00</v>
      </c>
      <c r="I2759" t="str">
        <f t="shared" si="471"/>
        <v>0</v>
      </c>
      <c r="J2759" t="str">
        <f>"00"</f>
        <v>00</v>
      </c>
      <c r="K2759">
        <v>20180928</v>
      </c>
      <c r="L2759" t="str">
        <f>"074082"</f>
        <v>074082</v>
      </c>
      <c r="M2759" t="str">
        <f>"00561"</f>
        <v>00561</v>
      </c>
      <c r="N2759" t="s">
        <v>1922</v>
      </c>
      <c r="O2759" s="1">
        <v>1800</v>
      </c>
      <c r="P2759">
        <v>20180928</v>
      </c>
      <c r="Q2759" t="s">
        <v>1923</v>
      </c>
      <c r="R2759" t="s">
        <v>1951</v>
      </c>
      <c r="S2759" t="s">
        <v>1615</v>
      </c>
      <c r="T2759" t="s">
        <v>296</v>
      </c>
    </row>
    <row r="2760" spans="1:20" x14ac:dyDescent="0.25">
      <c r="A2760">
        <v>9</v>
      </c>
      <c r="B2760">
        <v>199</v>
      </c>
      <c r="C2760" t="str">
        <f>"41"</f>
        <v>41</v>
      </c>
      <c r="D2760">
        <v>6495</v>
      </c>
      <c r="E2760" t="str">
        <f>"10"</f>
        <v>10</v>
      </c>
      <c r="F2760" t="str">
        <f>"702"</f>
        <v>702</v>
      </c>
      <c r="G2760">
        <v>9</v>
      </c>
      <c r="H2760" t="str">
        <f>"99"</f>
        <v>99</v>
      </c>
      <c r="I2760" t="str">
        <f t="shared" si="471"/>
        <v>0</v>
      </c>
      <c r="J2760" t="str">
        <f>"93"</f>
        <v>93</v>
      </c>
      <c r="K2760">
        <v>20180928</v>
      </c>
      <c r="L2760" t="str">
        <f>"074083"</f>
        <v>074083</v>
      </c>
      <c r="M2760" t="str">
        <f>"74385"</f>
        <v>74385</v>
      </c>
      <c r="N2760" t="s">
        <v>1812</v>
      </c>
      <c r="O2760" s="1">
        <v>1100</v>
      </c>
      <c r="P2760">
        <v>20180928</v>
      </c>
      <c r="Q2760" t="s">
        <v>1813</v>
      </c>
      <c r="R2760" t="s">
        <v>1952</v>
      </c>
      <c r="S2760" t="s">
        <v>1615</v>
      </c>
      <c r="T2760" t="s">
        <v>1611</v>
      </c>
    </row>
    <row r="2761" spans="1:20" x14ac:dyDescent="0.25">
      <c r="A2761">
        <v>9</v>
      </c>
      <c r="B2761">
        <v>199</v>
      </c>
      <c r="C2761" t="str">
        <f>"41"</f>
        <v>41</v>
      </c>
      <c r="D2761">
        <v>6495</v>
      </c>
      <c r="E2761" t="str">
        <f>"10"</f>
        <v>10</v>
      </c>
      <c r="F2761" t="str">
        <f>"702"</f>
        <v>702</v>
      </c>
      <c r="G2761">
        <v>9</v>
      </c>
      <c r="H2761" t="str">
        <f>"99"</f>
        <v>99</v>
      </c>
      <c r="I2761" t="str">
        <f t="shared" si="471"/>
        <v>0</v>
      </c>
      <c r="J2761" t="str">
        <f>"93"</f>
        <v>93</v>
      </c>
      <c r="K2761">
        <v>20180928</v>
      </c>
      <c r="L2761" t="str">
        <f>"074083"</f>
        <v>074083</v>
      </c>
      <c r="M2761" t="str">
        <f>"74385"</f>
        <v>74385</v>
      </c>
      <c r="N2761" t="s">
        <v>1812</v>
      </c>
      <c r="O2761" s="1">
        <v>1025</v>
      </c>
      <c r="P2761">
        <v>20180928</v>
      </c>
      <c r="Q2761" t="s">
        <v>1813</v>
      </c>
      <c r="R2761" t="s">
        <v>1953</v>
      </c>
      <c r="S2761" t="s">
        <v>1615</v>
      </c>
      <c r="T2761" t="s">
        <v>1611</v>
      </c>
    </row>
    <row r="2762" spans="1:20" x14ac:dyDescent="0.25">
      <c r="A2762">
        <v>9</v>
      </c>
      <c r="B2762">
        <v>199</v>
      </c>
      <c r="C2762" t="str">
        <f>"11"</f>
        <v>11</v>
      </c>
      <c r="D2762">
        <v>6495</v>
      </c>
      <c r="E2762" t="str">
        <f>"VD"</f>
        <v>VD</v>
      </c>
      <c r="F2762" t="str">
        <f>"001"</f>
        <v>001</v>
      </c>
      <c r="G2762">
        <v>9</v>
      </c>
      <c r="H2762" t="str">
        <f>"22"</f>
        <v>22</v>
      </c>
      <c r="I2762" t="str">
        <f t="shared" si="471"/>
        <v>0</v>
      </c>
      <c r="J2762" t="str">
        <f>"22"</f>
        <v>22</v>
      </c>
      <c r="K2762">
        <v>20180928</v>
      </c>
      <c r="L2762" t="str">
        <f>"074084"</f>
        <v>074084</v>
      </c>
      <c r="M2762" t="str">
        <f>"45162"</f>
        <v>45162</v>
      </c>
      <c r="N2762" t="s">
        <v>1925</v>
      </c>
      <c r="O2762">
        <v>770</v>
      </c>
      <c r="P2762">
        <v>20180928</v>
      </c>
      <c r="Q2762" t="s">
        <v>1926</v>
      </c>
      <c r="R2762" t="s">
        <v>1662</v>
      </c>
      <c r="S2762" t="s">
        <v>1615</v>
      </c>
      <c r="T2762" t="s">
        <v>301</v>
      </c>
    </row>
    <row r="2763" spans="1:20" x14ac:dyDescent="0.25">
      <c r="A2763">
        <v>9</v>
      </c>
      <c r="B2763">
        <v>199</v>
      </c>
      <c r="C2763" t="str">
        <f>"52"</f>
        <v>52</v>
      </c>
      <c r="D2763">
        <v>6219</v>
      </c>
      <c r="E2763" t="str">
        <f>"00"</f>
        <v>00</v>
      </c>
      <c r="F2763" t="str">
        <f>"101"</f>
        <v>101</v>
      </c>
      <c r="G2763">
        <v>9</v>
      </c>
      <c r="H2763" t="str">
        <f>"99"</f>
        <v>99</v>
      </c>
      <c r="I2763" t="str">
        <f t="shared" si="471"/>
        <v>0</v>
      </c>
      <c r="J2763" t="str">
        <f>"00"</f>
        <v>00</v>
      </c>
      <c r="K2763">
        <v>20180928</v>
      </c>
      <c r="L2763" t="str">
        <f>"074087"</f>
        <v>074087</v>
      </c>
      <c r="M2763" t="str">
        <f>"00242"</f>
        <v>00242</v>
      </c>
      <c r="N2763" t="s">
        <v>1669</v>
      </c>
      <c r="O2763">
        <v>300</v>
      </c>
      <c r="P2763">
        <v>20180928</v>
      </c>
      <c r="Q2763" t="s">
        <v>1854</v>
      </c>
      <c r="R2763" t="s">
        <v>1954</v>
      </c>
      <c r="S2763" t="s">
        <v>1615</v>
      </c>
      <c r="T2763" t="s">
        <v>1479</v>
      </c>
    </row>
    <row r="2764" spans="1:20" x14ac:dyDescent="0.25">
      <c r="A2764">
        <v>9</v>
      </c>
      <c r="B2764">
        <v>199</v>
      </c>
      <c r="C2764" t="str">
        <f>"23"</f>
        <v>23</v>
      </c>
      <c r="D2764">
        <v>6399</v>
      </c>
      <c r="E2764" t="str">
        <f>"11"</f>
        <v>11</v>
      </c>
      <c r="F2764" t="str">
        <f>"041"</f>
        <v>041</v>
      </c>
      <c r="G2764">
        <v>9</v>
      </c>
      <c r="H2764" t="str">
        <f>"99"</f>
        <v>99</v>
      </c>
      <c r="I2764" t="str">
        <f t="shared" si="471"/>
        <v>0</v>
      </c>
      <c r="J2764" t="str">
        <f>"03"</f>
        <v>03</v>
      </c>
      <c r="K2764">
        <v>20181005</v>
      </c>
      <c r="L2764" t="str">
        <f>"074088"</f>
        <v>074088</v>
      </c>
      <c r="M2764" t="str">
        <f>"03710"</f>
        <v>03710</v>
      </c>
      <c r="N2764" t="s">
        <v>1385</v>
      </c>
      <c r="O2764">
        <v>85.04</v>
      </c>
      <c r="P2764">
        <v>20181003</v>
      </c>
      <c r="Q2764" t="s">
        <v>1955</v>
      </c>
      <c r="R2764" t="s">
        <v>1956</v>
      </c>
      <c r="S2764" t="s">
        <v>1615</v>
      </c>
      <c r="T2764" t="s">
        <v>106</v>
      </c>
    </row>
    <row r="2765" spans="1:20" x14ac:dyDescent="0.25">
      <c r="A2765">
        <v>9</v>
      </c>
      <c r="B2765">
        <v>199</v>
      </c>
      <c r="C2765" t="str">
        <f>"23"</f>
        <v>23</v>
      </c>
      <c r="D2765">
        <v>6399</v>
      </c>
      <c r="E2765" t="str">
        <f>"11"</f>
        <v>11</v>
      </c>
      <c r="F2765" t="str">
        <f>"041"</f>
        <v>041</v>
      </c>
      <c r="G2765">
        <v>9</v>
      </c>
      <c r="H2765" t="str">
        <f>"99"</f>
        <v>99</v>
      </c>
      <c r="I2765" t="str">
        <f t="shared" si="471"/>
        <v>0</v>
      </c>
      <c r="J2765" t="str">
        <f>"03"</f>
        <v>03</v>
      </c>
      <c r="K2765">
        <v>20181005</v>
      </c>
      <c r="L2765" t="str">
        <f>"074088"</f>
        <v>074088</v>
      </c>
      <c r="M2765" t="str">
        <f>"03710"</f>
        <v>03710</v>
      </c>
      <c r="N2765" t="s">
        <v>1385</v>
      </c>
      <c r="O2765">
        <v>37.28</v>
      </c>
      <c r="P2765">
        <v>20181003</v>
      </c>
      <c r="Q2765" t="s">
        <v>1955</v>
      </c>
      <c r="R2765" t="s">
        <v>1957</v>
      </c>
      <c r="S2765" t="s">
        <v>1615</v>
      </c>
      <c r="T2765" t="s">
        <v>106</v>
      </c>
    </row>
    <row r="2766" spans="1:20" x14ac:dyDescent="0.25">
      <c r="A2766">
        <v>9</v>
      </c>
      <c r="B2766">
        <v>199</v>
      </c>
      <c r="C2766" t="str">
        <f>"00"</f>
        <v>00</v>
      </c>
      <c r="D2766">
        <v>2110</v>
      </c>
      <c r="E2766" t="str">
        <f>"18"</f>
        <v>18</v>
      </c>
      <c r="F2766" t="str">
        <f>"000"</f>
        <v>000</v>
      </c>
      <c r="G2766">
        <v>9</v>
      </c>
      <c r="H2766" t="str">
        <f>"00"</f>
        <v>00</v>
      </c>
      <c r="I2766" t="str">
        <f t="shared" si="471"/>
        <v>0</v>
      </c>
      <c r="J2766" t="str">
        <f>"00"</f>
        <v>00</v>
      </c>
      <c r="K2766">
        <v>20181005</v>
      </c>
      <c r="L2766" t="str">
        <f>"074089"</f>
        <v>074089</v>
      </c>
      <c r="M2766" t="str">
        <f>"00280"</f>
        <v>00280</v>
      </c>
      <c r="N2766" t="s">
        <v>1857</v>
      </c>
      <c r="O2766" s="1">
        <v>1142.2</v>
      </c>
      <c r="P2766">
        <v>20181001</v>
      </c>
      <c r="Q2766" t="s">
        <v>1613</v>
      </c>
      <c r="R2766" t="s">
        <v>1958</v>
      </c>
      <c r="S2766" t="s">
        <v>1615</v>
      </c>
      <c r="T2766" t="s">
        <v>296</v>
      </c>
    </row>
    <row r="2767" spans="1:20" x14ac:dyDescent="0.25">
      <c r="A2767">
        <v>9</v>
      </c>
      <c r="B2767">
        <v>199</v>
      </c>
      <c r="C2767" t="str">
        <f>"11"</f>
        <v>11</v>
      </c>
      <c r="D2767">
        <v>6399</v>
      </c>
      <c r="E2767" t="str">
        <f>"45"</f>
        <v>45</v>
      </c>
      <c r="F2767" t="str">
        <f>"101"</f>
        <v>101</v>
      </c>
      <c r="G2767">
        <v>9</v>
      </c>
      <c r="H2767" t="str">
        <f>"11"</f>
        <v>11</v>
      </c>
      <c r="I2767" t="str">
        <f t="shared" si="471"/>
        <v>0</v>
      </c>
      <c r="J2767" t="str">
        <f>"04"</f>
        <v>04</v>
      </c>
      <c r="K2767">
        <v>20181005</v>
      </c>
      <c r="L2767" t="str">
        <f>"074090"</f>
        <v>074090</v>
      </c>
      <c r="M2767" t="str">
        <f>"00314"</f>
        <v>00314</v>
      </c>
      <c r="N2767" t="s">
        <v>1858</v>
      </c>
      <c r="O2767">
        <v>107.96</v>
      </c>
      <c r="P2767">
        <v>20181001</v>
      </c>
      <c r="Q2767" t="s">
        <v>1859</v>
      </c>
      <c r="R2767" t="s">
        <v>1959</v>
      </c>
      <c r="S2767" t="s">
        <v>1615</v>
      </c>
      <c r="T2767" t="s">
        <v>1479</v>
      </c>
    </row>
    <row r="2768" spans="1:20" x14ac:dyDescent="0.25">
      <c r="A2768">
        <v>9</v>
      </c>
      <c r="B2768">
        <v>199</v>
      </c>
      <c r="C2768" t="str">
        <f>"00"</f>
        <v>00</v>
      </c>
      <c r="D2768">
        <v>1312</v>
      </c>
      <c r="E2768" t="str">
        <f>"00"</f>
        <v>00</v>
      </c>
      <c r="F2768" t="str">
        <f>"000"</f>
        <v>000</v>
      </c>
      <c r="G2768">
        <v>9</v>
      </c>
      <c r="H2768" t="str">
        <f>"00"</f>
        <v>00</v>
      </c>
      <c r="I2768" t="str">
        <f t="shared" si="471"/>
        <v>0</v>
      </c>
      <c r="J2768" t="str">
        <f>"00"</f>
        <v>00</v>
      </c>
      <c r="K2768">
        <v>20181005</v>
      </c>
      <c r="L2768" t="str">
        <f t="shared" ref="L2768:L2786" si="472">"074091"</f>
        <v>074091</v>
      </c>
      <c r="M2768" t="str">
        <f t="shared" ref="M2768:M2786" si="473">"04410"</f>
        <v>04410</v>
      </c>
      <c r="N2768" t="s">
        <v>410</v>
      </c>
      <c r="O2768">
        <v>69.81</v>
      </c>
      <c r="P2768">
        <v>20181001</v>
      </c>
      <c r="Q2768" t="s">
        <v>1860</v>
      </c>
      <c r="R2768" t="s">
        <v>1960</v>
      </c>
      <c r="S2768" t="s">
        <v>1615</v>
      </c>
      <c r="T2768" t="s">
        <v>296</v>
      </c>
    </row>
    <row r="2769" spans="1:20" x14ac:dyDescent="0.25">
      <c r="A2769">
        <v>9</v>
      </c>
      <c r="B2769">
        <v>199</v>
      </c>
      <c r="C2769" t="str">
        <f>"00"</f>
        <v>00</v>
      </c>
      <c r="D2769">
        <v>1312</v>
      </c>
      <c r="E2769" t="str">
        <f>"00"</f>
        <v>00</v>
      </c>
      <c r="F2769" t="str">
        <f>"000"</f>
        <v>000</v>
      </c>
      <c r="G2769">
        <v>9</v>
      </c>
      <c r="H2769" t="str">
        <f>"00"</f>
        <v>00</v>
      </c>
      <c r="I2769" t="str">
        <f t="shared" si="471"/>
        <v>0</v>
      </c>
      <c r="J2769" t="str">
        <f>"00"</f>
        <v>00</v>
      </c>
      <c r="K2769">
        <v>20181005</v>
      </c>
      <c r="L2769" t="str">
        <f t="shared" si="472"/>
        <v>074091</v>
      </c>
      <c r="M2769" t="str">
        <f t="shared" si="473"/>
        <v>04410</v>
      </c>
      <c r="N2769" t="s">
        <v>410</v>
      </c>
      <c r="O2769">
        <v>52.67</v>
      </c>
      <c r="P2769">
        <v>20181001</v>
      </c>
      <c r="Q2769" t="s">
        <v>1860</v>
      </c>
      <c r="R2769" t="s">
        <v>1961</v>
      </c>
      <c r="S2769" t="s">
        <v>1615</v>
      </c>
      <c r="T2769" t="s">
        <v>296</v>
      </c>
    </row>
    <row r="2770" spans="1:20" x14ac:dyDescent="0.25">
      <c r="A2770">
        <v>9</v>
      </c>
      <c r="B2770">
        <v>199</v>
      </c>
      <c r="C2770" t="str">
        <f>"00"</f>
        <v>00</v>
      </c>
      <c r="D2770">
        <v>1312</v>
      </c>
      <c r="E2770" t="str">
        <f>"00"</f>
        <v>00</v>
      </c>
      <c r="F2770" t="str">
        <f>"000"</f>
        <v>000</v>
      </c>
      <c r="G2770">
        <v>9</v>
      </c>
      <c r="H2770" t="str">
        <f>"00"</f>
        <v>00</v>
      </c>
      <c r="I2770" t="str">
        <f t="shared" si="471"/>
        <v>0</v>
      </c>
      <c r="J2770" t="str">
        <f>"00"</f>
        <v>00</v>
      </c>
      <c r="K2770">
        <v>20181005</v>
      </c>
      <c r="L2770" t="str">
        <f t="shared" si="472"/>
        <v>074091</v>
      </c>
      <c r="M2770" t="str">
        <f t="shared" si="473"/>
        <v>04410</v>
      </c>
      <c r="N2770" t="s">
        <v>410</v>
      </c>
      <c r="O2770">
        <v>90.2</v>
      </c>
      <c r="P2770">
        <v>20181001</v>
      </c>
      <c r="Q2770" t="s">
        <v>1860</v>
      </c>
      <c r="R2770" t="s">
        <v>1962</v>
      </c>
      <c r="S2770" t="s">
        <v>1615</v>
      </c>
      <c r="T2770" t="s">
        <v>296</v>
      </c>
    </row>
    <row r="2771" spans="1:20" x14ac:dyDescent="0.25">
      <c r="A2771">
        <v>9</v>
      </c>
      <c r="B2771">
        <v>199</v>
      </c>
      <c r="C2771" t="str">
        <f t="shared" ref="C2771:C2782" si="474">"11"</f>
        <v>11</v>
      </c>
      <c r="D2771">
        <v>6321</v>
      </c>
      <c r="E2771" t="str">
        <f>"10"</f>
        <v>10</v>
      </c>
      <c r="F2771" t="str">
        <f t="shared" ref="F2771:F2784" si="475">"001"</f>
        <v>001</v>
      </c>
      <c r="G2771">
        <v>9</v>
      </c>
      <c r="H2771" t="str">
        <f>"11"</f>
        <v>11</v>
      </c>
      <c r="I2771" t="str">
        <f t="shared" si="471"/>
        <v>0</v>
      </c>
      <c r="J2771" t="str">
        <f>"01"</f>
        <v>01</v>
      </c>
      <c r="K2771">
        <v>20181005</v>
      </c>
      <c r="L2771" t="str">
        <f t="shared" si="472"/>
        <v>074091</v>
      </c>
      <c r="M2771" t="str">
        <f t="shared" si="473"/>
        <v>04410</v>
      </c>
      <c r="N2771" t="s">
        <v>410</v>
      </c>
      <c r="O2771">
        <v>569.9</v>
      </c>
      <c r="P2771">
        <v>20181001</v>
      </c>
      <c r="Q2771" t="s">
        <v>1861</v>
      </c>
      <c r="R2771" t="s">
        <v>1963</v>
      </c>
      <c r="S2771" t="s">
        <v>1615</v>
      </c>
      <c r="T2771" t="s">
        <v>301</v>
      </c>
    </row>
    <row r="2772" spans="1:20" x14ac:dyDescent="0.25">
      <c r="A2772">
        <v>9</v>
      </c>
      <c r="B2772">
        <v>199</v>
      </c>
      <c r="C2772" t="str">
        <f t="shared" si="474"/>
        <v>11</v>
      </c>
      <c r="D2772">
        <v>6399</v>
      </c>
      <c r="E2772" t="str">
        <f>"7K"</f>
        <v>7K</v>
      </c>
      <c r="F2772" t="str">
        <f t="shared" si="475"/>
        <v>001</v>
      </c>
      <c r="G2772">
        <v>9</v>
      </c>
      <c r="H2772" t="str">
        <f>"11"</f>
        <v>11</v>
      </c>
      <c r="I2772" t="str">
        <f t="shared" si="471"/>
        <v>0</v>
      </c>
      <c r="J2772" t="str">
        <f>"01"</f>
        <v>01</v>
      </c>
      <c r="K2772">
        <v>20181005</v>
      </c>
      <c r="L2772" t="str">
        <f t="shared" si="472"/>
        <v>074091</v>
      </c>
      <c r="M2772" t="str">
        <f t="shared" si="473"/>
        <v>04410</v>
      </c>
      <c r="N2772" t="s">
        <v>410</v>
      </c>
      <c r="O2772">
        <v>59.55</v>
      </c>
      <c r="P2772">
        <v>20181001</v>
      </c>
      <c r="Q2772" t="s">
        <v>1671</v>
      </c>
      <c r="R2772" t="s">
        <v>1964</v>
      </c>
      <c r="S2772" t="s">
        <v>1615</v>
      </c>
      <c r="T2772" t="s">
        <v>301</v>
      </c>
    </row>
    <row r="2773" spans="1:20" x14ac:dyDescent="0.25">
      <c r="A2773">
        <v>9</v>
      </c>
      <c r="B2773">
        <v>199</v>
      </c>
      <c r="C2773" t="str">
        <f t="shared" si="474"/>
        <v>11</v>
      </c>
      <c r="D2773">
        <v>6399</v>
      </c>
      <c r="E2773" t="str">
        <f>"7K"</f>
        <v>7K</v>
      </c>
      <c r="F2773" t="str">
        <f t="shared" si="475"/>
        <v>001</v>
      </c>
      <c r="G2773">
        <v>9</v>
      </c>
      <c r="H2773" t="str">
        <f>"11"</f>
        <v>11</v>
      </c>
      <c r="I2773" t="str">
        <f t="shared" si="471"/>
        <v>0</v>
      </c>
      <c r="J2773" t="str">
        <f>"01"</f>
        <v>01</v>
      </c>
      <c r="K2773">
        <v>20181005</v>
      </c>
      <c r="L2773" t="str">
        <f t="shared" si="472"/>
        <v>074091</v>
      </c>
      <c r="M2773" t="str">
        <f t="shared" si="473"/>
        <v>04410</v>
      </c>
      <c r="N2773" t="s">
        <v>410</v>
      </c>
      <c r="O2773">
        <v>53.1</v>
      </c>
      <c r="P2773">
        <v>20181001</v>
      </c>
      <c r="Q2773" t="s">
        <v>1671</v>
      </c>
      <c r="R2773" t="s">
        <v>1965</v>
      </c>
      <c r="S2773" t="s">
        <v>1615</v>
      </c>
      <c r="T2773" t="s">
        <v>301</v>
      </c>
    </row>
    <row r="2774" spans="1:20" x14ac:dyDescent="0.25">
      <c r="A2774">
        <v>9</v>
      </c>
      <c r="B2774">
        <v>199</v>
      </c>
      <c r="C2774" t="str">
        <f t="shared" si="474"/>
        <v>11</v>
      </c>
      <c r="D2774">
        <v>6399</v>
      </c>
      <c r="E2774" t="str">
        <f>"7K"</f>
        <v>7K</v>
      </c>
      <c r="F2774" t="str">
        <f t="shared" si="475"/>
        <v>001</v>
      </c>
      <c r="G2774">
        <v>9</v>
      </c>
      <c r="H2774" t="str">
        <f>"11"</f>
        <v>11</v>
      </c>
      <c r="I2774" t="str">
        <f t="shared" si="471"/>
        <v>0</v>
      </c>
      <c r="J2774" t="str">
        <f>"01"</f>
        <v>01</v>
      </c>
      <c r="K2774">
        <v>20181005</v>
      </c>
      <c r="L2774" t="str">
        <f t="shared" si="472"/>
        <v>074091</v>
      </c>
      <c r="M2774" t="str">
        <f t="shared" si="473"/>
        <v>04410</v>
      </c>
      <c r="N2774" t="s">
        <v>410</v>
      </c>
      <c r="O2774">
        <v>101.83</v>
      </c>
      <c r="P2774">
        <v>20181001</v>
      </c>
      <c r="Q2774" t="s">
        <v>1671</v>
      </c>
      <c r="R2774" t="s">
        <v>1966</v>
      </c>
      <c r="S2774" t="s">
        <v>1615</v>
      </c>
      <c r="T2774" t="s">
        <v>301</v>
      </c>
    </row>
    <row r="2775" spans="1:20" x14ac:dyDescent="0.25">
      <c r="A2775">
        <v>9</v>
      </c>
      <c r="B2775">
        <v>199</v>
      </c>
      <c r="C2775" t="str">
        <f t="shared" si="474"/>
        <v>11</v>
      </c>
      <c r="D2775">
        <v>6399</v>
      </c>
      <c r="E2775" t="str">
        <f>"VD"</f>
        <v>VD</v>
      </c>
      <c r="F2775" t="str">
        <f t="shared" si="475"/>
        <v>001</v>
      </c>
      <c r="G2775">
        <v>9</v>
      </c>
      <c r="H2775" t="str">
        <f t="shared" ref="H2775:H2782" si="476">"22"</f>
        <v>22</v>
      </c>
      <c r="I2775" t="str">
        <f t="shared" si="471"/>
        <v>0</v>
      </c>
      <c r="J2775" t="str">
        <f t="shared" ref="J2775:J2782" si="477">"22"</f>
        <v>22</v>
      </c>
      <c r="K2775">
        <v>20181005</v>
      </c>
      <c r="L2775" t="str">
        <f t="shared" si="472"/>
        <v>074091</v>
      </c>
      <c r="M2775" t="str">
        <f t="shared" si="473"/>
        <v>04410</v>
      </c>
      <c r="N2775" t="s">
        <v>410</v>
      </c>
      <c r="O2775">
        <v>533.54999999999995</v>
      </c>
      <c r="P2775">
        <v>20181001</v>
      </c>
      <c r="Q2775" t="s">
        <v>1862</v>
      </c>
      <c r="R2775" t="s">
        <v>1967</v>
      </c>
      <c r="S2775" t="s">
        <v>1615</v>
      </c>
      <c r="T2775" t="s">
        <v>301</v>
      </c>
    </row>
    <row r="2776" spans="1:20" x14ac:dyDescent="0.25">
      <c r="A2776">
        <v>9</v>
      </c>
      <c r="B2776">
        <v>199</v>
      </c>
      <c r="C2776" t="str">
        <f t="shared" si="474"/>
        <v>11</v>
      </c>
      <c r="D2776">
        <v>6399</v>
      </c>
      <c r="E2776" t="str">
        <f>"VD"</f>
        <v>VD</v>
      </c>
      <c r="F2776" t="str">
        <f t="shared" si="475"/>
        <v>001</v>
      </c>
      <c r="G2776">
        <v>9</v>
      </c>
      <c r="H2776" t="str">
        <f t="shared" si="476"/>
        <v>22</v>
      </c>
      <c r="I2776" t="str">
        <f t="shared" si="471"/>
        <v>0</v>
      </c>
      <c r="J2776" t="str">
        <f t="shared" si="477"/>
        <v>22</v>
      </c>
      <c r="K2776">
        <v>20181005</v>
      </c>
      <c r="L2776" t="str">
        <f t="shared" si="472"/>
        <v>074091</v>
      </c>
      <c r="M2776" t="str">
        <f t="shared" si="473"/>
        <v>04410</v>
      </c>
      <c r="N2776" t="s">
        <v>410</v>
      </c>
      <c r="O2776">
        <v>69.5</v>
      </c>
      <c r="P2776">
        <v>20181001</v>
      </c>
      <c r="Q2776" t="s">
        <v>1862</v>
      </c>
      <c r="R2776" t="s">
        <v>1968</v>
      </c>
      <c r="S2776" t="s">
        <v>1615</v>
      </c>
      <c r="T2776" t="s">
        <v>301</v>
      </c>
    </row>
    <row r="2777" spans="1:20" x14ac:dyDescent="0.25">
      <c r="A2777">
        <v>9</v>
      </c>
      <c r="B2777">
        <v>199</v>
      </c>
      <c r="C2777" t="str">
        <f t="shared" si="474"/>
        <v>11</v>
      </c>
      <c r="D2777">
        <v>6399</v>
      </c>
      <c r="E2777" t="str">
        <f t="shared" ref="E2777:E2782" si="478">"VR"</f>
        <v>VR</v>
      </c>
      <c r="F2777" t="str">
        <f t="shared" si="475"/>
        <v>001</v>
      </c>
      <c r="G2777">
        <v>9</v>
      </c>
      <c r="H2777" t="str">
        <f t="shared" si="476"/>
        <v>22</v>
      </c>
      <c r="I2777" t="str">
        <f t="shared" si="471"/>
        <v>0</v>
      </c>
      <c r="J2777" t="str">
        <f t="shared" si="477"/>
        <v>22</v>
      </c>
      <c r="K2777">
        <v>20181005</v>
      </c>
      <c r="L2777" t="str">
        <f t="shared" si="472"/>
        <v>074091</v>
      </c>
      <c r="M2777" t="str">
        <f t="shared" si="473"/>
        <v>04410</v>
      </c>
      <c r="N2777" t="s">
        <v>410</v>
      </c>
      <c r="O2777">
        <v>60.9</v>
      </c>
      <c r="P2777">
        <v>20181001</v>
      </c>
      <c r="Q2777" t="s">
        <v>1863</v>
      </c>
      <c r="R2777" t="s">
        <v>1969</v>
      </c>
      <c r="S2777" t="s">
        <v>1615</v>
      </c>
      <c r="T2777" t="s">
        <v>301</v>
      </c>
    </row>
    <row r="2778" spans="1:20" x14ac:dyDescent="0.25">
      <c r="A2778">
        <v>9</v>
      </c>
      <c r="B2778">
        <v>199</v>
      </c>
      <c r="C2778" t="str">
        <f t="shared" si="474"/>
        <v>11</v>
      </c>
      <c r="D2778">
        <v>6399</v>
      </c>
      <c r="E2778" t="str">
        <f t="shared" si="478"/>
        <v>VR</v>
      </c>
      <c r="F2778" t="str">
        <f t="shared" si="475"/>
        <v>001</v>
      </c>
      <c r="G2778">
        <v>9</v>
      </c>
      <c r="H2778" t="str">
        <f t="shared" si="476"/>
        <v>22</v>
      </c>
      <c r="I2778" t="str">
        <f t="shared" si="471"/>
        <v>0</v>
      </c>
      <c r="J2778" t="str">
        <f t="shared" si="477"/>
        <v>22</v>
      </c>
      <c r="K2778">
        <v>20181005</v>
      </c>
      <c r="L2778" t="str">
        <f t="shared" si="472"/>
        <v>074091</v>
      </c>
      <c r="M2778" t="str">
        <f t="shared" si="473"/>
        <v>04410</v>
      </c>
      <c r="N2778" t="s">
        <v>410</v>
      </c>
      <c r="O2778">
        <v>253.56</v>
      </c>
      <c r="P2778">
        <v>20181001</v>
      </c>
      <c r="Q2778" t="s">
        <v>1863</v>
      </c>
      <c r="R2778" t="s">
        <v>1970</v>
      </c>
      <c r="S2778" t="s">
        <v>1615</v>
      </c>
      <c r="T2778" t="s">
        <v>301</v>
      </c>
    </row>
    <row r="2779" spans="1:20" x14ac:dyDescent="0.25">
      <c r="A2779">
        <v>9</v>
      </c>
      <c r="B2779">
        <v>199</v>
      </c>
      <c r="C2779" t="str">
        <f t="shared" si="474"/>
        <v>11</v>
      </c>
      <c r="D2779">
        <v>6399</v>
      </c>
      <c r="E2779" t="str">
        <f t="shared" si="478"/>
        <v>VR</v>
      </c>
      <c r="F2779" t="str">
        <f t="shared" si="475"/>
        <v>001</v>
      </c>
      <c r="G2779">
        <v>9</v>
      </c>
      <c r="H2779" t="str">
        <f t="shared" si="476"/>
        <v>22</v>
      </c>
      <c r="I2779" t="str">
        <f t="shared" si="471"/>
        <v>0</v>
      </c>
      <c r="J2779" t="str">
        <f t="shared" si="477"/>
        <v>22</v>
      </c>
      <c r="K2779">
        <v>20181005</v>
      </c>
      <c r="L2779" t="str">
        <f t="shared" si="472"/>
        <v>074091</v>
      </c>
      <c r="M2779" t="str">
        <f t="shared" si="473"/>
        <v>04410</v>
      </c>
      <c r="N2779" t="s">
        <v>410</v>
      </c>
      <c r="O2779">
        <v>76.459999999999994</v>
      </c>
      <c r="P2779">
        <v>20181001</v>
      </c>
      <c r="Q2779" t="s">
        <v>1863</v>
      </c>
      <c r="R2779" t="s">
        <v>1971</v>
      </c>
      <c r="S2779" t="s">
        <v>1615</v>
      </c>
      <c r="T2779" t="s">
        <v>301</v>
      </c>
    </row>
    <row r="2780" spans="1:20" x14ac:dyDescent="0.25">
      <c r="A2780">
        <v>9</v>
      </c>
      <c r="B2780">
        <v>199</v>
      </c>
      <c r="C2780" t="str">
        <f t="shared" si="474"/>
        <v>11</v>
      </c>
      <c r="D2780">
        <v>6399</v>
      </c>
      <c r="E2780" t="str">
        <f t="shared" si="478"/>
        <v>VR</v>
      </c>
      <c r="F2780" t="str">
        <f t="shared" si="475"/>
        <v>001</v>
      </c>
      <c r="G2780">
        <v>9</v>
      </c>
      <c r="H2780" t="str">
        <f t="shared" si="476"/>
        <v>22</v>
      </c>
      <c r="I2780" t="str">
        <f t="shared" si="471"/>
        <v>0</v>
      </c>
      <c r="J2780" t="str">
        <f t="shared" si="477"/>
        <v>22</v>
      </c>
      <c r="K2780">
        <v>20181005</v>
      </c>
      <c r="L2780" t="str">
        <f t="shared" si="472"/>
        <v>074091</v>
      </c>
      <c r="M2780" t="str">
        <f t="shared" si="473"/>
        <v>04410</v>
      </c>
      <c r="N2780" t="s">
        <v>410</v>
      </c>
      <c r="O2780">
        <v>17.7</v>
      </c>
      <c r="P2780">
        <v>20181001</v>
      </c>
      <c r="Q2780" t="s">
        <v>1863</v>
      </c>
      <c r="R2780" t="s">
        <v>1972</v>
      </c>
      <c r="S2780" t="s">
        <v>1615</v>
      </c>
      <c r="T2780" t="s">
        <v>301</v>
      </c>
    </row>
    <row r="2781" spans="1:20" x14ac:dyDescent="0.25">
      <c r="A2781">
        <v>9</v>
      </c>
      <c r="B2781">
        <v>199</v>
      </c>
      <c r="C2781" t="str">
        <f t="shared" si="474"/>
        <v>11</v>
      </c>
      <c r="D2781">
        <v>6399</v>
      </c>
      <c r="E2781" t="str">
        <f t="shared" si="478"/>
        <v>VR</v>
      </c>
      <c r="F2781" t="str">
        <f t="shared" si="475"/>
        <v>001</v>
      </c>
      <c r="G2781">
        <v>9</v>
      </c>
      <c r="H2781" t="str">
        <f t="shared" si="476"/>
        <v>22</v>
      </c>
      <c r="I2781" t="str">
        <f t="shared" si="471"/>
        <v>0</v>
      </c>
      <c r="J2781" t="str">
        <f t="shared" si="477"/>
        <v>22</v>
      </c>
      <c r="K2781">
        <v>20181005</v>
      </c>
      <c r="L2781" t="str">
        <f t="shared" si="472"/>
        <v>074091</v>
      </c>
      <c r="M2781" t="str">
        <f t="shared" si="473"/>
        <v>04410</v>
      </c>
      <c r="N2781" t="s">
        <v>410</v>
      </c>
      <c r="O2781">
        <v>47.96</v>
      </c>
      <c r="P2781">
        <v>20181001</v>
      </c>
      <c r="Q2781" t="s">
        <v>1863</v>
      </c>
      <c r="R2781" t="s">
        <v>1973</v>
      </c>
      <c r="S2781" t="s">
        <v>1615</v>
      </c>
      <c r="T2781" t="s">
        <v>301</v>
      </c>
    </row>
    <row r="2782" spans="1:20" x14ac:dyDescent="0.25">
      <c r="A2782">
        <v>9</v>
      </c>
      <c r="B2782">
        <v>199</v>
      </c>
      <c r="C2782" t="str">
        <f t="shared" si="474"/>
        <v>11</v>
      </c>
      <c r="D2782">
        <v>6399</v>
      </c>
      <c r="E2782" t="str">
        <f t="shared" si="478"/>
        <v>VR</v>
      </c>
      <c r="F2782" t="str">
        <f t="shared" si="475"/>
        <v>001</v>
      </c>
      <c r="G2782">
        <v>9</v>
      </c>
      <c r="H2782" t="str">
        <f t="shared" si="476"/>
        <v>22</v>
      </c>
      <c r="I2782" t="str">
        <f t="shared" si="471"/>
        <v>0</v>
      </c>
      <c r="J2782" t="str">
        <f t="shared" si="477"/>
        <v>22</v>
      </c>
      <c r="K2782">
        <v>20181005</v>
      </c>
      <c r="L2782" t="str">
        <f t="shared" si="472"/>
        <v>074091</v>
      </c>
      <c r="M2782" t="str">
        <f t="shared" si="473"/>
        <v>04410</v>
      </c>
      <c r="N2782" t="s">
        <v>410</v>
      </c>
      <c r="O2782">
        <v>15.39</v>
      </c>
      <c r="P2782">
        <v>20181001</v>
      </c>
      <c r="Q2782" t="s">
        <v>1863</v>
      </c>
      <c r="R2782" t="s">
        <v>1974</v>
      </c>
      <c r="S2782" t="s">
        <v>1615</v>
      </c>
      <c r="T2782" t="s">
        <v>301</v>
      </c>
    </row>
    <row r="2783" spans="1:20" x14ac:dyDescent="0.25">
      <c r="A2783">
        <v>9</v>
      </c>
      <c r="B2783">
        <v>199</v>
      </c>
      <c r="C2783" t="str">
        <f>"23"</f>
        <v>23</v>
      </c>
      <c r="D2783">
        <v>6399</v>
      </c>
      <c r="E2783" t="str">
        <f>"10"</f>
        <v>10</v>
      </c>
      <c r="F2783" t="str">
        <f t="shared" si="475"/>
        <v>001</v>
      </c>
      <c r="G2783">
        <v>9</v>
      </c>
      <c r="H2783" t="str">
        <f>"99"</f>
        <v>99</v>
      </c>
      <c r="I2783" t="str">
        <f t="shared" si="471"/>
        <v>0</v>
      </c>
      <c r="J2783" t="str">
        <f>"01"</f>
        <v>01</v>
      </c>
      <c r="K2783">
        <v>20181005</v>
      </c>
      <c r="L2783" t="str">
        <f t="shared" si="472"/>
        <v>074091</v>
      </c>
      <c r="M2783" t="str">
        <f t="shared" si="473"/>
        <v>04410</v>
      </c>
      <c r="N2783" t="s">
        <v>410</v>
      </c>
      <c r="O2783">
        <v>37.18</v>
      </c>
      <c r="P2783">
        <v>20181001</v>
      </c>
      <c r="Q2783" t="s">
        <v>1785</v>
      </c>
      <c r="R2783" t="s">
        <v>1975</v>
      </c>
      <c r="S2783" t="s">
        <v>1615</v>
      </c>
      <c r="T2783" t="s">
        <v>301</v>
      </c>
    </row>
    <row r="2784" spans="1:20" x14ac:dyDescent="0.25">
      <c r="A2784">
        <v>9</v>
      </c>
      <c r="B2784">
        <v>199</v>
      </c>
      <c r="C2784" t="str">
        <f>"31"</f>
        <v>31</v>
      </c>
      <c r="D2784">
        <v>6399</v>
      </c>
      <c r="E2784" t="str">
        <f>"7F"</f>
        <v>7F</v>
      </c>
      <c r="F2784" t="str">
        <f t="shared" si="475"/>
        <v>001</v>
      </c>
      <c r="G2784">
        <v>9</v>
      </c>
      <c r="H2784" t="str">
        <f>"31"</f>
        <v>31</v>
      </c>
      <c r="I2784" t="str">
        <f t="shared" si="471"/>
        <v>0</v>
      </c>
      <c r="J2784" t="str">
        <f>"34"</f>
        <v>34</v>
      </c>
      <c r="K2784">
        <v>20181005</v>
      </c>
      <c r="L2784" t="str">
        <f t="shared" si="472"/>
        <v>074091</v>
      </c>
      <c r="M2784" t="str">
        <f t="shared" si="473"/>
        <v>04410</v>
      </c>
      <c r="N2784" t="s">
        <v>410</v>
      </c>
      <c r="O2784" s="1">
        <v>1491.79</v>
      </c>
      <c r="P2784">
        <v>20181001</v>
      </c>
      <c r="Q2784" t="s">
        <v>1864</v>
      </c>
      <c r="R2784" t="s">
        <v>1976</v>
      </c>
      <c r="S2784" t="s">
        <v>1615</v>
      </c>
      <c r="T2784" t="s">
        <v>301</v>
      </c>
    </row>
    <row r="2785" spans="1:20" x14ac:dyDescent="0.25">
      <c r="A2785">
        <v>9</v>
      </c>
      <c r="B2785">
        <v>199</v>
      </c>
      <c r="C2785" t="str">
        <f>"53"</f>
        <v>53</v>
      </c>
      <c r="D2785">
        <v>6399</v>
      </c>
      <c r="E2785" t="str">
        <f>"10"</f>
        <v>10</v>
      </c>
      <c r="F2785" t="str">
        <f>"880"</f>
        <v>880</v>
      </c>
      <c r="G2785">
        <v>9</v>
      </c>
      <c r="H2785" t="str">
        <f>"99"</f>
        <v>99</v>
      </c>
      <c r="I2785" t="str">
        <f t="shared" si="471"/>
        <v>0</v>
      </c>
      <c r="J2785" t="str">
        <f>"80"</f>
        <v>80</v>
      </c>
      <c r="K2785">
        <v>20181005</v>
      </c>
      <c r="L2785" t="str">
        <f t="shared" si="472"/>
        <v>074091</v>
      </c>
      <c r="M2785" t="str">
        <f t="shared" si="473"/>
        <v>04410</v>
      </c>
      <c r="N2785" t="s">
        <v>410</v>
      </c>
      <c r="O2785">
        <v>109.99</v>
      </c>
      <c r="P2785">
        <v>20181001</v>
      </c>
      <c r="Q2785" t="s">
        <v>1865</v>
      </c>
      <c r="R2785" t="s">
        <v>1977</v>
      </c>
      <c r="S2785" t="s">
        <v>1615</v>
      </c>
      <c r="T2785" t="s">
        <v>1866</v>
      </c>
    </row>
    <row r="2786" spans="1:20" x14ac:dyDescent="0.25">
      <c r="A2786">
        <v>9</v>
      </c>
      <c r="B2786">
        <v>199</v>
      </c>
      <c r="C2786" t="str">
        <f>"53"</f>
        <v>53</v>
      </c>
      <c r="D2786">
        <v>6399</v>
      </c>
      <c r="E2786" t="str">
        <f>"10"</f>
        <v>10</v>
      </c>
      <c r="F2786" t="str">
        <f>"880"</f>
        <v>880</v>
      </c>
      <c r="G2786">
        <v>9</v>
      </c>
      <c r="H2786" t="str">
        <f>"99"</f>
        <v>99</v>
      </c>
      <c r="I2786" t="str">
        <f t="shared" si="471"/>
        <v>0</v>
      </c>
      <c r="J2786" t="str">
        <f>"80"</f>
        <v>80</v>
      </c>
      <c r="K2786">
        <v>20181005</v>
      </c>
      <c r="L2786" t="str">
        <f t="shared" si="472"/>
        <v>074091</v>
      </c>
      <c r="M2786" t="str">
        <f t="shared" si="473"/>
        <v>04410</v>
      </c>
      <c r="N2786" t="s">
        <v>410</v>
      </c>
      <c r="O2786">
        <v>45.98</v>
      </c>
      <c r="P2786">
        <v>20181001</v>
      </c>
      <c r="Q2786" t="s">
        <v>1865</v>
      </c>
      <c r="R2786" t="s">
        <v>1978</v>
      </c>
      <c r="S2786" t="s">
        <v>1615</v>
      </c>
      <c r="T2786" t="s">
        <v>1866</v>
      </c>
    </row>
    <row r="2787" spans="1:20" x14ac:dyDescent="0.25">
      <c r="A2787">
        <v>9</v>
      </c>
      <c r="B2787">
        <v>199</v>
      </c>
      <c r="C2787" t="str">
        <f>"00"</f>
        <v>00</v>
      </c>
      <c r="D2787">
        <v>2110</v>
      </c>
      <c r="E2787" t="str">
        <f>"18"</f>
        <v>18</v>
      </c>
      <c r="F2787" t="str">
        <f>"000"</f>
        <v>000</v>
      </c>
      <c r="G2787">
        <v>9</v>
      </c>
      <c r="H2787" t="str">
        <f>"00"</f>
        <v>00</v>
      </c>
      <c r="I2787" t="str">
        <f t="shared" si="471"/>
        <v>0</v>
      </c>
      <c r="J2787" t="str">
        <f>"00"</f>
        <v>00</v>
      </c>
      <c r="K2787">
        <v>20181005</v>
      </c>
      <c r="L2787" t="str">
        <f>"074092"</f>
        <v>074092</v>
      </c>
      <c r="M2787" t="str">
        <f>"06267"</f>
        <v>06267</v>
      </c>
      <c r="N2787" t="s">
        <v>1867</v>
      </c>
      <c r="O2787">
        <v>539.03</v>
      </c>
      <c r="P2787">
        <v>20181001</v>
      </c>
      <c r="Q2787" t="s">
        <v>1613</v>
      </c>
      <c r="R2787" t="s">
        <v>1979</v>
      </c>
      <c r="S2787" t="s">
        <v>1615</v>
      </c>
      <c r="T2787" t="s">
        <v>296</v>
      </c>
    </row>
    <row r="2788" spans="1:20" x14ac:dyDescent="0.25">
      <c r="A2788">
        <v>9</v>
      </c>
      <c r="B2788">
        <v>199</v>
      </c>
      <c r="C2788" t="str">
        <f>"00"</f>
        <v>00</v>
      </c>
      <c r="D2788">
        <v>2110</v>
      </c>
      <c r="E2788" t="str">
        <f>"18"</f>
        <v>18</v>
      </c>
      <c r="F2788" t="str">
        <f>"000"</f>
        <v>000</v>
      </c>
      <c r="G2788">
        <v>9</v>
      </c>
      <c r="H2788" t="str">
        <f>"00"</f>
        <v>00</v>
      </c>
      <c r="I2788" t="str">
        <f t="shared" si="471"/>
        <v>0</v>
      </c>
      <c r="J2788" t="str">
        <f>"00"</f>
        <v>00</v>
      </c>
      <c r="K2788">
        <v>20181005</v>
      </c>
      <c r="L2788" t="str">
        <f>"074092"</f>
        <v>074092</v>
      </c>
      <c r="M2788" t="str">
        <f>"06267"</f>
        <v>06267</v>
      </c>
      <c r="N2788" t="s">
        <v>1867</v>
      </c>
      <c r="O2788">
        <v>990.73</v>
      </c>
      <c r="P2788">
        <v>20181001</v>
      </c>
      <c r="Q2788" t="s">
        <v>1613</v>
      </c>
      <c r="R2788" t="s">
        <v>1980</v>
      </c>
      <c r="S2788" t="s">
        <v>1615</v>
      </c>
      <c r="T2788" t="s">
        <v>296</v>
      </c>
    </row>
    <row r="2789" spans="1:20" x14ac:dyDescent="0.25">
      <c r="A2789">
        <v>9</v>
      </c>
      <c r="B2789">
        <v>199</v>
      </c>
      <c r="C2789" t="str">
        <f>"11"</f>
        <v>11</v>
      </c>
      <c r="D2789">
        <v>6399</v>
      </c>
      <c r="E2789" t="str">
        <f>"VR"</f>
        <v>VR</v>
      </c>
      <c r="F2789" t="str">
        <f>"001"</f>
        <v>001</v>
      </c>
      <c r="G2789">
        <v>9</v>
      </c>
      <c r="H2789" t="str">
        <f>"22"</f>
        <v>22</v>
      </c>
      <c r="I2789" t="str">
        <f t="shared" si="471"/>
        <v>0</v>
      </c>
      <c r="J2789" t="str">
        <f>"22"</f>
        <v>22</v>
      </c>
      <c r="K2789">
        <v>20181005</v>
      </c>
      <c r="L2789" t="str">
        <f>"074093"</f>
        <v>074093</v>
      </c>
      <c r="M2789" t="str">
        <f>"06480"</f>
        <v>06480</v>
      </c>
      <c r="N2789" t="s">
        <v>1868</v>
      </c>
      <c r="O2789">
        <v>60.4</v>
      </c>
      <c r="P2789">
        <v>20181001</v>
      </c>
      <c r="Q2789" t="s">
        <v>1863</v>
      </c>
      <c r="R2789" t="s">
        <v>1970</v>
      </c>
      <c r="S2789" t="s">
        <v>1615</v>
      </c>
      <c r="T2789" t="s">
        <v>301</v>
      </c>
    </row>
    <row r="2790" spans="1:20" x14ac:dyDescent="0.25">
      <c r="A2790">
        <v>9</v>
      </c>
      <c r="B2790">
        <v>199</v>
      </c>
      <c r="C2790" t="str">
        <f>"11"</f>
        <v>11</v>
      </c>
      <c r="D2790">
        <v>6399</v>
      </c>
      <c r="E2790" t="str">
        <f>"10"</f>
        <v>10</v>
      </c>
      <c r="F2790" t="str">
        <f>"101"</f>
        <v>101</v>
      </c>
      <c r="G2790">
        <v>9</v>
      </c>
      <c r="H2790" t="str">
        <f>"11"</f>
        <v>11</v>
      </c>
      <c r="I2790" t="str">
        <f t="shared" si="471"/>
        <v>0</v>
      </c>
      <c r="J2790" t="str">
        <f>"80"</f>
        <v>80</v>
      </c>
      <c r="K2790">
        <v>20181005</v>
      </c>
      <c r="L2790" t="str">
        <f>"074094"</f>
        <v>074094</v>
      </c>
      <c r="M2790" t="str">
        <f>"06509"</f>
        <v>06509</v>
      </c>
      <c r="N2790" t="s">
        <v>1545</v>
      </c>
      <c r="O2790">
        <v>90</v>
      </c>
      <c r="P2790">
        <v>20181003</v>
      </c>
      <c r="Q2790" t="s">
        <v>1981</v>
      </c>
      <c r="R2790" t="s">
        <v>1982</v>
      </c>
      <c r="S2790" t="s">
        <v>1615</v>
      </c>
      <c r="T2790" t="s">
        <v>1479</v>
      </c>
    </row>
    <row r="2791" spans="1:20" x14ac:dyDescent="0.25">
      <c r="A2791">
        <v>9</v>
      </c>
      <c r="B2791">
        <v>199</v>
      </c>
      <c r="C2791" t="str">
        <f>"53"</f>
        <v>53</v>
      </c>
      <c r="D2791">
        <v>6399</v>
      </c>
      <c r="E2791" t="str">
        <f>"10"</f>
        <v>10</v>
      </c>
      <c r="F2791" t="str">
        <f>"880"</f>
        <v>880</v>
      </c>
      <c r="G2791">
        <v>9</v>
      </c>
      <c r="H2791" t="str">
        <f>"99"</f>
        <v>99</v>
      </c>
      <c r="I2791" t="str">
        <f t="shared" si="471"/>
        <v>0</v>
      </c>
      <c r="J2791" t="str">
        <f>"80"</f>
        <v>80</v>
      </c>
      <c r="K2791">
        <v>20181005</v>
      </c>
      <c r="L2791" t="str">
        <f>"074094"</f>
        <v>074094</v>
      </c>
      <c r="M2791" t="str">
        <f>"06509"</f>
        <v>06509</v>
      </c>
      <c r="N2791" t="s">
        <v>1545</v>
      </c>
      <c r="O2791">
        <v>73</v>
      </c>
      <c r="P2791">
        <v>20181003</v>
      </c>
      <c r="Q2791" t="s">
        <v>1865</v>
      </c>
      <c r="R2791" t="s">
        <v>1983</v>
      </c>
      <c r="S2791" t="s">
        <v>1615</v>
      </c>
      <c r="T2791" t="s">
        <v>1866</v>
      </c>
    </row>
    <row r="2792" spans="1:20" x14ac:dyDescent="0.25">
      <c r="A2792">
        <v>9</v>
      </c>
      <c r="B2792">
        <v>199</v>
      </c>
      <c r="C2792" t="str">
        <f>"53"</f>
        <v>53</v>
      </c>
      <c r="D2792">
        <v>6399</v>
      </c>
      <c r="E2792" t="str">
        <f>"10"</f>
        <v>10</v>
      </c>
      <c r="F2792" t="str">
        <f>"880"</f>
        <v>880</v>
      </c>
      <c r="G2792">
        <v>9</v>
      </c>
      <c r="H2792" t="str">
        <f>"99"</f>
        <v>99</v>
      </c>
      <c r="I2792" t="str">
        <f t="shared" si="471"/>
        <v>0</v>
      </c>
      <c r="J2792" t="str">
        <f>"80"</f>
        <v>80</v>
      </c>
      <c r="K2792">
        <v>20181005</v>
      </c>
      <c r="L2792" t="str">
        <f>"074094"</f>
        <v>074094</v>
      </c>
      <c r="M2792" t="str">
        <f>"06509"</f>
        <v>06509</v>
      </c>
      <c r="N2792" t="s">
        <v>1545</v>
      </c>
      <c r="O2792">
        <v>91</v>
      </c>
      <c r="P2792">
        <v>20181003</v>
      </c>
      <c r="Q2792" t="s">
        <v>1865</v>
      </c>
      <c r="R2792" t="s">
        <v>1984</v>
      </c>
      <c r="S2792" t="s">
        <v>1615</v>
      </c>
      <c r="T2792" t="s">
        <v>1866</v>
      </c>
    </row>
    <row r="2793" spans="1:20" x14ac:dyDescent="0.25">
      <c r="A2793">
        <v>9</v>
      </c>
      <c r="B2793">
        <v>199</v>
      </c>
      <c r="C2793" t="str">
        <f>"11"</f>
        <v>11</v>
      </c>
      <c r="D2793">
        <v>6299</v>
      </c>
      <c r="E2793" t="str">
        <f>"7E"</f>
        <v>7E</v>
      </c>
      <c r="F2793" t="str">
        <f>"001"</f>
        <v>001</v>
      </c>
      <c r="G2793">
        <v>9</v>
      </c>
      <c r="H2793" t="str">
        <f>"11"</f>
        <v>11</v>
      </c>
      <c r="I2793" t="str">
        <f t="shared" si="471"/>
        <v>0</v>
      </c>
      <c r="J2793" t="str">
        <f>"31"</f>
        <v>31</v>
      </c>
      <c r="K2793">
        <v>20181005</v>
      </c>
      <c r="L2793" t="str">
        <f>"074100"</f>
        <v>074100</v>
      </c>
      <c r="M2793" t="str">
        <f>"13165"</f>
        <v>13165</v>
      </c>
      <c r="N2793" t="s">
        <v>1872</v>
      </c>
      <c r="O2793">
        <v>150</v>
      </c>
      <c r="P2793">
        <v>20181001</v>
      </c>
      <c r="Q2793" t="s">
        <v>1873</v>
      </c>
      <c r="R2793" t="s">
        <v>1985</v>
      </c>
      <c r="S2793" t="s">
        <v>1615</v>
      </c>
      <c r="T2793" t="s">
        <v>301</v>
      </c>
    </row>
    <row r="2794" spans="1:20" x14ac:dyDescent="0.25">
      <c r="A2794">
        <v>9</v>
      </c>
      <c r="B2794">
        <v>199</v>
      </c>
      <c r="C2794" t="str">
        <f>"41"</f>
        <v>41</v>
      </c>
      <c r="D2794">
        <v>6399</v>
      </c>
      <c r="E2794" t="str">
        <f>"10"</f>
        <v>10</v>
      </c>
      <c r="F2794" t="str">
        <f>"730"</f>
        <v>730</v>
      </c>
      <c r="G2794">
        <v>9</v>
      </c>
      <c r="H2794" t="str">
        <f>"99"</f>
        <v>99</v>
      </c>
      <c r="I2794" t="str">
        <f t="shared" si="471"/>
        <v>0</v>
      </c>
      <c r="J2794" t="str">
        <f>"95"</f>
        <v>95</v>
      </c>
      <c r="K2794">
        <v>20181005</v>
      </c>
      <c r="L2794" t="str">
        <f>"074103"</f>
        <v>074103</v>
      </c>
      <c r="M2794" t="str">
        <f>"00579"</f>
        <v>00579</v>
      </c>
      <c r="N2794" t="s">
        <v>1986</v>
      </c>
      <c r="O2794">
        <v>175</v>
      </c>
      <c r="P2794">
        <v>20181003</v>
      </c>
      <c r="Q2794" t="s">
        <v>1987</v>
      </c>
      <c r="R2794" t="s">
        <v>1988</v>
      </c>
      <c r="S2794" t="s">
        <v>1615</v>
      </c>
      <c r="T2794" t="s">
        <v>1794</v>
      </c>
    </row>
    <row r="2795" spans="1:20" x14ac:dyDescent="0.25">
      <c r="A2795">
        <v>9</v>
      </c>
      <c r="B2795">
        <v>199</v>
      </c>
      <c r="C2795" t="str">
        <f>"51"</f>
        <v>51</v>
      </c>
      <c r="D2795">
        <v>6254</v>
      </c>
      <c r="E2795" t="str">
        <f>"ME"</f>
        <v>ME</v>
      </c>
      <c r="F2795" t="str">
        <f>"936"</f>
        <v>936</v>
      </c>
      <c r="G2795">
        <v>9</v>
      </c>
      <c r="H2795" t="str">
        <f>"99"</f>
        <v>99</v>
      </c>
      <c r="I2795" t="str">
        <f>"1"</f>
        <v>1</v>
      </c>
      <c r="J2795" t="str">
        <f>"73"</f>
        <v>73</v>
      </c>
      <c r="K2795">
        <v>20181005</v>
      </c>
      <c r="L2795" t="str">
        <f>"074104"</f>
        <v>074104</v>
      </c>
      <c r="M2795" t="str">
        <f>"19310"</f>
        <v>19310</v>
      </c>
      <c r="N2795" t="s">
        <v>1689</v>
      </c>
      <c r="O2795" s="1">
        <v>3488.1</v>
      </c>
      <c r="P2795">
        <v>20181003</v>
      </c>
      <c r="Q2795" t="s">
        <v>1891</v>
      </c>
      <c r="R2795" t="s">
        <v>1989</v>
      </c>
      <c r="S2795" t="s">
        <v>1615</v>
      </c>
      <c r="T2795" t="s">
        <v>1713</v>
      </c>
    </row>
    <row r="2796" spans="1:20" x14ac:dyDescent="0.25">
      <c r="A2796">
        <v>9</v>
      </c>
      <c r="B2796">
        <v>199</v>
      </c>
      <c r="C2796" t="str">
        <f>"51"</f>
        <v>51</v>
      </c>
      <c r="D2796">
        <v>6254</v>
      </c>
      <c r="E2796" t="str">
        <f>"ME"</f>
        <v>ME</v>
      </c>
      <c r="F2796" t="str">
        <f>"936"</f>
        <v>936</v>
      </c>
      <c r="G2796">
        <v>9</v>
      </c>
      <c r="H2796" t="str">
        <f>"99"</f>
        <v>99</v>
      </c>
      <c r="I2796" t="str">
        <f>"1"</f>
        <v>1</v>
      </c>
      <c r="J2796" t="str">
        <f>"73"</f>
        <v>73</v>
      </c>
      <c r="K2796">
        <v>20181005</v>
      </c>
      <c r="L2796" t="str">
        <f>"074104"</f>
        <v>074104</v>
      </c>
      <c r="M2796" t="str">
        <f>"19310"</f>
        <v>19310</v>
      </c>
      <c r="N2796" t="s">
        <v>1689</v>
      </c>
      <c r="O2796">
        <v>516.1</v>
      </c>
      <c r="P2796">
        <v>20181003</v>
      </c>
      <c r="Q2796" t="s">
        <v>1891</v>
      </c>
      <c r="R2796" t="s">
        <v>1990</v>
      </c>
      <c r="S2796" t="s">
        <v>1615</v>
      </c>
      <c r="T2796" t="s">
        <v>1713</v>
      </c>
    </row>
    <row r="2797" spans="1:20" x14ac:dyDescent="0.25">
      <c r="A2797">
        <v>9</v>
      </c>
      <c r="B2797">
        <v>199</v>
      </c>
      <c r="C2797" t="str">
        <f>"11"</f>
        <v>11</v>
      </c>
      <c r="D2797">
        <v>6399</v>
      </c>
      <c r="E2797" t="str">
        <f>"01"</f>
        <v>01</v>
      </c>
      <c r="F2797" t="str">
        <f>"041"</f>
        <v>041</v>
      </c>
      <c r="G2797">
        <v>9</v>
      </c>
      <c r="H2797" t="str">
        <f>"25"</f>
        <v>25</v>
      </c>
      <c r="I2797" t="str">
        <f t="shared" ref="I2797:I2828" si="479">"0"</f>
        <v>0</v>
      </c>
      <c r="J2797" t="str">
        <f>"25"</f>
        <v>25</v>
      </c>
      <c r="K2797">
        <v>20181005</v>
      </c>
      <c r="L2797" t="str">
        <f t="shared" ref="L2797:L2802" si="480">"074105"</f>
        <v>074105</v>
      </c>
      <c r="M2797" t="str">
        <f t="shared" ref="M2797:M2802" si="481">"16807"</f>
        <v>16807</v>
      </c>
      <c r="N2797" t="s">
        <v>1581</v>
      </c>
      <c r="O2797">
        <v>232</v>
      </c>
      <c r="P2797">
        <v>20181003</v>
      </c>
      <c r="Q2797" t="s">
        <v>1991</v>
      </c>
      <c r="R2797" t="s">
        <v>1992</v>
      </c>
      <c r="S2797" t="s">
        <v>1615</v>
      </c>
      <c r="T2797" t="s">
        <v>106</v>
      </c>
    </row>
    <row r="2798" spans="1:20" x14ac:dyDescent="0.25">
      <c r="A2798">
        <v>9</v>
      </c>
      <c r="B2798">
        <v>199</v>
      </c>
      <c r="C2798" t="str">
        <f>"11"</f>
        <v>11</v>
      </c>
      <c r="D2798">
        <v>6399</v>
      </c>
      <c r="E2798" t="str">
        <f>"10"</f>
        <v>10</v>
      </c>
      <c r="F2798" t="str">
        <f>"101"</f>
        <v>101</v>
      </c>
      <c r="G2798">
        <v>9</v>
      </c>
      <c r="H2798" t="str">
        <f>"11"</f>
        <v>11</v>
      </c>
      <c r="I2798" t="str">
        <f t="shared" si="479"/>
        <v>0</v>
      </c>
      <c r="J2798" t="str">
        <f>"80"</f>
        <v>80</v>
      </c>
      <c r="K2798">
        <v>20181005</v>
      </c>
      <c r="L2798" t="str">
        <f t="shared" si="480"/>
        <v>074105</v>
      </c>
      <c r="M2798" t="str">
        <f t="shared" si="481"/>
        <v>16807</v>
      </c>
      <c r="N2798" t="s">
        <v>1581</v>
      </c>
      <c r="O2798" s="1">
        <v>2721.36</v>
      </c>
      <c r="P2798">
        <v>20181003</v>
      </c>
      <c r="Q2798" t="s">
        <v>1981</v>
      </c>
      <c r="R2798" t="s">
        <v>1993</v>
      </c>
      <c r="S2798" t="s">
        <v>1615</v>
      </c>
      <c r="T2798" t="s">
        <v>1479</v>
      </c>
    </row>
    <row r="2799" spans="1:20" x14ac:dyDescent="0.25">
      <c r="A2799">
        <v>9</v>
      </c>
      <c r="B2799">
        <v>199</v>
      </c>
      <c r="C2799" t="str">
        <f>"11"</f>
        <v>11</v>
      </c>
      <c r="D2799">
        <v>6399</v>
      </c>
      <c r="E2799" t="str">
        <f>"10"</f>
        <v>10</v>
      </c>
      <c r="F2799" t="str">
        <f>"101"</f>
        <v>101</v>
      </c>
      <c r="G2799">
        <v>9</v>
      </c>
      <c r="H2799" t="str">
        <f>"11"</f>
        <v>11</v>
      </c>
      <c r="I2799" t="str">
        <f t="shared" si="479"/>
        <v>0</v>
      </c>
      <c r="J2799" t="str">
        <f>"80"</f>
        <v>80</v>
      </c>
      <c r="K2799">
        <v>20181005</v>
      </c>
      <c r="L2799" t="str">
        <f t="shared" si="480"/>
        <v>074105</v>
      </c>
      <c r="M2799" t="str">
        <f t="shared" si="481"/>
        <v>16807</v>
      </c>
      <c r="N2799" t="s">
        <v>1581</v>
      </c>
      <c r="O2799">
        <v>21.2</v>
      </c>
      <c r="P2799">
        <v>20181003</v>
      </c>
      <c r="Q2799" t="s">
        <v>1981</v>
      </c>
      <c r="R2799" t="s">
        <v>1994</v>
      </c>
      <c r="S2799" t="s">
        <v>1615</v>
      </c>
      <c r="T2799" t="s">
        <v>1479</v>
      </c>
    </row>
    <row r="2800" spans="1:20" x14ac:dyDescent="0.25">
      <c r="A2800">
        <v>9</v>
      </c>
      <c r="B2800">
        <v>199</v>
      </c>
      <c r="C2800" t="str">
        <f>"11"</f>
        <v>11</v>
      </c>
      <c r="D2800">
        <v>6399</v>
      </c>
      <c r="E2800" t="str">
        <f>"10"</f>
        <v>10</v>
      </c>
      <c r="F2800" t="str">
        <f>"101"</f>
        <v>101</v>
      </c>
      <c r="G2800">
        <v>9</v>
      </c>
      <c r="H2800" t="str">
        <f>"11"</f>
        <v>11</v>
      </c>
      <c r="I2800" t="str">
        <f t="shared" si="479"/>
        <v>0</v>
      </c>
      <c r="J2800" t="str">
        <f>"80"</f>
        <v>80</v>
      </c>
      <c r="K2800">
        <v>20181005</v>
      </c>
      <c r="L2800" t="str">
        <f t="shared" si="480"/>
        <v>074105</v>
      </c>
      <c r="M2800" t="str">
        <f t="shared" si="481"/>
        <v>16807</v>
      </c>
      <c r="N2800" t="s">
        <v>1581</v>
      </c>
      <c r="O2800">
        <v>305.2</v>
      </c>
      <c r="P2800">
        <v>20181003</v>
      </c>
      <c r="Q2800" t="s">
        <v>1981</v>
      </c>
      <c r="R2800" t="s">
        <v>1995</v>
      </c>
      <c r="S2800" t="s">
        <v>1615</v>
      </c>
      <c r="T2800" t="s">
        <v>1479</v>
      </c>
    </row>
    <row r="2801" spans="1:20" x14ac:dyDescent="0.25">
      <c r="A2801">
        <v>9</v>
      </c>
      <c r="B2801">
        <v>199</v>
      </c>
      <c r="C2801" t="str">
        <f>"11"</f>
        <v>11</v>
      </c>
      <c r="D2801">
        <v>6399</v>
      </c>
      <c r="E2801" t="str">
        <f>"11"</f>
        <v>11</v>
      </c>
      <c r="F2801" t="str">
        <f>"001"</f>
        <v>001</v>
      </c>
      <c r="G2801">
        <v>9</v>
      </c>
      <c r="H2801" t="str">
        <f>"11"</f>
        <v>11</v>
      </c>
      <c r="I2801" t="str">
        <f t="shared" si="479"/>
        <v>0</v>
      </c>
      <c r="J2801" t="str">
        <f>"01"</f>
        <v>01</v>
      </c>
      <c r="K2801">
        <v>20181005</v>
      </c>
      <c r="L2801" t="str">
        <f t="shared" si="480"/>
        <v>074105</v>
      </c>
      <c r="M2801" t="str">
        <f t="shared" si="481"/>
        <v>16807</v>
      </c>
      <c r="N2801" t="s">
        <v>1581</v>
      </c>
      <c r="O2801">
        <v>495</v>
      </c>
      <c r="P2801">
        <v>20181003</v>
      </c>
      <c r="Q2801" t="s">
        <v>1996</v>
      </c>
      <c r="R2801" t="s">
        <v>1997</v>
      </c>
      <c r="S2801" t="s">
        <v>1615</v>
      </c>
      <c r="T2801" t="s">
        <v>301</v>
      </c>
    </row>
    <row r="2802" spans="1:20" x14ac:dyDescent="0.25">
      <c r="A2802">
        <v>9</v>
      </c>
      <c r="B2802">
        <v>199</v>
      </c>
      <c r="C2802" t="str">
        <f>"23"</f>
        <v>23</v>
      </c>
      <c r="D2802">
        <v>6399</v>
      </c>
      <c r="E2802" t="str">
        <f>"8K"</f>
        <v>8K</v>
      </c>
      <c r="F2802" t="str">
        <f>"101"</f>
        <v>101</v>
      </c>
      <c r="G2802">
        <v>9</v>
      </c>
      <c r="H2802" t="str">
        <f>"99"</f>
        <v>99</v>
      </c>
      <c r="I2802" t="str">
        <f t="shared" si="479"/>
        <v>0</v>
      </c>
      <c r="J2802" t="str">
        <f>"04"</f>
        <v>04</v>
      </c>
      <c r="K2802">
        <v>20181005</v>
      </c>
      <c r="L2802" t="str">
        <f t="shared" si="480"/>
        <v>074105</v>
      </c>
      <c r="M2802" t="str">
        <f t="shared" si="481"/>
        <v>16807</v>
      </c>
      <c r="N2802" t="s">
        <v>1581</v>
      </c>
      <c r="O2802" s="1">
        <v>1889.16</v>
      </c>
      <c r="P2802">
        <v>20181003</v>
      </c>
      <c r="Q2802" t="s">
        <v>1998</v>
      </c>
      <c r="R2802" t="s">
        <v>1999</v>
      </c>
      <c r="S2802" t="s">
        <v>1615</v>
      </c>
      <c r="T2802" t="s">
        <v>1479</v>
      </c>
    </row>
    <row r="2803" spans="1:20" x14ac:dyDescent="0.25">
      <c r="A2803">
        <v>9</v>
      </c>
      <c r="B2803">
        <v>199</v>
      </c>
      <c r="C2803" t="str">
        <f>"11"</f>
        <v>11</v>
      </c>
      <c r="D2803">
        <v>6399</v>
      </c>
      <c r="E2803" t="str">
        <f>"V8"</f>
        <v>V8</v>
      </c>
      <c r="F2803" t="str">
        <f>"001"</f>
        <v>001</v>
      </c>
      <c r="G2803">
        <v>9</v>
      </c>
      <c r="H2803" t="str">
        <f>"22"</f>
        <v>22</v>
      </c>
      <c r="I2803" t="str">
        <f t="shared" si="479"/>
        <v>0</v>
      </c>
      <c r="J2803" t="str">
        <f>"22"</f>
        <v>22</v>
      </c>
      <c r="K2803">
        <v>20181005</v>
      </c>
      <c r="L2803" t="str">
        <f>"074106"</f>
        <v>074106</v>
      </c>
      <c r="M2803" t="str">
        <f>"19421"</f>
        <v>19421</v>
      </c>
      <c r="N2803" t="s">
        <v>2000</v>
      </c>
      <c r="O2803" s="1">
        <v>2800</v>
      </c>
      <c r="P2803">
        <v>20181003</v>
      </c>
      <c r="Q2803" t="s">
        <v>2001</v>
      </c>
      <c r="R2803" t="s">
        <v>2002</v>
      </c>
      <c r="S2803" t="s">
        <v>1615</v>
      </c>
      <c r="T2803" t="s">
        <v>301</v>
      </c>
    </row>
    <row r="2804" spans="1:20" x14ac:dyDescent="0.25">
      <c r="A2804">
        <v>9</v>
      </c>
      <c r="B2804">
        <v>199</v>
      </c>
      <c r="C2804" t="str">
        <f t="shared" ref="C2804:C2818" si="482">"51"</f>
        <v>51</v>
      </c>
      <c r="D2804">
        <v>6255</v>
      </c>
      <c r="E2804" t="str">
        <f t="shared" ref="E2804:E2810" si="483">"10"</f>
        <v>10</v>
      </c>
      <c r="F2804" t="str">
        <f>"001"</f>
        <v>001</v>
      </c>
      <c r="G2804">
        <v>9</v>
      </c>
      <c r="H2804" t="str">
        <f t="shared" ref="H2804:H2819" si="484">"99"</f>
        <v>99</v>
      </c>
      <c r="I2804" t="str">
        <f t="shared" si="479"/>
        <v>0</v>
      </c>
      <c r="J2804" t="str">
        <f t="shared" ref="J2804:J2818" si="485">"73"</f>
        <v>73</v>
      </c>
      <c r="K2804">
        <v>20181005</v>
      </c>
      <c r="L2804" t="str">
        <f t="shared" ref="L2804:L2818" si="486">"074110"</f>
        <v>074110</v>
      </c>
      <c r="M2804" t="str">
        <f t="shared" ref="M2804:M2818" si="487">"20706"</f>
        <v>20706</v>
      </c>
      <c r="N2804" t="s">
        <v>2003</v>
      </c>
      <c r="O2804" s="1">
        <v>11517.86</v>
      </c>
      <c r="P2804">
        <v>20181003</v>
      </c>
      <c r="Q2804" t="s">
        <v>2004</v>
      </c>
      <c r="R2804" t="s">
        <v>2005</v>
      </c>
      <c r="S2804" t="s">
        <v>1615</v>
      </c>
      <c r="T2804" t="s">
        <v>301</v>
      </c>
    </row>
    <row r="2805" spans="1:20" x14ac:dyDescent="0.25">
      <c r="A2805">
        <v>9</v>
      </c>
      <c r="B2805">
        <v>199</v>
      </c>
      <c r="C2805" t="str">
        <f t="shared" si="482"/>
        <v>51</v>
      </c>
      <c r="D2805">
        <v>6255</v>
      </c>
      <c r="E2805" t="str">
        <f t="shared" si="483"/>
        <v>10</v>
      </c>
      <c r="F2805" t="str">
        <f>"002"</f>
        <v>002</v>
      </c>
      <c r="G2805">
        <v>9</v>
      </c>
      <c r="H2805" t="str">
        <f t="shared" si="484"/>
        <v>99</v>
      </c>
      <c r="I2805" t="str">
        <f t="shared" si="479"/>
        <v>0</v>
      </c>
      <c r="J2805" t="str">
        <f t="shared" si="485"/>
        <v>73</v>
      </c>
      <c r="K2805">
        <v>20181005</v>
      </c>
      <c r="L2805" t="str">
        <f t="shared" si="486"/>
        <v>074110</v>
      </c>
      <c r="M2805" t="str">
        <f t="shared" si="487"/>
        <v>20706</v>
      </c>
      <c r="N2805" t="s">
        <v>2003</v>
      </c>
      <c r="O2805">
        <v>87.06</v>
      </c>
      <c r="P2805">
        <v>20181003</v>
      </c>
      <c r="Q2805" t="s">
        <v>2006</v>
      </c>
      <c r="R2805" t="s">
        <v>2007</v>
      </c>
      <c r="S2805" t="s">
        <v>1615</v>
      </c>
      <c r="T2805" t="s">
        <v>1485</v>
      </c>
    </row>
    <row r="2806" spans="1:20" x14ac:dyDescent="0.25">
      <c r="A2806">
        <v>9</v>
      </c>
      <c r="B2806">
        <v>199</v>
      </c>
      <c r="C2806" t="str">
        <f t="shared" si="482"/>
        <v>51</v>
      </c>
      <c r="D2806">
        <v>6255</v>
      </c>
      <c r="E2806" t="str">
        <f t="shared" si="483"/>
        <v>10</v>
      </c>
      <c r="F2806" t="str">
        <f>"041"</f>
        <v>041</v>
      </c>
      <c r="G2806">
        <v>9</v>
      </c>
      <c r="H2806" t="str">
        <f t="shared" si="484"/>
        <v>99</v>
      </c>
      <c r="I2806" t="str">
        <f t="shared" si="479"/>
        <v>0</v>
      </c>
      <c r="J2806" t="str">
        <f t="shared" si="485"/>
        <v>73</v>
      </c>
      <c r="K2806">
        <v>20181005</v>
      </c>
      <c r="L2806" t="str">
        <f t="shared" si="486"/>
        <v>074110</v>
      </c>
      <c r="M2806" t="str">
        <f t="shared" si="487"/>
        <v>20706</v>
      </c>
      <c r="N2806" t="s">
        <v>2003</v>
      </c>
      <c r="O2806" s="1">
        <v>1231.43</v>
      </c>
      <c r="P2806">
        <v>20181003</v>
      </c>
      <c r="Q2806" t="s">
        <v>2008</v>
      </c>
      <c r="R2806" t="s">
        <v>2009</v>
      </c>
      <c r="S2806" t="s">
        <v>1615</v>
      </c>
      <c r="T2806" t="s">
        <v>106</v>
      </c>
    </row>
    <row r="2807" spans="1:20" x14ac:dyDescent="0.25">
      <c r="A2807">
        <v>9</v>
      </c>
      <c r="B2807">
        <v>199</v>
      </c>
      <c r="C2807" t="str">
        <f t="shared" si="482"/>
        <v>51</v>
      </c>
      <c r="D2807">
        <v>6255</v>
      </c>
      <c r="E2807" t="str">
        <f t="shared" si="483"/>
        <v>10</v>
      </c>
      <c r="F2807" t="str">
        <f>"101"</f>
        <v>101</v>
      </c>
      <c r="G2807">
        <v>9</v>
      </c>
      <c r="H2807" t="str">
        <f t="shared" si="484"/>
        <v>99</v>
      </c>
      <c r="I2807" t="str">
        <f t="shared" si="479"/>
        <v>0</v>
      </c>
      <c r="J2807" t="str">
        <f t="shared" si="485"/>
        <v>73</v>
      </c>
      <c r="K2807">
        <v>20181005</v>
      </c>
      <c r="L2807" t="str">
        <f t="shared" si="486"/>
        <v>074110</v>
      </c>
      <c r="M2807" t="str">
        <f t="shared" si="487"/>
        <v>20706</v>
      </c>
      <c r="N2807" t="s">
        <v>2003</v>
      </c>
      <c r="O2807" s="1">
        <v>2078.39</v>
      </c>
      <c r="P2807">
        <v>20181003</v>
      </c>
      <c r="Q2807" t="s">
        <v>2010</v>
      </c>
      <c r="R2807" t="s">
        <v>2011</v>
      </c>
      <c r="S2807" t="s">
        <v>1615</v>
      </c>
      <c r="T2807" t="s">
        <v>1479</v>
      </c>
    </row>
    <row r="2808" spans="1:20" x14ac:dyDescent="0.25">
      <c r="A2808">
        <v>9</v>
      </c>
      <c r="B2808">
        <v>199</v>
      </c>
      <c r="C2808" t="str">
        <f t="shared" si="482"/>
        <v>51</v>
      </c>
      <c r="D2808">
        <v>6255</v>
      </c>
      <c r="E2808" t="str">
        <f t="shared" si="483"/>
        <v>10</v>
      </c>
      <c r="F2808" t="str">
        <f>"104"</f>
        <v>104</v>
      </c>
      <c r="G2808">
        <v>9</v>
      </c>
      <c r="H2808" t="str">
        <f t="shared" si="484"/>
        <v>99</v>
      </c>
      <c r="I2808" t="str">
        <f t="shared" si="479"/>
        <v>0</v>
      </c>
      <c r="J2808" t="str">
        <f t="shared" si="485"/>
        <v>73</v>
      </c>
      <c r="K2808">
        <v>20181005</v>
      </c>
      <c r="L2808" t="str">
        <f t="shared" si="486"/>
        <v>074110</v>
      </c>
      <c r="M2808" t="str">
        <f t="shared" si="487"/>
        <v>20706</v>
      </c>
      <c r="N2808" t="s">
        <v>2003</v>
      </c>
      <c r="O2808" s="1">
        <v>1328.59</v>
      </c>
      <c r="P2808">
        <v>20181003</v>
      </c>
      <c r="Q2808" t="s">
        <v>2012</v>
      </c>
      <c r="R2808" t="s">
        <v>2013</v>
      </c>
      <c r="S2808" t="s">
        <v>1615</v>
      </c>
      <c r="T2808" t="s">
        <v>46</v>
      </c>
    </row>
    <row r="2809" spans="1:20" x14ac:dyDescent="0.25">
      <c r="A2809">
        <v>9</v>
      </c>
      <c r="B2809">
        <v>199</v>
      </c>
      <c r="C2809" t="str">
        <f t="shared" si="482"/>
        <v>51</v>
      </c>
      <c r="D2809">
        <v>6255</v>
      </c>
      <c r="E2809" t="str">
        <f t="shared" si="483"/>
        <v>10</v>
      </c>
      <c r="F2809" t="str">
        <f>"935"</f>
        <v>935</v>
      </c>
      <c r="G2809">
        <v>9</v>
      </c>
      <c r="H2809" t="str">
        <f t="shared" si="484"/>
        <v>99</v>
      </c>
      <c r="I2809" t="str">
        <f t="shared" si="479"/>
        <v>0</v>
      </c>
      <c r="J2809" t="str">
        <f t="shared" si="485"/>
        <v>73</v>
      </c>
      <c r="K2809">
        <v>20181005</v>
      </c>
      <c r="L2809" t="str">
        <f t="shared" si="486"/>
        <v>074110</v>
      </c>
      <c r="M2809" t="str">
        <f t="shared" si="487"/>
        <v>20706</v>
      </c>
      <c r="N2809" t="s">
        <v>2003</v>
      </c>
      <c r="O2809">
        <v>466.91</v>
      </c>
      <c r="P2809">
        <v>20181004</v>
      </c>
      <c r="Q2809" t="s">
        <v>2014</v>
      </c>
      <c r="R2809" t="s">
        <v>2015</v>
      </c>
      <c r="S2809" t="s">
        <v>1615</v>
      </c>
      <c r="T2809" t="s">
        <v>1876</v>
      </c>
    </row>
    <row r="2810" spans="1:20" x14ac:dyDescent="0.25">
      <c r="A2810">
        <v>9</v>
      </c>
      <c r="B2810">
        <v>199</v>
      </c>
      <c r="C2810" t="str">
        <f t="shared" si="482"/>
        <v>51</v>
      </c>
      <c r="D2810">
        <v>6255</v>
      </c>
      <c r="E2810" t="str">
        <f t="shared" si="483"/>
        <v>10</v>
      </c>
      <c r="F2810" t="str">
        <f>"936"</f>
        <v>936</v>
      </c>
      <c r="G2810">
        <v>9</v>
      </c>
      <c r="H2810" t="str">
        <f t="shared" si="484"/>
        <v>99</v>
      </c>
      <c r="I2810" t="str">
        <f t="shared" si="479"/>
        <v>0</v>
      </c>
      <c r="J2810" t="str">
        <f t="shared" si="485"/>
        <v>73</v>
      </c>
      <c r="K2810">
        <v>20181005</v>
      </c>
      <c r="L2810" t="str">
        <f t="shared" si="486"/>
        <v>074110</v>
      </c>
      <c r="M2810" t="str">
        <f t="shared" si="487"/>
        <v>20706</v>
      </c>
      <c r="N2810" t="s">
        <v>2003</v>
      </c>
      <c r="O2810">
        <v>135.31</v>
      </c>
      <c r="P2810">
        <v>20181003</v>
      </c>
      <c r="Q2810" t="s">
        <v>2016</v>
      </c>
      <c r="R2810" t="s">
        <v>2017</v>
      </c>
      <c r="S2810" t="s">
        <v>1615</v>
      </c>
      <c r="T2810" t="s">
        <v>1713</v>
      </c>
    </row>
    <row r="2811" spans="1:20" x14ac:dyDescent="0.25">
      <c r="A2811">
        <v>9</v>
      </c>
      <c r="B2811">
        <v>199</v>
      </c>
      <c r="C2811" t="str">
        <f t="shared" si="482"/>
        <v>51</v>
      </c>
      <c r="D2811">
        <v>6255</v>
      </c>
      <c r="E2811" t="str">
        <f>"11"</f>
        <v>11</v>
      </c>
      <c r="F2811" t="str">
        <f>"001"</f>
        <v>001</v>
      </c>
      <c r="G2811">
        <v>9</v>
      </c>
      <c r="H2811" t="str">
        <f t="shared" si="484"/>
        <v>99</v>
      </c>
      <c r="I2811" t="str">
        <f t="shared" si="479"/>
        <v>0</v>
      </c>
      <c r="J2811" t="str">
        <f t="shared" si="485"/>
        <v>73</v>
      </c>
      <c r="K2811">
        <v>20181005</v>
      </c>
      <c r="L2811" t="str">
        <f t="shared" si="486"/>
        <v>074110</v>
      </c>
      <c r="M2811" t="str">
        <f t="shared" si="487"/>
        <v>20706</v>
      </c>
      <c r="N2811" t="s">
        <v>2003</v>
      </c>
      <c r="O2811">
        <v>551.91</v>
      </c>
      <c r="P2811">
        <v>20181003</v>
      </c>
      <c r="Q2811" t="s">
        <v>2018</v>
      </c>
      <c r="R2811" t="s">
        <v>2019</v>
      </c>
      <c r="S2811" t="s">
        <v>1615</v>
      </c>
      <c r="T2811" t="s">
        <v>301</v>
      </c>
    </row>
    <row r="2812" spans="1:20" x14ac:dyDescent="0.25">
      <c r="A2812">
        <v>9</v>
      </c>
      <c r="B2812">
        <v>199</v>
      </c>
      <c r="C2812" t="str">
        <f t="shared" si="482"/>
        <v>51</v>
      </c>
      <c r="D2812">
        <v>6255</v>
      </c>
      <c r="E2812" t="str">
        <f>"11"</f>
        <v>11</v>
      </c>
      <c r="F2812" t="str">
        <f>"104"</f>
        <v>104</v>
      </c>
      <c r="G2812">
        <v>9</v>
      </c>
      <c r="H2812" t="str">
        <f t="shared" si="484"/>
        <v>99</v>
      </c>
      <c r="I2812" t="str">
        <f t="shared" si="479"/>
        <v>0</v>
      </c>
      <c r="J2812" t="str">
        <f t="shared" si="485"/>
        <v>73</v>
      </c>
      <c r="K2812">
        <v>20181005</v>
      </c>
      <c r="L2812" t="str">
        <f t="shared" si="486"/>
        <v>074110</v>
      </c>
      <c r="M2812" t="str">
        <f t="shared" si="487"/>
        <v>20706</v>
      </c>
      <c r="N2812" t="s">
        <v>2003</v>
      </c>
      <c r="O2812">
        <v>63.4</v>
      </c>
      <c r="P2812">
        <v>20181003</v>
      </c>
      <c r="Q2812" t="s">
        <v>2020</v>
      </c>
      <c r="R2812" t="s">
        <v>2021</v>
      </c>
      <c r="S2812" t="s">
        <v>1615</v>
      </c>
      <c r="T2812" t="s">
        <v>46</v>
      </c>
    </row>
    <row r="2813" spans="1:20" x14ac:dyDescent="0.25">
      <c r="A2813">
        <v>9</v>
      </c>
      <c r="B2813">
        <v>199</v>
      </c>
      <c r="C2813" t="str">
        <f t="shared" si="482"/>
        <v>51</v>
      </c>
      <c r="D2813">
        <v>6255</v>
      </c>
      <c r="E2813" t="str">
        <f>"3F"</f>
        <v>3F</v>
      </c>
      <c r="F2813" t="str">
        <f>"877"</f>
        <v>877</v>
      </c>
      <c r="G2813">
        <v>9</v>
      </c>
      <c r="H2813" t="str">
        <f t="shared" si="484"/>
        <v>99</v>
      </c>
      <c r="I2813" t="str">
        <f t="shared" si="479"/>
        <v>0</v>
      </c>
      <c r="J2813" t="str">
        <f t="shared" si="485"/>
        <v>73</v>
      </c>
      <c r="K2813">
        <v>20181005</v>
      </c>
      <c r="L2813" t="str">
        <f t="shared" si="486"/>
        <v>074110</v>
      </c>
      <c r="M2813" t="str">
        <f t="shared" si="487"/>
        <v>20706</v>
      </c>
      <c r="N2813" t="s">
        <v>2003</v>
      </c>
      <c r="O2813" s="1">
        <v>6531.15</v>
      </c>
      <c r="P2813">
        <v>20181003</v>
      </c>
      <c r="Q2813" t="s">
        <v>2022</v>
      </c>
      <c r="R2813" t="s">
        <v>2023</v>
      </c>
      <c r="S2813" t="s">
        <v>1615</v>
      </c>
      <c r="T2813" t="s">
        <v>2024</v>
      </c>
    </row>
    <row r="2814" spans="1:20" x14ac:dyDescent="0.25">
      <c r="A2814">
        <v>9</v>
      </c>
      <c r="B2814">
        <v>199</v>
      </c>
      <c r="C2814" t="str">
        <f t="shared" si="482"/>
        <v>51</v>
      </c>
      <c r="D2814">
        <v>6258</v>
      </c>
      <c r="E2814" t="str">
        <f>"10"</f>
        <v>10</v>
      </c>
      <c r="F2814" t="str">
        <f>"001"</f>
        <v>001</v>
      </c>
      <c r="G2814">
        <v>9</v>
      </c>
      <c r="H2814" t="str">
        <f t="shared" si="484"/>
        <v>99</v>
      </c>
      <c r="I2814" t="str">
        <f t="shared" si="479"/>
        <v>0</v>
      </c>
      <c r="J2814" t="str">
        <f t="shared" si="485"/>
        <v>73</v>
      </c>
      <c r="K2814">
        <v>20181005</v>
      </c>
      <c r="L2814" t="str">
        <f t="shared" si="486"/>
        <v>074110</v>
      </c>
      <c r="M2814" t="str">
        <f t="shared" si="487"/>
        <v>20706</v>
      </c>
      <c r="N2814" t="s">
        <v>2003</v>
      </c>
      <c r="O2814" s="1">
        <v>1032.5999999999999</v>
      </c>
      <c r="P2814">
        <v>20181003</v>
      </c>
      <c r="Q2814" t="s">
        <v>2025</v>
      </c>
      <c r="R2814" t="s">
        <v>2026</v>
      </c>
      <c r="S2814" t="s">
        <v>1615</v>
      </c>
      <c r="T2814" t="s">
        <v>301</v>
      </c>
    </row>
    <row r="2815" spans="1:20" x14ac:dyDescent="0.25">
      <c r="A2815">
        <v>9</v>
      </c>
      <c r="B2815">
        <v>199</v>
      </c>
      <c r="C2815" t="str">
        <f t="shared" si="482"/>
        <v>51</v>
      </c>
      <c r="D2815">
        <v>6258</v>
      </c>
      <c r="E2815" t="str">
        <f>"10"</f>
        <v>10</v>
      </c>
      <c r="F2815" t="str">
        <f>"041"</f>
        <v>041</v>
      </c>
      <c r="G2815">
        <v>9</v>
      </c>
      <c r="H2815" t="str">
        <f t="shared" si="484"/>
        <v>99</v>
      </c>
      <c r="I2815" t="str">
        <f t="shared" si="479"/>
        <v>0</v>
      </c>
      <c r="J2815" t="str">
        <f t="shared" si="485"/>
        <v>73</v>
      </c>
      <c r="K2815">
        <v>20181005</v>
      </c>
      <c r="L2815" t="str">
        <f t="shared" si="486"/>
        <v>074110</v>
      </c>
      <c r="M2815" t="str">
        <f t="shared" si="487"/>
        <v>20706</v>
      </c>
      <c r="N2815" t="s">
        <v>2003</v>
      </c>
      <c r="O2815">
        <v>288.88</v>
      </c>
      <c r="P2815">
        <v>20181003</v>
      </c>
      <c r="Q2815" t="s">
        <v>2027</v>
      </c>
      <c r="R2815" t="s">
        <v>2028</v>
      </c>
      <c r="S2815" t="s">
        <v>1615</v>
      </c>
      <c r="T2815" t="s">
        <v>106</v>
      </c>
    </row>
    <row r="2816" spans="1:20" x14ac:dyDescent="0.25">
      <c r="A2816">
        <v>9</v>
      </c>
      <c r="B2816">
        <v>199</v>
      </c>
      <c r="C2816" t="str">
        <f t="shared" si="482"/>
        <v>51</v>
      </c>
      <c r="D2816">
        <v>6258</v>
      </c>
      <c r="E2816" t="str">
        <f>"10"</f>
        <v>10</v>
      </c>
      <c r="F2816" t="str">
        <f>"101"</f>
        <v>101</v>
      </c>
      <c r="G2816">
        <v>9</v>
      </c>
      <c r="H2816" t="str">
        <f t="shared" si="484"/>
        <v>99</v>
      </c>
      <c r="I2816" t="str">
        <f t="shared" si="479"/>
        <v>0</v>
      </c>
      <c r="J2816" t="str">
        <f t="shared" si="485"/>
        <v>73</v>
      </c>
      <c r="K2816">
        <v>20181005</v>
      </c>
      <c r="L2816" t="str">
        <f t="shared" si="486"/>
        <v>074110</v>
      </c>
      <c r="M2816" t="str">
        <f t="shared" si="487"/>
        <v>20706</v>
      </c>
      <c r="N2816" t="s">
        <v>2003</v>
      </c>
      <c r="O2816">
        <v>188.38</v>
      </c>
      <c r="P2816">
        <v>20181003</v>
      </c>
      <c r="Q2816" t="s">
        <v>2029</v>
      </c>
      <c r="R2816" t="s">
        <v>2030</v>
      </c>
      <c r="S2816" t="s">
        <v>1615</v>
      </c>
      <c r="T2816" t="s">
        <v>1479</v>
      </c>
    </row>
    <row r="2817" spans="1:20" x14ac:dyDescent="0.25">
      <c r="A2817">
        <v>9</v>
      </c>
      <c r="B2817">
        <v>199</v>
      </c>
      <c r="C2817" t="str">
        <f t="shared" si="482"/>
        <v>51</v>
      </c>
      <c r="D2817">
        <v>6258</v>
      </c>
      <c r="E2817" t="str">
        <f>"10"</f>
        <v>10</v>
      </c>
      <c r="F2817" t="str">
        <f>"104"</f>
        <v>104</v>
      </c>
      <c r="G2817">
        <v>9</v>
      </c>
      <c r="H2817" t="str">
        <f t="shared" si="484"/>
        <v>99</v>
      </c>
      <c r="I2817" t="str">
        <f t="shared" si="479"/>
        <v>0</v>
      </c>
      <c r="J2817" t="str">
        <f t="shared" si="485"/>
        <v>73</v>
      </c>
      <c r="K2817">
        <v>20181005</v>
      </c>
      <c r="L2817" t="str">
        <f t="shared" si="486"/>
        <v>074110</v>
      </c>
      <c r="M2817" t="str">
        <f t="shared" si="487"/>
        <v>20706</v>
      </c>
      <c r="N2817" t="s">
        <v>2003</v>
      </c>
      <c r="O2817">
        <v>58.28</v>
      </c>
      <c r="P2817">
        <v>20181003</v>
      </c>
      <c r="Q2817" t="s">
        <v>2031</v>
      </c>
      <c r="R2817" t="s">
        <v>2032</v>
      </c>
      <c r="S2817" t="s">
        <v>1615</v>
      </c>
      <c r="T2817" t="s">
        <v>46</v>
      </c>
    </row>
    <row r="2818" spans="1:20" x14ac:dyDescent="0.25">
      <c r="A2818">
        <v>9</v>
      </c>
      <c r="B2818">
        <v>199</v>
      </c>
      <c r="C2818" t="str">
        <f t="shared" si="482"/>
        <v>51</v>
      </c>
      <c r="D2818">
        <v>6258</v>
      </c>
      <c r="E2818" t="str">
        <f>"11"</f>
        <v>11</v>
      </c>
      <c r="F2818" t="str">
        <f>"001"</f>
        <v>001</v>
      </c>
      <c r="G2818">
        <v>9</v>
      </c>
      <c r="H2818" t="str">
        <f t="shared" si="484"/>
        <v>99</v>
      </c>
      <c r="I2818" t="str">
        <f t="shared" si="479"/>
        <v>0</v>
      </c>
      <c r="J2818" t="str">
        <f t="shared" si="485"/>
        <v>73</v>
      </c>
      <c r="K2818">
        <v>20181005</v>
      </c>
      <c r="L2818" t="str">
        <f t="shared" si="486"/>
        <v>074110</v>
      </c>
      <c r="M2818" t="str">
        <f t="shared" si="487"/>
        <v>20706</v>
      </c>
      <c r="N2818" t="s">
        <v>2003</v>
      </c>
      <c r="O2818">
        <v>197.58</v>
      </c>
      <c r="P2818">
        <v>20181003</v>
      </c>
      <c r="Q2818" t="s">
        <v>2033</v>
      </c>
      <c r="R2818" t="s">
        <v>2034</v>
      </c>
      <c r="S2818" t="s">
        <v>1615</v>
      </c>
      <c r="T2818" t="s">
        <v>301</v>
      </c>
    </row>
    <row r="2819" spans="1:20" x14ac:dyDescent="0.25">
      <c r="A2819">
        <v>9</v>
      </c>
      <c r="B2819">
        <v>199</v>
      </c>
      <c r="C2819" t="str">
        <f>"34"</f>
        <v>34</v>
      </c>
      <c r="D2819">
        <v>6249</v>
      </c>
      <c r="E2819" t="str">
        <f>"10"</f>
        <v>10</v>
      </c>
      <c r="F2819" t="str">
        <f>"937"</f>
        <v>937</v>
      </c>
      <c r="G2819">
        <v>9</v>
      </c>
      <c r="H2819" t="str">
        <f t="shared" si="484"/>
        <v>99</v>
      </c>
      <c r="I2819" t="str">
        <f t="shared" si="479"/>
        <v>0</v>
      </c>
      <c r="J2819" t="str">
        <f>"82"</f>
        <v>82</v>
      </c>
      <c r="K2819">
        <v>20181005</v>
      </c>
      <c r="L2819" t="str">
        <f>"074111"</f>
        <v>074111</v>
      </c>
      <c r="M2819" t="str">
        <f>"21091"</f>
        <v>21091</v>
      </c>
      <c r="N2819" t="s">
        <v>2035</v>
      </c>
      <c r="O2819">
        <v>420.67</v>
      </c>
      <c r="P2819">
        <v>20181003</v>
      </c>
      <c r="Q2819" t="s">
        <v>2036</v>
      </c>
      <c r="R2819" t="s">
        <v>2037</v>
      </c>
      <c r="S2819" t="s">
        <v>1615</v>
      </c>
      <c r="T2819" t="s">
        <v>1810</v>
      </c>
    </row>
    <row r="2820" spans="1:20" x14ac:dyDescent="0.25">
      <c r="A2820">
        <v>9</v>
      </c>
      <c r="B2820">
        <v>199</v>
      </c>
      <c r="C2820" t="str">
        <f>"21"</f>
        <v>21</v>
      </c>
      <c r="D2820">
        <v>6399</v>
      </c>
      <c r="E2820" t="str">
        <f>"00"</f>
        <v>00</v>
      </c>
      <c r="F2820" t="str">
        <f>"875"</f>
        <v>875</v>
      </c>
      <c r="G2820">
        <v>9</v>
      </c>
      <c r="H2820" t="str">
        <f>"23"</f>
        <v>23</v>
      </c>
      <c r="I2820" t="str">
        <f t="shared" si="479"/>
        <v>0</v>
      </c>
      <c r="J2820" t="str">
        <f>"23"</f>
        <v>23</v>
      </c>
      <c r="K2820">
        <v>20181005</v>
      </c>
      <c r="L2820" t="str">
        <f>"074112"</f>
        <v>074112</v>
      </c>
      <c r="M2820" t="str">
        <f>"21098"</f>
        <v>21098</v>
      </c>
      <c r="N2820" t="s">
        <v>2038</v>
      </c>
      <c r="O2820">
        <v>428.01</v>
      </c>
      <c r="P2820">
        <v>20181003</v>
      </c>
      <c r="Q2820" t="s">
        <v>2039</v>
      </c>
      <c r="R2820" t="s">
        <v>2040</v>
      </c>
      <c r="S2820" t="s">
        <v>1615</v>
      </c>
      <c r="T2820" t="s">
        <v>2041</v>
      </c>
    </row>
    <row r="2821" spans="1:20" x14ac:dyDescent="0.25">
      <c r="A2821">
        <v>9</v>
      </c>
      <c r="B2821">
        <v>199</v>
      </c>
      <c r="C2821" t="str">
        <f>"21"</f>
        <v>21</v>
      </c>
      <c r="D2821">
        <v>6399</v>
      </c>
      <c r="E2821" t="str">
        <f>"00"</f>
        <v>00</v>
      </c>
      <c r="F2821" t="str">
        <f>"875"</f>
        <v>875</v>
      </c>
      <c r="G2821">
        <v>9</v>
      </c>
      <c r="H2821" t="str">
        <f>"23"</f>
        <v>23</v>
      </c>
      <c r="I2821" t="str">
        <f t="shared" si="479"/>
        <v>0</v>
      </c>
      <c r="J2821" t="str">
        <f>"23"</f>
        <v>23</v>
      </c>
      <c r="K2821">
        <v>20181005</v>
      </c>
      <c r="L2821" t="str">
        <f>"074112"</f>
        <v>074112</v>
      </c>
      <c r="M2821" t="str">
        <f>"21098"</f>
        <v>21098</v>
      </c>
      <c r="N2821" t="s">
        <v>2038</v>
      </c>
      <c r="O2821">
        <v>142.66999999999999</v>
      </c>
      <c r="P2821">
        <v>20181003</v>
      </c>
      <c r="Q2821" t="s">
        <v>2039</v>
      </c>
      <c r="R2821" t="s">
        <v>2040</v>
      </c>
      <c r="S2821" t="s">
        <v>1615</v>
      </c>
      <c r="T2821" t="s">
        <v>2041</v>
      </c>
    </row>
    <row r="2822" spans="1:20" x14ac:dyDescent="0.25">
      <c r="A2822">
        <v>9</v>
      </c>
      <c r="B2822">
        <v>199</v>
      </c>
      <c r="C2822" t="str">
        <f>"21"</f>
        <v>21</v>
      </c>
      <c r="D2822">
        <v>6399</v>
      </c>
      <c r="E2822" t="str">
        <f>"00"</f>
        <v>00</v>
      </c>
      <c r="F2822" t="str">
        <f>"875"</f>
        <v>875</v>
      </c>
      <c r="G2822">
        <v>9</v>
      </c>
      <c r="H2822" t="str">
        <f>"23"</f>
        <v>23</v>
      </c>
      <c r="I2822" t="str">
        <f t="shared" si="479"/>
        <v>0</v>
      </c>
      <c r="J2822" t="str">
        <f>"23"</f>
        <v>23</v>
      </c>
      <c r="K2822">
        <v>20181005</v>
      </c>
      <c r="L2822" t="str">
        <f>"074112"</f>
        <v>074112</v>
      </c>
      <c r="M2822" t="str">
        <f>"21098"</f>
        <v>21098</v>
      </c>
      <c r="N2822" t="s">
        <v>2038</v>
      </c>
      <c r="O2822">
        <v>332.63</v>
      </c>
      <c r="P2822">
        <v>20181003</v>
      </c>
      <c r="Q2822" t="s">
        <v>2039</v>
      </c>
      <c r="R2822" t="s">
        <v>641</v>
      </c>
      <c r="S2822" t="s">
        <v>1615</v>
      </c>
      <c r="T2822" t="s">
        <v>2041</v>
      </c>
    </row>
    <row r="2823" spans="1:20" x14ac:dyDescent="0.25">
      <c r="A2823">
        <v>9</v>
      </c>
      <c r="B2823">
        <v>199</v>
      </c>
      <c r="C2823" t="str">
        <f>"41"</f>
        <v>41</v>
      </c>
      <c r="D2823">
        <v>6329</v>
      </c>
      <c r="E2823" t="str">
        <f>"10"</f>
        <v>10</v>
      </c>
      <c r="F2823" t="str">
        <f>"720"</f>
        <v>720</v>
      </c>
      <c r="G2823">
        <v>9</v>
      </c>
      <c r="H2823" t="str">
        <f>"99"</f>
        <v>99</v>
      </c>
      <c r="I2823" t="str">
        <f t="shared" si="479"/>
        <v>0</v>
      </c>
      <c r="J2823" t="str">
        <f>"91"</f>
        <v>91</v>
      </c>
      <c r="K2823">
        <v>20181005</v>
      </c>
      <c r="L2823" t="str">
        <f>"074114"</f>
        <v>074114</v>
      </c>
      <c r="M2823" t="str">
        <f>"21861"</f>
        <v>21861</v>
      </c>
      <c r="N2823" t="s">
        <v>2042</v>
      </c>
      <c r="O2823">
        <v>421.4</v>
      </c>
      <c r="P2823">
        <v>20181004</v>
      </c>
      <c r="Q2823" t="s">
        <v>2043</v>
      </c>
      <c r="R2823" t="s">
        <v>2044</v>
      </c>
      <c r="S2823" t="s">
        <v>1615</v>
      </c>
      <c r="T2823" t="s">
        <v>2045</v>
      </c>
    </row>
    <row r="2824" spans="1:20" x14ac:dyDescent="0.25">
      <c r="A2824">
        <v>9</v>
      </c>
      <c r="B2824">
        <v>199</v>
      </c>
      <c r="C2824" t="str">
        <f>"34"</f>
        <v>34</v>
      </c>
      <c r="D2824">
        <v>6249</v>
      </c>
      <c r="E2824" t="str">
        <f>"10"</f>
        <v>10</v>
      </c>
      <c r="F2824" t="str">
        <f>"937"</f>
        <v>937</v>
      </c>
      <c r="G2824">
        <v>9</v>
      </c>
      <c r="H2824" t="str">
        <f>"99"</f>
        <v>99</v>
      </c>
      <c r="I2824" t="str">
        <f t="shared" si="479"/>
        <v>0</v>
      </c>
      <c r="J2824" t="str">
        <f>"82"</f>
        <v>82</v>
      </c>
      <c r="K2824">
        <v>20181005</v>
      </c>
      <c r="L2824" t="str">
        <f>"074115"</f>
        <v>074115</v>
      </c>
      <c r="M2824" t="str">
        <f>"21901"</f>
        <v>21901</v>
      </c>
      <c r="N2824" t="s">
        <v>2046</v>
      </c>
      <c r="O2824">
        <v>643.57000000000005</v>
      </c>
      <c r="P2824">
        <v>20181003</v>
      </c>
      <c r="Q2824" t="s">
        <v>2036</v>
      </c>
      <c r="R2824" t="s">
        <v>2047</v>
      </c>
      <c r="S2824" t="s">
        <v>1615</v>
      </c>
      <c r="T2824" t="s">
        <v>1810</v>
      </c>
    </row>
    <row r="2825" spans="1:20" x14ac:dyDescent="0.25">
      <c r="A2825">
        <v>9</v>
      </c>
      <c r="B2825">
        <v>199</v>
      </c>
      <c r="C2825" t="str">
        <f>"34"</f>
        <v>34</v>
      </c>
      <c r="D2825">
        <v>6249</v>
      </c>
      <c r="E2825" t="str">
        <f>"10"</f>
        <v>10</v>
      </c>
      <c r="F2825" t="str">
        <f>"937"</f>
        <v>937</v>
      </c>
      <c r="G2825">
        <v>9</v>
      </c>
      <c r="H2825" t="str">
        <f>"99"</f>
        <v>99</v>
      </c>
      <c r="I2825" t="str">
        <f t="shared" si="479"/>
        <v>0</v>
      </c>
      <c r="J2825" t="str">
        <f>"82"</f>
        <v>82</v>
      </c>
      <c r="K2825">
        <v>20181005</v>
      </c>
      <c r="L2825" t="str">
        <f>"074115"</f>
        <v>074115</v>
      </c>
      <c r="M2825" t="str">
        <f>"21901"</f>
        <v>21901</v>
      </c>
      <c r="N2825" t="s">
        <v>2046</v>
      </c>
      <c r="O2825">
        <v>962.02</v>
      </c>
      <c r="P2825">
        <v>20181003</v>
      </c>
      <c r="Q2825" t="s">
        <v>2036</v>
      </c>
      <c r="R2825" t="s">
        <v>2048</v>
      </c>
      <c r="S2825" t="s">
        <v>1615</v>
      </c>
      <c r="T2825" t="s">
        <v>1810</v>
      </c>
    </row>
    <row r="2826" spans="1:20" x14ac:dyDescent="0.25">
      <c r="A2826">
        <v>9</v>
      </c>
      <c r="B2826">
        <v>199</v>
      </c>
      <c r="C2826" t="str">
        <f>"51"</f>
        <v>51</v>
      </c>
      <c r="D2826">
        <v>6249</v>
      </c>
      <c r="E2826" t="str">
        <f>"MC"</f>
        <v>MC</v>
      </c>
      <c r="F2826" t="str">
        <f>"935"</f>
        <v>935</v>
      </c>
      <c r="G2826">
        <v>9</v>
      </c>
      <c r="H2826" t="str">
        <f>"99"</f>
        <v>99</v>
      </c>
      <c r="I2826" t="str">
        <f t="shared" si="479"/>
        <v>0</v>
      </c>
      <c r="J2826" t="str">
        <f>"81"</f>
        <v>81</v>
      </c>
      <c r="K2826">
        <v>20181005</v>
      </c>
      <c r="L2826" t="str">
        <f>"074116"</f>
        <v>074116</v>
      </c>
      <c r="M2826" t="str">
        <f>"22226"</f>
        <v>22226</v>
      </c>
      <c r="N2826" t="s">
        <v>1874</v>
      </c>
      <c r="O2826">
        <v>46.4</v>
      </c>
      <c r="P2826">
        <v>20181001</v>
      </c>
      <c r="Q2826" t="s">
        <v>1875</v>
      </c>
      <c r="R2826" t="s">
        <v>2049</v>
      </c>
      <c r="S2826" t="s">
        <v>1615</v>
      </c>
      <c r="T2826" t="s">
        <v>1876</v>
      </c>
    </row>
    <row r="2827" spans="1:20" x14ac:dyDescent="0.25">
      <c r="A2827">
        <v>9</v>
      </c>
      <c r="B2827">
        <v>199</v>
      </c>
      <c r="C2827" t="str">
        <f>"11"</f>
        <v>11</v>
      </c>
      <c r="D2827">
        <v>6223</v>
      </c>
      <c r="E2827" t="str">
        <f>"VT"</f>
        <v>VT</v>
      </c>
      <c r="F2827" t="str">
        <f>"001"</f>
        <v>001</v>
      </c>
      <c r="G2827">
        <v>9</v>
      </c>
      <c r="H2827" t="str">
        <f>"22"</f>
        <v>22</v>
      </c>
      <c r="I2827" t="str">
        <f t="shared" si="479"/>
        <v>0</v>
      </c>
      <c r="J2827" t="str">
        <f>"22"</f>
        <v>22</v>
      </c>
      <c r="K2827">
        <v>20181005</v>
      </c>
      <c r="L2827" t="str">
        <f>"074117"</f>
        <v>074117</v>
      </c>
      <c r="M2827" t="str">
        <f>"22350"</f>
        <v>22350</v>
      </c>
      <c r="N2827" t="s">
        <v>2050</v>
      </c>
      <c r="O2827">
        <v>825</v>
      </c>
      <c r="P2827">
        <v>20181003</v>
      </c>
      <c r="Q2827" t="s">
        <v>2051</v>
      </c>
      <c r="R2827" t="s">
        <v>2052</v>
      </c>
      <c r="S2827" t="s">
        <v>1615</v>
      </c>
      <c r="T2827" t="s">
        <v>301</v>
      </c>
    </row>
    <row r="2828" spans="1:20" x14ac:dyDescent="0.25">
      <c r="A2828">
        <v>9</v>
      </c>
      <c r="B2828">
        <v>199</v>
      </c>
      <c r="C2828" t="str">
        <f>"00"</f>
        <v>00</v>
      </c>
      <c r="D2828">
        <v>2110</v>
      </c>
      <c r="E2828" t="str">
        <f>"18"</f>
        <v>18</v>
      </c>
      <c r="F2828" t="str">
        <f>"000"</f>
        <v>000</v>
      </c>
      <c r="G2828">
        <v>9</v>
      </c>
      <c r="H2828" t="str">
        <f>"00"</f>
        <v>00</v>
      </c>
      <c r="I2828" t="str">
        <f t="shared" si="479"/>
        <v>0</v>
      </c>
      <c r="J2828" t="str">
        <f>"00"</f>
        <v>00</v>
      </c>
      <c r="K2828">
        <v>20181005</v>
      </c>
      <c r="L2828" t="str">
        <f>"074121"</f>
        <v>074121</v>
      </c>
      <c r="M2828" t="str">
        <f>"77113"</f>
        <v>77113</v>
      </c>
      <c r="N2828" t="s">
        <v>1880</v>
      </c>
      <c r="O2828">
        <v>153.18</v>
      </c>
      <c r="P2828">
        <v>20181001</v>
      </c>
      <c r="Q2828" t="s">
        <v>1613</v>
      </c>
      <c r="R2828" t="s">
        <v>1648</v>
      </c>
      <c r="S2828" t="s">
        <v>1615</v>
      </c>
      <c r="T2828" t="s">
        <v>296</v>
      </c>
    </row>
    <row r="2829" spans="1:20" x14ac:dyDescent="0.25">
      <c r="A2829">
        <v>9</v>
      </c>
      <c r="B2829">
        <v>199</v>
      </c>
      <c r="C2829" t="str">
        <f>"11"</f>
        <v>11</v>
      </c>
      <c r="D2829">
        <v>6299</v>
      </c>
      <c r="E2829" t="str">
        <f>"7E"</f>
        <v>7E</v>
      </c>
      <c r="F2829" t="str">
        <f>"001"</f>
        <v>001</v>
      </c>
      <c r="G2829">
        <v>9</v>
      </c>
      <c r="H2829" t="str">
        <f>"11"</f>
        <v>11</v>
      </c>
      <c r="I2829" t="str">
        <f t="shared" ref="I2829:I2846" si="488">"0"</f>
        <v>0</v>
      </c>
      <c r="J2829" t="str">
        <f>"31"</f>
        <v>31</v>
      </c>
      <c r="K2829">
        <v>20181005</v>
      </c>
      <c r="L2829" t="str">
        <f>"074122"</f>
        <v>074122</v>
      </c>
      <c r="M2829" t="str">
        <f>"25875"</f>
        <v>25875</v>
      </c>
      <c r="N2829" t="s">
        <v>1881</v>
      </c>
      <c r="O2829">
        <v>150</v>
      </c>
      <c r="P2829">
        <v>20181001</v>
      </c>
      <c r="Q2829" t="s">
        <v>1873</v>
      </c>
      <c r="R2829" t="s">
        <v>1985</v>
      </c>
      <c r="S2829" t="s">
        <v>1615</v>
      </c>
      <c r="T2829" t="s">
        <v>301</v>
      </c>
    </row>
    <row r="2830" spans="1:20" x14ac:dyDescent="0.25">
      <c r="A2830">
        <v>9</v>
      </c>
      <c r="B2830">
        <v>199</v>
      </c>
      <c r="C2830" t="str">
        <f>"11"</f>
        <v>11</v>
      </c>
      <c r="D2830">
        <v>6399</v>
      </c>
      <c r="E2830" t="str">
        <f>"72"</f>
        <v>72</v>
      </c>
      <c r="F2830" t="str">
        <f>"041"</f>
        <v>041</v>
      </c>
      <c r="G2830">
        <v>9</v>
      </c>
      <c r="H2830" t="str">
        <f>"11"</f>
        <v>11</v>
      </c>
      <c r="I2830" t="str">
        <f t="shared" si="488"/>
        <v>0</v>
      </c>
      <c r="J2830" t="str">
        <f>"03"</f>
        <v>03</v>
      </c>
      <c r="K2830">
        <v>20181005</v>
      </c>
      <c r="L2830" t="str">
        <f>"074124"</f>
        <v>074124</v>
      </c>
      <c r="M2830" t="str">
        <f>"00570"</f>
        <v>00570</v>
      </c>
      <c r="N2830" t="s">
        <v>2053</v>
      </c>
      <c r="O2830">
        <v>200</v>
      </c>
      <c r="P2830">
        <v>20181004</v>
      </c>
      <c r="Q2830" t="s">
        <v>2054</v>
      </c>
      <c r="R2830" t="s">
        <v>2055</v>
      </c>
      <c r="S2830" t="s">
        <v>1615</v>
      </c>
      <c r="T2830" t="s">
        <v>106</v>
      </c>
    </row>
    <row r="2831" spans="1:20" x14ac:dyDescent="0.25">
      <c r="A2831">
        <v>9</v>
      </c>
      <c r="B2831">
        <v>199</v>
      </c>
      <c r="C2831" t="str">
        <f>"11"</f>
        <v>11</v>
      </c>
      <c r="D2831">
        <v>6399</v>
      </c>
      <c r="E2831" t="str">
        <f>"VR"</f>
        <v>VR</v>
      </c>
      <c r="F2831" t="str">
        <f>"001"</f>
        <v>001</v>
      </c>
      <c r="G2831">
        <v>9</v>
      </c>
      <c r="H2831" t="str">
        <f>"22"</f>
        <v>22</v>
      </c>
      <c r="I2831" t="str">
        <f t="shared" si="488"/>
        <v>0</v>
      </c>
      <c r="J2831" t="str">
        <f>"22"</f>
        <v>22</v>
      </c>
      <c r="K2831">
        <v>20181005</v>
      </c>
      <c r="L2831" t="str">
        <f>"074125"</f>
        <v>074125</v>
      </c>
      <c r="M2831" t="str">
        <f>"28737"</f>
        <v>28737</v>
      </c>
      <c r="N2831" t="s">
        <v>2056</v>
      </c>
      <c r="O2831">
        <v>256.82</v>
      </c>
      <c r="P2831">
        <v>20181004</v>
      </c>
      <c r="Q2831" t="s">
        <v>1863</v>
      </c>
      <c r="R2831" t="s">
        <v>2057</v>
      </c>
      <c r="S2831" t="s">
        <v>1615</v>
      </c>
      <c r="T2831" t="s">
        <v>301</v>
      </c>
    </row>
    <row r="2832" spans="1:20" x14ac:dyDescent="0.25">
      <c r="A2832">
        <v>9</v>
      </c>
      <c r="B2832">
        <v>199</v>
      </c>
      <c r="C2832" t="str">
        <f>"11"</f>
        <v>11</v>
      </c>
      <c r="D2832">
        <v>6495</v>
      </c>
      <c r="E2832" t="str">
        <f>"V8"</f>
        <v>V8</v>
      </c>
      <c r="F2832" t="str">
        <f>"041"</f>
        <v>041</v>
      </c>
      <c r="G2832">
        <v>9</v>
      </c>
      <c r="H2832" t="str">
        <f>"11"</f>
        <v>11</v>
      </c>
      <c r="I2832" t="str">
        <f t="shared" si="488"/>
        <v>0</v>
      </c>
      <c r="J2832" t="str">
        <f>"03"</f>
        <v>03</v>
      </c>
      <c r="K2832">
        <v>20181005</v>
      </c>
      <c r="L2832" t="str">
        <f>"074126"</f>
        <v>074126</v>
      </c>
      <c r="M2832" t="str">
        <f>"21049"</f>
        <v>21049</v>
      </c>
      <c r="N2832" t="s">
        <v>1883</v>
      </c>
      <c r="O2832">
        <v>50</v>
      </c>
      <c r="P2832">
        <v>20181004</v>
      </c>
      <c r="Q2832" t="s">
        <v>2058</v>
      </c>
      <c r="R2832" t="s">
        <v>1940</v>
      </c>
      <c r="S2832" t="s">
        <v>1615</v>
      </c>
      <c r="T2832" t="s">
        <v>106</v>
      </c>
    </row>
    <row r="2833" spans="1:20" x14ac:dyDescent="0.25">
      <c r="A2833">
        <v>9</v>
      </c>
      <c r="B2833">
        <v>199</v>
      </c>
      <c r="C2833" t="str">
        <f>"51"</f>
        <v>51</v>
      </c>
      <c r="D2833">
        <v>6319</v>
      </c>
      <c r="E2833" t="str">
        <f>"MC"</f>
        <v>MC</v>
      </c>
      <c r="F2833" t="str">
        <f>"936"</f>
        <v>936</v>
      </c>
      <c r="G2833">
        <v>9</v>
      </c>
      <c r="H2833" t="str">
        <f>"99"</f>
        <v>99</v>
      </c>
      <c r="I2833" t="str">
        <f t="shared" si="488"/>
        <v>0</v>
      </c>
      <c r="J2833" t="str">
        <f>"81"</f>
        <v>81</v>
      </c>
      <c r="K2833">
        <v>20181005</v>
      </c>
      <c r="L2833" t="str">
        <f>"074127"</f>
        <v>074127</v>
      </c>
      <c r="M2833" t="str">
        <f>"29500"</f>
        <v>29500</v>
      </c>
      <c r="N2833" t="s">
        <v>2059</v>
      </c>
      <c r="O2833">
        <v>390</v>
      </c>
      <c r="P2833">
        <v>20181004</v>
      </c>
      <c r="Q2833" t="s">
        <v>2060</v>
      </c>
      <c r="R2833" t="s">
        <v>2061</v>
      </c>
      <c r="S2833" t="s">
        <v>1615</v>
      </c>
      <c r="T2833" t="s">
        <v>1713</v>
      </c>
    </row>
    <row r="2834" spans="1:20" x14ac:dyDescent="0.25">
      <c r="A2834">
        <v>9</v>
      </c>
      <c r="B2834">
        <v>199</v>
      </c>
      <c r="C2834" t="str">
        <f>"51"</f>
        <v>51</v>
      </c>
      <c r="D2834">
        <v>6319</v>
      </c>
      <c r="E2834" t="str">
        <f>"MC"</f>
        <v>MC</v>
      </c>
      <c r="F2834" t="str">
        <f>"936"</f>
        <v>936</v>
      </c>
      <c r="G2834">
        <v>9</v>
      </c>
      <c r="H2834" t="str">
        <f>"99"</f>
        <v>99</v>
      </c>
      <c r="I2834" t="str">
        <f t="shared" si="488"/>
        <v>0</v>
      </c>
      <c r="J2834" t="str">
        <f>"81"</f>
        <v>81</v>
      </c>
      <c r="K2834">
        <v>20181005</v>
      </c>
      <c r="L2834" t="str">
        <f>"074127"</f>
        <v>074127</v>
      </c>
      <c r="M2834" t="str">
        <f>"29500"</f>
        <v>29500</v>
      </c>
      <c r="N2834" t="s">
        <v>2059</v>
      </c>
      <c r="O2834">
        <v>763.6</v>
      </c>
      <c r="P2834">
        <v>20181004</v>
      </c>
      <c r="Q2834" t="s">
        <v>2060</v>
      </c>
      <c r="R2834" t="s">
        <v>2062</v>
      </c>
      <c r="S2834" t="s">
        <v>1615</v>
      </c>
      <c r="T2834" t="s">
        <v>1713</v>
      </c>
    </row>
    <row r="2835" spans="1:20" x14ac:dyDescent="0.25">
      <c r="A2835">
        <v>9</v>
      </c>
      <c r="B2835">
        <v>199</v>
      </c>
      <c r="C2835" t="str">
        <f>"51"</f>
        <v>51</v>
      </c>
      <c r="D2835">
        <v>6319</v>
      </c>
      <c r="E2835" t="str">
        <f>"MC"</f>
        <v>MC</v>
      </c>
      <c r="F2835" t="str">
        <f>"936"</f>
        <v>936</v>
      </c>
      <c r="G2835">
        <v>9</v>
      </c>
      <c r="H2835" t="str">
        <f>"99"</f>
        <v>99</v>
      </c>
      <c r="I2835" t="str">
        <f t="shared" si="488"/>
        <v>0</v>
      </c>
      <c r="J2835" t="str">
        <f>"81"</f>
        <v>81</v>
      </c>
      <c r="K2835">
        <v>20181005</v>
      </c>
      <c r="L2835" t="str">
        <f>"074127"</f>
        <v>074127</v>
      </c>
      <c r="M2835" t="str">
        <f>"29500"</f>
        <v>29500</v>
      </c>
      <c r="N2835" t="s">
        <v>2059</v>
      </c>
      <c r="O2835">
        <v>640</v>
      </c>
      <c r="P2835">
        <v>20181004</v>
      </c>
      <c r="Q2835" t="s">
        <v>2060</v>
      </c>
      <c r="R2835" t="s">
        <v>2063</v>
      </c>
      <c r="S2835" t="s">
        <v>1615</v>
      </c>
      <c r="T2835" t="s">
        <v>1713</v>
      </c>
    </row>
    <row r="2836" spans="1:20" x14ac:dyDescent="0.25">
      <c r="A2836">
        <v>9</v>
      </c>
      <c r="B2836">
        <v>199</v>
      </c>
      <c r="C2836" t="str">
        <f>"51"</f>
        <v>51</v>
      </c>
      <c r="D2836">
        <v>6319</v>
      </c>
      <c r="E2836" t="str">
        <f>"MC"</f>
        <v>MC</v>
      </c>
      <c r="F2836" t="str">
        <f>"936"</f>
        <v>936</v>
      </c>
      <c r="G2836">
        <v>9</v>
      </c>
      <c r="H2836" t="str">
        <f>"99"</f>
        <v>99</v>
      </c>
      <c r="I2836" t="str">
        <f t="shared" si="488"/>
        <v>0</v>
      </c>
      <c r="J2836" t="str">
        <f>"81"</f>
        <v>81</v>
      </c>
      <c r="K2836">
        <v>20181005</v>
      </c>
      <c r="L2836" t="str">
        <f>"074128"</f>
        <v>074128</v>
      </c>
      <c r="M2836" t="str">
        <f>"29548"</f>
        <v>29548</v>
      </c>
      <c r="N2836" t="s">
        <v>2064</v>
      </c>
      <c r="O2836">
        <v>274.8</v>
      </c>
      <c r="P2836">
        <v>20181004</v>
      </c>
      <c r="Q2836" t="s">
        <v>2060</v>
      </c>
      <c r="R2836" t="s">
        <v>2065</v>
      </c>
      <c r="S2836" t="s">
        <v>1615</v>
      </c>
      <c r="T2836" t="s">
        <v>1713</v>
      </c>
    </row>
    <row r="2837" spans="1:20" x14ac:dyDescent="0.25">
      <c r="A2837">
        <v>9</v>
      </c>
      <c r="B2837">
        <v>199</v>
      </c>
      <c r="C2837" t="str">
        <f>"51"</f>
        <v>51</v>
      </c>
      <c r="D2837">
        <v>6319</v>
      </c>
      <c r="E2837" t="str">
        <f>"MC"</f>
        <v>MC</v>
      </c>
      <c r="F2837" t="str">
        <f>"936"</f>
        <v>936</v>
      </c>
      <c r="G2837">
        <v>9</v>
      </c>
      <c r="H2837" t="str">
        <f>"99"</f>
        <v>99</v>
      </c>
      <c r="I2837" t="str">
        <f t="shared" si="488"/>
        <v>0</v>
      </c>
      <c r="J2837" t="str">
        <f>"81"</f>
        <v>81</v>
      </c>
      <c r="K2837">
        <v>20181005</v>
      </c>
      <c r="L2837" t="str">
        <f>"074128"</f>
        <v>074128</v>
      </c>
      <c r="M2837" t="str">
        <f>"29548"</f>
        <v>29548</v>
      </c>
      <c r="N2837" t="s">
        <v>2064</v>
      </c>
      <c r="O2837">
        <v>823.2</v>
      </c>
      <c r="P2837">
        <v>20181004</v>
      </c>
      <c r="Q2837" t="s">
        <v>2060</v>
      </c>
      <c r="R2837" t="s">
        <v>2066</v>
      </c>
      <c r="S2837" t="s">
        <v>1615</v>
      </c>
      <c r="T2837" t="s">
        <v>1713</v>
      </c>
    </row>
    <row r="2838" spans="1:20" x14ac:dyDescent="0.25">
      <c r="A2838">
        <v>9</v>
      </c>
      <c r="B2838">
        <v>199</v>
      </c>
      <c r="C2838" t="str">
        <f>"00"</f>
        <v>00</v>
      </c>
      <c r="D2838">
        <v>1312</v>
      </c>
      <c r="E2838" t="str">
        <f>"00"</f>
        <v>00</v>
      </c>
      <c r="F2838" t="str">
        <f>"000"</f>
        <v>000</v>
      </c>
      <c r="G2838">
        <v>9</v>
      </c>
      <c r="H2838" t="str">
        <f>"00"</f>
        <v>00</v>
      </c>
      <c r="I2838" t="str">
        <f t="shared" si="488"/>
        <v>0</v>
      </c>
      <c r="J2838" t="str">
        <f>"00"</f>
        <v>00</v>
      </c>
      <c r="K2838">
        <v>20181005</v>
      </c>
      <c r="L2838" t="str">
        <f>"074129"</f>
        <v>074129</v>
      </c>
      <c r="M2838" t="str">
        <f>"29610"</f>
        <v>29610</v>
      </c>
      <c r="N2838" t="s">
        <v>2067</v>
      </c>
      <c r="O2838">
        <v>156.85</v>
      </c>
      <c r="P2838">
        <v>20181004</v>
      </c>
      <c r="Q2838" t="s">
        <v>1860</v>
      </c>
      <c r="R2838" t="s">
        <v>2068</v>
      </c>
      <c r="S2838" t="s">
        <v>1615</v>
      </c>
      <c r="T2838" t="s">
        <v>296</v>
      </c>
    </row>
    <row r="2839" spans="1:20" x14ac:dyDescent="0.25">
      <c r="A2839">
        <v>9</v>
      </c>
      <c r="B2839">
        <v>199</v>
      </c>
      <c r="C2839" t="str">
        <f>"11"</f>
        <v>11</v>
      </c>
      <c r="D2839">
        <v>6399</v>
      </c>
      <c r="E2839" t="str">
        <f>"45"</f>
        <v>45</v>
      </c>
      <c r="F2839" t="str">
        <f>"104"</f>
        <v>104</v>
      </c>
      <c r="G2839">
        <v>9</v>
      </c>
      <c r="H2839" t="str">
        <f>"11"</f>
        <v>11</v>
      </c>
      <c r="I2839" t="str">
        <f t="shared" si="488"/>
        <v>0</v>
      </c>
      <c r="J2839" t="str">
        <f>"05"</f>
        <v>05</v>
      </c>
      <c r="K2839">
        <v>20181005</v>
      </c>
      <c r="L2839" t="str">
        <f>"074129"</f>
        <v>074129</v>
      </c>
      <c r="M2839" t="str">
        <f>"29610"</f>
        <v>29610</v>
      </c>
      <c r="N2839" t="s">
        <v>2067</v>
      </c>
      <c r="O2839">
        <v>292</v>
      </c>
      <c r="P2839">
        <v>20181004</v>
      </c>
      <c r="Q2839" t="s">
        <v>2069</v>
      </c>
      <c r="R2839" t="s">
        <v>2070</v>
      </c>
      <c r="S2839" t="s">
        <v>1615</v>
      </c>
      <c r="T2839" t="s">
        <v>46</v>
      </c>
    </row>
    <row r="2840" spans="1:20" x14ac:dyDescent="0.25">
      <c r="A2840">
        <v>9</v>
      </c>
      <c r="B2840">
        <v>199</v>
      </c>
      <c r="C2840" t="str">
        <f>"00"</f>
        <v>00</v>
      </c>
      <c r="D2840">
        <v>1312</v>
      </c>
      <c r="E2840" t="str">
        <f>"00"</f>
        <v>00</v>
      </c>
      <c r="F2840" t="str">
        <f>"000"</f>
        <v>000</v>
      </c>
      <c r="G2840">
        <v>9</v>
      </c>
      <c r="H2840" t="str">
        <f>"00"</f>
        <v>00</v>
      </c>
      <c r="I2840" t="str">
        <f t="shared" si="488"/>
        <v>0</v>
      </c>
      <c r="J2840" t="str">
        <f>"00"</f>
        <v>00</v>
      </c>
      <c r="K2840">
        <v>20181005</v>
      </c>
      <c r="L2840" t="str">
        <f>"074130"</f>
        <v>074130</v>
      </c>
      <c r="M2840" t="str">
        <f>"29628"</f>
        <v>29628</v>
      </c>
      <c r="N2840" t="s">
        <v>2071</v>
      </c>
      <c r="O2840">
        <v>225.98</v>
      </c>
      <c r="P2840">
        <v>20181004</v>
      </c>
      <c r="Q2840" t="s">
        <v>1860</v>
      </c>
      <c r="R2840" t="s">
        <v>2072</v>
      </c>
      <c r="S2840" t="s">
        <v>1615</v>
      </c>
      <c r="T2840" t="s">
        <v>296</v>
      </c>
    </row>
    <row r="2841" spans="1:20" x14ac:dyDescent="0.25">
      <c r="A2841">
        <v>9</v>
      </c>
      <c r="B2841">
        <v>199</v>
      </c>
      <c r="C2841" t="str">
        <f>"51"</f>
        <v>51</v>
      </c>
      <c r="D2841">
        <v>6319</v>
      </c>
      <c r="E2841" t="str">
        <f>"M2"</f>
        <v>M2</v>
      </c>
      <c r="F2841" t="str">
        <f>"936"</f>
        <v>936</v>
      </c>
      <c r="G2841">
        <v>9</v>
      </c>
      <c r="H2841" t="str">
        <f>"99"</f>
        <v>99</v>
      </c>
      <c r="I2841" t="str">
        <f t="shared" si="488"/>
        <v>0</v>
      </c>
      <c r="J2841" t="str">
        <f>"81"</f>
        <v>81</v>
      </c>
      <c r="K2841">
        <v>20181005</v>
      </c>
      <c r="L2841" t="str">
        <f>"074132"</f>
        <v>074132</v>
      </c>
      <c r="M2841" t="str">
        <f>"31500"</f>
        <v>31500</v>
      </c>
      <c r="N2841" t="s">
        <v>2073</v>
      </c>
      <c r="O2841">
        <v>114.8</v>
      </c>
      <c r="P2841">
        <v>20181004</v>
      </c>
      <c r="Q2841" t="s">
        <v>2074</v>
      </c>
      <c r="R2841" t="s">
        <v>2075</v>
      </c>
      <c r="S2841" t="s">
        <v>1615</v>
      </c>
      <c r="T2841" t="s">
        <v>1713</v>
      </c>
    </row>
    <row r="2842" spans="1:20" x14ac:dyDescent="0.25">
      <c r="A2842">
        <v>9</v>
      </c>
      <c r="B2842">
        <v>199</v>
      </c>
      <c r="C2842" t="str">
        <f>"36"</f>
        <v>36</v>
      </c>
      <c r="D2842">
        <v>6412</v>
      </c>
      <c r="E2842" t="str">
        <f>"7C"</f>
        <v>7C</v>
      </c>
      <c r="F2842" t="str">
        <f>"001"</f>
        <v>001</v>
      </c>
      <c r="G2842">
        <v>9</v>
      </c>
      <c r="H2842" t="str">
        <f>"99"</f>
        <v>99</v>
      </c>
      <c r="I2842" t="str">
        <f t="shared" si="488"/>
        <v>0</v>
      </c>
      <c r="J2842" t="str">
        <f>"01"</f>
        <v>01</v>
      </c>
      <c r="K2842">
        <v>20181005</v>
      </c>
      <c r="L2842" t="str">
        <f>"074135"</f>
        <v>074135</v>
      </c>
      <c r="M2842" t="str">
        <f>"34670"</f>
        <v>34670</v>
      </c>
      <c r="N2842" t="s">
        <v>1731</v>
      </c>
      <c r="O2842">
        <v>31.2</v>
      </c>
      <c r="P2842">
        <v>20181004</v>
      </c>
      <c r="Q2842" t="s">
        <v>1734</v>
      </c>
      <c r="R2842" t="s">
        <v>2076</v>
      </c>
      <c r="S2842" t="s">
        <v>1615</v>
      </c>
      <c r="T2842" t="s">
        <v>301</v>
      </c>
    </row>
    <row r="2843" spans="1:20" x14ac:dyDescent="0.25">
      <c r="A2843">
        <v>9</v>
      </c>
      <c r="B2843">
        <v>199</v>
      </c>
      <c r="C2843" t="str">
        <f>"11"</f>
        <v>11</v>
      </c>
      <c r="D2843">
        <v>6299</v>
      </c>
      <c r="E2843" t="str">
        <f>"7E"</f>
        <v>7E</v>
      </c>
      <c r="F2843" t="str">
        <f>"001"</f>
        <v>001</v>
      </c>
      <c r="G2843">
        <v>9</v>
      </c>
      <c r="H2843" t="str">
        <f>"11"</f>
        <v>11</v>
      </c>
      <c r="I2843" t="str">
        <f t="shared" si="488"/>
        <v>0</v>
      </c>
      <c r="J2843" t="str">
        <f>"31"</f>
        <v>31</v>
      </c>
      <c r="K2843">
        <v>20181005</v>
      </c>
      <c r="L2843" t="str">
        <f>"074137"</f>
        <v>074137</v>
      </c>
      <c r="M2843" t="str">
        <f>"37260"</f>
        <v>37260</v>
      </c>
      <c r="N2843" t="s">
        <v>1890</v>
      </c>
      <c r="O2843">
        <v>400</v>
      </c>
      <c r="P2843">
        <v>20181001</v>
      </c>
      <c r="Q2843" t="s">
        <v>1873</v>
      </c>
      <c r="R2843" t="s">
        <v>1985</v>
      </c>
      <c r="S2843" t="s">
        <v>1615</v>
      </c>
      <c r="T2843" t="s">
        <v>301</v>
      </c>
    </row>
    <row r="2844" spans="1:20" x14ac:dyDescent="0.25">
      <c r="A2844">
        <v>9</v>
      </c>
      <c r="B2844">
        <v>199</v>
      </c>
      <c r="C2844" t="str">
        <f>"11"</f>
        <v>11</v>
      </c>
      <c r="D2844">
        <v>6399</v>
      </c>
      <c r="E2844" t="str">
        <f>"00"</f>
        <v>00</v>
      </c>
      <c r="F2844" t="str">
        <f>"101"</f>
        <v>101</v>
      </c>
      <c r="G2844">
        <v>9</v>
      </c>
      <c r="H2844" t="str">
        <f>"23"</f>
        <v>23</v>
      </c>
      <c r="I2844" t="str">
        <f t="shared" si="488"/>
        <v>0</v>
      </c>
      <c r="J2844" t="str">
        <f>"23"</f>
        <v>23</v>
      </c>
      <c r="K2844">
        <v>20181005</v>
      </c>
      <c r="L2844" t="str">
        <f>"074139"</f>
        <v>074139</v>
      </c>
      <c r="M2844" t="str">
        <f>"37500"</f>
        <v>37500</v>
      </c>
      <c r="N2844" t="s">
        <v>2077</v>
      </c>
      <c r="O2844">
        <v>45.41</v>
      </c>
      <c r="P2844">
        <v>20181004</v>
      </c>
      <c r="Q2844" t="s">
        <v>2078</v>
      </c>
      <c r="R2844" t="s">
        <v>2079</v>
      </c>
      <c r="S2844" t="s">
        <v>1615</v>
      </c>
      <c r="T2844" t="s">
        <v>1479</v>
      </c>
    </row>
    <row r="2845" spans="1:20" x14ac:dyDescent="0.25">
      <c r="A2845">
        <v>9</v>
      </c>
      <c r="B2845">
        <v>199</v>
      </c>
      <c r="C2845" t="str">
        <f>"11"</f>
        <v>11</v>
      </c>
      <c r="D2845">
        <v>6498</v>
      </c>
      <c r="E2845" t="str">
        <f>"10"</f>
        <v>10</v>
      </c>
      <c r="F2845" t="str">
        <f>"001"</f>
        <v>001</v>
      </c>
      <c r="G2845">
        <v>9</v>
      </c>
      <c r="H2845" t="str">
        <f>"22"</f>
        <v>22</v>
      </c>
      <c r="I2845" t="str">
        <f t="shared" si="488"/>
        <v>0</v>
      </c>
      <c r="J2845" t="str">
        <f>"22"</f>
        <v>22</v>
      </c>
      <c r="K2845">
        <v>20181005</v>
      </c>
      <c r="L2845" t="str">
        <f>"074139"</f>
        <v>074139</v>
      </c>
      <c r="M2845" t="str">
        <f>"37500"</f>
        <v>37500</v>
      </c>
      <c r="N2845" t="s">
        <v>2077</v>
      </c>
      <c r="O2845">
        <v>75</v>
      </c>
      <c r="P2845">
        <v>20181004</v>
      </c>
      <c r="Q2845" t="s">
        <v>2080</v>
      </c>
      <c r="R2845" t="s">
        <v>2081</v>
      </c>
      <c r="S2845" t="s">
        <v>1615</v>
      </c>
      <c r="T2845" t="s">
        <v>301</v>
      </c>
    </row>
    <row r="2846" spans="1:20" x14ac:dyDescent="0.25">
      <c r="A2846">
        <v>9</v>
      </c>
      <c r="B2846">
        <v>199</v>
      </c>
      <c r="C2846" t="str">
        <f>"53"</f>
        <v>53</v>
      </c>
      <c r="D2846">
        <v>6498</v>
      </c>
      <c r="E2846" t="str">
        <f>"10"</f>
        <v>10</v>
      </c>
      <c r="F2846" t="str">
        <f>"880"</f>
        <v>880</v>
      </c>
      <c r="G2846">
        <v>9</v>
      </c>
      <c r="H2846" t="str">
        <f t="shared" ref="H2846:H2851" si="489">"99"</f>
        <v>99</v>
      </c>
      <c r="I2846" t="str">
        <f t="shared" si="488"/>
        <v>0</v>
      </c>
      <c r="J2846" t="str">
        <f>"80"</f>
        <v>80</v>
      </c>
      <c r="K2846">
        <v>20181005</v>
      </c>
      <c r="L2846" t="str">
        <f>"074139"</f>
        <v>074139</v>
      </c>
      <c r="M2846" t="str">
        <f>"37500"</f>
        <v>37500</v>
      </c>
      <c r="N2846" t="s">
        <v>2077</v>
      </c>
      <c r="O2846">
        <v>38.32</v>
      </c>
      <c r="P2846">
        <v>20181004</v>
      </c>
      <c r="Q2846" t="s">
        <v>2082</v>
      </c>
      <c r="R2846" t="s">
        <v>2081</v>
      </c>
      <c r="S2846" t="s">
        <v>1615</v>
      </c>
      <c r="T2846" t="s">
        <v>1866</v>
      </c>
    </row>
    <row r="2847" spans="1:20" x14ac:dyDescent="0.25">
      <c r="A2847">
        <v>9</v>
      </c>
      <c r="B2847">
        <v>199</v>
      </c>
      <c r="C2847" t="str">
        <f>"51"</f>
        <v>51</v>
      </c>
      <c r="D2847">
        <v>6254</v>
      </c>
      <c r="E2847" t="str">
        <f>"ME"</f>
        <v>ME</v>
      </c>
      <c r="F2847" t="str">
        <f>"936"</f>
        <v>936</v>
      </c>
      <c r="G2847">
        <v>9</v>
      </c>
      <c r="H2847" t="str">
        <f t="shared" si="489"/>
        <v>99</v>
      </c>
      <c r="I2847" t="str">
        <f>"1"</f>
        <v>1</v>
      </c>
      <c r="J2847" t="str">
        <f>"73"</f>
        <v>73</v>
      </c>
      <c r="K2847">
        <v>20181005</v>
      </c>
      <c r="L2847" t="str">
        <f>"074141"</f>
        <v>074141</v>
      </c>
      <c r="M2847" t="str">
        <f>"42194"</f>
        <v>42194</v>
      </c>
      <c r="N2847" t="s">
        <v>1736</v>
      </c>
      <c r="O2847" s="1">
        <v>1144.4100000000001</v>
      </c>
      <c r="P2847">
        <v>20181004</v>
      </c>
      <c r="Q2847" t="s">
        <v>1891</v>
      </c>
      <c r="R2847" t="s">
        <v>2083</v>
      </c>
      <c r="S2847" t="s">
        <v>1615</v>
      </c>
      <c r="T2847" t="s">
        <v>1713</v>
      </c>
    </row>
    <row r="2848" spans="1:20" x14ac:dyDescent="0.25">
      <c r="A2848">
        <v>9</v>
      </c>
      <c r="B2848">
        <v>199</v>
      </c>
      <c r="C2848" t="str">
        <f>"36"</f>
        <v>36</v>
      </c>
      <c r="D2848">
        <v>6411</v>
      </c>
      <c r="E2848" t="str">
        <f>"8S"</f>
        <v>8S</v>
      </c>
      <c r="F2848" t="str">
        <f>"001"</f>
        <v>001</v>
      </c>
      <c r="G2848">
        <v>9</v>
      </c>
      <c r="H2848" t="str">
        <f t="shared" si="489"/>
        <v>99</v>
      </c>
      <c r="I2848" t="str">
        <f>"1"</f>
        <v>1</v>
      </c>
      <c r="J2848" t="str">
        <f>"01"</f>
        <v>01</v>
      </c>
      <c r="K2848">
        <v>20181005</v>
      </c>
      <c r="L2848" t="str">
        <f>"074142"</f>
        <v>074142</v>
      </c>
      <c r="M2848" t="str">
        <f>"46348"</f>
        <v>46348</v>
      </c>
      <c r="N2848" t="s">
        <v>1631</v>
      </c>
      <c r="O2848">
        <v>50</v>
      </c>
      <c r="P2848">
        <v>20181004</v>
      </c>
      <c r="Q2848" t="s">
        <v>1632</v>
      </c>
      <c r="R2848" t="s">
        <v>2084</v>
      </c>
      <c r="S2848" t="s">
        <v>1615</v>
      </c>
      <c r="T2848" t="s">
        <v>301</v>
      </c>
    </row>
    <row r="2849" spans="1:20" x14ac:dyDescent="0.25">
      <c r="A2849">
        <v>9</v>
      </c>
      <c r="B2849">
        <v>199</v>
      </c>
      <c r="C2849" t="str">
        <f>"36"</f>
        <v>36</v>
      </c>
      <c r="D2849">
        <v>6412</v>
      </c>
      <c r="E2849" t="str">
        <f>"8S"</f>
        <v>8S</v>
      </c>
      <c r="F2849" t="str">
        <f>"001"</f>
        <v>001</v>
      </c>
      <c r="G2849">
        <v>9</v>
      </c>
      <c r="H2849" t="str">
        <f t="shared" si="489"/>
        <v>99</v>
      </c>
      <c r="I2849" t="str">
        <f>"1"</f>
        <v>1</v>
      </c>
      <c r="J2849" t="str">
        <f>"01"</f>
        <v>01</v>
      </c>
      <c r="K2849">
        <v>20181005</v>
      </c>
      <c r="L2849" t="str">
        <f>"074142"</f>
        <v>074142</v>
      </c>
      <c r="M2849" t="str">
        <f>"46348"</f>
        <v>46348</v>
      </c>
      <c r="N2849" t="s">
        <v>1631</v>
      </c>
      <c r="O2849">
        <v>525</v>
      </c>
      <c r="P2849">
        <v>20181004</v>
      </c>
      <c r="Q2849" t="s">
        <v>1634</v>
      </c>
      <c r="R2849" t="s">
        <v>2084</v>
      </c>
      <c r="S2849" t="s">
        <v>1615</v>
      </c>
      <c r="T2849" t="s">
        <v>301</v>
      </c>
    </row>
    <row r="2850" spans="1:20" x14ac:dyDescent="0.25">
      <c r="A2850">
        <v>9</v>
      </c>
      <c r="B2850">
        <v>199</v>
      </c>
      <c r="C2850" t="str">
        <f>"36"</f>
        <v>36</v>
      </c>
      <c r="D2850">
        <v>6411</v>
      </c>
      <c r="E2850" t="str">
        <f>"8S"</f>
        <v>8S</v>
      </c>
      <c r="F2850" t="str">
        <f>"001"</f>
        <v>001</v>
      </c>
      <c r="G2850">
        <v>9</v>
      </c>
      <c r="H2850" t="str">
        <f t="shared" si="489"/>
        <v>99</v>
      </c>
      <c r="I2850" t="str">
        <f>"1"</f>
        <v>1</v>
      </c>
      <c r="J2850" t="str">
        <f>"01"</f>
        <v>01</v>
      </c>
      <c r="K2850">
        <v>20181015</v>
      </c>
      <c r="L2850" t="str">
        <f>"074142"</f>
        <v>074142</v>
      </c>
      <c r="M2850" t="str">
        <f>"46348"</f>
        <v>46348</v>
      </c>
      <c r="N2850" t="s">
        <v>1631</v>
      </c>
      <c r="O2850">
        <v>-50</v>
      </c>
      <c r="P2850">
        <v>20181015</v>
      </c>
      <c r="Q2850" t="s">
        <v>1632</v>
      </c>
      <c r="R2850" t="s">
        <v>2085</v>
      </c>
      <c r="S2850" t="s">
        <v>1615</v>
      </c>
      <c r="T2850" t="s">
        <v>301</v>
      </c>
    </row>
    <row r="2851" spans="1:20" x14ac:dyDescent="0.25">
      <c r="A2851">
        <v>9</v>
      </c>
      <c r="B2851">
        <v>199</v>
      </c>
      <c r="C2851" t="str">
        <f>"36"</f>
        <v>36</v>
      </c>
      <c r="D2851">
        <v>6412</v>
      </c>
      <c r="E2851" t="str">
        <f>"8S"</f>
        <v>8S</v>
      </c>
      <c r="F2851" t="str">
        <f>"001"</f>
        <v>001</v>
      </c>
      <c r="G2851">
        <v>9</v>
      </c>
      <c r="H2851" t="str">
        <f t="shared" si="489"/>
        <v>99</v>
      </c>
      <c r="I2851" t="str">
        <f>"1"</f>
        <v>1</v>
      </c>
      <c r="J2851" t="str">
        <f>"01"</f>
        <v>01</v>
      </c>
      <c r="K2851">
        <v>20181015</v>
      </c>
      <c r="L2851" t="str">
        <f>"074142"</f>
        <v>074142</v>
      </c>
      <c r="M2851" t="str">
        <f>"46348"</f>
        <v>46348</v>
      </c>
      <c r="N2851" t="s">
        <v>1631</v>
      </c>
      <c r="O2851">
        <v>-525</v>
      </c>
      <c r="P2851">
        <v>20181015</v>
      </c>
      <c r="Q2851" t="s">
        <v>1634</v>
      </c>
      <c r="R2851" t="s">
        <v>2085</v>
      </c>
      <c r="S2851" t="s">
        <v>1615</v>
      </c>
      <c r="T2851" t="s">
        <v>301</v>
      </c>
    </row>
    <row r="2852" spans="1:20" x14ac:dyDescent="0.25">
      <c r="A2852">
        <v>9</v>
      </c>
      <c r="B2852">
        <v>199</v>
      </c>
      <c r="C2852" t="str">
        <f>"00"</f>
        <v>00</v>
      </c>
      <c r="D2852">
        <v>2110</v>
      </c>
      <c r="E2852" t="str">
        <f>"18"</f>
        <v>18</v>
      </c>
      <c r="F2852" t="str">
        <f>"000"</f>
        <v>000</v>
      </c>
      <c r="G2852">
        <v>9</v>
      </c>
      <c r="H2852" t="str">
        <f>"00"</f>
        <v>00</v>
      </c>
      <c r="I2852" t="str">
        <f t="shared" ref="I2852:I2873" si="490">"0"</f>
        <v>0</v>
      </c>
      <c r="J2852" t="str">
        <f>"00"</f>
        <v>00</v>
      </c>
      <c r="K2852">
        <v>20181005</v>
      </c>
      <c r="L2852" t="str">
        <f>"074143"</f>
        <v>074143</v>
      </c>
      <c r="M2852" t="str">
        <f>"46369"</f>
        <v>46369</v>
      </c>
      <c r="N2852" t="s">
        <v>2086</v>
      </c>
      <c r="O2852">
        <v>235</v>
      </c>
      <c r="P2852">
        <v>20181004</v>
      </c>
      <c r="Q2852" t="s">
        <v>1613</v>
      </c>
      <c r="R2852" t="s">
        <v>2087</v>
      </c>
      <c r="S2852" t="s">
        <v>1615</v>
      </c>
      <c r="T2852" t="s">
        <v>296</v>
      </c>
    </row>
    <row r="2853" spans="1:20" x14ac:dyDescent="0.25">
      <c r="A2853">
        <v>9</v>
      </c>
      <c r="B2853">
        <v>199</v>
      </c>
      <c r="C2853" t="str">
        <f>"00"</f>
        <v>00</v>
      </c>
      <c r="D2853">
        <v>2110</v>
      </c>
      <c r="E2853" t="str">
        <f>"18"</f>
        <v>18</v>
      </c>
      <c r="F2853" t="str">
        <f>"000"</f>
        <v>000</v>
      </c>
      <c r="G2853">
        <v>9</v>
      </c>
      <c r="H2853" t="str">
        <f>"00"</f>
        <v>00</v>
      </c>
      <c r="I2853" t="str">
        <f t="shared" si="490"/>
        <v>0</v>
      </c>
      <c r="J2853" t="str">
        <f>"00"</f>
        <v>00</v>
      </c>
      <c r="K2853">
        <v>20181005</v>
      </c>
      <c r="L2853" t="str">
        <f>"074143"</f>
        <v>074143</v>
      </c>
      <c r="M2853" t="str">
        <f>"46369"</f>
        <v>46369</v>
      </c>
      <c r="N2853" t="s">
        <v>2086</v>
      </c>
      <c r="O2853">
        <v>771</v>
      </c>
      <c r="P2853">
        <v>20181004</v>
      </c>
      <c r="Q2853" t="s">
        <v>1613</v>
      </c>
      <c r="R2853" t="s">
        <v>2088</v>
      </c>
      <c r="S2853" t="s">
        <v>1615</v>
      </c>
      <c r="T2853" t="s">
        <v>296</v>
      </c>
    </row>
    <row r="2854" spans="1:20" x14ac:dyDescent="0.25">
      <c r="A2854">
        <v>9</v>
      </c>
      <c r="B2854">
        <v>199</v>
      </c>
      <c r="C2854" t="str">
        <f>"51"</f>
        <v>51</v>
      </c>
      <c r="D2854">
        <v>6249</v>
      </c>
      <c r="E2854" t="str">
        <f>"M6"</f>
        <v>M6</v>
      </c>
      <c r="F2854" t="str">
        <f>"936"</f>
        <v>936</v>
      </c>
      <c r="G2854">
        <v>9</v>
      </c>
      <c r="H2854" t="str">
        <f>"99"</f>
        <v>99</v>
      </c>
      <c r="I2854" t="str">
        <f t="shared" si="490"/>
        <v>0</v>
      </c>
      <c r="J2854" t="str">
        <f>"81"</f>
        <v>81</v>
      </c>
      <c r="K2854">
        <v>20181005</v>
      </c>
      <c r="L2854" t="str">
        <f>"074143"</f>
        <v>074143</v>
      </c>
      <c r="M2854" t="str">
        <f>"46369"</f>
        <v>46369</v>
      </c>
      <c r="N2854" t="s">
        <v>2086</v>
      </c>
      <c r="O2854">
        <v>235</v>
      </c>
      <c r="P2854">
        <v>20181004</v>
      </c>
      <c r="Q2854" t="s">
        <v>2089</v>
      </c>
      <c r="R2854" t="s">
        <v>2090</v>
      </c>
      <c r="S2854" t="s">
        <v>1615</v>
      </c>
      <c r="T2854" t="s">
        <v>1713</v>
      </c>
    </row>
    <row r="2855" spans="1:20" x14ac:dyDescent="0.25">
      <c r="A2855">
        <v>9</v>
      </c>
      <c r="B2855">
        <v>199</v>
      </c>
      <c r="C2855" t="str">
        <f>"51"</f>
        <v>51</v>
      </c>
      <c r="D2855">
        <v>6249</v>
      </c>
      <c r="E2855" t="str">
        <f>"M6"</f>
        <v>M6</v>
      </c>
      <c r="F2855" t="str">
        <f>"936"</f>
        <v>936</v>
      </c>
      <c r="G2855">
        <v>9</v>
      </c>
      <c r="H2855" t="str">
        <f>"99"</f>
        <v>99</v>
      </c>
      <c r="I2855" t="str">
        <f t="shared" si="490"/>
        <v>0</v>
      </c>
      <c r="J2855" t="str">
        <f>"81"</f>
        <v>81</v>
      </c>
      <c r="K2855">
        <v>20181005</v>
      </c>
      <c r="L2855" t="str">
        <f>"074143"</f>
        <v>074143</v>
      </c>
      <c r="M2855" t="str">
        <f>"46369"</f>
        <v>46369</v>
      </c>
      <c r="N2855" t="s">
        <v>2086</v>
      </c>
      <c r="O2855" s="1">
        <v>1701.23</v>
      </c>
      <c r="P2855">
        <v>20181004</v>
      </c>
      <c r="Q2855" t="s">
        <v>2089</v>
      </c>
      <c r="R2855" t="s">
        <v>2091</v>
      </c>
      <c r="S2855" t="s">
        <v>1615</v>
      </c>
      <c r="T2855" t="s">
        <v>1713</v>
      </c>
    </row>
    <row r="2856" spans="1:20" x14ac:dyDescent="0.25">
      <c r="A2856">
        <v>9</v>
      </c>
      <c r="B2856">
        <v>199</v>
      </c>
      <c r="C2856" t="str">
        <f>"51"</f>
        <v>51</v>
      </c>
      <c r="D2856">
        <v>6249</v>
      </c>
      <c r="E2856" t="str">
        <f>"M6"</f>
        <v>M6</v>
      </c>
      <c r="F2856" t="str">
        <f>"936"</f>
        <v>936</v>
      </c>
      <c r="G2856">
        <v>9</v>
      </c>
      <c r="H2856" t="str">
        <f>"99"</f>
        <v>99</v>
      </c>
      <c r="I2856" t="str">
        <f t="shared" si="490"/>
        <v>0</v>
      </c>
      <c r="J2856" t="str">
        <f>"81"</f>
        <v>81</v>
      </c>
      <c r="K2856">
        <v>20181005</v>
      </c>
      <c r="L2856" t="str">
        <f>"074143"</f>
        <v>074143</v>
      </c>
      <c r="M2856" t="str">
        <f>"46369"</f>
        <v>46369</v>
      </c>
      <c r="N2856" t="s">
        <v>2086</v>
      </c>
      <c r="O2856">
        <v>338</v>
      </c>
      <c r="P2856">
        <v>20181004</v>
      </c>
      <c r="Q2856" t="s">
        <v>2089</v>
      </c>
      <c r="R2856" t="s">
        <v>2092</v>
      </c>
      <c r="S2856" t="s">
        <v>1615</v>
      </c>
      <c r="T2856" t="s">
        <v>1713</v>
      </c>
    </row>
    <row r="2857" spans="1:20" x14ac:dyDescent="0.25">
      <c r="A2857">
        <v>9</v>
      </c>
      <c r="B2857">
        <v>199</v>
      </c>
      <c r="C2857" t="str">
        <f>"00"</f>
        <v>00</v>
      </c>
      <c r="D2857">
        <v>1291</v>
      </c>
      <c r="E2857" t="str">
        <f>"05"</f>
        <v>05</v>
      </c>
      <c r="F2857" t="str">
        <f>"000"</f>
        <v>000</v>
      </c>
      <c r="G2857">
        <v>9</v>
      </c>
      <c r="H2857" t="str">
        <f>"00"</f>
        <v>00</v>
      </c>
      <c r="I2857" t="str">
        <f t="shared" si="490"/>
        <v>0</v>
      </c>
      <c r="J2857" t="str">
        <f>"00"</f>
        <v>00</v>
      </c>
      <c r="K2857">
        <v>20181005</v>
      </c>
      <c r="L2857" t="str">
        <f>"074144"</f>
        <v>074144</v>
      </c>
      <c r="M2857" t="str">
        <f>"46351"</f>
        <v>46351</v>
      </c>
      <c r="N2857" t="s">
        <v>1639</v>
      </c>
      <c r="O2857">
        <v>633.32000000000005</v>
      </c>
      <c r="P2857">
        <v>20181004</v>
      </c>
      <c r="Q2857" t="s">
        <v>1637</v>
      </c>
      <c r="R2857" t="s">
        <v>2093</v>
      </c>
      <c r="S2857" t="s">
        <v>1615</v>
      </c>
      <c r="T2857" t="s">
        <v>296</v>
      </c>
    </row>
    <row r="2858" spans="1:20" x14ac:dyDescent="0.25">
      <c r="A2858">
        <v>9</v>
      </c>
      <c r="B2858">
        <v>199</v>
      </c>
      <c r="C2858" t="str">
        <f>"11"</f>
        <v>11</v>
      </c>
      <c r="D2858">
        <v>6399</v>
      </c>
      <c r="E2858" t="str">
        <f>"NL"</f>
        <v>NL</v>
      </c>
      <c r="F2858" t="str">
        <f>"001"</f>
        <v>001</v>
      </c>
      <c r="G2858">
        <v>9</v>
      </c>
      <c r="H2858" t="str">
        <f>"22"</f>
        <v>22</v>
      </c>
      <c r="I2858" t="str">
        <f t="shared" si="490"/>
        <v>0</v>
      </c>
      <c r="J2858" t="str">
        <f>"22"</f>
        <v>22</v>
      </c>
      <c r="K2858">
        <v>20181005</v>
      </c>
      <c r="L2858" t="str">
        <f>"074145"</f>
        <v>074145</v>
      </c>
      <c r="M2858" t="str">
        <f>"46779"</f>
        <v>46779</v>
      </c>
      <c r="N2858" t="s">
        <v>1895</v>
      </c>
      <c r="O2858">
        <v>910.43</v>
      </c>
      <c r="P2858">
        <v>20181001</v>
      </c>
      <c r="Q2858" t="s">
        <v>1896</v>
      </c>
      <c r="R2858" t="s">
        <v>2094</v>
      </c>
      <c r="S2858" t="s">
        <v>1615</v>
      </c>
      <c r="T2858" t="s">
        <v>301</v>
      </c>
    </row>
    <row r="2859" spans="1:20" x14ac:dyDescent="0.25">
      <c r="A2859">
        <v>9</v>
      </c>
      <c r="B2859">
        <v>199</v>
      </c>
      <c r="C2859" t="str">
        <f>"51"</f>
        <v>51</v>
      </c>
      <c r="D2859">
        <v>6249</v>
      </c>
      <c r="E2859" t="str">
        <f>"M8"</f>
        <v>M8</v>
      </c>
      <c r="F2859" t="str">
        <f>"936"</f>
        <v>936</v>
      </c>
      <c r="G2859">
        <v>9</v>
      </c>
      <c r="H2859" t="str">
        <f>"99"</f>
        <v>99</v>
      </c>
      <c r="I2859" t="str">
        <f t="shared" si="490"/>
        <v>0</v>
      </c>
      <c r="J2859" t="str">
        <f>"81"</f>
        <v>81</v>
      </c>
      <c r="K2859">
        <v>20181005</v>
      </c>
      <c r="L2859" t="str">
        <f>"074146"</f>
        <v>074146</v>
      </c>
      <c r="M2859" t="str">
        <f>"47725"</f>
        <v>47725</v>
      </c>
      <c r="N2859" t="s">
        <v>2095</v>
      </c>
      <c r="O2859">
        <v>57.78</v>
      </c>
      <c r="P2859">
        <v>20181004</v>
      </c>
      <c r="Q2859" t="s">
        <v>2096</v>
      </c>
      <c r="R2859" t="s">
        <v>2097</v>
      </c>
      <c r="S2859" t="s">
        <v>1615</v>
      </c>
      <c r="T2859" t="s">
        <v>1713</v>
      </c>
    </row>
    <row r="2860" spans="1:20" x14ac:dyDescent="0.25">
      <c r="A2860">
        <v>9</v>
      </c>
      <c r="B2860">
        <v>199</v>
      </c>
      <c r="C2860" t="str">
        <f>"51"</f>
        <v>51</v>
      </c>
      <c r="D2860">
        <v>6319</v>
      </c>
      <c r="E2860" t="str">
        <f>"MC"</f>
        <v>MC</v>
      </c>
      <c r="F2860" t="str">
        <f>"936"</f>
        <v>936</v>
      </c>
      <c r="G2860">
        <v>9</v>
      </c>
      <c r="H2860" t="str">
        <f>"99"</f>
        <v>99</v>
      </c>
      <c r="I2860" t="str">
        <f t="shared" si="490"/>
        <v>0</v>
      </c>
      <c r="J2860" t="str">
        <f>"81"</f>
        <v>81</v>
      </c>
      <c r="K2860">
        <v>20181005</v>
      </c>
      <c r="L2860" t="str">
        <f>"074146"</f>
        <v>074146</v>
      </c>
      <c r="M2860" t="str">
        <f>"47725"</f>
        <v>47725</v>
      </c>
      <c r="N2860" t="s">
        <v>2095</v>
      </c>
      <c r="O2860">
        <v>608.21</v>
      </c>
      <c r="P2860">
        <v>20181004</v>
      </c>
      <c r="Q2860" t="s">
        <v>2060</v>
      </c>
      <c r="R2860" t="s">
        <v>2098</v>
      </c>
      <c r="S2860" t="s">
        <v>1615</v>
      </c>
      <c r="T2860" t="s">
        <v>1713</v>
      </c>
    </row>
    <row r="2861" spans="1:20" x14ac:dyDescent="0.25">
      <c r="A2861">
        <v>9</v>
      </c>
      <c r="B2861">
        <v>199</v>
      </c>
      <c r="C2861" t="str">
        <f>"51"</f>
        <v>51</v>
      </c>
      <c r="D2861">
        <v>6319</v>
      </c>
      <c r="E2861" t="str">
        <f>"MC"</f>
        <v>MC</v>
      </c>
      <c r="F2861" t="str">
        <f>"936"</f>
        <v>936</v>
      </c>
      <c r="G2861">
        <v>9</v>
      </c>
      <c r="H2861" t="str">
        <f>"99"</f>
        <v>99</v>
      </c>
      <c r="I2861" t="str">
        <f t="shared" si="490"/>
        <v>0</v>
      </c>
      <c r="J2861" t="str">
        <f>"81"</f>
        <v>81</v>
      </c>
      <c r="K2861">
        <v>20181005</v>
      </c>
      <c r="L2861" t="str">
        <f>"074146"</f>
        <v>074146</v>
      </c>
      <c r="M2861" t="str">
        <f>"47725"</f>
        <v>47725</v>
      </c>
      <c r="N2861" t="s">
        <v>2095</v>
      </c>
      <c r="O2861">
        <v>280.79000000000002</v>
      </c>
      <c r="P2861">
        <v>20181004</v>
      </c>
      <c r="Q2861" t="s">
        <v>2060</v>
      </c>
      <c r="R2861" t="s">
        <v>2099</v>
      </c>
      <c r="S2861" t="s">
        <v>1615</v>
      </c>
      <c r="T2861" t="s">
        <v>1713</v>
      </c>
    </row>
    <row r="2862" spans="1:20" x14ac:dyDescent="0.25">
      <c r="A2862">
        <v>9</v>
      </c>
      <c r="B2862">
        <v>199</v>
      </c>
      <c r="C2862" t="str">
        <f>"41"</f>
        <v>41</v>
      </c>
      <c r="D2862">
        <v>6495</v>
      </c>
      <c r="E2862" t="str">
        <f>"11"</f>
        <v>11</v>
      </c>
      <c r="F2862" t="str">
        <f>"701"</f>
        <v>701</v>
      </c>
      <c r="G2862">
        <v>9</v>
      </c>
      <c r="H2862" t="str">
        <f>"99"</f>
        <v>99</v>
      </c>
      <c r="I2862" t="str">
        <f t="shared" si="490"/>
        <v>0</v>
      </c>
      <c r="J2862" t="str">
        <f>"92"</f>
        <v>92</v>
      </c>
      <c r="K2862">
        <v>20181005</v>
      </c>
      <c r="L2862" t="str">
        <f>"074149"</f>
        <v>074149</v>
      </c>
      <c r="M2862" t="str">
        <f>"51596"</f>
        <v>51596</v>
      </c>
      <c r="N2862" t="s">
        <v>2100</v>
      </c>
      <c r="O2862">
        <v>750</v>
      </c>
      <c r="P2862">
        <v>20181004</v>
      </c>
      <c r="Q2862" t="s">
        <v>1839</v>
      </c>
      <c r="R2862" t="s">
        <v>1662</v>
      </c>
      <c r="S2862" t="s">
        <v>1615</v>
      </c>
      <c r="T2862" t="s">
        <v>1841</v>
      </c>
    </row>
    <row r="2863" spans="1:20" x14ac:dyDescent="0.25">
      <c r="A2863">
        <v>9</v>
      </c>
      <c r="B2863">
        <v>199</v>
      </c>
      <c r="C2863" t="str">
        <f>"41"</f>
        <v>41</v>
      </c>
      <c r="D2863">
        <v>6299</v>
      </c>
      <c r="E2863" t="str">
        <f>"10"</f>
        <v>10</v>
      </c>
      <c r="F2863" t="str">
        <f>"735"</f>
        <v>735</v>
      </c>
      <c r="G2863">
        <v>9</v>
      </c>
      <c r="H2863" t="str">
        <f>"99"</f>
        <v>99</v>
      </c>
      <c r="I2863" t="str">
        <f t="shared" si="490"/>
        <v>0</v>
      </c>
      <c r="J2863" t="str">
        <f>"96"</f>
        <v>96</v>
      </c>
      <c r="K2863">
        <v>20181005</v>
      </c>
      <c r="L2863" t="str">
        <f>"074155"</f>
        <v>074155</v>
      </c>
      <c r="M2863" t="str">
        <f>"00522"</f>
        <v>00522</v>
      </c>
      <c r="N2863" t="s">
        <v>1647</v>
      </c>
      <c r="O2863" s="1">
        <v>2100</v>
      </c>
      <c r="P2863">
        <v>20181004</v>
      </c>
      <c r="Q2863" t="s">
        <v>2101</v>
      </c>
      <c r="R2863" t="s">
        <v>1790</v>
      </c>
      <c r="S2863" t="s">
        <v>1615</v>
      </c>
      <c r="T2863" t="s">
        <v>151</v>
      </c>
    </row>
    <row r="2864" spans="1:20" x14ac:dyDescent="0.25">
      <c r="A2864">
        <v>9</v>
      </c>
      <c r="B2864">
        <v>199</v>
      </c>
      <c r="C2864" t="str">
        <f>"11"</f>
        <v>11</v>
      </c>
      <c r="D2864">
        <v>6339</v>
      </c>
      <c r="E2864" t="str">
        <f>"10"</f>
        <v>10</v>
      </c>
      <c r="F2864" t="str">
        <f>"104"</f>
        <v>104</v>
      </c>
      <c r="G2864">
        <v>9</v>
      </c>
      <c r="H2864" t="str">
        <f>"11"</f>
        <v>11</v>
      </c>
      <c r="I2864" t="str">
        <f t="shared" si="490"/>
        <v>0</v>
      </c>
      <c r="J2864" t="str">
        <f>"05"</f>
        <v>05</v>
      </c>
      <c r="K2864">
        <v>20181005</v>
      </c>
      <c r="L2864" t="str">
        <f>"074158"</f>
        <v>074158</v>
      </c>
      <c r="M2864" t="str">
        <f>"54495"</f>
        <v>54495</v>
      </c>
      <c r="N2864" t="s">
        <v>2102</v>
      </c>
      <c r="O2864">
        <v>121.52</v>
      </c>
      <c r="P2864">
        <v>20181004</v>
      </c>
      <c r="Q2864" t="s">
        <v>2103</v>
      </c>
      <c r="R2864" t="s">
        <v>2104</v>
      </c>
      <c r="S2864" t="s">
        <v>1615</v>
      </c>
      <c r="T2864" t="s">
        <v>46</v>
      </c>
    </row>
    <row r="2865" spans="1:20" x14ac:dyDescent="0.25">
      <c r="A2865">
        <v>9</v>
      </c>
      <c r="B2865">
        <v>199</v>
      </c>
      <c r="C2865" t="str">
        <f>"51"</f>
        <v>51</v>
      </c>
      <c r="D2865">
        <v>6249</v>
      </c>
      <c r="E2865" t="str">
        <f>"M1"</f>
        <v>M1</v>
      </c>
      <c r="F2865" t="str">
        <f>"936"</f>
        <v>936</v>
      </c>
      <c r="G2865">
        <v>9</v>
      </c>
      <c r="H2865" t="str">
        <f>"99"</f>
        <v>99</v>
      </c>
      <c r="I2865" t="str">
        <f t="shared" si="490"/>
        <v>0</v>
      </c>
      <c r="J2865" t="str">
        <f>"81"</f>
        <v>81</v>
      </c>
      <c r="K2865">
        <v>20181005</v>
      </c>
      <c r="L2865" t="str">
        <f>"074161"</f>
        <v>074161</v>
      </c>
      <c r="M2865" t="str">
        <f>"00181"</f>
        <v>00181</v>
      </c>
      <c r="N2865" t="s">
        <v>1762</v>
      </c>
      <c r="O2865">
        <v>320</v>
      </c>
      <c r="P2865">
        <v>20181001</v>
      </c>
      <c r="Q2865" t="s">
        <v>1763</v>
      </c>
      <c r="R2865" s="2">
        <v>43374</v>
      </c>
      <c r="S2865" t="s">
        <v>1615</v>
      </c>
      <c r="T2865" t="s">
        <v>1713</v>
      </c>
    </row>
    <row r="2866" spans="1:20" x14ac:dyDescent="0.25">
      <c r="A2866">
        <v>9</v>
      </c>
      <c r="B2866">
        <v>199</v>
      </c>
      <c r="C2866" t="str">
        <f>"11"</f>
        <v>11</v>
      </c>
      <c r="D2866">
        <v>6299</v>
      </c>
      <c r="E2866" t="str">
        <f>"7E"</f>
        <v>7E</v>
      </c>
      <c r="F2866" t="str">
        <f>"001"</f>
        <v>001</v>
      </c>
      <c r="G2866">
        <v>9</v>
      </c>
      <c r="H2866" t="str">
        <f>"11"</f>
        <v>11</v>
      </c>
      <c r="I2866" t="str">
        <f t="shared" si="490"/>
        <v>0</v>
      </c>
      <c r="J2866" t="str">
        <f>"31"</f>
        <v>31</v>
      </c>
      <c r="K2866">
        <v>20181005</v>
      </c>
      <c r="L2866" t="str">
        <f>"074167"</f>
        <v>074167</v>
      </c>
      <c r="M2866" t="str">
        <f>"57997"</f>
        <v>57997</v>
      </c>
      <c r="N2866" t="s">
        <v>1904</v>
      </c>
      <c r="O2866">
        <v>150</v>
      </c>
      <c r="P2866">
        <v>20181001</v>
      </c>
      <c r="Q2866" t="s">
        <v>1873</v>
      </c>
      <c r="R2866" t="s">
        <v>1985</v>
      </c>
      <c r="S2866" t="s">
        <v>1615</v>
      </c>
      <c r="T2866" t="s">
        <v>301</v>
      </c>
    </row>
    <row r="2867" spans="1:20" x14ac:dyDescent="0.25">
      <c r="A2867">
        <v>9</v>
      </c>
      <c r="B2867">
        <v>199</v>
      </c>
      <c r="C2867" t="str">
        <f>"00"</f>
        <v>00</v>
      </c>
      <c r="D2867">
        <v>2110</v>
      </c>
      <c r="E2867" t="str">
        <f>"18"</f>
        <v>18</v>
      </c>
      <c r="F2867" t="str">
        <f>"000"</f>
        <v>000</v>
      </c>
      <c r="G2867">
        <v>9</v>
      </c>
      <c r="H2867" t="str">
        <f>"00"</f>
        <v>00</v>
      </c>
      <c r="I2867" t="str">
        <f t="shared" si="490"/>
        <v>0</v>
      </c>
      <c r="J2867" t="str">
        <f>"00"</f>
        <v>00</v>
      </c>
      <c r="K2867">
        <v>20181005</v>
      </c>
      <c r="L2867" t="str">
        <f>"074168"</f>
        <v>074168</v>
      </c>
      <c r="M2867" t="str">
        <f>"58211"</f>
        <v>58211</v>
      </c>
      <c r="N2867" t="s">
        <v>1472</v>
      </c>
      <c r="O2867">
        <v>127.35</v>
      </c>
      <c r="P2867">
        <v>20181001</v>
      </c>
      <c r="Q2867" t="s">
        <v>1613</v>
      </c>
      <c r="R2867" t="s">
        <v>2105</v>
      </c>
      <c r="S2867" t="s">
        <v>1615</v>
      </c>
      <c r="T2867" t="s">
        <v>296</v>
      </c>
    </row>
    <row r="2868" spans="1:20" x14ac:dyDescent="0.25">
      <c r="A2868">
        <v>9</v>
      </c>
      <c r="B2868">
        <v>199</v>
      </c>
      <c r="C2868" t="str">
        <f>"00"</f>
        <v>00</v>
      </c>
      <c r="D2868">
        <v>2110</v>
      </c>
      <c r="E2868" t="str">
        <f>"18"</f>
        <v>18</v>
      </c>
      <c r="F2868" t="str">
        <f>"000"</f>
        <v>000</v>
      </c>
      <c r="G2868">
        <v>9</v>
      </c>
      <c r="H2868" t="str">
        <f>"00"</f>
        <v>00</v>
      </c>
      <c r="I2868" t="str">
        <f t="shared" si="490"/>
        <v>0</v>
      </c>
      <c r="J2868" t="str">
        <f>"00"</f>
        <v>00</v>
      </c>
      <c r="K2868">
        <v>20181005</v>
      </c>
      <c r="L2868" t="str">
        <f>"074168"</f>
        <v>074168</v>
      </c>
      <c r="M2868" t="str">
        <f>"58211"</f>
        <v>58211</v>
      </c>
      <c r="N2868" t="s">
        <v>1472</v>
      </c>
      <c r="O2868">
        <v>80.11</v>
      </c>
      <c r="P2868">
        <v>20181001</v>
      </c>
      <c r="Q2868" t="s">
        <v>1613</v>
      </c>
      <c r="R2868" t="s">
        <v>2106</v>
      </c>
      <c r="S2868" t="s">
        <v>1615</v>
      </c>
      <c r="T2868" t="s">
        <v>296</v>
      </c>
    </row>
    <row r="2869" spans="1:20" x14ac:dyDescent="0.25">
      <c r="A2869">
        <v>9</v>
      </c>
      <c r="B2869">
        <v>199</v>
      </c>
      <c r="C2869" t="str">
        <f>"23"</f>
        <v>23</v>
      </c>
      <c r="D2869">
        <v>6399</v>
      </c>
      <c r="E2869" t="str">
        <f>"10"</f>
        <v>10</v>
      </c>
      <c r="F2869" t="str">
        <f t="shared" ref="F2869:F2875" si="491">"001"</f>
        <v>001</v>
      </c>
      <c r="G2869">
        <v>9</v>
      </c>
      <c r="H2869" t="str">
        <f>"99"</f>
        <v>99</v>
      </c>
      <c r="I2869" t="str">
        <f t="shared" si="490"/>
        <v>0</v>
      </c>
      <c r="J2869" t="str">
        <f>"01"</f>
        <v>01</v>
      </c>
      <c r="K2869">
        <v>20181005</v>
      </c>
      <c r="L2869" t="str">
        <f>"074169"</f>
        <v>074169</v>
      </c>
      <c r="M2869" t="str">
        <f>"58204"</f>
        <v>58204</v>
      </c>
      <c r="N2869" t="s">
        <v>1767</v>
      </c>
      <c r="O2869">
        <v>142.5</v>
      </c>
      <c r="P2869">
        <v>20181004</v>
      </c>
      <c r="Q2869" t="s">
        <v>1785</v>
      </c>
      <c r="R2869" t="s">
        <v>2107</v>
      </c>
      <c r="S2869" t="s">
        <v>1615</v>
      </c>
      <c r="T2869" t="s">
        <v>301</v>
      </c>
    </row>
    <row r="2870" spans="1:20" x14ac:dyDescent="0.25">
      <c r="A2870">
        <v>9</v>
      </c>
      <c r="B2870">
        <v>199</v>
      </c>
      <c r="C2870" t="str">
        <f>"23"</f>
        <v>23</v>
      </c>
      <c r="D2870">
        <v>6498</v>
      </c>
      <c r="E2870" t="str">
        <f>"10"</f>
        <v>10</v>
      </c>
      <c r="F2870" t="str">
        <f t="shared" si="491"/>
        <v>001</v>
      </c>
      <c r="G2870">
        <v>9</v>
      </c>
      <c r="H2870" t="str">
        <f>"99"</f>
        <v>99</v>
      </c>
      <c r="I2870" t="str">
        <f t="shared" si="490"/>
        <v>0</v>
      </c>
      <c r="J2870" t="str">
        <f>"01"</f>
        <v>01</v>
      </c>
      <c r="K2870">
        <v>20181005</v>
      </c>
      <c r="L2870" t="str">
        <f>"074169"</f>
        <v>074169</v>
      </c>
      <c r="M2870" t="str">
        <f>"58204"</f>
        <v>58204</v>
      </c>
      <c r="N2870" t="s">
        <v>1767</v>
      </c>
      <c r="O2870">
        <v>37</v>
      </c>
      <c r="P2870">
        <v>20181004</v>
      </c>
      <c r="Q2870" t="s">
        <v>2108</v>
      </c>
      <c r="R2870" t="s">
        <v>2109</v>
      </c>
      <c r="S2870" t="s">
        <v>1615</v>
      </c>
      <c r="T2870" t="s">
        <v>301</v>
      </c>
    </row>
    <row r="2871" spans="1:20" x14ac:dyDescent="0.25">
      <c r="A2871">
        <v>9</v>
      </c>
      <c r="B2871">
        <v>199</v>
      </c>
      <c r="C2871" t="str">
        <f>"23"</f>
        <v>23</v>
      </c>
      <c r="D2871">
        <v>6498</v>
      </c>
      <c r="E2871" t="str">
        <f>"10"</f>
        <v>10</v>
      </c>
      <c r="F2871" t="str">
        <f t="shared" si="491"/>
        <v>001</v>
      </c>
      <c r="G2871">
        <v>9</v>
      </c>
      <c r="H2871" t="str">
        <f>"99"</f>
        <v>99</v>
      </c>
      <c r="I2871" t="str">
        <f t="shared" si="490"/>
        <v>0</v>
      </c>
      <c r="J2871" t="str">
        <f>"01"</f>
        <v>01</v>
      </c>
      <c r="K2871">
        <v>20181005</v>
      </c>
      <c r="L2871" t="str">
        <f>"074169"</f>
        <v>074169</v>
      </c>
      <c r="M2871" t="str">
        <f>"58204"</f>
        <v>58204</v>
      </c>
      <c r="N2871" t="s">
        <v>1767</v>
      </c>
      <c r="O2871">
        <v>27.05</v>
      </c>
      <c r="P2871">
        <v>20181004</v>
      </c>
      <c r="Q2871" t="s">
        <v>2108</v>
      </c>
      <c r="R2871" t="s">
        <v>2110</v>
      </c>
      <c r="S2871" t="s">
        <v>1615</v>
      </c>
      <c r="T2871" t="s">
        <v>301</v>
      </c>
    </row>
    <row r="2872" spans="1:20" x14ac:dyDescent="0.25">
      <c r="A2872">
        <v>9</v>
      </c>
      <c r="B2872">
        <v>199</v>
      </c>
      <c r="C2872" t="str">
        <f>"36"</f>
        <v>36</v>
      </c>
      <c r="D2872">
        <v>6399</v>
      </c>
      <c r="E2872" t="str">
        <f>"8S"</f>
        <v>8S</v>
      </c>
      <c r="F2872" t="str">
        <f t="shared" si="491"/>
        <v>001</v>
      </c>
      <c r="G2872">
        <v>9</v>
      </c>
      <c r="H2872" t="str">
        <f>"99"</f>
        <v>99</v>
      </c>
      <c r="I2872" t="str">
        <f t="shared" si="490"/>
        <v>0</v>
      </c>
      <c r="J2872" t="str">
        <f>"01"</f>
        <v>01</v>
      </c>
      <c r="K2872">
        <v>20181005</v>
      </c>
      <c r="L2872" t="str">
        <f>"074169"</f>
        <v>074169</v>
      </c>
      <c r="M2872" t="str">
        <f>"58204"</f>
        <v>58204</v>
      </c>
      <c r="N2872" t="s">
        <v>1767</v>
      </c>
      <c r="O2872">
        <v>65</v>
      </c>
      <c r="P2872">
        <v>20181004</v>
      </c>
      <c r="Q2872" t="s">
        <v>1780</v>
      </c>
      <c r="R2872" t="s">
        <v>2111</v>
      </c>
      <c r="S2872" t="s">
        <v>1615</v>
      </c>
      <c r="T2872" t="s">
        <v>301</v>
      </c>
    </row>
    <row r="2873" spans="1:20" x14ac:dyDescent="0.25">
      <c r="A2873">
        <v>9</v>
      </c>
      <c r="B2873">
        <v>199</v>
      </c>
      <c r="C2873" t="str">
        <f>"36"</f>
        <v>36</v>
      </c>
      <c r="D2873">
        <v>6399</v>
      </c>
      <c r="E2873" t="str">
        <f>"HC"</f>
        <v>HC</v>
      </c>
      <c r="F2873" t="str">
        <f t="shared" si="491"/>
        <v>001</v>
      </c>
      <c r="G2873">
        <v>9</v>
      </c>
      <c r="H2873" t="str">
        <f>"99"</f>
        <v>99</v>
      </c>
      <c r="I2873" t="str">
        <f t="shared" si="490"/>
        <v>0</v>
      </c>
      <c r="J2873" t="str">
        <f>"01"</f>
        <v>01</v>
      </c>
      <c r="K2873">
        <v>20181005</v>
      </c>
      <c r="L2873" t="str">
        <f>"074169"</f>
        <v>074169</v>
      </c>
      <c r="M2873" t="str">
        <f>"58204"</f>
        <v>58204</v>
      </c>
      <c r="N2873" t="s">
        <v>1767</v>
      </c>
      <c r="O2873">
        <v>62.5</v>
      </c>
      <c r="P2873">
        <v>20181004</v>
      </c>
      <c r="Q2873" t="s">
        <v>1770</v>
      </c>
      <c r="R2873" t="s">
        <v>1771</v>
      </c>
      <c r="S2873" t="s">
        <v>1615</v>
      </c>
      <c r="T2873" t="s">
        <v>301</v>
      </c>
    </row>
    <row r="2874" spans="1:20" x14ac:dyDescent="0.25">
      <c r="A2874">
        <v>9</v>
      </c>
      <c r="B2874">
        <v>199</v>
      </c>
      <c r="C2874" t="str">
        <f t="shared" ref="C2874:C2879" si="492">"11"</f>
        <v>11</v>
      </c>
      <c r="D2874">
        <v>6411</v>
      </c>
      <c r="E2874" t="str">
        <f>"S6"</f>
        <v>S6</v>
      </c>
      <c r="F2874" t="str">
        <f t="shared" si="491"/>
        <v>001</v>
      </c>
      <c r="G2874">
        <v>9</v>
      </c>
      <c r="H2874" t="str">
        <f>"23"</f>
        <v>23</v>
      </c>
      <c r="I2874" t="str">
        <f>"1"</f>
        <v>1</v>
      </c>
      <c r="J2874" t="str">
        <f>"23"</f>
        <v>23</v>
      </c>
      <c r="K2874">
        <v>20181005</v>
      </c>
      <c r="L2874" t="str">
        <f>"074170"</f>
        <v>074170</v>
      </c>
      <c r="M2874" t="str">
        <f>"58210"</f>
        <v>58210</v>
      </c>
      <c r="N2874" t="s">
        <v>1905</v>
      </c>
      <c r="O2874">
        <v>40</v>
      </c>
      <c r="P2874">
        <v>20181001</v>
      </c>
      <c r="Q2874" t="s">
        <v>1906</v>
      </c>
      <c r="R2874" t="s">
        <v>2112</v>
      </c>
      <c r="S2874" t="s">
        <v>1615</v>
      </c>
      <c r="T2874" t="s">
        <v>301</v>
      </c>
    </row>
    <row r="2875" spans="1:20" x14ac:dyDescent="0.25">
      <c r="A2875">
        <v>9</v>
      </c>
      <c r="B2875">
        <v>199</v>
      </c>
      <c r="C2875" t="str">
        <f t="shared" si="492"/>
        <v>11</v>
      </c>
      <c r="D2875">
        <v>6412</v>
      </c>
      <c r="E2875" t="str">
        <f>"S6"</f>
        <v>S6</v>
      </c>
      <c r="F2875" t="str">
        <f t="shared" si="491"/>
        <v>001</v>
      </c>
      <c r="G2875">
        <v>9</v>
      </c>
      <c r="H2875" t="str">
        <f>"23"</f>
        <v>23</v>
      </c>
      <c r="I2875" t="str">
        <f>"1"</f>
        <v>1</v>
      </c>
      <c r="J2875" t="str">
        <f>"23"</f>
        <v>23</v>
      </c>
      <c r="K2875">
        <v>20181005</v>
      </c>
      <c r="L2875" t="str">
        <f>"074170"</f>
        <v>074170</v>
      </c>
      <c r="M2875" t="str">
        <f>"58210"</f>
        <v>58210</v>
      </c>
      <c r="N2875" t="s">
        <v>1905</v>
      </c>
      <c r="O2875">
        <v>156</v>
      </c>
      <c r="P2875">
        <v>20181001</v>
      </c>
      <c r="Q2875" t="s">
        <v>1886</v>
      </c>
      <c r="R2875" t="s">
        <v>2113</v>
      </c>
      <c r="S2875" t="s">
        <v>1615</v>
      </c>
      <c r="T2875" t="s">
        <v>301</v>
      </c>
    </row>
    <row r="2876" spans="1:20" x14ac:dyDescent="0.25">
      <c r="A2876">
        <v>9</v>
      </c>
      <c r="B2876">
        <v>199</v>
      </c>
      <c r="C2876" t="str">
        <f t="shared" si="492"/>
        <v>11</v>
      </c>
      <c r="D2876">
        <v>6412</v>
      </c>
      <c r="E2876" t="str">
        <f>"S6"</f>
        <v>S6</v>
      </c>
      <c r="F2876" t="str">
        <f>"041"</f>
        <v>041</v>
      </c>
      <c r="G2876">
        <v>9</v>
      </c>
      <c r="H2876" t="str">
        <f>"23"</f>
        <v>23</v>
      </c>
      <c r="I2876" t="str">
        <f>"1"</f>
        <v>1</v>
      </c>
      <c r="J2876" t="str">
        <f>"23"</f>
        <v>23</v>
      </c>
      <c r="K2876">
        <v>20181005</v>
      </c>
      <c r="L2876" t="str">
        <f>"074170"</f>
        <v>074170</v>
      </c>
      <c r="M2876" t="str">
        <f>"58210"</f>
        <v>58210</v>
      </c>
      <c r="N2876" t="s">
        <v>1905</v>
      </c>
      <c r="O2876">
        <v>54</v>
      </c>
      <c r="P2876">
        <v>20181001</v>
      </c>
      <c r="Q2876" t="s">
        <v>1887</v>
      </c>
      <c r="R2876" t="s">
        <v>2114</v>
      </c>
      <c r="S2876" t="s">
        <v>1615</v>
      </c>
      <c r="T2876" t="s">
        <v>106</v>
      </c>
    </row>
    <row r="2877" spans="1:20" x14ac:dyDescent="0.25">
      <c r="A2877">
        <v>9</v>
      </c>
      <c r="B2877">
        <v>199</v>
      </c>
      <c r="C2877" t="str">
        <f t="shared" si="492"/>
        <v>11</v>
      </c>
      <c r="D2877">
        <v>6412</v>
      </c>
      <c r="E2877" t="str">
        <f>"S6"</f>
        <v>S6</v>
      </c>
      <c r="F2877" t="str">
        <f>"101"</f>
        <v>101</v>
      </c>
      <c r="G2877">
        <v>9</v>
      </c>
      <c r="H2877" t="str">
        <f>"23"</f>
        <v>23</v>
      </c>
      <c r="I2877" t="str">
        <f>"1"</f>
        <v>1</v>
      </c>
      <c r="J2877" t="str">
        <f>"23"</f>
        <v>23</v>
      </c>
      <c r="K2877">
        <v>20181005</v>
      </c>
      <c r="L2877" t="str">
        <f>"074170"</f>
        <v>074170</v>
      </c>
      <c r="M2877" t="str">
        <f>"58210"</f>
        <v>58210</v>
      </c>
      <c r="N2877" t="s">
        <v>1905</v>
      </c>
      <c r="O2877">
        <v>51</v>
      </c>
      <c r="P2877">
        <v>20181001</v>
      </c>
      <c r="Q2877" t="s">
        <v>1888</v>
      </c>
      <c r="R2877" t="s">
        <v>2114</v>
      </c>
      <c r="S2877" t="s">
        <v>1615</v>
      </c>
      <c r="T2877" t="s">
        <v>1479</v>
      </c>
    </row>
    <row r="2878" spans="1:20" x14ac:dyDescent="0.25">
      <c r="A2878">
        <v>9</v>
      </c>
      <c r="B2878">
        <v>199</v>
      </c>
      <c r="C2878" t="str">
        <f t="shared" si="492"/>
        <v>11</v>
      </c>
      <c r="D2878">
        <v>6412</v>
      </c>
      <c r="E2878" t="str">
        <f>"S6"</f>
        <v>S6</v>
      </c>
      <c r="F2878" t="str">
        <f>"104"</f>
        <v>104</v>
      </c>
      <c r="G2878">
        <v>9</v>
      </c>
      <c r="H2878" t="str">
        <f>"23"</f>
        <v>23</v>
      </c>
      <c r="I2878" t="str">
        <f t="shared" ref="I2878:I2922" si="493">"0"</f>
        <v>0</v>
      </c>
      <c r="J2878" t="str">
        <f>"23"</f>
        <v>23</v>
      </c>
      <c r="K2878">
        <v>20181005</v>
      </c>
      <c r="L2878" t="str">
        <f>"074170"</f>
        <v>074170</v>
      </c>
      <c r="M2878" t="str">
        <f>"58210"</f>
        <v>58210</v>
      </c>
      <c r="N2878" t="s">
        <v>1905</v>
      </c>
      <c r="O2878">
        <v>51</v>
      </c>
      <c r="P2878">
        <v>20181001</v>
      </c>
      <c r="Q2878" t="s">
        <v>1889</v>
      </c>
      <c r="R2878" t="s">
        <v>2114</v>
      </c>
      <c r="S2878" t="s">
        <v>1615</v>
      </c>
      <c r="T2878" t="s">
        <v>46</v>
      </c>
    </row>
    <row r="2879" spans="1:20" x14ac:dyDescent="0.25">
      <c r="A2879">
        <v>9</v>
      </c>
      <c r="B2879">
        <v>199</v>
      </c>
      <c r="C2879" t="str">
        <f t="shared" si="492"/>
        <v>11</v>
      </c>
      <c r="D2879">
        <v>6299</v>
      </c>
      <c r="E2879" t="str">
        <f>"7E"</f>
        <v>7E</v>
      </c>
      <c r="F2879" t="str">
        <f>"001"</f>
        <v>001</v>
      </c>
      <c r="G2879">
        <v>9</v>
      </c>
      <c r="H2879" t="str">
        <f>"11"</f>
        <v>11</v>
      </c>
      <c r="I2879" t="str">
        <f t="shared" si="493"/>
        <v>0</v>
      </c>
      <c r="J2879" t="str">
        <f>"31"</f>
        <v>31</v>
      </c>
      <c r="K2879">
        <v>20181005</v>
      </c>
      <c r="L2879" t="str">
        <f>"074171"</f>
        <v>074171</v>
      </c>
      <c r="M2879" t="str">
        <f>"58816"</f>
        <v>58816</v>
      </c>
      <c r="N2879" t="s">
        <v>1908</v>
      </c>
      <c r="O2879">
        <v>150</v>
      </c>
      <c r="P2879">
        <v>20181001</v>
      </c>
      <c r="Q2879" t="s">
        <v>1873</v>
      </c>
      <c r="R2879" t="s">
        <v>1985</v>
      </c>
      <c r="S2879" t="s">
        <v>1615</v>
      </c>
      <c r="T2879" t="s">
        <v>301</v>
      </c>
    </row>
    <row r="2880" spans="1:20" x14ac:dyDescent="0.25">
      <c r="A2880">
        <v>9</v>
      </c>
      <c r="B2880">
        <v>199</v>
      </c>
      <c r="C2880" t="str">
        <f>"31"</f>
        <v>31</v>
      </c>
      <c r="D2880">
        <v>6399</v>
      </c>
      <c r="E2880" t="str">
        <f>"7F"</f>
        <v>7F</v>
      </c>
      <c r="F2880" t="str">
        <f>"104"</f>
        <v>104</v>
      </c>
      <c r="G2880">
        <v>9</v>
      </c>
      <c r="H2880" t="str">
        <f>"99"</f>
        <v>99</v>
      </c>
      <c r="I2880" t="str">
        <f t="shared" si="493"/>
        <v>0</v>
      </c>
      <c r="J2880" t="str">
        <f>"05"</f>
        <v>05</v>
      </c>
      <c r="K2880">
        <v>20181005</v>
      </c>
      <c r="L2880" t="str">
        <f>"074172"</f>
        <v>074172</v>
      </c>
      <c r="M2880" t="str">
        <f>"60603"</f>
        <v>60603</v>
      </c>
      <c r="N2880" t="s">
        <v>1909</v>
      </c>
      <c r="O2880">
        <v>9.34</v>
      </c>
      <c r="P2880">
        <v>20181001</v>
      </c>
      <c r="Q2880" t="s">
        <v>1910</v>
      </c>
      <c r="R2880" t="s">
        <v>2115</v>
      </c>
      <c r="S2880" t="s">
        <v>1615</v>
      </c>
      <c r="T2880" t="s">
        <v>46</v>
      </c>
    </row>
    <row r="2881" spans="1:20" x14ac:dyDescent="0.25">
      <c r="A2881">
        <v>9</v>
      </c>
      <c r="B2881">
        <v>199</v>
      </c>
      <c r="C2881" t="str">
        <f>"31"</f>
        <v>31</v>
      </c>
      <c r="D2881">
        <v>6399</v>
      </c>
      <c r="E2881" t="str">
        <f>"7F"</f>
        <v>7F</v>
      </c>
      <c r="F2881" t="str">
        <f>"104"</f>
        <v>104</v>
      </c>
      <c r="G2881">
        <v>9</v>
      </c>
      <c r="H2881" t="str">
        <f>"99"</f>
        <v>99</v>
      </c>
      <c r="I2881" t="str">
        <f t="shared" si="493"/>
        <v>0</v>
      </c>
      <c r="J2881" t="str">
        <f>"05"</f>
        <v>05</v>
      </c>
      <c r="K2881">
        <v>20181005</v>
      </c>
      <c r="L2881" t="str">
        <f>"074172"</f>
        <v>074172</v>
      </c>
      <c r="M2881" t="str">
        <f>"60603"</f>
        <v>60603</v>
      </c>
      <c r="N2881" t="s">
        <v>1909</v>
      </c>
      <c r="O2881">
        <v>79.37</v>
      </c>
      <c r="P2881">
        <v>20181001</v>
      </c>
      <c r="Q2881" t="s">
        <v>1910</v>
      </c>
      <c r="R2881" t="s">
        <v>641</v>
      </c>
      <c r="S2881" t="s">
        <v>1615</v>
      </c>
      <c r="T2881" t="s">
        <v>46</v>
      </c>
    </row>
    <row r="2882" spans="1:20" x14ac:dyDescent="0.25">
      <c r="A2882">
        <v>9</v>
      </c>
      <c r="B2882">
        <v>199</v>
      </c>
      <c r="C2882" t="str">
        <f>"31"</f>
        <v>31</v>
      </c>
      <c r="D2882">
        <v>6399</v>
      </c>
      <c r="E2882" t="str">
        <f>"7F"</f>
        <v>7F</v>
      </c>
      <c r="F2882" t="str">
        <f>"104"</f>
        <v>104</v>
      </c>
      <c r="G2882">
        <v>9</v>
      </c>
      <c r="H2882" t="str">
        <f>"99"</f>
        <v>99</v>
      </c>
      <c r="I2882" t="str">
        <f t="shared" si="493"/>
        <v>0</v>
      </c>
      <c r="J2882" t="str">
        <f>"05"</f>
        <v>05</v>
      </c>
      <c r="K2882">
        <v>20181005</v>
      </c>
      <c r="L2882" t="str">
        <f>"074172"</f>
        <v>074172</v>
      </c>
      <c r="M2882" t="str">
        <f>"60603"</f>
        <v>60603</v>
      </c>
      <c r="N2882" t="s">
        <v>1909</v>
      </c>
      <c r="O2882">
        <v>30.24</v>
      </c>
      <c r="P2882">
        <v>20181001</v>
      </c>
      <c r="Q2882" t="s">
        <v>1910</v>
      </c>
      <c r="R2882" t="s">
        <v>2116</v>
      </c>
      <c r="S2882" t="s">
        <v>1615</v>
      </c>
      <c r="T2882" t="s">
        <v>46</v>
      </c>
    </row>
    <row r="2883" spans="1:20" x14ac:dyDescent="0.25">
      <c r="A2883">
        <v>9</v>
      </c>
      <c r="B2883">
        <v>199</v>
      </c>
      <c r="C2883" t="str">
        <f>"31"</f>
        <v>31</v>
      </c>
      <c r="D2883">
        <v>6399</v>
      </c>
      <c r="E2883" t="str">
        <f>"7F"</f>
        <v>7F</v>
      </c>
      <c r="F2883" t="str">
        <f>"104"</f>
        <v>104</v>
      </c>
      <c r="G2883">
        <v>9</v>
      </c>
      <c r="H2883" t="str">
        <f>"99"</f>
        <v>99</v>
      </c>
      <c r="I2883" t="str">
        <f t="shared" si="493"/>
        <v>0</v>
      </c>
      <c r="J2883" t="str">
        <f>"05"</f>
        <v>05</v>
      </c>
      <c r="K2883">
        <v>20181005</v>
      </c>
      <c r="L2883" t="str">
        <f>"074172"</f>
        <v>074172</v>
      </c>
      <c r="M2883" t="str">
        <f>"60603"</f>
        <v>60603</v>
      </c>
      <c r="N2883" t="s">
        <v>1909</v>
      </c>
      <c r="O2883">
        <v>16.14</v>
      </c>
      <c r="P2883">
        <v>20181001</v>
      </c>
      <c r="Q2883" t="s">
        <v>1910</v>
      </c>
      <c r="R2883" t="s">
        <v>2117</v>
      </c>
      <c r="S2883" t="s">
        <v>1615</v>
      </c>
      <c r="T2883" t="s">
        <v>46</v>
      </c>
    </row>
    <row r="2884" spans="1:20" x14ac:dyDescent="0.25">
      <c r="A2884">
        <v>9</v>
      </c>
      <c r="B2884">
        <v>199</v>
      </c>
      <c r="C2884" t="str">
        <f>"11"</f>
        <v>11</v>
      </c>
      <c r="D2884">
        <v>6399</v>
      </c>
      <c r="E2884" t="str">
        <f>"VH"</f>
        <v>VH</v>
      </c>
      <c r="F2884" t="str">
        <f>"002"</f>
        <v>002</v>
      </c>
      <c r="G2884">
        <v>9</v>
      </c>
      <c r="H2884" t="str">
        <f>"22"</f>
        <v>22</v>
      </c>
      <c r="I2884" t="str">
        <f t="shared" si="493"/>
        <v>0</v>
      </c>
      <c r="J2884" t="str">
        <f>"22"</f>
        <v>22</v>
      </c>
      <c r="K2884">
        <v>20181005</v>
      </c>
      <c r="L2884" t="str">
        <f>"074173"</f>
        <v>074173</v>
      </c>
      <c r="M2884" t="str">
        <f>"61914"</f>
        <v>61914</v>
      </c>
      <c r="N2884" t="s">
        <v>1911</v>
      </c>
      <c r="O2884">
        <v>240</v>
      </c>
      <c r="P2884">
        <v>20181001</v>
      </c>
      <c r="Q2884" t="s">
        <v>1912</v>
      </c>
      <c r="R2884" t="s">
        <v>2118</v>
      </c>
      <c r="S2884" t="s">
        <v>1615</v>
      </c>
      <c r="T2884" t="s">
        <v>1485</v>
      </c>
    </row>
    <row r="2885" spans="1:20" x14ac:dyDescent="0.25">
      <c r="A2885">
        <v>9</v>
      </c>
      <c r="B2885">
        <v>199</v>
      </c>
      <c r="C2885" t="str">
        <f>"11"</f>
        <v>11</v>
      </c>
      <c r="D2885">
        <v>6412</v>
      </c>
      <c r="E2885" t="str">
        <f>"VD"</f>
        <v>VD</v>
      </c>
      <c r="F2885" t="str">
        <f>"001"</f>
        <v>001</v>
      </c>
      <c r="G2885">
        <v>9</v>
      </c>
      <c r="H2885" t="str">
        <f>"22"</f>
        <v>22</v>
      </c>
      <c r="I2885" t="str">
        <f t="shared" si="493"/>
        <v>0</v>
      </c>
      <c r="J2885" t="str">
        <f>"22"</f>
        <v>22</v>
      </c>
      <c r="K2885">
        <v>20181005</v>
      </c>
      <c r="L2885" t="str">
        <f>"074175"</f>
        <v>074175</v>
      </c>
      <c r="M2885" t="str">
        <f>"63605"</f>
        <v>63605</v>
      </c>
      <c r="N2885" t="s">
        <v>2119</v>
      </c>
      <c r="O2885">
        <v>150</v>
      </c>
      <c r="P2885">
        <v>20181004</v>
      </c>
      <c r="Q2885" t="s">
        <v>2120</v>
      </c>
      <c r="R2885" t="s">
        <v>2121</v>
      </c>
      <c r="S2885" t="s">
        <v>1615</v>
      </c>
      <c r="T2885" t="s">
        <v>301</v>
      </c>
    </row>
    <row r="2886" spans="1:20" x14ac:dyDescent="0.25">
      <c r="A2886">
        <v>9</v>
      </c>
      <c r="B2886">
        <v>199</v>
      </c>
      <c r="C2886" t="str">
        <f>"51"</f>
        <v>51</v>
      </c>
      <c r="D2886">
        <v>6319</v>
      </c>
      <c r="E2886" t="str">
        <f>"M2"</f>
        <v>M2</v>
      </c>
      <c r="F2886" t="str">
        <f>"936"</f>
        <v>936</v>
      </c>
      <c r="G2886">
        <v>9</v>
      </c>
      <c r="H2886" t="str">
        <f>"99"</f>
        <v>99</v>
      </c>
      <c r="I2886" t="str">
        <f t="shared" si="493"/>
        <v>0</v>
      </c>
      <c r="J2886" t="str">
        <f>"81"</f>
        <v>81</v>
      </c>
      <c r="K2886">
        <v>20181005</v>
      </c>
      <c r="L2886" t="str">
        <f>"074176"</f>
        <v>074176</v>
      </c>
      <c r="M2886" t="str">
        <f>"63608"</f>
        <v>63608</v>
      </c>
      <c r="N2886" t="s">
        <v>2122</v>
      </c>
      <c r="O2886">
        <v>526.66</v>
      </c>
      <c r="P2886">
        <v>20181004</v>
      </c>
      <c r="Q2886" t="s">
        <v>2074</v>
      </c>
      <c r="R2886" t="s">
        <v>2123</v>
      </c>
      <c r="S2886" t="s">
        <v>1615</v>
      </c>
      <c r="T2886" t="s">
        <v>1713</v>
      </c>
    </row>
    <row r="2887" spans="1:20" x14ac:dyDescent="0.25">
      <c r="A2887">
        <v>9</v>
      </c>
      <c r="B2887">
        <v>199</v>
      </c>
      <c r="C2887" t="str">
        <f>"34"</f>
        <v>34</v>
      </c>
      <c r="D2887">
        <v>6311</v>
      </c>
      <c r="E2887" t="str">
        <f>"10"</f>
        <v>10</v>
      </c>
      <c r="F2887" t="str">
        <f>"937"</f>
        <v>937</v>
      </c>
      <c r="G2887">
        <v>9</v>
      </c>
      <c r="H2887" t="str">
        <f>"99"</f>
        <v>99</v>
      </c>
      <c r="I2887" t="str">
        <f t="shared" si="493"/>
        <v>0</v>
      </c>
      <c r="J2887" t="str">
        <f>"82"</f>
        <v>82</v>
      </c>
      <c r="K2887">
        <v>20181005</v>
      </c>
      <c r="L2887" t="str">
        <f>"074178"</f>
        <v>074178</v>
      </c>
      <c r="M2887" t="str">
        <f>"65212"</f>
        <v>65212</v>
      </c>
      <c r="N2887" t="s">
        <v>1913</v>
      </c>
      <c r="O2887" s="1">
        <v>16724.650000000001</v>
      </c>
      <c r="P2887">
        <v>20181001</v>
      </c>
      <c r="Q2887" t="s">
        <v>1914</v>
      </c>
      <c r="R2887" t="s">
        <v>2124</v>
      </c>
      <c r="S2887" t="s">
        <v>1615</v>
      </c>
      <c r="T2887" t="s">
        <v>1810</v>
      </c>
    </row>
    <row r="2888" spans="1:20" x14ac:dyDescent="0.25">
      <c r="A2888">
        <v>9</v>
      </c>
      <c r="B2888">
        <v>199</v>
      </c>
      <c r="C2888" t="str">
        <f>"11"</f>
        <v>11</v>
      </c>
      <c r="D2888">
        <v>6396</v>
      </c>
      <c r="E2888" t="str">
        <f>"11"</f>
        <v>11</v>
      </c>
      <c r="F2888" t="str">
        <f>"001"</f>
        <v>001</v>
      </c>
      <c r="G2888">
        <v>9</v>
      </c>
      <c r="H2888" t="str">
        <f>"11"</f>
        <v>11</v>
      </c>
      <c r="I2888" t="str">
        <f t="shared" si="493"/>
        <v>0</v>
      </c>
      <c r="J2888" t="str">
        <f>"80"</f>
        <v>80</v>
      </c>
      <c r="K2888">
        <v>20181005</v>
      </c>
      <c r="L2888" t="str">
        <f>"074180"</f>
        <v>074180</v>
      </c>
      <c r="M2888" t="str">
        <f>"64650"</f>
        <v>64650</v>
      </c>
      <c r="N2888" t="s">
        <v>1915</v>
      </c>
      <c r="O2888" s="1">
        <v>4102.84</v>
      </c>
      <c r="P2888">
        <v>20181001</v>
      </c>
      <c r="Q2888" t="s">
        <v>1916</v>
      </c>
      <c r="R2888" t="s">
        <v>2125</v>
      </c>
      <c r="S2888" t="s">
        <v>1615</v>
      </c>
      <c r="T2888" t="s">
        <v>301</v>
      </c>
    </row>
    <row r="2889" spans="1:20" x14ac:dyDescent="0.25">
      <c r="A2889">
        <v>9</v>
      </c>
      <c r="B2889">
        <v>199</v>
      </c>
      <c r="C2889" t="str">
        <f>"11"</f>
        <v>11</v>
      </c>
      <c r="D2889">
        <v>6396</v>
      </c>
      <c r="E2889" t="str">
        <f>"11"</f>
        <v>11</v>
      </c>
      <c r="F2889" t="str">
        <f>"041"</f>
        <v>041</v>
      </c>
      <c r="G2889">
        <v>9</v>
      </c>
      <c r="H2889" t="str">
        <f>"11"</f>
        <v>11</v>
      </c>
      <c r="I2889" t="str">
        <f t="shared" si="493"/>
        <v>0</v>
      </c>
      <c r="J2889" t="str">
        <f>"80"</f>
        <v>80</v>
      </c>
      <c r="K2889">
        <v>20181005</v>
      </c>
      <c r="L2889" t="str">
        <f>"074180"</f>
        <v>074180</v>
      </c>
      <c r="M2889" t="str">
        <f>"64650"</f>
        <v>64650</v>
      </c>
      <c r="N2889" t="s">
        <v>1915</v>
      </c>
      <c r="O2889" s="1">
        <v>4102.84</v>
      </c>
      <c r="P2889">
        <v>20181001</v>
      </c>
      <c r="Q2889" t="s">
        <v>1917</v>
      </c>
      <c r="R2889" t="s">
        <v>2125</v>
      </c>
      <c r="S2889" t="s">
        <v>1615</v>
      </c>
      <c r="T2889" t="s">
        <v>106</v>
      </c>
    </row>
    <row r="2890" spans="1:20" x14ac:dyDescent="0.25">
      <c r="A2890">
        <v>9</v>
      </c>
      <c r="B2890">
        <v>199</v>
      </c>
      <c r="C2890" t="str">
        <f>"11"</f>
        <v>11</v>
      </c>
      <c r="D2890">
        <v>6396</v>
      </c>
      <c r="E2890" t="str">
        <f>"11"</f>
        <v>11</v>
      </c>
      <c r="F2890" t="str">
        <f>"101"</f>
        <v>101</v>
      </c>
      <c r="G2890">
        <v>9</v>
      </c>
      <c r="H2890" t="str">
        <f>"11"</f>
        <v>11</v>
      </c>
      <c r="I2890" t="str">
        <f t="shared" si="493"/>
        <v>0</v>
      </c>
      <c r="J2890" t="str">
        <f>"80"</f>
        <v>80</v>
      </c>
      <c r="K2890">
        <v>20181005</v>
      </c>
      <c r="L2890" t="str">
        <f>"074180"</f>
        <v>074180</v>
      </c>
      <c r="M2890" t="str">
        <f>"64650"</f>
        <v>64650</v>
      </c>
      <c r="N2890" t="s">
        <v>1915</v>
      </c>
      <c r="O2890" s="1">
        <v>4102.84</v>
      </c>
      <c r="P2890">
        <v>20181001</v>
      </c>
      <c r="Q2890" t="s">
        <v>1918</v>
      </c>
      <c r="R2890" t="s">
        <v>2125</v>
      </c>
      <c r="S2890" t="s">
        <v>1615</v>
      </c>
      <c r="T2890" t="s">
        <v>1479</v>
      </c>
    </row>
    <row r="2891" spans="1:20" x14ac:dyDescent="0.25">
      <c r="A2891">
        <v>9</v>
      </c>
      <c r="B2891">
        <v>199</v>
      </c>
      <c r="C2891" t="str">
        <f>"11"</f>
        <v>11</v>
      </c>
      <c r="D2891">
        <v>6396</v>
      </c>
      <c r="E2891" t="str">
        <f>"11"</f>
        <v>11</v>
      </c>
      <c r="F2891" t="str">
        <f>"104"</f>
        <v>104</v>
      </c>
      <c r="G2891">
        <v>9</v>
      </c>
      <c r="H2891" t="str">
        <f>"11"</f>
        <v>11</v>
      </c>
      <c r="I2891" t="str">
        <f t="shared" si="493"/>
        <v>0</v>
      </c>
      <c r="J2891" t="str">
        <f>"80"</f>
        <v>80</v>
      </c>
      <c r="K2891">
        <v>20181005</v>
      </c>
      <c r="L2891" t="str">
        <f>"074180"</f>
        <v>074180</v>
      </c>
      <c r="M2891" t="str">
        <f>"64650"</f>
        <v>64650</v>
      </c>
      <c r="N2891" t="s">
        <v>1915</v>
      </c>
      <c r="O2891" s="1">
        <v>4102.8599999999997</v>
      </c>
      <c r="P2891">
        <v>20181001</v>
      </c>
      <c r="Q2891" t="s">
        <v>1919</v>
      </c>
      <c r="R2891" t="s">
        <v>2125</v>
      </c>
      <c r="S2891" t="s">
        <v>1615</v>
      </c>
      <c r="T2891" t="s">
        <v>46</v>
      </c>
    </row>
    <row r="2892" spans="1:20" x14ac:dyDescent="0.25">
      <c r="A2892">
        <v>9</v>
      </c>
      <c r="B2892">
        <v>199</v>
      </c>
      <c r="C2892" t="str">
        <f>"11"</f>
        <v>11</v>
      </c>
      <c r="D2892">
        <v>6399</v>
      </c>
      <c r="E2892" t="str">
        <f>"7B"</f>
        <v>7B</v>
      </c>
      <c r="F2892" t="str">
        <f>"041"</f>
        <v>041</v>
      </c>
      <c r="G2892">
        <v>9</v>
      </c>
      <c r="H2892" t="str">
        <f>"11"</f>
        <v>11</v>
      </c>
      <c r="I2892" t="str">
        <f t="shared" si="493"/>
        <v>0</v>
      </c>
      <c r="J2892" t="str">
        <f>"36"</f>
        <v>36</v>
      </c>
      <c r="K2892">
        <v>20181005</v>
      </c>
      <c r="L2892" t="str">
        <f>"074183"</f>
        <v>074183</v>
      </c>
      <c r="M2892" t="str">
        <f>"70650"</f>
        <v>70650</v>
      </c>
      <c r="N2892" t="s">
        <v>1920</v>
      </c>
      <c r="O2892" s="1">
        <v>1237.92</v>
      </c>
      <c r="P2892">
        <v>20181001</v>
      </c>
      <c r="Q2892" t="s">
        <v>1921</v>
      </c>
      <c r="R2892" t="s">
        <v>2126</v>
      </c>
      <c r="S2892" t="s">
        <v>1615</v>
      </c>
      <c r="T2892" t="s">
        <v>106</v>
      </c>
    </row>
    <row r="2893" spans="1:20" x14ac:dyDescent="0.25">
      <c r="A2893">
        <v>9</v>
      </c>
      <c r="B2893">
        <v>199</v>
      </c>
      <c r="C2893" t="str">
        <f>"51"</f>
        <v>51</v>
      </c>
      <c r="D2893">
        <v>6249</v>
      </c>
      <c r="E2893" t="str">
        <f>"WF"</f>
        <v>WF</v>
      </c>
      <c r="F2893" t="str">
        <f>"936"</f>
        <v>936</v>
      </c>
      <c r="G2893">
        <v>9</v>
      </c>
      <c r="H2893" t="str">
        <f>"99"</f>
        <v>99</v>
      </c>
      <c r="I2893" t="str">
        <f t="shared" si="493"/>
        <v>0</v>
      </c>
      <c r="J2893" t="str">
        <f>"82"</f>
        <v>82</v>
      </c>
      <c r="K2893">
        <v>20181005</v>
      </c>
      <c r="L2893" t="str">
        <f>"074184"</f>
        <v>074184</v>
      </c>
      <c r="M2893" t="str">
        <f>"71225"</f>
        <v>71225</v>
      </c>
      <c r="N2893" t="s">
        <v>1803</v>
      </c>
      <c r="O2893">
        <v>75</v>
      </c>
      <c r="P2893">
        <v>20181004</v>
      </c>
      <c r="Q2893" t="s">
        <v>2127</v>
      </c>
      <c r="R2893" t="s">
        <v>2128</v>
      </c>
      <c r="S2893" t="s">
        <v>1615</v>
      </c>
      <c r="T2893" t="s">
        <v>1713</v>
      </c>
    </row>
    <row r="2894" spans="1:20" x14ac:dyDescent="0.25">
      <c r="A2894">
        <v>9</v>
      </c>
      <c r="B2894">
        <v>199</v>
      </c>
      <c r="C2894" t="str">
        <f>"51"</f>
        <v>51</v>
      </c>
      <c r="D2894">
        <v>6249</v>
      </c>
      <c r="E2894" t="str">
        <f>"WF"</f>
        <v>WF</v>
      </c>
      <c r="F2894" t="str">
        <f>"936"</f>
        <v>936</v>
      </c>
      <c r="G2894">
        <v>9</v>
      </c>
      <c r="H2894" t="str">
        <f>"99"</f>
        <v>99</v>
      </c>
      <c r="I2894" t="str">
        <f t="shared" si="493"/>
        <v>0</v>
      </c>
      <c r="J2894" t="str">
        <f>"82"</f>
        <v>82</v>
      </c>
      <c r="K2894">
        <v>20181005</v>
      </c>
      <c r="L2894" t="str">
        <f>"074184"</f>
        <v>074184</v>
      </c>
      <c r="M2894" t="str">
        <f>"71225"</f>
        <v>71225</v>
      </c>
      <c r="N2894" t="s">
        <v>1803</v>
      </c>
      <c r="O2894">
        <v>27.5</v>
      </c>
      <c r="P2894">
        <v>20181004</v>
      </c>
      <c r="Q2894" t="s">
        <v>2127</v>
      </c>
      <c r="R2894" t="s">
        <v>2129</v>
      </c>
      <c r="S2894" t="s">
        <v>1615</v>
      </c>
      <c r="T2894" t="s">
        <v>1713</v>
      </c>
    </row>
    <row r="2895" spans="1:20" x14ac:dyDescent="0.25">
      <c r="A2895">
        <v>9</v>
      </c>
      <c r="B2895">
        <v>199</v>
      </c>
      <c r="C2895" t="str">
        <f>"51"</f>
        <v>51</v>
      </c>
      <c r="D2895">
        <v>6249</v>
      </c>
      <c r="E2895" t="str">
        <f>"WF"</f>
        <v>WF</v>
      </c>
      <c r="F2895" t="str">
        <f>"936"</f>
        <v>936</v>
      </c>
      <c r="G2895">
        <v>9</v>
      </c>
      <c r="H2895" t="str">
        <f>"99"</f>
        <v>99</v>
      </c>
      <c r="I2895" t="str">
        <f t="shared" si="493"/>
        <v>0</v>
      </c>
      <c r="J2895" t="str">
        <f>"82"</f>
        <v>82</v>
      </c>
      <c r="K2895">
        <v>20181005</v>
      </c>
      <c r="L2895" t="str">
        <f>"074184"</f>
        <v>074184</v>
      </c>
      <c r="M2895" t="str">
        <f>"71225"</f>
        <v>71225</v>
      </c>
      <c r="N2895" t="s">
        <v>1803</v>
      </c>
      <c r="O2895">
        <v>27.5</v>
      </c>
      <c r="P2895">
        <v>20181004</v>
      </c>
      <c r="Q2895" t="s">
        <v>2127</v>
      </c>
      <c r="R2895" t="s">
        <v>2130</v>
      </c>
      <c r="S2895" t="s">
        <v>1615</v>
      </c>
      <c r="T2895" t="s">
        <v>1713</v>
      </c>
    </row>
    <row r="2896" spans="1:20" x14ac:dyDescent="0.25">
      <c r="A2896">
        <v>9</v>
      </c>
      <c r="B2896">
        <v>199</v>
      </c>
      <c r="C2896" t="str">
        <f t="shared" ref="C2896:C2901" si="494">"00"</f>
        <v>00</v>
      </c>
      <c r="D2896">
        <v>1312</v>
      </c>
      <c r="E2896" t="str">
        <f t="shared" ref="E2896:E2901" si="495">"00"</f>
        <v>00</v>
      </c>
      <c r="F2896" t="str">
        <f t="shared" ref="F2896:F2901" si="496">"000"</f>
        <v>000</v>
      </c>
      <c r="G2896">
        <v>9</v>
      </c>
      <c r="H2896" t="str">
        <f t="shared" ref="H2896:H2901" si="497">"00"</f>
        <v>00</v>
      </c>
      <c r="I2896" t="str">
        <f t="shared" si="493"/>
        <v>0</v>
      </c>
      <c r="J2896" t="str">
        <f t="shared" ref="J2896:J2901" si="498">"00"</f>
        <v>00</v>
      </c>
      <c r="K2896">
        <v>20181005</v>
      </c>
      <c r="L2896" t="str">
        <f t="shared" ref="L2896:L2903" si="499">"074185"</f>
        <v>074185</v>
      </c>
      <c r="M2896" t="str">
        <f t="shared" ref="M2896:M2903" si="500">"72730"</f>
        <v>72730</v>
      </c>
      <c r="N2896" t="s">
        <v>639</v>
      </c>
      <c r="O2896">
        <v>78.400000000000006</v>
      </c>
      <c r="P2896">
        <v>20181004</v>
      </c>
      <c r="Q2896" t="s">
        <v>1860</v>
      </c>
      <c r="R2896" t="s">
        <v>2131</v>
      </c>
      <c r="S2896" t="s">
        <v>1615</v>
      </c>
      <c r="T2896" t="s">
        <v>296</v>
      </c>
    </row>
    <row r="2897" spans="1:20" x14ac:dyDescent="0.25">
      <c r="A2897">
        <v>9</v>
      </c>
      <c r="B2897">
        <v>199</v>
      </c>
      <c r="C2897" t="str">
        <f t="shared" si="494"/>
        <v>00</v>
      </c>
      <c r="D2897">
        <v>1312</v>
      </c>
      <c r="E2897" t="str">
        <f t="shared" si="495"/>
        <v>00</v>
      </c>
      <c r="F2897" t="str">
        <f t="shared" si="496"/>
        <v>000</v>
      </c>
      <c r="G2897">
        <v>9</v>
      </c>
      <c r="H2897" t="str">
        <f t="shared" si="497"/>
        <v>00</v>
      </c>
      <c r="I2897" t="str">
        <f t="shared" si="493"/>
        <v>0</v>
      </c>
      <c r="J2897" t="str">
        <f t="shared" si="498"/>
        <v>00</v>
      </c>
      <c r="K2897">
        <v>20181005</v>
      </c>
      <c r="L2897" t="str">
        <f t="shared" si="499"/>
        <v>074185</v>
      </c>
      <c r="M2897" t="str">
        <f t="shared" si="500"/>
        <v>72730</v>
      </c>
      <c r="N2897" t="s">
        <v>639</v>
      </c>
      <c r="O2897">
        <v>88.49</v>
      </c>
      <c r="P2897">
        <v>20181004</v>
      </c>
      <c r="Q2897" t="s">
        <v>1860</v>
      </c>
      <c r="R2897" t="s">
        <v>2131</v>
      </c>
      <c r="S2897" t="s">
        <v>1615</v>
      </c>
      <c r="T2897" t="s">
        <v>296</v>
      </c>
    </row>
    <row r="2898" spans="1:20" x14ac:dyDescent="0.25">
      <c r="A2898">
        <v>9</v>
      </c>
      <c r="B2898">
        <v>199</v>
      </c>
      <c r="C2898" t="str">
        <f t="shared" si="494"/>
        <v>00</v>
      </c>
      <c r="D2898">
        <v>1312</v>
      </c>
      <c r="E2898" t="str">
        <f t="shared" si="495"/>
        <v>00</v>
      </c>
      <c r="F2898" t="str">
        <f t="shared" si="496"/>
        <v>000</v>
      </c>
      <c r="G2898">
        <v>9</v>
      </c>
      <c r="H2898" t="str">
        <f t="shared" si="497"/>
        <v>00</v>
      </c>
      <c r="I2898" t="str">
        <f t="shared" si="493"/>
        <v>0</v>
      </c>
      <c r="J2898" t="str">
        <f t="shared" si="498"/>
        <v>00</v>
      </c>
      <c r="K2898">
        <v>20181005</v>
      </c>
      <c r="L2898" t="str">
        <f t="shared" si="499"/>
        <v>074185</v>
      </c>
      <c r="M2898" t="str">
        <f t="shared" si="500"/>
        <v>72730</v>
      </c>
      <c r="N2898" t="s">
        <v>639</v>
      </c>
      <c r="O2898">
        <v>88.49</v>
      </c>
      <c r="P2898">
        <v>20181004</v>
      </c>
      <c r="Q2898" t="s">
        <v>1860</v>
      </c>
      <c r="R2898" t="s">
        <v>2131</v>
      </c>
      <c r="S2898" t="s">
        <v>1615</v>
      </c>
      <c r="T2898" t="s">
        <v>296</v>
      </c>
    </row>
    <row r="2899" spans="1:20" x14ac:dyDescent="0.25">
      <c r="A2899">
        <v>9</v>
      </c>
      <c r="B2899">
        <v>199</v>
      </c>
      <c r="C2899" t="str">
        <f t="shared" si="494"/>
        <v>00</v>
      </c>
      <c r="D2899">
        <v>1312</v>
      </c>
      <c r="E2899" t="str">
        <f t="shared" si="495"/>
        <v>00</v>
      </c>
      <c r="F2899" t="str">
        <f t="shared" si="496"/>
        <v>000</v>
      </c>
      <c r="G2899">
        <v>9</v>
      </c>
      <c r="H2899" t="str">
        <f t="shared" si="497"/>
        <v>00</v>
      </c>
      <c r="I2899" t="str">
        <f t="shared" si="493"/>
        <v>0</v>
      </c>
      <c r="J2899" t="str">
        <f t="shared" si="498"/>
        <v>00</v>
      </c>
      <c r="K2899">
        <v>20181005</v>
      </c>
      <c r="L2899" t="str">
        <f t="shared" si="499"/>
        <v>074185</v>
      </c>
      <c r="M2899" t="str">
        <f t="shared" si="500"/>
        <v>72730</v>
      </c>
      <c r="N2899" t="s">
        <v>639</v>
      </c>
      <c r="O2899">
        <v>88.49</v>
      </c>
      <c r="P2899">
        <v>20181004</v>
      </c>
      <c r="Q2899" t="s">
        <v>1860</v>
      </c>
      <c r="R2899" t="s">
        <v>2131</v>
      </c>
      <c r="S2899" t="s">
        <v>1615</v>
      </c>
      <c r="T2899" t="s">
        <v>296</v>
      </c>
    </row>
    <row r="2900" spans="1:20" x14ac:dyDescent="0.25">
      <c r="A2900">
        <v>9</v>
      </c>
      <c r="B2900">
        <v>199</v>
      </c>
      <c r="C2900" t="str">
        <f t="shared" si="494"/>
        <v>00</v>
      </c>
      <c r="D2900">
        <v>1312</v>
      </c>
      <c r="E2900" t="str">
        <f t="shared" si="495"/>
        <v>00</v>
      </c>
      <c r="F2900" t="str">
        <f t="shared" si="496"/>
        <v>000</v>
      </c>
      <c r="G2900">
        <v>9</v>
      </c>
      <c r="H2900" t="str">
        <f t="shared" si="497"/>
        <v>00</v>
      </c>
      <c r="I2900" t="str">
        <f t="shared" si="493"/>
        <v>0</v>
      </c>
      <c r="J2900" t="str">
        <f t="shared" si="498"/>
        <v>00</v>
      </c>
      <c r="K2900">
        <v>20181005</v>
      </c>
      <c r="L2900" t="str">
        <f t="shared" si="499"/>
        <v>074185</v>
      </c>
      <c r="M2900" t="str">
        <f t="shared" si="500"/>
        <v>72730</v>
      </c>
      <c r="N2900" t="s">
        <v>639</v>
      </c>
      <c r="O2900">
        <v>88.49</v>
      </c>
      <c r="P2900">
        <v>20181004</v>
      </c>
      <c r="Q2900" t="s">
        <v>1860</v>
      </c>
      <c r="R2900" t="s">
        <v>2131</v>
      </c>
      <c r="S2900" t="s">
        <v>1615</v>
      </c>
      <c r="T2900" t="s">
        <v>296</v>
      </c>
    </row>
    <row r="2901" spans="1:20" x14ac:dyDescent="0.25">
      <c r="A2901">
        <v>9</v>
      </c>
      <c r="B2901">
        <v>199</v>
      </c>
      <c r="C2901" t="str">
        <f t="shared" si="494"/>
        <v>00</v>
      </c>
      <c r="D2901">
        <v>1312</v>
      </c>
      <c r="E2901" t="str">
        <f t="shared" si="495"/>
        <v>00</v>
      </c>
      <c r="F2901" t="str">
        <f t="shared" si="496"/>
        <v>000</v>
      </c>
      <c r="G2901">
        <v>9</v>
      </c>
      <c r="H2901" t="str">
        <f t="shared" si="497"/>
        <v>00</v>
      </c>
      <c r="I2901" t="str">
        <f t="shared" si="493"/>
        <v>0</v>
      </c>
      <c r="J2901" t="str">
        <f t="shared" si="498"/>
        <v>00</v>
      </c>
      <c r="K2901">
        <v>20181005</v>
      </c>
      <c r="L2901" t="str">
        <f t="shared" si="499"/>
        <v>074185</v>
      </c>
      <c r="M2901" t="str">
        <f t="shared" si="500"/>
        <v>72730</v>
      </c>
      <c r="N2901" t="s">
        <v>639</v>
      </c>
      <c r="O2901">
        <v>88.49</v>
      </c>
      <c r="P2901">
        <v>20181004</v>
      </c>
      <c r="Q2901" t="s">
        <v>1860</v>
      </c>
      <c r="R2901" t="s">
        <v>2131</v>
      </c>
      <c r="S2901" t="s">
        <v>1615</v>
      </c>
      <c r="T2901" t="s">
        <v>296</v>
      </c>
    </row>
    <row r="2902" spans="1:20" x14ac:dyDescent="0.25">
      <c r="A2902">
        <v>9</v>
      </c>
      <c r="B2902">
        <v>199</v>
      </c>
      <c r="C2902" t="str">
        <f>"41"</f>
        <v>41</v>
      </c>
      <c r="D2902">
        <v>6399</v>
      </c>
      <c r="E2902" t="str">
        <f>"10"</f>
        <v>10</v>
      </c>
      <c r="F2902" t="str">
        <f>"720"</f>
        <v>720</v>
      </c>
      <c r="G2902">
        <v>9</v>
      </c>
      <c r="H2902" t="str">
        <f>"99"</f>
        <v>99</v>
      </c>
      <c r="I2902" t="str">
        <f t="shared" si="493"/>
        <v>0</v>
      </c>
      <c r="J2902" t="str">
        <f>"91"</f>
        <v>91</v>
      </c>
      <c r="K2902">
        <v>20181005</v>
      </c>
      <c r="L2902" t="str">
        <f t="shared" si="499"/>
        <v>074185</v>
      </c>
      <c r="M2902" t="str">
        <f t="shared" si="500"/>
        <v>72730</v>
      </c>
      <c r="N2902" t="s">
        <v>639</v>
      </c>
      <c r="O2902">
        <v>107.84</v>
      </c>
      <c r="P2902">
        <v>20181004</v>
      </c>
      <c r="Q2902" t="s">
        <v>2132</v>
      </c>
      <c r="R2902" t="s">
        <v>2133</v>
      </c>
      <c r="S2902" t="s">
        <v>1615</v>
      </c>
      <c r="T2902" t="s">
        <v>2045</v>
      </c>
    </row>
    <row r="2903" spans="1:20" x14ac:dyDescent="0.25">
      <c r="A2903">
        <v>9</v>
      </c>
      <c r="B2903">
        <v>199</v>
      </c>
      <c r="C2903" t="str">
        <f>"41"</f>
        <v>41</v>
      </c>
      <c r="D2903">
        <v>6399</v>
      </c>
      <c r="E2903" t="str">
        <f>"10"</f>
        <v>10</v>
      </c>
      <c r="F2903" t="str">
        <f>"720"</f>
        <v>720</v>
      </c>
      <c r="G2903">
        <v>9</v>
      </c>
      <c r="H2903" t="str">
        <f>"99"</f>
        <v>99</v>
      </c>
      <c r="I2903" t="str">
        <f t="shared" si="493"/>
        <v>0</v>
      </c>
      <c r="J2903" t="str">
        <f>"91"</f>
        <v>91</v>
      </c>
      <c r="K2903">
        <v>20181005</v>
      </c>
      <c r="L2903" t="str">
        <f t="shared" si="499"/>
        <v>074185</v>
      </c>
      <c r="M2903" t="str">
        <f t="shared" si="500"/>
        <v>72730</v>
      </c>
      <c r="N2903" t="s">
        <v>639</v>
      </c>
      <c r="O2903">
        <v>248.24</v>
      </c>
      <c r="P2903">
        <v>20181004</v>
      </c>
      <c r="Q2903" t="s">
        <v>2132</v>
      </c>
      <c r="R2903" t="s">
        <v>641</v>
      </c>
      <c r="S2903" t="s">
        <v>1615</v>
      </c>
      <c r="T2903" t="s">
        <v>2045</v>
      </c>
    </row>
    <row r="2904" spans="1:20" x14ac:dyDescent="0.25">
      <c r="A2904">
        <v>9</v>
      </c>
      <c r="B2904">
        <v>199</v>
      </c>
      <c r="C2904" t="str">
        <f>"11"</f>
        <v>11</v>
      </c>
      <c r="D2904">
        <v>6399</v>
      </c>
      <c r="E2904" t="str">
        <f>"7K"</f>
        <v>7K</v>
      </c>
      <c r="F2904" t="str">
        <f>"001"</f>
        <v>001</v>
      </c>
      <c r="G2904">
        <v>9</v>
      </c>
      <c r="H2904" t="str">
        <f>"11"</f>
        <v>11</v>
      </c>
      <c r="I2904" t="str">
        <f t="shared" si="493"/>
        <v>0</v>
      </c>
      <c r="J2904" t="str">
        <f>"01"</f>
        <v>01</v>
      </c>
      <c r="K2904">
        <v>20181005</v>
      </c>
      <c r="L2904" t="str">
        <f>"074186"</f>
        <v>074186</v>
      </c>
      <c r="M2904" t="str">
        <f>"73875"</f>
        <v>73875</v>
      </c>
      <c r="N2904" t="s">
        <v>1924</v>
      </c>
      <c r="O2904">
        <v>168.07</v>
      </c>
      <c r="P2904">
        <v>20181001</v>
      </c>
      <c r="Q2904" t="s">
        <v>1671</v>
      </c>
      <c r="R2904" t="s">
        <v>2134</v>
      </c>
      <c r="S2904" t="s">
        <v>1615</v>
      </c>
      <c r="T2904" t="s">
        <v>301</v>
      </c>
    </row>
    <row r="2905" spans="1:20" x14ac:dyDescent="0.25">
      <c r="A2905">
        <v>9</v>
      </c>
      <c r="B2905">
        <v>199</v>
      </c>
      <c r="C2905" t="str">
        <f>"41"</f>
        <v>41</v>
      </c>
      <c r="D2905">
        <v>6495</v>
      </c>
      <c r="E2905" t="str">
        <f>"11"</f>
        <v>11</v>
      </c>
      <c r="F2905" t="str">
        <f>"701"</f>
        <v>701</v>
      </c>
      <c r="G2905">
        <v>9</v>
      </c>
      <c r="H2905" t="str">
        <f>"99"</f>
        <v>99</v>
      </c>
      <c r="I2905" t="str">
        <f t="shared" si="493"/>
        <v>0</v>
      </c>
      <c r="J2905" t="str">
        <f>"92"</f>
        <v>92</v>
      </c>
      <c r="K2905">
        <v>20181005</v>
      </c>
      <c r="L2905" t="str">
        <f>"074189"</f>
        <v>074189</v>
      </c>
      <c r="M2905" t="str">
        <f>"75356"</f>
        <v>75356</v>
      </c>
      <c r="N2905" t="s">
        <v>2135</v>
      </c>
      <c r="O2905">
        <v>500</v>
      </c>
      <c r="P2905">
        <v>20181004</v>
      </c>
      <c r="Q2905" t="s">
        <v>1839</v>
      </c>
      <c r="R2905" t="s">
        <v>2136</v>
      </c>
      <c r="S2905" t="s">
        <v>1615</v>
      </c>
      <c r="T2905" t="s">
        <v>1841</v>
      </c>
    </row>
    <row r="2906" spans="1:20" x14ac:dyDescent="0.25">
      <c r="A2906">
        <v>9</v>
      </c>
      <c r="B2906">
        <v>199</v>
      </c>
      <c r="C2906" t="str">
        <f>"36"</f>
        <v>36</v>
      </c>
      <c r="D2906">
        <v>6495</v>
      </c>
      <c r="E2906" t="str">
        <f>"7E"</f>
        <v>7E</v>
      </c>
      <c r="F2906" t="str">
        <f>"041"</f>
        <v>041</v>
      </c>
      <c r="G2906">
        <v>9</v>
      </c>
      <c r="H2906" t="str">
        <f>"99"</f>
        <v>99</v>
      </c>
      <c r="I2906" t="str">
        <f t="shared" si="493"/>
        <v>0</v>
      </c>
      <c r="J2906" t="str">
        <f>"35"</f>
        <v>35</v>
      </c>
      <c r="K2906">
        <v>20181005</v>
      </c>
      <c r="L2906" t="str">
        <f>"074193"</f>
        <v>074193</v>
      </c>
      <c r="M2906" t="str">
        <f>"78730"</f>
        <v>78730</v>
      </c>
      <c r="N2906" t="s">
        <v>2137</v>
      </c>
      <c r="O2906">
        <v>175</v>
      </c>
      <c r="P2906">
        <v>20181004</v>
      </c>
      <c r="Q2906" t="s">
        <v>2138</v>
      </c>
      <c r="R2906" t="s">
        <v>1656</v>
      </c>
      <c r="S2906" t="s">
        <v>1615</v>
      </c>
      <c r="T2906" t="s">
        <v>106</v>
      </c>
    </row>
    <row r="2907" spans="1:20" x14ac:dyDescent="0.25">
      <c r="A2907">
        <v>9</v>
      </c>
      <c r="B2907">
        <v>199</v>
      </c>
      <c r="C2907" t="str">
        <f>"23"</f>
        <v>23</v>
      </c>
      <c r="D2907">
        <v>6498</v>
      </c>
      <c r="E2907" t="str">
        <f>"10"</f>
        <v>10</v>
      </c>
      <c r="F2907" t="str">
        <f>"101"</f>
        <v>101</v>
      </c>
      <c r="G2907">
        <v>9</v>
      </c>
      <c r="H2907" t="str">
        <f>"99"</f>
        <v>99</v>
      </c>
      <c r="I2907" t="str">
        <f t="shared" si="493"/>
        <v>0</v>
      </c>
      <c r="J2907" t="str">
        <f>"04"</f>
        <v>04</v>
      </c>
      <c r="K2907">
        <v>20181005</v>
      </c>
      <c r="L2907" t="str">
        <f>"074194"</f>
        <v>074194</v>
      </c>
      <c r="M2907" t="str">
        <f>"81155"</f>
        <v>81155</v>
      </c>
      <c r="N2907" t="s">
        <v>149</v>
      </c>
      <c r="O2907">
        <v>175</v>
      </c>
      <c r="P2907">
        <v>20181004</v>
      </c>
      <c r="Q2907" t="s">
        <v>2139</v>
      </c>
      <c r="R2907" t="s">
        <v>1848</v>
      </c>
      <c r="S2907" t="s">
        <v>1615</v>
      </c>
      <c r="T2907" t="s">
        <v>1479</v>
      </c>
    </row>
    <row r="2908" spans="1:20" x14ac:dyDescent="0.25">
      <c r="A2908">
        <v>9</v>
      </c>
      <c r="B2908">
        <v>199</v>
      </c>
      <c r="C2908" t="str">
        <f>"23"</f>
        <v>23</v>
      </c>
      <c r="D2908">
        <v>6498</v>
      </c>
      <c r="E2908" t="str">
        <f>"99"</f>
        <v>99</v>
      </c>
      <c r="F2908" t="str">
        <f>"041"</f>
        <v>041</v>
      </c>
      <c r="G2908">
        <v>9</v>
      </c>
      <c r="H2908" t="str">
        <f>"99"</f>
        <v>99</v>
      </c>
      <c r="I2908" t="str">
        <f t="shared" si="493"/>
        <v>0</v>
      </c>
      <c r="J2908" t="str">
        <f>"03"</f>
        <v>03</v>
      </c>
      <c r="K2908">
        <v>20181005</v>
      </c>
      <c r="L2908" t="str">
        <f>"074194"</f>
        <v>074194</v>
      </c>
      <c r="M2908" t="str">
        <f>"81155"</f>
        <v>81155</v>
      </c>
      <c r="N2908" t="s">
        <v>149</v>
      </c>
      <c r="O2908">
        <v>210</v>
      </c>
      <c r="P2908">
        <v>20181004</v>
      </c>
      <c r="Q2908" t="s">
        <v>2140</v>
      </c>
      <c r="R2908" t="s">
        <v>1848</v>
      </c>
      <c r="S2908" t="s">
        <v>1615</v>
      </c>
      <c r="T2908" t="s">
        <v>106</v>
      </c>
    </row>
    <row r="2909" spans="1:20" x14ac:dyDescent="0.25">
      <c r="A2909">
        <v>9</v>
      </c>
      <c r="B2909">
        <v>199</v>
      </c>
      <c r="C2909" t="str">
        <f>"53"</f>
        <v>53</v>
      </c>
      <c r="D2909">
        <v>6411</v>
      </c>
      <c r="E2909" t="str">
        <f>"10"</f>
        <v>10</v>
      </c>
      <c r="F2909" t="str">
        <f>"880"</f>
        <v>880</v>
      </c>
      <c r="G2909">
        <v>9</v>
      </c>
      <c r="H2909" t="str">
        <f>"99"</f>
        <v>99</v>
      </c>
      <c r="I2909" t="str">
        <f t="shared" si="493"/>
        <v>0</v>
      </c>
      <c r="J2909" t="str">
        <f>"80"</f>
        <v>80</v>
      </c>
      <c r="K2909">
        <v>20181005</v>
      </c>
      <c r="L2909" t="str">
        <f>"074194"</f>
        <v>074194</v>
      </c>
      <c r="M2909" t="str">
        <f>"81155"</f>
        <v>81155</v>
      </c>
      <c r="N2909" t="s">
        <v>149</v>
      </c>
      <c r="O2909">
        <v>70</v>
      </c>
      <c r="P2909">
        <v>20181004</v>
      </c>
      <c r="Q2909" t="s">
        <v>1901</v>
      </c>
      <c r="R2909" t="s">
        <v>1848</v>
      </c>
      <c r="S2909" t="s">
        <v>1615</v>
      </c>
      <c r="T2909" t="s">
        <v>1866</v>
      </c>
    </row>
    <row r="2910" spans="1:20" x14ac:dyDescent="0.25">
      <c r="A2910">
        <v>9</v>
      </c>
      <c r="B2910">
        <v>199</v>
      </c>
      <c r="C2910" t="str">
        <f>"11"</f>
        <v>11</v>
      </c>
      <c r="D2910">
        <v>6399</v>
      </c>
      <c r="E2910" t="str">
        <f>"8M"</f>
        <v>8M</v>
      </c>
      <c r="F2910" t="str">
        <f>"001"</f>
        <v>001</v>
      </c>
      <c r="G2910">
        <v>9</v>
      </c>
      <c r="H2910" t="str">
        <f>"11"</f>
        <v>11</v>
      </c>
      <c r="I2910" t="str">
        <f t="shared" si="493"/>
        <v>0</v>
      </c>
      <c r="J2910" t="str">
        <f>"33"</f>
        <v>33</v>
      </c>
      <c r="K2910">
        <v>20181005</v>
      </c>
      <c r="L2910" t="str">
        <f>"074199"</f>
        <v>074199</v>
      </c>
      <c r="M2910" t="str">
        <f>"80600"</f>
        <v>80600</v>
      </c>
      <c r="N2910" t="s">
        <v>1927</v>
      </c>
      <c r="O2910">
        <v>220</v>
      </c>
      <c r="P2910">
        <v>20181001</v>
      </c>
      <c r="Q2910" t="s">
        <v>1928</v>
      </c>
      <c r="R2910" t="s">
        <v>2141</v>
      </c>
      <c r="S2910" t="s">
        <v>1615</v>
      </c>
      <c r="T2910" t="s">
        <v>301</v>
      </c>
    </row>
    <row r="2911" spans="1:20" x14ac:dyDescent="0.25">
      <c r="A2911">
        <v>9</v>
      </c>
      <c r="B2911">
        <v>199</v>
      </c>
      <c r="C2911" t="str">
        <f>"11"</f>
        <v>11</v>
      </c>
      <c r="D2911">
        <v>6395</v>
      </c>
      <c r="E2911" t="str">
        <f>"10"</f>
        <v>10</v>
      </c>
      <c r="F2911" t="str">
        <f>"001"</f>
        <v>001</v>
      </c>
      <c r="G2911">
        <v>9</v>
      </c>
      <c r="H2911" t="str">
        <f>"11"</f>
        <v>11</v>
      </c>
      <c r="I2911" t="str">
        <f t="shared" si="493"/>
        <v>0</v>
      </c>
      <c r="J2911" t="str">
        <f>"01"</f>
        <v>01</v>
      </c>
      <c r="K2911">
        <v>20181005</v>
      </c>
      <c r="L2911" t="str">
        <f t="shared" ref="L2911:L2917" si="501">"074202"</f>
        <v>074202</v>
      </c>
      <c r="M2911" t="str">
        <f t="shared" ref="M2911:M2917" si="502">"81303"</f>
        <v>81303</v>
      </c>
      <c r="N2911" t="s">
        <v>66</v>
      </c>
      <c r="O2911">
        <v>16.25</v>
      </c>
      <c r="P2911">
        <v>20181001</v>
      </c>
      <c r="Q2911" t="s">
        <v>1929</v>
      </c>
      <c r="R2911" t="s">
        <v>2142</v>
      </c>
      <c r="S2911" t="s">
        <v>1615</v>
      </c>
      <c r="T2911" t="s">
        <v>301</v>
      </c>
    </row>
    <row r="2912" spans="1:20" x14ac:dyDescent="0.25">
      <c r="A2912">
        <v>9</v>
      </c>
      <c r="B2912">
        <v>199</v>
      </c>
      <c r="C2912" t="str">
        <f>"11"</f>
        <v>11</v>
      </c>
      <c r="D2912">
        <v>6399</v>
      </c>
      <c r="E2912" t="str">
        <f>"00"</f>
        <v>00</v>
      </c>
      <c r="F2912" t="str">
        <f>"041"</f>
        <v>041</v>
      </c>
      <c r="G2912">
        <v>9</v>
      </c>
      <c r="H2912" t="str">
        <f>"25"</f>
        <v>25</v>
      </c>
      <c r="I2912" t="str">
        <f t="shared" si="493"/>
        <v>0</v>
      </c>
      <c r="J2912" t="str">
        <f>"25"</f>
        <v>25</v>
      </c>
      <c r="K2912">
        <v>20181005</v>
      </c>
      <c r="L2912" t="str">
        <f t="shared" si="501"/>
        <v>074202</v>
      </c>
      <c r="M2912" t="str">
        <f t="shared" si="502"/>
        <v>81303</v>
      </c>
      <c r="N2912" t="s">
        <v>66</v>
      </c>
      <c r="O2912">
        <v>6.5</v>
      </c>
      <c r="P2912">
        <v>20181001</v>
      </c>
      <c r="Q2912" t="s">
        <v>1930</v>
      </c>
      <c r="R2912" t="s">
        <v>2143</v>
      </c>
      <c r="S2912" t="s">
        <v>1615</v>
      </c>
      <c r="T2912" t="s">
        <v>106</v>
      </c>
    </row>
    <row r="2913" spans="1:20" x14ac:dyDescent="0.25">
      <c r="A2913">
        <v>9</v>
      </c>
      <c r="B2913">
        <v>199</v>
      </c>
      <c r="C2913" t="str">
        <f>"11"</f>
        <v>11</v>
      </c>
      <c r="D2913">
        <v>6399</v>
      </c>
      <c r="E2913" t="str">
        <f>"7K"</f>
        <v>7K</v>
      </c>
      <c r="F2913" t="str">
        <f>"001"</f>
        <v>001</v>
      </c>
      <c r="G2913">
        <v>9</v>
      </c>
      <c r="H2913" t="str">
        <f>"11"</f>
        <v>11</v>
      </c>
      <c r="I2913" t="str">
        <f t="shared" si="493"/>
        <v>0</v>
      </c>
      <c r="J2913" t="str">
        <f>"01"</f>
        <v>01</v>
      </c>
      <c r="K2913">
        <v>20181005</v>
      </c>
      <c r="L2913" t="str">
        <f t="shared" si="501"/>
        <v>074202</v>
      </c>
      <c r="M2913" t="str">
        <f t="shared" si="502"/>
        <v>81303</v>
      </c>
      <c r="N2913" t="s">
        <v>66</v>
      </c>
      <c r="O2913">
        <v>150.96</v>
      </c>
      <c r="P2913">
        <v>20181001</v>
      </c>
      <c r="Q2913" t="s">
        <v>1671</v>
      </c>
      <c r="R2913" t="s">
        <v>2144</v>
      </c>
      <c r="S2913" t="s">
        <v>1615</v>
      </c>
      <c r="T2913" t="s">
        <v>301</v>
      </c>
    </row>
    <row r="2914" spans="1:20" x14ac:dyDescent="0.25">
      <c r="A2914">
        <v>9</v>
      </c>
      <c r="B2914">
        <v>199</v>
      </c>
      <c r="C2914" t="str">
        <f>"21"</f>
        <v>21</v>
      </c>
      <c r="D2914">
        <v>6395</v>
      </c>
      <c r="E2914" t="str">
        <f>"10"</f>
        <v>10</v>
      </c>
      <c r="F2914" t="str">
        <f>"871"</f>
        <v>871</v>
      </c>
      <c r="G2914">
        <v>9</v>
      </c>
      <c r="H2914" t="str">
        <f>"99"</f>
        <v>99</v>
      </c>
      <c r="I2914" t="str">
        <f t="shared" si="493"/>
        <v>0</v>
      </c>
      <c r="J2914" t="str">
        <f>"94"</f>
        <v>94</v>
      </c>
      <c r="K2914">
        <v>20181005</v>
      </c>
      <c r="L2914" t="str">
        <f t="shared" si="501"/>
        <v>074202</v>
      </c>
      <c r="M2914" t="str">
        <f t="shared" si="502"/>
        <v>81303</v>
      </c>
      <c r="N2914" t="s">
        <v>66</v>
      </c>
      <c r="O2914">
        <v>35</v>
      </c>
      <c r="P2914">
        <v>20181001</v>
      </c>
      <c r="Q2914" t="s">
        <v>1931</v>
      </c>
      <c r="R2914" t="s">
        <v>2145</v>
      </c>
      <c r="S2914" t="s">
        <v>1615</v>
      </c>
      <c r="T2914" t="s">
        <v>1932</v>
      </c>
    </row>
    <row r="2915" spans="1:20" x14ac:dyDescent="0.25">
      <c r="A2915">
        <v>9</v>
      </c>
      <c r="B2915">
        <v>199</v>
      </c>
      <c r="C2915" t="str">
        <f>"23"</f>
        <v>23</v>
      </c>
      <c r="D2915">
        <v>6395</v>
      </c>
      <c r="E2915" t="str">
        <f>"10"</f>
        <v>10</v>
      </c>
      <c r="F2915" t="str">
        <f>"104"</f>
        <v>104</v>
      </c>
      <c r="G2915">
        <v>9</v>
      </c>
      <c r="H2915" t="str">
        <f>"99"</f>
        <v>99</v>
      </c>
      <c r="I2915" t="str">
        <f t="shared" si="493"/>
        <v>0</v>
      </c>
      <c r="J2915" t="str">
        <f>"05"</f>
        <v>05</v>
      </c>
      <c r="K2915">
        <v>20181005</v>
      </c>
      <c r="L2915" t="str">
        <f t="shared" si="501"/>
        <v>074202</v>
      </c>
      <c r="M2915" t="str">
        <f t="shared" si="502"/>
        <v>81303</v>
      </c>
      <c r="N2915" t="s">
        <v>66</v>
      </c>
      <c r="O2915">
        <v>117.5</v>
      </c>
      <c r="P2915">
        <v>20181001</v>
      </c>
      <c r="Q2915" t="s">
        <v>1933</v>
      </c>
      <c r="R2915" t="s">
        <v>2146</v>
      </c>
      <c r="S2915" t="s">
        <v>1615</v>
      </c>
      <c r="T2915" t="s">
        <v>46</v>
      </c>
    </row>
    <row r="2916" spans="1:20" x14ac:dyDescent="0.25">
      <c r="A2916">
        <v>9</v>
      </c>
      <c r="B2916">
        <v>199</v>
      </c>
      <c r="C2916" t="str">
        <f>"31"</f>
        <v>31</v>
      </c>
      <c r="D2916">
        <v>6395</v>
      </c>
      <c r="E2916" t="str">
        <f>"7F"</f>
        <v>7F</v>
      </c>
      <c r="F2916" t="str">
        <f>"001"</f>
        <v>001</v>
      </c>
      <c r="G2916">
        <v>9</v>
      </c>
      <c r="H2916" t="str">
        <f>"99"</f>
        <v>99</v>
      </c>
      <c r="I2916" t="str">
        <f t="shared" si="493"/>
        <v>0</v>
      </c>
      <c r="J2916" t="str">
        <f>"01"</f>
        <v>01</v>
      </c>
      <c r="K2916">
        <v>20181005</v>
      </c>
      <c r="L2916" t="str">
        <f t="shared" si="501"/>
        <v>074202</v>
      </c>
      <c r="M2916" t="str">
        <f t="shared" si="502"/>
        <v>81303</v>
      </c>
      <c r="N2916" t="s">
        <v>66</v>
      </c>
      <c r="O2916">
        <v>120</v>
      </c>
      <c r="P2916">
        <v>20181001</v>
      </c>
      <c r="Q2916" t="s">
        <v>1934</v>
      </c>
      <c r="R2916" t="s">
        <v>2147</v>
      </c>
      <c r="S2916" t="s">
        <v>1615</v>
      </c>
      <c r="T2916" t="s">
        <v>301</v>
      </c>
    </row>
    <row r="2917" spans="1:20" x14ac:dyDescent="0.25">
      <c r="A2917">
        <v>9</v>
      </c>
      <c r="B2917">
        <v>199</v>
      </c>
      <c r="C2917" t="str">
        <f>"31"</f>
        <v>31</v>
      </c>
      <c r="D2917">
        <v>6395</v>
      </c>
      <c r="E2917" t="str">
        <f>"7F"</f>
        <v>7F</v>
      </c>
      <c r="F2917" t="str">
        <f>"104"</f>
        <v>104</v>
      </c>
      <c r="G2917">
        <v>9</v>
      </c>
      <c r="H2917" t="str">
        <f>"99"</f>
        <v>99</v>
      </c>
      <c r="I2917" t="str">
        <f t="shared" si="493"/>
        <v>0</v>
      </c>
      <c r="J2917" t="str">
        <f>"05"</f>
        <v>05</v>
      </c>
      <c r="K2917">
        <v>20181005</v>
      </c>
      <c r="L2917" t="str">
        <f t="shared" si="501"/>
        <v>074202</v>
      </c>
      <c r="M2917" t="str">
        <f t="shared" si="502"/>
        <v>81303</v>
      </c>
      <c r="N2917" t="s">
        <v>66</v>
      </c>
      <c r="O2917">
        <v>25</v>
      </c>
      <c r="P2917">
        <v>20181001</v>
      </c>
      <c r="Q2917" t="s">
        <v>1935</v>
      </c>
      <c r="R2917" t="s">
        <v>2145</v>
      </c>
      <c r="S2917" t="s">
        <v>1615</v>
      </c>
      <c r="T2917" t="s">
        <v>46</v>
      </c>
    </row>
    <row r="2918" spans="1:20" x14ac:dyDescent="0.25">
      <c r="A2918">
        <v>9</v>
      </c>
      <c r="B2918">
        <v>199</v>
      </c>
      <c r="C2918" t="str">
        <f>"11"</f>
        <v>11</v>
      </c>
      <c r="D2918">
        <v>6299</v>
      </c>
      <c r="E2918" t="str">
        <f>"7E"</f>
        <v>7E</v>
      </c>
      <c r="F2918" t="str">
        <f>"001"</f>
        <v>001</v>
      </c>
      <c r="G2918">
        <v>9</v>
      </c>
      <c r="H2918" t="str">
        <f>"11"</f>
        <v>11</v>
      </c>
      <c r="I2918" t="str">
        <f t="shared" si="493"/>
        <v>0</v>
      </c>
      <c r="J2918" t="str">
        <f>"31"</f>
        <v>31</v>
      </c>
      <c r="K2918">
        <v>20181005</v>
      </c>
      <c r="L2918" t="str">
        <f>"074207"</f>
        <v>074207</v>
      </c>
      <c r="M2918" t="str">
        <f>"82371"</f>
        <v>82371</v>
      </c>
      <c r="N2918" t="s">
        <v>1936</v>
      </c>
      <c r="O2918">
        <v>150</v>
      </c>
      <c r="P2918">
        <v>20181001</v>
      </c>
      <c r="Q2918" t="s">
        <v>1873</v>
      </c>
      <c r="R2918" t="s">
        <v>1985</v>
      </c>
      <c r="S2918" t="s">
        <v>1615</v>
      </c>
      <c r="T2918" t="s">
        <v>301</v>
      </c>
    </row>
    <row r="2919" spans="1:20" x14ac:dyDescent="0.25">
      <c r="A2919">
        <v>9</v>
      </c>
      <c r="B2919">
        <v>199</v>
      </c>
      <c r="C2919" t="str">
        <f>"34"</f>
        <v>34</v>
      </c>
      <c r="D2919">
        <v>6249</v>
      </c>
      <c r="E2919" t="str">
        <f>"10"</f>
        <v>10</v>
      </c>
      <c r="F2919" t="str">
        <f>"937"</f>
        <v>937</v>
      </c>
      <c r="G2919">
        <v>9</v>
      </c>
      <c r="H2919" t="str">
        <f>"99"</f>
        <v>99</v>
      </c>
      <c r="I2919" t="str">
        <f t="shared" si="493"/>
        <v>0</v>
      </c>
      <c r="J2919" t="str">
        <f>"82"</f>
        <v>82</v>
      </c>
      <c r="K2919">
        <v>20181005</v>
      </c>
      <c r="L2919" t="str">
        <f>"074212"</f>
        <v>074212</v>
      </c>
      <c r="M2919" t="str">
        <f>"00385"</f>
        <v>00385</v>
      </c>
      <c r="N2919" t="s">
        <v>2148</v>
      </c>
      <c r="O2919">
        <v>588.57000000000005</v>
      </c>
      <c r="P2919">
        <v>20181004</v>
      </c>
      <c r="Q2919" t="s">
        <v>2036</v>
      </c>
      <c r="R2919" t="s">
        <v>2149</v>
      </c>
      <c r="S2919" t="s">
        <v>1615</v>
      </c>
      <c r="T2919" t="s">
        <v>1810</v>
      </c>
    </row>
    <row r="2920" spans="1:20" x14ac:dyDescent="0.25">
      <c r="A2920">
        <v>9</v>
      </c>
      <c r="B2920">
        <v>199</v>
      </c>
      <c r="C2920" t="str">
        <f>"34"</f>
        <v>34</v>
      </c>
      <c r="D2920">
        <v>6249</v>
      </c>
      <c r="E2920" t="str">
        <f>"10"</f>
        <v>10</v>
      </c>
      <c r="F2920" t="str">
        <f>"937"</f>
        <v>937</v>
      </c>
      <c r="G2920">
        <v>9</v>
      </c>
      <c r="H2920" t="str">
        <f>"99"</f>
        <v>99</v>
      </c>
      <c r="I2920" t="str">
        <f t="shared" si="493"/>
        <v>0</v>
      </c>
      <c r="J2920" t="str">
        <f>"82"</f>
        <v>82</v>
      </c>
      <c r="K2920">
        <v>20181005</v>
      </c>
      <c r="L2920" t="str">
        <f>"074212"</f>
        <v>074212</v>
      </c>
      <c r="M2920" t="str">
        <f>"00385"</f>
        <v>00385</v>
      </c>
      <c r="N2920" t="s">
        <v>2148</v>
      </c>
      <c r="O2920">
        <v>125.35</v>
      </c>
      <c r="P2920">
        <v>20181004</v>
      </c>
      <c r="Q2920" t="s">
        <v>2036</v>
      </c>
      <c r="R2920" t="s">
        <v>2150</v>
      </c>
      <c r="S2920" t="s">
        <v>1615</v>
      </c>
      <c r="T2920" t="s">
        <v>1810</v>
      </c>
    </row>
    <row r="2921" spans="1:20" x14ac:dyDescent="0.25">
      <c r="A2921">
        <v>9</v>
      </c>
      <c r="B2921">
        <v>199</v>
      </c>
      <c r="C2921" t="str">
        <f>"11"</f>
        <v>11</v>
      </c>
      <c r="D2921">
        <v>6299</v>
      </c>
      <c r="E2921" t="str">
        <f>"00"</f>
        <v>00</v>
      </c>
      <c r="F2921" t="str">
        <f>"104"</f>
        <v>104</v>
      </c>
      <c r="G2921">
        <v>9</v>
      </c>
      <c r="H2921" t="str">
        <f>"11"</f>
        <v>11</v>
      </c>
      <c r="I2921" t="str">
        <f t="shared" si="493"/>
        <v>0</v>
      </c>
      <c r="J2921" t="str">
        <f>"05"</f>
        <v>05</v>
      </c>
      <c r="K2921">
        <v>20181005</v>
      </c>
      <c r="L2921" t="str">
        <f>"074213"</f>
        <v>074213</v>
      </c>
      <c r="M2921" t="str">
        <f>"83060"</f>
        <v>83060</v>
      </c>
      <c r="N2921" t="s">
        <v>2151</v>
      </c>
      <c r="O2921" s="1">
        <v>1410</v>
      </c>
      <c r="P2921">
        <v>20181004</v>
      </c>
      <c r="Q2921" t="s">
        <v>2152</v>
      </c>
      <c r="R2921" t="s">
        <v>2153</v>
      </c>
      <c r="S2921" t="s">
        <v>1615</v>
      </c>
      <c r="T2921" t="s">
        <v>46</v>
      </c>
    </row>
    <row r="2922" spans="1:20" x14ac:dyDescent="0.25">
      <c r="A2922">
        <v>9</v>
      </c>
      <c r="B2922">
        <v>199</v>
      </c>
      <c r="C2922" t="str">
        <f>"11"</f>
        <v>11</v>
      </c>
      <c r="D2922">
        <v>6299</v>
      </c>
      <c r="E2922" t="str">
        <f>"7E"</f>
        <v>7E</v>
      </c>
      <c r="F2922" t="str">
        <f>"001"</f>
        <v>001</v>
      </c>
      <c r="G2922">
        <v>9</v>
      </c>
      <c r="H2922" t="str">
        <f>"11"</f>
        <v>11</v>
      </c>
      <c r="I2922" t="str">
        <f t="shared" si="493"/>
        <v>0</v>
      </c>
      <c r="J2922" t="str">
        <f>"31"</f>
        <v>31</v>
      </c>
      <c r="K2922">
        <v>20181005</v>
      </c>
      <c r="L2922" t="str">
        <f>"074214"</f>
        <v>074214</v>
      </c>
      <c r="M2922" t="str">
        <f>"00548"</f>
        <v>00548</v>
      </c>
      <c r="N2922" t="s">
        <v>1937</v>
      </c>
      <c r="O2922">
        <v>150</v>
      </c>
      <c r="P2922">
        <v>20181001</v>
      </c>
      <c r="Q2922" t="s">
        <v>1873</v>
      </c>
      <c r="R2922" t="s">
        <v>1985</v>
      </c>
      <c r="S2922" t="s">
        <v>1615</v>
      </c>
      <c r="T2922" t="s">
        <v>301</v>
      </c>
    </row>
    <row r="2923" spans="1:20" x14ac:dyDescent="0.25">
      <c r="A2923">
        <v>9</v>
      </c>
      <c r="B2923">
        <v>199</v>
      </c>
      <c r="C2923" t="str">
        <f>"36"</f>
        <v>36</v>
      </c>
      <c r="D2923">
        <v>6411</v>
      </c>
      <c r="E2923" t="str">
        <f>"7C"</f>
        <v>7C</v>
      </c>
      <c r="F2923" t="str">
        <f>"001"</f>
        <v>001</v>
      </c>
      <c r="G2923">
        <v>9</v>
      </c>
      <c r="H2923" t="str">
        <f>"99"</f>
        <v>99</v>
      </c>
      <c r="I2923" t="str">
        <f>"1"</f>
        <v>1</v>
      </c>
      <c r="J2923" t="str">
        <f>"01"</f>
        <v>01</v>
      </c>
      <c r="K2923">
        <v>20181005</v>
      </c>
      <c r="L2923" t="str">
        <f>"074217"</f>
        <v>074217</v>
      </c>
      <c r="M2923" t="str">
        <f>"84370"</f>
        <v>84370</v>
      </c>
      <c r="N2923" t="s">
        <v>395</v>
      </c>
      <c r="O2923">
        <v>18</v>
      </c>
      <c r="P2923">
        <v>20181004</v>
      </c>
      <c r="Q2923" t="s">
        <v>1732</v>
      </c>
      <c r="R2923" t="s">
        <v>2076</v>
      </c>
      <c r="S2923" t="s">
        <v>1615</v>
      </c>
      <c r="T2923" t="s">
        <v>301</v>
      </c>
    </row>
    <row r="2924" spans="1:20" x14ac:dyDescent="0.25">
      <c r="A2924">
        <v>9</v>
      </c>
      <c r="B2924">
        <v>199</v>
      </c>
      <c r="C2924" t="str">
        <f>"36"</f>
        <v>36</v>
      </c>
      <c r="D2924">
        <v>6412</v>
      </c>
      <c r="E2924" t="str">
        <f>"7C"</f>
        <v>7C</v>
      </c>
      <c r="F2924" t="str">
        <f>"001"</f>
        <v>001</v>
      </c>
      <c r="G2924">
        <v>9</v>
      </c>
      <c r="H2924" t="str">
        <f>"99"</f>
        <v>99</v>
      </c>
      <c r="I2924" t="str">
        <f t="shared" ref="I2924:I2968" si="503">"0"</f>
        <v>0</v>
      </c>
      <c r="J2924" t="str">
        <f>"01"</f>
        <v>01</v>
      </c>
      <c r="K2924">
        <v>20181005</v>
      </c>
      <c r="L2924" t="str">
        <f>"074217"</f>
        <v>074217</v>
      </c>
      <c r="M2924" t="str">
        <f>"84370"</f>
        <v>84370</v>
      </c>
      <c r="N2924" t="s">
        <v>395</v>
      </c>
      <c r="O2924">
        <v>92.42</v>
      </c>
      <c r="P2924">
        <v>20181004</v>
      </c>
      <c r="Q2924" t="s">
        <v>1734</v>
      </c>
      <c r="R2924" t="s">
        <v>2076</v>
      </c>
      <c r="S2924" t="s">
        <v>1615</v>
      </c>
      <c r="T2924" t="s">
        <v>301</v>
      </c>
    </row>
    <row r="2925" spans="1:20" x14ac:dyDescent="0.25">
      <c r="A2925">
        <v>9</v>
      </c>
      <c r="B2925">
        <v>199</v>
      </c>
      <c r="C2925" t="str">
        <f>"11"</f>
        <v>11</v>
      </c>
      <c r="D2925">
        <v>6269</v>
      </c>
      <c r="E2925" t="str">
        <f>"V8"</f>
        <v>V8</v>
      </c>
      <c r="F2925" t="str">
        <f>"001"</f>
        <v>001</v>
      </c>
      <c r="G2925">
        <v>9</v>
      </c>
      <c r="H2925" t="str">
        <f>"22"</f>
        <v>22</v>
      </c>
      <c r="I2925" t="str">
        <f t="shared" si="503"/>
        <v>0</v>
      </c>
      <c r="J2925" t="str">
        <f>"22"</f>
        <v>22</v>
      </c>
      <c r="K2925">
        <v>20181012</v>
      </c>
      <c r="L2925" t="str">
        <f>"074220"</f>
        <v>074220</v>
      </c>
      <c r="M2925" t="str">
        <f>"02230"</f>
        <v>02230</v>
      </c>
      <c r="N2925" t="s">
        <v>1673</v>
      </c>
      <c r="O2925">
        <v>82.82</v>
      </c>
      <c r="P2925">
        <v>20181012</v>
      </c>
      <c r="Q2925" t="s">
        <v>2154</v>
      </c>
      <c r="R2925" t="s">
        <v>1790</v>
      </c>
      <c r="S2925" t="s">
        <v>1615</v>
      </c>
      <c r="T2925" t="s">
        <v>301</v>
      </c>
    </row>
    <row r="2926" spans="1:20" x14ac:dyDescent="0.25">
      <c r="A2926">
        <v>9</v>
      </c>
      <c r="B2926">
        <v>199</v>
      </c>
      <c r="C2926" t="str">
        <f>"00"</f>
        <v>00</v>
      </c>
      <c r="D2926">
        <v>1312</v>
      </c>
      <c r="E2926" t="str">
        <f>"00"</f>
        <v>00</v>
      </c>
      <c r="F2926" t="str">
        <f>"000"</f>
        <v>000</v>
      </c>
      <c r="G2926">
        <v>9</v>
      </c>
      <c r="H2926" t="str">
        <f>"00"</f>
        <v>00</v>
      </c>
      <c r="I2926" t="str">
        <f t="shared" si="503"/>
        <v>0</v>
      </c>
      <c r="J2926" t="str">
        <f>"00"</f>
        <v>00</v>
      </c>
      <c r="K2926">
        <v>20181012</v>
      </c>
      <c r="L2926" t="str">
        <f t="shared" ref="L2926:L2949" si="504">"074223"</f>
        <v>074223</v>
      </c>
      <c r="M2926" t="str">
        <f t="shared" ref="M2926:M2949" si="505">"04410"</f>
        <v>04410</v>
      </c>
      <c r="N2926" t="s">
        <v>410</v>
      </c>
      <c r="O2926">
        <v>31.2</v>
      </c>
      <c r="P2926">
        <v>20181011</v>
      </c>
      <c r="Q2926" t="s">
        <v>1860</v>
      </c>
      <c r="R2926" t="s">
        <v>2155</v>
      </c>
      <c r="S2926" t="s">
        <v>1615</v>
      </c>
      <c r="T2926" t="s">
        <v>296</v>
      </c>
    </row>
    <row r="2927" spans="1:20" x14ac:dyDescent="0.25">
      <c r="A2927">
        <v>9</v>
      </c>
      <c r="B2927">
        <v>199</v>
      </c>
      <c r="C2927" t="str">
        <f t="shared" ref="C2927:C2940" si="506">"11"</f>
        <v>11</v>
      </c>
      <c r="D2927">
        <v>6399</v>
      </c>
      <c r="E2927" t="str">
        <f>"45"</f>
        <v>45</v>
      </c>
      <c r="F2927" t="str">
        <f>"101"</f>
        <v>101</v>
      </c>
      <c r="G2927">
        <v>9</v>
      </c>
      <c r="H2927" t="str">
        <f t="shared" ref="H2927:H2932" si="507">"11"</f>
        <v>11</v>
      </c>
      <c r="I2927" t="str">
        <f t="shared" si="503"/>
        <v>0</v>
      </c>
      <c r="J2927" t="str">
        <f>"04"</f>
        <v>04</v>
      </c>
      <c r="K2927">
        <v>20181012</v>
      </c>
      <c r="L2927" t="str">
        <f t="shared" si="504"/>
        <v>074223</v>
      </c>
      <c r="M2927" t="str">
        <f t="shared" si="505"/>
        <v>04410</v>
      </c>
      <c r="N2927" t="s">
        <v>410</v>
      </c>
      <c r="O2927">
        <v>234.17</v>
      </c>
      <c r="P2927">
        <v>20181011</v>
      </c>
      <c r="Q2927" t="s">
        <v>1859</v>
      </c>
      <c r="R2927" t="s">
        <v>641</v>
      </c>
      <c r="S2927" t="s">
        <v>1615</v>
      </c>
      <c r="T2927" t="s">
        <v>1479</v>
      </c>
    </row>
    <row r="2928" spans="1:20" x14ac:dyDescent="0.25">
      <c r="A2928">
        <v>9</v>
      </c>
      <c r="B2928">
        <v>199</v>
      </c>
      <c r="C2928" t="str">
        <f t="shared" si="506"/>
        <v>11</v>
      </c>
      <c r="D2928">
        <v>6399</v>
      </c>
      <c r="E2928" t="str">
        <f>"45"</f>
        <v>45</v>
      </c>
      <c r="F2928" t="str">
        <f>"101"</f>
        <v>101</v>
      </c>
      <c r="G2928">
        <v>9</v>
      </c>
      <c r="H2928" t="str">
        <f t="shared" si="507"/>
        <v>11</v>
      </c>
      <c r="I2928" t="str">
        <f t="shared" si="503"/>
        <v>0</v>
      </c>
      <c r="J2928" t="str">
        <f>"04"</f>
        <v>04</v>
      </c>
      <c r="K2928">
        <v>20181012</v>
      </c>
      <c r="L2928" t="str">
        <f t="shared" si="504"/>
        <v>074223</v>
      </c>
      <c r="M2928" t="str">
        <f t="shared" si="505"/>
        <v>04410</v>
      </c>
      <c r="N2928" t="s">
        <v>410</v>
      </c>
      <c r="O2928">
        <v>124.95</v>
      </c>
      <c r="P2928">
        <v>20181011</v>
      </c>
      <c r="Q2928" t="s">
        <v>1859</v>
      </c>
      <c r="R2928" t="s">
        <v>2156</v>
      </c>
      <c r="S2928" t="s">
        <v>1615</v>
      </c>
      <c r="T2928" t="s">
        <v>1479</v>
      </c>
    </row>
    <row r="2929" spans="1:20" x14ac:dyDescent="0.25">
      <c r="A2929">
        <v>9</v>
      </c>
      <c r="B2929">
        <v>199</v>
      </c>
      <c r="C2929" t="str">
        <f t="shared" si="506"/>
        <v>11</v>
      </c>
      <c r="D2929">
        <v>6399</v>
      </c>
      <c r="E2929" t="str">
        <f>"7A"</f>
        <v>7A</v>
      </c>
      <c r="F2929" t="str">
        <f t="shared" ref="F2929:F2946" si="508">"001"</f>
        <v>001</v>
      </c>
      <c r="G2929">
        <v>9</v>
      </c>
      <c r="H2929" t="str">
        <f t="shared" si="507"/>
        <v>11</v>
      </c>
      <c r="I2929" t="str">
        <f t="shared" si="503"/>
        <v>0</v>
      </c>
      <c r="J2929" t="str">
        <f>"01"</f>
        <v>01</v>
      </c>
      <c r="K2929">
        <v>20181012</v>
      </c>
      <c r="L2929" t="str">
        <f t="shared" si="504"/>
        <v>074223</v>
      </c>
      <c r="M2929" t="str">
        <f t="shared" si="505"/>
        <v>04410</v>
      </c>
      <c r="N2929" t="s">
        <v>410</v>
      </c>
      <c r="O2929">
        <v>316.69</v>
      </c>
      <c r="P2929">
        <v>20181011</v>
      </c>
      <c r="Q2929" t="s">
        <v>2157</v>
      </c>
      <c r="R2929" t="s">
        <v>2158</v>
      </c>
      <c r="S2929" t="s">
        <v>1615</v>
      </c>
      <c r="T2929" t="s">
        <v>301</v>
      </c>
    </row>
    <row r="2930" spans="1:20" x14ac:dyDescent="0.25">
      <c r="A2930">
        <v>9</v>
      </c>
      <c r="B2930">
        <v>199</v>
      </c>
      <c r="C2930" t="str">
        <f t="shared" si="506"/>
        <v>11</v>
      </c>
      <c r="D2930">
        <v>6399</v>
      </c>
      <c r="E2930" t="str">
        <f>"7K"</f>
        <v>7K</v>
      </c>
      <c r="F2930" t="str">
        <f t="shared" si="508"/>
        <v>001</v>
      </c>
      <c r="G2930">
        <v>9</v>
      </c>
      <c r="H2930" t="str">
        <f t="shared" si="507"/>
        <v>11</v>
      </c>
      <c r="I2930" t="str">
        <f t="shared" si="503"/>
        <v>0</v>
      </c>
      <c r="J2930" t="str">
        <f>"01"</f>
        <v>01</v>
      </c>
      <c r="K2930">
        <v>20181012</v>
      </c>
      <c r="L2930" t="str">
        <f t="shared" si="504"/>
        <v>074223</v>
      </c>
      <c r="M2930" t="str">
        <f t="shared" si="505"/>
        <v>04410</v>
      </c>
      <c r="N2930" t="s">
        <v>410</v>
      </c>
      <c r="O2930">
        <v>-5.99</v>
      </c>
      <c r="P2930">
        <v>20181001</v>
      </c>
      <c r="Q2930" t="s">
        <v>1671</v>
      </c>
      <c r="R2930" t="s">
        <v>2159</v>
      </c>
      <c r="S2930" t="s">
        <v>1615</v>
      </c>
      <c r="T2930" t="s">
        <v>301</v>
      </c>
    </row>
    <row r="2931" spans="1:20" x14ac:dyDescent="0.25">
      <c r="A2931">
        <v>9</v>
      </c>
      <c r="B2931">
        <v>199</v>
      </c>
      <c r="C2931" t="str">
        <f t="shared" si="506"/>
        <v>11</v>
      </c>
      <c r="D2931">
        <v>6399</v>
      </c>
      <c r="E2931" t="str">
        <f>"N9"</f>
        <v>N9</v>
      </c>
      <c r="F2931" t="str">
        <f t="shared" si="508"/>
        <v>001</v>
      </c>
      <c r="G2931">
        <v>9</v>
      </c>
      <c r="H2931" t="str">
        <f t="shared" si="507"/>
        <v>11</v>
      </c>
      <c r="I2931" t="str">
        <f t="shared" si="503"/>
        <v>0</v>
      </c>
      <c r="J2931" t="str">
        <f>"01"</f>
        <v>01</v>
      </c>
      <c r="K2931">
        <v>20181012</v>
      </c>
      <c r="L2931" t="str">
        <f t="shared" si="504"/>
        <v>074223</v>
      </c>
      <c r="M2931" t="str">
        <f t="shared" si="505"/>
        <v>04410</v>
      </c>
      <c r="N2931" t="s">
        <v>410</v>
      </c>
      <c r="O2931">
        <v>54.99</v>
      </c>
      <c r="P2931">
        <v>20181011</v>
      </c>
      <c r="Q2931" t="s">
        <v>2160</v>
      </c>
      <c r="R2931" t="s">
        <v>2161</v>
      </c>
      <c r="S2931" t="s">
        <v>1615</v>
      </c>
      <c r="T2931" t="s">
        <v>301</v>
      </c>
    </row>
    <row r="2932" spans="1:20" x14ac:dyDescent="0.25">
      <c r="A2932">
        <v>9</v>
      </c>
      <c r="B2932">
        <v>199</v>
      </c>
      <c r="C2932" t="str">
        <f t="shared" si="506"/>
        <v>11</v>
      </c>
      <c r="D2932">
        <v>6399</v>
      </c>
      <c r="E2932" t="str">
        <f>"SR"</f>
        <v>SR</v>
      </c>
      <c r="F2932" t="str">
        <f t="shared" si="508"/>
        <v>001</v>
      </c>
      <c r="G2932">
        <v>9</v>
      </c>
      <c r="H2932" t="str">
        <f t="shared" si="507"/>
        <v>11</v>
      </c>
      <c r="I2932" t="str">
        <f t="shared" si="503"/>
        <v>0</v>
      </c>
      <c r="J2932" t="str">
        <f>"01"</f>
        <v>01</v>
      </c>
      <c r="K2932">
        <v>20181012</v>
      </c>
      <c r="L2932" t="str">
        <f t="shared" si="504"/>
        <v>074223</v>
      </c>
      <c r="M2932" t="str">
        <f t="shared" si="505"/>
        <v>04410</v>
      </c>
      <c r="N2932" t="s">
        <v>410</v>
      </c>
      <c r="O2932">
        <v>50</v>
      </c>
      <c r="P2932">
        <v>20181011</v>
      </c>
      <c r="Q2932" t="s">
        <v>2162</v>
      </c>
      <c r="R2932" t="s">
        <v>2163</v>
      </c>
      <c r="S2932" t="s">
        <v>1615</v>
      </c>
      <c r="T2932" t="s">
        <v>301</v>
      </c>
    </row>
    <row r="2933" spans="1:20" x14ac:dyDescent="0.25">
      <c r="A2933">
        <v>9</v>
      </c>
      <c r="B2933">
        <v>199</v>
      </c>
      <c r="C2933" t="str">
        <f t="shared" si="506"/>
        <v>11</v>
      </c>
      <c r="D2933">
        <v>6399</v>
      </c>
      <c r="E2933" t="str">
        <f t="shared" ref="E2933:E2938" si="509">"V8"</f>
        <v>V8</v>
      </c>
      <c r="F2933" t="str">
        <f t="shared" si="508"/>
        <v>001</v>
      </c>
      <c r="G2933">
        <v>9</v>
      </c>
      <c r="H2933" t="str">
        <f t="shared" ref="H2933:H2940" si="510">"22"</f>
        <v>22</v>
      </c>
      <c r="I2933" t="str">
        <f t="shared" si="503"/>
        <v>0</v>
      </c>
      <c r="J2933" t="str">
        <f t="shared" ref="J2933:J2940" si="511">"22"</f>
        <v>22</v>
      </c>
      <c r="K2933">
        <v>20181012</v>
      </c>
      <c r="L2933" t="str">
        <f t="shared" si="504"/>
        <v>074223</v>
      </c>
      <c r="M2933" t="str">
        <f t="shared" si="505"/>
        <v>04410</v>
      </c>
      <c r="N2933" t="s">
        <v>410</v>
      </c>
      <c r="O2933">
        <v>41.97</v>
      </c>
      <c r="P2933">
        <v>20181011</v>
      </c>
      <c r="Q2933" t="s">
        <v>2001</v>
      </c>
      <c r="R2933" t="s">
        <v>2164</v>
      </c>
      <c r="S2933" t="s">
        <v>1615</v>
      </c>
      <c r="T2933" t="s">
        <v>301</v>
      </c>
    </row>
    <row r="2934" spans="1:20" x14ac:dyDescent="0.25">
      <c r="A2934">
        <v>9</v>
      </c>
      <c r="B2934">
        <v>199</v>
      </c>
      <c r="C2934" t="str">
        <f t="shared" si="506"/>
        <v>11</v>
      </c>
      <c r="D2934">
        <v>6399</v>
      </c>
      <c r="E2934" t="str">
        <f t="shared" si="509"/>
        <v>V8</v>
      </c>
      <c r="F2934" t="str">
        <f t="shared" si="508"/>
        <v>001</v>
      </c>
      <c r="G2934">
        <v>9</v>
      </c>
      <c r="H2934" t="str">
        <f t="shared" si="510"/>
        <v>22</v>
      </c>
      <c r="I2934" t="str">
        <f t="shared" si="503"/>
        <v>0</v>
      </c>
      <c r="J2934" t="str">
        <f t="shared" si="511"/>
        <v>22</v>
      </c>
      <c r="K2934">
        <v>20181012</v>
      </c>
      <c r="L2934" t="str">
        <f t="shared" si="504"/>
        <v>074223</v>
      </c>
      <c r="M2934" t="str">
        <f t="shared" si="505"/>
        <v>04410</v>
      </c>
      <c r="N2934" t="s">
        <v>410</v>
      </c>
      <c r="O2934">
        <v>52</v>
      </c>
      <c r="P2934">
        <v>20181011</v>
      </c>
      <c r="Q2934" t="s">
        <v>2001</v>
      </c>
      <c r="R2934" t="s">
        <v>2165</v>
      </c>
      <c r="S2934" t="s">
        <v>1615</v>
      </c>
      <c r="T2934" t="s">
        <v>301</v>
      </c>
    </row>
    <row r="2935" spans="1:20" x14ac:dyDescent="0.25">
      <c r="A2935">
        <v>9</v>
      </c>
      <c r="B2935">
        <v>199</v>
      </c>
      <c r="C2935" t="str">
        <f t="shared" si="506"/>
        <v>11</v>
      </c>
      <c r="D2935">
        <v>6399</v>
      </c>
      <c r="E2935" t="str">
        <f t="shared" si="509"/>
        <v>V8</v>
      </c>
      <c r="F2935" t="str">
        <f t="shared" si="508"/>
        <v>001</v>
      </c>
      <c r="G2935">
        <v>9</v>
      </c>
      <c r="H2935" t="str">
        <f t="shared" si="510"/>
        <v>22</v>
      </c>
      <c r="I2935" t="str">
        <f t="shared" si="503"/>
        <v>0</v>
      </c>
      <c r="J2935" t="str">
        <f t="shared" si="511"/>
        <v>22</v>
      </c>
      <c r="K2935">
        <v>20181012</v>
      </c>
      <c r="L2935" t="str">
        <f t="shared" si="504"/>
        <v>074223</v>
      </c>
      <c r="M2935" t="str">
        <f t="shared" si="505"/>
        <v>04410</v>
      </c>
      <c r="N2935" t="s">
        <v>410</v>
      </c>
      <c r="O2935">
        <v>34.979999999999997</v>
      </c>
      <c r="P2935">
        <v>20181011</v>
      </c>
      <c r="Q2935" t="s">
        <v>2001</v>
      </c>
      <c r="R2935" t="s">
        <v>2166</v>
      </c>
      <c r="S2935" t="s">
        <v>1615</v>
      </c>
      <c r="T2935" t="s">
        <v>301</v>
      </c>
    </row>
    <row r="2936" spans="1:20" x14ac:dyDescent="0.25">
      <c r="A2936">
        <v>9</v>
      </c>
      <c r="B2936">
        <v>199</v>
      </c>
      <c r="C2936" t="str">
        <f t="shared" si="506"/>
        <v>11</v>
      </c>
      <c r="D2936">
        <v>6399</v>
      </c>
      <c r="E2936" t="str">
        <f t="shared" si="509"/>
        <v>V8</v>
      </c>
      <c r="F2936" t="str">
        <f t="shared" si="508"/>
        <v>001</v>
      </c>
      <c r="G2936">
        <v>9</v>
      </c>
      <c r="H2936" t="str">
        <f t="shared" si="510"/>
        <v>22</v>
      </c>
      <c r="I2936" t="str">
        <f t="shared" si="503"/>
        <v>0</v>
      </c>
      <c r="J2936" t="str">
        <f t="shared" si="511"/>
        <v>22</v>
      </c>
      <c r="K2936">
        <v>20181012</v>
      </c>
      <c r="L2936" t="str">
        <f t="shared" si="504"/>
        <v>074223</v>
      </c>
      <c r="M2936" t="str">
        <f t="shared" si="505"/>
        <v>04410</v>
      </c>
      <c r="N2936" t="s">
        <v>410</v>
      </c>
      <c r="O2936">
        <v>17.940000000000001</v>
      </c>
      <c r="P2936">
        <v>20181011</v>
      </c>
      <c r="Q2936" t="s">
        <v>2001</v>
      </c>
      <c r="R2936" t="s">
        <v>2167</v>
      </c>
      <c r="S2936" t="s">
        <v>1615</v>
      </c>
      <c r="T2936" t="s">
        <v>301</v>
      </c>
    </row>
    <row r="2937" spans="1:20" x14ac:dyDescent="0.25">
      <c r="A2937">
        <v>9</v>
      </c>
      <c r="B2937">
        <v>199</v>
      </c>
      <c r="C2937" t="str">
        <f t="shared" si="506"/>
        <v>11</v>
      </c>
      <c r="D2937">
        <v>6399</v>
      </c>
      <c r="E2937" t="str">
        <f t="shared" si="509"/>
        <v>V8</v>
      </c>
      <c r="F2937" t="str">
        <f t="shared" si="508"/>
        <v>001</v>
      </c>
      <c r="G2937">
        <v>9</v>
      </c>
      <c r="H2937" t="str">
        <f t="shared" si="510"/>
        <v>22</v>
      </c>
      <c r="I2937" t="str">
        <f t="shared" si="503"/>
        <v>0</v>
      </c>
      <c r="J2937" t="str">
        <f t="shared" si="511"/>
        <v>22</v>
      </c>
      <c r="K2937">
        <v>20181012</v>
      </c>
      <c r="L2937" t="str">
        <f t="shared" si="504"/>
        <v>074223</v>
      </c>
      <c r="M2937" t="str">
        <f t="shared" si="505"/>
        <v>04410</v>
      </c>
      <c r="N2937" t="s">
        <v>410</v>
      </c>
      <c r="O2937">
        <v>32.700000000000003</v>
      </c>
      <c r="P2937">
        <v>20181011</v>
      </c>
      <c r="Q2937" t="s">
        <v>2001</v>
      </c>
      <c r="R2937" t="s">
        <v>2168</v>
      </c>
      <c r="S2937" t="s">
        <v>1615</v>
      </c>
      <c r="T2937" t="s">
        <v>301</v>
      </c>
    </row>
    <row r="2938" spans="1:20" x14ac:dyDescent="0.25">
      <c r="A2938">
        <v>9</v>
      </c>
      <c r="B2938">
        <v>199</v>
      </c>
      <c r="C2938" t="str">
        <f t="shared" si="506"/>
        <v>11</v>
      </c>
      <c r="D2938">
        <v>6399</v>
      </c>
      <c r="E2938" t="str">
        <f t="shared" si="509"/>
        <v>V8</v>
      </c>
      <c r="F2938" t="str">
        <f t="shared" si="508"/>
        <v>001</v>
      </c>
      <c r="G2938">
        <v>9</v>
      </c>
      <c r="H2938" t="str">
        <f t="shared" si="510"/>
        <v>22</v>
      </c>
      <c r="I2938" t="str">
        <f t="shared" si="503"/>
        <v>0</v>
      </c>
      <c r="J2938" t="str">
        <f t="shared" si="511"/>
        <v>22</v>
      </c>
      <c r="K2938">
        <v>20181012</v>
      </c>
      <c r="L2938" t="str">
        <f t="shared" si="504"/>
        <v>074223</v>
      </c>
      <c r="M2938" t="str">
        <f t="shared" si="505"/>
        <v>04410</v>
      </c>
      <c r="N2938" t="s">
        <v>410</v>
      </c>
      <c r="O2938">
        <v>101.28</v>
      </c>
      <c r="P2938">
        <v>20181011</v>
      </c>
      <c r="Q2938" t="s">
        <v>2001</v>
      </c>
      <c r="R2938" t="s">
        <v>2169</v>
      </c>
      <c r="S2938" t="s">
        <v>1615</v>
      </c>
      <c r="T2938" t="s">
        <v>301</v>
      </c>
    </row>
    <row r="2939" spans="1:20" x14ac:dyDescent="0.25">
      <c r="A2939">
        <v>9</v>
      </c>
      <c r="B2939">
        <v>199</v>
      </c>
      <c r="C2939" t="str">
        <f t="shared" si="506"/>
        <v>11</v>
      </c>
      <c r="D2939">
        <v>6399</v>
      </c>
      <c r="E2939" t="str">
        <f>"VD"</f>
        <v>VD</v>
      </c>
      <c r="F2939" t="str">
        <f t="shared" si="508"/>
        <v>001</v>
      </c>
      <c r="G2939">
        <v>9</v>
      </c>
      <c r="H2939" t="str">
        <f t="shared" si="510"/>
        <v>22</v>
      </c>
      <c r="I2939" t="str">
        <f t="shared" si="503"/>
        <v>0</v>
      </c>
      <c r="J2939" t="str">
        <f t="shared" si="511"/>
        <v>22</v>
      </c>
      <c r="K2939">
        <v>20181012</v>
      </c>
      <c r="L2939" t="str">
        <f t="shared" si="504"/>
        <v>074223</v>
      </c>
      <c r="M2939" t="str">
        <f t="shared" si="505"/>
        <v>04410</v>
      </c>
      <c r="N2939" t="s">
        <v>410</v>
      </c>
      <c r="O2939">
        <v>86.04</v>
      </c>
      <c r="P2939">
        <v>20181011</v>
      </c>
      <c r="Q2939" t="s">
        <v>1862</v>
      </c>
      <c r="R2939" t="s">
        <v>2170</v>
      </c>
      <c r="S2939" t="s">
        <v>1615</v>
      </c>
      <c r="T2939" t="s">
        <v>301</v>
      </c>
    </row>
    <row r="2940" spans="1:20" x14ac:dyDescent="0.25">
      <c r="A2940">
        <v>9</v>
      </c>
      <c r="B2940">
        <v>199</v>
      </c>
      <c r="C2940" t="str">
        <f t="shared" si="506"/>
        <v>11</v>
      </c>
      <c r="D2940">
        <v>6399</v>
      </c>
      <c r="E2940" t="str">
        <f>"VD"</f>
        <v>VD</v>
      </c>
      <c r="F2940" t="str">
        <f t="shared" si="508"/>
        <v>001</v>
      </c>
      <c r="G2940">
        <v>9</v>
      </c>
      <c r="H2940" t="str">
        <f t="shared" si="510"/>
        <v>22</v>
      </c>
      <c r="I2940" t="str">
        <f t="shared" si="503"/>
        <v>0</v>
      </c>
      <c r="J2940" t="str">
        <f t="shared" si="511"/>
        <v>22</v>
      </c>
      <c r="K2940">
        <v>20181012</v>
      </c>
      <c r="L2940" t="str">
        <f t="shared" si="504"/>
        <v>074223</v>
      </c>
      <c r="M2940" t="str">
        <f t="shared" si="505"/>
        <v>04410</v>
      </c>
      <c r="N2940" t="s">
        <v>410</v>
      </c>
      <c r="O2940">
        <v>-15.99</v>
      </c>
      <c r="P2940">
        <v>20180928</v>
      </c>
      <c r="Q2940" t="s">
        <v>1862</v>
      </c>
      <c r="R2940" t="s">
        <v>2171</v>
      </c>
      <c r="S2940" t="s">
        <v>1615</v>
      </c>
      <c r="T2940" t="s">
        <v>301</v>
      </c>
    </row>
    <row r="2941" spans="1:20" x14ac:dyDescent="0.25">
      <c r="A2941">
        <v>9</v>
      </c>
      <c r="B2941">
        <v>199</v>
      </c>
      <c r="C2941" t="str">
        <f>"12"</f>
        <v>12</v>
      </c>
      <c r="D2941">
        <v>6399</v>
      </c>
      <c r="E2941" t="str">
        <f>"7U"</f>
        <v>7U</v>
      </c>
      <c r="F2941" t="str">
        <f t="shared" si="508"/>
        <v>001</v>
      </c>
      <c r="G2941">
        <v>9</v>
      </c>
      <c r="H2941" t="str">
        <f>"11"</f>
        <v>11</v>
      </c>
      <c r="I2941" t="str">
        <f t="shared" si="503"/>
        <v>0</v>
      </c>
      <c r="J2941" t="str">
        <f t="shared" ref="J2941:J2946" si="512">"01"</f>
        <v>01</v>
      </c>
      <c r="K2941">
        <v>20181012</v>
      </c>
      <c r="L2941" t="str">
        <f t="shared" si="504"/>
        <v>074223</v>
      </c>
      <c r="M2941" t="str">
        <f t="shared" si="505"/>
        <v>04410</v>
      </c>
      <c r="N2941" t="s">
        <v>410</v>
      </c>
      <c r="O2941">
        <v>44.39</v>
      </c>
      <c r="P2941">
        <v>20181011</v>
      </c>
      <c r="Q2941" t="s">
        <v>2172</v>
      </c>
      <c r="R2941" t="s">
        <v>2173</v>
      </c>
      <c r="S2941" t="s">
        <v>1615</v>
      </c>
      <c r="T2941" t="s">
        <v>301</v>
      </c>
    </row>
    <row r="2942" spans="1:20" x14ac:dyDescent="0.25">
      <c r="A2942">
        <v>9</v>
      </c>
      <c r="B2942">
        <v>199</v>
      </c>
      <c r="C2942" t="str">
        <f>"12"</f>
        <v>12</v>
      </c>
      <c r="D2942">
        <v>6399</v>
      </c>
      <c r="E2942" t="str">
        <f>"7U"</f>
        <v>7U</v>
      </c>
      <c r="F2942" t="str">
        <f t="shared" si="508"/>
        <v>001</v>
      </c>
      <c r="G2942">
        <v>9</v>
      </c>
      <c r="H2942" t="str">
        <f>"11"</f>
        <v>11</v>
      </c>
      <c r="I2942" t="str">
        <f t="shared" si="503"/>
        <v>0</v>
      </c>
      <c r="J2942" t="str">
        <f t="shared" si="512"/>
        <v>01</v>
      </c>
      <c r="K2942">
        <v>20181012</v>
      </c>
      <c r="L2942" t="str">
        <f t="shared" si="504"/>
        <v>074223</v>
      </c>
      <c r="M2942" t="str">
        <f t="shared" si="505"/>
        <v>04410</v>
      </c>
      <c r="N2942" t="s">
        <v>410</v>
      </c>
      <c r="O2942">
        <v>38.07</v>
      </c>
      <c r="P2942">
        <v>20181011</v>
      </c>
      <c r="Q2942" t="s">
        <v>2172</v>
      </c>
      <c r="R2942" t="s">
        <v>2174</v>
      </c>
      <c r="S2942" t="s">
        <v>1615</v>
      </c>
      <c r="T2942" t="s">
        <v>301</v>
      </c>
    </row>
    <row r="2943" spans="1:20" x14ac:dyDescent="0.25">
      <c r="A2943">
        <v>9</v>
      </c>
      <c r="B2943">
        <v>199</v>
      </c>
      <c r="C2943" t="str">
        <f>"12"</f>
        <v>12</v>
      </c>
      <c r="D2943">
        <v>6399</v>
      </c>
      <c r="E2943" t="str">
        <f>"7U"</f>
        <v>7U</v>
      </c>
      <c r="F2943" t="str">
        <f t="shared" si="508"/>
        <v>001</v>
      </c>
      <c r="G2943">
        <v>9</v>
      </c>
      <c r="H2943" t="str">
        <f>"11"</f>
        <v>11</v>
      </c>
      <c r="I2943" t="str">
        <f t="shared" si="503"/>
        <v>0</v>
      </c>
      <c r="J2943" t="str">
        <f t="shared" si="512"/>
        <v>01</v>
      </c>
      <c r="K2943">
        <v>20181012</v>
      </c>
      <c r="L2943" t="str">
        <f t="shared" si="504"/>
        <v>074223</v>
      </c>
      <c r="M2943" t="str">
        <f t="shared" si="505"/>
        <v>04410</v>
      </c>
      <c r="N2943" t="s">
        <v>410</v>
      </c>
      <c r="O2943">
        <v>27.73</v>
      </c>
      <c r="P2943">
        <v>20181011</v>
      </c>
      <c r="Q2943" t="s">
        <v>2172</v>
      </c>
      <c r="R2943" t="s">
        <v>2175</v>
      </c>
      <c r="S2943" t="s">
        <v>1615</v>
      </c>
      <c r="T2943" t="s">
        <v>301</v>
      </c>
    </row>
    <row r="2944" spans="1:20" x14ac:dyDescent="0.25">
      <c r="A2944">
        <v>9</v>
      </c>
      <c r="B2944">
        <v>199</v>
      </c>
      <c r="C2944" t="str">
        <f>"12"</f>
        <v>12</v>
      </c>
      <c r="D2944">
        <v>6399</v>
      </c>
      <c r="E2944" t="str">
        <f>"7U"</f>
        <v>7U</v>
      </c>
      <c r="F2944" t="str">
        <f t="shared" si="508"/>
        <v>001</v>
      </c>
      <c r="G2944">
        <v>9</v>
      </c>
      <c r="H2944" t="str">
        <f>"11"</f>
        <v>11</v>
      </c>
      <c r="I2944" t="str">
        <f t="shared" si="503"/>
        <v>0</v>
      </c>
      <c r="J2944" t="str">
        <f t="shared" si="512"/>
        <v>01</v>
      </c>
      <c r="K2944">
        <v>20181012</v>
      </c>
      <c r="L2944" t="str">
        <f t="shared" si="504"/>
        <v>074223</v>
      </c>
      <c r="M2944" t="str">
        <f t="shared" si="505"/>
        <v>04410</v>
      </c>
      <c r="N2944" t="s">
        <v>410</v>
      </c>
      <c r="O2944">
        <v>129.66</v>
      </c>
      <c r="P2944">
        <v>20181011</v>
      </c>
      <c r="Q2944" t="s">
        <v>2172</v>
      </c>
      <c r="R2944" t="s">
        <v>2176</v>
      </c>
      <c r="S2944" t="s">
        <v>1615</v>
      </c>
      <c r="T2944" t="s">
        <v>301</v>
      </c>
    </row>
    <row r="2945" spans="1:20" x14ac:dyDescent="0.25">
      <c r="A2945">
        <v>9</v>
      </c>
      <c r="B2945">
        <v>199</v>
      </c>
      <c r="C2945" t="str">
        <f>"12"</f>
        <v>12</v>
      </c>
      <c r="D2945">
        <v>6399</v>
      </c>
      <c r="E2945" t="str">
        <f>"7U"</f>
        <v>7U</v>
      </c>
      <c r="F2945" t="str">
        <f t="shared" si="508"/>
        <v>001</v>
      </c>
      <c r="G2945">
        <v>9</v>
      </c>
      <c r="H2945" t="str">
        <f>"11"</f>
        <v>11</v>
      </c>
      <c r="I2945" t="str">
        <f t="shared" si="503"/>
        <v>0</v>
      </c>
      <c r="J2945" t="str">
        <f t="shared" si="512"/>
        <v>01</v>
      </c>
      <c r="K2945">
        <v>20181012</v>
      </c>
      <c r="L2945" t="str">
        <f t="shared" si="504"/>
        <v>074223</v>
      </c>
      <c r="M2945" t="str">
        <f t="shared" si="505"/>
        <v>04410</v>
      </c>
      <c r="N2945" t="s">
        <v>410</v>
      </c>
      <c r="O2945">
        <v>169.54</v>
      </c>
      <c r="P2945">
        <v>20181011</v>
      </c>
      <c r="Q2945" t="s">
        <v>2172</v>
      </c>
      <c r="R2945" t="s">
        <v>1945</v>
      </c>
      <c r="S2945" t="s">
        <v>1615</v>
      </c>
      <c r="T2945" t="s">
        <v>301</v>
      </c>
    </row>
    <row r="2946" spans="1:20" x14ac:dyDescent="0.25">
      <c r="A2946">
        <v>9</v>
      </c>
      <c r="B2946">
        <v>199</v>
      </c>
      <c r="C2946" t="str">
        <f>"36"</f>
        <v>36</v>
      </c>
      <c r="D2946">
        <v>6399</v>
      </c>
      <c r="E2946" t="str">
        <f>"09"</f>
        <v>09</v>
      </c>
      <c r="F2946" t="str">
        <f t="shared" si="508"/>
        <v>001</v>
      </c>
      <c r="G2946">
        <v>9</v>
      </c>
      <c r="H2946" t="str">
        <f>"99"</f>
        <v>99</v>
      </c>
      <c r="I2946" t="str">
        <f t="shared" si="503"/>
        <v>0</v>
      </c>
      <c r="J2946" t="str">
        <f t="shared" si="512"/>
        <v>01</v>
      </c>
      <c r="K2946">
        <v>20181012</v>
      </c>
      <c r="L2946" t="str">
        <f t="shared" si="504"/>
        <v>074223</v>
      </c>
      <c r="M2946" t="str">
        <f t="shared" si="505"/>
        <v>04410</v>
      </c>
      <c r="N2946" t="s">
        <v>410</v>
      </c>
      <c r="O2946">
        <v>119</v>
      </c>
      <c r="P2946">
        <v>20181011</v>
      </c>
      <c r="Q2946" t="s">
        <v>2177</v>
      </c>
      <c r="R2946" t="s">
        <v>2178</v>
      </c>
      <c r="S2946" t="s">
        <v>1615</v>
      </c>
      <c r="T2946" t="s">
        <v>301</v>
      </c>
    </row>
    <row r="2947" spans="1:20" x14ac:dyDescent="0.25">
      <c r="A2947">
        <v>9</v>
      </c>
      <c r="B2947">
        <v>199</v>
      </c>
      <c r="C2947" t="str">
        <f>"41"</f>
        <v>41</v>
      </c>
      <c r="D2947">
        <v>6399</v>
      </c>
      <c r="E2947" t="str">
        <f>"10"</f>
        <v>10</v>
      </c>
      <c r="F2947" t="str">
        <f>"933"</f>
        <v>933</v>
      </c>
      <c r="G2947">
        <v>9</v>
      </c>
      <c r="H2947" t="str">
        <f>"99"</f>
        <v>99</v>
      </c>
      <c r="I2947" t="str">
        <f t="shared" si="503"/>
        <v>0</v>
      </c>
      <c r="J2947" t="str">
        <f>"85"</f>
        <v>85</v>
      </c>
      <c r="K2947">
        <v>20181012</v>
      </c>
      <c r="L2947" t="str">
        <f t="shared" si="504"/>
        <v>074223</v>
      </c>
      <c r="M2947" t="str">
        <f t="shared" si="505"/>
        <v>04410</v>
      </c>
      <c r="N2947" t="s">
        <v>410</v>
      </c>
      <c r="O2947">
        <v>32.799999999999997</v>
      </c>
      <c r="P2947">
        <v>20181011</v>
      </c>
      <c r="Q2947" t="s">
        <v>2179</v>
      </c>
      <c r="R2947" t="s">
        <v>2180</v>
      </c>
      <c r="S2947" t="s">
        <v>1615</v>
      </c>
      <c r="T2947" t="s">
        <v>1643</v>
      </c>
    </row>
    <row r="2948" spans="1:20" x14ac:dyDescent="0.25">
      <c r="A2948">
        <v>9</v>
      </c>
      <c r="B2948">
        <v>199</v>
      </c>
      <c r="C2948" t="str">
        <f>"41"</f>
        <v>41</v>
      </c>
      <c r="D2948">
        <v>6399</v>
      </c>
      <c r="E2948" t="str">
        <f>"10"</f>
        <v>10</v>
      </c>
      <c r="F2948" t="str">
        <f>"933"</f>
        <v>933</v>
      </c>
      <c r="G2948">
        <v>9</v>
      </c>
      <c r="H2948" t="str">
        <f>"99"</f>
        <v>99</v>
      </c>
      <c r="I2948" t="str">
        <f t="shared" si="503"/>
        <v>0</v>
      </c>
      <c r="J2948" t="str">
        <f>"85"</f>
        <v>85</v>
      </c>
      <c r="K2948">
        <v>20181012</v>
      </c>
      <c r="L2948" t="str">
        <f t="shared" si="504"/>
        <v>074223</v>
      </c>
      <c r="M2948" t="str">
        <f t="shared" si="505"/>
        <v>04410</v>
      </c>
      <c r="N2948" t="s">
        <v>410</v>
      </c>
      <c r="O2948">
        <v>67.59</v>
      </c>
      <c r="P2948">
        <v>20181011</v>
      </c>
      <c r="Q2948" t="s">
        <v>2179</v>
      </c>
      <c r="R2948" t="s">
        <v>2181</v>
      </c>
      <c r="S2948" t="s">
        <v>1615</v>
      </c>
      <c r="T2948" t="s">
        <v>1643</v>
      </c>
    </row>
    <row r="2949" spans="1:20" x14ac:dyDescent="0.25">
      <c r="A2949">
        <v>9</v>
      </c>
      <c r="B2949">
        <v>199</v>
      </c>
      <c r="C2949" t="str">
        <f>"41"</f>
        <v>41</v>
      </c>
      <c r="D2949">
        <v>6399</v>
      </c>
      <c r="E2949" t="str">
        <f>"10"</f>
        <v>10</v>
      </c>
      <c r="F2949" t="str">
        <f>"933"</f>
        <v>933</v>
      </c>
      <c r="G2949">
        <v>9</v>
      </c>
      <c r="H2949" t="str">
        <f>"99"</f>
        <v>99</v>
      </c>
      <c r="I2949" t="str">
        <f t="shared" si="503"/>
        <v>0</v>
      </c>
      <c r="J2949" t="str">
        <f>"85"</f>
        <v>85</v>
      </c>
      <c r="K2949">
        <v>20181012</v>
      </c>
      <c r="L2949" t="str">
        <f t="shared" si="504"/>
        <v>074223</v>
      </c>
      <c r="M2949" t="str">
        <f t="shared" si="505"/>
        <v>04410</v>
      </c>
      <c r="N2949" t="s">
        <v>410</v>
      </c>
      <c r="O2949">
        <v>22.82</v>
      </c>
      <c r="P2949">
        <v>20181011</v>
      </c>
      <c r="Q2949" t="s">
        <v>2179</v>
      </c>
      <c r="R2949" t="s">
        <v>2182</v>
      </c>
      <c r="S2949" t="s">
        <v>1615</v>
      </c>
      <c r="T2949" t="s">
        <v>1643</v>
      </c>
    </row>
    <row r="2950" spans="1:20" x14ac:dyDescent="0.25">
      <c r="A2950">
        <v>9</v>
      </c>
      <c r="B2950">
        <v>199</v>
      </c>
      <c r="C2950" t="str">
        <f>"11"</f>
        <v>11</v>
      </c>
      <c r="D2950">
        <v>6399</v>
      </c>
      <c r="E2950" t="str">
        <f>"7M"</f>
        <v>7M</v>
      </c>
      <c r="F2950" t="str">
        <f>"041"</f>
        <v>041</v>
      </c>
      <c r="G2950">
        <v>9</v>
      </c>
      <c r="H2950" t="str">
        <f>"11"</f>
        <v>11</v>
      </c>
      <c r="I2950" t="str">
        <f t="shared" si="503"/>
        <v>0</v>
      </c>
      <c r="J2950" t="str">
        <f>"36"</f>
        <v>36</v>
      </c>
      <c r="K2950">
        <v>20181012</v>
      </c>
      <c r="L2950" t="str">
        <f>"074224"</f>
        <v>074224</v>
      </c>
      <c r="M2950" t="str">
        <f>"00554"</f>
        <v>00554</v>
      </c>
      <c r="N2950" t="s">
        <v>2183</v>
      </c>
      <c r="O2950">
        <v>224</v>
      </c>
      <c r="P2950">
        <v>20181011</v>
      </c>
      <c r="Q2950" t="s">
        <v>1898</v>
      </c>
      <c r="R2950" t="s">
        <v>2184</v>
      </c>
      <c r="S2950" t="s">
        <v>1615</v>
      </c>
      <c r="T2950" t="s">
        <v>106</v>
      </c>
    </row>
    <row r="2951" spans="1:20" x14ac:dyDescent="0.25">
      <c r="A2951">
        <v>9</v>
      </c>
      <c r="B2951">
        <v>199</v>
      </c>
      <c r="C2951" t="str">
        <f>"11"</f>
        <v>11</v>
      </c>
      <c r="D2951">
        <v>6399</v>
      </c>
      <c r="E2951" t="str">
        <f>"7M"</f>
        <v>7M</v>
      </c>
      <c r="F2951" t="str">
        <f>"041"</f>
        <v>041</v>
      </c>
      <c r="G2951">
        <v>9</v>
      </c>
      <c r="H2951" t="str">
        <f>"11"</f>
        <v>11</v>
      </c>
      <c r="I2951" t="str">
        <f t="shared" si="503"/>
        <v>0</v>
      </c>
      <c r="J2951" t="str">
        <f>"36"</f>
        <v>36</v>
      </c>
      <c r="K2951">
        <v>20181012</v>
      </c>
      <c r="L2951" t="str">
        <f>"074224"</f>
        <v>074224</v>
      </c>
      <c r="M2951" t="str">
        <f>"00554"</f>
        <v>00554</v>
      </c>
      <c r="N2951" t="s">
        <v>2183</v>
      </c>
      <c r="O2951">
        <v>240</v>
      </c>
      <c r="P2951">
        <v>20181011</v>
      </c>
      <c r="Q2951" t="s">
        <v>1898</v>
      </c>
      <c r="R2951" t="s">
        <v>2184</v>
      </c>
      <c r="S2951" t="s">
        <v>1615</v>
      </c>
      <c r="T2951" t="s">
        <v>106</v>
      </c>
    </row>
    <row r="2952" spans="1:20" x14ac:dyDescent="0.25">
      <c r="A2952">
        <v>9</v>
      </c>
      <c r="B2952">
        <v>199</v>
      </c>
      <c r="C2952" t="str">
        <f>"11"</f>
        <v>11</v>
      </c>
      <c r="D2952">
        <v>6399</v>
      </c>
      <c r="E2952" t="str">
        <f>"7M"</f>
        <v>7M</v>
      </c>
      <c r="F2952" t="str">
        <f>"041"</f>
        <v>041</v>
      </c>
      <c r="G2952">
        <v>9</v>
      </c>
      <c r="H2952" t="str">
        <f>"11"</f>
        <v>11</v>
      </c>
      <c r="I2952" t="str">
        <f t="shared" si="503"/>
        <v>0</v>
      </c>
      <c r="J2952" t="str">
        <f>"36"</f>
        <v>36</v>
      </c>
      <c r="K2952">
        <v>20181012</v>
      </c>
      <c r="L2952" t="str">
        <f>"074224"</f>
        <v>074224</v>
      </c>
      <c r="M2952" t="str">
        <f>"00554"</f>
        <v>00554</v>
      </c>
      <c r="N2952" t="s">
        <v>2183</v>
      </c>
      <c r="O2952">
        <v>16</v>
      </c>
      <c r="P2952">
        <v>20181011</v>
      </c>
      <c r="Q2952" t="s">
        <v>1898</v>
      </c>
      <c r="R2952" t="s">
        <v>2184</v>
      </c>
      <c r="S2952" t="s">
        <v>1615</v>
      </c>
      <c r="T2952" t="s">
        <v>106</v>
      </c>
    </row>
    <row r="2953" spans="1:20" x14ac:dyDescent="0.25">
      <c r="A2953">
        <v>9</v>
      </c>
      <c r="B2953">
        <v>199</v>
      </c>
      <c r="C2953" t="str">
        <f>"11"</f>
        <v>11</v>
      </c>
      <c r="D2953">
        <v>6399</v>
      </c>
      <c r="E2953" t="str">
        <f>"VA"</f>
        <v>VA</v>
      </c>
      <c r="F2953" t="str">
        <f>"001"</f>
        <v>001</v>
      </c>
      <c r="G2953">
        <v>9</v>
      </c>
      <c r="H2953" t="str">
        <f>"22"</f>
        <v>22</v>
      </c>
      <c r="I2953" t="str">
        <f t="shared" si="503"/>
        <v>0</v>
      </c>
      <c r="J2953" t="str">
        <f>"22"</f>
        <v>22</v>
      </c>
      <c r="K2953">
        <v>20181012</v>
      </c>
      <c r="L2953" t="str">
        <f>"074226"</f>
        <v>074226</v>
      </c>
      <c r="M2953" t="str">
        <f>"08196"</f>
        <v>08196</v>
      </c>
      <c r="N2953" t="s">
        <v>2185</v>
      </c>
      <c r="O2953">
        <v>87.78</v>
      </c>
      <c r="P2953">
        <v>20181011</v>
      </c>
      <c r="Q2953" t="s">
        <v>2186</v>
      </c>
      <c r="R2953" t="s">
        <v>2187</v>
      </c>
      <c r="S2953" t="s">
        <v>1615</v>
      </c>
      <c r="T2953" t="s">
        <v>301</v>
      </c>
    </row>
    <row r="2954" spans="1:20" x14ac:dyDescent="0.25">
      <c r="A2954">
        <v>9</v>
      </c>
      <c r="B2954">
        <v>199</v>
      </c>
      <c r="C2954" t="str">
        <f t="shared" ref="C2954:C2962" si="513">"00"</f>
        <v>00</v>
      </c>
      <c r="D2954">
        <v>2110</v>
      </c>
      <c r="E2954" t="str">
        <f t="shared" ref="E2954:E2962" si="514">"18"</f>
        <v>18</v>
      </c>
      <c r="F2954" t="str">
        <f t="shared" ref="F2954:F2962" si="515">"000"</f>
        <v>000</v>
      </c>
      <c r="G2954">
        <v>9</v>
      </c>
      <c r="H2954" t="str">
        <f t="shared" ref="H2954:H2962" si="516">"00"</f>
        <v>00</v>
      </c>
      <c r="I2954" t="str">
        <f t="shared" si="503"/>
        <v>0</v>
      </c>
      <c r="J2954" t="str">
        <f t="shared" ref="J2954:J2962" si="517">"00"</f>
        <v>00</v>
      </c>
      <c r="K2954">
        <v>20181012</v>
      </c>
      <c r="L2954" t="str">
        <f t="shared" ref="L2954:L2963" si="518">"074227"</f>
        <v>074227</v>
      </c>
      <c r="M2954" t="str">
        <f t="shared" ref="M2954:M2963" si="519">"09170"</f>
        <v>09170</v>
      </c>
      <c r="N2954" t="s">
        <v>679</v>
      </c>
      <c r="O2954">
        <v>581.66</v>
      </c>
      <c r="P2954">
        <v>20181011</v>
      </c>
      <c r="Q2954" t="s">
        <v>1613</v>
      </c>
      <c r="R2954" t="s">
        <v>2188</v>
      </c>
      <c r="S2954" t="s">
        <v>1615</v>
      </c>
      <c r="T2954" t="s">
        <v>296</v>
      </c>
    </row>
    <row r="2955" spans="1:20" x14ac:dyDescent="0.25">
      <c r="A2955">
        <v>9</v>
      </c>
      <c r="B2955">
        <v>199</v>
      </c>
      <c r="C2955" t="str">
        <f t="shared" si="513"/>
        <v>00</v>
      </c>
      <c r="D2955">
        <v>2110</v>
      </c>
      <c r="E2955" t="str">
        <f t="shared" si="514"/>
        <v>18</v>
      </c>
      <c r="F2955" t="str">
        <f t="shared" si="515"/>
        <v>000</v>
      </c>
      <c r="G2955">
        <v>9</v>
      </c>
      <c r="H2955" t="str">
        <f t="shared" si="516"/>
        <v>00</v>
      </c>
      <c r="I2955" t="str">
        <f t="shared" si="503"/>
        <v>0</v>
      </c>
      <c r="J2955" t="str">
        <f t="shared" si="517"/>
        <v>00</v>
      </c>
      <c r="K2955">
        <v>20181012</v>
      </c>
      <c r="L2955" t="str">
        <f t="shared" si="518"/>
        <v>074227</v>
      </c>
      <c r="M2955" t="str">
        <f t="shared" si="519"/>
        <v>09170</v>
      </c>
      <c r="N2955" t="s">
        <v>679</v>
      </c>
      <c r="O2955">
        <v>136.12</v>
      </c>
      <c r="P2955">
        <v>20181011</v>
      </c>
      <c r="Q2955" t="s">
        <v>1613</v>
      </c>
      <c r="R2955" t="s">
        <v>2189</v>
      </c>
      <c r="S2955" t="s">
        <v>1615</v>
      </c>
      <c r="T2955" t="s">
        <v>296</v>
      </c>
    </row>
    <row r="2956" spans="1:20" x14ac:dyDescent="0.25">
      <c r="A2956">
        <v>9</v>
      </c>
      <c r="B2956">
        <v>199</v>
      </c>
      <c r="C2956" t="str">
        <f t="shared" si="513"/>
        <v>00</v>
      </c>
      <c r="D2956">
        <v>2110</v>
      </c>
      <c r="E2956" t="str">
        <f t="shared" si="514"/>
        <v>18</v>
      </c>
      <c r="F2956" t="str">
        <f t="shared" si="515"/>
        <v>000</v>
      </c>
      <c r="G2956">
        <v>9</v>
      </c>
      <c r="H2956" t="str">
        <f t="shared" si="516"/>
        <v>00</v>
      </c>
      <c r="I2956" t="str">
        <f t="shared" si="503"/>
        <v>0</v>
      </c>
      <c r="J2956" t="str">
        <f t="shared" si="517"/>
        <v>00</v>
      </c>
      <c r="K2956">
        <v>20181012</v>
      </c>
      <c r="L2956" t="str">
        <f t="shared" si="518"/>
        <v>074227</v>
      </c>
      <c r="M2956" t="str">
        <f t="shared" si="519"/>
        <v>09170</v>
      </c>
      <c r="N2956" t="s">
        <v>679</v>
      </c>
      <c r="O2956">
        <v>85.9</v>
      </c>
      <c r="P2956">
        <v>20181011</v>
      </c>
      <c r="Q2956" t="s">
        <v>1613</v>
      </c>
      <c r="R2956" t="s">
        <v>2190</v>
      </c>
      <c r="S2956" t="s">
        <v>1615</v>
      </c>
      <c r="T2956" t="s">
        <v>296</v>
      </c>
    </row>
    <row r="2957" spans="1:20" x14ac:dyDescent="0.25">
      <c r="A2957">
        <v>9</v>
      </c>
      <c r="B2957">
        <v>199</v>
      </c>
      <c r="C2957" t="str">
        <f t="shared" si="513"/>
        <v>00</v>
      </c>
      <c r="D2957">
        <v>2110</v>
      </c>
      <c r="E2957" t="str">
        <f t="shared" si="514"/>
        <v>18</v>
      </c>
      <c r="F2957" t="str">
        <f t="shared" si="515"/>
        <v>000</v>
      </c>
      <c r="G2957">
        <v>9</v>
      </c>
      <c r="H2957" t="str">
        <f t="shared" si="516"/>
        <v>00</v>
      </c>
      <c r="I2957" t="str">
        <f t="shared" si="503"/>
        <v>0</v>
      </c>
      <c r="J2957" t="str">
        <f t="shared" si="517"/>
        <v>00</v>
      </c>
      <c r="K2957">
        <v>20181012</v>
      </c>
      <c r="L2957" t="str">
        <f t="shared" si="518"/>
        <v>074227</v>
      </c>
      <c r="M2957" t="str">
        <f t="shared" si="519"/>
        <v>09170</v>
      </c>
      <c r="N2957" t="s">
        <v>679</v>
      </c>
      <c r="O2957">
        <v>309</v>
      </c>
      <c r="P2957">
        <v>20181011</v>
      </c>
      <c r="Q2957" t="s">
        <v>1613</v>
      </c>
      <c r="R2957" t="s">
        <v>2191</v>
      </c>
      <c r="S2957" t="s">
        <v>1615</v>
      </c>
      <c r="T2957" t="s">
        <v>296</v>
      </c>
    </row>
    <row r="2958" spans="1:20" x14ac:dyDescent="0.25">
      <c r="A2958">
        <v>9</v>
      </c>
      <c r="B2958">
        <v>199</v>
      </c>
      <c r="C2958" t="str">
        <f t="shared" si="513"/>
        <v>00</v>
      </c>
      <c r="D2958">
        <v>2110</v>
      </c>
      <c r="E2958" t="str">
        <f t="shared" si="514"/>
        <v>18</v>
      </c>
      <c r="F2958" t="str">
        <f t="shared" si="515"/>
        <v>000</v>
      </c>
      <c r="G2958">
        <v>9</v>
      </c>
      <c r="H2958" t="str">
        <f t="shared" si="516"/>
        <v>00</v>
      </c>
      <c r="I2958" t="str">
        <f t="shared" si="503"/>
        <v>0</v>
      </c>
      <c r="J2958" t="str">
        <f t="shared" si="517"/>
        <v>00</v>
      </c>
      <c r="K2958">
        <v>20181012</v>
      </c>
      <c r="L2958" t="str">
        <f t="shared" si="518"/>
        <v>074227</v>
      </c>
      <c r="M2958" t="str">
        <f t="shared" si="519"/>
        <v>09170</v>
      </c>
      <c r="N2958" t="s">
        <v>679</v>
      </c>
      <c r="O2958">
        <v>324</v>
      </c>
      <c r="P2958">
        <v>20181011</v>
      </c>
      <c r="Q2958" t="s">
        <v>1613</v>
      </c>
      <c r="R2958" t="s">
        <v>2192</v>
      </c>
      <c r="S2958" t="s">
        <v>1615</v>
      </c>
      <c r="T2958" t="s">
        <v>296</v>
      </c>
    </row>
    <row r="2959" spans="1:20" x14ac:dyDescent="0.25">
      <c r="A2959">
        <v>9</v>
      </c>
      <c r="B2959">
        <v>199</v>
      </c>
      <c r="C2959" t="str">
        <f t="shared" si="513"/>
        <v>00</v>
      </c>
      <c r="D2959">
        <v>2110</v>
      </c>
      <c r="E2959" t="str">
        <f t="shared" si="514"/>
        <v>18</v>
      </c>
      <c r="F2959" t="str">
        <f t="shared" si="515"/>
        <v>000</v>
      </c>
      <c r="G2959">
        <v>9</v>
      </c>
      <c r="H2959" t="str">
        <f t="shared" si="516"/>
        <v>00</v>
      </c>
      <c r="I2959" t="str">
        <f t="shared" si="503"/>
        <v>0</v>
      </c>
      <c r="J2959" t="str">
        <f t="shared" si="517"/>
        <v>00</v>
      </c>
      <c r="K2959">
        <v>20181012</v>
      </c>
      <c r="L2959" t="str">
        <f t="shared" si="518"/>
        <v>074227</v>
      </c>
      <c r="M2959" t="str">
        <f t="shared" si="519"/>
        <v>09170</v>
      </c>
      <c r="N2959" t="s">
        <v>679</v>
      </c>
      <c r="O2959">
        <v>407</v>
      </c>
      <c r="P2959">
        <v>20181011</v>
      </c>
      <c r="Q2959" t="s">
        <v>1613</v>
      </c>
      <c r="R2959" t="s">
        <v>2193</v>
      </c>
      <c r="S2959" t="s">
        <v>1615</v>
      </c>
      <c r="T2959" t="s">
        <v>296</v>
      </c>
    </row>
    <row r="2960" spans="1:20" x14ac:dyDescent="0.25">
      <c r="A2960">
        <v>9</v>
      </c>
      <c r="B2960">
        <v>199</v>
      </c>
      <c r="C2960" t="str">
        <f t="shared" si="513"/>
        <v>00</v>
      </c>
      <c r="D2960">
        <v>2110</v>
      </c>
      <c r="E2960" t="str">
        <f t="shared" si="514"/>
        <v>18</v>
      </c>
      <c r="F2960" t="str">
        <f t="shared" si="515"/>
        <v>000</v>
      </c>
      <c r="G2960">
        <v>9</v>
      </c>
      <c r="H2960" t="str">
        <f t="shared" si="516"/>
        <v>00</v>
      </c>
      <c r="I2960" t="str">
        <f t="shared" si="503"/>
        <v>0</v>
      </c>
      <c r="J2960" t="str">
        <f t="shared" si="517"/>
        <v>00</v>
      </c>
      <c r="K2960">
        <v>20181012</v>
      </c>
      <c r="L2960" t="str">
        <f t="shared" si="518"/>
        <v>074227</v>
      </c>
      <c r="M2960" t="str">
        <f t="shared" si="519"/>
        <v>09170</v>
      </c>
      <c r="N2960" t="s">
        <v>679</v>
      </c>
      <c r="O2960">
        <v>53.01</v>
      </c>
      <c r="P2960">
        <v>20181011</v>
      </c>
      <c r="Q2960" t="s">
        <v>1613</v>
      </c>
      <c r="R2960" t="s">
        <v>2194</v>
      </c>
      <c r="S2960" t="s">
        <v>1615</v>
      </c>
      <c r="T2960" t="s">
        <v>296</v>
      </c>
    </row>
    <row r="2961" spans="1:20" x14ac:dyDescent="0.25">
      <c r="A2961">
        <v>9</v>
      </c>
      <c r="B2961">
        <v>199</v>
      </c>
      <c r="C2961" t="str">
        <f t="shared" si="513"/>
        <v>00</v>
      </c>
      <c r="D2961">
        <v>2110</v>
      </c>
      <c r="E2961" t="str">
        <f t="shared" si="514"/>
        <v>18</v>
      </c>
      <c r="F2961" t="str">
        <f t="shared" si="515"/>
        <v>000</v>
      </c>
      <c r="G2961">
        <v>9</v>
      </c>
      <c r="H2961" t="str">
        <f t="shared" si="516"/>
        <v>00</v>
      </c>
      <c r="I2961" t="str">
        <f t="shared" si="503"/>
        <v>0</v>
      </c>
      <c r="J2961" t="str">
        <f t="shared" si="517"/>
        <v>00</v>
      </c>
      <c r="K2961">
        <v>20181012</v>
      </c>
      <c r="L2961" t="str">
        <f t="shared" si="518"/>
        <v>074227</v>
      </c>
      <c r="M2961" t="str">
        <f t="shared" si="519"/>
        <v>09170</v>
      </c>
      <c r="N2961" t="s">
        <v>679</v>
      </c>
      <c r="O2961">
        <v>48</v>
      </c>
      <c r="P2961">
        <v>20181011</v>
      </c>
      <c r="Q2961" t="s">
        <v>1613</v>
      </c>
      <c r="R2961" s="3">
        <v>43343</v>
      </c>
      <c r="S2961" t="s">
        <v>1615</v>
      </c>
      <c r="T2961" t="s">
        <v>296</v>
      </c>
    </row>
    <row r="2962" spans="1:20" x14ac:dyDescent="0.25">
      <c r="A2962">
        <v>9</v>
      </c>
      <c r="B2962">
        <v>199</v>
      </c>
      <c r="C2962" t="str">
        <f t="shared" si="513"/>
        <v>00</v>
      </c>
      <c r="D2962">
        <v>2110</v>
      </c>
      <c r="E2962" t="str">
        <f t="shared" si="514"/>
        <v>18</v>
      </c>
      <c r="F2962" t="str">
        <f t="shared" si="515"/>
        <v>000</v>
      </c>
      <c r="G2962">
        <v>9</v>
      </c>
      <c r="H2962" t="str">
        <f t="shared" si="516"/>
        <v>00</v>
      </c>
      <c r="I2962" t="str">
        <f t="shared" si="503"/>
        <v>0</v>
      </c>
      <c r="J2962" t="str">
        <f t="shared" si="517"/>
        <v>00</v>
      </c>
      <c r="K2962">
        <v>20181012</v>
      </c>
      <c r="L2962" t="str">
        <f t="shared" si="518"/>
        <v>074227</v>
      </c>
      <c r="M2962" t="str">
        <f t="shared" si="519"/>
        <v>09170</v>
      </c>
      <c r="N2962" t="s">
        <v>679</v>
      </c>
      <c r="O2962">
        <v>92.94</v>
      </c>
      <c r="P2962">
        <v>20181012</v>
      </c>
      <c r="Q2962" t="s">
        <v>1613</v>
      </c>
      <c r="R2962" t="s">
        <v>2194</v>
      </c>
      <c r="S2962" t="s">
        <v>1615</v>
      </c>
      <c r="T2962" t="s">
        <v>296</v>
      </c>
    </row>
    <row r="2963" spans="1:20" x14ac:dyDescent="0.25">
      <c r="A2963">
        <v>9</v>
      </c>
      <c r="B2963">
        <v>199</v>
      </c>
      <c r="C2963" t="str">
        <f>"41"</f>
        <v>41</v>
      </c>
      <c r="D2963">
        <v>6399</v>
      </c>
      <c r="E2963" t="str">
        <f>"10"</f>
        <v>10</v>
      </c>
      <c r="F2963" t="str">
        <f>"702"</f>
        <v>702</v>
      </c>
      <c r="G2963">
        <v>9</v>
      </c>
      <c r="H2963" t="str">
        <f>"99"</f>
        <v>99</v>
      </c>
      <c r="I2963" t="str">
        <f t="shared" si="503"/>
        <v>0</v>
      </c>
      <c r="J2963" t="str">
        <f>"93"</f>
        <v>93</v>
      </c>
      <c r="K2963">
        <v>20181012</v>
      </c>
      <c r="L2963" t="str">
        <f t="shared" si="518"/>
        <v>074227</v>
      </c>
      <c r="M2963" t="str">
        <f t="shared" si="519"/>
        <v>09170</v>
      </c>
      <c r="N2963" t="s">
        <v>679</v>
      </c>
      <c r="O2963">
        <v>88.49</v>
      </c>
      <c r="P2963">
        <v>20181011</v>
      </c>
      <c r="Q2963" t="s">
        <v>2195</v>
      </c>
      <c r="R2963" t="s">
        <v>2196</v>
      </c>
      <c r="S2963" t="s">
        <v>1615</v>
      </c>
      <c r="T2963" t="s">
        <v>1611</v>
      </c>
    </row>
    <row r="2964" spans="1:20" x14ac:dyDescent="0.25">
      <c r="A2964">
        <v>9</v>
      </c>
      <c r="B2964">
        <v>199</v>
      </c>
      <c r="C2964" t="str">
        <f>"11"</f>
        <v>11</v>
      </c>
      <c r="D2964">
        <v>6399</v>
      </c>
      <c r="E2964" t="str">
        <f>"7K"</f>
        <v>7K</v>
      </c>
      <c r="F2964" t="str">
        <f>"001"</f>
        <v>001</v>
      </c>
      <c r="G2964">
        <v>9</v>
      </c>
      <c r="H2964" t="str">
        <f>"11"</f>
        <v>11</v>
      </c>
      <c r="I2964" t="str">
        <f t="shared" si="503"/>
        <v>0</v>
      </c>
      <c r="J2964" t="str">
        <f>"01"</f>
        <v>01</v>
      </c>
      <c r="K2964">
        <v>20181012</v>
      </c>
      <c r="L2964" t="str">
        <f>"074228"</f>
        <v>074228</v>
      </c>
      <c r="M2964" t="str">
        <f>"58204"</f>
        <v>58204</v>
      </c>
      <c r="N2964" t="s">
        <v>1767</v>
      </c>
      <c r="O2964">
        <v>117.94</v>
      </c>
      <c r="P2964">
        <v>20181011</v>
      </c>
      <c r="Q2964" t="s">
        <v>1671</v>
      </c>
      <c r="R2964" t="s">
        <v>1651</v>
      </c>
      <c r="S2964" t="s">
        <v>1615</v>
      </c>
      <c r="T2964" t="s">
        <v>301</v>
      </c>
    </row>
    <row r="2965" spans="1:20" x14ac:dyDescent="0.25">
      <c r="A2965">
        <v>9</v>
      </c>
      <c r="B2965">
        <v>199</v>
      </c>
      <c r="C2965" t="str">
        <f>"36"</f>
        <v>36</v>
      </c>
      <c r="D2965">
        <v>6399</v>
      </c>
      <c r="E2965" t="str">
        <f>"HC"</f>
        <v>HC</v>
      </c>
      <c r="F2965" t="str">
        <f>"001"</f>
        <v>001</v>
      </c>
      <c r="G2965">
        <v>9</v>
      </c>
      <c r="H2965" t="str">
        <f>"99"</f>
        <v>99</v>
      </c>
      <c r="I2965" t="str">
        <f t="shared" si="503"/>
        <v>0</v>
      </c>
      <c r="J2965" t="str">
        <f>"01"</f>
        <v>01</v>
      </c>
      <c r="K2965">
        <v>20181012</v>
      </c>
      <c r="L2965" t="str">
        <f>"074228"</f>
        <v>074228</v>
      </c>
      <c r="M2965" t="str">
        <f>"58204"</f>
        <v>58204</v>
      </c>
      <c r="N2965" t="s">
        <v>1767</v>
      </c>
      <c r="O2965">
        <v>50</v>
      </c>
      <c r="P2965">
        <v>20181011</v>
      </c>
      <c r="Q2965" t="s">
        <v>1770</v>
      </c>
      <c r="R2965" t="s">
        <v>1771</v>
      </c>
      <c r="S2965" t="s">
        <v>1615</v>
      </c>
      <c r="T2965" t="s">
        <v>301</v>
      </c>
    </row>
    <row r="2966" spans="1:20" x14ac:dyDescent="0.25">
      <c r="A2966">
        <v>9</v>
      </c>
      <c r="B2966">
        <v>199</v>
      </c>
      <c r="C2966" t="str">
        <f>"41"</f>
        <v>41</v>
      </c>
      <c r="D2966">
        <v>6211</v>
      </c>
      <c r="E2966" t="str">
        <f>"01"</f>
        <v>01</v>
      </c>
      <c r="F2966" t="str">
        <f>"702"</f>
        <v>702</v>
      </c>
      <c r="G2966">
        <v>9</v>
      </c>
      <c r="H2966" t="str">
        <f>"99"</f>
        <v>99</v>
      </c>
      <c r="I2966" t="str">
        <f t="shared" si="503"/>
        <v>0</v>
      </c>
      <c r="J2966" t="str">
        <f>"93"</f>
        <v>93</v>
      </c>
      <c r="K2966">
        <v>20181012</v>
      </c>
      <c r="L2966" t="str">
        <f>"074233"</f>
        <v>074233</v>
      </c>
      <c r="M2966" t="str">
        <f>"13281"</f>
        <v>13281</v>
      </c>
      <c r="N2966" t="s">
        <v>1684</v>
      </c>
      <c r="O2966" s="1">
        <v>3208.33</v>
      </c>
      <c r="P2966">
        <v>20181011</v>
      </c>
      <c r="Q2966" t="s">
        <v>1685</v>
      </c>
      <c r="R2966" t="s">
        <v>2197</v>
      </c>
      <c r="S2966" t="s">
        <v>1615</v>
      </c>
      <c r="T2966" t="s">
        <v>1611</v>
      </c>
    </row>
    <row r="2967" spans="1:20" x14ac:dyDescent="0.25">
      <c r="A2967">
        <v>9</v>
      </c>
      <c r="B2967">
        <v>199</v>
      </c>
      <c r="C2967" t="str">
        <f>"41"</f>
        <v>41</v>
      </c>
      <c r="D2967">
        <v>6399</v>
      </c>
      <c r="E2967" t="str">
        <f>"10"</f>
        <v>10</v>
      </c>
      <c r="F2967" t="str">
        <f>"730"</f>
        <v>730</v>
      </c>
      <c r="G2967">
        <v>9</v>
      </c>
      <c r="H2967" t="str">
        <f>"99"</f>
        <v>99</v>
      </c>
      <c r="I2967" t="str">
        <f t="shared" si="503"/>
        <v>0</v>
      </c>
      <c r="J2967" t="str">
        <f>"95"</f>
        <v>95</v>
      </c>
      <c r="K2967">
        <v>20181012</v>
      </c>
      <c r="L2967" t="str">
        <f>"074234"</f>
        <v>074234</v>
      </c>
      <c r="M2967" t="str">
        <f>"00579"</f>
        <v>00579</v>
      </c>
      <c r="N2967" t="s">
        <v>1986</v>
      </c>
      <c r="O2967">
        <v>125</v>
      </c>
      <c r="P2967">
        <v>20181012</v>
      </c>
      <c r="Q2967" t="s">
        <v>1987</v>
      </c>
      <c r="R2967" t="s">
        <v>2198</v>
      </c>
      <c r="S2967" t="s">
        <v>1615</v>
      </c>
      <c r="T2967" t="s">
        <v>1794</v>
      </c>
    </row>
    <row r="2968" spans="1:20" x14ac:dyDescent="0.25">
      <c r="A2968">
        <v>9</v>
      </c>
      <c r="B2968">
        <v>199</v>
      </c>
      <c r="C2968" t="str">
        <f>"13"</f>
        <v>13</v>
      </c>
      <c r="D2968">
        <v>6411</v>
      </c>
      <c r="E2968" t="str">
        <f>"8T"</f>
        <v>8T</v>
      </c>
      <c r="F2968" t="str">
        <f>"001"</f>
        <v>001</v>
      </c>
      <c r="G2968">
        <v>9</v>
      </c>
      <c r="H2968" t="str">
        <f>"11"</f>
        <v>11</v>
      </c>
      <c r="I2968" t="str">
        <f t="shared" si="503"/>
        <v>0</v>
      </c>
      <c r="J2968" t="str">
        <f>"01"</f>
        <v>01</v>
      </c>
      <c r="K2968">
        <v>20181012</v>
      </c>
      <c r="L2968" t="str">
        <f>"074236"</f>
        <v>074236</v>
      </c>
      <c r="M2968" t="str">
        <f>"31367"</f>
        <v>31367</v>
      </c>
      <c r="N2968" t="s">
        <v>2199</v>
      </c>
      <c r="O2968">
        <v>33.83</v>
      </c>
      <c r="P2968">
        <v>20181011</v>
      </c>
      <c r="Q2968" t="s">
        <v>1720</v>
      </c>
      <c r="R2968" t="s">
        <v>1721</v>
      </c>
      <c r="S2968" t="s">
        <v>1615</v>
      </c>
      <c r="T2968" t="s">
        <v>301</v>
      </c>
    </row>
    <row r="2969" spans="1:20" x14ac:dyDescent="0.25">
      <c r="A2969">
        <v>9</v>
      </c>
      <c r="B2969">
        <v>199</v>
      </c>
      <c r="C2969" t="str">
        <f>"13"</f>
        <v>13</v>
      </c>
      <c r="D2969">
        <v>6411</v>
      </c>
      <c r="E2969" t="str">
        <f>"8T"</f>
        <v>8T</v>
      </c>
      <c r="F2969" t="str">
        <f>"001"</f>
        <v>001</v>
      </c>
      <c r="G2969">
        <v>9</v>
      </c>
      <c r="H2969" t="str">
        <f>"11"</f>
        <v>11</v>
      </c>
      <c r="I2969" t="str">
        <f>"1"</f>
        <v>1</v>
      </c>
      <c r="J2969" t="str">
        <f>"01"</f>
        <v>01</v>
      </c>
      <c r="K2969">
        <v>20181012</v>
      </c>
      <c r="L2969" t="str">
        <f>"074236"</f>
        <v>074236</v>
      </c>
      <c r="M2969" t="str">
        <f>"31367"</f>
        <v>31367</v>
      </c>
      <c r="N2969" t="s">
        <v>2199</v>
      </c>
      <c r="O2969">
        <v>65.31</v>
      </c>
      <c r="P2969">
        <v>20181011</v>
      </c>
      <c r="Q2969" t="s">
        <v>2200</v>
      </c>
      <c r="R2969" t="s">
        <v>1721</v>
      </c>
      <c r="S2969" t="s">
        <v>1615</v>
      </c>
      <c r="T2969" t="s">
        <v>301</v>
      </c>
    </row>
    <row r="2970" spans="1:20" x14ac:dyDescent="0.25">
      <c r="A2970">
        <v>9</v>
      </c>
      <c r="B2970">
        <v>199</v>
      </c>
      <c r="C2970" t="str">
        <f>"41"</f>
        <v>41</v>
      </c>
      <c r="D2970">
        <v>6399</v>
      </c>
      <c r="E2970" t="str">
        <f>"10"</f>
        <v>10</v>
      </c>
      <c r="F2970" t="str">
        <f>"702"</f>
        <v>702</v>
      </c>
      <c r="G2970">
        <v>9</v>
      </c>
      <c r="H2970" t="str">
        <f>"99"</f>
        <v>99</v>
      </c>
      <c r="I2970" t="str">
        <f t="shared" ref="I2970:I2993" si="520">"0"</f>
        <v>0</v>
      </c>
      <c r="J2970" t="str">
        <f>"93"</f>
        <v>93</v>
      </c>
      <c r="K2970">
        <v>20181012</v>
      </c>
      <c r="L2970" t="str">
        <f>"074238"</f>
        <v>074238</v>
      </c>
      <c r="M2970" t="str">
        <f>"58200"</f>
        <v>58200</v>
      </c>
      <c r="N2970" t="s">
        <v>1765</v>
      </c>
      <c r="O2970">
        <v>60.72</v>
      </c>
      <c r="P2970">
        <v>20181011</v>
      </c>
      <c r="Q2970" t="s">
        <v>2195</v>
      </c>
      <c r="R2970" t="s">
        <v>2201</v>
      </c>
      <c r="S2970" t="s">
        <v>1615</v>
      </c>
      <c r="T2970" t="s">
        <v>1611</v>
      </c>
    </row>
    <row r="2971" spans="1:20" x14ac:dyDescent="0.25">
      <c r="A2971">
        <v>9</v>
      </c>
      <c r="B2971">
        <v>199</v>
      </c>
      <c r="C2971" t="str">
        <f>"41"</f>
        <v>41</v>
      </c>
      <c r="D2971">
        <v>6498</v>
      </c>
      <c r="E2971" t="str">
        <f>"10"</f>
        <v>10</v>
      </c>
      <c r="F2971" t="str">
        <f>"701"</f>
        <v>701</v>
      </c>
      <c r="G2971">
        <v>9</v>
      </c>
      <c r="H2971" t="str">
        <f>"99"</f>
        <v>99</v>
      </c>
      <c r="I2971" t="str">
        <f t="shared" si="520"/>
        <v>0</v>
      </c>
      <c r="J2971" t="str">
        <f>"92"</f>
        <v>92</v>
      </c>
      <c r="K2971">
        <v>20181012</v>
      </c>
      <c r="L2971" t="str">
        <f>"074238"</f>
        <v>074238</v>
      </c>
      <c r="M2971" t="str">
        <f>"58200"</f>
        <v>58200</v>
      </c>
      <c r="N2971" t="s">
        <v>1765</v>
      </c>
      <c r="O2971">
        <v>40.96</v>
      </c>
      <c r="P2971">
        <v>20181011</v>
      </c>
      <c r="Q2971" t="s">
        <v>2202</v>
      </c>
      <c r="R2971" t="s">
        <v>2203</v>
      </c>
      <c r="S2971" t="s">
        <v>1615</v>
      </c>
      <c r="T2971" t="s">
        <v>1841</v>
      </c>
    </row>
    <row r="2972" spans="1:20" x14ac:dyDescent="0.25">
      <c r="A2972">
        <v>9</v>
      </c>
      <c r="B2972">
        <v>199</v>
      </c>
      <c r="C2972" t="str">
        <f t="shared" ref="C2972:C2977" si="521">"11"</f>
        <v>11</v>
      </c>
      <c r="D2972">
        <v>6399</v>
      </c>
      <c r="E2972" t="str">
        <f>"45"</f>
        <v>45</v>
      </c>
      <c r="F2972" t="str">
        <f>"041"</f>
        <v>041</v>
      </c>
      <c r="G2972">
        <v>9</v>
      </c>
      <c r="H2972" t="str">
        <f>"11"</f>
        <v>11</v>
      </c>
      <c r="I2972" t="str">
        <f t="shared" si="520"/>
        <v>0</v>
      </c>
      <c r="J2972" t="str">
        <f>"03"</f>
        <v>03</v>
      </c>
      <c r="K2972">
        <v>20181012</v>
      </c>
      <c r="L2972" t="str">
        <f t="shared" ref="L2972:L2978" si="522">"074240"</f>
        <v>074240</v>
      </c>
      <c r="M2972" t="str">
        <f t="shared" ref="M2972:M2978" si="523">"14821"</f>
        <v>14821</v>
      </c>
      <c r="N2972" t="s">
        <v>1224</v>
      </c>
      <c r="O2972" s="1">
        <v>1114.4000000000001</v>
      </c>
      <c r="P2972">
        <v>20181011</v>
      </c>
      <c r="Q2972" t="s">
        <v>2204</v>
      </c>
      <c r="R2972" t="s">
        <v>1225</v>
      </c>
      <c r="S2972" t="s">
        <v>1615</v>
      </c>
      <c r="T2972" t="s">
        <v>106</v>
      </c>
    </row>
    <row r="2973" spans="1:20" x14ac:dyDescent="0.25">
      <c r="A2973">
        <v>9</v>
      </c>
      <c r="B2973">
        <v>199</v>
      </c>
      <c r="C2973" t="str">
        <f t="shared" si="521"/>
        <v>11</v>
      </c>
      <c r="D2973">
        <v>6399</v>
      </c>
      <c r="E2973" t="str">
        <f>"45"</f>
        <v>45</v>
      </c>
      <c r="F2973" t="str">
        <f>"101"</f>
        <v>101</v>
      </c>
      <c r="G2973">
        <v>9</v>
      </c>
      <c r="H2973" t="str">
        <f>"11"</f>
        <v>11</v>
      </c>
      <c r="I2973" t="str">
        <f t="shared" si="520"/>
        <v>0</v>
      </c>
      <c r="J2973" t="str">
        <f>"04"</f>
        <v>04</v>
      </c>
      <c r="K2973">
        <v>20181012</v>
      </c>
      <c r="L2973" t="str">
        <f t="shared" si="522"/>
        <v>074240</v>
      </c>
      <c r="M2973" t="str">
        <f t="shared" si="523"/>
        <v>14821</v>
      </c>
      <c r="N2973" t="s">
        <v>1224</v>
      </c>
      <c r="O2973" s="1">
        <v>1393</v>
      </c>
      <c r="P2973">
        <v>20181011</v>
      </c>
      <c r="Q2973" t="s">
        <v>1859</v>
      </c>
      <c r="R2973" t="s">
        <v>1225</v>
      </c>
      <c r="S2973" t="s">
        <v>1615</v>
      </c>
      <c r="T2973" t="s">
        <v>1479</v>
      </c>
    </row>
    <row r="2974" spans="1:20" x14ac:dyDescent="0.25">
      <c r="A2974">
        <v>9</v>
      </c>
      <c r="B2974">
        <v>199</v>
      </c>
      <c r="C2974" t="str">
        <f t="shared" si="521"/>
        <v>11</v>
      </c>
      <c r="D2974">
        <v>6399</v>
      </c>
      <c r="E2974" t="str">
        <f>"45"</f>
        <v>45</v>
      </c>
      <c r="F2974" t="str">
        <f>"104"</f>
        <v>104</v>
      </c>
      <c r="G2974">
        <v>9</v>
      </c>
      <c r="H2974" t="str">
        <f>"11"</f>
        <v>11</v>
      </c>
      <c r="I2974" t="str">
        <f t="shared" si="520"/>
        <v>0</v>
      </c>
      <c r="J2974" t="str">
        <f>"05"</f>
        <v>05</v>
      </c>
      <c r="K2974">
        <v>20181012</v>
      </c>
      <c r="L2974" t="str">
        <f t="shared" si="522"/>
        <v>074240</v>
      </c>
      <c r="M2974" t="str">
        <f t="shared" si="523"/>
        <v>14821</v>
      </c>
      <c r="N2974" t="s">
        <v>1224</v>
      </c>
      <c r="O2974" s="1">
        <v>1671.6</v>
      </c>
      <c r="P2974">
        <v>20181011</v>
      </c>
      <c r="Q2974" t="s">
        <v>2069</v>
      </c>
      <c r="R2974" t="s">
        <v>1225</v>
      </c>
      <c r="S2974" t="s">
        <v>1615</v>
      </c>
      <c r="T2974" t="s">
        <v>46</v>
      </c>
    </row>
    <row r="2975" spans="1:20" x14ac:dyDescent="0.25">
      <c r="A2975">
        <v>9</v>
      </c>
      <c r="B2975">
        <v>199</v>
      </c>
      <c r="C2975" t="str">
        <f t="shared" si="521"/>
        <v>11</v>
      </c>
      <c r="D2975">
        <v>6399</v>
      </c>
      <c r="E2975" t="str">
        <f>"8U"</f>
        <v>8U</v>
      </c>
      <c r="F2975" t="str">
        <f>"001"</f>
        <v>001</v>
      </c>
      <c r="G2975">
        <v>9</v>
      </c>
      <c r="H2975" t="str">
        <f>"11"</f>
        <v>11</v>
      </c>
      <c r="I2975" t="str">
        <f t="shared" si="520"/>
        <v>0</v>
      </c>
      <c r="J2975" t="str">
        <f>"01"</f>
        <v>01</v>
      </c>
      <c r="K2975">
        <v>20181012</v>
      </c>
      <c r="L2975" t="str">
        <f t="shared" si="522"/>
        <v>074240</v>
      </c>
      <c r="M2975" t="str">
        <f t="shared" si="523"/>
        <v>14821</v>
      </c>
      <c r="N2975" t="s">
        <v>1224</v>
      </c>
      <c r="O2975" s="1">
        <v>1393</v>
      </c>
      <c r="P2975">
        <v>20181011</v>
      </c>
      <c r="Q2975" t="s">
        <v>2205</v>
      </c>
      <c r="R2975" t="s">
        <v>1225</v>
      </c>
      <c r="S2975" t="s">
        <v>1615</v>
      </c>
      <c r="T2975" t="s">
        <v>301</v>
      </c>
    </row>
    <row r="2976" spans="1:20" x14ac:dyDescent="0.25">
      <c r="A2976">
        <v>9</v>
      </c>
      <c r="B2976">
        <v>199</v>
      </c>
      <c r="C2976" t="str">
        <f t="shared" si="521"/>
        <v>11</v>
      </c>
      <c r="D2976">
        <v>6399</v>
      </c>
      <c r="E2976" t="str">
        <f>"V8"</f>
        <v>V8</v>
      </c>
      <c r="F2976" t="str">
        <f>"001"</f>
        <v>001</v>
      </c>
      <c r="G2976">
        <v>9</v>
      </c>
      <c r="H2976" t="str">
        <f>"22"</f>
        <v>22</v>
      </c>
      <c r="I2976" t="str">
        <f t="shared" si="520"/>
        <v>0</v>
      </c>
      <c r="J2976" t="str">
        <f>"22"</f>
        <v>22</v>
      </c>
      <c r="K2976">
        <v>20181012</v>
      </c>
      <c r="L2976" t="str">
        <f t="shared" si="522"/>
        <v>074240</v>
      </c>
      <c r="M2976" t="str">
        <f t="shared" si="523"/>
        <v>14821</v>
      </c>
      <c r="N2976" t="s">
        <v>1224</v>
      </c>
      <c r="O2976">
        <v>139.30000000000001</v>
      </c>
      <c r="P2976">
        <v>20181011</v>
      </c>
      <c r="Q2976" t="s">
        <v>2001</v>
      </c>
      <c r="R2976" t="s">
        <v>1225</v>
      </c>
      <c r="S2976" t="s">
        <v>1615</v>
      </c>
      <c r="T2976" t="s">
        <v>301</v>
      </c>
    </row>
    <row r="2977" spans="1:20" x14ac:dyDescent="0.25">
      <c r="A2977">
        <v>9</v>
      </c>
      <c r="B2977">
        <v>199</v>
      </c>
      <c r="C2977" t="str">
        <f t="shared" si="521"/>
        <v>11</v>
      </c>
      <c r="D2977">
        <v>6399</v>
      </c>
      <c r="E2977" t="str">
        <f>"VH"</f>
        <v>VH</v>
      </c>
      <c r="F2977" t="str">
        <f>"001"</f>
        <v>001</v>
      </c>
      <c r="G2977">
        <v>9</v>
      </c>
      <c r="H2977" t="str">
        <f>"22"</f>
        <v>22</v>
      </c>
      <c r="I2977" t="str">
        <f t="shared" si="520"/>
        <v>0</v>
      </c>
      <c r="J2977" t="str">
        <f>"22"</f>
        <v>22</v>
      </c>
      <c r="K2977">
        <v>20181012</v>
      </c>
      <c r="L2977" t="str">
        <f t="shared" si="522"/>
        <v>074240</v>
      </c>
      <c r="M2977" t="str">
        <f t="shared" si="523"/>
        <v>14821</v>
      </c>
      <c r="N2977" t="s">
        <v>1224</v>
      </c>
      <c r="O2977">
        <v>111.44</v>
      </c>
      <c r="P2977">
        <v>20181011</v>
      </c>
      <c r="Q2977" t="s">
        <v>2206</v>
      </c>
      <c r="R2977" t="s">
        <v>1225</v>
      </c>
      <c r="S2977" t="s">
        <v>1615</v>
      </c>
      <c r="T2977" t="s">
        <v>301</v>
      </c>
    </row>
    <row r="2978" spans="1:20" x14ac:dyDescent="0.25">
      <c r="A2978">
        <v>9</v>
      </c>
      <c r="B2978">
        <v>199</v>
      </c>
      <c r="C2978" t="str">
        <f>"41"</f>
        <v>41</v>
      </c>
      <c r="D2978">
        <v>6399</v>
      </c>
      <c r="E2978" t="str">
        <f>"10"</f>
        <v>10</v>
      </c>
      <c r="F2978" t="str">
        <f>"720"</f>
        <v>720</v>
      </c>
      <c r="G2978">
        <v>9</v>
      </c>
      <c r="H2978" t="str">
        <f>"99"</f>
        <v>99</v>
      </c>
      <c r="I2978" t="str">
        <f t="shared" si="520"/>
        <v>0</v>
      </c>
      <c r="J2978" t="str">
        <f>"91"</f>
        <v>91</v>
      </c>
      <c r="K2978">
        <v>20181012</v>
      </c>
      <c r="L2978" t="str">
        <f t="shared" si="522"/>
        <v>074240</v>
      </c>
      <c r="M2978" t="str">
        <f t="shared" si="523"/>
        <v>14821</v>
      </c>
      <c r="N2978" t="s">
        <v>1224</v>
      </c>
      <c r="O2978">
        <v>278.60000000000002</v>
      </c>
      <c r="P2978">
        <v>20181011</v>
      </c>
      <c r="Q2978" t="s">
        <v>2132</v>
      </c>
      <c r="R2978" t="s">
        <v>1225</v>
      </c>
      <c r="S2978" t="s">
        <v>1615</v>
      </c>
      <c r="T2978" t="s">
        <v>2045</v>
      </c>
    </row>
    <row r="2979" spans="1:20" x14ac:dyDescent="0.25">
      <c r="A2979">
        <v>9</v>
      </c>
      <c r="B2979">
        <v>199</v>
      </c>
      <c r="C2979" t="str">
        <f>"31"</f>
        <v>31</v>
      </c>
      <c r="D2979">
        <v>6219</v>
      </c>
      <c r="E2979" t="str">
        <f>"00"</f>
        <v>00</v>
      </c>
      <c r="F2979" t="str">
        <f>"875"</f>
        <v>875</v>
      </c>
      <c r="G2979">
        <v>9</v>
      </c>
      <c r="H2979" t="str">
        <f>"23"</f>
        <v>23</v>
      </c>
      <c r="I2979" t="str">
        <f t="shared" si="520"/>
        <v>0</v>
      </c>
      <c r="J2979" t="str">
        <f>"23"</f>
        <v>23</v>
      </c>
      <c r="K2979">
        <v>20181012</v>
      </c>
      <c r="L2979" t="str">
        <f>"074241"</f>
        <v>074241</v>
      </c>
      <c r="M2979" t="str">
        <f>"74150"</f>
        <v>74150</v>
      </c>
      <c r="N2979" t="s">
        <v>1691</v>
      </c>
      <c r="O2979" s="1">
        <v>2500.1999999999998</v>
      </c>
      <c r="P2979">
        <v>20181011</v>
      </c>
      <c r="Q2979" t="s">
        <v>2207</v>
      </c>
      <c r="R2979" t="s">
        <v>2208</v>
      </c>
      <c r="S2979" t="s">
        <v>1615</v>
      </c>
      <c r="T2979" t="s">
        <v>2041</v>
      </c>
    </row>
    <row r="2980" spans="1:20" x14ac:dyDescent="0.25">
      <c r="A2980">
        <v>9</v>
      </c>
      <c r="B2980">
        <v>199</v>
      </c>
      <c r="C2980" t="str">
        <f>"34"</f>
        <v>34</v>
      </c>
      <c r="D2980">
        <v>6399</v>
      </c>
      <c r="E2980" t="str">
        <f>"11"</f>
        <v>11</v>
      </c>
      <c r="F2980" t="str">
        <f>"937"</f>
        <v>937</v>
      </c>
      <c r="G2980">
        <v>9</v>
      </c>
      <c r="H2980" t="str">
        <f>"99"</f>
        <v>99</v>
      </c>
      <c r="I2980" t="str">
        <f t="shared" si="520"/>
        <v>0</v>
      </c>
      <c r="J2980" t="str">
        <f>"82"</f>
        <v>82</v>
      </c>
      <c r="K2980">
        <v>20181012</v>
      </c>
      <c r="L2980" t="str">
        <f>"074242"</f>
        <v>074242</v>
      </c>
      <c r="M2980" t="str">
        <f>"19425"</f>
        <v>19425</v>
      </c>
      <c r="N2980" t="s">
        <v>2209</v>
      </c>
      <c r="O2980" s="1">
        <v>1099.75</v>
      </c>
      <c r="P2980">
        <v>20181011</v>
      </c>
      <c r="Q2980" t="s">
        <v>2210</v>
      </c>
      <c r="R2980" t="s">
        <v>2211</v>
      </c>
      <c r="S2980" t="s">
        <v>1615</v>
      </c>
      <c r="T2980" t="s">
        <v>1810</v>
      </c>
    </row>
    <row r="2981" spans="1:20" x14ac:dyDescent="0.25">
      <c r="A2981">
        <v>9</v>
      </c>
      <c r="B2981">
        <v>199</v>
      </c>
      <c r="C2981" t="str">
        <f>"34"</f>
        <v>34</v>
      </c>
      <c r="D2981">
        <v>6399</v>
      </c>
      <c r="E2981" t="str">
        <f>"11"</f>
        <v>11</v>
      </c>
      <c r="F2981" t="str">
        <f>"937"</f>
        <v>937</v>
      </c>
      <c r="G2981">
        <v>9</v>
      </c>
      <c r="H2981" t="str">
        <f>"99"</f>
        <v>99</v>
      </c>
      <c r="I2981" t="str">
        <f t="shared" si="520"/>
        <v>0</v>
      </c>
      <c r="J2981" t="str">
        <f>"82"</f>
        <v>82</v>
      </c>
      <c r="K2981">
        <v>20181012</v>
      </c>
      <c r="L2981" t="str">
        <f>"074242"</f>
        <v>074242</v>
      </c>
      <c r="M2981" t="str">
        <f>"19425"</f>
        <v>19425</v>
      </c>
      <c r="N2981" t="s">
        <v>2209</v>
      </c>
      <c r="O2981">
        <v>707.6</v>
      </c>
      <c r="P2981">
        <v>20181011</v>
      </c>
      <c r="Q2981" t="s">
        <v>2210</v>
      </c>
      <c r="R2981" t="s">
        <v>2211</v>
      </c>
      <c r="S2981" t="s">
        <v>1615</v>
      </c>
      <c r="T2981" t="s">
        <v>1810</v>
      </c>
    </row>
    <row r="2982" spans="1:20" x14ac:dyDescent="0.25">
      <c r="A2982">
        <v>9</v>
      </c>
      <c r="B2982">
        <v>199</v>
      </c>
      <c r="C2982" t="str">
        <f>"34"</f>
        <v>34</v>
      </c>
      <c r="D2982">
        <v>6399</v>
      </c>
      <c r="E2982" t="str">
        <f>"11"</f>
        <v>11</v>
      </c>
      <c r="F2982" t="str">
        <f>"937"</f>
        <v>937</v>
      </c>
      <c r="G2982">
        <v>9</v>
      </c>
      <c r="H2982" t="str">
        <f>"99"</f>
        <v>99</v>
      </c>
      <c r="I2982" t="str">
        <f t="shared" si="520"/>
        <v>0</v>
      </c>
      <c r="J2982" t="str">
        <f>"82"</f>
        <v>82</v>
      </c>
      <c r="K2982">
        <v>20181012</v>
      </c>
      <c r="L2982" t="str">
        <f>"074242"</f>
        <v>074242</v>
      </c>
      <c r="M2982" t="str">
        <f>"19425"</f>
        <v>19425</v>
      </c>
      <c r="N2982" t="s">
        <v>2209</v>
      </c>
      <c r="O2982">
        <v>189.6</v>
      </c>
      <c r="P2982">
        <v>20181011</v>
      </c>
      <c r="Q2982" t="s">
        <v>2210</v>
      </c>
      <c r="R2982" t="s">
        <v>2212</v>
      </c>
      <c r="S2982" t="s">
        <v>1615</v>
      </c>
      <c r="T2982" t="s">
        <v>1810</v>
      </c>
    </row>
    <row r="2983" spans="1:20" x14ac:dyDescent="0.25">
      <c r="A2983">
        <v>9</v>
      </c>
      <c r="B2983">
        <v>199</v>
      </c>
      <c r="C2983" t="str">
        <f t="shared" ref="C2983:C2990" si="524">"11"</f>
        <v>11</v>
      </c>
      <c r="D2983">
        <v>6269</v>
      </c>
      <c r="E2983" t="str">
        <f>"VA"</f>
        <v>VA</v>
      </c>
      <c r="F2983" t="str">
        <f t="shared" ref="F2983:F2990" si="525">"001"</f>
        <v>001</v>
      </c>
      <c r="G2983">
        <v>9</v>
      </c>
      <c r="H2983" t="str">
        <f t="shared" ref="H2983:H2990" si="526">"22"</f>
        <v>22</v>
      </c>
      <c r="I2983" t="str">
        <f t="shared" si="520"/>
        <v>0</v>
      </c>
      <c r="J2983" t="str">
        <f t="shared" ref="J2983:J2990" si="527">"22"</f>
        <v>22</v>
      </c>
      <c r="K2983">
        <v>20181012</v>
      </c>
      <c r="L2983" t="str">
        <f t="shared" ref="L2983:L2990" si="528">"074244"</f>
        <v>074244</v>
      </c>
      <c r="M2983" t="str">
        <f t="shared" ref="M2983:M2990" si="529">"20683"</f>
        <v>20683</v>
      </c>
      <c r="N2983" t="s">
        <v>1697</v>
      </c>
      <c r="O2983">
        <v>104.71</v>
      </c>
      <c r="P2983">
        <v>20181011</v>
      </c>
      <c r="Q2983" t="s">
        <v>2213</v>
      </c>
      <c r="R2983" t="s">
        <v>2214</v>
      </c>
      <c r="S2983" t="s">
        <v>1615</v>
      </c>
      <c r="T2983" t="s">
        <v>301</v>
      </c>
    </row>
    <row r="2984" spans="1:20" x14ac:dyDescent="0.25">
      <c r="A2984">
        <v>9</v>
      </c>
      <c r="B2984">
        <v>199</v>
      </c>
      <c r="C2984" t="str">
        <f t="shared" si="524"/>
        <v>11</v>
      </c>
      <c r="D2984">
        <v>6269</v>
      </c>
      <c r="E2984" t="str">
        <f>"VA"</f>
        <v>VA</v>
      </c>
      <c r="F2984" t="str">
        <f t="shared" si="525"/>
        <v>001</v>
      </c>
      <c r="G2984">
        <v>9</v>
      </c>
      <c r="H2984" t="str">
        <f t="shared" si="526"/>
        <v>22</v>
      </c>
      <c r="I2984" t="str">
        <f t="shared" si="520"/>
        <v>0</v>
      </c>
      <c r="J2984" t="str">
        <f t="shared" si="527"/>
        <v>22</v>
      </c>
      <c r="K2984">
        <v>20181012</v>
      </c>
      <c r="L2984" t="str">
        <f t="shared" si="528"/>
        <v>074244</v>
      </c>
      <c r="M2984" t="str">
        <f t="shared" si="529"/>
        <v>20683</v>
      </c>
      <c r="N2984" t="s">
        <v>1697</v>
      </c>
      <c r="O2984">
        <v>55.99</v>
      </c>
      <c r="P2984">
        <v>20181011</v>
      </c>
      <c r="Q2984" t="s">
        <v>2213</v>
      </c>
      <c r="R2984" t="s">
        <v>2215</v>
      </c>
      <c r="S2984" t="s">
        <v>1615</v>
      </c>
      <c r="T2984" t="s">
        <v>301</v>
      </c>
    </row>
    <row r="2985" spans="1:20" x14ac:dyDescent="0.25">
      <c r="A2985">
        <v>9</v>
      </c>
      <c r="B2985">
        <v>199</v>
      </c>
      <c r="C2985" t="str">
        <f t="shared" si="524"/>
        <v>11</v>
      </c>
      <c r="D2985">
        <v>6269</v>
      </c>
      <c r="E2985" t="str">
        <f>"VA"</f>
        <v>VA</v>
      </c>
      <c r="F2985" t="str">
        <f t="shared" si="525"/>
        <v>001</v>
      </c>
      <c r="G2985">
        <v>9</v>
      </c>
      <c r="H2985" t="str">
        <f t="shared" si="526"/>
        <v>22</v>
      </c>
      <c r="I2985" t="str">
        <f t="shared" si="520"/>
        <v>0</v>
      </c>
      <c r="J2985" t="str">
        <f t="shared" si="527"/>
        <v>22</v>
      </c>
      <c r="K2985">
        <v>20181012</v>
      </c>
      <c r="L2985" t="str">
        <f t="shared" si="528"/>
        <v>074244</v>
      </c>
      <c r="M2985" t="str">
        <f t="shared" si="529"/>
        <v>20683</v>
      </c>
      <c r="N2985" t="s">
        <v>1697</v>
      </c>
      <c r="O2985">
        <v>57.1</v>
      </c>
      <c r="P2985">
        <v>20181011</v>
      </c>
      <c r="Q2985" t="s">
        <v>2213</v>
      </c>
      <c r="R2985" t="s">
        <v>2216</v>
      </c>
      <c r="S2985" t="s">
        <v>1615</v>
      </c>
      <c r="T2985" t="s">
        <v>301</v>
      </c>
    </row>
    <row r="2986" spans="1:20" x14ac:dyDescent="0.25">
      <c r="A2986">
        <v>9</v>
      </c>
      <c r="B2986">
        <v>199</v>
      </c>
      <c r="C2986" t="str">
        <f t="shared" si="524"/>
        <v>11</v>
      </c>
      <c r="D2986">
        <v>6269</v>
      </c>
      <c r="E2986" t="str">
        <f>"VA"</f>
        <v>VA</v>
      </c>
      <c r="F2986" t="str">
        <f t="shared" si="525"/>
        <v>001</v>
      </c>
      <c r="G2986">
        <v>9</v>
      </c>
      <c r="H2986" t="str">
        <f t="shared" si="526"/>
        <v>22</v>
      </c>
      <c r="I2986" t="str">
        <f t="shared" si="520"/>
        <v>0</v>
      </c>
      <c r="J2986" t="str">
        <f t="shared" si="527"/>
        <v>22</v>
      </c>
      <c r="K2986">
        <v>20181012</v>
      </c>
      <c r="L2986" t="str">
        <f t="shared" si="528"/>
        <v>074244</v>
      </c>
      <c r="M2986" t="str">
        <f t="shared" si="529"/>
        <v>20683</v>
      </c>
      <c r="N2986" t="s">
        <v>1697</v>
      </c>
      <c r="O2986">
        <v>57.94</v>
      </c>
      <c r="P2986">
        <v>20181011</v>
      </c>
      <c r="Q2986" t="s">
        <v>2213</v>
      </c>
      <c r="R2986" t="s">
        <v>2217</v>
      </c>
      <c r="S2986" t="s">
        <v>1615</v>
      </c>
      <c r="T2986" t="s">
        <v>301</v>
      </c>
    </row>
    <row r="2987" spans="1:20" x14ac:dyDescent="0.25">
      <c r="A2987">
        <v>9</v>
      </c>
      <c r="B2987">
        <v>199</v>
      </c>
      <c r="C2987" t="str">
        <f t="shared" si="524"/>
        <v>11</v>
      </c>
      <c r="D2987">
        <v>6399</v>
      </c>
      <c r="E2987" t="str">
        <f>"V8"</f>
        <v>V8</v>
      </c>
      <c r="F2987" t="str">
        <f t="shared" si="525"/>
        <v>001</v>
      </c>
      <c r="G2987">
        <v>9</v>
      </c>
      <c r="H2987" t="str">
        <f t="shared" si="526"/>
        <v>22</v>
      </c>
      <c r="I2987" t="str">
        <f t="shared" si="520"/>
        <v>0</v>
      </c>
      <c r="J2987" t="str">
        <f t="shared" si="527"/>
        <v>22</v>
      </c>
      <c r="K2987">
        <v>20181012</v>
      </c>
      <c r="L2987" t="str">
        <f t="shared" si="528"/>
        <v>074244</v>
      </c>
      <c r="M2987" t="str">
        <f t="shared" si="529"/>
        <v>20683</v>
      </c>
      <c r="N2987" t="s">
        <v>1697</v>
      </c>
      <c r="O2987">
        <v>13.68</v>
      </c>
      <c r="P2987">
        <v>20181011</v>
      </c>
      <c r="Q2987" t="s">
        <v>2001</v>
      </c>
      <c r="R2987" t="s">
        <v>2214</v>
      </c>
      <c r="S2987" t="s">
        <v>1615</v>
      </c>
      <c r="T2987" t="s">
        <v>301</v>
      </c>
    </row>
    <row r="2988" spans="1:20" x14ac:dyDescent="0.25">
      <c r="A2988">
        <v>9</v>
      </c>
      <c r="B2988">
        <v>199</v>
      </c>
      <c r="C2988" t="str">
        <f t="shared" si="524"/>
        <v>11</v>
      </c>
      <c r="D2988">
        <v>6399</v>
      </c>
      <c r="E2988" t="str">
        <f>"V8"</f>
        <v>V8</v>
      </c>
      <c r="F2988" t="str">
        <f t="shared" si="525"/>
        <v>001</v>
      </c>
      <c r="G2988">
        <v>9</v>
      </c>
      <c r="H2988" t="str">
        <f t="shared" si="526"/>
        <v>22</v>
      </c>
      <c r="I2988" t="str">
        <f t="shared" si="520"/>
        <v>0</v>
      </c>
      <c r="J2988" t="str">
        <f t="shared" si="527"/>
        <v>22</v>
      </c>
      <c r="K2988">
        <v>20181012</v>
      </c>
      <c r="L2988" t="str">
        <f t="shared" si="528"/>
        <v>074244</v>
      </c>
      <c r="M2988" t="str">
        <f t="shared" si="529"/>
        <v>20683</v>
      </c>
      <c r="N2988" t="s">
        <v>1697</v>
      </c>
      <c r="O2988">
        <v>13.68</v>
      </c>
      <c r="P2988">
        <v>20181011</v>
      </c>
      <c r="Q2988" t="s">
        <v>2001</v>
      </c>
      <c r="R2988" t="s">
        <v>2215</v>
      </c>
      <c r="S2988" t="s">
        <v>1615</v>
      </c>
      <c r="T2988" t="s">
        <v>301</v>
      </c>
    </row>
    <row r="2989" spans="1:20" x14ac:dyDescent="0.25">
      <c r="A2989">
        <v>9</v>
      </c>
      <c r="B2989">
        <v>199</v>
      </c>
      <c r="C2989" t="str">
        <f t="shared" si="524"/>
        <v>11</v>
      </c>
      <c r="D2989">
        <v>6399</v>
      </c>
      <c r="E2989" t="str">
        <f>"V8"</f>
        <v>V8</v>
      </c>
      <c r="F2989" t="str">
        <f t="shared" si="525"/>
        <v>001</v>
      </c>
      <c r="G2989">
        <v>9</v>
      </c>
      <c r="H2989" t="str">
        <f t="shared" si="526"/>
        <v>22</v>
      </c>
      <c r="I2989" t="str">
        <f t="shared" si="520"/>
        <v>0</v>
      </c>
      <c r="J2989" t="str">
        <f t="shared" si="527"/>
        <v>22</v>
      </c>
      <c r="K2989">
        <v>20181012</v>
      </c>
      <c r="L2989" t="str">
        <f t="shared" si="528"/>
        <v>074244</v>
      </c>
      <c r="M2989" t="str">
        <f t="shared" si="529"/>
        <v>20683</v>
      </c>
      <c r="N2989" t="s">
        <v>1697</v>
      </c>
      <c r="O2989">
        <v>13.68</v>
      </c>
      <c r="P2989">
        <v>20181011</v>
      </c>
      <c r="Q2989" t="s">
        <v>2001</v>
      </c>
      <c r="R2989" t="s">
        <v>2216</v>
      </c>
      <c r="S2989" t="s">
        <v>1615</v>
      </c>
      <c r="T2989" t="s">
        <v>301</v>
      </c>
    </row>
    <row r="2990" spans="1:20" x14ac:dyDescent="0.25">
      <c r="A2990">
        <v>9</v>
      </c>
      <c r="B2990">
        <v>199</v>
      </c>
      <c r="C2990" t="str">
        <f t="shared" si="524"/>
        <v>11</v>
      </c>
      <c r="D2990">
        <v>6399</v>
      </c>
      <c r="E2990" t="str">
        <f>"V8"</f>
        <v>V8</v>
      </c>
      <c r="F2990" t="str">
        <f t="shared" si="525"/>
        <v>001</v>
      </c>
      <c r="G2990">
        <v>9</v>
      </c>
      <c r="H2990" t="str">
        <f t="shared" si="526"/>
        <v>22</v>
      </c>
      <c r="I2990" t="str">
        <f t="shared" si="520"/>
        <v>0</v>
      </c>
      <c r="J2990" t="str">
        <f t="shared" si="527"/>
        <v>22</v>
      </c>
      <c r="K2990">
        <v>20181012</v>
      </c>
      <c r="L2990" t="str">
        <f t="shared" si="528"/>
        <v>074244</v>
      </c>
      <c r="M2990" t="str">
        <f t="shared" si="529"/>
        <v>20683</v>
      </c>
      <c r="N2990" t="s">
        <v>1697</v>
      </c>
      <c r="O2990">
        <v>13.96</v>
      </c>
      <c r="P2990">
        <v>20181011</v>
      </c>
      <c r="Q2990" t="s">
        <v>2001</v>
      </c>
      <c r="R2990" t="s">
        <v>2217</v>
      </c>
      <c r="S2990" t="s">
        <v>1615</v>
      </c>
      <c r="T2990" t="s">
        <v>301</v>
      </c>
    </row>
    <row r="2991" spans="1:20" x14ac:dyDescent="0.25">
      <c r="A2991">
        <v>9</v>
      </c>
      <c r="B2991">
        <v>199</v>
      </c>
      <c r="C2991" t="str">
        <f>"31"</f>
        <v>31</v>
      </c>
      <c r="D2991">
        <v>6219</v>
      </c>
      <c r="E2991" t="str">
        <f>"00"</f>
        <v>00</v>
      </c>
      <c r="F2991" t="str">
        <f>"875"</f>
        <v>875</v>
      </c>
      <c r="G2991">
        <v>9</v>
      </c>
      <c r="H2991" t="str">
        <f>"23"</f>
        <v>23</v>
      </c>
      <c r="I2991" t="str">
        <f t="shared" si="520"/>
        <v>0</v>
      </c>
      <c r="J2991" t="str">
        <f>"23"</f>
        <v>23</v>
      </c>
      <c r="K2991">
        <v>20181012</v>
      </c>
      <c r="L2991" t="str">
        <f>"074245"</f>
        <v>074245</v>
      </c>
      <c r="M2991" t="str">
        <f>"21769"</f>
        <v>21769</v>
      </c>
      <c r="N2991" t="s">
        <v>1701</v>
      </c>
      <c r="O2991" s="1">
        <v>4080</v>
      </c>
      <c r="P2991">
        <v>20181011</v>
      </c>
      <c r="Q2991" t="s">
        <v>2207</v>
      </c>
      <c r="R2991" t="s">
        <v>2218</v>
      </c>
      <c r="S2991" t="s">
        <v>1615</v>
      </c>
      <c r="T2991" t="s">
        <v>2041</v>
      </c>
    </row>
    <row r="2992" spans="1:20" x14ac:dyDescent="0.25">
      <c r="A2992">
        <v>9</v>
      </c>
      <c r="B2992">
        <v>199</v>
      </c>
      <c r="C2992" t="str">
        <f>"13"</f>
        <v>13</v>
      </c>
      <c r="D2992">
        <v>6411</v>
      </c>
      <c r="E2992" t="str">
        <f>"PD"</f>
        <v>PD</v>
      </c>
      <c r="F2992" t="str">
        <f>"001"</f>
        <v>001</v>
      </c>
      <c r="G2992">
        <v>9</v>
      </c>
      <c r="H2992" t="str">
        <f>"31"</f>
        <v>31</v>
      </c>
      <c r="I2992" t="str">
        <f t="shared" si="520"/>
        <v>0</v>
      </c>
      <c r="J2992" t="str">
        <f>"34"</f>
        <v>34</v>
      </c>
      <c r="K2992">
        <v>20181012</v>
      </c>
      <c r="L2992" t="str">
        <f>"074249"</f>
        <v>074249</v>
      </c>
      <c r="M2992" t="str">
        <f>"26390"</f>
        <v>26390</v>
      </c>
      <c r="N2992" t="s">
        <v>2219</v>
      </c>
      <c r="O2992">
        <v>568.98</v>
      </c>
      <c r="P2992">
        <v>20181011</v>
      </c>
      <c r="Q2992" t="s">
        <v>2220</v>
      </c>
      <c r="R2992" t="s">
        <v>2221</v>
      </c>
      <c r="S2992" t="s">
        <v>1615</v>
      </c>
      <c r="T2992" t="s">
        <v>301</v>
      </c>
    </row>
    <row r="2993" spans="1:20" x14ac:dyDescent="0.25">
      <c r="A2993">
        <v>9</v>
      </c>
      <c r="B2993">
        <v>199</v>
      </c>
      <c r="C2993" t="str">
        <f>"13"</f>
        <v>13</v>
      </c>
      <c r="D2993">
        <v>6411</v>
      </c>
      <c r="E2993" t="str">
        <f>"8T"</f>
        <v>8T</v>
      </c>
      <c r="F2993" t="str">
        <f>"001"</f>
        <v>001</v>
      </c>
      <c r="G2993">
        <v>9</v>
      </c>
      <c r="H2993" t="str">
        <f>"11"</f>
        <v>11</v>
      </c>
      <c r="I2993" t="str">
        <f t="shared" si="520"/>
        <v>0</v>
      </c>
      <c r="J2993" t="str">
        <f>"01"</f>
        <v>01</v>
      </c>
      <c r="K2993">
        <v>20181012</v>
      </c>
      <c r="L2993" t="str">
        <f>"074251"</f>
        <v>074251</v>
      </c>
      <c r="M2993" t="str">
        <f>"28680"</f>
        <v>28680</v>
      </c>
      <c r="N2993" t="s">
        <v>482</v>
      </c>
      <c r="O2993">
        <v>98.42</v>
      </c>
      <c r="P2993">
        <v>20181011</v>
      </c>
      <c r="Q2993" t="s">
        <v>1720</v>
      </c>
      <c r="R2993" t="s">
        <v>1721</v>
      </c>
      <c r="S2993" t="s">
        <v>1615</v>
      </c>
      <c r="T2993" t="s">
        <v>301</v>
      </c>
    </row>
    <row r="2994" spans="1:20" x14ac:dyDescent="0.25">
      <c r="A2994">
        <v>9</v>
      </c>
      <c r="B2994">
        <v>199</v>
      </c>
      <c r="C2994" t="str">
        <f>"36"</f>
        <v>36</v>
      </c>
      <c r="D2994">
        <v>6412</v>
      </c>
      <c r="E2994" t="str">
        <f>"7C"</f>
        <v>7C</v>
      </c>
      <c r="F2994" t="str">
        <f>"001"</f>
        <v>001</v>
      </c>
      <c r="G2994">
        <v>9</v>
      </c>
      <c r="H2994" t="str">
        <f>"99"</f>
        <v>99</v>
      </c>
      <c r="I2994" t="str">
        <f>"1"</f>
        <v>1</v>
      </c>
      <c r="J2994" t="str">
        <f>"01"</f>
        <v>01</v>
      </c>
      <c r="K2994">
        <v>20181012</v>
      </c>
      <c r="L2994" t="str">
        <f>"074251"</f>
        <v>074251</v>
      </c>
      <c r="M2994" t="str">
        <f>"28680"</f>
        <v>28680</v>
      </c>
      <c r="N2994" t="s">
        <v>482</v>
      </c>
      <c r="O2994">
        <v>52</v>
      </c>
      <c r="P2994">
        <v>20181011</v>
      </c>
      <c r="Q2994" t="s">
        <v>2222</v>
      </c>
      <c r="R2994" t="s">
        <v>2076</v>
      </c>
      <c r="S2994" t="s">
        <v>1615</v>
      </c>
      <c r="T2994" t="s">
        <v>301</v>
      </c>
    </row>
    <row r="2995" spans="1:20" x14ac:dyDescent="0.25">
      <c r="A2995">
        <v>9</v>
      </c>
      <c r="B2995">
        <v>199</v>
      </c>
      <c r="C2995" t="str">
        <f>"36"</f>
        <v>36</v>
      </c>
      <c r="D2995">
        <v>6412</v>
      </c>
      <c r="E2995" t="str">
        <f>"7C"</f>
        <v>7C</v>
      </c>
      <c r="F2995" t="str">
        <f>"001"</f>
        <v>001</v>
      </c>
      <c r="G2995">
        <v>9</v>
      </c>
      <c r="H2995" t="str">
        <f>"99"</f>
        <v>99</v>
      </c>
      <c r="I2995" t="str">
        <f>"1"</f>
        <v>1</v>
      </c>
      <c r="J2995" t="str">
        <f>"01"</f>
        <v>01</v>
      </c>
      <c r="K2995">
        <v>20181012</v>
      </c>
      <c r="L2995" t="str">
        <f>"074251"</f>
        <v>074251</v>
      </c>
      <c r="M2995" t="str">
        <f>"28680"</f>
        <v>28680</v>
      </c>
      <c r="N2995" t="s">
        <v>482</v>
      </c>
      <c r="O2995">
        <v>52</v>
      </c>
      <c r="P2995">
        <v>20181011</v>
      </c>
      <c r="Q2995" t="s">
        <v>2222</v>
      </c>
      <c r="R2995" t="s">
        <v>2076</v>
      </c>
      <c r="S2995" t="s">
        <v>1615</v>
      </c>
      <c r="T2995" t="s">
        <v>301</v>
      </c>
    </row>
    <row r="2996" spans="1:20" x14ac:dyDescent="0.25">
      <c r="A2996">
        <v>9</v>
      </c>
      <c r="B2996">
        <v>199</v>
      </c>
      <c r="C2996" t="str">
        <f>"13"</f>
        <v>13</v>
      </c>
      <c r="D2996">
        <v>6411</v>
      </c>
      <c r="E2996" t="str">
        <f>"7K"</f>
        <v>7K</v>
      </c>
      <c r="F2996" t="str">
        <f>"041"</f>
        <v>041</v>
      </c>
      <c r="G2996">
        <v>9</v>
      </c>
      <c r="H2996" t="str">
        <f>"11"</f>
        <v>11</v>
      </c>
      <c r="I2996" t="str">
        <f>"0"</f>
        <v>0</v>
      </c>
      <c r="J2996" t="str">
        <f>"03"</f>
        <v>03</v>
      </c>
      <c r="K2996">
        <v>20181012</v>
      </c>
      <c r="L2996" t="str">
        <f>"074252"</f>
        <v>074252</v>
      </c>
      <c r="M2996" t="str">
        <f>"28733"</f>
        <v>28733</v>
      </c>
      <c r="N2996" t="s">
        <v>2223</v>
      </c>
      <c r="O2996">
        <v>71.16</v>
      </c>
      <c r="P2996">
        <v>20181011</v>
      </c>
      <c r="Q2996" t="s">
        <v>1832</v>
      </c>
      <c r="R2996" t="s">
        <v>1834</v>
      </c>
      <c r="S2996" t="s">
        <v>1615</v>
      </c>
      <c r="T2996" t="s">
        <v>106</v>
      </c>
    </row>
    <row r="2997" spans="1:20" x14ac:dyDescent="0.25">
      <c r="A2997">
        <v>9</v>
      </c>
      <c r="B2997">
        <v>199</v>
      </c>
      <c r="C2997" t="str">
        <f>"41"</f>
        <v>41</v>
      </c>
      <c r="D2997">
        <v>6499</v>
      </c>
      <c r="E2997" t="str">
        <f>"12"</f>
        <v>12</v>
      </c>
      <c r="F2997" t="str">
        <f>"720"</f>
        <v>720</v>
      </c>
      <c r="G2997">
        <v>9</v>
      </c>
      <c r="H2997" t="str">
        <f>"99"</f>
        <v>99</v>
      </c>
      <c r="I2997" t="str">
        <f>"0"</f>
        <v>0</v>
      </c>
      <c r="J2997" t="str">
        <f>"91"</f>
        <v>91</v>
      </c>
      <c r="K2997">
        <v>20181012</v>
      </c>
      <c r="L2997" t="str">
        <f>"074253"</f>
        <v>074253</v>
      </c>
      <c r="M2997" t="str">
        <f>"28820"</f>
        <v>28820</v>
      </c>
      <c r="N2997" t="s">
        <v>2224</v>
      </c>
      <c r="O2997">
        <v>93</v>
      </c>
      <c r="P2997">
        <v>20181011</v>
      </c>
      <c r="Q2997" t="s">
        <v>2225</v>
      </c>
      <c r="R2997" t="s">
        <v>2226</v>
      </c>
      <c r="S2997" t="s">
        <v>1615</v>
      </c>
      <c r="T2997" t="s">
        <v>2045</v>
      </c>
    </row>
    <row r="2998" spans="1:20" x14ac:dyDescent="0.25">
      <c r="A2998">
        <v>9</v>
      </c>
      <c r="B2998">
        <v>199</v>
      </c>
      <c r="C2998" t="str">
        <f>"41"</f>
        <v>41</v>
      </c>
      <c r="D2998">
        <v>6499</v>
      </c>
      <c r="E2998" t="str">
        <f>"12"</f>
        <v>12</v>
      </c>
      <c r="F2998" t="str">
        <f>"720"</f>
        <v>720</v>
      </c>
      <c r="G2998">
        <v>9</v>
      </c>
      <c r="H2998" t="str">
        <f>"99"</f>
        <v>99</v>
      </c>
      <c r="I2998" t="str">
        <f>"0"</f>
        <v>0</v>
      </c>
      <c r="J2998" t="str">
        <f>"91"</f>
        <v>91</v>
      </c>
      <c r="K2998">
        <v>20181012</v>
      </c>
      <c r="L2998" t="str">
        <f>"074253"</f>
        <v>074253</v>
      </c>
      <c r="M2998" t="str">
        <f>"28820"</f>
        <v>28820</v>
      </c>
      <c r="N2998" t="s">
        <v>2224</v>
      </c>
      <c r="O2998">
        <v>29.4</v>
      </c>
      <c r="P2998">
        <v>20181011</v>
      </c>
      <c r="Q2998" t="s">
        <v>2225</v>
      </c>
      <c r="R2998" t="s">
        <v>2227</v>
      </c>
      <c r="S2998" t="s">
        <v>1615</v>
      </c>
      <c r="T2998" t="s">
        <v>2045</v>
      </c>
    </row>
    <row r="2999" spans="1:20" x14ac:dyDescent="0.25">
      <c r="A2999">
        <v>9</v>
      </c>
      <c r="B2999">
        <v>199</v>
      </c>
      <c r="C2999" t="str">
        <f>"11"</f>
        <v>11</v>
      </c>
      <c r="D2999">
        <v>6399</v>
      </c>
      <c r="E2999" t="str">
        <f>"8U"</f>
        <v>8U</v>
      </c>
      <c r="F2999" t="str">
        <f>"041"</f>
        <v>041</v>
      </c>
      <c r="G2999">
        <v>9</v>
      </c>
      <c r="H2999" t="str">
        <f>"11"</f>
        <v>11</v>
      </c>
      <c r="I2999" t="str">
        <f>"0"</f>
        <v>0</v>
      </c>
      <c r="J2999" t="str">
        <f>"03"</f>
        <v>03</v>
      </c>
      <c r="K2999">
        <v>20181012</v>
      </c>
      <c r="L2999" t="str">
        <f>"074259"</f>
        <v>074259</v>
      </c>
      <c r="M2999" t="str">
        <f>"34680"</f>
        <v>34680</v>
      </c>
      <c r="N2999" t="s">
        <v>2228</v>
      </c>
      <c r="O2999">
        <v>31.69</v>
      </c>
      <c r="P2999">
        <v>20181011</v>
      </c>
      <c r="Q2999" t="s">
        <v>2229</v>
      </c>
      <c r="R2999" t="s">
        <v>2230</v>
      </c>
      <c r="S2999" t="s">
        <v>1615</v>
      </c>
      <c r="T2999" t="s">
        <v>106</v>
      </c>
    </row>
    <row r="3000" spans="1:20" x14ac:dyDescent="0.25">
      <c r="A3000">
        <v>9</v>
      </c>
      <c r="B3000">
        <v>199</v>
      </c>
      <c r="C3000" t="str">
        <f>"36"</f>
        <v>36</v>
      </c>
      <c r="D3000">
        <v>6412</v>
      </c>
      <c r="E3000" t="str">
        <f>"8S"</f>
        <v>8S</v>
      </c>
      <c r="F3000" t="str">
        <f t="shared" ref="F3000:F3009" si="530">"001"</f>
        <v>001</v>
      </c>
      <c r="G3000">
        <v>9</v>
      </c>
      <c r="H3000" t="str">
        <f>"99"</f>
        <v>99</v>
      </c>
      <c r="I3000" t="str">
        <f>"0"</f>
        <v>0</v>
      </c>
      <c r="J3000" t="str">
        <f>"01"</f>
        <v>01</v>
      </c>
      <c r="K3000">
        <v>20181012</v>
      </c>
      <c r="L3000" t="str">
        <f>"074261"</f>
        <v>074261</v>
      </c>
      <c r="M3000" t="str">
        <f>"34949"</f>
        <v>34949</v>
      </c>
      <c r="N3000" t="s">
        <v>423</v>
      </c>
      <c r="O3000" s="1">
        <v>1554</v>
      </c>
      <c r="P3000">
        <v>20181011</v>
      </c>
      <c r="Q3000" t="s">
        <v>1625</v>
      </c>
      <c r="R3000" t="s">
        <v>2231</v>
      </c>
      <c r="S3000" t="s">
        <v>1615</v>
      </c>
      <c r="T3000" t="s">
        <v>301</v>
      </c>
    </row>
    <row r="3001" spans="1:20" x14ac:dyDescent="0.25">
      <c r="A3001">
        <v>9</v>
      </c>
      <c r="B3001">
        <v>199</v>
      </c>
      <c r="C3001" t="str">
        <f>"36"</f>
        <v>36</v>
      </c>
      <c r="D3001">
        <v>6411</v>
      </c>
      <c r="E3001" t="str">
        <f>"7C"</f>
        <v>7C</v>
      </c>
      <c r="F3001" t="str">
        <f t="shared" si="530"/>
        <v>001</v>
      </c>
      <c r="G3001">
        <v>9</v>
      </c>
      <c r="H3001" t="str">
        <f>"99"</f>
        <v>99</v>
      </c>
      <c r="I3001" t="str">
        <f>"1"</f>
        <v>1</v>
      </c>
      <c r="J3001" t="str">
        <f>"01"</f>
        <v>01</v>
      </c>
      <c r="K3001">
        <v>20181012</v>
      </c>
      <c r="L3001" t="str">
        <f>"074262"</f>
        <v>074262</v>
      </c>
      <c r="M3001" t="str">
        <f>"34670"</f>
        <v>34670</v>
      </c>
      <c r="N3001" t="s">
        <v>1731</v>
      </c>
      <c r="O3001">
        <v>8.33</v>
      </c>
      <c r="P3001">
        <v>20181011</v>
      </c>
      <c r="Q3001" t="s">
        <v>1732</v>
      </c>
      <c r="R3001" t="s">
        <v>2232</v>
      </c>
      <c r="S3001" t="s">
        <v>1615</v>
      </c>
      <c r="T3001" t="s">
        <v>301</v>
      </c>
    </row>
    <row r="3002" spans="1:20" x14ac:dyDescent="0.25">
      <c r="A3002">
        <v>9</v>
      </c>
      <c r="B3002">
        <v>199</v>
      </c>
      <c r="C3002" t="str">
        <f>"36"</f>
        <v>36</v>
      </c>
      <c r="D3002">
        <v>6412</v>
      </c>
      <c r="E3002" t="str">
        <f>"7C"</f>
        <v>7C</v>
      </c>
      <c r="F3002" t="str">
        <f t="shared" si="530"/>
        <v>001</v>
      </c>
      <c r="G3002">
        <v>9</v>
      </c>
      <c r="H3002" t="str">
        <f>"99"</f>
        <v>99</v>
      </c>
      <c r="I3002" t="str">
        <f t="shared" ref="I3002:I3030" si="531">"0"</f>
        <v>0</v>
      </c>
      <c r="J3002" t="str">
        <f>"01"</f>
        <v>01</v>
      </c>
      <c r="K3002">
        <v>20181012</v>
      </c>
      <c r="L3002" t="str">
        <f>"074262"</f>
        <v>074262</v>
      </c>
      <c r="M3002" t="str">
        <f>"34670"</f>
        <v>34670</v>
      </c>
      <c r="N3002" t="s">
        <v>1731</v>
      </c>
      <c r="O3002">
        <v>70</v>
      </c>
      <c r="P3002">
        <v>20181011</v>
      </c>
      <c r="Q3002" t="s">
        <v>1734</v>
      </c>
      <c r="R3002" t="s">
        <v>2232</v>
      </c>
      <c r="S3002" t="s">
        <v>1615</v>
      </c>
      <c r="T3002" t="s">
        <v>301</v>
      </c>
    </row>
    <row r="3003" spans="1:20" x14ac:dyDescent="0.25">
      <c r="A3003">
        <v>9</v>
      </c>
      <c r="B3003">
        <v>199</v>
      </c>
      <c r="C3003" t="str">
        <f t="shared" ref="C3003:C3010" si="532">"11"</f>
        <v>11</v>
      </c>
      <c r="D3003">
        <v>6249</v>
      </c>
      <c r="E3003" t="str">
        <f t="shared" ref="E3003:E3010" si="533">"7B"</f>
        <v>7B</v>
      </c>
      <c r="F3003" t="str">
        <f t="shared" si="530"/>
        <v>001</v>
      </c>
      <c r="G3003">
        <v>9</v>
      </c>
      <c r="H3003" t="str">
        <f t="shared" ref="H3003:H3010" si="534">"11"</f>
        <v>11</v>
      </c>
      <c r="I3003" t="str">
        <f t="shared" si="531"/>
        <v>0</v>
      </c>
      <c r="J3003" t="str">
        <f t="shared" ref="J3003:J3009" si="535">"32"</f>
        <v>32</v>
      </c>
      <c r="K3003">
        <v>20181012</v>
      </c>
      <c r="L3003" t="str">
        <f t="shared" ref="L3003:L3010" si="536">"074265"</f>
        <v>074265</v>
      </c>
      <c r="M3003" t="str">
        <f t="shared" ref="M3003:M3010" si="537">"39572"</f>
        <v>39572</v>
      </c>
      <c r="N3003" t="s">
        <v>2233</v>
      </c>
      <c r="O3003">
        <v>45</v>
      </c>
      <c r="P3003">
        <v>20181011</v>
      </c>
      <c r="Q3003" t="s">
        <v>2234</v>
      </c>
      <c r="R3003" t="s">
        <v>2235</v>
      </c>
      <c r="S3003" t="s">
        <v>1615</v>
      </c>
      <c r="T3003" t="s">
        <v>301</v>
      </c>
    </row>
    <row r="3004" spans="1:20" x14ac:dyDescent="0.25">
      <c r="A3004">
        <v>9</v>
      </c>
      <c r="B3004">
        <v>199</v>
      </c>
      <c r="C3004" t="str">
        <f t="shared" si="532"/>
        <v>11</v>
      </c>
      <c r="D3004">
        <v>6249</v>
      </c>
      <c r="E3004" t="str">
        <f t="shared" si="533"/>
        <v>7B</v>
      </c>
      <c r="F3004" t="str">
        <f t="shared" si="530"/>
        <v>001</v>
      </c>
      <c r="G3004">
        <v>9</v>
      </c>
      <c r="H3004" t="str">
        <f t="shared" si="534"/>
        <v>11</v>
      </c>
      <c r="I3004" t="str">
        <f t="shared" si="531"/>
        <v>0</v>
      </c>
      <c r="J3004" t="str">
        <f t="shared" si="535"/>
        <v>32</v>
      </c>
      <c r="K3004">
        <v>20181012</v>
      </c>
      <c r="L3004" t="str">
        <f t="shared" si="536"/>
        <v>074265</v>
      </c>
      <c r="M3004" t="str">
        <f t="shared" si="537"/>
        <v>39572</v>
      </c>
      <c r="N3004" t="s">
        <v>2233</v>
      </c>
      <c r="O3004">
        <v>55</v>
      </c>
      <c r="P3004">
        <v>20181011</v>
      </c>
      <c r="Q3004" t="s">
        <v>2234</v>
      </c>
      <c r="R3004" t="s">
        <v>2236</v>
      </c>
      <c r="S3004" t="s">
        <v>1615</v>
      </c>
      <c r="T3004" t="s">
        <v>301</v>
      </c>
    </row>
    <row r="3005" spans="1:20" x14ac:dyDescent="0.25">
      <c r="A3005">
        <v>9</v>
      </c>
      <c r="B3005">
        <v>199</v>
      </c>
      <c r="C3005" t="str">
        <f t="shared" si="532"/>
        <v>11</v>
      </c>
      <c r="D3005">
        <v>6249</v>
      </c>
      <c r="E3005" t="str">
        <f t="shared" si="533"/>
        <v>7B</v>
      </c>
      <c r="F3005" t="str">
        <f t="shared" si="530"/>
        <v>001</v>
      </c>
      <c r="G3005">
        <v>9</v>
      </c>
      <c r="H3005" t="str">
        <f t="shared" si="534"/>
        <v>11</v>
      </c>
      <c r="I3005" t="str">
        <f t="shared" si="531"/>
        <v>0</v>
      </c>
      <c r="J3005" t="str">
        <f t="shared" si="535"/>
        <v>32</v>
      </c>
      <c r="K3005">
        <v>20181012</v>
      </c>
      <c r="L3005" t="str">
        <f t="shared" si="536"/>
        <v>074265</v>
      </c>
      <c r="M3005" t="str">
        <f t="shared" si="537"/>
        <v>39572</v>
      </c>
      <c r="N3005" t="s">
        <v>2233</v>
      </c>
      <c r="O3005">
        <v>45</v>
      </c>
      <c r="P3005">
        <v>20181011</v>
      </c>
      <c r="Q3005" t="s">
        <v>2234</v>
      </c>
      <c r="R3005" t="s">
        <v>2237</v>
      </c>
      <c r="S3005" t="s">
        <v>1615</v>
      </c>
      <c r="T3005" t="s">
        <v>301</v>
      </c>
    </row>
    <row r="3006" spans="1:20" x14ac:dyDescent="0.25">
      <c r="A3006">
        <v>9</v>
      </c>
      <c r="B3006">
        <v>199</v>
      </c>
      <c r="C3006" t="str">
        <f t="shared" si="532"/>
        <v>11</v>
      </c>
      <c r="D3006">
        <v>6249</v>
      </c>
      <c r="E3006" t="str">
        <f t="shared" si="533"/>
        <v>7B</v>
      </c>
      <c r="F3006" t="str">
        <f t="shared" si="530"/>
        <v>001</v>
      </c>
      <c r="G3006">
        <v>9</v>
      </c>
      <c r="H3006" t="str">
        <f t="shared" si="534"/>
        <v>11</v>
      </c>
      <c r="I3006" t="str">
        <f t="shared" si="531"/>
        <v>0</v>
      </c>
      <c r="J3006" t="str">
        <f t="shared" si="535"/>
        <v>32</v>
      </c>
      <c r="K3006">
        <v>20181012</v>
      </c>
      <c r="L3006" t="str">
        <f t="shared" si="536"/>
        <v>074265</v>
      </c>
      <c r="M3006" t="str">
        <f t="shared" si="537"/>
        <v>39572</v>
      </c>
      <c r="N3006" t="s">
        <v>2233</v>
      </c>
      <c r="O3006">
        <v>85</v>
      </c>
      <c r="P3006">
        <v>20181011</v>
      </c>
      <c r="Q3006" t="s">
        <v>2234</v>
      </c>
      <c r="R3006" t="s">
        <v>2238</v>
      </c>
      <c r="S3006" t="s">
        <v>1615</v>
      </c>
      <c r="T3006" t="s">
        <v>301</v>
      </c>
    </row>
    <row r="3007" spans="1:20" x14ac:dyDescent="0.25">
      <c r="A3007">
        <v>9</v>
      </c>
      <c r="B3007">
        <v>199</v>
      </c>
      <c r="C3007" t="str">
        <f t="shared" si="532"/>
        <v>11</v>
      </c>
      <c r="D3007">
        <v>6399</v>
      </c>
      <c r="E3007" t="str">
        <f t="shared" si="533"/>
        <v>7B</v>
      </c>
      <c r="F3007" t="str">
        <f t="shared" si="530"/>
        <v>001</v>
      </c>
      <c r="G3007">
        <v>9</v>
      </c>
      <c r="H3007" t="str">
        <f t="shared" si="534"/>
        <v>11</v>
      </c>
      <c r="I3007" t="str">
        <f t="shared" si="531"/>
        <v>0</v>
      </c>
      <c r="J3007" t="str">
        <f t="shared" si="535"/>
        <v>32</v>
      </c>
      <c r="K3007">
        <v>20181012</v>
      </c>
      <c r="L3007" t="str">
        <f t="shared" si="536"/>
        <v>074265</v>
      </c>
      <c r="M3007" t="str">
        <f t="shared" si="537"/>
        <v>39572</v>
      </c>
      <c r="N3007" t="s">
        <v>2233</v>
      </c>
      <c r="O3007">
        <v>300</v>
      </c>
      <c r="P3007">
        <v>20181011</v>
      </c>
      <c r="Q3007" t="s">
        <v>2239</v>
      </c>
      <c r="R3007" t="s">
        <v>2240</v>
      </c>
      <c r="S3007" t="s">
        <v>1615</v>
      </c>
      <c r="T3007" t="s">
        <v>301</v>
      </c>
    </row>
    <row r="3008" spans="1:20" x14ac:dyDescent="0.25">
      <c r="A3008">
        <v>9</v>
      </c>
      <c r="B3008">
        <v>199</v>
      </c>
      <c r="C3008" t="str">
        <f t="shared" si="532"/>
        <v>11</v>
      </c>
      <c r="D3008">
        <v>6399</v>
      </c>
      <c r="E3008" t="str">
        <f t="shared" si="533"/>
        <v>7B</v>
      </c>
      <c r="F3008" t="str">
        <f t="shared" si="530"/>
        <v>001</v>
      </c>
      <c r="G3008">
        <v>9</v>
      </c>
      <c r="H3008" t="str">
        <f t="shared" si="534"/>
        <v>11</v>
      </c>
      <c r="I3008" t="str">
        <f t="shared" si="531"/>
        <v>0</v>
      </c>
      <c r="J3008" t="str">
        <f t="shared" si="535"/>
        <v>32</v>
      </c>
      <c r="K3008">
        <v>20181012</v>
      </c>
      <c r="L3008" t="str">
        <f t="shared" si="536"/>
        <v>074265</v>
      </c>
      <c r="M3008" t="str">
        <f t="shared" si="537"/>
        <v>39572</v>
      </c>
      <c r="N3008" t="s">
        <v>2233</v>
      </c>
      <c r="O3008">
        <v>18.95</v>
      </c>
      <c r="P3008">
        <v>20181011</v>
      </c>
      <c r="Q3008" t="s">
        <v>2239</v>
      </c>
      <c r="R3008" t="s">
        <v>2241</v>
      </c>
      <c r="S3008" t="s">
        <v>1615</v>
      </c>
      <c r="T3008" t="s">
        <v>301</v>
      </c>
    </row>
    <row r="3009" spans="1:20" x14ac:dyDescent="0.25">
      <c r="A3009">
        <v>9</v>
      </c>
      <c r="B3009">
        <v>199</v>
      </c>
      <c r="C3009" t="str">
        <f t="shared" si="532"/>
        <v>11</v>
      </c>
      <c r="D3009">
        <v>6399</v>
      </c>
      <c r="E3009" t="str">
        <f t="shared" si="533"/>
        <v>7B</v>
      </c>
      <c r="F3009" t="str">
        <f t="shared" si="530"/>
        <v>001</v>
      </c>
      <c r="G3009">
        <v>9</v>
      </c>
      <c r="H3009" t="str">
        <f t="shared" si="534"/>
        <v>11</v>
      </c>
      <c r="I3009" t="str">
        <f t="shared" si="531"/>
        <v>0</v>
      </c>
      <c r="J3009" t="str">
        <f t="shared" si="535"/>
        <v>32</v>
      </c>
      <c r="K3009">
        <v>20181012</v>
      </c>
      <c r="L3009" t="str">
        <f t="shared" si="536"/>
        <v>074265</v>
      </c>
      <c r="M3009" t="str">
        <f t="shared" si="537"/>
        <v>39572</v>
      </c>
      <c r="N3009" t="s">
        <v>2233</v>
      </c>
      <c r="O3009">
        <v>32.799999999999997</v>
      </c>
      <c r="P3009">
        <v>20181011</v>
      </c>
      <c r="Q3009" t="s">
        <v>2239</v>
      </c>
      <c r="R3009" t="s">
        <v>2242</v>
      </c>
      <c r="S3009" t="s">
        <v>1615</v>
      </c>
      <c r="T3009" t="s">
        <v>301</v>
      </c>
    </row>
    <row r="3010" spans="1:20" x14ac:dyDescent="0.25">
      <c r="A3010">
        <v>9</v>
      </c>
      <c r="B3010">
        <v>199</v>
      </c>
      <c r="C3010" t="str">
        <f t="shared" si="532"/>
        <v>11</v>
      </c>
      <c r="D3010">
        <v>6649</v>
      </c>
      <c r="E3010" t="str">
        <f t="shared" si="533"/>
        <v>7B</v>
      </c>
      <c r="F3010" t="str">
        <f>"041"</f>
        <v>041</v>
      </c>
      <c r="G3010">
        <v>9</v>
      </c>
      <c r="H3010" t="str">
        <f t="shared" si="534"/>
        <v>11</v>
      </c>
      <c r="I3010" t="str">
        <f t="shared" si="531"/>
        <v>0</v>
      </c>
      <c r="J3010" t="str">
        <f>"36"</f>
        <v>36</v>
      </c>
      <c r="K3010">
        <v>20181012</v>
      </c>
      <c r="L3010" t="str">
        <f t="shared" si="536"/>
        <v>074265</v>
      </c>
      <c r="M3010" t="str">
        <f t="shared" si="537"/>
        <v>39572</v>
      </c>
      <c r="N3010" t="s">
        <v>2233</v>
      </c>
      <c r="O3010" s="1">
        <v>2799</v>
      </c>
      <c r="P3010">
        <v>20181011</v>
      </c>
      <c r="Q3010" t="s">
        <v>2243</v>
      </c>
      <c r="R3010" t="s">
        <v>2244</v>
      </c>
      <c r="S3010" t="s">
        <v>1615</v>
      </c>
      <c r="T3010" t="s">
        <v>106</v>
      </c>
    </row>
    <row r="3011" spans="1:20" x14ac:dyDescent="0.25">
      <c r="A3011">
        <v>9</v>
      </c>
      <c r="B3011">
        <v>199</v>
      </c>
      <c r="C3011" t="str">
        <f>"51"</f>
        <v>51</v>
      </c>
      <c r="D3011">
        <v>6319</v>
      </c>
      <c r="E3011" t="str">
        <f>"M3"</f>
        <v>M3</v>
      </c>
      <c r="F3011" t="str">
        <f>"936"</f>
        <v>936</v>
      </c>
      <c r="G3011">
        <v>9</v>
      </c>
      <c r="H3011" t="str">
        <f>"99"</f>
        <v>99</v>
      </c>
      <c r="I3011" t="str">
        <f t="shared" si="531"/>
        <v>0</v>
      </c>
      <c r="J3011" t="str">
        <f>"81"</f>
        <v>81</v>
      </c>
      <c r="K3011">
        <v>20181012</v>
      </c>
      <c r="L3011" t="str">
        <f>"074266"</f>
        <v>074266</v>
      </c>
      <c r="M3011" t="str">
        <f>"00125"</f>
        <v>00125</v>
      </c>
      <c r="N3011" t="s">
        <v>2245</v>
      </c>
      <c r="O3011" s="1">
        <v>3766.51</v>
      </c>
      <c r="P3011">
        <v>20181011</v>
      </c>
      <c r="Q3011" t="s">
        <v>2246</v>
      </c>
      <c r="R3011" t="s">
        <v>2247</v>
      </c>
      <c r="S3011" t="s">
        <v>1615</v>
      </c>
      <c r="T3011" t="s">
        <v>1713</v>
      </c>
    </row>
    <row r="3012" spans="1:20" x14ac:dyDescent="0.25">
      <c r="A3012">
        <v>9</v>
      </c>
      <c r="B3012">
        <v>199</v>
      </c>
      <c r="C3012" t="str">
        <f>"51"</f>
        <v>51</v>
      </c>
      <c r="D3012">
        <v>6319</v>
      </c>
      <c r="E3012" t="str">
        <f>"M3"</f>
        <v>M3</v>
      </c>
      <c r="F3012" t="str">
        <f>"936"</f>
        <v>936</v>
      </c>
      <c r="G3012">
        <v>9</v>
      </c>
      <c r="H3012" t="str">
        <f>"99"</f>
        <v>99</v>
      </c>
      <c r="I3012" t="str">
        <f t="shared" si="531"/>
        <v>0</v>
      </c>
      <c r="J3012" t="str">
        <f>"81"</f>
        <v>81</v>
      </c>
      <c r="K3012">
        <v>20181012</v>
      </c>
      <c r="L3012" t="str">
        <f>"074266"</f>
        <v>074266</v>
      </c>
      <c r="M3012" t="str">
        <f>"00125"</f>
        <v>00125</v>
      </c>
      <c r="N3012" t="s">
        <v>2245</v>
      </c>
      <c r="O3012" s="1">
        <v>7252.99</v>
      </c>
      <c r="P3012">
        <v>20181011</v>
      </c>
      <c r="Q3012" t="s">
        <v>2246</v>
      </c>
      <c r="R3012" t="s">
        <v>2248</v>
      </c>
      <c r="S3012" t="s">
        <v>1615</v>
      </c>
      <c r="T3012" t="s">
        <v>1713</v>
      </c>
    </row>
    <row r="3013" spans="1:20" x14ac:dyDescent="0.25">
      <c r="A3013">
        <v>9</v>
      </c>
      <c r="B3013">
        <v>199</v>
      </c>
      <c r="C3013" t="str">
        <f>"51"</f>
        <v>51</v>
      </c>
      <c r="D3013">
        <v>6319</v>
      </c>
      <c r="E3013" t="str">
        <f>"M3"</f>
        <v>M3</v>
      </c>
      <c r="F3013" t="str">
        <f>"936"</f>
        <v>936</v>
      </c>
      <c r="G3013">
        <v>9</v>
      </c>
      <c r="H3013" t="str">
        <f>"99"</f>
        <v>99</v>
      </c>
      <c r="I3013" t="str">
        <f t="shared" si="531"/>
        <v>0</v>
      </c>
      <c r="J3013" t="str">
        <f>"81"</f>
        <v>81</v>
      </c>
      <c r="K3013">
        <v>20181012</v>
      </c>
      <c r="L3013" t="str">
        <f>"074266"</f>
        <v>074266</v>
      </c>
      <c r="M3013" t="str">
        <f>"00125"</f>
        <v>00125</v>
      </c>
      <c r="N3013" t="s">
        <v>2245</v>
      </c>
      <c r="O3013" s="1">
        <v>4887.68</v>
      </c>
      <c r="P3013">
        <v>20181011</v>
      </c>
      <c r="Q3013" t="s">
        <v>2246</v>
      </c>
      <c r="R3013" t="s">
        <v>2249</v>
      </c>
      <c r="S3013" t="s">
        <v>1615</v>
      </c>
      <c r="T3013" t="s">
        <v>1713</v>
      </c>
    </row>
    <row r="3014" spans="1:20" x14ac:dyDescent="0.25">
      <c r="A3014">
        <v>9</v>
      </c>
      <c r="B3014">
        <v>199</v>
      </c>
      <c r="C3014" t="str">
        <f>"51"</f>
        <v>51</v>
      </c>
      <c r="D3014">
        <v>6319</v>
      </c>
      <c r="E3014" t="str">
        <f>"M3"</f>
        <v>M3</v>
      </c>
      <c r="F3014" t="str">
        <f>"936"</f>
        <v>936</v>
      </c>
      <c r="G3014">
        <v>9</v>
      </c>
      <c r="H3014" t="str">
        <f>"99"</f>
        <v>99</v>
      </c>
      <c r="I3014" t="str">
        <f t="shared" si="531"/>
        <v>0</v>
      </c>
      <c r="J3014" t="str">
        <f>"81"</f>
        <v>81</v>
      </c>
      <c r="K3014">
        <v>20181012</v>
      </c>
      <c r="L3014" t="str">
        <f>"074266"</f>
        <v>074266</v>
      </c>
      <c r="M3014" t="str">
        <f>"00125"</f>
        <v>00125</v>
      </c>
      <c r="N3014" t="s">
        <v>2245</v>
      </c>
      <c r="O3014">
        <v>559.52</v>
      </c>
      <c r="P3014">
        <v>20181011</v>
      </c>
      <c r="Q3014" t="s">
        <v>2246</v>
      </c>
      <c r="R3014" t="s">
        <v>2250</v>
      </c>
      <c r="S3014" t="s">
        <v>1615</v>
      </c>
      <c r="T3014" t="s">
        <v>1713</v>
      </c>
    </row>
    <row r="3015" spans="1:20" x14ac:dyDescent="0.25">
      <c r="A3015">
        <v>9</v>
      </c>
      <c r="B3015">
        <v>199</v>
      </c>
      <c r="C3015" t="str">
        <f t="shared" ref="C3015:C3028" si="538">"11"</f>
        <v>11</v>
      </c>
      <c r="D3015">
        <v>6399</v>
      </c>
      <c r="E3015" t="str">
        <f t="shared" ref="E3015:E3026" si="539">"7K"</f>
        <v>7K</v>
      </c>
      <c r="F3015" t="str">
        <f t="shared" ref="F3015:F3028" si="540">"001"</f>
        <v>001</v>
      </c>
      <c r="G3015">
        <v>9</v>
      </c>
      <c r="H3015" t="str">
        <f t="shared" ref="H3015:H3028" si="541">"11"</f>
        <v>11</v>
      </c>
      <c r="I3015" t="str">
        <f t="shared" si="531"/>
        <v>0</v>
      </c>
      <c r="J3015" t="str">
        <f t="shared" ref="J3015:J3028" si="542">"01"</f>
        <v>01</v>
      </c>
      <c r="K3015">
        <v>20181012</v>
      </c>
      <c r="L3015" t="str">
        <f t="shared" ref="L3015:L3030" si="543">"074267"</f>
        <v>074267</v>
      </c>
      <c r="M3015" t="str">
        <f t="shared" ref="M3015:M3030" si="544">"41230"</f>
        <v>41230</v>
      </c>
      <c r="N3015" t="s">
        <v>1350</v>
      </c>
      <c r="O3015">
        <v>122.84</v>
      </c>
      <c r="P3015">
        <v>20181011</v>
      </c>
      <c r="Q3015" t="s">
        <v>1671</v>
      </c>
      <c r="R3015" t="s">
        <v>1651</v>
      </c>
      <c r="S3015" t="s">
        <v>1615</v>
      </c>
      <c r="T3015" t="s">
        <v>301</v>
      </c>
    </row>
    <row r="3016" spans="1:20" x14ac:dyDescent="0.25">
      <c r="A3016">
        <v>9</v>
      </c>
      <c r="B3016">
        <v>199</v>
      </c>
      <c r="C3016" t="str">
        <f t="shared" si="538"/>
        <v>11</v>
      </c>
      <c r="D3016">
        <v>6399</v>
      </c>
      <c r="E3016" t="str">
        <f t="shared" si="539"/>
        <v>7K</v>
      </c>
      <c r="F3016" t="str">
        <f t="shared" si="540"/>
        <v>001</v>
      </c>
      <c r="G3016">
        <v>9</v>
      </c>
      <c r="H3016" t="str">
        <f t="shared" si="541"/>
        <v>11</v>
      </c>
      <c r="I3016" t="str">
        <f t="shared" si="531"/>
        <v>0</v>
      </c>
      <c r="J3016" t="str">
        <f t="shared" si="542"/>
        <v>01</v>
      </c>
      <c r="K3016">
        <v>20181012</v>
      </c>
      <c r="L3016" t="str">
        <f t="shared" si="543"/>
        <v>074267</v>
      </c>
      <c r="M3016" t="str">
        <f t="shared" si="544"/>
        <v>41230</v>
      </c>
      <c r="N3016" t="s">
        <v>1350</v>
      </c>
      <c r="O3016">
        <v>714.44</v>
      </c>
      <c r="P3016">
        <v>20181011</v>
      </c>
      <c r="Q3016" t="s">
        <v>1671</v>
      </c>
      <c r="R3016" t="s">
        <v>1651</v>
      </c>
      <c r="S3016" t="s">
        <v>1615</v>
      </c>
      <c r="T3016" t="s">
        <v>301</v>
      </c>
    </row>
    <row r="3017" spans="1:20" x14ac:dyDescent="0.25">
      <c r="A3017">
        <v>9</v>
      </c>
      <c r="B3017">
        <v>199</v>
      </c>
      <c r="C3017" t="str">
        <f t="shared" si="538"/>
        <v>11</v>
      </c>
      <c r="D3017">
        <v>6399</v>
      </c>
      <c r="E3017" t="str">
        <f t="shared" si="539"/>
        <v>7K</v>
      </c>
      <c r="F3017" t="str">
        <f t="shared" si="540"/>
        <v>001</v>
      </c>
      <c r="G3017">
        <v>9</v>
      </c>
      <c r="H3017" t="str">
        <f t="shared" si="541"/>
        <v>11</v>
      </c>
      <c r="I3017" t="str">
        <f t="shared" si="531"/>
        <v>0</v>
      </c>
      <c r="J3017" t="str">
        <f t="shared" si="542"/>
        <v>01</v>
      </c>
      <c r="K3017">
        <v>20181012</v>
      </c>
      <c r="L3017" t="str">
        <f t="shared" si="543"/>
        <v>074267</v>
      </c>
      <c r="M3017" t="str">
        <f t="shared" si="544"/>
        <v>41230</v>
      </c>
      <c r="N3017" t="s">
        <v>1350</v>
      </c>
      <c r="O3017">
        <v>78.41</v>
      </c>
      <c r="P3017">
        <v>20181011</v>
      </c>
      <c r="Q3017" t="s">
        <v>1671</v>
      </c>
      <c r="R3017" t="s">
        <v>1651</v>
      </c>
      <c r="S3017" t="s">
        <v>1615</v>
      </c>
      <c r="T3017" t="s">
        <v>301</v>
      </c>
    </row>
    <row r="3018" spans="1:20" x14ac:dyDescent="0.25">
      <c r="A3018">
        <v>9</v>
      </c>
      <c r="B3018">
        <v>199</v>
      </c>
      <c r="C3018" t="str">
        <f t="shared" si="538"/>
        <v>11</v>
      </c>
      <c r="D3018">
        <v>6399</v>
      </c>
      <c r="E3018" t="str">
        <f t="shared" si="539"/>
        <v>7K</v>
      </c>
      <c r="F3018" t="str">
        <f t="shared" si="540"/>
        <v>001</v>
      </c>
      <c r="G3018">
        <v>9</v>
      </c>
      <c r="H3018" t="str">
        <f t="shared" si="541"/>
        <v>11</v>
      </c>
      <c r="I3018" t="str">
        <f t="shared" si="531"/>
        <v>0</v>
      </c>
      <c r="J3018" t="str">
        <f t="shared" si="542"/>
        <v>01</v>
      </c>
      <c r="K3018">
        <v>20181012</v>
      </c>
      <c r="L3018" t="str">
        <f t="shared" si="543"/>
        <v>074267</v>
      </c>
      <c r="M3018" t="str">
        <f t="shared" si="544"/>
        <v>41230</v>
      </c>
      <c r="N3018" t="s">
        <v>1350</v>
      </c>
      <c r="O3018">
        <v>20.41</v>
      </c>
      <c r="P3018">
        <v>20181011</v>
      </c>
      <c r="Q3018" t="s">
        <v>1671</v>
      </c>
      <c r="R3018" t="s">
        <v>1651</v>
      </c>
      <c r="S3018" t="s">
        <v>1615</v>
      </c>
      <c r="T3018" t="s">
        <v>301</v>
      </c>
    </row>
    <row r="3019" spans="1:20" x14ac:dyDescent="0.25">
      <c r="A3019">
        <v>9</v>
      </c>
      <c r="B3019">
        <v>199</v>
      </c>
      <c r="C3019" t="str">
        <f t="shared" si="538"/>
        <v>11</v>
      </c>
      <c r="D3019">
        <v>6399</v>
      </c>
      <c r="E3019" t="str">
        <f t="shared" si="539"/>
        <v>7K</v>
      </c>
      <c r="F3019" t="str">
        <f t="shared" si="540"/>
        <v>001</v>
      </c>
      <c r="G3019">
        <v>9</v>
      </c>
      <c r="H3019" t="str">
        <f t="shared" si="541"/>
        <v>11</v>
      </c>
      <c r="I3019" t="str">
        <f t="shared" si="531"/>
        <v>0</v>
      </c>
      <c r="J3019" t="str">
        <f t="shared" si="542"/>
        <v>01</v>
      </c>
      <c r="K3019">
        <v>20181012</v>
      </c>
      <c r="L3019" t="str">
        <f t="shared" si="543"/>
        <v>074267</v>
      </c>
      <c r="M3019" t="str">
        <f t="shared" si="544"/>
        <v>41230</v>
      </c>
      <c r="N3019" t="s">
        <v>1350</v>
      </c>
      <c r="O3019">
        <v>63.89</v>
      </c>
      <c r="P3019">
        <v>20181011</v>
      </c>
      <c r="Q3019" t="s">
        <v>1671</v>
      </c>
      <c r="R3019" t="s">
        <v>1651</v>
      </c>
      <c r="S3019" t="s">
        <v>1615</v>
      </c>
      <c r="T3019" t="s">
        <v>301</v>
      </c>
    </row>
    <row r="3020" spans="1:20" x14ac:dyDescent="0.25">
      <c r="A3020">
        <v>9</v>
      </c>
      <c r="B3020">
        <v>199</v>
      </c>
      <c r="C3020" t="str">
        <f t="shared" si="538"/>
        <v>11</v>
      </c>
      <c r="D3020">
        <v>6399</v>
      </c>
      <c r="E3020" t="str">
        <f t="shared" si="539"/>
        <v>7K</v>
      </c>
      <c r="F3020" t="str">
        <f t="shared" si="540"/>
        <v>001</v>
      </c>
      <c r="G3020">
        <v>9</v>
      </c>
      <c r="H3020" t="str">
        <f t="shared" si="541"/>
        <v>11</v>
      </c>
      <c r="I3020" t="str">
        <f t="shared" si="531"/>
        <v>0</v>
      </c>
      <c r="J3020" t="str">
        <f t="shared" si="542"/>
        <v>01</v>
      </c>
      <c r="K3020">
        <v>20181012</v>
      </c>
      <c r="L3020" t="str">
        <f t="shared" si="543"/>
        <v>074267</v>
      </c>
      <c r="M3020" t="str">
        <f t="shared" si="544"/>
        <v>41230</v>
      </c>
      <c r="N3020" t="s">
        <v>1350</v>
      </c>
      <c r="O3020">
        <v>305.72000000000003</v>
      </c>
      <c r="P3020">
        <v>20181011</v>
      </c>
      <c r="Q3020" t="s">
        <v>1671</v>
      </c>
      <c r="R3020" t="s">
        <v>2251</v>
      </c>
      <c r="S3020" t="s">
        <v>1615</v>
      </c>
      <c r="T3020" t="s">
        <v>301</v>
      </c>
    </row>
    <row r="3021" spans="1:20" x14ac:dyDescent="0.25">
      <c r="A3021">
        <v>9</v>
      </c>
      <c r="B3021">
        <v>199</v>
      </c>
      <c r="C3021" t="str">
        <f t="shared" si="538"/>
        <v>11</v>
      </c>
      <c r="D3021">
        <v>6399</v>
      </c>
      <c r="E3021" t="str">
        <f t="shared" si="539"/>
        <v>7K</v>
      </c>
      <c r="F3021" t="str">
        <f t="shared" si="540"/>
        <v>001</v>
      </c>
      <c r="G3021">
        <v>9</v>
      </c>
      <c r="H3021" t="str">
        <f t="shared" si="541"/>
        <v>11</v>
      </c>
      <c r="I3021" t="str">
        <f t="shared" si="531"/>
        <v>0</v>
      </c>
      <c r="J3021" t="str">
        <f t="shared" si="542"/>
        <v>01</v>
      </c>
      <c r="K3021">
        <v>20181012</v>
      </c>
      <c r="L3021" t="str">
        <f t="shared" si="543"/>
        <v>074267</v>
      </c>
      <c r="M3021" t="str">
        <f t="shared" si="544"/>
        <v>41230</v>
      </c>
      <c r="N3021" t="s">
        <v>1350</v>
      </c>
      <c r="O3021">
        <v>15.94</v>
      </c>
      <c r="P3021">
        <v>20181011</v>
      </c>
      <c r="Q3021" t="s">
        <v>1671</v>
      </c>
      <c r="R3021" t="s">
        <v>2251</v>
      </c>
      <c r="S3021" t="s">
        <v>1615</v>
      </c>
      <c r="T3021" t="s">
        <v>301</v>
      </c>
    </row>
    <row r="3022" spans="1:20" x14ac:dyDescent="0.25">
      <c r="A3022">
        <v>9</v>
      </c>
      <c r="B3022">
        <v>199</v>
      </c>
      <c r="C3022" t="str">
        <f t="shared" si="538"/>
        <v>11</v>
      </c>
      <c r="D3022">
        <v>6399</v>
      </c>
      <c r="E3022" t="str">
        <f t="shared" si="539"/>
        <v>7K</v>
      </c>
      <c r="F3022" t="str">
        <f t="shared" si="540"/>
        <v>001</v>
      </c>
      <c r="G3022">
        <v>9</v>
      </c>
      <c r="H3022" t="str">
        <f t="shared" si="541"/>
        <v>11</v>
      </c>
      <c r="I3022" t="str">
        <f t="shared" si="531"/>
        <v>0</v>
      </c>
      <c r="J3022" t="str">
        <f t="shared" si="542"/>
        <v>01</v>
      </c>
      <c r="K3022">
        <v>20181012</v>
      </c>
      <c r="L3022" t="str">
        <f t="shared" si="543"/>
        <v>074267</v>
      </c>
      <c r="M3022" t="str">
        <f t="shared" si="544"/>
        <v>41230</v>
      </c>
      <c r="N3022" t="s">
        <v>1350</v>
      </c>
      <c r="O3022">
        <v>38.96</v>
      </c>
      <c r="P3022">
        <v>20181011</v>
      </c>
      <c r="Q3022" t="s">
        <v>1671</v>
      </c>
      <c r="R3022" t="s">
        <v>2251</v>
      </c>
      <c r="S3022" t="s">
        <v>1615</v>
      </c>
      <c r="T3022" t="s">
        <v>301</v>
      </c>
    </row>
    <row r="3023" spans="1:20" x14ac:dyDescent="0.25">
      <c r="A3023">
        <v>9</v>
      </c>
      <c r="B3023">
        <v>199</v>
      </c>
      <c r="C3023" t="str">
        <f t="shared" si="538"/>
        <v>11</v>
      </c>
      <c r="D3023">
        <v>6399</v>
      </c>
      <c r="E3023" t="str">
        <f t="shared" si="539"/>
        <v>7K</v>
      </c>
      <c r="F3023" t="str">
        <f t="shared" si="540"/>
        <v>001</v>
      </c>
      <c r="G3023">
        <v>9</v>
      </c>
      <c r="H3023" t="str">
        <f t="shared" si="541"/>
        <v>11</v>
      </c>
      <c r="I3023" t="str">
        <f t="shared" si="531"/>
        <v>0</v>
      </c>
      <c r="J3023" t="str">
        <f t="shared" si="542"/>
        <v>01</v>
      </c>
      <c r="K3023">
        <v>20181012</v>
      </c>
      <c r="L3023" t="str">
        <f t="shared" si="543"/>
        <v>074267</v>
      </c>
      <c r="M3023" t="str">
        <f t="shared" si="544"/>
        <v>41230</v>
      </c>
      <c r="N3023" t="s">
        <v>1350</v>
      </c>
      <c r="O3023">
        <v>120.71</v>
      </c>
      <c r="P3023">
        <v>20181011</v>
      </c>
      <c r="Q3023" t="s">
        <v>1671</v>
      </c>
      <c r="R3023" t="s">
        <v>2251</v>
      </c>
      <c r="S3023" t="s">
        <v>1615</v>
      </c>
      <c r="T3023" t="s">
        <v>301</v>
      </c>
    </row>
    <row r="3024" spans="1:20" x14ac:dyDescent="0.25">
      <c r="A3024">
        <v>9</v>
      </c>
      <c r="B3024">
        <v>199</v>
      </c>
      <c r="C3024" t="str">
        <f t="shared" si="538"/>
        <v>11</v>
      </c>
      <c r="D3024">
        <v>6399</v>
      </c>
      <c r="E3024" t="str">
        <f t="shared" si="539"/>
        <v>7K</v>
      </c>
      <c r="F3024" t="str">
        <f t="shared" si="540"/>
        <v>001</v>
      </c>
      <c r="G3024">
        <v>9</v>
      </c>
      <c r="H3024" t="str">
        <f t="shared" si="541"/>
        <v>11</v>
      </c>
      <c r="I3024" t="str">
        <f t="shared" si="531"/>
        <v>0</v>
      </c>
      <c r="J3024" t="str">
        <f t="shared" si="542"/>
        <v>01</v>
      </c>
      <c r="K3024">
        <v>20181012</v>
      </c>
      <c r="L3024" t="str">
        <f t="shared" si="543"/>
        <v>074267</v>
      </c>
      <c r="M3024" t="str">
        <f t="shared" si="544"/>
        <v>41230</v>
      </c>
      <c r="N3024" t="s">
        <v>1350</v>
      </c>
      <c r="O3024">
        <v>28.94</v>
      </c>
      <c r="P3024">
        <v>20181011</v>
      </c>
      <c r="Q3024" t="s">
        <v>1671</v>
      </c>
      <c r="R3024" t="s">
        <v>2251</v>
      </c>
      <c r="S3024" t="s">
        <v>1615</v>
      </c>
      <c r="T3024" t="s">
        <v>301</v>
      </c>
    </row>
    <row r="3025" spans="1:20" x14ac:dyDescent="0.25">
      <c r="A3025">
        <v>9</v>
      </c>
      <c r="B3025">
        <v>199</v>
      </c>
      <c r="C3025" t="str">
        <f t="shared" si="538"/>
        <v>11</v>
      </c>
      <c r="D3025">
        <v>6399</v>
      </c>
      <c r="E3025" t="str">
        <f t="shared" si="539"/>
        <v>7K</v>
      </c>
      <c r="F3025" t="str">
        <f t="shared" si="540"/>
        <v>001</v>
      </c>
      <c r="G3025">
        <v>9</v>
      </c>
      <c r="H3025" t="str">
        <f t="shared" si="541"/>
        <v>11</v>
      </c>
      <c r="I3025" t="str">
        <f t="shared" si="531"/>
        <v>0</v>
      </c>
      <c r="J3025" t="str">
        <f t="shared" si="542"/>
        <v>01</v>
      </c>
      <c r="K3025">
        <v>20181012</v>
      </c>
      <c r="L3025" t="str">
        <f t="shared" si="543"/>
        <v>074267</v>
      </c>
      <c r="M3025" t="str">
        <f t="shared" si="544"/>
        <v>41230</v>
      </c>
      <c r="N3025" t="s">
        <v>1350</v>
      </c>
      <c r="O3025">
        <v>51.11</v>
      </c>
      <c r="P3025">
        <v>20181011</v>
      </c>
      <c r="Q3025" t="s">
        <v>1671</v>
      </c>
      <c r="R3025" t="s">
        <v>2251</v>
      </c>
      <c r="S3025" t="s">
        <v>1615</v>
      </c>
      <c r="T3025" t="s">
        <v>301</v>
      </c>
    </row>
    <row r="3026" spans="1:20" x14ac:dyDescent="0.25">
      <c r="A3026">
        <v>9</v>
      </c>
      <c r="B3026">
        <v>199</v>
      </c>
      <c r="C3026" t="str">
        <f t="shared" si="538"/>
        <v>11</v>
      </c>
      <c r="D3026">
        <v>6399</v>
      </c>
      <c r="E3026" t="str">
        <f t="shared" si="539"/>
        <v>7K</v>
      </c>
      <c r="F3026" t="str">
        <f t="shared" si="540"/>
        <v>001</v>
      </c>
      <c r="G3026">
        <v>9</v>
      </c>
      <c r="H3026" t="str">
        <f t="shared" si="541"/>
        <v>11</v>
      </c>
      <c r="I3026" t="str">
        <f t="shared" si="531"/>
        <v>0</v>
      </c>
      <c r="J3026" t="str">
        <f t="shared" si="542"/>
        <v>01</v>
      </c>
      <c r="K3026">
        <v>20181012</v>
      </c>
      <c r="L3026" t="str">
        <f t="shared" si="543"/>
        <v>074267</v>
      </c>
      <c r="M3026" t="str">
        <f t="shared" si="544"/>
        <v>41230</v>
      </c>
      <c r="N3026" t="s">
        <v>1350</v>
      </c>
      <c r="O3026">
        <v>-1.6</v>
      </c>
      <c r="P3026">
        <v>20180920</v>
      </c>
      <c r="Q3026" t="s">
        <v>1671</v>
      </c>
      <c r="R3026" t="s">
        <v>2252</v>
      </c>
      <c r="S3026" t="s">
        <v>1615</v>
      </c>
      <c r="T3026" t="s">
        <v>301</v>
      </c>
    </row>
    <row r="3027" spans="1:20" x14ac:dyDescent="0.25">
      <c r="A3027">
        <v>9</v>
      </c>
      <c r="B3027">
        <v>199</v>
      </c>
      <c r="C3027" t="str">
        <f t="shared" si="538"/>
        <v>11</v>
      </c>
      <c r="D3027">
        <v>6399</v>
      </c>
      <c r="E3027" t="str">
        <f>"N9"</f>
        <v>N9</v>
      </c>
      <c r="F3027" t="str">
        <f t="shared" si="540"/>
        <v>001</v>
      </c>
      <c r="G3027">
        <v>9</v>
      </c>
      <c r="H3027" t="str">
        <f t="shared" si="541"/>
        <v>11</v>
      </c>
      <c r="I3027" t="str">
        <f t="shared" si="531"/>
        <v>0</v>
      </c>
      <c r="J3027" t="str">
        <f t="shared" si="542"/>
        <v>01</v>
      </c>
      <c r="K3027">
        <v>20181012</v>
      </c>
      <c r="L3027" t="str">
        <f t="shared" si="543"/>
        <v>074267</v>
      </c>
      <c r="M3027" t="str">
        <f t="shared" si="544"/>
        <v>41230</v>
      </c>
      <c r="N3027" t="s">
        <v>1350</v>
      </c>
      <c r="O3027">
        <v>131.97</v>
      </c>
      <c r="P3027">
        <v>20181011</v>
      </c>
      <c r="Q3027" t="s">
        <v>2160</v>
      </c>
      <c r="R3027" t="s">
        <v>2253</v>
      </c>
      <c r="S3027" t="s">
        <v>1615</v>
      </c>
      <c r="T3027" t="s">
        <v>301</v>
      </c>
    </row>
    <row r="3028" spans="1:20" x14ac:dyDescent="0.25">
      <c r="A3028">
        <v>9</v>
      </c>
      <c r="B3028">
        <v>199</v>
      </c>
      <c r="C3028" t="str">
        <f t="shared" si="538"/>
        <v>11</v>
      </c>
      <c r="D3028">
        <v>6399</v>
      </c>
      <c r="E3028" t="str">
        <f>"N9"</f>
        <v>N9</v>
      </c>
      <c r="F3028" t="str">
        <f t="shared" si="540"/>
        <v>001</v>
      </c>
      <c r="G3028">
        <v>9</v>
      </c>
      <c r="H3028" t="str">
        <f t="shared" si="541"/>
        <v>11</v>
      </c>
      <c r="I3028" t="str">
        <f t="shared" si="531"/>
        <v>0</v>
      </c>
      <c r="J3028" t="str">
        <f t="shared" si="542"/>
        <v>01</v>
      </c>
      <c r="K3028">
        <v>20181012</v>
      </c>
      <c r="L3028" t="str">
        <f t="shared" si="543"/>
        <v>074267</v>
      </c>
      <c r="M3028" t="str">
        <f t="shared" si="544"/>
        <v>41230</v>
      </c>
      <c r="N3028" t="s">
        <v>1350</v>
      </c>
      <c r="O3028">
        <v>107.17</v>
      </c>
      <c r="P3028">
        <v>20181011</v>
      </c>
      <c r="Q3028" t="s">
        <v>2160</v>
      </c>
      <c r="R3028" t="s">
        <v>2254</v>
      </c>
      <c r="S3028" t="s">
        <v>1615</v>
      </c>
      <c r="T3028" t="s">
        <v>301</v>
      </c>
    </row>
    <row r="3029" spans="1:20" x14ac:dyDescent="0.25">
      <c r="A3029">
        <v>9</v>
      </c>
      <c r="B3029">
        <v>199</v>
      </c>
      <c r="C3029" t="str">
        <f>"34"</f>
        <v>34</v>
      </c>
      <c r="D3029">
        <v>6399</v>
      </c>
      <c r="E3029" t="str">
        <f>"11"</f>
        <v>11</v>
      </c>
      <c r="F3029" t="str">
        <f>"937"</f>
        <v>937</v>
      </c>
      <c r="G3029">
        <v>9</v>
      </c>
      <c r="H3029" t="str">
        <f>"99"</f>
        <v>99</v>
      </c>
      <c r="I3029" t="str">
        <f t="shared" si="531"/>
        <v>0</v>
      </c>
      <c r="J3029" t="str">
        <f>"82"</f>
        <v>82</v>
      </c>
      <c r="K3029">
        <v>20181012</v>
      </c>
      <c r="L3029" t="str">
        <f t="shared" si="543"/>
        <v>074267</v>
      </c>
      <c r="M3029" t="str">
        <f t="shared" si="544"/>
        <v>41230</v>
      </c>
      <c r="N3029" t="s">
        <v>1350</v>
      </c>
      <c r="O3029">
        <v>26.16</v>
      </c>
      <c r="P3029">
        <v>20181011</v>
      </c>
      <c r="Q3029" t="s">
        <v>2210</v>
      </c>
      <c r="R3029" t="s">
        <v>2255</v>
      </c>
      <c r="S3029" t="s">
        <v>1615</v>
      </c>
      <c r="T3029" t="s">
        <v>1810</v>
      </c>
    </row>
    <row r="3030" spans="1:20" x14ac:dyDescent="0.25">
      <c r="A3030">
        <v>9</v>
      </c>
      <c r="B3030">
        <v>199</v>
      </c>
      <c r="C3030" t="str">
        <f>"34"</f>
        <v>34</v>
      </c>
      <c r="D3030">
        <v>6399</v>
      </c>
      <c r="E3030" t="str">
        <f>"11"</f>
        <v>11</v>
      </c>
      <c r="F3030" t="str">
        <f>"937"</f>
        <v>937</v>
      </c>
      <c r="G3030">
        <v>9</v>
      </c>
      <c r="H3030" t="str">
        <f>"99"</f>
        <v>99</v>
      </c>
      <c r="I3030" t="str">
        <f t="shared" si="531"/>
        <v>0</v>
      </c>
      <c r="J3030" t="str">
        <f>"82"</f>
        <v>82</v>
      </c>
      <c r="K3030">
        <v>20181012</v>
      </c>
      <c r="L3030" t="str">
        <f t="shared" si="543"/>
        <v>074267</v>
      </c>
      <c r="M3030" t="str">
        <f t="shared" si="544"/>
        <v>41230</v>
      </c>
      <c r="N3030" t="s">
        <v>1350</v>
      </c>
      <c r="O3030">
        <v>346.33</v>
      </c>
      <c r="P3030">
        <v>20181011</v>
      </c>
      <c r="Q3030" t="s">
        <v>2210</v>
      </c>
      <c r="R3030" t="s">
        <v>2256</v>
      </c>
      <c r="S3030" t="s">
        <v>1615</v>
      </c>
      <c r="T3030" t="s">
        <v>1810</v>
      </c>
    </row>
    <row r="3031" spans="1:20" x14ac:dyDescent="0.25">
      <c r="A3031">
        <v>9</v>
      </c>
      <c r="B3031">
        <v>199</v>
      </c>
      <c r="C3031" t="str">
        <f>"51"</f>
        <v>51</v>
      </c>
      <c r="D3031">
        <v>6254</v>
      </c>
      <c r="E3031" t="str">
        <f>"ME"</f>
        <v>ME</v>
      </c>
      <c r="F3031" t="str">
        <f>"936"</f>
        <v>936</v>
      </c>
      <c r="G3031">
        <v>9</v>
      </c>
      <c r="H3031" t="str">
        <f>"99"</f>
        <v>99</v>
      </c>
      <c r="I3031" t="str">
        <f>"1"</f>
        <v>1</v>
      </c>
      <c r="J3031" t="str">
        <f>"73"</f>
        <v>73</v>
      </c>
      <c r="K3031">
        <v>20181012</v>
      </c>
      <c r="L3031" t="str">
        <f>"074269"</f>
        <v>074269</v>
      </c>
      <c r="M3031" t="str">
        <f>"42194"</f>
        <v>42194</v>
      </c>
      <c r="N3031" t="s">
        <v>1736</v>
      </c>
      <c r="O3031" s="1">
        <v>78446.87</v>
      </c>
      <c r="P3031">
        <v>20181011</v>
      </c>
      <c r="Q3031" t="s">
        <v>1891</v>
      </c>
      <c r="R3031" t="s">
        <v>2257</v>
      </c>
      <c r="S3031" t="s">
        <v>1615</v>
      </c>
      <c r="T3031" t="s">
        <v>1713</v>
      </c>
    </row>
    <row r="3032" spans="1:20" x14ac:dyDescent="0.25">
      <c r="A3032">
        <v>9</v>
      </c>
      <c r="B3032">
        <v>199</v>
      </c>
      <c r="C3032" t="str">
        <f>"51"</f>
        <v>51</v>
      </c>
      <c r="D3032">
        <v>6219</v>
      </c>
      <c r="E3032" t="str">
        <f>"M7"</f>
        <v>M7</v>
      </c>
      <c r="F3032" t="str">
        <f>"936"</f>
        <v>936</v>
      </c>
      <c r="G3032">
        <v>9</v>
      </c>
      <c r="H3032" t="str">
        <f>"99"</f>
        <v>99</v>
      </c>
      <c r="I3032" t="str">
        <f t="shared" ref="I3032:I3045" si="545">"0"</f>
        <v>0</v>
      </c>
      <c r="J3032" t="str">
        <f>"81"</f>
        <v>81</v>
      </c>
      <c r="K3032">
        <v>20181012</v>
      </c>
      <c r="L3032" t="str">
        <f>"074271"</f>
        <v>074271</v>
      </c>
      <c r="M3032" t="str">
        <f>"43507"</f>
        <v>43507</v>
      </c>
      <c r="N3032" t="s">
        <v>2258</v>
      </c>
      <c r="O3032" s="1">
        <v>2501.8000000000002</v>
      </c>
      <c r="P3032">
        <v>20181011</v>
      </c>
      <c r="Q3032" t="s">
        <v>2259</v>
      </c>
      <c r="R3032" t="s">
        <v>2260</v>
      </c>
      <c r="S3032" t="s">
        <v>1615</v>
      </c>
      <c r="T3032" t="s">
        <v>1713</v>
      </c>
    </row>
    <row r="3033" spans="1:20" x14ac:dyDescent="0.25">
      <c r="A3033">
        <v>9</v>
      </c>
      <c r="B3033">
        <v>199</v>
      </c>
      <c r="C3033" t="str">
        <f>"00"</f>
        <v>00</v>
      </c>
      <c r="D3033">
        <v>2110</v>
      </c>
      <c r="E3033" t="str">
        <f>"18"</f>
        <v>18</v>
      </c>
      <c r="F3033" t="str">
        <f>"000"</f>
        <v>000</v>
      </c>
      <c r="G3033">
        <v>9</v>
      </c>
      <c r="H3033" t="str">
        <f>"00"</f>
        <v>00</v>
      </c>
      <c r="I3033" t="str">
        <f t="shared" si="545"/>
        <v>0</v>
      </c>
      <c r="J3033" t="str">
        <f>"00"</f>
        <v>00</v>
      </c>
      <c r="K3033">
        <v>20181012</v>
      </c>
      <c r="L3033" t="str">
        <f t="shared" ref="L3033:L3045" si="546">"074272"</f>
        <v>074272</v>
      </c>
      <c r="M3033" t="str">
        <f t="shared" ref="M3033:M3045" si="547">"43532"</f>
        <v>43532</v>
      </c>
      <c r="N3033" t="s">
        <v>2261</v>
      </c>
      <c r="O3033">
        <v>540</v>
      </c>
      <c r="P3033">
        <v>20181011</v>
      </c>
      <c r="Q3033" t="s">
        <v>1613</v>
      </c>
      <c r="R3033" t="s">
        <v>2262</v>
      </c>
      <c r="S3033" t="s">
        <v>1615</v>
      </c>
      <c r="T3033" t="s">
        <v>296</v>
      </c>
    </row>
    <row r="3034" spans="1:20" x14ac:dyDescent="0.25">
      <c r="A3034">
        <v>9</v>
      </c>
      <c r="B3034">
        <v>199</v>
      </c>
      <c r="C3034" t="str">
        <f t="shared" ref="C3034:C3041" si="548">"11"</f>
        <v>11</v>
      </c>
      <c r="D3034">
        <v>6249</v>
      </c>
      <c r="E3034" t="str">
        <f t="shared" ref="E3034:E3041" si="549">"57"</f>
        <v>57</v>
      </c>
      <c r="F3034" t="str">
        <f>"001"</f>
        <v>001</v>
      </c>
      <c r="G3034">
        <v>9</v>
      </c>
      <c r="H3034" t="str">
        <f t="shared" ref="H3034:H3041" si="550">"11"</f>
        <v>11</v>
      </c>
      <c r="I3034" t="str">
        <f t="shared" si="545"/>
        <v>0</v>
      </c>
      <c r="J3034" t="str">
        <f t="shared" ref="J3034:J3045" si="551">"80"</f>
        <v>80</v>
      </c>
      <c r="K3034">
        <v>20181012</v>
      </c>
      <c r="L3034" t="str">
        <f t="shared" si="546"/>
        <v>074272</v>
      </c>
      <c r="M3034" t="str">
        <f t="shared" si="547"/>
        <v>43532</v>
      </c>
      <c r="N3034" t="s">
        <v>2261</v>
      </c>
      <c r="O3034">
        <v>282.75</v>
      </c>
      <c r="P3034">
        <v>20181011</v>
      </c>
      <c r="Q3034" t="s">
        <v>1796</v>
      </c>
      <c r="R3034" t="s">
        <v>2263</v>
      </c>
      <c r="S3034" t="s">
        <v>1615</v>
      </c>
      <c r="T3034" t="s">
        <v>301</v>
      </c>
    </row>
    <row r="3035" spans="1:20" x14ac:dyDescent="0.25">
      <c r="A3035">
        <v>9</v>
      </c>
      <c r="B3035">
        <v>199</v>
      </c>
      <c r="C3035" t="str">
        <f t="shared" si="548"/>
        <v>11</v>
      </c>
      <c r="D3035">
        <v>6249</v>
      </c>
      <c r="E3035" t="str">
        <f t="shared" si="549"/>
        <v>57</v>
      </c>
      <c r="F3035" t="str">
        <f>"001"</f>
        <v>001</v>
      </c>
      <c r="G3035">
        <v>9</v>
      </c>
      <c r="H3035" t="str">
        <f t="shared" si="550"/>
        <v>11</v>
      </c>
      <c r="I3035" t="str">
        <f t="shared" si="545"/>
        <v>0</v>
      </c>
      <c r="J3035" t="str">
        <f t="shared" si="551"/>
        <v>80</v>
      </c>
      <c r="K3035">
        <v>20181012</v>
      </c>
      <c r="L3035" t="str">
        <f t="shared" si="546"/>
        <v>074272</v>
      </c>
      <c r="M3035" t="str">
        <f t="shared" si="547"/>
        <v>43532</v>
      </c>
      <c r="N3035" t="s">
        <v>2261</v>
      </c>
      <c r="O3035">
        <v>849.81</v>
      </c>
      <c r="P3035">
        <v>20181011</v>
      </c>
      <c r="Q3035" t="s">
        <v>1796</v>
      </c>
      <c r="R3035" t="s">
        <v>2264</v>
      </c>
      <c r="S3035" t="s">
        <v>1615</v>
      </c>
      <c r="T3035" t="s">
        <v>301</v>
      </c>
    </row>
    <row r="3036" spans="1:20" x14ac:dyDescent="0.25">
      <c r="A3036">
        <v>9</v>
      </c>
      <c r="B3036">
        <v>199</v>
      </c>
      <c r="C3036" t="str">
        <f t="shared" si="548"/>
        <v>11</v>
      </c>
      <c r="D3036">
        <v>6249</v>
      </c>
      <c r="E3036" t="str">
        <f t="shared" si="549"/>
        <v>57</v>
      </c>
      <c r="F3036" t="str">
        <f>"041"</f>
        <v>041</v>
      </c>
      <c r="G3036">
        <v>9</v>
      </c>
      <c r="H3036" t="str">
        <f t="shared" si="550"/>
        <v>11</v>
      </c>
      <c r="I3036" t="str">
        <f t="shared" si="545"/>
        <v>0</v>
      </c>
      <c r="J3036" t="str">
        <f t="shared" si="551"/>
        <v>80</v>
      </c>
      <c r="K3036">
        <v>20181012</v>
      </c>
      <c r="L3036" t="str">
        <f t="shared" si="546"/>
        <v>074272</v>
      </c>
      <c r="M3036" t="str">
        <f t="shared" si="547"/>
        <v>43532</v>
      </c>
      <c r="N3036" t="s">
        <v>2261</v>
      </c>
      <c r="O3036">
        <v>282.75</v>
      </c>
      <c r="P3036">
        <v>20181011</v>
      </c>
      <c r="Q3036" t="s">
        <v>1798</v>
      </c>
      <c r="R3036" t="s">
        <v>2263</v>
      </c>
      <c r="S3036" t="s">
        <v>1615</v>
      </c>
      <c r="T3036" t="s">
        <v>106</v>
      </c>
    </row>
    <row r="3037" spans="1:20" x14ac:dyDescent="0.25">
      <c r="A3037">
        <v>9</v>
      </c>
      <c r="B3037">
        <v>199</v>
      </c>
      <c r="C3037" t="str">
        <f t="shared" si="548"/>
        <v>11</v>
      </c>
      <c r="D3037">
        <v>6249</v>
      </c>
      <c r="E3037" t="str">
        <f t="shared" si="549"/>
        <v>57</v>
      </c>
      <c r="F3037" t="str">
        <f>"041"</f>
        <v>041</v>
      </c>
      <c r="G3037">
        <v>9</v>
      </c>
      <c r="H3037" t="str">
        <f t="shared" si="550"/>
        <v>11</v>
      </c>
      <c r="I3037" t="str">
        <f t="shared" si="545"/>
        <v>0</v>
      </c>
      <c r="J3037" t="str">
        <f t="shared" si="551"/>
        <v>80</v>
      </c>
      <c r="K3037">
        <v>20181012</v>
      </c>
      <c r="L3037" t="str">
        <f t="shared" si="546"/>
        <v>074272</v>
      </c>
      <c r="M3037" t="str">
        <f t="shared" si="547"/>
        <v>43532</v>
      </c>
      <c r="N3037" t="s">
        <v>2261</v>
      </c>
      <c r="O3037">
        <v>849.78</v>
      </c>
      <c r="P3037">
        <v>20181011</v>
      </c>
      <c r="Q3037" t="s">
        <v>1798</v>
      </c>
      <c r="R3037" t="s">
        <v>2264</v>
      </c>
      <c r="S3037" t="s">
        <v>1615</v>
      </c>
      <c r="T3037" t="s">
        <v>106</v>
      </c>
    </row>
    <row r="3038" spans="1:20" x14ac:dyDescent="0.25">
      <c r="A3038">
        <v>9</v>
      </c>
      <c r="B3038">
        <v>199</v>
      </c>
      <c r="C3038" t="str">
        <f t="shared" si="548"/>
        <v>11</v>
      </c>
      <c r="D3038">
        <v>6249</v>
      </c>
      <c r="E3038" t="str">
        <f t="shared" si="549"/>
        <v>57</v>
      </c>
      <c r="F3038" t="str">
        <f>"101"</f>
        <v>101</v>
      </c>
      <c r="G3038">
        <v>9</v>
      </c>
      <c r="H3038" t="str">
        <f t="shared" si="550"/>
        <v>11</v>
      </c>
      <c r="I3038" t="str">
        <f t="shared" si="545"/>
        <v>0</v>
      </c>
      <c r="J3038" t="str">
        <f t="shared" si="551"/>
        <v>80</v>
      </c>
      <c r="K3038">
        <v>20181012</v>
      </c>
      <c r="L3038" t="str">
        <f t="shared" si="546"/>
        <v>074272</v>
      </c>
      <c r="M3038" t="str">
        <f t="shared" si="547"/>
        <v>43532</v>
      </c>
      <c r="N3038" t="s">
        <v>2261</v>
      </c>
      <c r="O3038">
        <v>282.75</v>
      </c>
      <c r="P3038">
        <v>20181011</v>
      </c>
      <c r="Q3038" t="s">
        <v>1799</v>
      </c>
      <c r="R3038" t="s">
        <v>2263</v>
      </c>
      <c r="S3038" t="s">
        <v>1615</v>
      </c>
      <c r="T3038" t="s">
        <v>1479</v>
      </c>
    </row>
    <row r="3039" spans="1:20" x14ac:dyDescent="0.25">
      <c r="A3039">
        <v>9</v>
      </c>
      <c r="B3039">
        <v>199</v>
      </c>
      <c r="C3039" t="str">
        <f t="shared" si="548"/>
        <v>11</v>
      </c>
      <c r="D3039">
        <v>6249</v>
      </c>
      <c r="E3039" t="str">
        <f t="shared" si="549"/>
        <v>57</v>
      </c>
      <c r="F3039" t="str">
        <f>"101"</f>
        <v>101</v>
      </c>
      <c r="G3039">
        <v>9</v>
      </c>
      <c r="H3039" t="str">
        <f t="shared" si="550"/>
        <v>11</v>
      </c>
      <c r="I3039" t="str">
        <f t="shared" si="545"/>
        <v>0</v>
      </c>
      <c r="J3039" t="str">
        <f t="shared" si="551"/>
        <v>80</v>
      </c>
      <c r="K3039">
        <v>20181012</v>
      </c>
      <c r="L3039" t="str">
        <f t="shared" si="546"/>
        <v>074272</v>
      </c>
      <c r="M3039" t="str">
        <f t="shared" si="547"/>
        <v>43532</v>
      </c>
      <c r="N3039" t="s">
        <v>2261</v>
      </c>
      <c r="O3039">
        <v>849.78</v>
      </c>
      <c r="P3039">
        <v>20181011</v>
      </c>
      <c r="Q3039" t="s">
        <v>1799</v>
      </c>
      <c r="R3039" t="s">
        <v>2264</v>
      </c>
      <c r="S3039" t="s">
        <v>1615</v>
      </c>
      <c r="T3039" t="s">
        <v>1479</v>
      </c>
    </row>
    <row r="3040" spans="1:20" x14ac:dyDescent="0.25">
      <c r="A3040">
        <v>9</v>
      </c>
      <c r="B3040">
        <v>199</v>
      </c>
      <c r="C3040" t="str">
        <f t="shared" si="548"/>
        <v>11</v>
      </c>
      <c r="D3040">
        <v>6249</v>
      </c>
      <c r="E3040" t="str">
        <f t="shared" si="549"/>
        <v>57</v>
      </c>
      <c r="F3040" t="str">
        <f>"104"</f>
        <v>104</v>
      </c>
      <c r="G3040">
        <v>9</v>
      </c>
      <c r="H3040" t="str">
        <f t="shared" si="550"/>
        <v>11</v>
      </c>
      <c r="I3040" t="str">
        <f t="shared" si="545"/>
        <v>0</v>
      </c>
      <c r="J3040" t="str">
        <f t="shared" si="551"/>
        <v>80</v>
      </c>
      <c r="K3040">
        <v>20181012</v>
      </c>
      <c r="L3040" t="str">
        <f t="shared" si="546"/>
        <v>074272</v>
      </c>
      <c r="M3040" t="str">
        <f t="shared" si="547"/>
        <v>43532</v>
      </c>
      <c r="N3040" t="s">
        <v>2261</v>
      </c>
      <c r="O3040">
        <v>282.75</v>
      </c>
      <c r="P3040">
        <v>20181011</v>
      </c>
      <c r="Q3040" t="s">
        <v>1800</v>
      </c>
      <c r="R3040" t="s">
        <v>2263</v>
      </c>
      <c r="S3040" t="s">
        <v>1615</v>
      </c>
      <c r="T3040" t="s">
        <v>46</v>
      </c>
    </row>
    <row r="3041" spans="1:20" x14ac:dyDescent="0.25">
      <c r="A3041">
        <v>9</v>
      </c>
      <c r="B3041">
        <v>199</v>
      </c>
      <c r="C3041" t="str">
        <f t="shared" si="548"/>
        <v>11</v>
      </c>
      <c r="D3041">
        <v>6249</v>
      </c>
      <c r="E3041" t="str">
        <f t="shared" si="549"/>
        <v>57</v>
      </c>
      <c r="F3041" t="str">
        <f>"104"</f>
        <v>104</v>
      </c>
      <c r="G3041">
        <v>9</v>
      </c>
      <c r="H3041" t="str">
        <f t="shared" si="550"/>
        <v>11</v>
      </c>
      <c r="I3041" t="str">
        <f t="shared" si="545"/>
        <v>0</v>
      </c>
      <c r="J3041" t="str">
        <f t="shared" si="551"/>
        <v>80</v>
      </c>
      <c r="K3041">
        <v>20181012</v>
      </c>
      <c r="L3041" t="str">
        <f t="shared" si="546"/>
        <v>074272</v>
      </c>
      <c r="M3041" t="str">
        <f t="shared" si="547"/>
        <v>43532</v>
      </c>
      <c r="N3041" t="s">
        <v>2261</v>
      </c>
      <c r="O3041">
        <v>849.78</v>
      </c>
      <c r="P3041">
        <v>20181011</v>
      </c>
      <c r="Q3041" t="s">
        <v>1800</v>
      </c>
      <c r="R3041" t="s">
        <v>2264</v>
      </c>
      <c r="S3041" t="s">
        <v>1615</v>
      </c>
      <c r="T3041" t="s">
        <v>46</v>
      </c>
    </row>
    <row r="3042" spans="1:20" x14ac:dyDescent="0.25">
      <c r="A3042">
        <v>9</v>
      </c>
      <c r="B3042">
        <v>199</v>
      </c>
      <c r="C3042" t="str">
        <f>"81"</f>
        <v>81</v>
      </c>
      <c r="D3042">
        <v>6629</v>
      </c>
      <c r="E3042" t="str">
        <f>"00"</f>
        <v>00</v>
      </c>
      <c r="F3042" t="str">
        <f>"101"</f>
        <v>101</v>
      </c>
      <c r="G3042">
        <v>9</v>
      </c>
      <c r="H3042" t="str">
        <f t="shared" ref="H3042:H3048" si="552">"99"</f>
        <v>99</v>
      </c>
      <c r="I3042" t="str">
        <f t="shared" si="545"/>
        <v>0</v>
      </c>
      <c r="J3042" t="str">
        <f t="shared" si="551"/>
        <v>80</v>
      </c>
      <c r="K3042">
        <v>20181012</v>
      </c>
      <c r="L3042" t="str">
        <f t="shared" si="546"/>
        <v>074272</v>
      </c>
      <c r="M3042" t="str">
        <f t="shared" si="547"/>
        <v>43532</v>
      </c>
      <c r="N3042" t="s">
        <v>2261</v>
      </c>
      <c r="O3042" s="1">
        <v>18272.62</v>
      </c>
      <c r="P3042">
        <v>20181011</v>
      </c>
      <c r="Q3042" t="s">
        <v>2265</v>
      </c>
      <c r="R3042" t="s">
        <v>2266</v>
      </c>
      <c r="S3042" t="s">
        <v>1615</v>
      </c>
      <c r="T3042" t="s">
        <v>1479</v>
      </c>
    </row>
    <row r="3043" spans="1:20" x14ac:dyDescent="0.25">
      <c r="A3043">
        <v>9</v>
      </c>
      <c r="B3043">
        <v>199</v>
      </c>
      <c r="C3043" t="str">
        <f>"81"</f>
        <v>81</v>
      </c>
      <c r="D3043">
        <v>6629</v>
      </c>
      <c r="E3043" t="str">
        <f>"00"</f>
        <v>00</v>
      </c>
      <c r="F3043" t="str">
        <f>"101"</f>
        <v>101</v>
      </c>
      <c r="G3043">
        <v>9</v>
      </c>
      <c r="H3043" t="str">
        <f t="shared" si="552"/>
        <v>99</v>
      </c>
      <c r="I3043" t="str">
        <f t="shared" si="545"/>
        <v>0</v>
      </c>
      <c r="J3043" t="str">
        <f t="shared" si="551"/>
        <v>80</v>
      </c>
      <c r="K3043">
        <v>20181012</v>
      </c>
      <c r="L3043" t="str">
        <f t="shared" si="546"/>
        <v>074272</v>
      </c>
      <c r="M3043" t="str">
        <f t="shared" si="547"/>
        <v>43532</v>
      </c>
      <c r="N3043" t="s">
        <v>2261</v>
      </c>
      <c r="O3043" s="1">
        <v>10458</v>
      </c>
      <c r="P3043">
        <v>20181011</v>
      </c>
      <c r="Q3043" t="s">
        <v>2265</v>
      </c>
      <c r="R3043" t="s">
        <v>2267</v>
      </c>
      <c r="S3043" t="s">
        <v>1615</v>
      </c>
      <c r="T3043" t="s">
        <v>1479</v>
      </c>
    </row>
    <row r="3044" spans="1:20" x14ac:dyDescent="0.25">
      <c r="A3044">
        <v>9</v>
      </c>
      <c r="B3044">
        <v>199</v>
      </c>
      <c r="C3044" t="str">
        <f>"81"</f>
        <v>81</v>
      </c>
      <c r="D3044">
        <v>6629</v>
      </c>
      <c r="E3044" t="str">
        <f>"00"</f>
        <v>00</v>
      </c>
      <c r="F3044" t="str">
        <f>"101"</f>
        <v>101</v>
      </c>
      <c r="G3044">
        <v>9</v>
      </c>
      <c r="H3044" t="str">
        <f t="shared" si="552"/>
        <v>99</v>
      </c>
      <c r="I3044" t="str">
        <f t="shared" si="545"/>
        <v>0</v>
      </c>
      <c r="J3044" t="str">
        <f t="shared" si="551"/>
        <v>80</v>
      </c>
      <c r="K3044">
        <v>20181012</v>
      </c>
      <c r="L3044" t="str">
        <f t="shared" si="546"/>
        <v>074272</v>
      </c>
      <c r="M3044" t="str">
        <f t="shared" si="547"/>
        <v>43532</v>
      </c>
      <c r="N3044" t="s">
        <v>2261</v>
      </c>
      <c r="O3044" s="1">
        <v>1608</v>
      </c>
      <c r="P3044">
        <v>20181011</v>
      </c>
      <c r="Q3044" t="s">
        <v>2265</v>
      </c>
      <c r="R3044" t="s">
        <v>2268</v>
      </c>
      <c r="S3044" t="s">
        <v>1615</v>
      </c>
      <c r="T3044" t="s">
        <v>1479</v>
      </c>
    </row>
    <row r="3045" spans="1:20" x14ac:dyDescent="0.25">
      <c r="A3045">
        <v>9</v>
      </c>
      <c r="B3045">
        <v>199</v>
      </c>
      <c r="C3045" t="str">
        <f>"81"</f>
        <v>81</v>
      </c>
      <c r="D3045">
        <v>6629</v>
      </c>
      <c r="E3045" t="str">
        <f>"00"</f>
        <v>00</v>
      </c>
      <c r="F3045" t="str">
        <f>"101"</f>
        <v>101</v>
      </c>
      <c r="G3045">
        <v>9</v>
      </c>
      <c r="H3045" t="str">
        <f t="shared" si="552"/>
        <v>99</v>
      </c>
      <c r="I3045" t="str">
        <f t="shared" si="545"/>
        <v>0</v>
      </c>
      <c r="J3045" t="str">
        <f t="shared" si="551"/>
        <v>80</v>
      </c>
      <c r="K3045">
        <v>20181012</v>
      </c>
      <c r="L3045" t="str">
        <f t="shared" si="546"/>
        <v>074272</v>
      </c>
      <c r="M3045" t="str">
        <f t="shared" si="547"/>
        <v>43532</v>
      </c>
      <c r="N3045" t="s">
        <v>2261</v>
      </c>
      <c r="O3045" s="1">
        <v>23348.39</v>
      </c>
      <c r="P3045">
        <v>20181011</v>
      </c>
      <c r="Q3045" t="s">
        <v>2265</v>
      </c>
      <c r="R3045" t="s">
        <v>2268</v>
      </c>
      <c r="S3045" t="s">
        <v>1615</v>
      </c>
      <c r="T3045" t="s">
        <v>1479</v>
      </c>
    </row>
    <row r="3046" spans="1:20" x14ac:dyDescent="0.25">
      <c r="A3046">
        <v>9</v>
      </c>
      <c r="B3046">
        <v>199</v>
      </c>
      <c r="C3046" t="str">
        <f>"36"</f>
        <v>36</v>
      </c>
      <c r="D3046">
        <v>6411</v>
      </c>
      <c r="E3046" t="str">
        <f>"8S"</f>
        <v>8S</v>
      </c>
      <c r="F3046" t="str">
        <f>"001"</f>
        <v>001</v>
      </c>
      <c r="G3046">
        <v>9</v>
      </c>
      <c r="H3046" t="str">
        <f t="shared" si="552"/>
        <v>99</v>
      </c>
      <c r="I3046" t="str">
        <f>"1"</f>
        <v>1</v>
      </c>
      <c r="J3046" t="str">
        <f>"01"</f>
        <v>01</v>
      </c>
      <c r="K3046">
        <v>20181012</v>
      </c>
      <c r="L3046" t="str">
        <f>"074275"</f>
        <v>074275</v>
      </c>
      <c r="M3046" t="str">
        <f>"46348"</f>
        <v>46348</v>
      </c>
      <c r="N3046" t="s">
        <v>1631</v>
      </c>
      <c r="O3046">
        <v>50</v>
      </c>
      <c r="P3046">
        <v>20181011</v>
      </c>
      <c r="Q3046" t="s">
        <v>1632</v>
      </c>
      <c r="R3046" t="s">
        <v>2231</v>
      </c>
      <c r="S3046" t="s">
        <v>1615</v>
      </c>
      <c r="T3046" t="s">
        <v>301</v>
      </c>
    </row>
    <row r="3047" spans="1:20" x14ac:dyDescent="0.25">
      <c r="A3047">
        <v>9</v>
      </c>
      <c r="B3047">
        <v>199</v>
      </c>
      <c r="C3047" t="str">
        <f>"36"</f>
        <v>36</v>
      </c>
      <c r="D3047">
        <v>6412</v>
      </c>
      <c r="E3047" t="str">
        <f>"8S"</f>
        <v>8S</v>
      </c>
      <c r="F3047" t="str">
        <f>"001"</f>
        <v>001</v>
      </c>
      <c r="G3047">
        <v>9</v>
      </c>
      <c r="H3047" t="str">
        <f t="shared" si="552"/>
        <v>99</v>
      </c>
      <c r="I3047" t="str">
        <f>"1"</f>
        <v>1</v>
      </c>
      <c r="J3047" t="str">
        <f>"01"</f>
        <v>01</v>
      </c>
      <c r="K3047">
        <v>20181012</v>
      </c>
      <c r="L3047" t="str">
        <f>"074275"</f>
        <v>074275</v>
      </c>
      <c r="M3047" t="str">
        <f>"46348"</f>
        <v>46348</v>
      </c>
      <c r="N3047" t="s">
        <v>1631</v>
      </c>
      <c r="O3047">
        <v>525</v>
      </c>
      <c r="P3047">
        <v>20181011</v>
      </c>
      <c r="Q3047" t="s">
        <v>1634</v>
      </c>
      <c r="R3047" t="s">
        <v>2231</v>
      </c>
      <c r="S3047" t="s">
        <v>1615</v>
      </c>
      <c r="T3047" t="s">
        <v>301</v>
      </c>
    </row>
    <row r="3048" spans="1:20" x14ac:dyDescent="0.25">
      <c r="A3048">
        <v>9</v>
      </c>
      <c r="B3048">
        <v>199</v>
      </c>
      <c r="C3048" t="str">
        <f>"51"</f>
        <v>51</v>
      </c>
      <c r="D3048">
        <v>6249</v>
      </c>
      <c r="E3048" t="str">
        <f>"M6"</f>
        <v>M6</v>
      </c>
      <c r="F3048" t="str">
        <f>"936"</f>
        <v>936</v>
      </c>
      <c r="G3048">
        <v>9</v>
      </c>
      <c r="H3048" t="str">
        <f t="shared" si="552"/>
        <v>99</v>
      </c>
      <c r="I3048" t="str">
        <f t="shared" ref="I3048:I3069" si="553">"0"</f>
        <v>0</v>
      </c>
      <c r="J3048" t="str">
        <f>"81"</f>
        <v>81</v>
      </c>
      <c r="K3048">
        <v>20181012</v>
      </c>
      <c r="L3048" t="str">
        <f>"074276"</f>
        <v>074276</v>
      </c>
      <c r="M3048" t="str">
        <f>"46369"</f>
        <v>46369</v>
      </c>
      <c r="N3048" t="s">
        <v>2086</v>
      </c>
      <c r="O3048">
        <v>300</v>
      </c>
      <c r="P3048">
        <v>20181011</v>
      </c>
      <c r="Q3048" t="s">
        <v>2089</v>
      </c>
      <c r="R3048" t="s">
        <v>2269</v>
      </c>
      <c r="S3048" t="s">
        <v>1615</v>
      </c>
      <c r="T3048" t="s">
        <v>1713</v>
      </c>
    </row>
    <row r="3049" spans="1:20" x14ac:dyDescent="0.25">
      <c r="A3049">
        <v>9</v>
      </c>
      <c r="B3049">
        <v>199</v>
      </c>
      <c r="C3049" t="str">
        <f>"00"</f>
        <v>00</v>
      </c>
      <c r="D3049">
        <v>2110</v>
      </c>
      <c r="E3049" t="str">
        <f>"18"</f>
        <v>18</v>
      </c>
      <c r="F3049" t="str">
        <f>"000"</f>
        <v>000</v>
      </c>
      <c r="G3049">
        <v>9</v>
      </c>
      <c r="H3049" t="str">
        <f>"00"</f>
        <v>00</v>
      </c>
      <c r="I3049" t="str">
        <f t="shared" si="553"/>
        <v>0</v>
      </c>
      <c r="J3049" t="str">
        <f>"00"</f>
        <v>00</v>
      </c>
      <c r="K3049">
        <v>20181012</v>
      </c>
      <c r="L3049" t="str">
        <f>"074277"</f>
        <v>074277</v>
      </c>
      <c r="M3049" t="str">
        <f>"46398"</f>
        <v>46398</v>
      </c>
      <c r="N3049" t="s">
        <v>1636</v>
      </c>
      <c r="O3049">
        <v>309.37</v>
      </c>
      <c r="P3049">
        <v>20181011</v>
      </c>
      <c r="Q3049" t="s">
        <v>1613</v>
      </c>
      <c r="R3049" t="s">
        <v>2270</v>
      </c>
      <c r="S3049" t="s">
        <v>1615</v>
      </c>
      <c r="T3049" t="s">
        <v>296</v>
      </c>
    </row>
    <row r="3050" spans="1:20" x14ac:dyDescent="0.25">
      <c r="A3050">
        <v>9</v>
      </c>
      <c r="B3050">
        <v>199</v>
      </c>
      <c r="C3050" t="str">
        <f>"00"</f>
        <v>00</v>
      </c>
      <c r="D3050">
        <v>2110</v>
      </c>
      <c r="E3050" t="str">
        <f>"18"</f>
        <v>18</v>
      </c>
      <c r="F3050" t="str">
        <f>"000"</f>
        <v>000</v>
      </c>
      <c r="G3050">
        <v>9</v>
      </c>
      <c r="H3050" t="str">
        <f>"00"</f>
        <v>00</v>
      </c>
      <c r="I3050" t="str">
        <f t="shared" si="553"/>
        <v>0</v>
      </c>
      <c r="J3050" t="str">
        <f>"00"</f>
        <v>00</v>
      </c>
      <c r="K3050">
        <v>20181012</v>
      </c>
      <c r="L3050" t="str">
        <f>"074277"</f>
        <v>074277</v>
      </c>
      <c r="M3050" t="str">
        <f>"46398"</f>
        <v>46398</v>
      </c>
      <c r="N3050" t="s">
        <v>1636</v>
      </c>
      <c r="O3050" s="1">
        <v>16129.95</v>
      </c>
      <c r="P3050">
        <v>20181011</v>
      </c>
      <c r="Q3050" t="s">
        <v>1613</v>
      </c>
      <c r="R3050" t="s">
        <v>2270</v>
      </c>
      <c r="S3050" t="s">
        <v>1615</v>
      </c>
      <c r="T3050" t="s">
        <v>296</v>
      </c>
    </row>
    <row r="3051" spans="1:20" x14ac:dyDescent="0.25">
      <c r="A3051">
        <v>9</v>
      </c>
      <c r="B3051">
        <v>199</v>
      </c>
      <c r="C3051" t="str">
        <f>"00"</f>
        <v>00</v>
      </c>
      <c r="D3051">
        <v>1291</v>
      </c>
      <c r="E3051" t="str">
        <f>"05"</f>
        <v>05</v>
      </c>
      <c r="F3051" t="str">
        <f>"000"</f>
        <v>000</v>
      </c>
      <c r="G3051">
        <v>9</v>
      </c>
      <c r="H3051" t="str">
        <f>"00"</f>
        <v>00</v>
      </c>
      <c r="I3051" t="str">
        <f t="shared" si="553"/>
        <v>0</v>
      </c>
      <c r="J3051" t="str">
        <f>"00"</f>
        <v>00</v>
      </c>
      <c r="K3051">
        <v>20181012</v>
      </c>
      <c r="L3051" t="str">
        <f>"074278"</f>
        <v>074278</v>
      </c>
      <c r="M3051" t="str">
        <f>"46398"</f>
        <v>46398</v>
      </c>
      <c r="N3051" t="s">
        <v>1636</v>
      </c>
      <c r="O3051" s="1">
        <v>1820</v>
      </c>
      <c r="P3051">
        <v>20181011</v>
      </c>
      <c r="Q3051" t="s">
        <v>1637</v>
      </c>
      <c r="R3051" t="s">
        <v>2271</v>
      </c>
      <c r="S3051" t="s">
        <v>1615</v>
      </c>
      <c r="T3051" t="s">
        <v>296</v>
      </c>
    </row>
    <row r="3052" spans="1:20" x14ac:dyDescent="0.25">
      <c r="A3052">
        <v>9</v>
      </c>
      <c r="B3052">
        <v>199</v>
      </c>
      <c r="C3052" t="str">
        <f>"00"</f>
        <v>00</v>
      </c>
      <c r="D3052">
        <v>1291</v>
      </c>
      <c r="E3052" t="str">
        <f>"05"</f>
        <v>05</v>
      </c>
      <c r="F3052" t="str">
        <f>"000"</f>
        <v>000</v>
      </c>
      <c r="G3052">
        <v>9</v>
      </c>
      <c r="H3052" t="str">
        <f>"00"</f>
        <v>00</v>
      </c>
      <c r="I3052" t="str">
        <f t="shared" si="553"/>
        <v>0</v>
      </c>
      <c r="J3052" t="str">
        <f>"00"</f>
        <v>00</v>
      </c>
      <c r="K3052">
        <v>20181012</v>
      </c>
      <c r="L3052" t="str">
        <f>"074279"</f>
        <v>074279</v>
      </c>
      <c r="M3052" t="str">
        <f>"46351"</f>
        <v>46351</v>
      </c>
      <c r="N3052" t="s">
        <v>1639</v>
      </c>
      <c r="O3052" s="1">
        <v>11074.01</v>
      </c>
      <c r="P3052">
        <v>20181011</v>
      </c>
      <c r="Q3052" t="s">
        <v>1637</v>
      </c>
      <c r="R3052" t="s">
        <v>2272</v>
      </c>
      <c r="S3052" t="s">
        <v>1615</v>
      </c>
      <c r="T3052" t="s">
        <v>296</v>
      </c>
    </row>
    <row r="3053" spans="1:20" x14ac:dyDescent="0.25">
      <c r="A3053">
        <v>9</v>
      </c>
      <c r="B3053">
        <v>199</v>
      </c>
      <c r="C3053" t="str">
        <f>"41"</f>
        <v>41</v>
      </c>
      <c r="D3053">
        <v>6269</v>
      </c>
      <c r="E3053" t="str">
        <f>"10"</f>
        <v>10</v>
      </c>
      <c r="F3053" t="str">
        <f>"933"</f>
        <v>933</v>
      </c>
      <c r="G3053">
        <v>9</v>
      </c>
      <c r="H3053" t="str">
        <f>"99"</f>
        <v>99</v>
      </c>
      <c r="I3053" t="str">
        <f t="shared" si="553"/>
        <v>0</v>
      </c>
      <c r="J3053" t="str">
        <f>"85"</f>
        <v>85</v>
      </c>
      <c r="K3053">
        <v>20181012</v>
      </c>
      <c r="L3053" t="str">
        <f>"074279"</f>
        <v>074279</v>
      </c>
      <c r="M3053" t="str">
        <f>"46351"</f>
        <v>46351</v>
      </c>
      <c r="N3053" t="s">
        <v>1639</v>
      </c>
      <c r="O3053" s="1">
        <v>4248.04</v>
      </c>
      <c r="P3053">
        <v>20181011</v>
      </c>
      <c r="Q3053" t="s">
        <v>1642</v>
      </c>
      <c r="R3053" t="s">
        <v>2272</v>
      </c>
      <c r="S3053" t="s">
        <v>1615</v>
      </c>
      <c r="T3053" t="s">
        <v>1643</v>
      </c>
    </row>
    <row r="3054" spans="1:20" x14ac:dyDescent="0.25">
      <c r="A3054">
        <v>9</v>
      </c>
      <c r="B3054">
        <v>199</v>
      </c>
      <c r="C3054" t="str">
        <f>"51"</f>
        <v>51</v>
      </c>
      <c r="D3054">
        <v>6319</v>
      </c>
      <c r="E3054" t="str">
        <f>"M3"</f>
        <v>M3</v>
      </c>
      <c r="F3054" t="str">
        <f>"936"</f>
        <v>936</v>
      </c>
      <c r="G3054">
        <v>9</v>
      </c>
      <c r="H3054" t="str">
        <f>"99"</f>
        <v>99</v>
      </c>
      <c r="I3054" t="str">
        <f t="shared" si="553"/>
        <v>0</v>
      </c>
      <c r="J3054" t="str">
        <f>"81"</f>
        <v>81</v>
      </c>
      <c r="K3054">
        <v>20181012</v>
      </c>
      <c r="L3054" t="str">
        <f>"074283"</f>
        <v>074283</v>
      </c>
      <c r="M3054" t="str">
        <f>"49970"</f>
        <v>49970</v>
      </c>
      <c r="N3054" t="s">
        <v>2273</v>
      </c>
      <c r="O3054" s="1">
        <v>1020</v>
      </c>
      <c r="P3054">
        <v>20181011</v>
      </c>
      <c r="Q3054" t="s">
        <v>2246</v>
      </c>
      <c r="R3054" t="s">
        <v>2274</v>
      </c>
      <c r="S3054" t="s">
        <v>1615</v>
      </c>
      <c r="T3054" t="s">
        <v>1713</v>
      </c>
    </row>
    <row r="3055" spans="1:20" x14ac:dyDescent="0.25">
      <c r="A3055">
        <v>9</v>
      </c>
      <c r="B3055">
        <v>199</v>
      </c>
      <c r="C3055" t="str">
        <f>"11"</f>
        <v>11</v>
      </c>
      <c r="D3055">
        <v>6399</v>
      </c>
      <c r="E3055" t="str">
        <f>"12"</f>
        <v>12</v>
      </c>
      <c r="F3055" t="str">
        <f>"002"</f>
        <v>002</v>
      </c>
      <c r="G3055">
        <v>9</v>
      </c>
      <c r="H3055" t="str">
        <f>"11"</f>
        <v>11</v>
      </c>
      <c r="I3055" t="str">
        <f t="shared" si="553"/>
        <v>0</v>
      </c>
      <c r="J3055" t="str">
        <f>"02"</f>
        <v>02</v>
      </c>
      <c r="K3055">
        <v>20181012</v>
      </c>
      <c r="L3055" t="str">
        <f>"074285"</f>
        <v>074285</v>
      </c>
      <c r="M3055" t="str">
        <f>"58211"</f>
        <v>58211</v>
      </c>
      <c r="N3055" t="s">
        <v>1472</v>
      </c>
      <c r="O3055">
        <v>95.4</v>
      </c>
      <c r="P3055">
        <v>20181011</v>
      </c>
      <c r="Q3055" t="s">
        <v>2275</v>
      </c>
      <c r="R3055" t="s">
        <v>2276</v>
      </c>
      <c r="S3055" t="s">
        <v>1615</v>
      </c>
      <c r="T3055" t="s">
        <v>1485</v>
      </c>
    </row>
    <row r="3056" spans="1:20" x14ac:dyDescent="0.25">
      <c r="A3056">
        <v>9</v>
      </c>
      <c r="B3056">
        <v>199</v>
      </c>
      <c r="C3056" t="str">
        <f>"33"</f>
        <v>33</v>
      </c>
      <c r="D3056">
        <v>6399</v>
      </c>
      <c r="E3056" t="str">
        <f>"8F"</f>
        <v>8F</v>
      </c>
      <c r="F3056" t="str">
        <f>"002"</f>
        <v>002</v>
      </c>
      <c r="G3056">
        <v>9</v>
      </c>
      <c r="H3056" t="str">
        <f>"99"</f>
        <v>99</v>
      </c>
      <c r="I3056" t="str">
        <f t="shared" si="553"/>
        <v>0</v>
      </c>
      <c r="J3056" t="str">
        <f>"02"</f>
        <v>02</v>
      </c>
      <c r="K3056">
        <v>20181012</v>
      </c>
      <c r="L3056" t="str">
        <f>"074285"</f>
        <v>074285</v>
      </c>
      <c r="M3056" t="str">
        <f>"58211"</f>
        <v>58211</v>
      </c>
      <c r="N3056" t="s">
        <v>1472</v>
      </c>
      <c r="O3056">
        <v>95.84</v>
      </c>
      <c r="P3056">
        <v>20181011</v>
      </c>
      <c r="Q3056" t="s">
        <v>2277</v>
      </c>
      <c r="R3056" t="s">
        <v>2278</v>
      </c>
      <c r="S3056" t="s">
        <v>1615</v>
      </c>
      <c r="T3056" t="s">
        <v>1485</v>
      </c>
    </row>
    <row r="3057" spans="1:20" x14ac:dyDescent="0.25">
      <c r="A3057">
        <v>9</v>
      </c>
      <c r="B3057">
        <v>199</v>
      </c>
      <c r="C3057" t="str">
        <f>"00"</f>
        <v>00</v>
      </c>
      <c r="D3057">
        <v>2110</v>
      </c>
      <c r="E3057" t="str">
        <f>"18"</f>
        <v>18</v>
      </c>
      <c r="F3057" t="str">
        <f>"000"</f>
        <v>000</v>
      </c>
      <c r="G3057">
        <v>9</v>
      </c>
      <c r="H3057" t="str">
        <f>"00"</f>
        <v>00</v>
      </c>
      <c r="I3057" t="str">
        <f t="shared" si="553"/>
        <v>0</v>
      </c>
      <c r="J3057" t="str">
        <f>"00"</f>
        <v>00</v>
      </c>
      <c r="K3057">
        <v>20181012</v>
      </c>
      <c r="L3057" t="str">
        <f>"074286"</f>
        <v>074286</v>
      </c>
      <c r="M3057" t="str">
        <f>"52185"</f>
        <v>52185</v>
      </c>
      <c r="N3057" t="s">
        <v>1748</v>
      </c>
      <c r="O3057" s="1">
        <v>6400</v>
      </c>
      <c r="P3057">
        <v>20181012</v>
      </c>
      <c r="Q3057" t="s">
        <v>1613</v>
      </c>
      <c r="R3057" t="s">
        <v>2279</v>
      </c>
      <c r="S3057" t="s">
        <v>1615</v>
      </c>
      <c r="T3057" t="s">
        <v>296</v>
      </c>
    </row>
    <row r="3058" spans="1:20" x14ac:dyDescent="0.25">
      <c r="A3058">
        <v>9</v>
      </c>
      <c r="B3058">
        <v>199</v>
      </c>
      <c r="C3058" t="str">
        <f>"11"</f>
        <v>11</v>
      </c>
      <c r="D3058">
        <v>6396</v>
      </c>
      <c r="E3058" t="str">
        <f>"50"</f>
        <v>50</v>
      </c>
      <c r="F3058" t="str">
        <f>"001"</f>
        <v>001</v>
      </c>
      <c r="G3058">
        <v>9</v>
      </c>
      <c r="H3058" t="str">
        <f>"11"</f>
        <v>11</v>
      </c>
      <c r="I3058" t="str">
        <f t="shared" si="553"/>
        <v>0</v>
      </c>
      <c r="J3058" t="str">
        <f>"80"</f>
        <v>80</v>
      </c>
      <c r="K3058">
        <v>20181012</v>
      </c>
      <c r="L3058" t="str">
        <f>"074290"</f>
        <v>074290</v>
      </c>
      <c r="M3058" t="str">
        <f>"00572"</f>
        <v>00572</v>
      </c>
      <c r="N3058" t="s">
        <v>2280</v>
      </c>
      <c r="O3058">
        <v>450</v>
      </c>
      <c r="P3058">
        <v>20181011</v>
      </c>
      <c r="Q3058" t="s">
        <v>2281</v>
      </c>
      <c r="R3058" t="s">
        <v>2282</v>
      </c>
      <c r="S3058" t="s">
        <v>1615</v>
      </c>
      <c r="T3058" t="s">
        <v>301</v>
      </c>
    </row>
    <row r="3059" spans="1:20" x14ac:dyDescent="0.25">
      <c r="A3059">
        <v>9</v>
      </c>
      <c r="B3059">
        <v>199</v>
      </c>
      <c r="C3059" t="str">
        <f>"11"</f>
        <v>11</v>
      </c>
      <c r="D3059">
        <v>6396</v>
      </c>
      <c r="E3059" t="str">
        <f>"50"</f>
        <v>50</v>
      </c>
      <c r="F3059" t="str">
        <f>"041"</f>
        <v>041</v>
      </c>
      <c r="G3059">
        <v>9</v>
      </c>
      <c r="H3059" t="str">
        <f>"11"</f>
        <v>11</v>
      </c>
      <c r="I3059" t="str">
        <f t="shared" si="553"/>
        <v>0</v>
      </c>
      <c r="J3059" t="str">
        <f>"80"</f>
        <v>80</v>
      </c>
      <c r="K3059">
        <v>20181012</v>
      </c>
      <c r="L3059" t="str">
        <f>"074290"</f>
        <v>074290</v>
      </c>
      <c r="M3059" t="str">
        <f>"00572"</f>
        <v>00572</v>
      </c>
      <c r="N3059" t="s">
        <v>2280</v>
      </c>
      <c r="O3059">
        <v>450</v>
      </c>
      <c r="P3059">
        <v>20181011</v>
      </c>
      <c r="Q3059" t="s">
        <v>2283</v>
      </c>
      <c r="R3059" t="s">
        <v>2282</v>
      </c>
      <c r="S3059" t="s">
        <v>1615</v>
      </c>
      <c r="T3059" t="s">
        <v>106</v>
      </c>
    </row>
    <row r="3060" spans="1:20" x14ac:dyDescent="0.25">
      <c r="A3060">
        <v>9</v>
      </c>
      <c r="B3060">
        <v>199</v>
      </c>
      <c r="C3060" t="str">
        <f>"11"</f>
        <v>11</v>
      </c>
      <c r="D3060">
        <v>6396</v>
      </c>
      <c r="E3060" t="str">
        <f>"50"</f>
        <v>50</v>
      </c>
      <c r="F3060" t="str">
        <f>"101"</f>
        <v>101</v>
      </c>
      <c r="G3060">
        <v>9</v>
      </c>
      <c r="H3060" t="str">
        <f>"11"</f>
        <v>11</v>
      </c>
      <c r="I3060" t="str">
        <f t="shared" si="553"/>
        <v>0</v>
      </c>
      <c r="J3060" t="str">
        <f>"80"</f>
        <v>80</v>
      </c>
      <c r="K3060">
        <v>20181012</v>
      </c>
      <c r="L3060" t="str">
        <f>"074290"</f>
        <v>074290</v>
      </c>
      <c r="M3060" t="str">
        <f>"00572"</f>
        <v>00572</v>
      </c>
      <c r="N3060" t="s">
        <v>2280</v>
      </c>
      <c r="O3060">
        <v>450</v>
      </c>
      <c r="P3060">
        <v>20181011</v>
      </c>
      <c r="Q3060" t="s">
        <v>2284</v>
      </c>
      <c r="R3060" t="s">
        <v>2282</v>
      </c>
      <c r="S3060" t="s">
        <v>1615</v>
      </c>
      <c r="T3060" t="s">
        <v>1479</v>
      </c>
    </row>
    <row r="3061" spans="1:20" x14ac:dyDescent="0.25">
      <c r="A3061">
        <v>9</v>
      </c>
      <c r="B3061">
        <v>199</v>
      </c>
      <c r="C3061" t="str">
        <f>"11"</f>
        <v>11</v>
      </c>
      <c r="D3061">
        <v>6396</v>
      </c>
      <c r="E3061" t="str">
        <f>"50"</f>
        <v>50</v>
      </c>
      <c r="F3061" t="str">
        <f>"104"</f>
        <v>104</v>
      </c>
      <c r="G3061">
        <v>9</v>
      </c>
      <c r="H3061" t="str">
        <f>"11"</f>
        <v>11</v>
      </c>
      <c r="I3061" t="str">
        <f t="shared" si="553"/>
        <v>0</v>
      </c>
      <c r="J3061" t="str">
        <f>"80"</f>
        <v>80</v>
      </c>
      <c r="K3061">
        <v>20181012</v>
      </c>
      <c r="L3061" t="str">
        <f>"074290"</f>
        <v>074290</v>
      </c>
      <c r="M3061" t="str">
        <f>"00572"</f>
        <v>00572</v>
      </c>
      <c r="N3061" t="s">
        <v>2280</v>
      </c>
      <c r="O3061">
        <v>450</v>
      </c>
      <c r="P3061">
        <v>20181011</v>
      </c>
      <c r="Q3061" t="s">
        <v>2285</v>
      </c>
      <c r="R3061" t="s">
        <v>2282</v>
      </c>
      <c r="S3061" t="s">
        <v>1615</v>
      </c>
      <c r="T3061" t="s">
        <v>46</v>
      </c>
    </row>
    <row r="3062" spans="1:20" x14ac:dyDescent="0.25">
      <c r="A3062">
        <v>9</v>
      </c>
      <c r="B3062">
        <v>199</v>
      </c>
      <c r="C3062" t="str">
        <f>"11"</f>
        <v>11</v>
      </c>
      <c r="D3062">
        <v>6329</v>
      </c>
      <c r="E3062" t="str">
        <f>"VB"</f>
        <v>VB</v>
      </c>
      <c r="F3062" t="str">
        <f>"001"</f>
        <v>001</v>
      </c>
      <c r="G3062">
        <v>9</v>
      </c>
      <c r="H3062" t="str">
        <f>"22"</f>
        <v>22</v>
      </c>
      <c r="I3062" t="str">
        <f t="shared" si="553"/>
        <v>0</v>
      </c>
      <c r="J3062" t="str">
        <f>"22"</f>
        <v>22</v>
      </c>
      <c r="K3062">
        <v>20181012</v>
      </c>
      <c r="L3062" t="str">
        <f>"074291"</f>
        <v>074291</v>
      </c>
      <c r="M3062" t="str">
        <f>"51606"</f>
        <v>51606</v>
      </c>
      <c r="N3062" t="s">
        <v>2286</v>
      </c>
      <c r="O3062" s="1">
        <v>1431.71</v>
      </c>
      <c r="P3062">
        <v>20181011</v>
      </c>
      <c r="Q3062" t="s">
        <v>2287</v>
      </c>
      <c r="R3062" t="s">
        <v>2288</v>
      </c>
      <c r="S3062" t="s">
        <v>1615</v>
      </c>
      <c r="T3062" t="s">
        <v>301</v>
      </c>
    </row>
    <row r="3063" spans="1:20" x14ac:dyDescent="0.25">
      <c r="A3063">
        <v>9</v>
      </c>
      <c r="B3063">
        <v>199</v>
      </c>
      <c r="C3063" t="str">
        <f>"51"</f>
        <v>51</v>
      </c>
      <c r="D3063">
        <v>6249</v>
      </c>
      <c r="E3063" t="str">
        <f>"M9"</f>
        <v>M9</v>
      </c>
      <c r="F3063" t="str">
        <f>"936"</f>
        <v>936</v>
      </c>
      <c r="G3063">
        <v>9</v>
      </c>
      <c r="H3063" t="str">
        <f>"99"</f>
        <v>99</v>
      </c>
      <c r="I3063" t="str">
        <f t="shared" si="553"/>
        <v>0</v>
      </c>
      <c r="J3063" t="str">
        <f>"81"</f>
        <v>81</v>
      </c>
      <c r="K3063">
        <v>20181012</v>
      </c>
      <c r="L3063" t="str">
        <f>"074292"</f>
        <v>074292</v>
      </c>
      <c r="M3063" t="str">
        <f>"58173"</f>
        <v>58173</v>
      </c>
      <c r="N3063" t="s">
        <v>1764</v>
      </c>
      <c r="O3063" s="1">
        <v>1150</v>
      </c>
      <c r="P3063">
        <v>20181011</v>
      </c>
      <c r="Q3063" t="s">
        <v>2289</v>
      </c>
      <c r="R3063" s="2">
        <v>43344</v>
      </c>
      <c r="S3063" t="s">
        <v>1615</v>
      </c>
      <c r="T3063" t="s">
        <v>1713</v>
      </c>
    </row>
    <row r="3064" spans="1:20" x14ac:dyDescent="0.25">
      <c r="A3064">
        <v>9</v>
      </c>
      <c r="B3064">
        <v>199</v>
      </c>
      <c r="C3064" t="str">
        <f>"11"</f>
        <v>11</v>
      </c>
      <c r="D3064">
        <v>6299</v>
      </c>
      <c r="E3064" t="str">
        <f>"NL"</f>
        <v>NL</v>
      </c>
      <c r="F3064" t="str">
        <f>"001"</f>
        <v>001</v>
      </c>
      <c r="G3064">
        <v>9</v>
      </c>
      <c r="H3064" t="str">
        <f>"22"</f>
        <v>22</v>
      </c>
      <c r="I3064" t="str">
        <f t="shared" si="553"/>
        <v>0</v>
      </c>
      <c r="J3064" t="str">
        <f>"22"</f>
        <v>22</v>
      </c>
      <c r="K3064">
        <v>20181012</v>
      </c>
      <c r="L3064" t="str">
        <f t="shared" ref="L3064:L3069" si="554">"074293"</f>
        <v>074293</v>
      </c>
      <c r="M3064" t="str">
        <f t="shared" ref="M3064:M3069" si="555">"58927"</f>
        <v>58927</v>
      </c>
      <c r="N3064" t="s">
        <v>1772</v>
      </c>
      <c r="O3064">
        <v>200</v>
      </c>
      <c r="P3064">
        <v>20181011</v>
      </c>
      <c r="Q3064" t="s">
        <v>2290</v>
      </c>
      <c r="R3064" t="s">
        <v>2291</v>
      </c>
      <c r="S3064" t="s">
        <v>1615</v>
      </c>
      <c r="T3064" t="s">
        <v>301</v>
      </c>
    </row>
    <row r="3065" spans="1:20" x14ac:dyDescent="0.25">
      <c r="A3065">
        <v>9</v>
      </c>
      <c r="B3065">
        <v>199</v>
      </c>
      <c r="C3065" t="str">
        <f>"11"</f>
        <v>11</v>
      </c>
      <c r="D3065">
        <v>6299</v>
      </c>
      <c r="E3065" t="str">
        <f>"NL"</f>
        <v>NL</v>
      </c>
      <c r="F3065" t="str">
        <f>"001"</f>
        <v>001</v>
      </c>
      <c r="G3065">
        <v>9</v>
      </c>
      <c r="H3065" t="str">
        <f>"22"</f>
        <v>22</v>
      </c>
      <c r="I3065" t="str">
        <f t="shared" si="553"/>
        <v>0</v>
      </c>
      <c r="J3065" t="str">
        <f>"22"</f>
        <v>22</v>
      </c>
      <c r="K3065">
        <v>20181012</v>
      </c>
      <c r="L3065" t="str">
        <f t="shared" si="554"/>
        <v>074293</v>
      </c>
      <c r="M3065" t="str">
        <f t="shared" si="555"/>
        <v>58927</v>
      </c>
      <c r="N3065" t="s">
        <v>1772</v>
      </c>
      <c r="O3065">
        <v>40</v>
      </c>
      <c r="P3065">
        <v>20181011</v>
      </c>
      <c r="Q3065" t="s">
        <v>2290</v>
      </c>
      <c r="R3065" t="s">
        <v>2291</v>
      </c>
      <c r="S3065" t="s">
        <v>1615</v>
      </c>
      <c r="T3065" t="s">
        <v>301</v>
      </c>
    </row>
    <row r="3066" spans="1:20" x14ac:dyDescent="0.25">
      <c r="A3066">
        <v>9</v>
      </c>
      <c r="B3066">
        <v>199</v>
      </c>
      <c r="C3066" t="str">
        <f>"34"</f>
        <v>34</v>
      </c>
      <c r="D3066">
        <v>6299</v>
      </c>
      <c r="E3066" t="str">
        <f>"10"</f>
        <v>10</v>
      </c>
      <c r="F3066" t="str">
        <f>"937"</f>
        <v>937</v>
      </c>
      <c r="G3066">
        <v>9</v>
      </c>
      <c r="H3066" t="str">
        <f>"99"</f>
        <v>99</v>
      </c>
      <c r="I3066" t="str">
        <f t="shared" si="553"/>
        <v>0</v>
      </c>
      <c r="J3066" t="str">
        <f>"82"</f>
        <v>82</v>
      </c>
      <c r="K3066">
        <v>20181012</v>
      </c>
      <c r="L3066" t="str">
        <f t="shared" si="554"/>
        <v>074293</v>
      </c>
      <c r="M3066" t="str">
        <f t="shared" si="555"/>
        <v>58927</v>
      </c>
      <c r="N3066" t="s">
        <v>1772</v>
      </c>
      <c r="O3066">
        <v>55</v>
      </c>
      <c r="P3066">
        <v>20181011</v>
      </c>
      <c r="Q3066" t="s">
        <v>2292</v>
      </c>
      <c r="R3066" t="s">
        <v>1773</v>
      </c>
      <c r="S3066" t="s">
        <v>1615</v>
      </c>
      <c r="T3066" t="s">
        <v>1810</v>
      </c>
    </row>
    <row r="3067" spans="1:20" x14ac:dyDescent="0.25">
      <c r="A3067">
        <v>9</v>
      </c>
      <c r="B3067">
        <v>199</v>
      </c>
      <c r="C3067" t="str">
        <f>"34"</f>
        <v>34</v>
      </c>
      <c r="D3067">
        <v>6299</v>
      </c>
      <c r="E3067" t="str">
        <f>"10"</f>
        <v>10</v>
      </c>
      <c r="F3067" t="str">
        <f>"937"</f>
        <v>937</v>
      </c>
      <c r="G3067">
        <v>9</v>
      </c>
      <c r="H3067" t="str">
        <f>"99"</f>
        <v>99</v>
      </c>
      <c r="I3067" t="str">
        <f t="shared" si="553"/>
        <v>0</v>
      </c>
      <c r="J3067" t="str">
        <f>"82"</f>
        <v>82</v>
      </c>
      <c r="K3067">
        <v>20181012</v>
      </c>
      <c r="L3067" t="str">
        <f t="shared" si="554"/>
        <v>074293</v>
      </c>
      <c r="M3067" t="str">
        <f t="shared" si="555"/>
        <v>58927</v>
      </c>
      <c r="N3067" t="s">
        <v>1772</v>
      </c>
      <c r="O3067">
        <v>60</v>
      </c>
      <c r="P3067">
        <v>20181011</v>
      </c>
      <c r="Q3067" t="s">
        <v>2292</v>
      </c>
      <c r="R3067" t="s">
        <v>1774</v>
      </c>
      <c r="S3067" t="s">
        <v>1615</v>
      </c>
      <c r="T3067" t="s">
        <v>1810</v>
      </c>
    </row>
    <row r="3068" spans="1:20" x14ac:dyDescent="0.25">
      <c r="A3068">
        <v>9</v>
      </c>
      <c r="B3068">
        <v>199</v>
      </c>
      <c r="C3068" t="str">
        <f>"34"</f>
        <v>34</v>
      </c>
      <c r="D3068">
        <v>6299</v>
      </c>
      <c r="E3068" t="str">
        <f>"10"</f>
        <v>10</v>
      </c>
      <c r="F3068" t="str">
        <f>"937"</f>
        <v>937</v>
      </c>
      <c r="G3068">
        <v>9</v>
      </c>
      <c r="H3068" t="str">
        <f>"99"</f>
        <v>99</v>
      </c>
      <c r="I3068" t="str">
        <f t="shared" si="553"/>
        <v>0</v>
      </c>
      <c r="J3068" t="str">
        <f>"82"</f>
        <v>82</v>
      </c>
      <c r="K3068">
        <v>20181012</v>
      </c>
      <c r="L3068" t="str">
        <f t="shared" si="554"/>
        <v>074293</v>
      </c>
      <c r="M3068" t="str">
        <f t="shared" si="555"/>
        <v>58927</v>
      </c>
      <c r="N3068" t="s">
        <v>1772</v>
      </c>
      <c r="O3068">
        <v>55</v>
      </c>
      <c r="P3068">
        <v>20181011</v>
      </c>
      <c r="Q3068" t="s">
        <v>2292</v>
      </c>
      <c r="R3068" t="s">
        <v>1774</v>
      </c>
      <c r="S3068" t="s">
        <v>1615</v>
      </c>
      <c r="T3068" t="s">
        <v>1810</v>
      </c>
    </row>
    <row r="3069" spans="1:20" x14ac:dyDescent="0.25">
      <c r="A3069">
        <v>9</v>
      </c>
      <c r="B3069">
        <v>199</v>
      </c>
      <c r="C3069" t="str">
        <f>"34"</f>
        <v>34</v>
      </c>
      <c r="D3069">
        <v>6299</v>
      </c>
      <c r="E3069" t="str">
        <f>"10"</f>
        <v>10</v>
      </c>
      <c r="F3069" t="str">
        <f>"937"</f>
        <v>937</v>
      </c>
      <c r="G3069">
        <v>9</v>
      </c>
      <c r="H3069" t="str">
        <f>"99"</f>
        <v>99</v>
      </c>
      <c r="I3069" t="str">
        <f t="shared" si="553"/>
        <v>0</v>
      </c>
      <c r="J3069" t="str">
        <f>"82"</f>
        <v>82</v>
      </c>
      <c r="K3069">
        <v>20181012</v>
      </c>
      <c r="L3069" t="str">
        <f t="shared" si="554"/>
        <v>074293</v>
      </c>
      <c r="M3069" t="str">
        <f t="shared" si="555"/>
        <v>58927</v>
      </c>
      <c r="N3069" t="s">
        <v>1772</v>
      </c>
      <c r="O3069">
        <v>150</v>
      </c>
      <c r="P3069">
        <v>20181011</v>
      </c>
      <c r="Q3069" t="s">
        <v>2292</v>
      </c>
      <c r="R3069" t="s">
        <v>2293</v>
      </c>
      <c r="S3069" t="s">
        <v>1615</v>
      </c>
      <c r="T3069" t="s">
        <v>1810</v>
      </c>
    </row>
    <row r="3070" spans="1:20" x14ac:dyDescent="0.25">
      <c r="A3070">
        <v>9</v>
      </c>
      <c r="B3070">
        <v>199</v>
      </c>
      <c r="C3070" t="str">
        <f>"13"</f>
        <v>13</v>
      </c>
      <c r="D3070">
        <v>6411</v>
      </c>
      <c r="E3070" t="str">
        <f>"7K"</f>
        <v>7K</v>
      </c>
      <c r="F3070" t="str">
        <f>"001"</f>
        <v>001</v>
      </c>
      <c r="G3070">
        <v>9</v>
      </c>
      <c r="H3070" t="str">
        <f>"11"</f>
        <v>11</v>
      </c>
      <c r="I3070" t="str">
        <f>"1"</f>
        <v>1</v>
      </c>
      <c r="J3070" t="str">
        <f>"01"</f>
        <v>01</v>
      </c>
      <c r="K3070">
        <v>20181012</v>
      </c>
      <c r="L3070" t="str">
        <f>"074294"</f>
        <v>074294</v>
      </c>
      <c r="M3070" t="str">
        <f>"59097"</f>
        <v>59097</v>
      </c>
      <c r="N3070" t="s">
        <v>2294</v>
      </c>
      <c r="O3070">
        <v>76.239999999999995</v>
      </c>
      <c r="P3070">
        <v>20181011</v>
      </c>
      <c r="Q3070" t="s">
        <v>2295</v>
      </c>
      <c r="R3070" t="s">
        <v>1834</v>
      </c>
      <c r="S3070" t="s">
        <v>1615</v>
      </c>
      <c r="T3070" t="s">
        <v>301</v>
      </c>
    </row>
    <row r="3071" spans="1:20" x14ac:dyDescent="0.25">
      <c r="A3071">
        <v>9</v>
      </c>
      <c r="B3071">
        <v>199</v>
      </c>
      <c r="C3071" t="str">
        <f>"00"</f>
        <v>00</v>
      </c>
      <c r="D3071">
        <v>1415</v>
      </c>
      <c r="E3071" t="str">
        <f>"01"</f>
        <v>01</v>
      </c>
      <c r="F3071" t="str">
        <f>"000"</f>
        <v>000</v>
      </c>
      <c r="G3071">
        <v>9</v>
      </c>
      <c r="H3071" t="str">
        <f>"00"</f>
        <v>00</v>
      </c>
      <c r="I3071" t="str">
        <f t="shared" ref="I3071:I3077" si="556">"0"</f>
        <v>0</v>
      </c>
      <c r="J3071" t="str">
        <f>"00"</f>
        <v>00</v>
      </c>
      <c r="K3071">
        <v>20181012</v>
      </c>
      <c r="L3071" t="str">
        <f>"074295"</f>
        <v>074295</v>
      </c>
      <c r="M3071" t="str">
        <f>"60362"</f>
        <v>60362</v>
      </c>
      <c r="N3071" t="s">
        <v>2296</v>
      </c>
      <c r="O3071" s="1">
        <v>4040</v>
      </c>
      <c r="P3071">
        <v>20181011</v>
      </c>
      <c r="Q3071" t="s">
        <v>2297</v>
      </c>
      <c r="R3071" t="s">
        <v>2298</v>
      </c>
      <c r="S3071" t="s">
        <v>1615</v>
      </c>
      <c r="T3071" t="s">
        <v>296</v>
      </c>
    </row>
    <row r="3072" spans="1:20" x14ac:dyDescent="0.25">
      <c r="A3072">
        <v>9</v>
      </c>
      <c r="B3072">
        <v>199</v>
      </c>
      <c r="C3072" t="str">
        <f>"41"</f>
        <v>41</v>
      </c>
      <c r="D3072">
        <v>6399</v>
      </c>
      <c r="E3072" t="str">
        <f>"10"</f>
        <v>10</v>
      </c>
      <c r="F3072" t="str">
        <f>"730"</f>
        <v>730</v>
      </c>
      <c r="G3072">
        <v>9</v>
      </c>
      <c r="H3072" t="str">
        <f>"99"</f>
        <v>99</v>
      </c>
      <c r="I3072" t="str">
        <f t="shared" si="556"/>
        <v>0</v>
      </c>
      <c r="J3072" t="str">
        <f>"95"</f>
        <v>95</v>
      </c>
      <c r="K3072">
        <v>20181012</v>
      </c>
      <c r="L3072" t="str">
        <f>"074296"</f>
        <v>074296</v>
      </c>
      <c r="M3072" t="str">
        <f>"60603"</f>
        <v>60603</v>
      </c>
      <c r="N3072" t="s">
        <v>1909</v>
      </c>
      <c r="O3072">
        <v>126.76</v>
      </c>
      <c r="P3072">
        <v>20181011</v>
      </c>
      <c r="Q3072" t="s">
        <v>1987</v>
      </c>
      <c r="R3072" t="s">
        <v>641</v>
      </c>
      <c r="S3072" t="s">
        <v>1615</v>
      </c>
      <c r="T3072" t="s">
        <v>1794</v>
      </c>
    </row>
    <row r="3073" spans="1:20" x14ac:dyDescent="0.25">
      <c r="A3073">
        <v>9</v>
      </c>
      <c r="B3073">
        <v>199</v>
      </c>
      <c r="C3073" t="str">
        <f>"00"</f>
        <v>00</v>
      </c>
      <c r="D3073">
        <v>2110</v>
      </c>
      <c r="E3073" t="str">
        <f>"18"</f>
        <v>18</v>
      </c>
      <c r="F3073" t="str">
        <f>"000"</f>
        <v>000</v>
      </c>
      <c r="G3073">
        <v>9</v>
      </c>
      <c r="H3073" t="str">
        <f>"00"</f>
        <v>00</v>
      </c>
      <c r="I3073" t="str">
        <f t="shared" si="556"/>
        <v>0</v>
      </c>
      <c r="J3073" t="str">
        <f>"00"</f>
        <v>00</v>
      </c>
      <c r="K3073">
        <v>20181012</v>
      </c>
      <c r="L3073" t="str">
        <f>"074297"</f>
        <v>074297</v>
      </c>
      <c r="M3073" t="str">
        <f>"61275"</f>
        <v>61275</v>
      </c>
      <c r="N3073" t="s">
        <v>2299</v>
      </c>
      <c r="O3073" s="1">
        <v>2676</v>
      </c>
      <c r="P3073">
        <v>20181011</v>
      </c>
      <c r="Q3073" t="s">
        <v>1613</v>
      </c>
      <c r="R3073" t="s">
        <v>2300</v>
      </c>
      <c r="S3073" t="s">
        <v>1615</v>
      </c>
      <c r="T3073" t="s">
        <v>296</v>
      </c>
    </row>
    <row r="3074" spans="1:20" x14ac:dyDescent="0.25">
      <c r="A3074">
        <v>9</v>
      </c>
      <c r="B3074">
        <v>199</v>
      </c>
      <c r="C3074" t="str">
        <f>"11"</f>
        <v>11</v>
      </c>
      <c r="D3074">
        <v>6399</v>
      </c>
      <c r="E3074" t="str">
        <f>"74"</f>
        <v>74</v>
      </c>
      <c r="F3074" t="str">
        <f>"041"</f>
        <v>041</v>
      </c>
      <c r="G3074">
        <v>9</v>
      </c>
      <c r="H3074" t="str">
        <f>"11"</f>
        <v>11</v>
      </c>
      <c r="I3074" t="str">
        <f t="shared" si="556"/>
        <v>0</v>
      </c>
      <c r="J3074" t="str">
        <f>"03"</f>
        <v>03</v>
      </c>
      <c r="K3074">
        <v>20181012</v>
      </c>
      <c r="L3074" t="str">
        <f>"074298"</f>
        <v>074298</v>
      </c>
      <c r="M3074" t="str">
        <f>"61912"</f>
        <v>61912</v>
      </c>
      <c r="N3074" t="s">
        <v>2301</v>
      </c>
      <c r="O3074">
        <v>67.3</v>
      </c>
      <c r="P3074">
        <v>20181011</v>
      </c>
      <c r="Q3074" t="s">
        <v>2302</v>
      </c>
      <c r="R3074" t="s">
        <v>2303</v>
      </c>
      <c r="S3074" t="s">
        <v>1615</v>
      </c>
      <c r="T3074" t="s">
        <v>106</v>
      </c>
    </row>
    <row r="3075" spans="1:20" x14ac:dyDescent="0.25">
      <c r="A3075">
        <v>9</v>
      </c>
      <c r="B3075">
        <v>199</v>
      </c>
      <c r="C3075" t="str">
        <f>"41"</f>
        <v>41</v>
      </c>
      <c r="D3075">
        <v>6329</v>
      </c>
      <c r="E3075" t="str">
        <f>"10"</f>
        <v>10</v>
      </c>
      <c r="F3075" t="str">
        <f>"701"</f>
        <v>701</v>
      </c>
      <c r="G3075">
        <v>9</v>
      </c>
      <c r="H3075" t="str">
        <f>"99"</f>
        <v>99</v>
      </c>
      <c r="I3075" t="str">
        <f t="shared" si="556"/>
        <v>0</v>
      </c>
      <c r="J3075" t="str">
        <f>"92"</f>
        <v>92</v>
      </c>
      <c r="K3075">
        <v>20181012</v>
      </c>
      <c r="L3075" t="str">
        <f>"074299"</f>
        <v>074299</v>
      </c>
      <c r="M3075" t="str">
        <f>"00355"</f>
        <v>00355</v>
      </c>
      <c r="N3075" t="s">
        <v>2304</v>
      </c>
      <c r="O3075">
        <v>28</v>
      </c>
      <c r="P3075">
        <v>20181011</v>
      </c>
      <c r="Q3075" t="s">
        <v>2305</v>
      </c>
      <c r="R3075" t="s">
        <v>2306</v>
      </c>
      <c r="S3075" t="s">
        <v>1615</v>
      </c>
      <c r="T3075" t="s">
        <v>1841</v>
      </c>
    </row>
    <row r="3076" spans="1:20" x14ac:dyDescent="0.25">
      <c r="A3076">
        <v>9</v>
      </c>
      <c r="B3076">
        <v>199</v>
      </c>
      <c r="C3076" t="str">
        <f>"00"</f>
        <v>00</v>
      </c>
      <c r="D3076">
        <v>2110</v>
      </c>
      <c r="E3076" t="str">
        <f>"18"</f>
        <v>18</v>
      </c>
      <c r="F3076" t="str">
        <f>"000"</f>
        <v>000</v>
      </c>
      <c r="G3076">
        <v>9</v>
      </c>
      <c r="H3076" t="str">
        <f>"00"</f>
        <v>00</v>
      </c>
      <c r="I3076" t="str">
        <f t="shared" si="556"/>
        <v>0</v>
      </c>
      <c r="J3076" t="str">
        <f>"00"</f>
        <v>00</v>
      </c>
      <c r="K3076">
        <v>20181012</v>
      </c>
      <c r="L3076" t="str">
        <f>"074300"</f>
        <v>074300</v>
      </c>
      <c r="M3076" t="str">
        <f>"00355"</f>
        <v>00355</v>
      </c>
      <c r="N3076" t="s">
        <v>2304</v>
      </c>
      <c r="O3076">
        <v>360</v>
      </c>
      <c r="P3076">
        <v>20181011</v>
      </c>
      <c r="Q3076" t="s">
        <v>1613</v>
      </c>
      <c r="R3076" t="s">
        <v>2307</v>
      </c>
      <c r="S3076" t="s">
        <v>1615</v>
      </c>
      <c r="T3076" t="s">
        <v>296</v>
      </c>
    </row>
    <row r="3077" spans="1:20" x14ac:dyDescent="0.25">
      <c r="A3077">
        <v>9</v>
      </c>
      <c r="B3077">
        <v>199</v>
      </c>
      <c r="C3077" t="str">
        <f>"51"</f>
        <v>51</v>
      </c>
      <c r="D3077">
        <v>6259</v>
      </c>
      <c r="E3077" t="str">
        <f>"10"</f>
        <v>10</v>
      </c>
      <c r="F3077" t="str">
        <f>"936"</f>
        <v>936</v>
      </c>
      <c r="G3077">
        <v>9</v>
      </c>
      <c r="H3077" t="str">
        <f t="shared" ref="H3077:H3083" si="557">"99"</f>
        <v>99</v>
      </c>
      <c r="I3077" t="str">
        <f t="shared" si="556"/>
        <v>0</v>
      </c>
      <c r="J3077" t="str">
        <f>"73"</f>
        <v>73</v>
      </c>
      <c r="K3077">
        <v>20181012</v>
      </c>
      <c r="L3077" t="str">
        <f>"074302"</f>
        <v>074302</v>
      </c>
      <c r="M3077" t="str">
        <f>"62340"</f>
        <v>62340</v>
      </c>
      <c r="N3077" t="s">
        <v>1787</v>
      </c>
      <c r="O3077" s="1">
        <v>5066.6499999999996</v>
      </c>
      <c r="P3077">
        <v>20181011</v>
      </c>
      <c r="Q3077" t="s">
        <v>1789</v>
      </c>
      <c r="R3077" t="s">
        <v>2308</v>
      </c>
      <c r="S3077" t="s">
        <v>1615</v>
      </c>
      <c r="T3077" t="s">
        <v>1713</v>
      </c>
    </row>
    <row r="3078" spans="1:20" x14ac:dyDescent="0.25">
      <c r="A3078">
        <v>9</v>
      </c>
      <c r="B3078">
        <v>199</v>
      </c>
      <c r="C3078" t="str">
        <f>"36"</f>
        <v>36</v>
      </c>
      <c r="D3078">
        <v>6411</v>
      </c>
      <c r="E3078" t="str">
        <f>"7E"</f>
        <v>7E</v>
      </c>
      <c r="F3078" t="str">
        <f>"001"</f>
        <v>001</v>
      </c>
      <c r="G3078">
        <v>9</v>
      </c>
      <c r="H3078" t="str">
        <f t="shared" si="557"/>
        <v>99</v>
      </c>
      <c r="I3078" t="str">
        <f>"1"</f>
        <v>1</v>
      </c>
      <c r="J3078" t="str">
        <f>"31"</f>
        <v>31</v>
      </c>
      <c r="K3078">
        <v>20181012</v>
      </c>
      <c r="L3078" t="str">
        <f>"074303"</f>
        <v>074303</v>
      </c>
      <c r="M3078" t="str">
        <f>"63053"</f>
        <v>63053</v>
      </c>
      <c r="N3078" t="s">
        <v>2309</v>
      </c>
      <c r="O3078">
        <v>16</v>
      </c>
      <c r="P3078">
        <v>20181011</v>
      </c>
      <c r="Q3078" t="s">
        <v>2310</v>
      </c>
      <c r="R3078" t="s">
        <v>2311</v>
      </c>
      <c r="S3078" t="s">
        <v>1615</v>
      </c>
      <c r="T3078" t="s">
        <v>301</v>
      </c>
    </row>
    <row r="3079" spans="1:20" x14ac:dyDescent="0.25">
      <c r="A3079">
        <v>9</v>
      </c>
      <c r="B3079">
        <v>199</v>
      </c>
      <c r="C3079" t="str">
        <f>"36"</f>
        <v>36</v>
      </c>
      <c r="D3079">
        <v>6412</v>
      </c>
      <c r="E3079" t="str">
        <f>"7E"</f>
        <v>7E</v>
      </c>
      <c r="F3079" t="str">
        <f>"001"</f>
        <v>001</v>
      </c>
      <c r="G3079">
        <v>9</v>
      </c>
      <c r="H3079" t="str">
        <f t="shared" si="557"/>
        <v>99</v>
      </c>
      <c r="I3079" t="str">
        <f>"1"</f>
        <v>1</v>
      </c>
      <c r="J3079" t="str">
        <f>"31"</f>
        <v>31</v>
      </c>
      <c r="K3079">
        <v>20181012</v>
      </c>
      <c r="L3079" t="str">
        <f>"074303"</f>
        <v>074303</v>
      </c>
      <c r="M3079" t="str">
        <f>"63053"</f>
        <v>63053</v>
      </c>
      <c r="N3079" t="s">
        <v>2309</v>
      </c>
      <c r="O3079">
        <v>250</v>
      </c>
      <c r="P3079">
        <v>20181011</v>
      </c>
      <c r="Q3079" t="s">
        <v>2312</v>
      </c>
      <c r="R3079" t="s">
        <v>2311</v>
      </c>
      <c r="S3079" t="s">
        <v>1615</v>
      </c>
      <c r="T3079" t="s">
        <v>301</v>
      </c>
    </row>
    <row r="3080" spans="1:20" x14ac:dyDescent="0.25">
      <c r="A3080">
        <v>9</v>
      </c>
      <c r="B3080">
        <v>199</v>
      </c>
      <c r="C3080" t="str">
        <f>"36"</f>
        <v>36</v>
      </c>
      <c r="D3080">
        <v>6412</v>
      </c>
      <c r="E3080" t="str">
        <f>"7E"</f>
        <v>7E</v>
      </c>
      <c r="F3080" t="str">
        <f>"001"</f>
        <v>001</v>
      </c>
      <c r="G3080">
        <v>9</v>
      </c>
      <c r="H3080" t="str">
        <f t="shared" si="557"/>
        <v>99</v>
      </c>
      <c r="I3080" t="str">
        <f>"1"</f>
        <v>1</v>
      </c>
      <c r="J3080" t="str">
        <f>"31"</f>
        <v>31</v>
      </c>
      <c r="K3080">
        <v>20181012</v>
      </c>
      <c r="L3080" t="str">
        <f>"074303"</f>
        <v>074303</v>
      </c>
      <c r="M3080" t="str">
        <f>"63053"</f>
        <v>63053</v>
      </c>
      <c r="N3080" t="s">
        <v>2309</v>
      </c>
      <c r="O3080">
        <v>360</v>
      </c>
      <c r="P3080">
        <v>20181011</v>
      </c>
      <c r="Q3080" t="s">
        <v>2312</v>
      </c>
      <c r="R3080" t="s">
        <v>2311</v>
      </c>
      <c r="S3080" t="s">
        <v>1615</v>
      </c>
      <c r="T3080" t="s">
        <v>301</v>
      </c>
    </row>
    <row r="3081" spans="1:20" x14ac:dyDescent="0.25">
      <c r="A3081">
        <v>9</v>
      </c>
      <c r="B3081">
        <v>199</v>
      </c>
      <c r="C3081" t="str">
        <f>"23"</f>
        <v>23</v>
      </c>
      <c r="D3081">
        <v>6498</v>
      </c>
      <c r="E3081" t="str">
        <f>"10"</f>
        <v>10</v>
      </c>
      <c r="F3081" t="str">
        <f>"001"</f>
        <v>001</v>
      </c>
      <c r="G3081">
        <v>9</v>
      </c>
      <c r="H3081" t="str">
        <f t="shared" si="557"/>
        <v>99</v>
      </c>
      <c r="I3081" t="str">
        <f t="shared" ref="I3081:I3108" si="558">"0"</f>
        <v>0</v>
      </c>
      <c r="J3081" t="str">
        <f>"01"</f>
        <v>01</v>
      </c>
      <c r="K3081">
        <v>20181012</v>
      </c>
      <c r="L3081" t="str">
        <f>"074309"</f>
        <v>074309</v>
      </c>
      <c r="M3081" t="str">
        <f>"64610"</f>
        <v>64610</v>
      </c>
      <c r="N3081" t="s">
        <v>1062</v>
      </c>
      <c r="O3081">
        <v>195.4</v>
      </c>
      <c r="P3081">
        <v>20181011</v>
      </c>
      <c r="Q3081" t="s">
        <v>2108</v>
      </c>
      <c r="R3081" t="s">
        <v>2313</v>
      </c>
      <c r="S3081" t="s">
        <v>1615</v>
      </c>
      <c r="T3081" t="s">
        <v>301</v>
      </c>
    </row>
    <row r="3082" spans="1:20" x14ac:dyDescent="0.25">
      <c r="A3082">
        <v>9</v>
      </c>
      <c r="B3082">
        <v>199</v>
      </c>
      <c r="C3082" t="str">
        <f>"41"</f>
        <v>41</v>
      </c>
      <c r="D3082">
        <v>6498</v>
      </c>
      <c r="E3082" t="str">
        <f>"00"</f>
        <v>00</v>
      </c>
      <c r="F3082" t="str">
        <f>"709"</f>
        <v>709</v>
      </c>
      <c r="G3082">
        <v>9</v>
      </c>
      <c r="H3082" t="str">
        <f t="shared" si="557"/>
        <v>99</v>
      </c>
      <c r="I3082" t="str">
        <f t="shared" si="558"/>
        <v>0</v>
      </c>
      <c r="J3082" t="str">
        <f>"83"</f>
        <v>83</v>
      </c>
      <c r="K3082">
        <v>20181012</v>
      </c>
      <c r="L3082" t="str">
        <f>"074309"</f>
        <v>074309</v>
      </c>
      <c r="M3082" t="str">
        <f>"64610"</f>
        <v>64610</v>
      </c>
      <c r="N3082" t="s">
        <v>1062</v>
      </c>
      <c r="O3082">
        <v>208.4</v>
      </c>
      <c r="P3082">
        <v>20181011</v>
      </c>
      <c r="Q3082" t="s">
        <v>2314</v>
      </c>
      <c r="R3082" t="s">
        <v>2315</v>
      </c>
      <c r="S3082" t="s">
        <v>1615</v>
      </c>
      <c r="T3082" t="s">
        <v>1820</v>
      </c>
    </row>
    <row r="3083" spans="1:20" x14ac:dyDescent="0.25">
      <c r="A3083">
        <v>9</v>
      </c>
      <c r="B3083">
        <v>199</v>
      </c>
      <c r="C3083" t="str">
        <f>"36"</f>
        <v>36</v>
      </c>
      <c r="D3083">
        <v>6412</v>
      </c>
      <c r="E3083" t="str">
        <f>"H2"</f>
        <v>H2</v>
      </c>
      <c r="F3083" t="str">
        <f>"001"</f>
        <v>001</v>
      </c>
      <c r="G3083">
        <v>9</v>
      </c>
      <c r="H3083" t="str">
        <f t="shared" si="557"/>
        <v>99</v>
      </c>
      <c r="I3083" t="str">
        <f t="shared" si="558"/>
        <v>0</v>
      </c>
      <c r="J3083" t="str">
        <f>"37"</f>
        <v>37</v>
      </c>
      <c r="K3083">
        <v>20181012</v>
      </c>
      <c r="L3083" t="str">
        <f>"074311"</f>
        <v>074311</v>
      </c>
      <c r="M3083" t="str">
        <f>"65741"</f>
        <v>65741</v>
      </c>
      <c r="N3083" t="s">
        <v>2316</v>
      </c>
      <c r="O3083">
        <v>165</v>
      </c>
      <c r="P3083">
        <v>20181011</v>
      </c>
      <c r="Q3083" t="s">
        <v>1704</v>
      </c>
      <c r="R3083" t="s">
        <v>2317</v>
      </c>
      <c r="S3083" t="s">
        <v>1615</v>
      </c>
      <c r="T3083" t="s">
        <v>301</v>
      </c>
    </row>
    <row r="3084" spans="1:20" x14ac:dyDescent="0.25">
      <c r="A3084">
        <v>9</v>
      </c>
      <c r="B3084">
        <v>199</v>
      </c>
      <c r="C3084" t="str">
        <f>"11"</f>
        <v>11</v>
      </c>
      <c r="D3084">
        <v>6399</v>
      </c>
      <c r="E3084" t="str">
        <f>"8P"</f>
        <v>8P</v>
      </c>
      <c r="F3084" t="str">
        <f>"001"</f>
        <v>001</v>
      </c>
      <c r="G3084">
        <v>9</v>
      </c>
      <c r="H3084" t="str">
        <f>"11"</f>
        <v>11</v>
      </c>
      <c r="I3084" t="str">
        <f t="shared" si="558"/>
        <v>0</v>
      </c>
      <c r="J3084" t="str">
        <f>"01"</f>
        <v>01</v>
      </c>
      <c r="K3084">
        <v>20181012</v>
      </c>
      <c r="L3084" t="str">
        <f>"074312"</f>
        <v>074312</v>
      </c>
      <c r="M3084" t="str">
        <f>"65780"</f>
        <v>65780</v>
      </c>
      <c r="N3084" t="s">
        <v>2318</v>
      </c>
      <c r="O3084">
        <v>246.09</v>
      </c>
      <c r="P3084">
        <v>20181011</v>
      </c>
      <c r="Q3084" t="s">
        <v>2319</v>
      </c>
      <c r="R3084" t="s">
        <v>2320</v>
      </c>
      <c r="S3084" t="s">
        <v>1615</v>
      </c>
      <c r="T3084" t="s">
        <v>301</v>
      </c>
    </row>
    <row r="3085" spans="1:20" x14ac:dyDescent="0.25">
      <c r="A3085">
        <v>9</v>
      </c>
      <c r="B3085">
        <v>199</v>
      </c>
      <c r="C3085" t="str">
        <f>"33"</f>
        <v>33</v>
      </c>
      <c r="D3085">
        <v>6399</v>
      </c>
      <c r="E3085" t="str">
        <f>"8F"</f>
        <v>8F</v>
      </c>
      <c r="F3085" t="str">
        <f>"101"</f>
        <v>101</v>
      </c>
      <c r="G3085">
        <v>9</v>
      </c>
      <c r="H3085" t="str">
        <f>"99"</f>
        <v>99</v>
      </c>
      <c r="I3085" t="str">
        <f t="shared" si="558"/>
        <v>0</v>
      </c>
      <c r="J3085" t="str">
        <f>"04"</f>
        <v>04</v>
      </c>
      <c r="K3085">
        <v>20181012</v>
      </c>
      <c r="L3085" t="str">
        <f>"074314"</f>
        <v>074314</v>
      </c>
      <c r="M3085" t="str">
        <f>"65817"</f>
        <v>65817</v>
      </c>
      <c r="N3085" t="s">
        <v>2321</v>
      </c>
      <c r="O3085" s="1">
        <v>1109.19</v>
      </c>
      <c r="P3085">
        <v>20181011</v>
      </c>
      <c r="Q3085" t="s">
        <v>2322</v>
      </c>
      <c r="R3085" t="s">
        <v>2323</v>
      </c>
      <c r="S3085" t="s">
        <v>1615</v>
      </c>
      <c r="T3085" t="s">
        <v>1479</v>
      </c>
    </row>
    <row r="3086" spans="1:20" x14ac:dyDescent="0.25">
      <c r="A3086">
        <v>9</v>
      </c>
      <c r="B3086">
        <v>199</v>
      </c>
      <c r="C3086" t="str">
        <f>"41"</f>
        <v>41</v>
      </c>
      <c r="D3086">
        <v>6495</v>
      </c>
      <c r="E3086" t="str">
        <f>"11"</f>
        <v>11</v>
      </c>
      <c r="F3086" t="str">
        <f>"701"</f>
        <v>701</v>
      </c>
      <c r="G3086">
        <v>9</v>
      </c>
      <c r="H3086" t="str">
        <f>"99"</f>
        <v>99</v>
      </c>
      <c r="I3086" t="str">
        <f t="shared" si="558"/>
        <v>0</v>
      </c>
      <c r="J3086" t="str">
        <f>"92"</f>
        <v>92</v>
      </c>
      <c r="K3086">
        <v>20181012</v>
      </c>
      <c r="L3086" t="str">
        <f>"074318"</f>
        <v>074318</v>
      </c>
      <c r="M3086" t="str">
        <f>"70238"</f>
        <v>70238</v>
      </c>
      <c r="N3086" t="s">
        <v>2324</v>
      </c>
      <c r="O3086" s="1">
        <v>1454.09</v>
      </c>
      <c r="P3086">
        <v>20181011</v>
      </c>
      <c r="Q3086" t="s">
        <v>1839</v>
      </c>
      <c r="R3086" t="s">
        <v>1662</v>
      </c>
      <c r="S3086" t="s">
        <v>1615</v>
      </c>
      <c r="T3086" t="s">
        <v>1841</v>
      </c>
    </row>
    <row r="3087" spans="1:20" x14ac:dyDescent="0.25">
      <c r="A3087">
        <v>9</v>
      </c>
      <c r="B3087">
        <v>199</v>
      </c>
      <c r="C3087" t="str">
        <f>"11"</f>
        <v>11</v>
      </c>
      <c r="D3087">
        <v>6399</v>
      </c>
      <c r="E3087" t="str">
        <f>"45"</f>
        <v>45</v>
      </c>
      <c r="F3087" t="str">
        <f>"101"</f>
        <v>101</v>
      </c>
      <c r="G3087">
        <v>9</v>
      </c>
      <c r="H3087" t="str">
        <f>"11"</f>
        <v>11</v>
      </c>
      <c r="I3087" t="str">
        <f t="shared" si="558"/>
        <v>0</v>
      </c>
      <c r="J3087" t="str">
        <f>"04"</f>
        <v>04</v>
      </c>
      <c r="K3087">
        <v>20181012</v>
      </c>
      <c r="L3087" t="str">
        <f t="shared" ref="L3087:L3098" si="559">"074320"</f>
        <v>074320</v>
      </c>
      <c r="M3087" t="str">
        <f t="shared" ref="M3087:M3098" si="560">"72730"</f>
        <v>72730</v>
      </c>
      <c r="N3087" t="s">
        <v>639</v>
      </c>
      <c r="O3087">
        <v>353.31</v>
      </c>
      <c r="P3087">
        <v>20181012</v>
      </c>
      <c r="Q3087" t="s">
        <v>1859</v>
      </c>
      <c r="R3087" t="s">
        <v>641</v>
      </c>
      <c r="S3087" t="s">
        <v>1615</v>
      </c>
      <c r="T3087" t="s">
        <v>1479</v>
      </c>
    </row>
    <row r="3088" spans="1:20" x14ac:dyDescent="0.25">
      <c r="A3088">
        <v>9</v>
      </c>
      <c r="B3088">
        <v>199</v>
      </c>
      <c r="C3088" t="str">
        <f>"11"</f>
        <v>11</v>
      </c>
      <c r="D3088">
        <v>6399</v>
      </c>
      <c r="E3088" t="str">
        <f>"45"</f>
        <v>45</v>
      </c>
      <c r="F3088" t="str">
        <f>"101"</f>
        <v>101</v>
      </c>
      <c r="G3088">
        <v>9</v>
      </c>
      <c r="H3088" t="str">
        <f>"11"</f>
        <v>11</v>
      </c>
      <c r="I3088" t="str">
        <f t="shared" si="558"/>
        <v>0</v>
      </c>
      <c r="J3088" t="str">
        <f>"04"</f>
        <v>04</v>
      </c>
      <c r="K3088">
        <v>20181012</v>
      </c>
      <c r="L3088" t="str">
        <f t="shared" si="559"/>
        <v>074320</v>
      </c>
      <c r="M3088" t="str">
        <f t="shared" si="560"/>
        <v>72730</v>
      </c>
      <c r="N3088" t="s">
        <v>639</v>
      </c>
      <c r="O3088">
        <v>29.33</v>
      </c>
      <c r="P3088">
        <v>20181012</v>
      </c>
      <c r="Q3088" t="s">
        <v>1859</v>
      </c>
      <c r="R3088" t="s">
        <v>2325</v>
      </c>
      <c r="S3088" t="s">
        <v>1615</v>
      </c>
      <c r="T3088" t="s">
        <v>1479</v>
      </c>
    </row>
    <row r="3089" spans="1:20" x14ac:dyDescent="0.25">
      <c r="A3089">
        <v>9</v>
      </c>
      <c r="B3089">
        <v>199</v>
      </c>
      <c r="C3089" t="str">
        <f>"11"</f>
        <v>11</v>
      </c>
      <c r="D3089">
        <v>6399</v>
      </c>
      <c r="E3089" t="str">
        <f>"45"</f>
        <v>45</v>
      </c>
      <c r="F3089" t="str">
        <f>"101"</f>
        <v>101</v>
      </c>
      <c r="G3089">
        <v>9</v>
      </c>
      <c r="H3089" t="str">
        <f>"11"</f>
        <v>11</v>
      </c>
      <c r="I3089" t="str">
        <f t="shared" si="558"/>
        <v>0</v>
      </c>
      <c r="J3089" t="str">
        <f>"04"</f>
        <v>04</v>
      </c>
      <c r="K3089">
        <v>20181012</v>
      </c>
      <c r="L3089" t="str">
        <f t="shared" si="559"/>
        <v>074320</v>
      </c>
      <c r="M3089" t="str">
        <f t="shared" si="560"/>
        <v>72730</v>
      </c>
      <c r="N3089" t="s">
        <v>639</v>
      </c>
      <c r="O3089">
        <v>64.3</v>
      </c>
      <c r="P3089">
        <v>20181012</v>
      </c>
      <c r="Q3089" t="s">
        <v>1859</v>
      </c>
      <c r="R3089" t="s">
        <v>2325</v>
      </c>
      <c r="S3089" t="s">
        <v>1615</v>
      </c>
      <c r="T3089" t="s">
        <v>1479</v>
      </c>
    </row>
    <row r="3090" spans="1:20" x14ac:dyDescent="0.25">
      <c r="A3090">
        <v>9</v>
      </c>
      <c r="B3090">
        <v>199</v>
      </c>
      <c r="C3090" t="str">
        <f>"11"</f>
        <v>11</v>
      </c>
      <c r="D3090">
        <v>6399</v>
      </c>
      <c r="E3090" t="str">
        <f>"45"</f>
        <v>45</v>
      </c>
      <c r="F3090" t="str">
        <f>"101"</f>
        <v>101</v>
      </c>
      <c r="G3090">
        <v>9</v>
      </c>
      <c r="H3090" t="str">
        <f>"11"</f>
        <v>11</v>
      </c>
      <c r="I3090" t="str">
        <f t="shared" si="558"/>
        <v>0</v>
      </c>
      <c r="J3090" t="str">
        <f>"04"</f>
        <v>04</v>
      </c>
      <c r="K3090">
        <v>20181012</v>
      </c>
      <c r="L3090" t="str">
        <f t="shared" si="559"/>
        <v>074320</v>
      </c>
      <c r="M3090" t="str">
        <f t="shared" si="560"/>
        <v>72730</v>
      </c>
      <c r="N3090" t="s">
        <v>639</v>
      </c>
      <c r="O3090">
        <v>8.58</v>
      </c>
      <c r="P3090">
        <v>20181012</v>
      </c>
      <c r="Q3090" t="s">
        <v>1859</v>
      </c>
      <c r="R3090" t="s">
        <v>2325</v>
      </c>
      <c r="S3090" t="s">
        <v>1615</v>
      </c>
      <c r="T3090" t="s">
        <v>1479</v>
      </c>
    </row>
    <row r="3091" spans="1:20" x14ac:dyDescent="0.25">
      <c r="A3091">
        <v>9</v>
      </c>
      <c r="B3091">
        <v>199</v>
      </c>
      <c r="C3091" t="str">
        <f>"11"</f>
        <v>11</v>
      </c>
      <c r="D3091">
        <v>6399</v>
      </c>
      <c r="E3091" t="str">
        <f>"45"</f>
        <v>45</v>
      </c>
      <c r="F3091" t="str">
        <f t="shared" ref="F3091:F3098" si="561">"104"</f>
        <v>104</v>
      </c>
      <c r="G3091">
        <v>9</v>
      </c>
      <c r="H3091" t="str">
        <f>"11"</f>
        <v>11</v>
      </c>
      <c r="I3091" t="str">
        <f t="shared" si="558"/>
        <v>0</v>
      </c>
      <c r="J3091" t="str">
        <f t="shared" ref="J3091:J3098" si="562">"05"</f>
        <v>05</v>
      </c>
      <c r="K3091">
        <v>20181012</v>
      </c>
      <c r="L3091" t="str">
        <f t="shared" si="559"/>
        <v>074320</v>
      </c>
      <c r="M3091" t="str">
        <f t="shared" si="560"/>
        <v>72730</v>
      </c>
      <c r="N3091" t="s">
        <v>639</v>
      </c>
      <c r="O3091">
        <v>245.09</v>
      </c>
      <c r="P3091">
        <v>20181012</v>
      </c>
      <c r="Q3091" t="s">
        <v>2069</v>
      </c>
      <c r="R3091" t="s">
        <v>641</v>
      </c>
      <c r="S3091" t="s">
        <v>1615</v>
      </c>
      <c r="T3091" t="s">
        <v>46</v>
      </c>
    </row>
    <row r="3092" spans="1:20" x14ac:dyDescent="0.25">
      <c r="A3092">
        <v>9</v>
      </c>
      <c r="B3092">
        <v>199</v>
      </c>
      <c r="C3092" t="str">
        <f>"23"</f>
        <v>23</v>
      </c>
      <c r="D3092">
        <v>6399</v>
      </c>
      <c r="E3092" t="str">
        <f>"8K"</f>
        <v>8K</v>
      </c>
      <c r="F3092" t="str">
        <f t="shared" si="561"/>
        <v>104</v>
      </c>
      <c r="G3092">
        <v>9</v>
      </c>
      <c r="H3092" t="str">
        <f t="shared" ref="H3092:H3100" si="563">"99"</f>
        <v>99</v>
      </c>
      <c r="I3092" t="str">
        <f t="shared" si="558"/>
        <v>0</v>
      </c>
      <c r="J3092" t="str">
        <f t="shared" si="562"/>
        <v>05</v>
      </c>
      <c r="K3092">
        <v>20181012</v>
      </c>
      <c r="L3092" t="str">
        <f t="shared" si="559"/>
        <v>074320</v>
      </c>
      <c r="M3092" t="str">
        <f t="shared" si="560"/>
        <v>72730</v>
      </c>
      <c r="N3092" t="s">
        <v>639</v>
      </c>
      <c r="O3092">
        <v>16.989999999999998</v>
      </c>
      <c r="P3092">
        <v>20181012</v>
      </c>
      <c r="Q3092" t="s">
        <v>2326</v>
      </c>
      <c r="R3092" t="s">
        <v>2327</v>
      </c>
      <c r="S3092" t="s">
        <v>1615</v>
      </c>
      <c r="T3092" t="s">
        <v>46</v>
      </c>
    </row>
    <row r="3093" spans="1:20" x14ac:dyDescent="0.25">
      <c r="A3093">
        <v>9</v>
      </c>
      <c r="B3093">
        <v>199</v>
      </c>
      <c r="C3093" t="str">
        <f>"23"</f>
        <v>23</v>
      </c>
      <c r="D3093">
        <v>6399</v>
      </c>
      <c r="E3093" t="str">
        <f>"8K"</f>
        <v>8K</v>
      </c>
      <c r="F3093" t="str">
        <f t="shared" si="561"/>
        <v>104</v>
      </c>
      <c r="G3093">
        <v>9</v>
      </c>
      <c r="H3093" t="str">
        <f t="shared" si="563"/>
        <v>99</v>
      </c>
      <c r="I3093" t="str">
        <f t="shared" si="558"/>
        <v>0</v>
      </c>
      <c r="J3093" t="str">
        <f t="shared" si="562"/>
        <v>05</v>
      </c>
      <c r="K3093">
        <v>20181012</v>
      </c>
      <c r="L3093" t="str">
        <f t="shared" si="559"/>
        <v>074320</v>
      </c>
      <c r="M3093" t="str">
        <f t="shared" si="560"/>
        <v>72730</v>
      </c>
      <c r="N3093" t="s">
        <v>639</v>
      </c>
      <c r="O3093">
        <v>283.54000000000002</v>
      </c>
      <c r="P3093">
        <v>20181012</v>
      </c>
      <c r="Q3093" t="s">
        <v>2326</v>
      </c>
      <c r="R3093" t="s">
        <v>641</v>
      </c>
      <c r="S3093" t="s">
        <v>1615</v>
      </c>
      <c r="T3093" t="s">
        <v>46</v>
      </c>
    </row>
    <row r="3094" spans="1:20" x14ac:dyDescent="0.25">
      <c r="A3094">
        <v>9</v>
      </c>
      <c r="B3094">
        <v>199</v>
      </c>
      <c r="C3094" t="str">
        <f>"31"</f>
        <v>31</v>
      </c>
      <c r="D3094">
        <v>6399</v>
      </c>
      <c r="E3094" t="str">
        <f>"7F"</f>
        <v>7F</v>
      </c>
      <c r="F3094" t="str">
        <f t="shared" si="561"/>
        <v>104</v>
      </c>
      <c r="G3094">
        <v>9</v>
      </c>
      <c r="H3094" t="str">
        <f t="shared" si="563"/>
        <v>99</v>
      </c>
      <c r="I3094" t="str">
        <f t="shared" si="558"/>
        <v>0</v>
      </c>
      <c r="J3094" t="str">
        <f t="shared" si="562"/>
        <v>05</v>
      </c>
      <c r="K3094">
        <v>20181012</v>
      </c>
      <c r="L3094" t="str">
        <f t="shared" si="559"/>
        <v>074320</v>
      </c>
      <c r="M3094" t="str">
        <f t="shared" si="560"/>
        <v>72730</v>
      </c>
      <c r="N3094" t="s">
        <v>639</v>
      </c>
      <c r="O3094">
        <v>35.81</v>
      </c>
      <c r="P3094">
        <v>20181012</v>
      </c>
      <c r="Q3094" t="s">
        <v>1910</v>
      </c>
      <c r="R3094" t="s">
        <v>2328</v>
      </c>
      <c r="S3094" t="s">
        <v>1615</v>
      </c>
      <c r="T3094" t="s">
        <v>46</v>
      </c>
    </row>
    <row r="3095" spans="1:20" x14ac:dyDescent="0.25">
      <c r="A3095">
        <v>9</v>
      </c>
      <c r="B3095">
        <v>199</v>
      </c>
      <c r="C3095" t="str">
        <f>"31"</f>
        <v>31</v>
      </c>
      <c r="D3095">
        <v>6399</v>
      </c>
      <c r="E3095" t="str">
        <f>"7F"</f>
        <v>7F</v>
      </c>
      <c r="F3095" t="str">
        <f t="shared" si="561"/>
        <v>104</v>
      </c>
      <c r="G3095">
        <v>9</v>
      </c>
      <c r="H3095" t="str">
        <f t="shared" si="563"/>
        <v>99</v>
      </c>
      <c r="I3095" t="str">
        <f t="shared" si="558"/>
        <v>0</v>
      </c>
      <c r="J3095" t="str">
        <f t="shared" si="562"/>
        <v>05</v>
      </c>
      <c r="K3095">
        <v>20181012</v>
      </c>
      <c r="L3095" t="str">
        <f t="shared" si="559"/>
        <v>074320</v>
      </c>
      <c r="M3095" t="str">
        <f t="shared" si="560"/>
        <v>72730</v>
      </c>
      <c r="N3095" t="s">
        <v>639</v>
      </c>
      <c r="O3095">
        <v>14.29</v>
      </c>
      <c r="P3095">
        <v>20181012</v>
      </c>
      <c r="Q3095" t="s">
        <v>1910</v>
      </c>
      <c r="R3095" t="s">
        <v>2329</v>
      </c>
      <c r="S3095" t="s">
        <v>1615</v>
      </c>
      <c r="T3095" t="s">
        <v>46</v>
      </c>
    </row>
    <row r="3096" spans="1:20" x14ac:dyDescent="0.25">
      <c r="A3096">
        <v>9</v>
      </c>
      <c r="B3096">
        <v>199</v>
      </c>
      <c r="C3096" t="str">
        <f>"31"</f>
        <v>31</v>
      </c>
      <c r="D3096">
        <v>6399</v>
      </c>
      <c r="E3096" t="str">
        <f>"7F"</f>
        <v>7F</v>
      </c>
      <c r="F3096" t="str">
        <f t="shared" si="561"/>
        <v>104</v>
      </c>
      <c r="G3096">
        <v>9</v>
      </c>
      <c r="H3096" t="str">
        <f t="shared" si="563"/>
        <v>99</v>
      </c>
      <c r="I3096" t="str">
        <f t="shared" si="558"/>
        <v>0</v>
      </c>
      <c r="J3096" t="str">
        <f t="shared" si="562"/>
        <v>05</v>
      </c>
      <c r="K3096">
        <v>20181012</v>
      </c>
      <c r="L3096" t="str">
        <f t="shared" si="559"/>
        <v>074320</v>
      </c>
      <c r="M3096" t="str">
        <f t="shared" si="560"/>
        <v>72730</v>
      </c>
      <c r="N3096" t="s">
        <v>639</v>
      </c>
      <c r="O3096">
        <v>16.61</v>
      </c>
      <c r="P3096">
        <v>20181012</v>
      </c>
      <c r="Q3096" t="s">
        <v>1910</v>
      </c>
      <c r="R3096" t="s">
        <v>2330</v>
      </c>
      <c r="S3096" t="s">
        <v>1615</v>
      </c>
      <c r="T3096" t="s">
        <v>46</v>
      </c>
    </row>
    <row r="3097" spans="1:20" x14ac:dyDescent="0.25">
      <c r="A3097">
        <v>9</v>
      </c>
      <c r="B3097">
        <v>199</v>
      </c>
      <c r="C3097" t="str">
        <f>"31"</f>
        <v>31</v>
      </c>
      <c r="D3097">
        <v>6399</v>
      </c>
      <c r="E3097" t="str">
        <f>"7F"</f>
        <v>7F</v>
      </c>
      <c r="F3097" t="str">
        <f t="shared" si="561"/>
        <v>104</v>
      </c>
      <c r="G3097">
        <v>9</v>
      </c>
      <c r="H3097" t="str">
        <f t="shared" si="563"/>
        <v>99</v>
      </c>
      <c r="I3097" t="str">
        <f t="shared" si="558"/>
        <v>0</v>
      </c>
      <c r="J3097" t="str">
        <f t="shared" si="562"/>
        <v>05</v>
      </c>
      <c r="K3097">
        <v>20181012</v>
      </c>
      <c r="L3097" t="str">
        <f t="shared" si="559"/>
        <v>074320</v>
      </c>
      <c r="M3097" t="str">
        <f t="shared" si="560"/>
        <v>72730</v>
      </c>
      <c r="N3097" t="s">
        <v>639</v>
      </c>
      <c r="O3097">
        <v>6.6</v>
      </c>
      <c r="P3097">
        <v>20181012</v>
      </c>
      <c r="Q3097" t="s">
        <v>1910</v>
      </c>
      <c r="R3097" t="s">
        <v>2331</v>
      </c>
      <c r="S3097" t="s">
        <v>1615</v>
      </c>
      <c r="T3097" t="s">
        <v>46</v>
      </c>
    </row>
    <row r="3098" spans="1:20" x14ac:dyDescent="0.25">
      <c r="A3098">
        <v>9</v>
      </c>
      <c r="B3098">
        <v>199</v>
      </c>
      <c r="C3098" t="str">
        <f>"31"</f>
        <v>31</v>
      </c>
      <c r="D3098">
        <v>6399</v>
      </c>
      <c r="E3098" t="str">
        <f>"7F"</f>
        <v>7F</v>
      </c>
      <c r="F3098" t="str">
        <f t="shared" si="561"/>
        <v>104</v>
      </c>
      <c r="G3098">
        <v>9</v>
      </c>
      <c r="H3098" t="str">
        <f t="shared" si="563"/>
        <v>99</v>
      </c>
      <c r="I3098" t="str">
        <f t="shared" si="558"/>
        <v>0</v>
      </c>
      <c r="J3098" t="str">
        <f t="shared" si="562"/>
        <v>05</v>
      </c>
      <c r="K3098">
        <v>20181012</v>
      </c>
      <c r="L3098" t="str">
        <f t="shared" si="559"/>
        <v>074320</v>
      </c>
      <c r="M3098" t="str">
        <f t="shared" si="560"/>
        <v>72730</v>
      </c>
      <c r="N3098" t="s">
        <v>639</v>
      </c>
      <c r="O3098">
        <v>-6.6</v>
      </c>
      <c r="P3098">
        <v>20180927</v>
      </c>
      <c r="Q3098" t="s">
        <v>1910</v>
      </c>
      <c r="R3098" t="s">
        <v>2331</v>
      </c>
      <c r="S3098" t="s">
        <v>1615</v>
      </c>
      <c r="T3098" t="s">
        <v>46</v>
      </c>
    </row>
    <row r="3099" spans="1:20" x14ac:dyDescent="0.25">
      <c r="A3099">
        <v>9</v>
      </c>
      <c r="B3099">
        <v>199</v>
      </c>
      <c r="C3099" t="str">
        <f>"41"</f>
        <v>41</v>
      </c>
      <c r="D3099">
        <v>6498</v>
      </c>
      <c r="E3099" t="str">
        <f>"10"</f>
        <v>10</v>
      </c>
      <c r="F3099" t="str">
        <f>"735"</f>
        <v>735</v>
      </c>
      <c r="G3099">
        <v>9</v>
      </c>
      <c r="H3099" t="str">
        <f t="shared" si="563"/>
        <v>99</v>
      </c>
      <c r="I3099" t="str">
        <f t="shared" si="558"/>
        <v>0</v>
      </c>
      <c r="J3099" t="str">
        <f>"96"</f>
        <v>96</v>
      </c>
      <c r="K3099">
        <v>20181012</v>
      </c>
      <c r="L3099" t="str">
        <f>"074322"</f>
        <v>074322</v>
      </c>
      <c r="M3099" t="str">
        <f>"00539"</f>
        <v>00539</v>
      </c>
      <c r="N3099" t="s">
        <v>2332</v>
      </c>
      <c r="O3099">
        <v>48</v>
      </c>
      <c r="P3099">
        <v>20181011</v>
      </c>
      <c r="Q3099" t="s">
        <v>2333</v>
      </c>
      <c r="R3099" t="s">
        <v>2334</v>
      </c>
      <c r="S3099" t="s">
        <v>1615</v>
      </c>
      <c r="T3099" t="s">
        <v>151</v>
      </c>
    </row>
    <row r="3100" spans="1:20" x14ac:dyDescent="0.25">
      <c r="A3100">
        <v>9</v>
      </c>
      <c r="B3100">
        <v>199</v>
      </c>
      <c r="C3100" t="str">
        <f>"53"</f>
        <v>53</v>
      </c>
      <c r="D3100">
        <v>6411</v>
      </c>
      <c r="E3100" t="str">
        <f>"10"</f>
        <v>10</v>
      </c>
      <c r="F3100" t="str">
        <f>"880"</f>
        <v>880</v>
      </c>
      <c r="G3100">
        <v>9</v>
      </c>
      <c r="H3100" t="str">
        <f t="shared" si="563"/>
        <v>99</v>
      </c>
      <c r="I3100" t="str">
        <f t="shared" si="558"/>
        <v>0</v>
      </c>
      <c r="J3100" t="str">
        <f>"80"</f>
        <v>80</v>
      </c>
      <c r="K3100">
        <v>20181012</v>
      </c>
      <c r="L3100" t="str">
        <f>"074323"</f>
        <v>074323</v>
      </c>
      <c r="M3100" t="str">
        <f>"77048"</f>
        <v>77048</v>
      </c>
      <c r="N3100" t="s">
        <v>1492</v>
      </c>
      <c r="O3100">
        <v>289</v>
      </c>
      <c r="P3100">
        <v>20181011</v>
      </c>
      <c r="Q3100" t="s">
        <v>1901</v>
      </c>
      <c r="R3100" t="s">
        <v>1493</v>
      </c>
      <c r="S3100" t="s">
        <v>1615</v>
      </c>
      <c r="T3100" t="s">
        <v>1866</v>
      </c>
    </row>
    <row r="3101" spans="1:20" x14ac:dyDescent="0.25">
      <c r="A3101">
        <v>9</v>
      </c>
      <c r="B3101">
        <v>199</v>
      </c>
      <c r="C3101" t="str">
        <f>"11"</f>
        <v>11</v>
      </c>
      <c r="D3101">
        <v>6399</v>
      </c>
      <c r="E3101" t="str">
        <f>"72"</f>
        <v>72</v>
      </c>
      <c r="F3101" t="str">
        <f>"041"</f>
        <v>041</v>
      </c>
      <c r="G3101">
        <v>9</v>
      </c>
      <c r="H3101" t="str">
        <f>"11"</f>
        <v>11</v>
      </c>
      <c r="I3101" t="str">
        <f t="shared" si="558"/>
        <v>0</v>
      </c>
      <c r="J3101" t="str">
        <f>"03"</f>
        <v>03</v>
      </c>
      <c r="K3101">
        <v>20181012</v>
      </c>
      <c r="L3101" t="str">
        <f>"074324"</f>
        <v>074324</v>
      </c>
      <c r="M3101" t="str">
        <f>"75794"</f>
        <v>75794</v>
      </c>
      <c r="N3101" t="s">
        <v>2335</v>
      </c>
      <c r="O3101">
        <v>41.23</v>
      </c>
      <c r="P3101">
        <v>20181011</v>
      </c>
      <c r="Q3101" t="s">
        <v>2054</v>
      </c>
      <c r="R3101" t="s">
        <v>2336</v>
      </c>
      <c r="S3101" t="s">
        <v>1615</v>
      </c>
      <c r="T3101" t="s">
        <v>106</v>
      </c>
    </row>
    <row r="3102" spans="1:20" x14ac:dyDescent="0.25">
      <c r="A3102">
        <v>9</v>
      </c>
      <c r="B3102">
        <v>199</v>
      </c>
      <c r="C3102" t="str">
        <f>"11"</f>
        <v>11</v>
      </c>
      <c r="D3102">
        <v>6495</v>
      </c>
      <c r="E3102" t="str">
        <f>"V8"</f>
        <v>V8</v>
      </c>
      <c r="F3102" t="str">
        <f t="shared" ref="F3102:F3108" si="564">"001"</f>
        <v>001</v>
      </c>
      <c r="G3102">
        <v>9</v>
      </c>
      <c r="H3102" t="str">
        <f>"22"</f>
        <v>22</v>
      </c>
      <c r="I3102" t="str">
        <f t="shared" si="558"/>
        <v>0</v>
      </c>
      <c r="J3102" t="str">
        <f>"22"</f>
        <v>22</v>
      </c>
      <c r="K3102">
        <v>20181012</v>
      </c>
      <c r="L3102" t="str">
        <f>"074327"</f>
        <v>074327</v>
      </c>
      <c r="M3102" t="str">
        <f>"78345"</f>
        <v>78345</v>
      </c>
      <c r="N3102" t="s">
        <v>2337</v>
      </c>
      <c r="O3102" s="1">
        <v>3128</v>
      </c>
      <c r="P3102">
        <v>20181011</v>
      </c>
      <c r="Q3102" t="s">
        <v>2338</v>
      </c>
      <c r="R3102" t="s">
        <v>2339</v>
      </c>
      <c r="S3102" t="s">
        <v>1615</v>
      </c>
      <c r="T3102" t="s">
        <v>301</v>
      </c>
    </row>
    <row r="3103" spans="1:20" x14ac:dyDescent="0.25">
      <c r="A3103">
        <v>9</v>
      </c>
      <c r="B3103">
        <v>199</v>
      </c>
      <c r="C3103" t="str">
        <f>"36"</f>
        <v>36</v>
      </c>
      <c r="D3103">
        <v>6412</v>
      </c>
      <c r="E3103" t="str">
        <f>"7E"</f>
        <v>7E</v>
      </c>
      <c r="F3103" t="str">
        <f t="shared" si="564"/>
        <v>001</v>
      </c>
      <c r="G3103">
        <v>9</v>
      </c>
      <c r="H3103" t="str">
        <f>"99"</f>
        <v>99</v>
      </c>
      <c r="I3103" t="str">
        <f t="shared" si="558"/>
        <v>0</v>
      </c>
      <c r="J3103" t="str">
        <f>"31"</f>
        <v>31</v>
      </c>
      <c r="K3103">
        <v>20181012</v>
      </c>
      <c r="L3103" t="str">
        <f>"074329"</f>
        <v>074329</v>
      </c>
      <c r="M3103" t="str">
        <f>"78730"</f>
        <v>78730</v>
      </c>
      <c r="N3103" t="s">
        <v>2137</v>
      </c>
      <c r="O3103">
        <v>135</v>
      </c>
      <c r="P3103">
        <v>20181011</v>
      </c>
      <c r="Q3103" t="s">
        <v>1655</v>
      </c>
      <c r="R3103" t="s">
        <v>2311</v>
      </c>
      <c r="S3103" t="s">
        <v>1615</v>
      </c>
      <c r="T3103" t="s">
        <v>301</v>
      </c>
    </row>
    <row r="3104" spans="1:20" x14ac:dyDescent="0.25">
      <c r="A3104">
        <v>9</v>
      </c>
      <c r="B3104">
        <v>199</v>
      </c>
      <c r="C3104" t="str">
        <f>"36"</f>
        <v>36</v>
      </c>
      <c r="D3104">
        <v>6412</v>
      </c>
      <c r="E3104" t="str">
        <f>"7E"</f>
        <v>7E</v>
      </c>
      <c r="F3104" t="str">
        <f t="shared" si="564"/>
        <v>001</v>
      </c>
      <c r="G3104">
        <v>9</v>
      </c>
      <c r="H3104" t="str">
        <f>"99"</f>
        <v>99</v>
      </c>
      <c r="I3104" t="str">
        <f t="shared" si="558"/>
        <v>0</v>
      </c>
      <c r="J3104" t="str">
        <f>"31"</f>
        <v>31</v>
      </c>
      <c r="K3104">
        <v>20181012</v>
      </c>
      <c r="L3104" t="str">
        <f>"074329"</f>
        <v>074329</v>
      </c>
      <c r="M3104" t="str">
        <f>"78730"</f>
        <v>78730</v>
      </c>
      <c r="N3104" t="s">
        <v>2137</v>
      </c>
      <c r="O3104">
        <v>156</v>
      </c>
      <c r="P3104">
        <v>20181011</v>
      </c>
      <c r="Q3104" t="s">
        <v>1655</v>
      </c>
      <c r="R3104" t="s">
        <v>2311</v>
      </c>
      <c r="S3104" t="s">
        <v>1615</v>
      </c>
      <c r="T3104" t="s">
        <v>301</v>
      </c>
    </row>
    <row r="3105" spans="1:20" x14ac:dyDescent="0.25">
      <c r="A3105">
        <v>9</v>
      </c>
      <c r="B3105">
        <v>199</v>
      </c>
      <c r="C3105" t="str">
        <f>"11"</f>
        <v>11</v>
      </c>
      <c r="D3105">
        <v>6399</v>
      </c>
      <c r="E3105" t="str">
        <f>"V8"</f>
        <v>V8</v>
      </c>
      <c r="F3105" t="str">
        <f t="shared" si="564"/>
        <v>001</v>
      </c>
      <c r="G3105">
        <v>9</v>
      </c>
      <c r="H3105" t="str">
        <f>"22"</f>
        <v>22</v>
      </c>
      <c r="I3105" t="str">
        <f t="shared" si="558"/>
        <v>0</v>
      </c>
      <c r="J3105" t="str">
        <f>"22"</f>
        <v>22</v>
      </c>
      <c r="K3105">
        <v>20181012</v>
      </c>
      <c r="L3105" t="str">
        <f>"074331"</f>
        <v>074331</v>
      </c>
      <c r="M3105" t="str">
        <f>"80500"</f>
        <v>80500</v>
      </c>
      <c r="N3105" t="s">
        <v>2340</v>
      </c>
      <c r="O3105">
        <v>579.91999999999996</v>
      </c>
      <c r="P3105">
        <v>20181011</v>
      </c>
      <c r="Q3105" t="s">
        <v>2001</v>
      </c>
      <c r="R3105" t="s">
        <v>2341</v>
      </c>
      <c r="S3105" t="s">
        <v>1615</v>
      </c>
      <c r="T3105" t="s">
        <v>301</v>
      </c>
    </row>
    <row r="3106" spans="1:20" x14ac:dyDescent="0.25">
      <c r="A3106">
        <v>9</v>
      </c>
      <c r="B3106">
        <v>199</v>
      </c>
      <c r="C3106" t="str">
        <f>"11"</f>
        <v>11</v>
      </c>
      <c r="D3106">
        <v>6399</v>
      </c>
      <c r="E3106" t="str">
        <f>"V8"</f>
        <v>V8</v>
      </c>
      <c r="F3106" t="str">
        <f t="shared" si="564"/>
        <v>001</v>
      </c>
      <c r="G3106">
        <v>9</v>
      </c>
      <c r="H3106" t="str">
        <f>"22"</f>
        <v>22</v>
      </c>
      <c r="I3106" t="str">
        <f t="shared" si="558"/>
        <v>0</v>
      </c>
      <c r="J3106" t="str">
        <f>"22"</f>
        <v>22</v>
      </c>
      <c r="K3106">
        <v>20181012</v>
      </c>
      <c r="L3106" t="str">
        <f>"074331"</f>
        <v>074331</v>
      </c>
      <c r="M3106" t="str">
        <f>"80500"</f>
        <v>80500</v>
      </c>
      <c r="N3106" t="s">
        <v>2340</v>
      </c>
      <c r="O3106">
        <v>37.25</v>
      </c>
      <c r="P3106">
        <v>20181011</v>
      </c>
      <c r="Q3106" t="s">
        <v>2001</v>
      </c>
      <c r="R3106" t="s">
        <v>2342</v>
      </c>
      <c r="S3106" t="s">
        <v>1615</v>
      </c>
      <c r="T3106" t="s">
        <v>301</v>
      </c>
    </row>
    <row r="3107" spans="1:20" x14ac:dyDescent="0.25">
      <c r="A3107">
        <v>9</v>
      </c>
      <c r="B3107">
        <v>199</v>
      </c>
      <c r="C3107" t="str">
        <f>"11"</f>
        <v>11</v>
      </c>
      <c r="D3107">
        <v>6399</v>
      </c>
      <c r="E3107" t="str">
        <f>"V8"</f>
        <v>V8</v>
      </c>
      <c r="F3107" t="str">
        <f t="shared" si="564"/>
        <v>001</v>
      </c>
      <c r="G3107">
        <v>9</v>
      </c>
      <c r="H3107" t="str">
        <f>"22"</f>
        <v>22</v>
      </c>
      <c r="I3107" t="str">
        <f t="shared" si="558"/>
        <v>0</v>
      </c>
      <c r="J3107" t="str">
        <f>"22"</f>
        <v>22</v>
      </c>
      <c r="K3107">
        <v>20181012</v>
      </c>
      <c r="L3107" t="str">
        <f>"074331"</f>
        <v>074331</v>
      </c>
      <c r="M3107" t="str">
        <f>"80500"</f>
        <v>80500</v>
      </c>
      <c r="N3107" t="s">
        <v>2340</v>
      </c>
      <c r="O3107">
        <v>139.94999999999999</v>
      </c>
      <c r="P3107">
        <v>20181011</v>
      </c>
      <c r="Q3107" t="s">
        <v>2001</v>
      </c>
      <c r="R3107" t="s">
        <v>2343</v>
      </c>
      <c r="S3107" t="s">
        <v>1615</v>
      </c>
      <c r="T3107" t="s">
        <v>301</v>
      </c>
    </row>
    <row r="3108" spans="1:20" x14ac:dyDescent="0.25">
      <c r="A3108">
        <v>9</v>
      </c>
      <c r="B3108">
        <v>199</v>
      </c>
      <c r="C3108" t="str">
        <f>"11"</f>
        <v>11</v>
      </c>
      <c r="D3108">
        <v>6399</v>
      </c>
      <c r="E3108" t="str">
        <f>"V8"</f>
        <v>V8</v>
      </c>
      <c r="F3108" t="str">
        <f t="shared" si="564"/>
        <v>001</v>
      </c>
      <c r="G3108">
        <v>9</v>
      </c>
      <c r="H3108" t="str">
        <f>"22"</f>
        <v>22</v>
      </c>
      <c r="I3108" t="str">
        <f t="shared" si="558"/>
        <v>0</v>
      </c>
      <c r="J3108" t="str">
        <f>"22"</f>
        <v>22</v>
      </c>
      <c r="K3108">
        <v>20181012</v>
      </c>
      <c r="L3108" t="str">
        <f>"074331"</f>
        <v>074331</v>
      </c>
      <c r="M3108" t="str">
        <f>"80500"</f>
        <v>80500</v>
      </c>
      <c r="N3108" t="s">
        <v>2340</v>
      </c>
      <c r="O3108">
        <v>33.979999999999997</v>
      </c>
      <c r="P3108">
        <v>20181011</v>
      </c>
      <c r="Q3108" t="s">
        <v>2001</v>
      </c>
      <c r="R3108" t="s">
        <v>2344</v>
      </c>
      <c r="S3108" t="s">
        <v>1615</v>
      </c>
      <c r="T3108" t="s">
        <v>301</v>
      </c>
    </row>
    <row r="3109" spans="1:20" x14ac:dyDescent="0.25">
      <c r="A3109">
        <v>9</v>
      </c>
      <c r="B3109">
        <v>199</v>
      </c>
      <c r="C3109" t="str">
        <f>"36"</f>
        <v>36</v>
      </c>
      <c r="D3109">
        <v>6412</v>
      </c>
      <c r="E3109" t="str">
        <f>"7E"</f>
        <v>7E</v>
      </c>
      <c r="F3109" t="str">
        <f>"041"</f>
        <v>041</v>
      </c>
      <c r="G3109">
        <v>9</v>
      </c>
      <c r="H3109" t="str">
        <f>"99"</f>
        <v>99</v>
      </c>
      <c r="I3109" t="str">
        <f>"1"</f>
        <v>1</v>
      </c>
      <c r="J3109" t="str">
        <f>"35"</f>
        <v>35</v>
      </c>
      <c r="K3109">
        <v>20181012</v>
      </c>
      <c r="L3109" t="str">
        <f>"074333"</f>
        <v>074333</v>
      </c>
      <c r="M3109" t="str">
        <f>"75326"</f>
        <v>75326</v>
      </c>
      <c r="N3109" t="s">
        <v>66</v>
      </c>
      <c r="O3109">
        <v>224</v>
      </c>
      <c r="P3109">
        <v>20181011</v>
      </c>
      <c r="Q3109" t="s">
        <v>2345</v>
      </c>
      <c r="R3109" t="s">
        <v>2346</v>
      </c>
      <c r="S3109" t="s">
        <v>1615</v>
      </c>
      <c r="T3109" t="s">
        <v>106</v>
      </c>
    </row>
    <row r="3110" spans="1:20" x14ac:dyDescent="0.25">
      <c r="A3110">
        <v>9</v>
      </c>
      <c r="B3110">
        <v>199</v>
      </c>
      <c r="C3110" t="str">
        <f>"41"</f>
        <v>41</v>
      </c>
      <c r="D3110">
        <v>6269</v>
      </c>
      <c r="E3110" t="str">
        <f>"10"</f>
        <v>10</v>
      </c>
      <c r="F3110" t="str">
        <f>"720"</f>
        <v>720</v>
      </c>
      <c r="G3110">
        <v>9</v>
      </c>
      <c r="H3110" t="str">
        <f>"99"</f>
        <v>99</v>
      </c>
      <c r="I3110" t="str">
        <f t="shared" ref="I3110:I3116" si="565">"0"</f>
        <v>0</v>
      </c>
      <c r="J3110" t="str">
        <f>"91"</f>
        <v>91</v>
      </c>
      <c r="K3110">
        <v>20181012</v>
      </c>
      <c r="L3110" t="str">
        <f>"074335"</f>
        <v>074335</v>
      </c>
      <c r="M3110" t="str">
        <f>"58986"</f>
        <v>58986</v>
      </c>
      <c r="N3110" t="s">
        <v>2347</v>
      </c>
      <c r="O3110" s="1">
        <v>1260</v>
      </c>
      <c r="P3110">
        <v>20181011</v>
      </c>
      <c r="Q3110" t="s">
        <v>2348</v>
      </c>
      <c r="R3110" t="s">
        <v>2349</v>
      </c>
      <c r="S3110" t="s">
        <v>1615</v>
      </c>
      <c r="T3110" t="s">
        <v>2045</v>
      </c>
    </row>
    <row r="3111" spans="1:20" x14ac:dyDescent="0.25">
      <c r="A3111">
        <v>9</v>
      </c>
      <c r="B3111">
        <v>199</v>
      </c>
      <c r="C3111" t="str">
        <f>"41"</f>
        <v>41</v>
      </c>
      <c r="D3111">
        <v>6211</v>
      </c>
      <c r="E3111" t="str">
        <f>"10"</f>
        <v>10</v>
      </c>
      <c r="F3111" t="str">
        <f>"730"</f>
        <v>730</v>
      </c>
      <c r="G3111">
        <v>9</v>
      </c>
      <c r="H3111" t="str">
        <f>"99"</f>
        <v>99</v>
      </c>
      <c r="I3111" t="str">
        <f t="shared" si="565"/>
        <v>0</v>
      </c>
      <c r="J3111" t="str">
        <f>"95"</f>
        <v>95</v>
      </c>
      <c r="K3111">
        <v>20181012</v>
      </c>
      <c r="L3111" t="str">
        <f>"074336"</f>
        <v>074336</v>
      </c>
      <c r="M3111" t="str">
        <f>"83034"</f>
        <v>83034</v>
      </c>
      <c r="N3111" t="s">
        <v>1852</v>
      </c>
      <c r="O3111" s="1">
        <v>1958.48</v>
      </c>
      <c r="P3111">
        <v>20181011</v>
      </c>
      <c r="Q3111" t="s">
        <v>2350</v>
      </c>
      <c r="R3111" t="s">
        <v>2351</v>
      </c>
      <c r="S3111" t="s">
        <v>1615</v>
      </c>
      <c r="T3111" t="s">
        <v>1794</v>
      </c>
    </row>
    <row r="3112" spans="1:20" x14ac:dyDescent="0.25">
      <c r="A3112">
        <v>9</v>
      </c>
      <c r="B3112">
        <v>199</v>
      </c>
      <c r="C3112" t="str">
        <f>"11"</f>
        <v>11</v>
      </c>
      <c r="D3112">
        <v>6299</v>
      </c>
      <c r="E3112" t="str">
        <f>"00"</f>
        <v>00</v>
      </c>
      <c r="F3112" t="str">
        <f>"104"</f>
        <v>104</v>
      </c>
      <c r="G3112">
        <v>9</v>
      </c>
      <c r="H3112" t="str">
        <f>"11"</f>
        <v>11</v>
      </c>
      <c r="I3112" t="str">
        <f t="shared" si="565"/>
        <v>0</v>
      </c>
      <c r="J3112" t="str">
        <f>"05"</f>
        <v>05</v>
      </c>
      <c r="K3112">
        <v>20181012</v>
      </c>
      <c r="L3112" t="str">
        <f>"074337"</f>
        <v>074337</v>
      </c>
      <c r="M3112" t="str">
        <f>"83060"</f>
        <v>83060</v>
      </c>
      <c r="N3112" t="s">
        <v>2151</v>
      </c>
      <c r="O3112" s="1">
        <v>1280</v>
      </c>
      <c r="P3112">
        <v>20181011</v>
      </c>
      <c r="Q3112" t="s">
        <v>2152</v>
      </c>
      <c r="R3112" t="s">
        <v>2352</v>
      </c>
      <c r="S3112" t="s">
        <v>1615</v>
      </c>
      <c r="T3112" t="s">
        <v>46</v>
      </c>
    </row>
    <row r="3113" spans="1:20" x14ac:dyDescent="0.25">
      <c r="A3113">
        <v>9</v>
      </c>
      <c r="B3113">
        <v>199</v>
      </c>
      <c r="C3113" t="str">
        <f>"11"</f>
        <v>11</v>
      </c>
      <c r="D3113">
        <v>6649</v>
      </c>
      <c r="E3113" t="str">
        <f>"7B"</f>
        <v>7B</v>
      </c>
      <c r="F3113" t="str">
        <f>"041"</f>
        <v>041</v>
      </c>
      <c r="G3113">
        <v>9</v>
      </c>
      <c r="H3113" t="str">
        <f>"11"</f>
        <v>11</v>
      </c>
      <c r="I3113" t="str">
        <f t="shared" si="565"/>
        <v>0</v>
      </c>
      <c r="J3113" t="str">
        <f>"36"</f>
        <v>36</v>
      </c>
      <c r="K3113">
        <v>20181012</v>
      </c>
      <c r="L3113" t="str">
        <f>"074338"</f>
        <v>074338</v>
      </c>
      <c r="M3113" t="str">
        <f>"83450"</f>
        <v>83450</v>
      </c>
      <c r="N3113" t="s">
        <v>2353</v>
      </c>
      <c r="O3113" s="1">
        <v>6144</v>
      </c>
      <c r="P3113">
        <v>20181011</v>
      </c>
      <c r="Q3113" t="s">
        <v>2243</v>
      </c>
      <c r="R3113" t="s">
        <v>2354</v>
      </c>
      <c r="S3113" t="s">
        <v>1615</v>
      </c>
      <c r="T3113" t="s">
        <v>106</v>
      </c>
    </row>
    <row r="3114" spans="1:20" x14ac:dyDescent="0.25">
      <c r="A3114">
        <v>9</v>
      </c>
      <c r="B3114">
        <v>199</v>
      </c>
      <c r="C3114" t="str">
        <f>"52"</f>
        <v>52</v>
      </c>
      <c r="D3114">
        <v>6219</v>
      </c>
      <c r="E3114" t="str">
        <f>"00"</f>
        <v>00</v>
      </c>
      <c r="F3114" t="str">
        <f>"101"</f>
        <v>101</v>
      </c>
      <c r="G3114">
        <v>9</v>
      </c>
      <c r="H3114" t="str">
        <f>"99"</f>
        <v>99</v>
      </c>
      <c r="I3114" t="str">
        <f t="shared" si="565"/>
        <v>0</v>
      </c>
      <c r="J3114" t="str">
        <f>"00"</f>
        <v>00</v>
      </c>
      <c r="K3114">
        <v>20181012</v>
      </c>
      <c r="L3114" t="str">
        <f>"074339"</f>
        <v>074339</v>
      </c>
      <c r="M3114" t="str">
        <f>"00242"</f>
        <v>00242</v>
      </c>
      <c r="N3114" t="s">
        <v>1669</v>
      </c>
      <c r="O3114">
        <v>300</v>
      </c>
      <c r="P3114">
        <v>20181011</v>
      </c>
      <c r="Q3114" t="s">
        <v>1854</v>
      </c>
      <c r="R3114" t="s">
        <v>2355</v>
      </c>
      <c r="S3114" t="s">
        <v>1615</v>
      </c>
      <c r="T3114" t="s">
        <v>1479</v>
      </c>
    </row>
    <row r="3115" spans="1:20" x14ac:dyDescent="0.25">
      <c r="A3115">
        <v>9</v>
      </c>
      <c r="B3115">
        <v>199</v>
      </c>
      <c r="C3115" t="str">
        <f>"34"</f>
        <v>34</v>
      </c>
      <c r="D3115">
        <v>6249</v>
      </c>
      <c r="E3115" t="str">
        <f>"10"</f>
        <v>10</v>
      </c>
      <c r="F3115" t="str">
        <f>"937"</f>
        <v>937</v>
      </c>
      <c r="G3115">
        <v>9</v>
      </c>
      <c r="H3115" t="str">
        <f>"99"</f>
        <v>99</v>
      </c>
      <c r="I3115" t="str">
        <f t="shared" si="565"/>
        <v>0</v>
      </c>
      <c r="J3115" t="str">
        <f>"82"</f>
        <v>82</v>
      </c>
      <c r="K3115">
        <v>20181019</v>
      </c>
      <c r="L3115" t="str">
        <f>"074341"</f>
        <v>074341</v>
      </c>
      <c r="M3115" t="str">
        <f>"24208"</f>
        <v>24208</v>
      </c>
      <c r="N3115" t="s">
        <v>2356</v>
      </c>
      <c r="O3115">
        <v>250</v>
      </c>
      <c r="P3115">
        <v>20181017</v>
      </c>
      <c r="Q3115" t="s">
        <v>2036</v>
      </c>
      <c r="R3115" t="s">
        <v>2357</v>
      </c>
      <c r="S3115" t="s">
        <v>1615</v>
      </c>
      <c r="T3115" t="s">
        <v>1810</v>
      </c>
    </row>
    <row r="3116" spans="1:20" x14ac:dyDescent="0.25">
      <c r="A3116">
        <v>9</v>
      </c>
      <c r="B3116">
        <v>199</v>
      </c>
      <c r="C3116" t="str">
        <f>"11"</f>
        <v>11</v>
      </c>
      <c r="D3116">
        <v>6495</v>
      </c>
      <c r="E3116" t="str">
        <f>"V8"</f>
        <v>V8</v>
      </c>
      <c r="F3116" t="str">
        <f t="shared" ref="F3116:F3122" si="566">"001"</f>
        <v>001</v>
      </c>
      <c r="G3116">
        <v>9</v>
      </c>
      <c r="H3116" t="str">
        <f>"22"</f>
        <v>22</v>
      </c>
      <c r="I3116" t="str">
        <f t="shared" si="565"/>
        <v>0</v>
      </c>
      <c r="J3116" t="str">
        <f>"22"</f>
        <v>22</v>
      </c>
      <c r="K3116">
        <v>20181019</v>
      </c>
      <c r="L3116" t="str">
        <f>"074342"</f>
        <v>074342</v>
      </c>
      <c r="M3116" t="str">
        <f>"06776"</f>
        <v>06776</v>
      </c>
      <c r="N3116" t="s">
        <v>2358</v>
      </c>
      <c r="O3116">
        <v>621</v>
      </c>
      <c r="P3116">
        <v>20181018</v>
      </c>
      <c r="Q3116" t="s">
        <v>2338</v>
      </c>
      <c r="R3116" t="s">
        <v>2339</v>
      </c>
      <c r="S3116" t="s">
        <v>1615</v>
      </c>
      <c r="T3116" t="s">
        <v>301</v>
      </c>
    </row>
    <row r="3117" spans="1:20" x14ac:dyDescent="0.25">
      <c r="A3117">
        <v>9</v>
      </c>
      <c r="B3117">
        <v>199</v>
      </c>
      <c r="C3117" t="str">
        <f>"13"</f>
        <v>13</v>
      </c>
      <c r="D3117">
        <v>6411</v>
      </c>
      <c r="E3117" t="str">
        <f>"7K"</f>
        <v>7K</v>
      </c>
      <c r="F3117" t="str">
        <f t="shared" si="566"/>
        <v>001</v>
      </c>
      <c r="G3117">
        <v>9</v>
      </c>
      <c r="H3117" t="str">
        <f>"11"</f>
        <v>11</v>
      </c>
      <c r="I3117" t="str">
        <f>"1"</f>
        <v>1</v>
      </c>
      <c r="J3117" t="str">
        <f>"01"</f>
        <v>01</v>
      </c>
      <c r="K3117">
        <v>20181019</v>
      </c>
      <c r="L3117" t="str">
        <f>"074344"</f>
        <v>074344</v>
      </c>
      <c r="M3117" t="str">
        <f>"07699"</f>
        <v>07699</v>
      </c>
      <c r="N3117" t="s">
        <v>2359</v>
      </c>
      <c r="O3117">
        <v>41.54</v>
      </c>
      <c r="P3117">
        <v>20181017</v>
      </c>
      <c r="Q3117" t="s">
        <v>2295</v>
      </c>
      <c r="R3117" t="s">
        <v>1834</v>
      </c>
      <c r="S3117" t="s">
        <v>1615</v>
      </c>
      <c r="T3117" t="s">
        <v>301</v>
      </c>
    </row>
    <row r="3118" spans="1:20" x14ac:dyDescent="0.25">
      <c r="A3118">
        <v>9</v>
      </c>
      <c r="B3118">
        <v>199</v>
      </c>
      <c r="C3118" t="str">
        <f>"23"</f>
        <v>23</v>
      </c>
      <c r="D3118">
        <v>6498</v>
      </c>
      <c r="E3118" t="str">
        <f>"10"</f>
        <v>10</v>
      </c>
      <c r="F3118" t="str">
        <f t="shared" si="566"/>
        <v>001</v>
      </c>
      <c r="G3118">
        <v>9</v>
      </c>
      <c r="H3118" t="str">
        <f>"99"</f>
        <v>99</v>
      </c>
      <c r="I3118" t="str">
        <f t="shared" ref="I3118:I3128" si="567">"0"</f>
        <v>0</v>
      </c>
      <c r="J3118" t="str">
        <f>"01"</f>
        <v>01</v>
      </c>
      <c r="K3118">
        <v>20181019</v>
      </c>
      <c r="L3118" t="str">
        <f>"074345"</f>
        <v>074345</v>
      </c>
      <c r="M3118" t="str">
        <f>"10418"</f>
        <v>10418</v>
      </c>
      <c r="N3118" t="s">
        <v>2360</v>
      </c>
      <c r="O3118">
        <v>592.64</v>
      </c>
      <c r="P3118">
        <v>20181017</v>
      </c>
      <c r="Q3118" t="s">
        <v>2108</v>
      </c>
      <c r="R3118" t="s">
        <v>2361</v>
      </c>
      <c r="S3118" t="s">
        <v>1615</v>
      </c>
      <c r="T3118" t="s">
        <v>301</v>
      </c>
    </row>
    <row r="3119" spans="1:20" x14ac:dyDescent="0.25">
      <c r="A3119">
        <v>9</v>
      </c>
      <c r="B3119">
        <v>199</v>
      </c>
      <c r="C3119" t="str">
        <f>"36"</f>
        <v>36</v>
      </c>
      <c r="D3119">
        <v>6412</v>
      </c>
      <c r="E3119" t="str">
        <f>"8S"</f>
        <v>8S</v>
      </c>
      <c r="F3119" t="str">
        <f t="shared" si="566"/>
        <v>001</v>
      </c>
      <c r="G3119">
        <v>9</v>
      </c>
      <c r="H3119" t="str">
        <f>"99"</f>
        <v>99</v>
      </c>
      <c r="I3119" t="str">
        <f t="shared" si="567"/>
        <v>0</v>
      </c>
      <c r="J3119" t="str">
        <f>"01"</f>
        <v>01</v>
      </c>
      <c r="K3119">
        <v>20181019</v>
      </c>
      <c r="L3119" t="str">
        <f>"074347"</f>
        <v>074347</v>
      </c>
      <c r="M3119" t="str">
        <f>"19208"</f>
        <v>19208</v>
      </c>
      <c r="N3119" t="s">
        <v>478</v>
      </c>
      <c r="O3119" s="1">
        <v>1499</v>
      </c>
      <c r="P3119">
        <v>20181017</v>
      </c>
      <c r="Q3119" t="s">
        <v>1625</v>
      </c>
      <c r="R3119" t="s">
        <v>2362</v>
      </c>
      <c r="S3119" t="s">
        <v>1615</v>
      </c>
      <c r="T3119" t="s">
        <v>301</v>
      </c>
    </row>
    <row r="3120" spans="1:20" x14ac:dyDescent="0.25">
      <c r="A3120">
        <v>9</v>
      </c>
      <c r="B3120">
        <v>199</v>
      </c>
      <c r="C3120" t="str">
        <f>"11"</f>
        <v>11</v>
      </c>
      <c r="D3120">
        <v>6412</v>
      </c>
      <c r="E3120" t="str">
        <f>"VD"</f>
        <v>VD</v>
      </c>
      <c r="F3120" t="str">
        <f t="shared" si="566"/>
        <v>001</v>
      </c>
      <c r="G3120">
        <v>9</v>
      </c>
      <c r="H3120" t="str">
        <f>"22"</f>
        <v>22</v>
      </c>
      <c r="I3120" t="str">
        <f t="shared" si="567"/>
        <v>0</v>
      </c>
      <c r="J3120" t="str">
        <f>"22"</f>
        <v>22</v>
      </c>
      <c r="K3120">
        <v>20181019</v>
      </c>
      <c r="L3120" t="str">
        <f>"074352"</f>
        <v>074352</v>
      </c>
      <c r="M3120" t="str">
        <f>"00534"</f>
        <v>00534</v>
      </c>
      <c r="N3120" t="s">
        <v>2363</v>
      </c>
      <c r="O3120">
        <v>513.20000000000005</v>
      </c>
      <c r="P3120">
        <v>20181018</v>
      </c>
      <c r="Q3120" t="s">
        <v>2120</v>
      </c>
      <c r="R3120" t="s">
        <v>2364</v>
      </c>
      <c r="S3120" t="s">
        <v>1615</v>
      </c>
      <c r="T3120" t="s">
        <v>301</v>
      </c>
    </row>
    <row r="3121" spans="1:20" x14ac:dyDescent="0.25">
      <c r="A3121">
        <v>9</v>
      </c>
      <c r="B3121">
        <v>199</v>
      </c>
      <c r="C3121" t="str">
        <f>"36"</f>
        <v>36</v>
      </c>
      <c r="D3121">
        <v>6411</v>
      </c>
      <c r="E3121" t="str">
        <f>"VD"</f>
        <v>VD</v>
      </c>
      <c r="F3121" t="str">
        <f t="shared" si="566"/>
        <v>001</v>
      </c>
      <c r="G3121">
        <v>9</v>
      </c>
      <c r="H3121" t="str">
        <f>"22"</f>
        <v>22</v>
      </c>
      <c r="I3121" t="str">
        <f t="shared" si="567"/>
        <v>0</v>
      </c>
      <c r="J3121" t="str">
        <f>"22"</f>
        <v>22</v>
      </c>
      <c r="K3121">
        <v>20181019</v>
      </c>
      <c r="L3121" t="str">
        <f>"074352"</f>
        <v>074352</v>
      </c>
      <c r="M3121" t="str">
        <f>"00534"</f>
        <v>00534</v>
      </c>
      <c r="N3121" t="s">
        <v>2363</v>
      </c>
      <c r="O3121">
        <v>16</v>
      </c>
      <c r="P3121">
        <v>20181018</v>
      </c>
      <c r="Q3121" t="s">
        <v>2365</v>
      </c>
      <c r="R3121" t="s">
        <v>2364</v>
      </c>
      <c r="S3121" t="s">
        <v>1615</v>
      </c>
      <c r="T3121" t="s">
        <v>301</v>
      </c>
    </row>
    <row r="3122" spans="1:20" x14ac:dyDescent="0.25">
      <c r="A3122">
        <v>9</v>
      </c>
      <c r="B3122">
        <v>199</v>
      </c>
      <c r="C3122" t="str">
        <f>"11"</f>
        <v>11</v>
      </c>
      <c r="D3122">
        <v>6495</v>
      </c>
      <c r="E3122" t="str">
        <f>"V8"</f>
        <v>V8</v>
      </c>
      <c r="F3122" t="str">
        <f t="shared" si="566"/>
        <v>001</v>
      </c>
      <c r="G3122">
        <v>9</v>
      </c>
      <c r="H3122" t="str">
        <f>"22"</f>
        <v>22</v>
      </c>
      <c r="I3122" t="str">
        <f t="shared" si="567"/>
        <v>0</v>
      </c>
      <c r="J3122" t="str">
        <f>"22"</f>
        <v>22</v>
      </c>
      <c r="K3122">
        <v>20181019</v>
      </c>
      <c r="L3122" t="str">
        <f>"074357"</f>
        <v>074357</v>
      </c>
      <c r="M3122" t="str">
        <f>"21084"</f>
        <v>21084</v>
      </c>
      <c r="N3122" t="s">
        <v>2366</v>
      </c>
      <c r="O3122">
        <v>414</v>
      </c>
      <c r="P3122">
        <v>20181018</v>
      </c>
      <c r="Q3122" t="s">
        <v>2338</v>
      </c>
      <c r="R3122" t="s">
        <v>2339</v>
      </c>
      <c r="S3122" t="s">
        <v>1615</v>
      </c>
      <c r="T3122" t="s">
        <v>301</v>
      </c>
    </row>
    <row r="3123" spans="1:20" x14ac:dyDescent="0.25">
      <c r="A3123">
        <v>9</v>
      </c>
      <c r="B3123">
        <v>199</v>
      </c>
      <c r="C3123" t="str">
        <f>"51"</f>
        <v>51</v>
      </c>
      <c r="D3123">
        <v>6256</v>
      </c>
      <c r="E3123" t="str">
        <f>"13"</f>
        <v>13</v>
      </c>
      <c r="F3123" t="str">
        <f>"880"</f>
        <v>880</v>
      </c>
      <c r="G3123">
        <v>9</v>
      </c>
      <c r="H3123" t="str">
        <f>"99"</f>
        <v>99</v>
      </c>
      <c r="I3123" t="str">
        <f t="shared" si="567"/>
        <v>0</v>
      </c>
      <c r="J3123" t="str">
        <f t="shared" ref="J3123:J3129" si="568">"80"</f>
        <v>80</v>
      </c>
      <c r="K3123">
        <v>20181019</v>
      </c>
      <c r="L3123" t="str">
        <f>"074358"</f>
        <v>074358</v>
      </c>
      <c r="M3123" t="str">
        <f>"21146"</f>
        <v>21146</v>
      </c>
      <c r="N3123" t="s">
        <v>2367</v>
      </c>
      <c r="O3123">
        <v>412.8</v>
      </c>
      <c r="P3123">
        <v>20181018</v>
      </c>
      <c r="Q3123" t="s">
        <v>2368</v>
      </c>
      <c r="R3123" t="s">
        <v>1790</v>
      </c>
      <c r="S3123" t="s">
        <v>1615</v>
      </c>
      <c r="T3123" t="s">
        <v>1866</v>
      </c>
    </row>
    <row r="3124" spans="1:20" x14ac:dyDescent="0.25">
      <c r="A3124">
        <v>9</v>
      </c>
      <c r="B3124">
        <v>199</v>
      </c>
      <c r="C3124" t="str">
        <f>"51"</f>
        <v>51</v>
      </c>
      <c r="D3124">
        <v>6256</v>
      </c>
      <c r="E3124" t="str">
        <f>"13"</f>
        <v>13</v>
      </c>
      <c r="F3124" t="str">
        <f>"880"</f>
        <v>880</v>
      </c>
      <c r="G3124">
        <v>9</v>
      </c>
      <c r="H3124" t="str">
        <f>"99"</f>
        <v>99</v>
      </c>
      <c r="I3124" t="str">
        <f t="shared" si="567"/>
        <v>0</v>
      </c>
      <c r="J3124" t="str">
        <f t="shared" si="568"/>
        <v>80</v>
      </c>
      <c r="K3124">
        <v>20181019</v>
      </c>
      <c r="L3124" t="str">
        <f>"074358"</f>
        <v>074358</v>
      </c>
      <c r="M3124" t="str">
        <f>"21146"</f>
        <v>21146</v>
      </c>
      <c r="N3124" t="s">
        <v>2367</v>
      </c>
      <c r="O3124">
        <v>412.8</v>
      </c>
      <c r="P3124">
        <v>20181018</v>
      </c>
      <c r="Q3124" t="s">
        <v>2368</v>
      </c>
      <c r="R3124" t="s">
        <v>2308</v>
      </c>
      <c r="S3124" t="s">
        <v>1615</v>
      </c>
      <c r="T3124" t="s">
        <v>1866</v>
      </c>
    </row>
    <row r="3125" spans="1:20" x14ac:dyDescent="0.25">
      <c r="A3125">
        <v>9</v>
      </c>
      <c r="B3125">
        <v>199</v>
      </c>
      <c r="C3125" t="str">
        <f>"11"</f>
        <v>11</v>
      </c>
      <c r="D3125">
        <v>6249</v>
      </c>
      <c r="E3125" t="str">
        <f>"57"</f>
        <v>57</v>
      </c>
      <c r="F3125" t="str">
        <f>"001"</f>
        <v>001</v>
      </c>
      <c r="G3125">
        <v>9</v>
      </c>
      <c r="H3125" t="str">
        <f>"11"</f>
        <v>11</v>
      </c>
      <c r="I3125" t="str">
        <f t="shared" si="567"/>
        <v>0</v>
      </c>
      <c r="J3125" t="str">
        <f t="shared" si="568"/>
        <v>80</v>
      </c>
      <c r="K3125">
        <v>20181019</v>
      </c>
      <c r="L3125" t="str">
        <f>"074359"</f>
        <v>074359</v>
      </c>
      <c r="M3125" t="str">
        <f>"21468"</f>
        <v>21468</v>
      </c>
      <c r="N3125" t="s">
        <v>2369</v>
      </c>
      <c r="O3125" s="1">
        <v>2500</v>
      </c>
      <c r="P3125">
        <v>20181017</v>
      </c>
      <c r="Q3125" t="s">
        <v>1796</v>
      </c>
      <c r="R3125" t="s">
        <v>2370</v>
      </c>
      <c r="S3125" t="s">
        <v>1615</v>
      </c>
      <c r="T3125" t="s">
        <v>301</v>
      </c>
    </row>
    <row r="3126" spans="1:20" x14ac:dyDescent="0.25">
      <c r="A3126">
        <v>9</v>
      </c>
      <c r="B3126">
        <v>199</v>
      </c>
      <c r="C3126" t="str">
        <f>"11"</f>
        <v>11</v>
      </c>
      <c r="D3126">
        <v>6249</v>
      </c>
      <c r="E3126" t="str">
        <f>"57"</f>
        <v>57</v>
      </c>
      <c r="F3126" t="str">
        <f>"041"</f>
        <v>041</v>
      </c>
      <c r="G3126">
        <v>9</v>
      </c>
      <c r="H3126" t="str">
        <f>"11"</f>
        <v>11</v>
      </c>
      <c r="I3126" t="str">
        <f t="shared" si="567"/>
        <v>0</v>
      </c>
      <c r="J3126" t="str">
        <f t="shared" si="568"/>
        <v>80</v>
      </c>
      <c r="K3126">
        <v>20181019</v>
      </c>
      <c r="L3126" t="str">
        <f>"074359"</f>
        <v>074359</v>
      </c>
      <c r="M3126" t="str">
        <f>"21468"</f>
        <v>21468</v>
      </c>
      <c r="N3126" t="s">
        <v>2369</v>
      </c>
      <c r="O3126" s="1">
        <v>2500</v>
      </c>
      <c r="P3126">
        <v>20181017</v>
      </c>
      <c r="Q3126" t="s">
        <v>1798</v>
      </c>
      <c r="R3126" t="s">
        <v>2370</v>
      </c>
      <c r="S3126" t="s">
        <v>1615</v>
      </c>
      <c r="T3126" t="s">
        <v>106</v>
      </c>
    </row>
    <row r="3127" spans="1:20" x14ac:dyDescent="0.25">
      <c r="A3127">
        <v>9</v>
      </c>
      <c r="B3127">
        <v>199</v>
      </c>
      <c r="C3127" t="str">
        <f>"11"</f>
        <v>11</v>
      </c>
      <c r="D3127">
        <v>6249</v>
      </c>
      <c r="E3127" t="str">
        <f>"57"</f>
        <v>57</v>
      </c>
      <c r="F3127" t="str">
        <f>"101"</f>
        <v>101</v>
      </c>
      <c r="G3127">
        <v>9</v>
      </c>
      <c r="H3127" t="str">
        <f>"11"</f>
        <v>11</v>
      </c>
      <c r="I3127" t="str">
        <f t="shared" si="567"/>
        <v>0</v>
      </c>
      <c r="J3127" t="str">
        <f t="shared" si="568"/>
        <v>80</v>
      </c>
      <c r="K3127">
        <v>20181019</v>
      </c>
      <c r="L3127" t="str">
        <f>"074359"</f>
        <v>074359</v>
      </c>
      <c r="M3127" t="str">
        <f>"21468"</f>
        <v>21468</v>
      </c>
      <c r="N3127" t="s">
        <v>2369</v>
      </c>
      <c r="O3127" s="1">
        <v>2500</v>
      </c>
      <c r="P3127">
        <v>20181017</v>
      </c>
      <c r="Q3127" t="s">
        <v>1799</v>
      </c>
      <c r="R3127" t="s">
        <v>2370</v>
      </c>
      <c r="S3127" t="s">
        <v>1615</v>
      </c>
      <c r="T3127" t="s">
        <v>1479</v>
      </c>
    </row>
    <row r="3128" spans="1:20" x14ac:dyDescent="0.25">
      <c r="A3128">
        <v>9</v>
      </c>
      <c r="B3128">
        <v>199</v>
      </c>
      <c r="C3128" t="str">
        <f>"11"</f>
        <v>11</v>
      </c>
      <c r="D3128">
        <v>6249</v>
      </c>
      <c r="E3128" t="str">
        <f>"57"</f>
        <v>57</v>
      </c>
      <c r="F3128" t="str">
        <f>"104"</f>
        <v>104</v>
      </c>
      <c r="G3128">
        <v>9</v>
      </c>
      <c r="H3128" t="str">
        <f>"11"</f>
        <v>11</v>
      </c>
      <c r="I3128" t="str">
        <f t="shared" si="567"/>
        <v>0</v>
      </c>
      <c r="J3128" t="str">
        <f t="shared" si="568"/>
        <v>80</v>
      </c>
      <c r="K3128">
        <v>20181019</v>
      </c>
      <c r="L3128" t="str">
        <f>"074359"</f>
        <v>074359</v>
      </c>
      <c r="M3128" t="str">
        <f>"21468"</f>
        <v>21468</v>
      </c>
      <c r="N3128" t="s">
        <v>2369</v>
      </c>
      <c r="O3128" s="1">
        <v>2500</v>
      </c>
      <c r="P3128">
        <v>20181017</v>
      </c>
      <c r="Q3128" t="s">
        <v>1800</v>
      </c>
      <c r="R3128" t="s">
        <v>2370</v>
      </c>
      <c r="S3128" t="s">
        <v>1615</v>
      </c>
      <c r="T3128" t="s">
        <v>46</v>
      </c>
    </row>
    <row r="3129" spans="1:20" x14ac:dyDescent="0.25">
      <c r="A3129">
        <v>9</v>
      </c>
      <c r="B3129">
        <v>199</v>
      </c>
      <c r="C3129" t="str">
        <f>"53"</f>
        <v>53</v>
      </c>
      <c r="D3129">
        <v>6639</v>
      </c>
      <c r="E3129" t="str">
        <f>"11"</f>
        <v>11</v>
      </c>
      <c r="F3129" t="str">
        <f>"880"</f>
        <v>880</v>
      </c>
      <c r="G3129">
        <v>9</v>
      </c>
      <c r="H3129" t="str">
        <f>"99"</f>
        <v>99</v>
      </c>
      <c r="I3129" t="str">
        <f>"C"</f>
        <v>C</v>
      </c>
      <c r="J3129" t="str">
        <f t="shared" si="568"/>
        <v>80</v>
      </c>
      <c r="K3129">
        <v>20181019</v>
      </c>
      <c r="L3129" t="str">
        <f>"074359"</f>
        <v>074359</v>
      </c>
      <c r="M3129" t="str">
        <f>"21468"</f>
        <v>21468</v>
      </c>
      <c r="N3129" t="s">
        <v>2369</v>
      </c>
      <c r="O3129" s="1">
        <v>20234.080000000002</v>
      </c>
      <c r="P3129">
        <v>20181017</v>
      </c>
      <c r="Q3129" t="s">
        <v>2371</v>
      </c>
      <c r="R3129" t="s">
        <v>2372</v>
      </c>
      <c r="S3129" t="s">
        <v>1615</v>
      </c>
      <c r="T3129" t="s">
        <v>1866</v>
      </c>
    </row>
    <row r="3130" spans="1:20" x14ac:dyDescent="0.25">
      <c r="A3130">
        <v>9</v>
      </c>
      <c r="B3130">
        <v>199</v>
      </c>
      <c r="C3130" t="str">
        <f>"11"</f>
        <v>11</v>
      </c>
      <c r="D3130">
        <v>6399</v>
      </c>
      <c r="E3130" t="str">
        <f>"V8"</f>
        <v>V8</v>
      </c>
      <c r="F3130" t="str">
        <f t="shared" ref="F3130:F3139" si="569">"001"</f>
        <v>001</v>
      </c>
      <c r="G3130">
        <v>9</v>
      </c>
      <c r="H3130" t="str">
        <f>"22"</f>
        <v>22</v>
      </c>
      <c r="I3130" t="str">
        <f>"0"</f>
        <v>0</v>
      </c>
      <c r="J3130" t="str">
        <f>"22"</f>
        <v>22</v>
      </c>
      <c r="K3130">
        <v>20181019</v>
      </c>
      <c r="L3130" t="str">
        <f>"074367"</f>
        <v>074367</v>
      </c>
      <c r="M3130" t="str">
        <f>"21049"</f>
        <v>21049</v>
      </c>
      <c r="N3130" t="s">
        <v>1883</v>
      </c>
      <c r="O3130">
        <v>690</v>
      </c>
      <c r="P3130">
        <v>20181017</v>
      </c>
      <c r="Q3130" t="s">
        <v>2001</v>
      </c>
      <c r="R3130" t="s">
        <v>2373</v>
      </c>
      <c r="S3130" t="s">
        <v>1615</v>
      </c>
      <c r="T3130" t="s">
        <v>301</v>
      </c>
    </row>
    <row r="3131" spans="1:20" x14ac:dyDescent="0.25">
      <c r="A3131">
        <v>9</v>
      </c>
      <c r="B3131">
        <v>199</v>
      </c>
      <c r="C3131" t="str">
        <f>"11"</f>
        <v>11</v>
      </c>
      <c r="D3131">
        <v>6412</v>
      </c>
      <c r="E3131" t="str">
        <f>"VH"</f>
        <v>VH</v>
      </c>
      <c r="F3131" t="str">
        <f t="shared" si="569"/>
        <v>001</v>
      </c>
      <c r="G3131">
        <v>9</v>
      </c>
      <c r="H3131" t="str">
        <f>"22"</f>
        <v>22</v>
      </c>
      <c r="I3131" t="str">
        <f>"0"</f>
        <v>0</v>
      </c>
      <c r="J3131" t="str">
        <f>"22"</f>
        <v>22</v>
      </c>
      <c r="K3131">
        <v>20181019</v>
      </c>
      <c r="L3131" t="str">
        <f>"074368"</f>
        <v>074368</v>
      </c>
      <c r="M3131" t="str">
        <f>"29573"</f>
        <v>29573</v>
      </c>
      <c r="N3131" t="s">
        <v>2374</v>
      </c>
      <c r="O3131">
        <v>544</v>
      </c>
      <c r="P3131">
        <v>20181018</v>
      </c>
      <c r="Q3131" t="s">
        <v>2375</v>
      </c>
      <c r="R3131" t="s">
        <v>2376</v>
      </c>
      <c r="S3131" t="s">
        <v>1615</v>
      </c>
      <c r="T3131" t="s">
        <v>301</v>
      </c>
    </row>
    <row r="3132" spans="1:20" x14ac:dyDescent="0.25">
      <c r="A3132">
        <v>9</v>
      </c>
      <c r="B3132">
        <v>199</v>
      </c>
      <c r="C3132" t="str">
        <f t="shared" ref="C3132:C3137" si="570">"36"</f>
        <v>36</v>
      </c>
      <c r="D3132">
        <v>6411</v>
      </c>
      <c r="E3132" t="str">
        <f>"VH"</f>
        <v>VH</v>
      </c>
      <c r="F3132" t="str">
        <f t="shared" si="569"/>
        <v>001</v>
      </c>
      <c r="G3132">
        <v>9</v>
      </c>
      <c r="H3132" t="str">
        <f>"22"</f>
        <v>22</v>
      </c>
      <c r="I3132" t="str">
        <f>"0"</f>
        <v>0</v>
      </c>
      <c r="J3132" t="str">
        <f>"22"</f>
        <v>22</v>
      </c>
      <c r="K3132">
        <v>20181019</v>
      </c>
      <c r="L3132" t="str">
        <f>"074368"</f>
        <v>074368</v>
      </c>
      <c r="M3132" t="str">
        <f>"29573"</f>
        <v>29573</v>
      </c>
      <c r="N3132" t="s">
        <v>2374</v>
      </c>
      <c r="O3132">
        <v>16</v>
      </c>
      <c r="P3132">
        <v>20181018</v>
      </c>
      <c r="Q3132" t="s">
        <v>2377</v>
      </c>
      <c r="R3132" t="s">
        <v>2376</v>
      </c>
      <c r="S3132" t="s">
        <v>1615</v>
      </c>
      <c r="T3132" t="s">
        <v>301</v>
      </c>
    </row>
    <row r="3133" spans="1:20" x14ac:dyDescent="0.25">
      <c r="A3133">
        <v>9</v>
      </c>
      <c r="B3133">
        <v>199</v>
      </c>
      <c r="C3133" t="str">
        <f t="shared" si="570"/>
        <v>36</v>
      </c>
      <c r="D3133">
        <v>6411</v>
      </c>
      <c r="E3133" t="str">
        <f>"7C"</f>
        <v>7C</v>
      </c>
      <c r="F3133" t="str">
        <f t="shared" si="569"/>
        <v>001</v>
      </c>
      <c r="G3133">
        <v>9</v>
      </c>
      <c r="H3133" t="str">
        <f>"99"</f>
        <v>99</v>
      </c>
      <c r="I3133" t="str">
        <f>"1"</f>
        <v>1</v>
      </c>
      <c r="J3133" t="str">
        <f>"01"</f>
        <v>01</v>
      </c>
      <c r="K3133">
        <v>20181019</v>
      </c>
      <c r="L3133" t="str">
        <f>"074373"</f>
        <v>074373</v>
      </c>
      <c r="M3133" t="str">
        <f>"34670"</f>
        <v>34670</v>
      </c>
      <c r="N3133" t="s">
        <v>1731</v>
      </c>
      <c r="O3133">
        <v>8.33</v>
      </c>
      <c r="P3133">
        <v>20181017</v>
      </c>
      <c r="Q3133" t="s">
        <v>1732</v>
      </c>
      <c r="R3133" t="s">
        <v>2378</v>
      </c>
      <c r="S3133" t="s">
        <v>1615</v>
      </c>
      <c r="T3133" t="s">
        <v>301</v>
      </c>
    </row>
    <row r="3134" spans="1:20" x14ac:dyDescent="0.25">
      <c r="A3134">
        <v>9</v>
      </c>
      <c r="B3134">
        <v>199</v>
      </c>
      <c r="C3134" t="str">
        <f t="shared" si="570"/>
        <v>36</v>
      </c>
      <c r="D3134">
        <v>6412</v>
      </c>
      <c r="E3134" t="str">
        <f>"7C"</f>
        <v>7C</v>
      </c>
      <c r="F3134" t="str">
        <f t="shared" si="569"/>
        <v>001</v>
      </c>
      <c r="G3134">
        <v>9</v>
      </c>
      <c r="H3134" t="str">
        <f>"99"</f>
        <v>99</v>
      </c>
      <c r="I3134" t="str">
        <f>"0"</f>
        <v>0</v>
      </c>
      <c r="J3134" t="str">
        <f>"01"</f>
        <v>01</v>
      </c>
      <c r="K3134">
        <v>20181019</v>
      </c>
      <c r="L3134" t="str">
        <f>"074373"</f>
        <v>074373</v>
      </c>
      <c r="M3134" t="str">
        <f>"34670"</f>
        <v>34670</v>
      </c>
      <c r="N3134" t="s">
        <v>1731</v>
      </c>
      <c r="O3134">
        <v>70</v>
      </c>
      <c r="P3134">
        <v>20181017</v>
      </c>
      <c r="Q3134" t="s">
        <v>1734</v>
      </c>
      <c r="R3134" t="s">
        <v>2378</v>
      </c>
      <c r="S3134" t="s">
        <v>1615</v>
      </c>
      <c r="T3134" t="s">
        <v>301</v>
      </c>
    </row>
    <row r="3135" spans="1:20" x14ac:dyDescent="0.25">
      <c r="A3135">
        <v>9</v>
      </c>
      <c r="B3135">
        <v>199</v>
      </c>
      <c r="C3135" t="str">
        <f t="shared" si="570"/>
        <v>36</v>
      </c>
      <c r="D3135">
        <v>6412</v>
      </c>
      <c r="E3135" t="str">
        <f>"7C"</f>
        <v>7C</v>
      </c>
      <c r="F3135" t="str">
        <f t="shared" si="569"/>
        <v>001</v>
      </c>
      <c r="G3135">
        <v>9</v>
      </c>
      <c r="H3135" t="str">
        <f>"99"</f>
        <v>99</v>
      </c>
      <c r="I3135" t="str">
        <f>"0"</f>
        <v>0</v>
      </c>
      <c r="J3135" t="str">
        <f>"01"</f>
        <v>01</v>
      </c>
      <c r="K3135">
        <v>20181019</v>
      </c>
      <c r="L3135" t="str">
        <f>"074374"</f>
        <v>074374</v>
      </c>
      <c r="M3135" t="str">
        <f>"34670"</f>
        <v>34670</v>
      </c>
      <c r="N3135" t="s">
        <v>1731</v>
      </c>
      <c r="O3135">
        <v>54.24</v>
      </c>
      <c r="P3135">
        <v>20181017</v>
      </c>
      <c r="Q3135" t="s">
        <v>1734</v>
      </c>
      <c r="R3135" t="s">
        <v>2379</v>
      </c>
      <c r="S3135" t="s">
        <v>1615</v>
      </c>
      <c r="T3135" t="s">
        <v>301</v>
      </c>
    </row>
    <row r="3136" spans="1:20" x14ac:dyDescent="0.25">
      <c r="A3136">
        <v>9</v>
      </c>
      <c r="B3136">
        <v>199</v>
      </c>
      <c r="C3136" t="str">
        <f t="shared" si="570"/>
        <v>36</v>
      </c>
      <c r="D3136">
        <v>6411</v>
      </c>
      <c r="E3136" t="str">
        <f>"8M"</f>
        <v>8M</v>
      </c>
      <c r="F3136" t="str">
        <f t="shared" si="569"/>
        <v>001</v>
      </c>
      <c r="G3136">
        <v>9</v>
      </c>
      <c r="H3136" t="str">
        <f>"99"</f>
        <v>99</v>
      </c>
      <c r="I3136" t="str">
        <f>"1"</f>
        <v>1</v>
      </c>
      <c r="J3136" t="str">
        <f>"33"</f>
        <v>33</v>
      </c>
      <c r="K3136">
        <v>20181019</v>
      </c>
      <c r="L3136" t="str">
        <f>"074375"</f>
        <v>074375</v>
      </c>
      <c r="M3136" t="str">
        <f>"37805"</f>
        <v>37805</v>
      </c>
      <c r="N3136" t="s">
        <v>1627</v>
      </c>
      <c r="O3136">
        <v>16.66</v>
      </c>
      <c r="P3136">
        <v>20181017</v>
      </c>
      <c r="Q3136" t="s">
        <v>1628</v>
      </c>
      <c r="R3136" t="s">
        <v>2380</v>
      </c>
      <c r="S3136" t="s">
        <v>1615</v>
      </c>
      <c r="T3136" t="s">
        <v>301</v>
      </c>
    </row>
    <row r="3137" spans="1:20" x14ac:dyDescent="0.25">
      <c r="A3137">
        <v>9</v>
      </c>
      <c r="B3137">
        <v>199</v>
      </c>
      <c r="C3137" t="str">
        <f t="shared" si="570"/>
        <v>36</v>
      </c>
      <c r="D3137">
        <v>6412</v>
      </c>
      <c r="E3137" t="str">
        <f>"8M"</f>
        <v>8M</v>
      </c>
      <c r="F3137" t="str">
        <f t="shared" si="569"/>
        <v>001</v>
      </c>
      <c r="G3137">
        <v>9</v>
      </c>
      <c r="H3137" t="str">
        <f>"99"</f>
        <v>99</v>
      </c>
      <c r="I3137" t="str">
        <f>"1"</f>
        <v>1</v>
      </c>
      <c r="J3137" t="str">
        <f>"33"</f>
        <v>33</v>
      </c>
      <c r="K3137">
        <v>20181019</v>
      </c>
      <c r="L3137" t="str">
        <f>"074375"</f>
        <v>074375</v>
      </c>
      <c r="M3137" t="str">
        <f>"37805"</f>
        <v>37805</v>
      </c>
      <c r="N3137" t="s">
        <v>1627</v>
      </c>
      <c r="O3137">
        <v>175</v>
      </c>
      <c r="P3137">
        <v>20181017</v>
      </c>
      <c r="Q3137" t="s">
        <v>1629</v>
      </c>
      <c r="R3137" t="s">
        <v>2380</v>
      </c>
      <c r="S3137" t="s">
        <v>1615</v>
      </c>
      <c r="T3137" t="s">
        <v>301</v>
      </c>
    </row>
    <row r="3138" spans="1:20" x14ac:dyDescent="0.25">
      <c r="A3138">
        <v>9</v>
      </c>
      <c r="B3138">
        <v>199</v>
      </c>
      <c r="C3138" t="str">
        <f>"11"</f>
        <v>11</v>
      </c>
      <c r="D3138">
        <v>6399</v>
      </c>
      <c r="E3138" t="str">
        <f>"7E"</f>
        <v>7E</v>
      </c>
      <c r="F3138" t="str">
        <f t="shared" si="569"/>
        <v>001</v>
      </c>
      <c r="G3138">
        <v>9</v>
      </c>
      <c r="H3138" t="str">
        <f>"11"</f>
        <v>11</v>
      </c>
      <c r="I3138" t="str">
        <f>"0"</f>
        <v>0</v>
      </c>
      <c r="J3138" t="str">
        <f>"31"</f>
        <v>31</v>
      </c>
      <c r="K3138">
        <v>20181019</v>
      </c>
      <c r="L3138" t="str">
        <f>"074380"</f>
        <v>074380</v>
      </c>
      <c r="M3138" t="str">
        <f>"57791"</f>
        <v>57791</v>
      </c>
      <c r="N3138" t="s">
        <v>2381</v>
      </c>
      <c r="O3138">
        <v>520.54</v>
      </c>
      <c r="P3138">
        <v>20181017</v>
      </c>
      <c r="Q3138" t="s">
        <v>2382</v>
      </c>
      <c r="R3138" t="s">
        <v>2383</v>
      </c>
      <c r="S3138" t="s">
        <v>1615</v>
      </c>
      <c r="T3138" t="s">
        <v>301</v>
      </c>
    </row>
    <row r="3139" spans="1:20" x14ac:dyDescent="0.25">
      <c r="A3139">
        <v>9</v>
      </c>
      <c r="B3139">
        <v>199</v>
      </c>
      <c r="C3139" t="str">
        <f>"11"</f>
        <v>11</v>
      </c>
      <c r="D3139">
        <v>6399</v>
      </c>
      <c r="E3139" t="str">
        <f>"7E"</f>
        <v>7E</v>
      </c>
      <c r="F3139" t="str">
        <f t="shared" si="569"/>
        <v>001</v>
      </c>
      <c r="G3139">
        <v>9</v>
      </c>
      <c r="H3139" t="str">
        <f>"11"</f>
        <v>11</v>
      </c>
      <c r="I3139" t="str">
        <f>"0"</f>
        <v>0</v>
      </c>
      <c r="J3139" t="str">
        <f>"31"</f>
        <v>31</v>
      </c>
      <c r="K3139">
        <v>20181019</v>
      </c>
      <c r="L3139" t="str">
        <f>"074380"</f>
        <v>074380</v>
      </c>
      <c r="M3139" t="str">
        <f>"57791"</f>
        <v>57791</v>
      </c>
      <c r="N3139" t="s">
        <v>2381</v>
      </c>
      <c r="O3139">
        <v>-26.99</v>
      </c>
      <c r="P3139">
        <v>20180712</v>
      </c>
      <c r="Q3139" t="s">
        <v>2382</v>
      </c>
      <c r="R3139" t="s">
        <v>2384</v>
      </c>
      <c r="S3139" t="s">
        <v>1615</v>
      </c>
      <c r="T3139" t="s">
        <v>301</v>
      </c>
    </row>
    <row r="3140" spans="1:20" x14ac:dyDescent="0.25">
      <c r="A3140">
        <v>9</v>
      </c>
      <c r="B3140">
        <v>199</v>
      </c>
      <c r="C3140" t="str">
        <f>"41"</f>
        <v>41</v>
      </c>
      <c r="D3140">
        <v>6219</v>
      </c>
      <c r="E3140" t="str">
        <f>"11"</f>
        <v>11</v>
      </c>
      <c r="F3140" t="str">
        <f>"730"</f>
        <v>730</v>
      </c>
      <c r="G3140">
        <v>9</v>
      </c>
      <c r="H3140" t="str">
        <f t="shared" ref="H3140:H3161" si="571">"99"</f>
        <v>99</v>
      </c>
      <c r="I3140" t="str">
        <f>"0"</f>
        <v>0</v>
      </c>
      <c r="J3140" t="str">
        <f>"95"</f>
        <v>95</v>
      </c>
      <c r="K3140">
        <v>20181019</v>
      </c>
      <c r="L3140" t="str">
        <f>"074381"</f>
        <v>074381</v>
      </c>
      <c r="M3140" t="str">
        <f>"46025"</f>
        <v>46025</v>
      </c>
      <c r="N3140" t="s">
        <v>1741</v>
      </c>
      <c r="O3140">
        <v>745</v>
      </c>
      <c r="P3140">
        <v>20181017</v>
      </c>
      <c r="Q3140" t="s">
        <v>2385</v>
      </c>
      <c r="R3140" s="2">
        <v>43313</v>
      </c>
      <c r="S3140" t="s">
        <v>1615</v>
      </c>
      <c r="T3140" t="s">
        <v>1794</v>
      </c>
    </row>
    <row r="3141" spans="1:20" x14ac:dyDescent="0.25">
      <c r="A3141">
        <v>9</v>
      </c>
      <c r="B3141">
        <v>199</v>
      </c>
      <c r="C3141" t="str">
        <f>"41"</f>
        <v>41</v>
      </c>
      <c r="D3141">
        <v>6219</v>
      </c>
      <c r="E3141" t="str">
        <f>"11"</f>
        <v>11</v>
      </c>
      <c r="F3141" t="str">
        <f>"730"</f>
        <v>730</v>
      </c>
      <c r="G3141">
        <v>9</v>
      </c>
      <c r="H3141" t="str">
        <f t="shared" si="571"/>
        <v>99</v>
      </c>
      <c r="I3141" t="str">
        <f>"0"</f>
        <v>0</v>
      </c>
      <c r="J3141" t="str">
        <f>"95"</f>
        <v>95</v>
      </c>
      <c r="K3141">
        <v>20181019</v>
      </c>
      <c r="L3141" t="str">
        <f>"074381"</f>
        <v>074381</v>
      </c>
      <c r="M3141" t="str">
        <f>"46025"</f>
        <v>46025</v>
      </c>
      <c r="N3141" t="s">
        <v>1741</v>
      </c>
      <c r="O3141">
        <v>623.75</v>
      </c>
      <c r="P3141">
        <v>20181017</v>
      </c>
      <c r="Q3141" t="s">
        <v>2385</v>
      </c>
      <c r="R3141" s="2">
        <v>43344</v>
      </c>
      <c r="S3141" t="s">
        <v>1615</v>
      </c>
      <c r="T3141" t="s">
        <v>1794</v>
      </c>
    </row>
    <row r="3142" spans="1:20" x14ac:dyDescent="0.25">
      <c r="A3142">
        <v>9</v>
      </c>
      <c r="B3142">
        <v>199</v>
      </c>
      <c r="C3142" t="str">
        <f>"36"</f>
        <v>36</v>
      </c>
      <c r="D3142">
        <v>6411</v>
      </c>
      <c r="E3142" t="str">
        <f>"8S"</f>
        <v>8S</v>
      </c>
      <c r="F3142" t="str">
        <f>"001"</f>
        <v>001</v>
      </c>
      <c r="G3142">
        <v>9</v>
      </c>
      <c r="H3142" t="str">
        <f t="shared" si="571"/>
        <v>99</v>
      </c>
      <c r="I3142" t="str">
        <f>"1"</f>
        <v>1</v>
      </c>
      <c r="J3142" t="str">
        <f>"01"</f>
        <v>01</v>
      </c>
      <c r="K3142">
        <v>20181019</v>
      </c>
      <c r="L3142" t="str">
        <f>"074382"</f>
        <v>074382</v>
      </c>
      <c r="M3142" t="str">
        <f>"46348"</f>
        <v>46348</v>
      </c>
      <c r="N3142" t="s">
        <v>1631</v>
      </c>
      <c r="O3142">
        <v>50</v>
      </c>
      <c r="P3142">
        <v>20181017</v>
      </c>
      <c r="Q3142" t="s">
        <v>1632</v>
      </c>
      <c r="R3142" t="s">
        <v>2362</v>
      </c>
      <c r="S3142" t="s">
        <v>1615</v>
      </c>
      <c r="T3142" t="s">
        <v>301</v>
      </c>
    </row>
    <row r="3143" spans="1:20" x14ac:dyDescent="0.25">
      <c r="A3143">
        <v>9</v>
      </c>
      <c r="B3143">
        <v>199</v>
      </c>
      <c r="C3143" t="str">
        <f>"36"</f>
        <v>36</v>
      </c>
      <c r="D3143">
        <v>6412</v>
      </c>
      <c r="E3143" t="str">
        <f>"8S"</f>
        <v>8S</v>
      </c>
      <c r="F3143" t="str">
        <f>"001"</f>
        <v>001</v>
      </c>
      <c r="G3143">
        <v>9</v>
      </c>
      <c r="H3143" t="str">
        <f t="shared" si="571"/>
        <v>99</v>
      </c>
      <c r="I3143" t="str">
        <f>"1"</f>
        <v>1</v>
      </c>
      <c r="J3143" t="str">
        <f>"01"</f>
        <v>01</v>
      </c>
      <c r="K3143">
        <v>20181019</v>
      </c>
      <c r="L3143" t="str">
        <f>"074382"</f>
        <v>074382</v>
      </c>
      <c r="M3143" t="str">
        <f>"46348"</f>
        <v>46348</v>
      </c>
      <c r="N3143" t="s">
        <v>1631</v>
      </c>
      <c r="O3143">
        <v>525</v>
      </c>
      <c r="P3143">
        <v>20181017</v>
      </c>
      <c r="Q3143" t="s">
        <v>1634</v>
      </c>
      <c r="R3143" t="s">
        <v>2362</v>
      </c>
      <c r="S3143" t="s">
        <v>1615</v>
      </c>
      <c r="T3143" t="s">
        <v>301</v>
      </c>
    </row>
    <row r="3144" spans="1:20" x14ac:dyDescent="0.25">
      <c r="A3144">
        <v>9</v>
      </c>
      <c r="B3144">
        <v>199</v>
      </c>
      <c r="C3144" t="str">
        <f>"51"</f>
        <v>51</v>
      </c>
      <c r="D3144">
        <v>6249</v>
      </c>
      <c r="E3144" t="str">
        <f>"MC"</f>
        <v>MC</v>
      </c>
      <c r="F3144" t="str">
        <f>"001"</f>
        <v>001</v>
      </c>
      <c r="G3144">
        <v>9</v>
      </c>
      <c r="H3144" t="str">
        <f t="shared" si="571"/>
        <v>99</v>
      </c>
      <c r="I3144" t="str">
        <f t="shared" ref="I3144:I3154" si="572">"0"</f>
        <v>0</v>
      </c>
      <c r="J3144" t="str">
        <f>"81"</f>
        <v>81</v>
      </c>
      <c r="K3144">
        <v>20181019</v>
      </c>
      <c r="L3144" t="str">
        <f>"074383"</f>
        <v>074383</v>
      </c>
      <c r="M3144" t="str">
        <f>"00518"</f>
        <v>00518</v>
      </c>
      <c r="N3144" t="s">
        <v>1742</v>
      </c>
      <c r="O3144">
        <v>499.96</v>
      </c>
      <c r="P3144">
        <v>20181017</v>
      </c>
      <c r="Q3144" t="s">
        <v>2386</v>
      </c>
      <c r="R3144" t="s">
        <v>2387</v>
      </c>
      <c r="S3144" t="s">
        <v>1615</v>
      </c>
      <c r="T3144" t="s">
        <v>301</v>
      </c>
    </row>
    <row r="3145" spans="1:20" x14ac:dyDescent="0.25">
      <c r="A3145">
        <v>9</v>
      </c>
      <c r="B3145">
        <v>199</v>
      </c>
      <c r="C3145" t="str">
        <f>"51"</f>
        <v>51</v>
      </c>
      <c r="D3145">
        <v>6249</v>
      </c>
      <c r="E3145" t="str">
        <f>"MC"</f>
        <v>MC</v>
      </c>
      <c r="F3145" t="str">
        <f>"104"</f>
        <v>104</v>
      </c>
      <c r="G3145">
        <v>9</v>
      </c>
      <c r="H3145" t="str">
        <f t="shared" si="571"/>
        <v>99</v>
      </c>
      <c r="I3145" t="str">
        <f t="shared" si="572"/>
        <v>0</v>
      </c>
      <c r="J3145" t="str">
        <f>"81"</f>
        <v>81</v>
      </c>
      <c r="K3145">
        <v>20181019</v>
      </c>
      <c r="L3145" t="str">
        <f>"074383"</f>
        <v>074383</v>
      </c>
      <c r="M3145" t="str">
        <f>"00518"</f>
        <v>00518</v>
      </c>
      <c r="N3145" t="s">
        <v>1742</v>
      </c>
      <c r="O3145">
        <v>499.96</v>
      </c>
      <c r="P3145">
        <v>20181017</v>
      </c>
      <c r="Q3145" t="s">
        <v>1744</v>
      </c>
      <c r="R3145" t="s">
        <v>2387</v>
      </c>
      <c r="S3145" t="s">
        <v>1615</v>
      </c>
      <c r="T3145" t="s">
        <v>46</v>
      </c>
    </row>
    <row r="3146" spans="1:20" x14ac:dyDescent="0.25">
      <c r="A3146">
        <v>9</v>
      </c>
      <c r="B3146">
        <v>199</v>
      </c>
      <c r="C3146" t="str">
        <f>"23"</f>
        <v>23</v>
      </c>
      <c r="D3146">
        <v>6411</v>
      </c>
      <c r="E3146" t="str">
        <f>"10"</f>
        <v>10</v>
      </c>
      <c r="F3146" t="str">
        <f>"001"</f>
        <v>001</v>
      </c>
      <c r="G3146">
        <v>9</v>
      </c>
      <c r="H3146" t="str">
        <f t="shared" si="571"/>
        <v>99</v>
      </c>
      <c r="I3146" t="str">
        <f t="shared" si="572"/>
        <v>0</v>
      </c>
      <c r="J3146" t="str">
        <f>"01"</f>
        <v>01</v>
      </c>
      <c r="K3146">
        <v>20181019</v>
      </c>
      <c r="L3146" t="str">
        <f>"074385"</f>
        <v>074385</v>
      </c>
      <c r="M3146" t="str">
        <f>"48972"</f>
        <v>48972</v>
      </c>
      <c r="N3146" t="s">
        <v>2388</v>
      </c>
      <c r="O3146">
        <v>50.6</v>
      </c>
      <c r="P3146">
        <v>20181017</v>
      </c>
      <c r="Q3146" t="s">
        <v>2389</v>
      </c>
      <c r="R3146" t="s">
        <v>343</v>
      </c>
      <c r="S3146" t="s">
        <v>1615</v>
      </c>
      <c r="T3146" t="s">
        <v>301</v>
      </c>
    </row>
    <row r="3147" spans="1:20" x14ac:dyDescent="0.25">
      <c r="A3147">
        <v>9</v>
      </c>
      <c r="B3147">
        <v>199</v>
      </c>
      <c r="C3147" t="str">
        <f t="shared" ref="C3147:C3152" si="573">"51"</f>
        <v>51</v>
      </c>
      <c r="D3147">
        <v>6319</v>
      </c>
      <c r="E3147" t="str">
        <f t="shared" ref="E3147:E3152" si="574">"MC"</f>
        <v>MC</v>
      </c>
      <c r="F3147" t="str">
        <f t="shared" ref="F3147:F3152" si="575">"936"</f>
        <v>936</v>
      </c>
      <c r="G3147">
        <v>9</v>
      </c>
      <c r="H3147" t="str">
        <f t="shared" si="571"/>
        <v>99</v>
      </c>
      <c r="I3147" t="str">
        <f t="shared" si="572"/>
        <v>0</v>
      </c>
      <c r="J3147" t="str">
        <f t="shared" ref="J3147:J3152" si="576">"81"</f>
        <v>81</v>
      </c>
      <c r="K3147">
        <v>20181019</v>
      </c>
      <c r="L3147" t="str">
        <f t="shared" ref="L3147:L3152" si="577">"074387"</f>
        <v>074387</v>
      </c>
      <c r="M3147" t="str">
        <f t="shared" ref="M3147:M3152" si="578">"49898"</f>
        <v>49898</v>
      </c>
      <c r="N3147" t="s">
        <v>2390</v>
      </c>
      <c r="O3147">
        <v>36.450000000000003</v>
      </c>
      <c r="P3147">
        <v>20181017</v>
      </c>
      <c r="Q3147" t="s">
        <v>2060</v>
      </c>
      <c r="R3147" t="s">
        <v>2391</v>
      </c>
      <c r="S3147" t="s">
        <v>1615</v>
      </c>
      <c r="T3147" t="s">
        <v>1713</v>
      </c>
    </row>
    <row r="3148" spans="1:20" x14ac:dyDescent="0.25">
      <c r="A3148">
        <v>9</v>
      </c>
      <c r="B3148">
        <v>199</v>
      </c>
      <c r="C3148" t="str">
        <f t="shared" si="573"/>
        <v>51</v>
      </c>
      <c r="D3148">
        <v>6319</v>
      </c>
      <c r="E3148" t="str">
        <f t="shared" si="574"/>
        <v>MC</v>
      </c>
      <c r="F3148" t="str">
        <f t="shared" si="575"/>
        <v>936</v>
      </c>
      <c r="G3148">
        <v>9</v>
      </c>
      <c r="H3148" t="str">
        <f t="shared" si="571"/>
        <v>99</v>
      </c>
      <c r="I3148" t="str">
        <f t="shared" si="572"/>
        <v>0</v>
      </c>
      <c r="J3148" t="str">
        <f t="shared" si="576"/>
        <v>81</v>
      </c>
      <c r="K3148">
        <v>20181019</v>
      </c>
      <c r="L3148" t="str">
        <f t="shared" si="577"/>
        <v>074387</v>
      </c>
      <c r="M3148" t="str">
        <f t="shared" si="578"/>
        <v>49898</v>
      </c>
      <c r="N3148" t="s">
        <v>2390</v>
      </c>
      <c r="O3148">
        <v>25.72</v>
      </c>
      <c r="P3148">
        <v>20181017</v>
      </c>
      <c r="Q3148" t="s">
        <v>2060</v>
      </c>
      <c r="R3148" t="s">
        <v>2391</v>
      </c>
      <c r="S3148" t="s">
        <v>1615</v>
      </c>
      <c r="T3148" t="s">
        <v>1713</v>
      </c>
    </row>
    <row r="3149" spans="1:20" x14ac:dyDescent="0.25">
      <c r="A3149">
        <v>9</v>
      </c>
      <c r="B3149">
        <v>199</v>
      </c>
      <c r="C3149" t="str">
        <f t="shared" si="573"/>
        <v>51</v>
      </c>
      <c r="D3149">
        <v>6319</v>
      </c>
      <c r="E3149" t="str">
        <f t="shared" si="574"/>
        <v>MC</v>
      </c>
      <c r="F3149" t="str">
        <f t="shared" si="575"/>
        <v>936</v>
      </c>
      <c r="G3149">
        <v>9</v>
      </c>
      <c r="H3149" t="str">
        <f t="shared" si="571"/>
        <v>99</v>
      </c>
      <c r="I3149" t="str">
        <f t="shared" si="572"/>
        <v>0</v>
      </c>
      <c r="J3149" t="str">
        <f t="shared" si="576"/>
        <v>81</v>
      </c>
      <c r="K3149">
        <v>20181019</v>
      </c>
      <c r="L3149" t="str">
        <f t="shared" si="577"/>
        <v>074387</v>
      </c>
      <c r="M3149" t="str">
        <f t="shared" si="578"/>
        <v>49898</v>
      </c>
      <c r="N3149" t="s">
        <v>2390</v>
      </c>
      <c r="O3149">
        <v>62.56</v>
      </c>
      <c r="P3149">
        <v>20181017</v>
      </c>
      <c r="Q3149" t="s">
        <v>2060</v>
      </c>
      <c r="R3149" t="s">
        <v>2392</v>
      </c>
      <c r="S3149" t="s">
        <v>1615</v>
      </c>
      <c r="T3149" t="s">
        <v>1713</v>
      </c>
    </row>
    <row r="3150" spans="1:20" x14ac:dyDescent="0.25">
      <c r="A3150">
        <v>9</v>
      </c>
      <c r="B3150">
        <v>199</v>
      </c>
      <c r="C3150" t="str">
        <f t="shared" si="573"/>
        <v>51</v>
      </c>
      <c r="D3150">
        <v>6319</v>
      </c>
      <c r="E3150" t="str">
        <f t="shared" si="574"/>
        <v>MC</v>
      </c>
      <c r="F3150" t="str">
        <f t="shared" si="575"/>
        <v>936</v>
      </c>
      <c r="G3150">
        <v>9</v>
      </c>
      <c r="H3150" t="str">
        <f t="shared" si="571"/>
        <v>99</v>
      </c>
      <c r="I3150" t="str">
        <f t="shared" si="572"/>
        <v>0</v>
      </c>
      <c r="J3150" t="str">
        <f t="shared" si="576"/>
        <v>81</v>
      </c>
      <c r="K3150">
        <v>20181019</v>
      </c>
      <c r="L3150" t="str">
        <f t="shared" si="577"/>
        <v>074387</v>
      </c>
      <c r="M3150" t="str">
        <f t="shared" si="578"/>
        <v>49898</v>
      </c>
      <c r="N3150" t="s">
        <v>2390</v>
      </c>
      <c r="O3150">
        <v>756.95</v>
      </c>
      <c r="P3150">
        <v>20181017</v>
      </c>
      <c r="Q3150" t="s">
        <v>2060</v>
      </c>
      <c r="R3150" t="s">
        <v>2393</v>
      </c>
      <c r="S3150" t="s">
        <v>1615</v>
      </c>
      <c r="T3150" t="s">
        <v>1713</v>
      </c>
    </row>
    <row r="3151" spans="1:20" x14ac:dyDescent="0.25">
      <c r="A3151">
        <v>9</v>
      </c>
      <c r="B3151">
        <v>199</v>
      </c>
      <c r="C3151" t="str">
        <f t="shared" si="573"/>
        <v>51</v>
      </c>
      <c r="D3151">
        <v>6319</v>
      </c>
      <c r="E3151" t="str">
        <f t="shared" si="574"/>
        <v>MC</v>
      </c>
      <c r="F3151" t="str">
        <f t="shared" si="575"/>
        <v>936</v>
      </c>
      <c r="G3151">
        <v>9</v>
      </c>
      <c r="H3151" t="str">
        <f t="shared" si="571"/>
        <v>99</v>
      </c>
      <c r="I3151" t="str">
        <f t="shared" si="572"/>
        <v>0</v>
      </c>
      <c r="J3151" t="str">
        <f t="shared" si="576"/>
        <v>81</v>
      </c>
      <c r="K3151">
        <v>20181019</v>
      </c>
      <c r="L3151" t="str">
        <f t="shared" si="577"/>
        <v>074387</v>
      </c>
      <c r="M3151" t="str">
        <f t="shared" si="578"/>
        <v>49898</v>
      </c>
      <c r="N3151" t="s">
        <v>2390</v>
      </c>
      <c r="O3151">
        <v>93.06</v>
      </c>
      <c r="P3151">
        <v>20181017</v>
      </c>
      <c r="Q3151" t="s">
        <v>2060</v>
      </c>
      <c r="R3151" t="s">
        <v>2394</v>
      </c>
      <c r="S3151" t="s">
        <v>1615</v>
      </c>
      <c r="T3151" t="s">
        <v>1713</v>
      </c>
    </row>
    <row r="3152" spans="1:20" x14ac:dyDescent="0.25">
      <c r="A3152">
        <v>9</v>
      </c>
      <c r="B3152">
        <v>199</v>
      </c>
      <c r="C3152" t="str">
        <f t="shared" si="573"/>
        <v>51</v>
      </c>
      <c r="D3152">
        <v>6319</v>
      </c>
      <c r="E3152" t="str">
        <f t="shared" si="574"/>
        <v>MC</v>
      </c>
      <c r="F3152" t="str">
        <f t="shared" si="575"/>
        <v>936</v>
      </c>
      <c r="G3152">
        <v>9</v>
      </c>
      <c r="H3152" t="str">
        <f t="shared" si="571"/>
        <v>99</v>
      </c>
      <c r="I3152" t="str">
        <f t="shared" si="572"/>
        <v>0</v>
      </c>
      <c r="J3152" t="str">
        <f t="shared" si="576"/>
        <v>81</v>
      </c>
      <c r="K3152">
        <v>20181019</v>
      </c>
      <c r="L3152" t="str">
        <f t="shared" si="577"/>
        <v>074387</v>
      </c>
      <c r="M3152" t="str">
        <f t="shared" si="578"/>
        <v>49898</v>
      </c>
      <c r="N3152" t="s">
        <v>2390</v>
      </c>
      <c r="O3152">
        <v>41.92</v>
      </c>
      <c r="P3152">
        <v>20181018</v>
      </c>
      <c r="Q3152" t="s">
        <v>2060</v>
      </c>
      <c r="R3152" t="s">
        <v>2395</v>
      </c>
      <c r="S3152" t="s">
        <v>1615</v>
      </c>
      <c r="T3152" t="s">
        <v>1713</v>
      </c>
    </row>
    <row r="3153" spans="1:20" x14ac:dyDescent="0.25">
      <c r="A3153">
        <v>9</v>
      </c>
      <c r="B3153">
        <v>199</v>
      </c>
      <c r="C3153" t="str">
        <f>"36"</f>
        <v>36</v>
      </c>
      <c r="D3153">
        <v>6399</v>
      </c>
      <c r="E3153" t="str">
        <f>"09"</f>
        <v>09</v>
      </c>
      <c r="F3153" t="str">
        <f>"101"</f>
        <v>101</v>
      </c>
      <c r="G3153">
        <v>9</v>
      </c>
      <c r="H3153" t="str">
        <f t="shared" si="571"/>
        <v>99</v>
      </c>
      <c r="I3153" t="str">
        <f t="shared" si="572"/>
        <v>0</v>
      </c>
      <c r="J3153" t="str">
        <f>"04"</f>
        <v>04</v>
      </c>
      <c r="K3153">
        <v>20181019</v>
      </c>
      <c r="L3153" t="str">
        <f>"074390"</f>
        <v>074390</v>
      </c>
      <c r="M3153" t="str">
        <f>"51911"</f>
        <v>51911</v>
      </c>
      <c r="N3153" t="s">
        <v>2396</v>
      </c>
      <c r="O3153">
        <v>84.99</v>
      </c>
      <c r="P3153">
        <v>20181017</v>
      </c>
      <c r="Q3153" t="s">
        <v>2397</v>
      </c>
      <c r="R3153" t="s">
        <v>2398</v>
      </c>
      <c r="S3153" t="s">
        <v>1615</v>
      </c>
      <c r="T3153" t="s">
        <v>1479</v>
      </c>
    </row>
    <row r="3154" spans="1:20" x14ac:dyDescent="0.25">
      <c r="A3154">
        <v>9</v>
      </c>
      <c r="B3154">
        <v>199</v>
      </c>
      <c r="C3154" t="str">
        <f>"34"</f>
        <v>34</v>
      </c>
      <c r="D3154">
        <v>6399</v>
      </c>
      <c r="E3154" t="str">
        <f>"11"</f>
        <v>11</v>
      </c>
      <c r="F3154" t="str">
        <f>"937"</f>
        <v>937</v>
      </c>
      <c r="G3154">
        <v>9</v>
      </c>
      <c r="H3154" t="str">
        <f t="shared" si="571"/>
        <v>99</v>
      </c>
      <c r="I3154" t="str">
        <f t="shared" si="572"/>
        <v>0</v>
      </c>
      <c r="J3154" t="str">
        <f>"82"</f>
        <v>82</v>
      </c>
      <c r="K3154">
        <v>20181019</v>
      </c>
      <c r="L3154" t="str">
        <f>"074392"</f>
        <v>074392</v>
      </c>
      <c r="M3154" t="str">
        <f>"56255"</f>
        <v>56255</v>
      </c>
      <c r="N3154" t="s">
        <v>2399</v>
      </c>
      <c r="O3154" s="1">
        <v>1645.94</v>
      </c>
      <c r="P3154">
        <v>20181017</v>
      </c>
      <c r="Q3154" t="s">
        <v>2210</v>
      </c>
      <c r="R3154" t="s">
        <v>2400</v>
      </c>
      <c r="S3154" t="s">
        <v>1615</v>
      </c>
      <c r="T3154" t="s">
        <v>1810</v>
      </c>
    </row>
    <row r="3155" spans="1:20" x14ac:dyDescent="0.25">
      <c r="A3155">
        <v>9</v>
      </c>
      <c r="B3155">
        <v>199</v>
      </c>
      <c r="C3155" t="str">
        <f>"36"</f>
        <v>36</v>
      </c>
      <c r="D3155">
        <v>6411</v>
      </c>
      <c r="E3155" t="str">
        <f>"7E"</f>
        <v>7E</v>
      </c>
      <c r="F3155" t="str">
        <f>"001"</f>
        <v>001</v>
      </c>
      <c r="G3155">
        <v>9</v>
      </c>
      <c r="H3155" t="str">
        <f t="shared" si="571"/>
        <v>99</v>
      </c>
      <c r="I3155" t="str">
        <f>"1"</f>
        <v>1</v>
      </c>
      <c r="J3155" t="str">
        <f>"31"</f>
        <v>31</v>
      </c>
      <c r="K3155">
        <v>20181019</v>
      </c>
      <c r="L3155" t="str">
        <f>"074400"</f>
        <v>074400</v>
      </c>
      <c r="M3155" t="str">
        <f>"63053"</f>
        <v>63053</v>
      </c>
      <c r="N3155" t="s">
        <v>2309</v>
      </c>
      <c r="O3155">
        <v>25</v>
      </c>
      <c r="P3155">
        <v>20181017</v>
      </c>
      <c r="Q3155" t="s">
        <v>2310</v>
      </c>
      <c r="R3155" t="s">
        <v>1656</v>
      </c>
      <c r="S3155" t="s">
        <v>1615</v>
      </c>
      <c r="T3155" t="s">
        <v>301</v>
      </c>
    </row>
    <row r="3156" spans="1:20" x14ac:dyDescent="0.25">
      <c r="A3156">
        <v>9</v>
      </c>
      <c r="B3156">
        <v>199</v>
      </c>
      <c r="C3156" t="str">
        <f>"36"</f>
        <v>36</v>
      </c>
      <c r="D3156">
        <v>6412</v>
      </c>
      <c r="E3156" t="str">
        <f>"7E"</f>
        <v>7E</v>
      </c>
      <c r="F3156" t="str">
        <f>"001"</f>
        <v>001</v>
      </c>
      <c r="G3156">
        <v>9</v>
      </c>
      <c r="H3156" t="str">
        <f t="shared" si="571"/>
        <v>99</v>
      </c>
      <c r="I3156" t="str">
        <f>"1"</f>
        <v>1</v>
      </c>
      <c r="J3156" t="str">
        <f>"31"</f>
        <v>31</v>
      </c>
      <c r="K3156">
        <v>20181019</v>
      </c>
      <c r="L3156" t="str">
        <f>"074400"</f>
        <v>074400</v>
      </c>
      <c r="M3156" t="str">
        <f>"63053"</f>
        <v>63053</v>
      </c>
      <c r="N3156" t="s">
        <v>2309</v>
      </c>
      <c r="O3156">
        <v>580</v>
      </c>
      <c r="P3156">
        <v>20181017</v>
      </c>
      <c r="Q3156" t="s">
        <v>2312</v>
      </c>
      <c r="R3156" t="s">
        <v>1656</v>
      </c>
      <c r="S3156" t="s">
        <v>1615</v>
      </c>
      <c r="T3156" t="s">
        <v>301</v>
      </c>
    </row>
    <row r="3157" spans="1:20" x14ac:dyDescent="0.25">
      <c r="A3157">
        <v>9</v>
      </c>
      <c r="B3157">
        <v>199</v>
      </c>
      <c r="C3157" t="str">
        <f>"36"</f>
        <v>36</v>
      </c>
      <c r="D3157">
        <v>6412</v>
      </c>
      <c r="E3157" t="str">
        <f>"7E"</f>
        <v>7E</v>
      </c>
      <c r="F3157" t="str">
        <f>"001"</f>
        <v>001</v>
      </c>
      <c r="G3157">
        <v>9</v>
      </c>
      <c r="H3157" t="str">
        <f t="shared" si="571"/>
        <v>99</v>
      </c>
      <c r="I3157" t="str">
        <f>"1"</f>
        <v>1</v>
      </c>
      <c r="J3157" t="str">
        <f>"31"</f>
        <v>31</v>
      </c>
      <c r="K3157">
        <v>20181019</v>
      </c>
      <c r="L3157" t="str">
        <f>"074401"</f>
        <v>074401</v>
      </c>
      <c r="M3157" t="str">
        <f>"63053"</f>
        <v>63053</v>
      </c>
      <c r="N3157" t="s">
        <v>2309</v>
      </c>
      <c r="O3157">
        <v>580</v>
      </c>
      <c r="P3157">
        <v>20181017</v>
      </c>
      <c r="Q3157" t="s">
        <v>2312</v>
      </c>
      <c r="R3157" t="s">
        <v>2401</v>
      </c>
      <c r="S3157" t="s">
        <v>1615</v>
      </c>
      <c r="T3157" t="s">
        <v>301</v>
      </c>
    </row>
    <row r="3158" spans="1:20" x14ac:dyDescent="0.25">
      <c r="A3158">
        <v>9</v>
      </c>
      <c r="B3158">
        <v>199</v>
      </c>
      <c r="C3158" t="str">
        <f>"23"</f>
        <v>23</v>
      </c>
      <c r="D3158">
        <v>6498</v>
      </c>
      <c r="E3158" t="str">
        <f>"10"</f>
        <v>10</v>
      </c>
      <c r="F3158" t="str">
        <f>"001"</f>
        <v>001</v>
      </c>
      <c r="G3158">
        <v>9</v>
      </c>
      <c r="H3158" t="str">
        <f t="shared" si="571"/>
        <v>99</v>
      </c>
      <c r="I3158" t="str">
        <f t="shared" ref="I3158:I3165" si="579">"0"</f>
        <v>0</v>
      </c>
      <c r="J3158" t="str">
        <f>"01"</f>
        <v>01</v>
      </c>
      <c r="K3158">
        <v>20181019</v>
      </c>
      <c r="L3158" t="str">
        <f t="shared" ref="L3158:L3165" si="580">"074406"</f>
        <v>074406</v>
      </c>
      <c r="M3158" t="str">
        <f t="shared" ref="M3158:M3165" si="581">"65106"</f>
        <v>65106</v>
      </c>
      <c r="N3158" t="s">
        <v>1175</v>
      </c>
      <c r="O3158">
        <v>289.68</v>
      </c>
      <c r="P3158">
        <v>20181017</v>
      </c>
      <c r="Q3158" t="s">
        <v>2108</v>
      </c>
      <c r="R3158" t="s">
        <v>2081</v>
      </c>
      <c r="S3158" t="s">
        <v>1615</v>
      </c>
      <c r="T3158" t="s">
        <v>301</v>
      </c>
    </row>
    <row r="3159" spans="1:20" x14ac:dyDescent="0.25">
      <c r="A3159">
        <v>9</v>
      </c>
      <c r="B3159">
        <v>199</v>
      </c>
      <c r="C3159" t="str">
        <f>"23"</f>
        <v>23</v>
      </c>
      <c r="D3159">
        <v>6498</v>
      </c>
      <c r="E3159" t="str">
        <f>"10"</f>
        <v>10</v>
      </c>
      <c r="F3159" t="str">
        <f>"104"</f>
        <v>104</v>
      </c>
      <c r="G3159">
        <v>9</v>
      </c>
      <c r="H3159" t="str">
        <f t="shared" si="571"/>
        <v>99</v>
      </c>
      <c r="I3159" t="str">
        <f t="shared" si="579"/>
        <v>0</v>
      </c>
      <c r="J3159" t="str">
        <f>"05"</f>
        <v>05</v>
      </c>
      <c r="K3159">
        <v>20181019</v>
      </c>
      <c r="L3159" t="str">
        <f t="shared" si="580"/>
        <v>074406</v>
      </c>
      <c r="M3159" t="str">
        <f t="shared" si="581"/>
        <v>65106</v>
      </c>
      <c r="N3159" t="s">
        <v>1175</v>
      </c>
      <c r="O3159">
        <v>246.32</v>
      </c>
      <c r="P3159">
        <v>20181017</v>
      </c>
      <c r="Q3159" t="s">
        <v>2402</v>
      </c>
      <c r="R3159" t="s">
        <v>2403</v>
      </c>
      <c r="S3159" t="s">
        <v>1615</v>
      </c>
      <c r="T3159" t="s">
        <v>46</v>
      </c>
    </row>
    <row r="3160" spans="1:20" x14ac:dyDescent="0.25">
      <c r="A3160">
        <v>9</v>
      </c>
      <c r="B3160">
        <v>199</v>
      </c>
      <c r="C3160" t="str">
        <f>"23"</f>
        <v>23</v>
      </c>
      <c r="D3160">
        <v>6498</v>
      </c>
      <c r="E3160" t="str">
        <f>"10"</f>
        <v>10</v>
      </c>
      <c r="F3160" t="str">
        <f>"104"</f>
        <v>104</v>
      </c>
      <c r="G3160">
        <v>9</v>
      </c>
      <c r="H3160" t="str">
        <f t="shared" si="571"/>
        <v>99</v>
      </c>
      <c r="I3160" t="str">
        <f t="shared" si="579"/>
        <v>0</v>
      </c>
      <c r="J3160" t="str">
        <f>"05"</f>
        <v>05</v>
      </c>
      <c r="K3160">
        <v>20181019</v>
      </c>
      <c r="L3160" t="str">
        <f t="shared" si="580"/>
        <v>074406</v>
      </c>
      <c r="M3160" t="str">
        <f t="shared" si="581"/>
        <v>65106</v>
      </c>
      <c r="N3160" t="s">
        <v>1175</v>
      </c>
      <c r="O3160">
        <v>19.38</v>
      </c>
      <c r="P3160">
        <v>20181017</v>
      </c>
      <c r="Q3160" t="s">
        <v>2402</v>
      </c>
      <c r="R3160" t="s">
        <v>2403</v>
      </c>
      <c r="S3160" t="s">
        <v>1615</v>
      </c>
      <c r="T3160" t="s">
        <v>46</v>
      </c>
    </row>
    <row r="3161" spans="1:20" x14ac:dyDescent="0.25">
      <c r="A3161">
        <v>9</v>
      </c>
      <c r="B3161">
        <v>199</v>
      </c>
      <c r="C3161" t="str">
        <f>"23"</f>
        <v>23</v>
      </c>
      <c r="D3161">
        <v>6498</v>
      </c>
      <c r="E3161" t="str">
        <f>"10"</f>
        <v>10</v>
      </c>
      <c r="F3161" t="str">
        <f>"104"</f>
        <v>104</v>
      </c>
      <c r="G3161">
        <v>9</v>
      </c>
      <c r="H3161" t="str">
        <f t="shared" si="571"/>
        <v>99</v>
      </c>
      <c r="I3161" t="str">
        <f t="shared" si="579"/>
        <v>0</v>
      </c>
      <c r="J3161" t="str">
        <f>"05"</f>
        <v>05</v>
      </c>
      <c r="K3161">
        <v>20181019</v>
      </c>
      <c r="L3161" t="str">
        <f t="shared" si="580"/>
        <v>074406</v>
      </c>
      <c r="M3161" t="str">
        <f t="shared" si="581"/>
        <v>65106</v>
      </c>
      <c r="N3161" t="s">
        <v>1175</v>
      </c>
      <c r="O3161">
        <v>128.9</v>
      </c>
      <c r="P3161">
        <v>20181017</v>
      </c>
      <c r="Q3161" t="s">
        <v>2402</v>
      </c>
      <c r="R3161" t="s">
        <v>2403</v>
      </c>
      <c r="S3161" t="s">
        <v>1615</v>
      </c>
      <c r="T3161" t="s">
        <v>46</v>
      </c>
    </row>
    <row r="3162" spans="1:20" x14ac:dyDescent="0.25">
      <c r="A3162">
        <v>9</v>
      </c>
      <c r="B3162">
        <v>199</v>
      </c>
      <c r="C3162" t="str">
        <f>"31"</f>
        <v>31</v>
      </c>
      <c r="D3162">
        <v>6399</v>
      </c>
      <c r="E3162" t="str">
        <f>"7F"</f>
        <v>7F</v>
      </c>
      <c r="F3162" t="str">
        <f t="shared" ref="F3162:F3171" si="582">"001"</f>
        <v>001</v>
      </c>
      <c r="G3162">
        <v>9</v>
      </c>
      <c r="H3162" t="str">
        <f>"31"</f>
        <v>31</v>
      </c>
      <c r="I3162" t="str">
        <f t="shared" si="579"/>
        <v>0</v>
      </c>
      <c r="J3162" t="str">
        <f>"34"</f>
        <v>34</v>
      </c>
      <c r="K3162">
        <v>20181019</v>
      </c>
      <c r="L3162" t="str">
        <f t="shared" si="580"/>
        <v>074406</v>
      </c>
      <c r="M3162" t="str">
        <f t="shared" si="581"/>
        <v>65106</v>
      </c>
      <c r="N3162" t="s">
        <v>1175</v>
      </c>
      <c r="O3162">
        <v>127.98</v>
      </c>
      <c r="P3162">
        <v>20181017</v>
      </c>
      <c r="Q3162" t="s">
        <v>1864</v>
      </c>
      <c r="R3162" t="s">
        <v>2404</v>
      </c>
      <c r="S3162" t="s">
        <v>1615</v>
      </c>
      <c r="T3162" t="s">
        <v>301</v>
      </c>
    </row>
    <row r="3163" spans="1:20" x14ac:dyDescent="0.25">
      <c r="A3163">
        <v>9</v>
      </c>
      <c r="B3163">
        <v>199</v>
      </c>
      <c r="C3163" t="str">
        <f>"33"</f>
        <v>33</v>
      </c>
      <c r="D3163">
        <v>6399</v>
      </c>
      <c r="E3163" t="str">
        <f>"8F"</f>
        <v>8F</v>
      </c>
      <c r="F3163" t="str">
        <f t="shared" si="582"/>
        <v>001</v>
      </c>
      <c r="G3163">
        <v>9</v>
      </c>
      <c r="H3163" t="str">
        <f>"99"</f>
        <v>99</v>
      </c>
      <c r="I3163" t="str">
        <f t="shared" si="579"/>
        <v>0</v>
      </c>
      <c r="J3163" t="str">
        <f>"01"</f>
        <v>01</v>
      </c>
      <c r="K3163">
        <v>20181019</v>
      </c>
      <c r="L3163" t="str">
        <f t="shared" si="580"/>
        <v>074406</v>
      </c>
      <c r="M3163" t="str">
        <f t="shared" si="581"/>
        <v>65106</v>
      </c>
      <c r="N3163" t="s">
        <v>1175</v>
      </c>
      <c r="O3163">
        <v>383.74</v>
      </c>
      <c r="P3163">
        <v>20181017</v>
      </c>
      <c r="Q3163" t="s">
        <v>2405</v>
      </c>
      <c r="R3163" t="s">
        <v>2406</v>
      </c>
      <c r="S3163" t="s">
        <v>1615</v>
      </c>
      <c r="T3163" t="s">
        <v>301</v>
      </c>
    </row>
    <row r="3164" spans="1:20" x14ac:dyDescent="0.25">
      <c r="A3164">
        <v>9</v>
      </c>
      <c r="B3164">
        <v>199</v>
      </c>
      <c r="C3164" t="str">
        <f>"33"</f>
        <v>33</v>
      </c>
      <c r="D3164">
        <v>6399</v>
      </c>
      <c r="E3164" t="str">
        <f>"8F"</f>
        <v>8F</v>
      </c>
      <c r="F3164" t="str">
        <f t="shared" si="582"/>
        <v>001</v>
      </c>
      <c r="G3164">
        <v>9</v>
      </c>
      <c r="H3164" t="str">
        <f>"99"</f>
        <v>99</v>
      </c>
      <c r="I3164" t="str">
        <f t="shared" si="579"/>
        <v>0</v>
      </c>
      <c r="J3164" t="str">
        <f>"01"</f>
        <v>01</v>
      </c>
      <c r="K3164">
        <v>20181019</v>
      </c>
      <c r="L3164" t="str">
        <f t="shared" si="580"/>
        <v>074406</v>
      </c>
      <c r="M3164" t="str">
        <f t="shared" si="581"/>
        <v>65106</v>
      </c>
      <c r="N3164" t="s">
        <v>1175</v>
      </c>
      <c r="O3164">
        <v>18.36</v>
      </c>
      <c r="P3164">
        <v>20181017</v>
      </c>
      <c r="Q3164" t="s">
        <v>2405</v>
      </c>
      <c r="R3164" t="s">
        <v>2323</v>
      </c>
      <c r="S3164" t="s">
        <v>1615</v>
      </c>
      <c r="T3164" t="s">
        <v>301</v>
      </c>
    </row>
    <row r="3165" spans="1:20" x14ac:dyDescent="0.25">
      <c r="A3165">
        <v>9</v>
      </c>
      <c r="B3165">
        <v>199</v>
      </c>
      <c r="C3165" t="str">
        <f>"33"</f>
        <v>33</v>
      </c>
      <c r="D3165">
        <v>6399</v>
      </c>
      <c r="E3165" t="str">
        <f>"8F"</f>
        <v>8F</v>
      </c>
      <c r="F3165" t="str">
        <f t="shared" si="582"/>
        <v>001</v>
      </c>
      <c r="G3165">
        <v>9</v>
      </c>
      <c r="H3165" t="str">
        <f>"99"</f>
        <v>99</v>
      </c>
      <c r="I3165" t="str">
        <f t="shared" si="579"/>
        <v>0</v>
      </c>
      <c r="J3165" t="str">
        <f>"01"</f>
        <v>01</v>
      </c>
      <c r="K3165">
        <v>20181019</v>
      </c>
      <c r="L3165" t="str">
        <f t="shared" si="580"/>
        <v>074406</v>
      </c>
      <c r="M3165" t="str">
        <f t="shared" si="581"/>
        <v>65106</v>
      </c>
      <c r="N3165" t="s">
        <v>1175</v>
      </c>
      <c r="O3165">
        <v>123.2</v>
      </c>
      <c r="P3165">
        <v>20181017</v>
      </c>
      <c r="Q3165" t="s">
        <v>2405</v>
      </c>
      <c r="R3165" t="s">
        <v>2323</v>
      </c>
      <c r="S3165" t="s">
        <v>1615</v>
      </c>
      <c r="T3165" t="s">
        <v>301</v>
      </c>
    </row>
    <row r="3166" spans="1:20" x14ac:dyDescent="0.25">
      <c r="A3166">
        <v>9</v>
      </c>
      <c r="B3166">
        <v>199</v>
      </c>
      <c r="C3166" t="str">
        <f>"36"</f>
        <v>36</v>
      </c>
      <c r="D3166">
        <v>6411</v>
      </c>
      <c r="E3166" t="str">
        <f>"H1"</f>
        <v>H1</v>
      </c>
      <c r="F3166" t="str">
        <f t="shared" si="582"/>
        <v>001</v>
      </c>
      <c r="G3166">
        <v>9</v>
      </c>
      <c r="H3166" t="str">
        <f>"31"</f>
        <v>31</v>
      </c>
      <c r="I3166" t="str">
        <f>"1"</f>
        <v>1</v>
      </c>
      <c r="J3166" t="str">
        <f>"34"</f>
        <v>34</v>
      </c>
      <c r="K3166">
        <v>20181019</v>
      </c>
      <c r="L3166" t="str">
        <f>"074407"</f>
        <v>074407</v>
      </c>
      <c r="M3166" t="str">
        <f>"69011"</f>
        <v>69011</v>
      </c>
      <c r="N3166" t="s">
        <v>2407</v>
      </c>
      <c r="O3166">
        <v>14</v>
      </c>
      <c r="P3166">
        <v>20181017</v>
      </c>
      <c r="Q3166" t="s">
        <v>2408</v>
      </c>
      <c r="R3166" t="s">
        <v>2409</v>
      </c>
      <c r="S3166" t="s">
        <v>1615</v>
      </c>
      <c r="T3166" t="s">
        <v>301</v>
      </c>
    </row>
    <row r="3167" spans="1:20" x14ac:dyDescent="0.25">
      <c r="A3167">
        <v>9</v>
      </c>
      <c r="B3167">
        <v>199</v>
      </c>
      <c r="C3167" t="str">
        <f>"36"</f>
        <v>36</v>
      </c>
      <c r="D3167">
        <v>6412</v>
      </c>
      <c r="E3167" t="str">
        <f>"H1"</f>
        <v>H1</v>
      </c>
      <c r="F3167" t="str">
        <f t="shared" si="582"/>
        <v>001</v>
      </c>
      <c r="G3167">
        <v>9</v>
      </c>
      <c r="H3167" t="str">
        <f>"31"</f>
        <v>31</v>
      </c>
      <c r="I3167" t="str">
        <f>"0"</f>
        <v>0</v>
      </c>
      <c r="J3167" t="str">
        <f>"34"</f>
        <v>34</v>
      </c>
      <c r="K3167">
        <v>20181019</v>
      </c>
      <c r="L3167" t="str">
        <f>"074407"</f>
        <v>074407</v>
      </c>
      <c r="M3167" t="str">
        <f>"69011"</f>
        <v>69011</v>
      </c>
      <c r="N3167" t="s">
        <v>2407</v>
      </c>
      <c r="O3167">
        <v>165</v>
      </c>
      <c r="P3167">
        <v>20181017</v>
      </c>
      <c r="Q3167" t="s">
        <v>2410</v>
      </c>
      <c r="R3167" t="s">
        <v>2409</v>
      </c>
      <c r="S3167" t="s">
        <v>1615</v>
      </c>
      <c r="T3167" t="s">
        <v>301</v>
      </c>
    </row>
    <row r="3168" spans="1:20" x14ac:dyDescent="0.25">
      <c r="A3168">
        <v>9</v>
      </c>
      <c r="B3168">
        <v>199</v>
      </c>
      <c r="C3168" t="str">
        <f>"36"</f>
        <v>36</v>
      </c>
      <c r="D3168">
        <v>6412</v>
      </c>
      <c r="E3168" t="str">
        <f>"H1"</f>
        <v>H1</v>
      </c>
      <c r="F3168" t="str">
        <f t="shared" si="582"/>
        <v>001</v>
      </c>
      <c r="G3168">
        <v>9</v>
      </c>
      <c r="H3168" t="str">
        <f>"31"</f>
        <v>31</v>
      </c>
      <c r="I3168" t="str">
        <f>"1"</f>
        <v>1</v>
      </c>
      <c r="J3168" t="str">
        <f>"34"</f>
        <v>34</v>
      </c>
      <c r="K3168">
        <v>20181019</v>
      </c>
      <c r="L3168" t="str">
        <f>"074407"</f>
        <v>074407</v>
      </c>
      <c r="M3168" t="str">
        <f>"69011"</f>
        <v>69011</v>
      </c>
      <c r="N3168" t="s">
        <v>2407</v>
      </c>
      <c r="O3168">
        <v>77</v>
      </c>
      <c r="P3168">
        <v>20181017</v>
      </c>
      <c r="Q3168" t="s">
        <v>2411</v>
      </c>
      <c r="R3168" t="s">
        <v>2409</v>
      </c>
      <c r="S3168" t="s">
        <v>1615</v>
      </c>
      <c r="T3168" t="s">
        <v>301</v>
      </c>
    </row>
    <row r="3169" spans="1:20" x14ac:dyDescent="0.25">
      <c r="A3169">
        <v>9</v>
      </c>
      <c r="B3169">
        <v>199</v>
      </c>
      <c r="C3169" t="str">
        <f>"11"</f>
        <v>11</v>
      </c>
      <c r="D3169">
        <v>6399</v>
      </c>
      <c r="E3169" t="str">
        <f>"8P"</f>
        <v>8P</v>
      </c>
      <c r="F3169" t="str">
        <f t="shared" si="582"/>
        <v>001</v>
      </c>
      <c r="G3169">
        <v>9</v>
      </c>
      <c r="H3169" t="str">
        <f>"11"</f>
        <v>11</v>
      </c>
      <c r="I3169" t="str">
        <f t="shared" ref="I3169:I3179" si="583">"0"</f>
        <v>0</v>
      </c>
      <c r="J3169" t="str">
        <f>"01"</f>
        <v>01</v>
      </c>
      <c r="K3169">
        <v>20181019</v>
      </c>
      <c r="L3169" t="str">
        <f>"074409"</f>
        <v>074409</v>
      </c>
      <c r="M3169" t="str">
        <f>"75735"</f>
        <v>75735</v>
      </c>
      <c r="N3169" t="s">
        <v>2412</v>
      </c>
      <c r="O3169">
        <v>113.4</v>
      </c>
      <c r="P3169">
        <v>20181017</v>
      </c>
      <c r="Q3169" t="s">
        <v>2319</v>
      </c>
      <c r="R3169" t="s">
        <v>2413</v>
      </c>
      <c r="S3169" t="s">
        <v>1615</v>
      </c>
      <c r="T3169" t="s">
        <v>301</v>
      </c>
    </row>
    <row r="3170" spans="1:20" x14ac:dyDescent="0.25">
      <c r="A3170">
        <v>9</v>
      </c>
      <c r="B3170">
        <v>199</v>
      </c>
      <c r="C3170" t="str">
        <f>"11"</f>
        <v>11</v>
      </c>
      <c r="D3170">
        <v>6412</v>
      </c>
      <c r="E3170" t="str">
        <f>"VD"</f>
        <v>VD</v>
      </c>
      <c r="F3170" t="str">
        <f t="shared" si="582"/>
        <v>001</v>
      </c>
      <c r="G3170">
        <v>9</v>
      </c>
      <c r="H3170" t="str">
        <f>"22"</f>
        <v>22</v>
      </c>
      <c r="I3170" t="str">
        <f t="shared" si="583"/>
        <v>0</v>
      </c>
      <c r="J3170" t="str">
        <f>"22"</f>
        <v>22</v>
      </c>
      <c r="K3170">
        <v>20181019</v>
      </c>
      <c r="L3170" t="str">
        <f>"074410"</f>
        <v>074410</v>
      </c>
      <c r="M3170" t="str">
        <f>"76476"</f>
        <v>76476</v>
      </c>
      <c r="N3170" t="s">
        <v>312</v>
      </c>
      <c r="O3170">
        <v>232.68</v>
      </c>
      <c r="P3170">
        <v>20181017</v>
      </c>
      <c r="Q3170" t="s">
        <v>2120</v>
      </c>
      <c r="R3170" t="s">
        <v>2414</v>
      </c>
      <c r="S3170" t="s">
        <v>1615</v>
      </c>
      <c r="T3170" t="s">
        <v>301</v>
      </c>
    </row>
    <row r="3171" spans="1:20" x14ac:dyDescent="0.25">
      <c r="A3171">
        <v>9</v>
      </c>
      <c r="B3171">
        <v>199</v>
      </c>
      <c r="C3171" t="str">
        <f>"11"</f>
        <v>11</v>
      </c>
      <c r="D3171">
        <v>6412</v>
      </c>
      <c r="E3171" t="str">
        <f>"VD"</f>
        <v>VD</v>
      </c>
      <c r="F3171" t="str">
        <f t="shared" si="582"/>
        <v>001</v>
      </c>
      <c r="G3171">
        <v>9</v>
      </c>
      <c r="H3171" t="str">
        <f>"22"</f>
        <v>22</v>
      </c>
      <c r="I3171" t="str">
        <f t="shared" si="583"/>
        <v>0</v>
      </c>
      <c r="J3171" t="str">
        <f>"22"</f>
        <v>22</v>
      </c>
      <c r="K3171">
        <v>20190107</v>
      </c>
      <c r="L3171" t="str">
        <f>"074410"</f>
        <v>074410</v>
      </c>
      <c r="M3171" t="str">
        <f>"76476"</f>
        <v>76476</v>
      </c>
      <c r="N3171" t="s">
        <v>312</v>
      </c>
      <c r="O3171">
        <v>-232.68</v>
      </c>
      <c r="P3171">
        <v>20190107</v>
      </c>
      <c r="Q3171" t="s">
        <v>2120</v>
      </c>
      <c r="R3171" t="s">
        <v>2415</v>
      </c>
      <c r="S3171" t="s">
        <v>1615</v>
      </c>
      <c r="T3171" t="s">
        <v>301</v>
      </c>
    </row>
    <row r="3172" spans="1:20" x14ac:dyDescent="0.25">
      <c r="A3172">
        <v>9</v>
      </c>
      <c r="B3172">
        <v>199</v>
      </c>
      <c r="C3172" t="str">
        <f>"23"</f>
        <v>23</v>
      </c>
      <c r="D3172">
        <v>6329</v>
      </c>
      <c r="E3172" t="str">
        <f>"10"</f>
        <v>10</v>
      </c>
      <c r="F3172" t="str">
        <f>"002"</f>
        <v>002</v>
      </c>
      <c r="G3172">
        <v>9</v>
      </c>
      <c r="H3172" t="str">
        <f>"99"</f>
        <v>99</v>
      </c>
      <c r="I3172" t="str">
        <f t="shared" si="583"/>
        <v>0</v>
      </c>
      <c r="J3172" t="str">
        <f>"02"</f>
        <v>02</v>
      </c>
      <c r="K3172">
        <v>20181019</v>
      </c>
      <c r="L3172" t="str">
        <f>"074411"</f>
        <v>074411</v>
      </c>
      <c r="M3172" t="str">
        <f>"78280"</f>
        <v>78280</v>
      </c>
      <c r="N3172" t="s">
        <v>2416</v>
      </c>
      <c r="O3172">
        <v>215</v>
      </c>
      <c r="P3172">
        <v>20181017</v>
      </c>
      <c r="Q3172" t="s">
        <v>2417</v>
      </c>
      <c r="R3172" t="s">
        <v>2418</v>
      </c>
      <c r="S3172" t="s">
        <v>1615</v>
      </c>
      <c r="T3172" t="s">
        <v>1485</v>
      </c>
    </row>
    <row r="3173" spans="1:20" x14ac:dyDescent="0.25">
      <c r="A3173">
        <v>9</v>
      </c>
      <c r="B3173">
        <v>199</v>
      </c>
      <c r="C3173" t="str">
        <f>"41"</f>
        <v>41</v>
      </c>
      <c r="D3173">
        <v>6329</v>
      </c>
      <c r="E3173" t="str">
        <f>"10"</f>
        <v>10</v>
      </c>
      <c r="F3173" t="str">
        <f>"701"</f>
        <v>701</v>
      </c>
      <c r="G3173">
        <v>9</v>
      </c>
      <c r="H3173" t="str">
        <f>"99"</f>
        <v>99</v>
      </c>
      <c r="I3173" t="str">
        <f t="shared" si="583"/>
        <v>0</v>
      </c>
      <c r="J3173" t="str">
        <f>"92"</f>
        <v>92</v>
      </c>
      <c r="K3173">
        <v>20181019</v>
      </c>
      <c r="L3173" t="str">
        <f>"074411"</f>
        <v>074411</v>
      </c>
      <c r="M3173" t="str">
        <f>"78280"</f>
        <v>78280</v>
      </c>
      <c r="N3173" t="s">
        <v>2416</v>
      </c>
      <c r="O3173">
        <v>215</v>
      </c>
      <c r="P3173">
        <v>20181017</v>
      </c>
      <c r="Q3173" t="s">
        <v>2305</v>
      </c>
      <c r="R3173" t="s">
        <v>2418</v>
      </c>
      <c r="S3173" t="s">
        <v>1615</v>
      </c>
      <c r="T3173" t="s">
        <v>1841</v>
      </c>
    </row>
    <row r="3174" spans="1:20" x14ac:dyDescent="0.25">
      <c r="A3174">
        <v>9</v>
      </c>
      <c r="B3174">
        <v>199</v>
      </c>
      <c r="C3174" t="str">
        <f>"53"</f>
        <v>53</v>
      </c>
      <c r="D3174">
        <v>6329</v>
      </c>
      <c r="E3174" t="str">
        <f>"50"</f>
        <v>50</v>
      </c>
      <c r="F3174" t="str">
        <f>"880"</f>
        <v>880</v>
      </c>
      <c r="G3174">
        <v>9</v>
      </c>
      <c r="H3174" t="str">
        <f>"11"</f>
        <v>11</v>
      </c>
      <c r="I3174" t="str">
        <f t="shared" si="583"/>
        <v>0</v>
      </c>
      <c r="J3174" t="str">
        <f>"80"</f>
        <v>80</v>
      </c>
      <c r="K3174">
        <v>20181019</v>
      </c>
      <c r="L3174" t="str">
        <f>"074411"</f>
        <v>074411</v>
      </c>
      <c r="M3174" t="str">
        <f>"78280"</f>
        <v>78280</v>
      </c>
      <c r="N3174" t="s">
        <v>2416</v>
      </c>
      <c r="O3174">
        <v>215</v>
      </c>
      <c r="P3174">
        <v>20181017</v>
      </c>
      <c r="Q3174" t="s">
        <v>2419</v>
      </c>
      <c r="R3174" t="s">
        <v>2418</v>
      </c>
      <c r="S3174" t="s">
        <v>1615</v>
      </c>
      <c r="T3174" t="s">
        <v>1866</v>
      </c>
    </row>
    <row r="3175" spans="1:20" x14ac:dyDescent="0.25">
      <c r="A3175">
        <v>9</v>
      </c>
      <c r="B3175">
        <v>199</v>
      </c>
      <c r="C3175" t="str">
        <f>"36"</f>
        <v>36</v>
      </c>
      <c r="D3175">
        <v>6411</v>
      </c>
      <c r="E3175" t="str">
        <f>"7B"</f>
        <v>7B</v>
      </c>
      <c r="F3175" t="str">
        <f>"041"</f>
        <v>041</v>
      </c>
      <c r="G3175">
        <v>9</v>
      </c>
      <c r="H3175" t="str">
        <f>"99"</f>
        <v>99</v>
      </c>
      <c r="I3175" t="str">
        <f t="shared" si="583"/>
        <v>0</v>
      </c>
      <c r="J3175" t="str">
        <f>"36"</f>
        <v>36</v>
      </c>
      <c r="K3175">
        <v>20181019</v>
      </c>
      <c r="L3175" t="str">
        <f>"074412"</f>
        <v>074412</v>
      </c>
      <c r="M3175" t="str">
        <f>"78727"</f>
        <v>78727</v>
      </c>
      <c r="N3175" t="s">
        <v>1842</v>
      </c>
      <c r="O3175">
        <v>50</v>
      </c>
      <c r="P3175">
        <v>20181018</v>
      </c>
      <c r="Q3175" t="s">
        <v>2420</v>
      </c>
      <c r="R3175" t="s">
        <v>2421</v>
      </c>
      <c r="S3175" t="s">
        <v>1615</v>
      </c>
      <c r="T3175" t="s">
        <v>106</v>
      </c>
    </row>
    <row r="3176" spans="1:20" x14ac:dyDescent="0.25">
      <c r="A3176">
        <v>9</v>
      </c>
      <c r="B3176">
        <v>199</v>
      </c>
      <c r="C3176" t="str">
        <f>"11"</f>
        <v>11</v>
      </c>
      <c r="D3176">
        <v>6398</v>
      </c>
      <c r="E3176" t="str">
        <f>"7E"</f>
        <v>7E</v>
      </c>
      <c r="F3176" t="str">
        <f>"001"</f>
        <v>001</v>
      </c>
      <c r="G3176">
        <v>9</v>
      </c>
      <c r="H3176" t="str">
        <f>"11"</f>
        <v>11</v>
      </c>
      <c r="I3176" t="str">
        <f t="shared" si="583"/>
        <v>0</v>
      </c>
      <c r="J3176" t="str">
        <f>"31"</f>
        <v>31</v>
      </c>
      <c r="K3176">
        <v>20181019</v>
      </c>
      <c r="L3176" t="str">
        <f>"074417"</f>
        <v>074417</v>
      </c>
      <c r="M3176" t="str">
        <f>"80727"</f>
        <v>80727</v>
      </c>
      <c r="N3176" t="s">
        <v>2422</v>
      </c>
      <c r="O3176">
        <v>996.94</v>
      </c>
      <c r="P3176">
        <v>20181018</v>
      </c>
      <c r="Q3176" t="s">
        <v>2423</v>
      </c>
      <c r="R3176" t="s">
        <v>2424</v>
      </c>
      <c r="S3176" t="s">
        <v>1615</v>
      </c>
      <c r="T3176" t="s">
        <v>301</v>
      </c>
    </row>
    <row r="3177" spans="1:20" x14ac:dyDescent="0.25">
      <c r="A3177">
        <v>9</v>
      </c>
      <c r="B3177">
        <v>199</v>
      </c>
      <c r="C3177" t="str">
        <f>"11"</f>
        <v>11</v>
      </c>
      <c r="D3177">
        <v>6399</v>
      </c>
      <c r="E3177" t="str">
        <f>"8P"</f>
        <v>8P</v>
      </c>
      <c r="F3177" t="str">
        <f>"001"</f>
        <v>001</v>
      </c>
      <c r="G3177">
        <v>9</v>
      </c>
      <c r="H3177" t="str">
        <f>"11"</f>
        <v>11</v>
      </c>
      <c r="I3177" t="str">
        <f t="shared" si="583"/>
        <v>0</v>
      </c>
      <c r="J3177" t="str">
        <f>"01"</f>
        <v>01</v>
      </c>
      <c r="K3177">
        <v>20181019</v>
      </c>
      <c r="L3177" t="str">
        <f>"074421"</f>
        <v>074421</v>
      </c>
      <c r="M3177" t="str">
        <f>"00584"</f>
        <v>00584</v>
      </c>
      <c r="N3177" t="s">
        <v>2425</v>
      </c>
      <c r="O3177">
        <v>186.81</v>
      </c>
      <c r="P3177">
        <v>20181018</v>
      </c>
      <c r="Q3177" t="s">
        <v>2319</v>
      </c>
      <c r="R3177" t="s">
        <v>2426</v>
      </c>
      <c r="S3177" t="s">
        <v>1615</v>
      </c>
      <c r="T3177" t="s">
        <v>301</v>
      </c>
    </row>
    <row r="3178" spans="1:20" x14ac:dyDescent="0.25">
      <c r="A3178">
        <v>9</v>
      </c>
      <c r="B3178">
        <v>199</v>
      </c>
      <c r="C3178" t="str">
        <f>"36"</f>
        <v>36</v>
      </c>
      <c r="D3178">
        <v>6412</v>
      </c>
      <c r="E3178" t="str">
        <f>"09"</f>
        <v>09</v>
      </c>
      <c r="F3178" t="str">
        <f>"001"</f>
        <v>001</v>
      </c>
      <c r="G3178">
        <v>9</v>
      </c>
      <c r="H3178" t="str">
        <f t="shared" ref="H3178:H3184" si="584">"99"</f>
        <v>99</v>
      </c>
      <c r="I3178" t="str">
        <f t="shared" si="583"/>
        <v>0</v>
      </c>
      <c r="J3178" t="str">
        <f>"01"</f>
        <v>01</v>
      </c>
      <c r="K3178">
        <v>20181019</v>
      </c>
      <c r="L3178" t="str">
        <f>"074422"</f>
        <v>074422</v>
      </c>
      <c r="M3178" t="str">
        <f>"82970"</f>
        <v>82970</v>
      </c>
      <c r="N3178" t="s">
        <v>1041</v>
      </c>
      <c r="O3178">
        <v>150</v>
      </c>
      <c r="P3178">
        <v>20181018</v>
      </c>
      <c r="Q3178" t="s">
        <v>2427</v>
      </c>
      <c r="R3178" t="s">
        <v>2428</v>
      </c>
      <c r="S3178" t="s">
        <v>1615</v>
      </c>
      <c r="T3178" t="s">
        <v>301</v>
      </c>
    </row>
    <row r="3179" spans="1:20" x14ac:dyDescent="0.25">
      <c r="A3179">
        <v>9</v>
      </c>
      <c r="B3179">
        <v>199</v>
      </c>
      <c r="C3179" t="str">
        <f>"36"</f>
        <v>36</v>
      </c>
      <c r="D3179">
        <v>6411</v>
      </c>
      <c r="E3179" t="str">
        <f>"7B"</f>
        <v>7B</v>
      </c>
      <c r="F3179" t="str">
        <f>"001"</f>
        <v>001</v>
      </c>
      <c r="G3179">
        <v>9</v>
      </c>
      <c r="H3179" t="str">
        <f t="shared" si="584"/>
        <v>99</v>
      </c>
      <c r="I3179" t="str">
        <f t="shared" si="583"/>
        <v>0</v>
      </c>
      <c r="J3179" t="str">
        <f>"32"</f>
        <v>32</v>
      </c>
      <c r="K3179">
        <v>20181019</v>
      </c>
      <c r="L3179" t="str">
        <f>"074424"</f>
        <v>074424</v>
      </c>
      <c r="M3179" t="str">
        <f>"84370"</f>
        <v>84370</v>
      </c>
      <c r="N3179" t="s">
        <v>395</v>
      </c>
      <c r="O3179">
        <v>28</v>
      </c>
      <c r="P3179">
        <v>20181018</v>
      </c>
      <c r="Q3179" t="s">
        <v>1694</v>
      </c>
      <c r="R3179" t="s">
        <v>2429</v>
      </c>
      <c r="S3179" t="s">
        <v>1615</v>
      </c>
      <c r="T3179" t="s">
        <v>301</v>
      </c>
    </row>
    <row r="3180" spans="1:20" x14ac:dyDescent="0.25">
      <c r="A3180">
        <v>9</v>
      </c>
      <c r="B3180">
        <v>199</v>
      </c>
      <c r="C3180" t="str">
        <f>"36"</f>
        <v>36</v>
      </c>
      <c r="D3180">
        <v>6412</v>
      </c>
      <c r="E3180" t="str">
        <f>"7B"</f>
        <v>7B</v>
      </c>
      <c r="F3180" t="str">
        <f>"001"</f>
        <v>001</v>
      </c>
      <c r="G3180">
        <v>9</v>
      </c>
      <c r="H3180" t="str">
        <f t="shared" si="584"/>
        <v>99</v>
      </c>
      <c r="I3180" t="str">
        <f>"1"</f>
        <v>1</v>
      </c>
      <c r="J3180" t="str">
        <f>"32"</f>
        <v>32</v>
      </c>
      <c r="K3180">
        <v>20181019</v>
      </c>
      <c r="L3180" t="str">
        <f>"074424"</f>
        <v>074424</v>
      </c>
      <c r="M3180" t="str">
        <f>"84370"</f>
        <v>84370</v>
      </c>
      <c r="N3180" t="s">
        <v>395</v>
      </c>
      <c r="O3180">
        <v>553.19000000000005</v>
      </c>
      <c r="P3180">
        <v>20181018</v>
      </c>
      <c r="Q3180" t="s">
        <v>1696</v>
      </c>
      <c r="R3180" t="s">
        <v>2429</v>
      </c>
      <c r="S3180" t="s">
        <v>1615</v>
      </c>
      <c r="T3180" t="s">
        <v>301</v>
      </c>
    </row>
    <row r="3181" spans="1:20" x14ac:dyDescent="0.25">
      <c r="A3181">
        <v>9</v>
      </c>
      <c r="B3181">
        <v>199</v>
      </c>
      <c r="C3181" t="str">
        <f>"33"</f>
        <v>33</v>
      </c>
      <c r="D3181">
        <v>6399</v>
      </c>
      <c r="E3181" t="str">
        <f>"8F"</f>
        <v>8F</v>
      </c>
      <c r="F3181" t="str">
        <f>"041"</f>
        <v>041</v>
      </c>
      <c r="G3181">
        <v>9</v>
      </c>
      <c r="H3181" t="str">
        <f t="shared" si="584"/>
        <v>99</v>
      </c>
      <c r="I3181" t="str">
        <f t="shared" ref="I3181:I3217" si="585">"0"</f>
        <v>0</v>
      </c>
      <c r="J3181" t="str">
        <f>"03"</f>
        <v>03</v>
      </c>
      <c r="K3181">
        <v>20181019</v>
      </c>
      <c r="L3181" t="str">
        <f>"074425"</f>
        <v>074425</v>
      </c>
      <c r="M3181" t="str">
        <f>"49589"</f>
        <v>49589</v>
      </c>
      <c r="N3181" t="s">
        <v>2430</v>
      </c>
      <c r="O3181">
        <v>342.47</v>
      </c>
      <c r="P3181">
        <v>20181018</v>
      </c>
      <c r="Q3181" t="s">
        <v>2431</v>
      </c>
      <c r="R3181" t="s">
        <v>2323</v>
      </c>
      <c r="S3181" t="s">
        <v>1615</v>
      </c>
      <c r="T3181" t="s">
        <v>106</v>
      </c>
    </row>
    <row r="3182" spans="1:20" x14ac:dyDescent="0.25">
      <c r="A3182">
        <v>9</v>
      </c>
      <c r="B3182">
        <v>199</v>
      </c>
      <c r="C3182" t="str">
        <f>"52"</f>
        <v>52</v>
      </c>
      <c r="D3182">
        <v>6219</v>
      </c>
      <c r="E3182" t="str">
        <f>"00"</f>
        <v>00</v>
      </c>
      <c r="F3182" t="str">
        <f>"101"</f>
        <v>101</v>
      </c>
      <c r="G3182">
        <v>9</v>
      </c>
      <c r="H3182" t="str">
        <f t="shared" si="584"/>
        <v>99</v>
      </c>
      <c r="I3182" t="str">
        <f t="shared" si="585"/>
        <v>0</v>
      </c>
      <c r="J3182" t="str">
        <f>"00"</f>
        <v>00</v>
      </c>
      <c r="K3182">
        <v>20181019</v>
      </c>
      <c r="L3182" t="str">
        <f>"074426"</f>
        <v>074426</v>
      </c>
      <c r="M3182" t="str">
        <f>"00242"</f>
        <v>00242</v>
      </c>
      <c r="N3182" t="s">
        <v>1669</v>
      </c>
      <c r="O3182">
        <v>300</v>
      </c>
      <c r="P3182">
        <v>20181018</v>
      </c>
      <c r="Q3182" t="s">
        <v>1854</v>
      </c>
      <c r="R3182" t="s">
        <v>2432</v>
      </c>
      <c r="S3182" t="s">
        <v>1615</v>
      </c>
      <c r="T3182" t="s">
        <v>1479</v>
      </c>
    </row>
    <row r="3183" spans="1:20" x14ac:dyDescent="0.25">
      <c r="A3183">
        <v>9</v>
      </c>
      <c r="B3183">
        <v>199</v>
      </c>
      <c r="C3183" t="str">
        <f>"52"</f>
        <v>52</v>
      </c>
      <c r="D3183">
        <v>6219</v>
      </c>
      <c r="E3183" t="str">
        <f>"00"</f>
        <v>00</v>
      </c>
      <c r="F3183" t="str">
        <f>"101"</f>
        <v>101</v>
      </c>
      <c r="G3183">
        <v>9</v>
      </c>
      <c r="H3183" t="str">
        <f t="shared" si="584"/>
        <v>99</v>
      </c>
      <c r="I3183" t="str">
        <f t="shared" si="585"/>
        <v>0</v>
      </c>
      <c r="J3183" t="str">
        <f>"00"</f>
        <v>00</v>
      </c>
      <c r="K3183">
        <v>20181019</v>
      </c>
      <c r="L3183" t="str">
        <f>"074426"</f>
        <v>074426</v>
      </c>
      <c r="M3183" t="str">
        <f>"00242"</f>
        <v>00242</v>
      </c>
      <c r="N3183" t="s">
        <v>1669</v>
      </c>
      <c r="O3183">
        <v>300</v>
      </c>
      <c r="P3183">
        <v>20181018</v>
      </c>
      <c r="Q3183" t="s">
        <v>1854</v>
      </c>
      <c r="R3183" t="s">
        <v>2433</v>
      </c>
      <c r="S3183" t="s">
        <v>1615</v>
      </c>
      <c r="T3183" t="s">
        <v>1479</v>
      </c>
    </row>
    <row r="3184" spans="1:20" x14ac:dyDescent="0.25">
      <c r="A3184">
        <v>9</v>
      </c>
      <c r="B3184">
        <v>199</v>
      </c>
      <c r="C3184" t="str">
        <f>"41"</f>
        <v>41</v>
      </c>
      <c r="D3184">
        <v>6299</v>
      </c>
      <c r="E3184" t="str">
        <f>"10"</f>
        <v>10</v>
      </c>
      <c r="F3184" t="str">
        <f>"730"</f>
        <v>730</v>
      </c>
      <c r="G3184">
        <v>9</v>
      </c>
      <c r="H3184" t="str">
        <f t="shared" si="584"/>
        <v>99</v>
      </c>
      <c r="I3184" t="str">
        <f t="shared" si="585"/>
        <v>0</v>
      </c>
      <c r="J3184" t="str">
        <f>"95"</f>
        <v>95</v>
      </c>
      <c r="K3184">
        <v>20181102</v>
      </c>
      <c r="L3184" t="str">
        <f>"074432"</f>
        <v>074432</v>
      </c>
      <c r="M3184" t="str">
        <f>"01530"</f>
        <v>01530</v>
      </c>
      <c r="N3184" t="s">
        <v>1672</v>
      </c>
      <c r="O3184">
        <v>116</v>
      </c>
      <c r="P3184">
        <v>20181031</v>
      </c>
      <c r="Q3184" t="s">
        <v>2434</v>
      </c>
      <c r="R3184" t="s">
        <v>1790</v>
      </c>
      <c r="S3184" t="s">
        <v>1615</v>
      </c>
      <c r="T3184" t="s">
        <v>1794</v>
      </c>
    </row>
    <row r="3185" spans="1:20" x14ac:dyDescent="0.25">
      <c r="A3185">
        <v>9</v>
      </c>
      <c r="B3185">
        <v>199</v>
      </c>
      <c r="C3185" t="str">
        <f t="shared" ref="C3185:C3197" si="586">"11"</f>
        <v>11</v>
      </c>
      <c r="D3185">
        <v>6396</v>
      </c>
      <c r="E3185" t="str">
        <f>"05"</f>
        <v>05</v>
      </c>
      <c r="F3185" t="str">
        <f>"001"</f>
        <v>001</v>
      </c>
      <c r="G3185">
        <v>9</v>
      </c>
      <c r="H3185" t="str">
        <f t="shared" ref="H3185:H3193" si="587">"11"</f>
        <v>11</v>
      </c>
      <c r="I3185" t="str">
        <f t="shared" si="585"/>
        <v>0</v>
      </c>
      <c r="J3185" t="str">
        <f>"23"</f>
        <v>23</v>
      </c>
      <c r="K3185">
        <v>20181102</v>
      </c>
      <c r="L3185" t="str">
        <f t="shared" ref="L3185:L3197" si="588">"074435"</f>
        <v>074435</v>
      </c>
      <c r="M3185" t="str">
        <f t="shared" ref="M3185:M3197" si="589">"04410"</f>
        <v>04410</v>
      </c>
      <c r="N3185" t="s">
        <v>410</v>
      </c>
      <c r="O3185">
        <v>14.99</v>
      </c>
      <c r="P3185">
        <v>20181031</v>
      </c>
      <c r="Q3185" t="s">
        <v>2435</v>
      </c>
      <c r="R3185" t="s">
        <v>2436</v>
      </c>
      <c r="S3185" t="s">
        <v>1615</v>
      </c>
      <c r="T3185" t="s">
        <v>301</v>
      </c>
    </row>
    <row r="3186" spans="1:20" x14ac:dyDescent="0.25">
      <c r="A3186">
        <v>9</v>
      </c>
      <c r="B3186">
        <v>199</v>
      </c>
      <c r="C3186" t="str">
        <f t="shared" si="586"/>
        <v>11</v>
      </c>
      <c r="D3186">
        <v>6396</v>
      </c>
      <c r="E3186" t="str">
        <f>"05"</f>
        <v>05</v>
      </c>
      <c r="F3186" t="str">
        <f>"101"</f>
        <v>101</v>
      </c>
      <c r="G3186">
        <v>9</v>
      </c>
      <c r="H3186" t="str">
        <f t="shared" si="587"/>
        <v>11</v>
      </c>
      <c r="I3186" t="str">
        <f t="shared" si="585"/>
        <v>0</v>
      </c>
      <c r="J3186" t="str">
        <f>"23"</f>
        <v>23</v>
      </c>
      <c r="K3186">
        <v>20181102</v>
      </c>
      <c r="L3186" t="str">
        <f t="shared" si="588"/>
        <v>074435</v>
      </c>
      <c r="M3186" t="str">
        <f t="shared" si="589"/>
        <v>04410</v>
      </c>
      <c r="N3186" t="s">
        <v>410</v>
      </c>
      <c r="O3186">
        <v>15.98</v>
      </c>
      <c r="P3186">
        <v>20181031</v>
      </c>
      <c r="Q3186" t="s">
        <v>2437</v>
      </c>
      <c r="R3186" t="s">
        <v>2436</v>
      </c>
      <c r="S3186" t="s">
        <v>1615</v>
      </c>
      <c r="T3186" t="s">
        <v>1479</v>
      </c>
    </row>
    <row r="3187" spans="1:20" x14ac:dyDescent="0.25">
      <c r="A3187">
        <v>9</v>
      </c>
      <c r="B3187">
        <v>199</v>
      </c>
      <c r="C3187" t="str">
        <f t="shared" si="586"/>
        <v>11</v>
      </c>
      <c r="D3187">
        <v>6396</v>
      </c>
      <c r="E3187" t="str">
        <f>"05"</f>
        <v>05</v>
      </c>
      <c r="F3187" t="str">
        <f>"104"</f>
        <v>104</v>
      </c>
      <c r="G3187">
        <v>9</v>
      </c>
      <c r="H3187" t="str">
        <f t="shared" si="587"/>
        <v>11</v>
      </c>
      <c r="I3187" t="str">
        <f t="shared" si="585"/>
        <v>0</v>
      </c>
      <c r="J3187" t="str">
        <f>"23"</f>
        <v>23</v>
      </c>
      <c r="K3187">
        <v>20181102</v>
      </c>
      <c r="L3187" t="str">
        <f t="shared" si="588"/>
        <v>074435</v>
      </c>
      <c r="M3187" t="str">
        <f t="shared" si="589"/>
        <v>04410</v>
      </c>
      <c r="N3187" t="s">
        <v>410</v>
      </c>
      <c r="O3187">
        <v>14.98</v>
      </c>
      <c r="P3187">
        <v>20181031</v>
      </c>
      <c r="Q3187" t="s">
        <v>2438</v>
      </c>
      <c r="R3187" t="s">
        <v>2436</v>
      </c>
      <c r="S3187" t="s">
        <v>1615</v>
      </c>
      <c r="T3187" t="s">
        <v>46</v>
      </c>
    </row>
    <row r="3188" spans="1:20" x14ac:dyDescent="0.25">
      <c r="A3188">
        <v>9</v>
      </c>
      <c r="B3188">
        <v>199</v>
      </c>
      <c r="C3188" t="str">
        <f t="shared" si="586"/>
        <v>11</v>
      </c>
      <c r="D3188">
        <v>6399</v>
      </c>
      <c r="E3188" t="str">
        <f>"45"</f>
        <v>45</v>
      </c>
      <c r="F3188" t="str">
        <f>"101"</f>
        <v>101</v>
      </c>
      <c r="G3188">
        <v>9</v>
      </c>
      <c r="H3188" t="str">
        <f t="shared" si="587"/>
        <v>11</v>
      </c>
      <c r="I3188" t="str">
        <f t="shared" si="585"/>
        <v>0</v>
      </c>
      <c r="J3188" t="str">
        <f>"04"</f>
        <v>04</v>
      </c>
      <c r="K3188">
        <v>20181102</v>
      </c>
      <c r="L3188" t="str">
        <f t="shared" si="588"/>
        <v>074435</v>
      </c>
      <c r="M3188" t="str">
        <f t="shared" si="589"/>
        <v>04410</v>
      </c>
      <c r="N3188" t="s">
        <v>410</v>
      </c>
      <c r="O3188">
        <v>36.36</v>
      </c>
      <c r="P3188">
        <v>20181031</v>
      </c>
      <c r="Q3188" t="s">
        <v>1859</v>
      </c>
      <c r="R3188" t="s">
        <v>2439</v>
      </c>
      <c r="S3188" t="s">
        <v>1615</v>
      </c>
      <c r="T3188" t="s">
        <v>1479</v>
      </c>
    </row>
    <row r="3189" spans="1:20" x14ac:dyDescent="0.25">
      <c r="A3189">
        <v>9</v>
      </c>
      <c r="B3189">
        <v>199</v>
      </c>
      <c r="C3189" t="str">
        <f t="shared" si="586"/>
        <v>11</v>
      </c>
      <c r="D3189">
        <v>6399</v>
      </c>
      <c r="E3189" t="str">
        <f>"7A"</f>
        <v>7A</v>
      </c>
      <c r="F3189" t="str">
        <f t="shared" ref="F3189:F3197" si="590">"001"</f>
        <v>001</v>
      </c>
      <c r="G3189">
        <v>9</v>
      </c>
      <c r="H3189" t="str">
        <f t="shared" si="587"/>
        <v>11</v>
      </c>
      <c r="I3189" t="str">
        <f t="shared" si="585"/>
        <v>0</v>
      </c>
      <c r="J3189" t="str">
        <f>"01"</f>
        <v>01</v>
      </c>
      <c r="K3189">
        <v>20181102</v>
      </c>
      <c r="L3189" t="str">
        <f t="shared" si="588"/>
        <v>074435</v>
      </c>
      <c r="M3189" t="str">
        <f t="shared" si="589"/>
        <v>04410</v>
      </c>
      <c r="N3189" t="s">
        <v>410</v>
      </c>
      <c r="O3189">
        <v>326.02</v>
      </c>
      <c r="P3189">
        <v>20181031</v>
      </c>
      <c r="Q3189" t="s">
        <v>2157</v>
      </c>
      <c r="R3189" t="s">
        <v>2158</v>
      </c>
      <c r="S3189" t="s">
        <v>1615</v>
      </c>
      <c r="T3189" t="s">
        <v>301</v>
      </c>
    </row>
    <row r="3190" spans="1:20" x14ac:dyDescent="0.25">
      <c r="A3190">
        <v>9</v>
      </c>
      <c r="B3190">
        <v>199</v>
      </c>
      <c r="C3190" t="str">
        <f t="shared" si="586"/>
        <v>11</v>
      </c>
      <c r="D3190">
        <v>6399</v>
      </c>
      <c r="E3190" t="str">
        <f>"7A"</f>
        <v>7A</v>
      </c>
      <c r="F3190" t="str">
        <f t="shared" si="590"/>
        <v>001</v>
      </c>
      <c r="G3190">
        <v>9</v>
      </c>
      <c r="H3190" t="str">
        <f t="shared" si="587"/>
        <v>11</v>
      </c>
      <c r="I3190" t="str">
        <f t="shared" si="585"/>
        <v>0</v>
      </c>
      <c r="J3190" t="str">
        <f>"01"</f>
        <v>01</v>
      </c>
      <c r="K3190">
        <v>20181102</v>
      </c>
      <c r="L3190" t="str">
        <f t="shared" si="588"/>
        <v>074435</v>
      </c>
      <c r="M3190" t="str">
        <f t="shared" si="589"/>
        <v>04410</v>
      </c>
      <c r="N3190" t="s">
        <v>410</v>
      </c>
      <c r="O3190">
        <v>294.02</v>
      </c>
      <c r="P3190">
        <v>20181031</v>
      </c>
      <c r="Q3190" t="s">
        <v>2157</v>
      </c>
      <c r="R3190" t="s">
        <v>2158</v>
      </c>
      <c r="S3190" t="s">
        <v>1615</v>
      </c>
      <c r="T3190" t="s">
        <v>301</v>
      </c>
    </row>
    <row r="3191" spans="1:20" x14ac:dyDescent="0.25">
      <c r="A3191">
        <v>9</v>
      </c>
      <c r="B3191">
        <v>199</v>
      </c>
      <c r="C3191" t="str">
        <f t="shared" si="586"/>
        <v>11</v>
      </c>
      <c r="D3191">
        <v>6399</v>
      </c>
      <c r="E3191" t="str">
        <f>"7A"</f>
        <v>7A</v>
      </c>
      <c r="F3191" t="str">
        <f t="shared" si="590"/>
        <v>001</v>
      </c>
      <c r="G3191">
        <v>9</v>
      </c>
      <c r="H3191" t="str">
        <f t="shared" si="587"/>
        <v>11</v>
      </c>
      <c r="I3191" t="str">
        <f t="shared" si="585"/>
        <v>0</v>
      </c>
      <c r="J3191" t="str">
        <f>"01"</f>
        <v>01</v>
      </c>
      <c r="K3191">
        <v>20181102</v>
      </c>
      <c r="L3191" t="str">
        <f t="shared" si="588"/>
        <v>074435</v>
      </c>
      <c r="M3191" t="str">
        <f t="shared" si="589"/>
        <v>04410</v>
      </c>
      <c r="N3191" t="s">
        <v>410</v>
      </c>
      <c r="O3191">
        <v>112.81</v>
      </c>
      <c r="P3191">
        <v>20181031</v>
      </c>
      <c r="Q3191" t="s">
        <v>2157</v>
      </c>
      <c r="R3191" t="s">
        <v>2158</v>
      </c>
      <c r="S3191" t="s">
        <v>1615</v>
      </c>
      <c r="T3191" t="s">
        <v>301</v>
      </c>
    </row>
    <row r="3192" spans="1:20" x14ac:dyDescent="0.25">
      <c r="A3192">
        <v>9</v>
      </c>
      <c r="B3192">
        <v>199</v>
      </c>
      <c r="C3192" t="str">
        <f t="shared" si="586"/>
        <v>11</v>
      </c>
      <c r="D3192">
        <v>6399</v>
      </c>
      <c r="E3192" t="str">
        <f>"7A"</f>
        <v>7A</v>
      </c>
      <c r="F3192" t="str">
        <f t="shared" si="590"/>
        <v>001</v>
      </c>
      <c r="G3192">
        <v>9</v>
      </c>
      <c r="H3192" t="str">
        <f t="shared" si="587"/>
        <v>11</v>
      </c>
      <c r="I3192" t="str">
        <f t="shared" si="585"/>
        <v>0</v>
      </c>
      <c r="J3192" t="str">
        <f>"01"</f>
        <v>01</v>
      </c>
      <c r="K3192">
        <v>20181102</v>
      </c>
      <c r="L3192" t="str">
        <f t="shared" si="588"/>
        <v>074435</v>
      </c>
      <c r="M3192" t="str">
        <f t="shared" si="589"/>
        <v>04410</v>
      </c>
      <c r="N3192" t="s">
        <v>410</v>
      </c>
      <c r="O3192">
        <v>65.319999999999993</v>
      </c>
      <c r="P3192">
        <v>20181031</v>
      </c>
      <c r="Q3192" t="s">
        <v>2157</v>
      </c>
      <c r="R3192" t="s">
        <v>2440</v>
      </c>
      <c r="S3192" t="s">
        <v>1615</v>
      </c>
      <c r="T3192" t="s">
        <v>301</v>
      </c>
    </row>
    <row r="3193" spans="1:20" x14ac:dyDescent="0.25">
      <c r="A3193">
        <v>9</v>
      </c>
      <c r="B3193">
        <v>199</v>
      </c>
      <c r="C3193" t="str">
        <f t="shared" si="586"/>
        <v>11</v>
      </c>
      <c r="D3193">
        <v>6399</v>
      </c>
      <c r="E3193" t="str">
        <f>"R1"</f>
        <v>R1</v>
      </c>
      <c r="F3193" t="str">
        <f t="shared" si="590"/>
        <v>001</v>
      </c>
      <c r="G3193">
        <v>9</v>
      </c>
      <c r="H3193" t="str">
        <f t="shared" si="587"/>
        <v>11</v>
      </c>
      <c r="I3193" t="str">
        <f t="shared" si="585"/>
        <v>0</v>
      </c>
      <c r="J3193" t="str">
        <f>"01"</f>
        <v>01</v>
      </c>
      <c r="K3193">
        <v>20181102</v>
      </c>
      <c r="L3193" t="str">
        <f t="shared" si="588"/>
        <v>074435</v>
      </c>
      <c r="M3193" t="str">
        <f t="shared" si="589"/>
        <v>04410</v>
      </c>
      <c r="N3193" t="s">
        <v>410</v>
      </c>
      <c r="O3193">
        <v>346.5</v>
      </c>
      <c r="P3193">
        <v>20181031</v>
      </c>
      <c r="Q3193" t="s">
        <v>2441</v>
      </c>
      <c r="R3193" t="s">
        <v>2442</v>
      </c>
      <c r="S3193" t="s">
        <v>1615</v>
      </c>
      <c r="T3193" t="s">
        <v>301</v>
      </c>
    </row>
    <row r="3194" spans="1:20" x14ac:dyDescent="0.25">
      <c r="A3194">
        <v>9</v>
      </c>
      <c r="B3194">
        <v>199</v>
      </c>
      <c r="C3194" t="str">
        <f t="shared" si="586"/>
        <v>11</v>
      </c>
      <c r="D3194">
        <v>6399</v>
      </c>
      <c r="E3194" t="str">
        <f>"V8"</f>
        <v>V8</v>
      </c>
      <c r="F3194" t="str">
        <f t="shared" si="590"/>
        <v>001</v>
      </c>
      <c r="G3194">
        <v>9</v>
      </c>
      <c r="H3194" t="str">
        <f>"22"</f>
        <v>22</v>
      </c>
      <c r="I3194" t="str">
        <f t="shared" si="585"/>
        <v>0</v>
      </c>
      <c r="J3194" t="str">
        <f>"22"</f>
        <v>22</v>
      </c>
      <c r="K3194">
        <v>20181102</v>
      </c>
      <c r="L3194" t="str">
        <f t="shared" si="588"/>
        <v>074435</v>
      </c>
      <c r="M3194" t="str">
        <f t="shared" si="589"/>
        <v>04410</v>
      </c>
      <c r="N3194" t="s">
        <v>410</v>
      </c>
      <c r="O3194">
        <v>533.89</v>
      </c>
      <c r="P3194">
        <v>20181031</v>
      </c>
      <c r="Q3194" t="s">
        <v>2001</v>
      </c>
      <c r="R3194" t="s">
        <v>2443</v>
      </c>
      <c r="S3194" t="s">
        <v>1615</v>
      </c>
      <c r="T3194" t="s">
        <v>301</v>
      </c>
    </row>
    <row r="3195" spans="1:20" x14ac:dyDescent="0.25">
      <c r="A3195">
        <v>9</v>
      </c>
      <c r="B3195">
        <v>199</v>
      </c>
      <c r="C3195" t="str">
        <f t="shared" si="586"/>
        <v>11</v>
      </c>
      <c r="D3195">
        <v>6399</v>
      </c>
      <c r="E3195" t="str">
        <f>"VD"</f>
        <v>VD</v>
      </c>
      <c r="F3195" t="str">
        <f t="shared" si="590"/>
        <v>001</v>
      </c>
      <c r="G3195">
        <v>9</v>
      </c>
      <c r="H3195" t="str">
        <f>"22"</f>
        <v>22</v>
      </c>
      <c r="I3195" t="str">
        <f t="shared" si="585"/>
        <v>0</v>
      </c>
      <c r="J3195" t="str">
        <f>"22"</f>
        <v>22</v>
      </c>
      <c r="K3195">
        <v>20181102</v>
      </c>
      <c r="L3195" t="str">
        <f t="shared" si="588"/>
        <v>074435</v>
      </c>
      <c r="M3195" t="str">
        <f t="shared" si="589"/>
        <v>04410</v>
      </c>
      <c r="N3195" t="s">
        <v>410</v>
      </c>
      <c r="O3195">
        <v>79.2</v>
      </c>
      <c r="P3195">
        <v>20181031</v>
      </c>
      <c r="Q3195" t="s">
        <v>1862</v>
      </c>
      <c r="R3195" t="s">
        <v>2444</v>
      </c>
      <c r="S3195" t="s">
        <v>1615</v>
      </c>
      <c r="T3195" t="s">
        <v>301</v>
      </c>
    </row>
    <row r="3196" spans="1:20" x14ac:dyDescent="0.25">
      <c r="A3196">
        <v>9</v>
      </c>
      <c r="B3196">
        <v>199</v>
      </c>
      <c r="C3196" t="str">
        <f t="shared" si="586"/>
        <v>11</v>
      </c>
      <c r="D3196">
        <v>6399</v>
      </c>
      <c r="E3196" t="str">
        <f>"VD"</f>
        <v>VD</v>
      </c>
      <c r="F3196" t="str">
        <f t="shared" si="590"/>
        <v>001</v>
      </c>
      <c r="G3196">
        <v>9</v>
      </c>
      <c r="H3196" t="str">
        <f>"22"</f>
        <v>22</v>
      </c>
      <c r="I3196" t="str">
        <f t="shared" si="585"/>
        <v>0</v>
      </c>
      <c r="J3196" t="str">
        <f>"22"</f>
        <v>22</v>
      </c>
      <c r="K3196">
        <v>20181102</v>
      </c>
      <c r="L3196" t="str">
        <f t="shared" si="588"/>
        <v>074435</v>
      </c>
      <c r="M3196" t="str">
        <f t="shared" si="589"/>
        <v>04410</v>
      </c>
      <c r="N3196" t="s">
        <v>410</v>
      </c>
      <c r="O3196">
        <v>79.92</v>
      </c>
      <c r="P3196">
        <v>20181031</v>
      </c>
      <c r="Q3196" t="s">
        <v>1862</v>
      </c>
      <c r="R3196" t="s">
        <v>2445</v>
      </c>
      <c r="S3196" t="s">
        <v>1615</v>
      </c>
      <c r="T3196" t="s">
        <v>301</v>
      </c>
    </row>
    <row r="3197" spans="1:20" x14ac:dyDescent="0.25">
      <c r="A3197">
        <v>9</v>
      </c>
      <c r="B3197">
        <v>199</v>
      </c>
      <c r="C3197" t="str">
        <f t="shared" si="586"/>
        <v>11</v>
      </c>
      <c r="D3197">
        <v>6399</v>
      </c>
      <c r="E3197" t="str">
        <f>"VR"</f>
        <v>VR</v>
      </c>
      <c r="F3197" t="str">
        <f t="shared" si="590"/>
        <v>001</v>
      </c>
      <c r="G3197">
        <v>9</v>
      </c>
      <c r="H3197" t="str">
        <f>"22"</f>
        <v>22</v>
      </c>
      <c r="I3197" t="str">
        <f t="shared" si="585"/>
        <v>0</v>
      </c>
      <c r="J3197" t="str">
        <f>"22"</f>
        <v>22</v>
      </c>
      <c r="K3197">
        <v>20181102</v>
      </c>
      <c r="L3197" t="str">
        <f t="shared" si="588"/>
        <v>074435</v>
      </c>
      <c r="M3197" t="str">
        <f t="shared" si="589"/>
        <v>04410</v>
      </c>
      <c r="N3197" t="s">
        <v>410</v>
      </c>
      <c r="O3197">
        <v>245.68</v>
      </c>
      <c r="P3197">
        <v>20181031</v>
      </c>
      <c r="Q3197" t="s">
        <v>1863</v>
      </c>
      <c r="R3197" t="s">
        <v>2446</v>
      </c>
      <c r="S3197" t="s">
        <v>1615</v>
      </c>
      <c r="T3197" t="s">
        <v>301</v>
      </c>
    </row>
    <row r="3198" spans="1:20" x14ac:dyDescent="0.25">
      <c r="A3198">
        <v>9</v>
      </c>
      <c r="B3198">
        <v>199</v>
      </c>
      <c r="C3198" t="str">
        <f>"51"</f>
        <v>51</v>
      </c>
      <c r="D3198">
        <v>6256</v>
      </c>
      <c r="E3198" t="str">
        <f>"10"</f>
        <v>10</v>
      </c>
      <c r="F3198" t="str">
        <f>"880"</f>
        <v>880</v>
      </c>
      <c r="G3198">
        <v>9</v>
      </c>
      <c r="H3198" t="str">
        <f t="shared" ref="H3198:H3203" si="591">"99"</f>
        <v>99</v>
      </c>
      <c r="I3198" t="str">
        <f t="shared" si="585"/>
        <v>0</v>
      </c>
      <c r="J3198" t="str">
        <f>"80"</f>
        <v>80</v>
      </c>
      <c r="K3198">
        <v>20181102</v>
      </c>
      <c r="L3198" t="str">
        <f>"074436"</f>
        <v>074436</v>
      </c>
      <c r="M3198" t="str">
        <f>"00390"</f>
        <v>00390</v>
      </c>
      <c r="N3198" t="s">
        <v>1869</v>
      </c>
      <c r="O3198">
        <v>81.14</v>
      </c>
      <c r="P3198">
        <v>20181031</v>
      </c>
      <c r="Q3198" t="s">
        <v>1870</v>
      </c>
      <c r="R3198" t="s">
        <v>2447</v>
      </c>
      <c r="S3198" t="s">
        <v>1615</v>
      </c>
      <c r="T3198" t="s">
        <v>1866</v>
      </c>
    </row>
    <row r="3199" spans="1:20" x14ac:dyDescent="0.25">
      <c r="A3199">
        <v>9</v>
      </c>
      <c r="B3199">
        <v>199</v>
      </c>
      <c r="C3199" t="str">
        <f>"51"</f>
        <v>51</v>
      </c>
      <c r="D3199">
        <v>6256</v>
      </c>
      <c r="E3199" t="str">
        <f>"10"</f>
        <v>10</v>
      </c>
      <c r="F3199" t="str">
        <f>"880"</f>
        <v>880</v>
      </c>
      <c r="G3199">
        <v>9</v>
      </c>
      <c r="H3199" t="str">
        <f t="shared" si="591"/>
        <v>99</v>
      </c>
      <c r="I3199" t="str">
        <f t="shared" si="585"/>
        <v>0</v>
      </c>
      <c r="J3199" t="str">
        <f>"80"</f>
        <v>80</v>
      </c>
      <c r="K3199">
        <v>20181102</v>
      </c>
      <c r="L3199" t="str">
        <f>"074436"</f>
        <v>074436</v>
      </c>
      <c r="M3199" t="str">
        <f>"00390"</f>
        <v>00390</v>
      </c>
      <c r="N3199" t="s">
        <v>1869</v>
      </c>
      <c r="O3199" s="1">
        <v>4363.87</v>
      </c>
      <c r="P3199">
        <v>20181031</v>
      </c>
      <c r="Q3199" t="s">
        <v>1870</v>
      </c>
      <c r="R3199" t="s">
        <v>2447</v>
      </c>
      <c r="S3199" t="s">
        <v>1615</v>
      </c>
      <c r="T3199" t="s">
        <v>1866</v>
      </c>
    </row>
    <row r="3200" spans="1:20" x14ac:dyDescent="0.25">
      <c r="A3200">
        <v>9</v>
      </c>
      <c r="B3200">
        <v>199</v>
      </c>
      <c r="C3200" t="str">
        <f>"51"</f>
        <v>51</v>
      </c>
      <c r="D3200">
        <v>6256</v>
      </c>
      <c r="E3200" t="str">
        <f>"11"</f>
        <v>11</v>
      </c>
      <c r="F3200" t="str">
        <f>"880"</f>
        <v>880</v>
      </c>
      <c r="G3200">
        <v>9</v>
      </c>
      <c r="H3200" t="str">
        <f t="shared" si="591"/>
        <v>99</v>
      </c>
      <c r="I3200" t="str">
        <f t="shared" si="585"/>
        <v>0</v>
      </c>
      <c r="J3200" t="str">
        <f>"80"</f>
        <v>80</v>
      </c>
      <c r="K3200">
        <v>20181102</v>
      </c>
      <c r="L3200" t="str">
        <f>"074437"</f>
        <v>074437</v>
      </c>
      <c r="M3200" t="str">
        <f>"00392"</f>
        <v>00392</v>
      </c>
      <c r="N3200" t="s">
        <v>1869</v>
      </c>
      <c r="O3200">
        <v>47.97</v>
      </c>
      <c r="P3200">
        <v>20181031</v>
      </c>
      <c r="Q3200" t="s">
        <v>1871</v>
      </c>
      <c r="R3200" t="s">
        <v>2448</v>
      </c>
      <c r="S3200" t="s">
        <v>1615</v>
      </c>
      <c r="T3200" t="s">
        <v>1866</v>
      </c>
    </row>
    <row r="3201" spans="1:20" x14ac:dyDescent="0.25">
      <c r="A3201">
        <v>9</v>
      </c>
      <c r="B3201">
        <v>199</v>
      </c>
      <c r="C3201" t="str">
        <f>"51"</f>
        <v>51</v>
      </c>
      <c r="D3201">
        <v>6319</v>
      </c>
      <c r="E3201" t="str">
        <f>"M2"</f>
        <v>M2</v>
      </c>
      <c r="F3201" t="str">
        <f>"936"</f>
        <v>936</v>
      </c>
      <c r="G3201">
        <v>9</v>
      </c>
      <c r="H3201" t="str">
        <f t="shared" si="591"/>
        <v>99</v>
      </c>
      <c r="I3201" t="str">
        <f t="shared" si="585"/>
        <v>0</v>
      </c>
      <c r="J3201" t="str">
        <f>"81"</f>
        <v>81</v>
      </c>
      <c r="K3201">
        <v>20181102</v>
      </c>
      <c r="L3201" t="str">
        <f>"074438"</f>
        <v>074438</v>
      </c>
      <c r="M3201" t="str">
        <f>"08132"</f>
        <v>08132</v>
      </c>
      <c r="N3201" t="s">
        <v>2449</v>
      </c>
      <c r="O3201">
        <v>567.5</v>
      </c>
      <c r="P3201">
        <v>20181031</v>
      </c>
      <c r="Q3201" t="s">
        <v>2074</v>
      </c>
      <c r="R3201" t="s">
        <v>2450</v>
      </c>
      <c r="S3201" t="s">
        <v>1615</v>
      </c>
      <c r="T3201" t="s">
        <v>1713</v>
      </c>
    </row>
    <row r="3202" spans="1:20" x14ac:dyDescent="0.25">
      <c r="A3202">
        <v>9</v>
      </c>
      <c r="B3202">
        <v>199</v>
      </c>
      <c r="C3202" t="str">
        <f>"71"</f>
        <v>71</v>
      </c>
      <c r="D3202">
        <v>6513</v>
      </c>
      <c r="E3202" t="str">
        <f>"10"</f>
        <v>10</v>
      </c>
      <c r="F3202" t="str">
        <f>"936"</f>
        <v>936</v>
      </c>
      <c r="G3202">
        <v>9</v>
      </c>
      <c r="H3202" t="str">
        <f t="shared" si="591"/>
        <v>99</v>
      </c>
      <c r="I3202" t="str">
        <f t="shared" si="585"/>
        <v>0</v>
      </c>
      <c r="J3202" t="str">
        <f>"75"</f>
        <v>75</v>
      </c>
      <c r="K3202">
        <v>20181102</v>
      </c>
      <c r="L3202" t="str">
        <f>"074439"</f>
        <v>074439</v>
      </c>
      <c r="M3202" t="str">
        <f>"09085"</f>
        <v>09085</v>
      </c>
      <c r="N3202" t="s">
        <v>2451</v>
      </c>
      <c r="O3202" s="1">
        <v>195440.2</v>
      </c>
      <c r="P3202">
        <v>20181031</v>
      </c>
      <c r="Q3202" t="s">
        <v>2452</v>
      </c>
      <c r="R3202" t="s">
        <v>2453</v>
      </c>
      <c r="S3202" t="s">
        <v>1615</v>
      </c>
      <c r="T3202" t="s">
        <v>1713</v>
      </c>
    </row>
    <row r="3203" spans="1:20" x14ac:dyDescent="0.25">
      <c r="A3203">
        <v>9</v>
      </c>
      <c r="B3203">
        <v>199</v>
      </c>
      <c r="C3203" t="str">
        <f>"71"</f>
        <v>71</v>
      </c>
      <c r="D3203">
        <v>6523</v>
      </c>
      <c r="E3203" t="str">
        <f>"10"</f>
        <v>10</v>
      </c>
      <c r="F3203" t="str">
        <f>"936"</f>
        <v>936</v>
      </c>
      <c r="G3203">
        <v>9</v>
      </c>
      <c r="H3203" t="str">
        <f t="shared" si="591"/>
        <v>99</v>
      </c>
      <c r="I3203" t="str">
        <f t="shared" si="585"/>
        <v>0</v>
      </c>
      <c r="J3203" t="str">
        <f>"75"</f>
        <v>75</v>
      </c>
      <c r="K3203">
        <v>20181102</v>
      </c>
      <c r="L3203" t="str">
        <f>"074439"</f>
        <v>074439</v>
      </c>
      <c r="M3203" t="str">
        <f>"09085"</f>
        <v>09085</v>
      </c>
      <c r="N3203" t="s">
        <v>2451</v>
      </c>
      <c r="O3203" s="1">
        <v>46811.47</v>
      </c>
      <c r="P3203">
        <v>20181031</v>
      </c>
      <c r="Q3203" t="s">
        <v>2454</v>
      </c>
      <c r="R3203" t="s">
        <v>2453</v>
      </c>
      <c r="S3203" t="s">
        <v>1615</v>
      </c>
      <c r="T3203" t="s">
        <v>1713</v>
      </c>
    </row>
    <row r="3204" spans="1:20" x14ac:dyDescent="0.25">
      <c r="A3204">
        <v>9</v>
      </c>
      <c r="B3204">
        <v>199</v>
      </c>
      <c r="C3204" t="str">
        <f>"00"</f>
        <v>00</v>
      </c>
      <c r="D3204">
        <v>2110</v>
      </c>
      <c r="E3204" t="str">
        <f>"18"</f>
        <v>18</v>
      </c>
      <c r="F3204" t="str">
        <f>"000"</f>
        <v>000</v>
      </c>
      <c r="G3204">
        <v>9</v>
      </c>
      <c r="H3204" t="str">
        <f>"00"</f>
        <v>00</v>
      </c>
      <c r="I3204" t="str">
        <f t="shared" si="585"/>
        <v>0</v>
      </c>
      <c r="J3204" t="str">
        <f>"00"</f>
        <v>00</v>
      </c>
      <c r="K3204">
        <v>20181102</v>
      </c>
      <c r="L3204" t="str">
        <f t="shared" ref="L3204:L3216" si="592">"074440"</f>
        <v>074440</v>
      </c>
      <c r="M3204" t="str">
        <f t="shared" ref="M3204:M3216" si="593">"09170"</f>
        <v>09170</v>
      </c>
      <c r="N3204" t="s">
        <v>679</v>
      </c>
      <c r="O3204">
        <v>158.96</v>
      </c>
      <c r="P3204">
        <v>20181031</v>
      </c>
      <c r="Q3204" t="s">
        <v>1613</v>
      </c>
      <c r="R3204" t="s">
        <v>2455</v>
      </c>
      <c r="S3204" t="s">
        <v>1615</v>
      </c>
      <c r="T3204" t="s">
        <v>296</v>
      </c>
    </row>
    <row r="3205" spans="1:20" x14ac:dyDescent="0.25">
      <c r="A3205">
        <v>9</v>
      </c>
      <c r="B3205">
        <v>199</v>
      </c>
      <c r="C3205" t="str">
        <f>"11"</f>
        <v>11</v>
      </c>
      <c r="D3205">
        <v>6396</v>
      </c>
      <c r="E3205" t="str">
        <f>"50"</f>
        <v>50</v>
      </c>
      <c r="F3205" t="str">
        <f>"041"</f>
        <v>041</v>
      </c>
      <c r="G3205">
        <v>9</v>
      </c>
      <c r="H3205" t="str">
        <f t="shared" ref="H3205:H3212" si="594">"11"</f>
        <v>11</v>
      </c>
      <c r="I3205" t="str">
        <f t="shared" si="585"/>
        <v>0</v>
      </c>
      <c r="J3205" t="str">
        <f>"80"</f>
        <v>80</v>
      </c>
      <c r="K3205">
        <v>20181102</v>
      </c>
      <c r="L3205" t="str">
        <f t="shared" si="592"/>
        <v>074440</v>
      </c>
      <c r="M3205" t="str">
        <f t="shared" si="593"/>
        <v>09170</v>
      </c>
      <c r="N3205" t="s">
        <v>679</v>
      </c>
      <c r="O3205">
        <v>271.98</v>
      </c>
      <c r="P3205">
        <v>20181031</v>
      </c>
      <c r="Q3205" t="s">
        <v>2283</v>
      </c>
      <c r="R3205" t="s">
        <v>2456</v>
      </c>
      <c r="S3205" t="s">
        <v>1615</v>
      </c>
      <c r="T3205" t="s">
        <v>106</v>
      </c>
    </row>
    <row r="3206" spans="1:20" x14ac:dyDescent="0.25">
      <c r="A3206">
        <v>9</v>
      </c>
      <c r="B3206">
        <v>199</v>
      </c>
      <c r="C3206" t="str">
        <f>"11"</f>
        <v>11</v>
      </c>
      <c r="D3206">
        <v>6399</v>
      </c>
      <c r="E3206" t="str">
        <f t="shared" ref="E3206:E3212" si="595">"7K"</f>
        <v>7K</v>
      </c>
      <c r="F3206" t="str">
        <f>"001"</f>
        <v>001</v>
      </c>
      <c r="G3206">
        <v>9</v>
      </c>
      <c r="H3206" t="str">
        <f t="shared" si="594"/>
        <v>11</v>
      </c>
      <c r="I3206" t="str">
        <f t="shared" si="585"/>
        <v>0</v>
      </c>
      <c r="J3206" t="str">
        <f>"01"</f>
        <v>01</v>
      </c>
      <c r="K3206">
        <v>20181102</v>
      </c>
      <c r="L3206" t="str">
        <f t="shared" si="592"/>
        <v>074440</v>
      </c>
      <c r="M3206" t="str">
        <f t="shared" si="593"/>
        <v>09170</v>
      </c>
      <c r="N3206" t="s">
        <v>679</v>
      </c>
      <c r="O3206">
        <v>315</v>
      </c>
      <c r="P3206">
        <v>20181031</v>
      </c>
      <c r="Q3206" t="s">
        <v>1671</v>
      </c>
      <c r="R3206" t="s">
        <v>1651</v>
      </c>
      <c r="S3206" t="s">
        <v>1615</v>
      </c>
      <c r="T3206" t="s">
        <v>301</v>
      </c>
    </row>
    <row r="3207" spans="1:20" x14ac:dyDescent="0.25">
      <c r="A3207">
        <v>9</v>
      </c>
      <c r="B3207">
        <v>199</v>
      </c>
      <c r="C3207" t="str">
        <f t="shared" ref="C3207:C3212" si="596">"13"</f>
        <v>13</v>
      </c>
      <c r="D3207">
        <v>6411</v>
      </c>
      <c r="E3207" t="str">
        <f t="shared" si="595"/>
        <v>7K</v>
      </c>
      <c r="F3207" t="str">
        <f>"001"</f>
        <v>001</v>
      </c>
      <c r="G3207">
        <v>9</v>
      </c>
      <c r="H3207" t="str">
        <f t="shared" si="594"/>
        <v>11</v>
      </c>
      <c r="I3207" t="str">
        <f t="shared" si="585"/>
        <v>0</v>
      </c>
      <c r="J3207" t="str">
        <f>"01"</f>
        <v>01</v>
      </c>
      <c r="K3207">
        <v>20181102</v>
      </c>
      <c r="L3207" t="str">
        <f t="shared" si="592"/>
        <v>074440</v>
      </c>
      <c r="M3207" t="str">
        <f t="shared" si="593"/>
        <v>09170</v>
      </c>
      <c r="N3207" t="s">
        <v>679</v>
      </c>
      <c r="O3207">
        <v>152.47999999999999</v>
      </c>
      <c r="P3207">
        <v>20181031</v>
      </c>
      <c r="Q3207" t="s">
        <v>1833</v>
      </c>
      <c r="R3207" t="s">
        <v>1834</v>
      </c>
      <c r="S3207" t="s">
        <v>1615</v>
      </c>
      <c r="T3207" t="s">
        <v>301</v>
      </c>
    </row>
    <row r="3208" spans="1:20" x14ac:dyDescent="0.25">
      <c r="A3208">
        <v>9</v>
      </c>
      <c r="B3208">
        <v>199</v>
      </c>
      <c r="C3208" t="str">
        <f t="shared" si="596"/>
        <v>13</v>
      </c>
      <c r="D3208">
        <v>6411</v>
      </c>
      <c r="E3208" t="str">
        <f t="shared" si="595"/>
        <v>7K</v>
      </c>
      <c r="F3208" t="str">
        <f>"041"</f>
        <v>041</v>
      </c>
      <c r="G3208">
        <v>9</v>
      </c>
      <c r="H3208" t="str">
        <f t="shared" si="594"/>
        <v>11</v>
      </c>
      <c r="I3208" t="str">
        <f t="shared" si="585"/>
        <v>0</v>
      </c>
      <c r="J3208" t="str">
        <f>"03"</f>
        <v>03</v>
      </c>
      <c r="K3208">
        <v>20181102</v>
      </c>
      <c r="L3208" t="str">
        <f t="shared" si="592"/>
        <v>074440</v>
      </c>
      <c r="M3208" t="str">
        <f t="shared" si="593"/>
        <v>09170</v>
      </c>
      <c r="N3208" t="s">
        <v>679</v>
      </c>
      <c r="O3208">
        <v>152.47</v>
      </c>
      <c r="P3208">
        <v>20181031</v>
      </c>
      <c r="Q3208" t="s">
        <v>1832</v>
      </c>
      <c r="R3208" t="s">
        <v>1834</v>
      </c>
      <c r="S3208" t="s">
        <v>1615</v>
      </c>
      <c r="T3208" t="s">
        <v>106</v>
      </c>
    </row>
    <row r="3209" spans="1:20" x14ac:dyDescent="0.25">
      <c r="A3209">
        <v>9</v>
      </c>
      <c r="B3209">
        <v>199</v>
      </c>
      <c r="C3209" t="str">
        <f t="shared" si="596"/>
        <v>13</v>
      </c>
      <c r="D3209">
        <v>6411</v>
      </c>
      <c r="E3209" t="str">
        <f t="shared" si="595"/>
        <v>7K</v>
      </c>
      <c r="F3209" t="str">
        <f>"041"</f>
        <v>041</v>
      </c>
      <c r="G3209">
        <v>9</v>
      </c>
      <c r="H3209" t="str">
        <f t="shared" si="594"/>
        <v>11</v>
      </c>
      <c r="I3209" t="str">
        <f t="shared" si="585"/>
        <v>0</v>
      </c>
      <c r="J3209" t="str">
        <f>"03"</f>
        <v>03</v>
      </c>
      <c r="K3209">
        <v>20181102</v>
      </c>
      <c r="L3209" t="str">
        <f t="shared" si="592"/>
        <v>074440</v>
      </c>
      <c r="M3209" t="str">
        <f t="shared" si="593"/>
        <v>09170</v>
      </c>
      <c r="N3209" t="s">
        <v>679</v>
      </c>
      <c r="O3209">
        <v>29.07</v>
      </c>
      <c r="P3209">
        <v>20181031</v>
      </c>
      <c r="Q3209" t="s">
        <v>1832</v>
      </c>
      <c r="R3209" t="s">
        <v>1834</v>
      </c>
      <c r="S3209" t="s">
        <v>1615</v>
      </c>
      <c r="T3209" t="s">
        <v>106</v>
      </c>
    </row>
    <row r="3210" spans="1:20" x14ac:dyDescent="0.25">
      <c r="A3210">
        <v>9</v>
      </c>
      <c r="B3210">
        <v>199</v>
      </c>
      <c r="C3210" t="str">
        <f t="shared" si="596"/>
        <v>13</v>
      </c>
      <c r="D3210">
        <v>6411</v>
      </c>
      <c r="E3210" t="str">
        <f t="shared" si="595"/>
        <v>7K</v>
      </c>
      <c r="F3210" t="str">
        <f>"041"</f>
        <v>041</v>
      </c>
      <c r="G3210">
        <v>9</v>
      </c>
      <c r="H3210" t="str">
        <f t="shared" si="594"/>
        <v>11</v>
      </c>
      <c r="I3210" t="str">
        <f t="shared" si="585"/>
        <v>0</v>
      </c>
      <c r="J3210" t="str">
        <f>"03"</f>
        <v>03</v>
      </c>
      <c r="K3210">
        <v>20181102</v>
      </c>
      <c r="L3210" t="str">
        <f t="shared" si="592"/>
        <v>074440</v>
      </c>
      <c r="M3210" t="str">
        <f t="shared" si="593"/>
        <v>09170</v>
      </c>
      <c r="N3210" t="s">
        <v>679</v>
      </c>
      <c r="O3210">
        <v>35.04</v>
      </c>
      <c r="P3210">
        <v>20181031</v>
      </c>
      <c r="Q3210" t="s">
        <v>1832</v>
      </c>
      <c r="R3210" t="s">
        <v>1834</v>
      </c>
      <c r="S3210" t="s">
        <v>1615</v>
      </c>
      <c r="T3210" t="s">
        <v>106</v>
      </c>
    </row>
    <row r="3211" spans="1:20" x14ac:dyDescent="0.25">
      <c r="A3211">
        <v>9</v>
      </c>
      <c r="B3211">
        <v>199</v>
      </c>
      <c r="C3211" t="str">
        <f t="shared" si="596"/>
        <v>13</v>
      </c>
      <c r="D3211">
        <v>6411</v>
      </c>
      <c r="E3211" t="str">
        <f t="shared" si="595"/>
        <v>7K</v>
      </c>
      <c r="F3211" t="str">
        <f>"041"</f>
        <v>041</v>
      </c>
      <c r="G3211">
        <v>9</v>
      </c>
      <c r="H3211" t="str">
        <f t="shared" si="594"/>
        <v>11</v>
      </c>
      <c r="I3211" t="str">
        <f t="shared" si="585"/>
        <v>0</v>
      </c>
      <c r="J3211" t="str">
        <f>"03"</f>
        <v>03</v>
      </c>
      <c r="K3211">
        <v>20181102</v>
      </c>
      <c r="L3211" t="str">
        <f t="shared" si="592"/>
        <v>074440</v>
      </c>
      <c r="M3211" t="str">
        <f t="shared" si="593"/>
        <v>09170</v>
      </c>
      <c r="N3211" t="s">
        <v>679</v>
      </c>
      <c r="O3211">
        <v>23.71</v>
      </c>
      <c r="P3211">
        <v>20181031</v>
      </c>
      <c r="Q3211" t="s">
        <v>1832</v>
      </c>
      <c r="R3211" t="s">
        <v>1834</v>
      </c>
      <c r="S3211" t="s">
        <v>1615</v>
      </c>
      <c r="T3211" t="s">
        <v>106</v>
      </c>
    </row>
    <row r="3212" spans="1:20" x14ac:dyDescent="0.25">
      <c r="A3212">
        <v>9</v>
      </c>
      <c r="B3212">
        <v>199</v>
      </c>
      <c r="C3212" t="str">
        <f t="shared" si="596"/>
        <v>13</v>
      </c>
      <c r="D3212">
        <v>6411</v>
      </c>
      <c r="E3212" t="str">
        <f t="shared" si="595"/>
        <v>7K</v>
      </c>
      <c r="F3212" t="str">
        <f>"041"</f>
        <v>041</v>
      </c>
      <c r="G3212">
        <v>9</v>
      </c>
      <c r="H3212" t="str">
        <f t="shared" si="594"/>
        <v>11</v>
      </c>
      <c r="I3212" t="str">
        <f t="shared" si="585"/>
        <v>0</v>
      </c>
      <c r="J3212" t="str">
        <f>"03"</f>
        <v>03</v>
      </c>
      <c r="K3212">
        <v>20181102</v>
      </c>
      <c r="L3212" t="str">
        <f t="shared" si="592"/>
        <v>074440</v>
      </c>
      <c r="M3212" t="str">
        <f t="shared" si="593"/>
        <v>09170</v>
      </c>
      <c r="N3212" t="s">
        <v>679</v>
      </c>
      <c r="O3212">
        <v>15.73</v>
      </c>
      <c r="P3212">
        <v>20181031</v>
      </c>
      <c r="Q3212" t="s">
        <v>1832</v>
      </c>
      <c r="R3212" t="s">
        <v>1834</v>
      </c>
      <c r="S3212" t="s">
        <v>1615</v>
      </c>
      <c r="T3212" t="s">
        <v>106</v>
      </c>
    </row>
    <row r="3213" spans="1:20" x14ac:dyDescent="0.25">
      <c r="A3213">
        <v>9</v>
      </c>
      <c r="B3213">
        <v>199</v>
      </c>
      <c r="C3213" t="str">
        <f>"41"</f>
        <v>41</v>
      </c>
      <c r="D3213">
        <v>6299</v>
      </c>
      <c r="E3213" t="str">
        <f>"10"</f>
        <v>10</v>
      </c>
      <c r="F3213" t="str">
        <f>"730"</f>
        <v>730</v>
      </c>
      <c r="G3213">
        <v>9</v>
      </c>
      <c r="H3213" t="str">
        <f>"99"</f>
        <v>99</v>
      </c>
      <c r="I3213" t="str">
        <f t="shared" si="585"/>
        <v>0</v>
      </c>
      <c r="J3213" t="str">
        <f>"95"</f>
        <v>95</v>
      </c>
      <c r="K3213">
        <v>20181102</v>
      </c>
      <c r="L3213" t="str">
        <f t="shared" si="592"/>
        <v>074440</v>
      </c>
      <c r="M3213" t="str">
        <f t="shared" si="593"/>
        <v>09170</v>
      </c>
      <c r="N3213" t="s">
        <v>679</v>
      </c>
      <c r="O3213">
        <v>144</v>
      </c>
      <c r="P3213">
        <v>20181031</v>
      </c>
      <c r="Q3213" t="s">
        <v>2434</v>
      </c>
      <c r="R3213" t="s">
        <v>2457</v>
      </c>
      <c r="S3213" t="s">
        <v>1615</v>
      </c>
      <c r="T3213" t="s">
        <v>1794</v>
      </c>
    </row>
    <row r="3214" spans="1:20" x14ac:dyDescent="0.25">
      <c r="A3214">
        <v>9</v>
      </c>
      <c r="B3214">
        <v>199</v>
      </c>
      <c r="C3214" t="str">
        <f>"41"</f>
        <v>41</v>
      </c>
      <c r="D3214">
        <v>6498</v>
      </c>
      <c r="E3214" t="str">
        <f>"10"</f>
        <v>10</v>
      </c>
      <c r="F3214" t="str">
        <f>"702"</f>
        <v>702</v>
      </c>
      <c r="G3214">
        <v>9</v>
      </c>
      <c r="H3214" t="str">
        <f>"99"</f>
        <v>99</v>
      </c>
      <c r="I3214" t="str">
        <f t="shared" si="585"/>
        <v>0</v>
      </c>
      <c r="J3214" t="str">
        <f>"93"</f>
        <v>93</v>
      </c>
      <c r="K3214">
        <v>20181102</v>
      </c>
      <c r="L3214" t="str">
        <f t="shared" si="592"/>
        <v>074440</v>
      </c>
      <c r="M3214" t="str">
        <f t="shared" si="593"/>
        <v>09170</v>
      </c>
      <c r="N3214" t="s">
        <v>679</v>
      </c>
      <c r="O3214">
        <v>121.95</v>
      </c>
      <c r="P3214">
        <v>20181031</v>
      </c>
      <c r="Q3214" t="s">
        <v>2458</v>
      </c>
      <c r="R3214" t="s">
        <v>2459</v>
      </c>
      <c r="S3214" t="s">
        <v>1615</v>
      </c>
      <c r="T3214" t="s">
        <v>1611</v>
      </c>
    </row>
    <row r="3215" spans="1:20" x14ac:dyDescent="0.25">
      <c r="A3215">
        <v>9</v>
      </c>
      <c r="B3215">
        <v>199</v>
      </c>
      <c r="C3215" t="str">
        <f>"41"</f>
        <v>41</v>
      </c>
      <c r="D3215">
        <v>6649</v>
      </c>
      <c r="E3215" t="str">
        <f>"10"</f>
        <v>10</v>
      </c>
      <c r="F3215" t="str">
        <f>"933"</f>
        <v>933</v>
      </c>
      <c r="G3215">
        <v>9</v>
      </c>
      <c r="H3215" t="str">
        <f>"99"</f>
        <v>99</v>
      </c>
      <c r="I3215" t="str">
        <f t="shared" si="585"/>
        <v>0</v>
      </c>
      <c r="J3215" t="str">
        <f>"85"</f>
        <v>85</v>
      </c>
      <c r="K3215">
        <v>20181102</v>
      </c>
      <c r="L3215" t="str">
        <f t="shared" si="592"/>
        <v>074440</v>
      </c>
      <c r="M3215" t="str">
        <f t="shared" si="593"/>
        <v>09170</v>
      </c>
      <c r="N3215" t="s">
        <v>679</v>
      </c>
      <c r="O3215">
        <v>318.88</v>
      </c>
      <c r="P3215">
        <v>20181031</v>
      </c>
      <c r="Q3215" t="s">
        <v>2460</v>
      </c>
      <c r="R3215" t="s">
        <v>2461</v>
      </c>
      <c r="S3215" t="s">
        <v>1615</v>
      </c>
      <c r="T3215" t="s">
        <v>1643</v>
      </c>
    </row>
    <row r="3216" spans="1:20" x14ac:dyDescent="0.25">
      <c r="A3216">
        <v>9</v>
      </c>
      <c r="B3216">
        <v>199</v>
      </c>
      <c r="C3216" t="str">
        <f>"51"</f>
        <v>51</v>
      </c>
      <c r="D3216">
        <v>6411</v>
      </c>
      <c r="E3216" t="str">
        <f>"00"</f>
        <v>00</v>
      </c>
      <c r="F3216" t="str">
        <f>"942"</f>
        <v>942</v>
      </c>
      <c r="G3216">
        <v>9</v>
      </c>
      <c r="H3216" t="str">
        <f>"99"</f>
        <v>99</v>
      </c>
      <c r="I3216" t="str">
        <f t="shared" si="585"/>
        <v>0</v>
      </c>
      <c r="J3216" t="str">
        <f>"88"</f>
        <v>88</v>
      </c>
      <c r="K3216">
        <v>20181102</v>
      </c>
      <c r="L3216" t="str">
        <f t="shared" si="592"/>
        <v>074440</v>
      </c>
      <c r="M3216" t="str">
        <f t="shared" si="593"/>
        <v>09170</v>
      </c>
      <c r="N3216" t="s">
        <v>679</v>
      </c>
      <c r="O3216">
        <v>304.95</v>
      </c>
      <c r="P3216">
        <v>20181031</v>
      </c>
      <c r="Q3216" t="s">
        <v>1830</v>
      </c>
      <c r="R3216" t="s">
        <v>1834</v>
      </c>
      <c r="S3216" t="s">
        <v>1615</v>
      </c>
      <c r="T3216" t="s">
        <v>1831</v>
      </c>
    </row>
    <row r="3217" spans="1:20" x14ac:dyDescent="0.25">
      <c r="A3217">
        <v>9</v>
      </c>
      <c r="B3217">
        <v>199</v>
      </c>
      <c r="C3217" t="str">
        <f>"13"</f>
        <v>13</v>
      </c>
      <c r="D3217">
        <v>6411</v>
      </c>
      <c r="E3217" t="str">
        <f>"00"</f>
        <v>00</v>
      </c>
      <c r="F3217" t="str">
        <f>"101"</f>
        <v>101</v>
      </c>
      <c r="G3217">
        <v>9</v>
      </c>
      <c r="H3217" t="str">
        <f>"25"</f>
        <v>25</v>
      </c>
      <c r="I3217" t="str">
        <f t="shared" si="585"/>
        <v>0</v>
      </c>
      <c r="J3217" t="str">
        <f>"25"</f>
        <v>25</v>
      </c>
      <c r="K3217">
        <v>20181102</v>
      </c>
      <c r="L3217" t="str">
        <f>"074441"</f>
        <v>074441</v>
      </c>
      <c r="M3217" t="str">
        <f>"00604"</f>
        <v>00604</v>
      </c>
      <c r="N3217" t="s">
        <v>2462</v>
      </c>
      <c r="O3217">
        <v>57.09</v>
      </c>
      <c r="P3217">
        <v>20181031</v>
      </c>
      <c r="Q3217" t="s">
        <v>1717</v>
      </c>
      <c r="R3217" t="s">
        <v>1718</v>
      </c>
      <c r="S3217" t="s">
        <v>1615</v>
      </c>
      <c r="T3217" t="s">
        <v>1479</v>
      </c>
    </row>
    <row r="3218" spans="1:20" x14ac:dyDescent="0.25">
      <c r="A3218">
        <v>9</v>
      </c>
      <c r="B3218">
        <v>199</v>
      </c>
      <c r="C3218" t="str">
        <f>"23"</f>
        <v>23</v>
      </c>
      <c r="D3218">
        <v>6411</v>
      </c>
      <c r="E3218" t="str">
        <f>"10"</f>
        <v>10</v>
      </c>
      <c r="F3218" t="str">
        <f t="shared" ref="F3218:F3224" si="597">"001"</f>
        <v>001</v>
      </c>
      <c r="G3218">
        <v>9</v>
      </c>
      <c r="H3218" t="str">
        <f>"99"</f>
        <v>99</v>
      </c>
      <c r="I3218" t="str">
        <f>"1"</f>
        <v>1</v>
      </c>
      <c r="J3218" t="str">
        <f t="shared" ref="J3218:J3224" si="598">"01"</f>
        <v>01</v>
      </c>
      <c r="K3218">
        <v>20181102</v>
      </c>
      <c r="L3218" t="str">
        <f>"074444"</f>
        <v>074444</v>
      </c>
      <c r="M3218" t="str">
        <f>"11140"</f>
        <v>11140</v>
      </c>
      <c r="N3218" t="s">
        <v>2463</v>
      </c>
      <c r="O3218">
        <v>109.97</v>
      </c>
      <c r="P3218">
        <v>20181031</v>
      </c>
      <c r="Q3218" t="s">
        <v>2464</v>
      </c>
      <c r="R3218" t="s">
        <v>585</v>
      </c>
      <c r="S3218" t="s">
        <v>1615</v>
      </c>
      <c r="T3218" t="s">
        <v>301</v>
      </c>
    </row>
    <row r="3219" spans="1:20" x14ac:dyDescent="0.25">
      <c r="A3219">
        <v>9</v>
      </c>
      <c r="B3219">
        <v>199</v>
      </c>
      <c r="C3219" t="str">
        <f t="shared" ref="C3219:C3226" si="599">"11"</f>
        <v>11</v>
      </c>
      <c r="D3219">
        <v>6399</v>
      </c>
      <c r="E3219" t="str">
        <f t="shared" ref="E3219:E3225" si="600">"7A"</f>
        <v>7A</v>
      </c>
      <c r="F3219" t="str">
        <f t="shared" si="597"/>
        <v>001</v>
      </c>
      <c r="G3219">
        <v>9</v>
      </c>
      <c r="H3219" t="str">
        <f t="shared" ref="H3219:H3226" si="601">"11"</f>
        <v>11</v>
      </c>
      <c r="I3219" t="str">
        <f t="shared" ref="I3219:I3229" si="602">"0"</f>
        <v>0</v>
      </c>
      <c r="J3219" t="str">
        <f t="shared" si="598"/>
        <v>01</v>
      </c>
      <c r="K3219">
        <v>20181102</v>
      </c>
      <c r="L3219" t="str">
        <f t="shared" ref="L3219:L3225" si="603">"074445"</f>
        <v>074445</v>
      </c>
      <c r="M3219" t="str">
        <f t="shared" ref="M3219:M3225" si="604">"11210"</f>
        <v>11210</v>
      </c>
      <c r="N3219" t="s">
        <v>2465</v>
      </c>
      <c r="O3219">
        <v>160.08000000000001</v>
      </c>
      <c r="P3219">
        <v>20181031</v>
      </c>
      <c r="Q3219" t="s">
        <v>2157</v>
      </c>
      <c r="R3219" t="s">
        <v>2466</v>
      </c>
      <c r="S3219" t="s">
        <v>1615</v>
      </c>
      <c r="T3219" t="s">
        <v>301</v>
      </c>
    </row>
    <row r="3220" spans="1:20" x14ac:dyDescent="0.25">
      <c r="A3220">
        <v>9</v>
      </c>
      <c r="B3220">
        <v>199</v>
      </c>
      <c r="C3220" t="str">
        <f t="shared" si="599"/>
        <v>11</v>
      </c>
      <c r="D3220">
        <v>6399</v>
      </c>
      <c r="E3220" t="str">
        <f t="shared" si="600"/>
        <v>7A</v>
      </c>
      <c r="F3220" t="str">
        <f t="shared" si="597"/>
        <v>001</v>
      </c>
      <c r="G3220">
        <v>9</v>
      </c>
      <c r="H3220" t="str">
        <f t="shared" si="601"/>
        <v>11</v>
      </c>
      <c r="I3220" t="str">
        <f t="shared" si="602"/>
        <v>0</v>
      </c>
      <c r="J3220" t="str">
        <f t="shared" si="598"/>
        <v>01</v>
      </c>
      <c r="K3220">
        <v>20181102</v>
      </c>
      <c r="L3220" t="str">
        <f t="shared" si="603"/>
        <v>074445</v>
      </c>
      <c r="M3220" t="str">
        <f t="shared" si="604"/>
        <v>11210</v>
      </c>
      <c r="N3220" t="s">
        <v>2465</v>
      </c>
      <c r="O3220">
        <v>23.8</v>
      </c>
      <c r="P3220">
        <v>20181031</v>
      </c>
      <c r="Q3220" t="s">
        <v>2157</v>
      </c>
      <c r="R3220" t="s">
        <v>2467</v>
      </c>
      <c r="S3220" t="s">
        <v>1615</v>
      </c>
      <c r="T3220" t="s">
        <v>301</v>
      </c>
    </row>
    <row r="3221" spans="1:20" x14ac:dyDescent="0.25">
      <c r="A3221">
        <v>9</v>
      </c>
      <c r="B3221">
        <v>199</v>
      </c>
      <c r="C3221" t="str">
        <f t="shared" si="599"/>
        <v>11</v>
      </c>
      <c r="D3221">
        <v>6399</v>
      </c>
      <c r="E3221" t="str">
        <f t="shared" si="600"/>
        <v>7A</v>
      </c>
      <c r="F3221" t="str">
        <f t="shared" si="597"/>
        <v>001</v>
      </c>
      <c r="G3221">
        <v>9</v>
      </c>
      <c r="H3221" t="str">
        <f t="shared" si="601"/>
        <v>11</v>
      </c>
      <c r="I3221" t="str">
        <f t="shared" si="602"/>
        <v>0</v>
      </c>
      <c r="J3221" t="str">
        <f t="shared" si="598"/>
        <v>01</v>
      </c>
      <c r="K3221">
        <v>20181102</v>
      </c>
      <c r="L3221" t="str">
        <f t="shared" si="603"/>
        <v>074445</v>
      </c>
      <c r="M3221" t="str">
        <f t="shared" si="604"/>
        <v>11210</v>
      </c>
      <c r="N3221" t="s">
        <v>2465</v>
      </c>
      <c r="O3221">
        <v>245.26</v>
      </c>
      <c r="P3221">
        <v>20181031</v>
      </c>
      <c r="Q3221" t="s">
        <v>2157</v>
      </c>
      <c r="R3221" t="s">
        <v>2466</v>
      </c>
      <c r="S3221" t="s">
        <v>1615</v>
      </c>
      <c r="T3221" t="s">
        <v>301</v>
      </c>
    </row>
    <row r="3222" spans="1:20" x14ac:dyDescent="0.25">
      <c r="A3222">
        <v>9</v>
      </c>
      <c r="B3222">
        <v>199</v>
      </c>
      <c r="C3222" t="str">
        <f t="shared" si="599"/>
        <v>11</v>
      </c>
      <c r="D3222">
        <v>6399</v>
      </c>
      <c r="E3222" t="str">
        <f t="shared" si="600"/>
        <v>7A</v>
      </c>
      <c r="F3222" t="str">
        <f t="shared" si="597"/>
        <v>001</v>
      </c>
      <c r="G3222">
        <v>9</v>
      </c>
      <c r="H3222" t="str">
        <f t="shared" si="601"/>
        <v>11</v>
      </c>
      <c r="I3222" t="str">
        <f t="shared" si="602"/>
        <v>0</v>
      </c>
      <c r="J3222" t="str">
        <f t="shared" si="598"/>
        <v>01</v>
      </c>
      <c r="K3222">
        <v>20181102</v>
      </c>
      <c r="L3222" t="str">
        <f t="shared" si="603"/>
        <v>074445</v>
      </c>
      <c r="M3222" t="str">
        <f t="shared" si="604"/>
        <v>11210</v>
      </c>
      <c r="N3222" t="s">
        <v>2465</v>
      </c>
      <c r="O3222">
        <v>25.54</v>
      </c>
      <c r="P3222">
        <v>20181031</v>
      </c>
      <c r="Q3222" t="s">
        <v>2157</v>
      </c>
      <c r="R3222" t="s">
        <v>2468</v>
      </c>
      <c r="S3222" t="s">
        <v>1615</v>
      </c>
      <c r="T3222" t="s">
        <v>301</v>
      </c>
    </row>
    <row r="3223" spans="1:20" x14ac:dyDescent="0.25">
      <c r="A3223">
        <v>9</v>
      </c>
      <c r="B3223">
        <v>199</v>
      </c>
      <c r="C3223" t="str">
        <f t="shared" si="599"/>
        <v>11</v>
      </c>
      <c r="D3223">
        <v>6399</v>
      </c>
      <c r="E3223" t="str">
        <f t="shared" si="600"/>
        <v>7A</v>
      </c>
      <c r="F3223" t="str">
        <f t="shared" si="597"/>
        <v>001</v>
      </c>
      <c r="G3223">
        <v>9</v>
      </c>
      <c r="H3223" t="str">
        <f t="shared" si="601"/>
        <v>11</v>
      </c>
      <c r="I3223" t="str">
        <f t="shared" si="602"/>
        <v>0</v>
      </c>
      <c r="J3223" t="str">
        <f t="shared" si="598"/>
        <v>01</v>
      </c>
      <c r="K3223">
        <v>20181102</v>
      </c>
      <c r="L3223" t="str">
        <f t="shared" si="603"/>
        <v>074445</v>
      </c>
      <c r="M3223" t="str">
        <f t="shared" si="604"/>
        <v>11210</v>
      </c>
      <c r="N3223" t="s">
        <v>2465</v>
      </c>
      <c r="O3223">
        <v>383.93</v>
      </c>
      <c r="P3223">
        <v>20181031</v>
      </c>
      <c r="Q3223" t="s">
        <v>2157</v>
      </c>
      <c r="R3223" t="s">
        <v>2466</v>
      </c>
      <c r="S3223" t="s">
        <v>1615</v>
      </c>
      <c r="T3223" t="s">
        <v>301</v>
      </c>
    </row>
    <row r="3224" spans="1:20" x14ac:dyDescent="0.25">
      <c r="A3224">
        <v>9</v>
      </c>
      <c r="B3224">
        <v>199</v>
      </c>
      <c r="C3224" t="str">
        <f t="shared" si="599"/>
        <v>11</v>
      </c>
      <c r="D3224">
        <v>6399</v>
      </c>
      <c r="E3224" t="str">
        <f t="shared" si="600"/>
        <v>7A</v>
      </c>
      <c r="F3224" t="str">
        <f t="shared" si="597"/>
        <v>001</v>
      </c>
      <c r="G3224">
        <v>9</v>
      </c>
      <c r="H3224" t="str">
        <f t="shared" si="601"/>
        <v>11</v>
      </c>
      <c r="I3224" t="str">
        <f t="shared" si="602"/>
        <v>0</v>
      </c>
      <c r="J3224" t="str">
        <f t="shared" si="598"/>
        <v>01</v>
      </c>
      <c r="K3224">
        <v>20181102</v>
      </c>
      <c r="L3224" t="str">
        <f t="shared" si="603"/>
        <v>074445</v>
      </c>
      <c r="M3224" t="str">
        <f t="shared" si="604"/>
        <v>11210</v>
      </c>
      <c r="N3224" t="s">
        <v>2465</v>
      </c>
      <c r="O3224">
        <v>352.67</v>
      </c>
      <c r="P3224">
        <v>20181031</v>
      </c>
      <c r="Q3224" t="s">
        <v>2157</v>
      </c>
      <c r="R3224" t="s">
        <v>2466</v>
      </c>
      <c r="S3224" t="s">
        <v>1615</v>
      </c>
      <c r="T3224" t="s">
        <v>301</v>
      </c>
    </row>
    <row r="3225" spans="1:20" x14ac:dyDescent="0.25">
      <c r="A3225">
        <v>9</v>
      </c>
      <c r="B3225">
        <v>199</v>
      </c>
      <c r="C3225" t="str">
        <f t="shared" si="599"/>
        <v>11</v>
      </c>
      <c r="D3225">
        <v>6399</v>
      </c>
      <c r="E3225" t="str">
        <f t="shared" si="600"/>
        <v>7A</v>
      </c>
      <c r="F3225" t="str">
        <f>"041"</f>
        <v>041</v>
      </c>
      <c r="G3225">
        <v>9</v>
      </c>
      <c r="H3225" t="str">
        <f t="shared" si="601"/>
        <v>11</v>
      </c>
      <c r="I3225" t="str">
        <f t="shared" si="602"/>
        <v>0</v>
      </c>
      <c r="J3225" t="str">
        <f>"03"</f>
        <v>03</v>
      </c>
      <c r="K3225">
        <v>20181102</v>
      </c>
      <c r="L3225" t="str">
        <f t="shared" si="603"/>
        <v>074445</v>
      </c>
      <c r="M3225" t="str">
        <f t="shared" si="604"/>
        <v>11210</v>
      </c>
      <c r="N3225" t="s">
        <v>2465</v>
      </c>
      <c r="O3225" s="1">
        <v>3148.89</v>
      </c>
      <c r="P3225">
        <v>20181031</v>
      </c>
      <c r="Q3225" t="s">
        <v>2469</v>
      </c>
      <c r="R3225" t="s">
        <v>2466</v>
      </c>
      <c r="S3225" t="s">
        <v>1615</v>
      </c>
      <c r="T3225" t="s">
        <v>106</v>
      </c>
    </row>
    <row r="3226" spans="1:20" x14ac:dyDescent="0.25">
      <c r="A3226">
        <v>9</v>
      </c>
      <c r="B3226">
        <v>199</v>
      </c>
      <c r="C3226" t="str">
        <f t="shared" si="599"/>
        <v>11</v>
      </c>
      <c r="D3226">
        <v>6299</v>
      </c>
      <c r="E3226" t="str">
        <f>"7K"</f>
        <v>7K</v>
      </c>
      <c r="F3226" t="str">
        <f>"001"</f>
        <v>001</v>
      </c>
      <c r="G3226">
        <v>9</v>
      </c>
      <c r="H3226" t="str">
        <f t="shared" si="601"/>
        <v>11</v>
      </c>
      <c r="I3226" t="str">
        <f t="shared" si="602"/>
        <v>0</v>
      </c>
      <c r="J3226" t="str">
        <f>"01"</f>
        <v>01</v>
      </c>
      <c r="K3226">
        <v>20181102</v>
      </c>
      <c r="L3226" t="str">
        <f>"074447"</f>
        <v>074447</v>
      </c>
      <c r="M3226" t="str">
        <f>"13165"</f>
        <v>13165</v>
      </c>
      <c r="N3226" t="s">
        <v>1872</v>
      </c>
      <c r="O3226">
        <v>775</v>
      </c>
      <c r="P3226">
        <v>20181031</v>
      </c>
      <c r="Q3226" t="s">
        <v>2470</v>
      </c>
      <c r="R3226" t="s">
        <v>2251</v>
      </c>
      <c r="S3226" t="s">
        <v>1615</v>
      </c>
      <c r="T3226" t="s">
        <v>301</v>
      </c>
    </row>
    <row r="3227" spans="1:20" x14ac:dyDescent="0.25">
      <c r="A3227">
        <v>9</v>
      </c>
      <c r="B3227">
        <v>199</v>
      </c>
      <c r="C3227" t="str">
        <f>"51"</f>
        <v>51</v>
      </c>
      <c r="D3227">
        <v>6319</v>
      </c>
      <c r="E3227" t="str">
        <f>"M3"</f>
        <v>M3</v>
      </c>
      <c r="F3227" t="str">
        <f>"936"</f>
        <v>936</v>
      </c>
      <c r="G3227">
        <v>9</v>
      </c>
      <c r="H3227" t="str">
        <f>"99"</f>
        <v>99</v>
      </c>
      <c r="I3227" t="str">
        <f t="shared" si="602"/>
        <v>0</v>
      </c>
      <c r="J3227" t="str">
        <f>"81"</f>
        <v>81</v>
      </c>
      <c r="K3227">
        <v>20181102</v>
      </c>
      <c r="L3227" t="str">
        <f>"074449"</f>
        <v>074449</v>
      </c>
      <c r="M3227" t="str">
        <f>"13268"</f>
        <v>13268</v>
      </c>
      <c r="N3227" t="s">
        <v>2471</v>
      </c>
      <c r="O3227">
        <v>683.87</v>
      </c>
      <c r="P3227">
        <v>20181031</v>
      </c>
      <c r="Q3227" t="s">
        <v>2246</v>
      </c>
      <c r="R3227" t="s">
        <v>2472</v>
      </c>
      <c r="S3227" t="s">
        <v>1615</v>
      </c>
      <c r="T3227" t="s">
        <v>1713</v>
      </c>
    </row>
    <row r="3228" spans="1:20" x14ac:dyDescent="0.25">
      <c r="A3228">
        <v>9</v>
      </c>
      <c r="B3228">
        <v>199</v>
      </c>
      <c r="C3228" t="str">
        <f>"51"</f>
        <v>51</v>
      </c>
      <c r="D3228">
        <v>6319</v>
      </c>
      <c r="E3228" t="str">
        <f>"M3"</f>
        <v>M3</v>
      </c>
      <c r="F3228" t="str">
        <f>"936"</f>
        <v>936</v>
      </c>
      <c r="G3228">
        <v>9</v>
      </c>
      <c r="H3228" t="str">
        <f>"99"</f>
        <v>99</v>
      </c>
      <c r="I3228" t="str">
        <f t="shared" si="602"/>
        <v>0</v>
      </c>
      <c r="J3228" t="str">
        <f>"81"</f>
        <v>81</v>
      </c>
      <c r="K3228">
        <v>20181102</v>
      </c>
      <c r="L3228" t="str">
        <f>"074449"</f>
        <v>074449</v>
      </c>
      <c r="M3228" t="str">
        <f>"13268"</f>
        <v>13268</v>
      </c>
      <c r="N3228" t="s">
        <v>2471</v>
      </c>
      <c r="O3228">
        <v>616.63</v>
      </c>
      <c r="P3228">
        <v>20181031</v>
      </c>
      <c r="Q3228" t="s">
        <v>2246</v>
      </c>
      <c r="R3228" t="s">
        <v>2472</v>
      </c>
      <c r="S3228" t="s">
        <v>1615</v>
      </c>
      <c r="T3228" t="s">
        <v>1713</v>
      </c>
    </row>
    <row r="3229" spans="1:20" x14ac:dyDescent="0.25">
      <c r="A3229">
        <v>9</v>
      </c>
      <c r="B3229">
        <v>199</v>
      </c>
      <c r="C3229" t="str">
        <f>"41"</f>
        <v>41</v>
      </c>
      <c r="D3229">
        <v>6211</v>
      </c>
      <c r="E3229" t="str">
        <f>"02"</f>
        <v>02</v>
      </c>
      <c r="F3229" t="str">
        <f>"702"</f>
        <v>702</v>
      </c>
      <c r="G3229">
        <v>9</v>
      </c>
      <c r="H3229" t="str">
        <f>"99"</f>
        <v>99</v>
      </c>
      <c r="I3229" t="str">
        <f t="shared" si="602"/>
        <v>0</v>
      </c>
      <c r="J3229" t="str">
        <f>"93"</f>
        <v>93</v>
      </c>
      <c r="K3229">
        <v>20181102</v>
      </c>
      <c r="L3229" t="str">
        <f>"074450"</f>
        <v>074450</v>
      </c>
      <c r="M3229" t="str">
        <f>"13281"</f>
        <v>13281</v>
      </c>
      <c r="N3229" t="s">
        <v>1684</v>
      </c>
      <c r="O3229">
        <v>435.9</v>
      </c>
      <c r="P3229">
        <v>20181031</v>
      </c>
      <c r="Q3229" t="s">
        <v>2473</v>
      </c>
      <c r="R3229" t="s">
        <v>2474</v>
      </c>
      <c r="S3229" t="s">
        <v>1615</v>
      </c>
      <c r="T3229" t="s">
        <v>1611</v>
      </c>
    </row>
    <row r="3230" spans="1:20" x14ac:dyDescent="0.25">
      <c r="A3230">
        <v>9</v>
      </c>
      <c r="B3230">
        <v>199</v>
      </c>
      <c r="C3230" t="str">
        <f>"51"</f>
        <v>51</v>
      </c>
      <c r="D3230">
        <v>6254</v>
      </c>
      <c r="E3230" t="str">
        <f>"ME"</f>
        <v>ME</v>
      </c>
      <c r="F3230" t="str">
        <f>"936"</f>
        <v>936</v>
      </c>
      <c r="G3230">
        <v>9</v>
      </c>
      <c r="H3230" t="str">
        <f>"99"</f>
        <v>99</v>
      </c>
      <c r="I3230" t="str">
        <f>"1"</f>
        <v>1</v>
      </c>
      <c r="J3230" t="str">
        <f>"73"</f>
        <v>73</v>
      </c>
      <c r="K3230">
        <v>20181102</v>
      </c>
      <c r="L3230" t="str">
        <f>"074454"</f>
        <v>074454</v>
      </c>
      <c r="M3230" t="str">
        <f>"19310"</f>
        <v>19310</v>
      </c>
      <c r="N3230" t="s">
        <v>1689</v>
      </c>
      <c r="O3230" s="1">
        <v>3294.42</v>
      </c>
      <c r="P3230">
        <v>20181031</v>
      </c>
      <c r="Q3230" t="s">
        <v>1891</v>
      </c>
      <c r="R3230" t="s">
        <v>2475</v>
      </c>
      <c r="S3230" t="s">
        <v>1615</v>
      </c>
      <c r="T3230" t="s">
        <v>1713</v>
      </c>
    </row>
    <row r="3231" spans="1:20" x14ac:dyDescent="0.25">
      <c r="A3231">
        <v>9</v>
      </c>
      <c r="B3231">
        <v>199</v>
      </c>
      <c r="C3231" t="str">
        <f>"51"</f>
        <v>51</v>
      </c>
      <c r="D3231">
        <v>6254</v>
      </c>
      <c r="E3231" t="str">
        <f>"ME"</f>
        <v>ME</v>
      </c>
      <c r="F3231" t="str">
        <f>"936"</f>
        <v>936</v>
      </c>
      <c r="G3231">
        <v>9</v>
      </c>
      <c r="H3231" t="str">
        <f>"99"</f>
        <v>99</v>
      </c>
      <c r="I3231" t="str">
        <f>"1"</f>
        <v>1</v>
      </c>
      <c r="J3231" t="str">
        <f>"73"</f>
        <v>73</v>
      </c>
      <c r="K3231">
        <v>20181102</v>
      </c>
      <c r="L3231" t="str">
        <f>"074454"</f>
        <v>074454</v>
      </c>
      <c r="M3231" t="str">
        <f>"19310"</f>
        <v>19310</v>
      </c>
      <c r="N3231" t="s">
        <v>1689</v>
      </c>
      <c r="O3231">
        <v>563.32000000000005</v>
      </c>
      <c r="P3231">
        <v>20181031</v>
      </c>
      <c r="Q3231" t="s">
        <v>1891</v>
      </c>
      <c r="R3231" t="s">
        <v>2476</v>
      </c>
      <c r="S3231" t="s">
        <v>1615</v>
      </c>
      <c r="T3231" t="s">
        <v>1713</v>
      </c>
    </row>
    <row r="3232" spans="1:20" x14ac:dyDescent="0.25">
      <c r="A3232">
        <v>9</v>
      </c>
      <c r="B3232">
        <v>199</v>
      </c>
      <c r="C3232" t="str">
        <f>"11"</f>
        <v>11</v>
      </c>
      <c r="D3232">
        <v>6649</v>
      </c>
      <c r="E3232" t="str">
        <f>"DC"</f>
        <v>DC</v>
      </c>
      <c r="F3232" t="str">
        <f>"001"</f>
        <v>001</v>
      </c>
      <c r="G3232">
        <v>9</v>
      </c>
      <c r="H3232" t="str">
        <f>"31"</f>
        <v>31</v>
      </c>
      <c r="I3232" t="str">
        <f>"0"</f>
        <v>0</v>
      </c>
      <c r="J3232" t="str">
        <f>"34"</f>
        <v>34</v>
      </c>
      <c r="K3232">
        <v>20181102</v>
      </c>
      <c r="L3232" t="str">
        <f>"074456"</f>
        <v>074456</v>
      </c>
      <c r="M3232" t="str">
        <f>"16807"</f>
        <v>16807</v>
      </c>
      <c r="N3232" t="s">
        <v>1581</v>
      </c>
      <c r="O3232" s="1">
        <v>30159.599999999999</v>
      </c>
      <c r="P3232">
        <v>20181031</v>
      </c>
      <c r="Q3232" t="s">
        <v>2477</v>
      </c>
      <c r="R3232" t="s">
        <v>1583</v>
      </c>
      <c r="S3232" t="s">
        <v>1615</v>
      </c>
      <c r="T3232" t="s">
        <v>301</v>
      </c>
    </row>
    <row r="3233" spans="1:20" x14ac:dyDescent="0.25">
      <c r="A3233">
        <v>9</v>
      </c>
      <c r="B3233">
        <v>199</v>
      </c>
      <c r="C3233" t="str">
        <f>"11"</f>
        <v>11</v>
      </c>
      <c r="D3233">
        <v>6649</v>
      </c>
      <c r="E3233" t="str">
        <f>"DC"</f>
        <v>DC</v>
      </c>
      <c r="F3233" t="str">
        <f>"001"</f>
        <v>001</v>
      </c>
      <c r="G3233">
        <v>9</v>
      </c>
      <c r="H3233" t="str">
        <f>"31"</f>
        <v>31</v>
      </c>
      <c r="I3233" t="str">
        <f>"0"</f>
        <v>0</v>
      </c>
      <c r="J3233" t="str">
        <f>"34"</f>
        <v>34</v>
      </c>
      <c r="K3233">
        <v>20181102</v>
      </c>
      <c r="L3233" t="str">
        <f>"074456"</f>
        <v>074456</v>
      </c>
      <c r="M3233" t="str">
        <f>"16807"</f>
        <v>16807</v>
      </c>
      <c r="N3233" t="s">
        <v>1581</v>
      </c>
      <c r="O3233" s="1">
        <v>3180</v>
      </c>
      <c r="P3233">
        <v>20181031</v>
      </c>
      <c r="Q3233" t="s">
        <v>2477</v>
      </c>
      <c r="R3233" t="s">
        <v>1582</v>
      </c>
      <c r="S3233" t="s">
        <v>1615</v>
      </c>
      <c r="T3233" t="s">
        <v>301</v>
      </c>
    </row>
    <row r="3234" spans="1:20" x14ac:dyDescent="0.25">
      <c r="A3234">
        <v>9</v>
      </c>
      <c r="B3234">
        <v>199</v>
      </c>
      <c r="C3234" t="str">
        <f>"11"</f>
        <v>11</v>
      </c>
      <c r="D3234">
        <v>6649</v>
      </c>
      <c r="E3234" t="str">
        <f>"DC"</f>
        <v>DC</v>
      </c>
      <c r="F3234" t="str">
        <f>"001"</f>
        <v>001</v>
      </c>
      <c r="G3234">
        <v>9</v>
      </c>
      <c r="H3234" t="str">
        <f>"31"</f>
        <v>31</v>
      </c>
      <c r="I3234" t="str">
        <f>"0"</f>
        <v>0</v>
      </c>
      <c r="J3234" t="str">
        <f>"34"</f>
        <v>34</v>
      </c>
      <c r="K3234">
        <v>20181102</v>
      </c>
      <c r="L3234" t="str">
        <f>"074456"</f>
        <v>074456</v>
      </c>
      <c r="M3234" t="str">
        <f>"16807"</f>
        <v>16807</v>
      </c>
      <c r="N3234" t="s">
        <v>1581</v>
      </c>
      <c r="O3234" s="1">
        <v>5403.24</v>
      </c>
      <c r="P3234">
        <v>20181031</v>
      </c>
      <c r="Q3234" t="s">
        <v>2477</v>
      </c>
      <c r="R3234" t="s">
        <v>1591</v>
      </c>
      <c r="S3234" t="s">
        <v>1615</v>
      </c>
      <c r="T3234" t="s">
        <v>301</v>
      </c>
    </row>
    <row r="3235" spans="1:20" x14ac:dyDescent="0.25">
      <c r="A3235">
        <v>9</v>
      </c>
      <c r="B3235">
        <v>199</v>
      </c>
      <c r="C3235" t="str">
        <f>"00"</f>
        <v>00</v>
      </c>
      <c r="D3235">
        <v>1312</v>
      </c>
      <c r="E3235" t="str">
        <f>"00"</f>
        <v>00</v>
      </c>
      <c r="F3235" t="str">
        <f>"000"</f>
        <v>000</v>
      </c>
      <c r="G3235">
        <v>9</v>
      </c>
      <c r="H3235" t="str">
        <f>"00"</f>
        <v>00</v>
      </c>
      <c r="I3235" t="str">
        <f>"0"</f>
        <v>0</v>
      </c>
      <c r="J3235" t="str">
        <f>"00"</f>
        <v>00</v>
      </c>
      <c r="K3235">
        <v>20181102</v>
      </c>
      <c r="L3235" t="str">
        <f>"074457"</f>
        <v>074457</v>
      </c>
      <c r="M3235" t="str">
        <f>"14184"</f>
        <v>14184</v>
      </c>
      <c r="N3235" t="s">
        <v>2478</v>
      </c>
      <c r="O3235">
        <v>178</v>
      </c>
      <c r="P3235">
        <v>20181031</v>
      </c>
      <c r="Q3235" t="s">
        <v>1860</v>
      </c>
      <c r="R3235" t="s">
        <v>2479</v>
      </c>
      <c r="S3235" t="s">
        <v>1615</v>
      </c>
      <c r="T3235" t="s">
        <v>296</v>
      </c>
    </row>
    <row r="3236" spans="1:20" x14ac:dyDescent="0.25">
      <c r="A3236">
        <v>9</v>
      </c>
      <c r="B3236">
        <v>199</v>
      </c>
      <c r="C3236" t="str">
        <f>"53"</f>
        <v>53</v>
      </c>
      <c r="D3236">
        <v>6396</v>
      </c>
      <c r="E3236" t="str">
        <f>"00"</f>
        <v>00</v>
      </c>
      <c r="F3236" t="str">
        <f>"880"</f>
        <v>880</v>
      </c>
      <c r="G3236">
        <v>9</v>
      </c>
      <c r="H3236" t="str">
        <f>"99"</f>
        <v>99</v>
      </c>
      <c r="I3236" t="str">
        <f>"C"</f>
        <v>C</v>
      </c>
      <c r="J3236" t="str">
        <f>"80"</f>
        <v>80</v>
      </c>
      <c r="K3236">
        <v>20181102</v>
      </c>
      <c r="L3236" t="str">
        <f>"074461"</f>
        <v>074461</v>
      </c>
      <c r="M3236" t="str">
        <f>"21468"</f>
        <v>21468</v>
      </c>
      <c r="N3236" t="s">
        <v>2369</v>
      </c>
      <c r="O3236" s="1">
        <v>17581.25</v>
      </c>
      <c r="P3236">
        <v>20181031</v>
      </c>
      <c r="Q3236" t="s">
        <v>2480</v>
      </c>
      <c r="R3236" t="s">
        <v>2481</v>
      </c>
      <c r="S3236" t="s">
        <v>1615</v>
      </c>
      <c r="T3236" t="s">
        <v>1866</v>
      </c>
    </row>
    <row r="3237" spans="1:20" x14ac:dyDescent="0.25">
      <c r="A3237">
        <v>9</v>
      </c>
      <c r="B3237">
        <v>199</v>
      </c>
      <c r="C3237" t="str">
        <f>"51"</f>
        <v>51</v>
      </c>
      <c r="D3237">
        <v>6249</v>
      </c>
      <c r="E3237" t="str">
        <f>"MC"</f>
        <v>MC</v>
      </c>
      <c r="F3237" t="str">
        <f>"104"</f>
        <v>104</v>
      </c>
      <c r="G3237">
        <v>9</v>
      </c>
      <c r="H3237" t="str">
        <f>"99"</f>
        <v>99</v>
      </c>
      <c r="I3237" t="str">
        <f t="shared" ref="I3237:I3255" si="605">"0"</f>
        <v>0</v>
      </c>
      <c r="J3237" t="str">
        <f>"81"</f>
        <v>81</v>
      </c>
      <c r="K3237">
        <v>20181102</v>
      </c>
      <c r="L3237" t="str">
        <f>"074462"</f>
        <v>074462</v>
      </c>
      <c r="M3237" t="str">
        <f>"24130"</f>
        <v>24130</v>
      </c>
      <c r="N3237" t="s">
        <v>567</v>
      </c>
      <c r="O3237">
        <v>401.94</v>
      </c>
      <c r="P3237">
        <v>20181031</v>
      </c>
      <c r="Q3237" t="s">
        <v>1744</v>
      </c>
      <c r="R3237" t="s">
        <v>2482</v>
      </c>
      <c r="S3237" t="s">
        <v>1615</v>
      </c>
      <c r="T3237" t="s">
        <v>46</v>
      </c>
    </row>
    <row r="3238" spans="1:20" x14ac:dyDescent="0.25">
      <c r="A3238">
        <v>9</v>
      </c>
      <c r="B3238">
        <v>199</v>
      </c>
      <c r="C3238" t="str">
        <f>"13"</f>
        <v>13</v>
      </c>
      <c r="D3238">
        <v>6411</v>
      </c>
      <c r="E3238" t="str">
        <f>"00"</f>
        <v>00</v>
      </c>
      <c r="F3238" t="str">
        <f>"101"</f>
        <v>101</v>
      </c>
      <c r="G3238">
        <v>9</v>
      </c>
      <c r="H3238" t="str">
        <f>"25"</f>
        <v>25</v>
      </c>
      <c r="I3238" t="str">
        <f t="shared" si="605"/>
        <v>0</v>
      </c>
      <c r="J3238" t="str">
        <f>"25"</f>
        <v>25</v>
      </c>
      <c r="K3238">
        <v>20181102</v>
      </c>
      <c r="L3238" t="str">
        <f>"074463"</f>
        <v>074463</v>
      </c>
      <c r="M3238" t="str">
        <f>"00605"</f>
        <v>00605</v>
      </c>
      <c r="N3238" t="s">
        <v>2483</v>
      </c>
      <c r="O3238">
        <v>87.18</v>
      </c>
      <c r="P3238">
        <v>20181031</v>
      </c>
      <c r="Q3238" t="s">
        <v>1717</v>
      </c>
      <c r="R3238" t="s">
        <v>1718</v>
      </c>
      <c r="S3238" t="s">
        <v>1615</v>
      </c>
      <c r="T3238" t="s">
        <v>1479</v>
      </c>
    </row>
    <row r="3239" spans="1:20" x14ac:dyDescent="0.25">
      <c r="A3239">
        <v>9</v>
      </c>
      <c r="B3239">
        <v>199</v>
      </c>
      <c r="C3239" t="str">
        <f>"12"</f>
        <v>12</v>
      </c>
      <c r="D3239">
        <v>6399</v>
      </c>
      <c r="E3239" t="str">
        <f>"7U"</f>
        <v>7U</v>
      </c>
      <c r="F3239" t="str">
        <f>"104"</f>
        <v>104</v>
      </c>
      <c r="G3239">
        <v>9</v>
      </c>
      <c r="H3239" t="str">
        <f>"11"</f>
        <v>11</v>
      </c>
      <c r="I3239" t="str">
        <f t="shared" si="605"/>
        <v>0</v>
      </c>
      <c r="J3239" t="str">
        <f>"05"</f>
        <v>05</v>
      </c>
      <c r="K3239">
        <v>20181102</v>
      </c>
      <c r="L3239" t="str">
        <f>"074466"</f>
        <v>074466</v>
      </c>
      <c r="M3239" t="str">
        <f>"25221"</f>
        <v>25221</v>
      </c>
      <c r="N3239" t="s">
        <v>2484</v>
      </c>
      <c r="O3239" s="1">
        <v>1177.58</v>
      </c>
      <c r="P3239">
        <v>20181031</v>
      </c>
      <c r="Q3239" t="s">
        <v>2485</v>
      </c>
      <c r="R3239" t="s">
        <v>2486</v>
      </c>
      <c r="S3239" t="s">
        <v>1615</v>
      </c>
      <c r="T3239" t="s">
        <v>46</v>
      </c>
    </row>
    <row r="3240" spans="1:20" x14ac:dyDescent="0.25">
      <c r="A3240">
        <v>9</v>
      </c>
      <c r="B3240">
        <v>199</v>
      </c>
      <c r="C3240" t="str">
        <f>"51"</f>
        <v>51</v>
      </c>
      <c r="D3240">
        <v>6256</v>
      </c>
      <c r="E3240" t="str">
        <f>"15"</f>
        <v>15</v>
      </c>
      <c r="F3240" t="str">
        <f>"880"</f>
        <v>880</v>
      </c>
      <c r="G3240">
        <v>9</v>
      </c>
      <c r="H3240" t="str">
        <f>"99"</f>
        <v>99</v>
      </c>
      <c r="I3240" t="str">
        <f t="shared" si="605"/>
        <v>0</v>
      </c>
      <c r="J3240" t="str">
        <f>"80"</f>
        <v>80</v>
      </c>
      <c r="K3240">
        <v>20181102</v>
      </c>
      <c r="L3240" t="str">
        <f>"074467"</f>
        <v>074467</v>
      </c>
      <c r="M3240" t="str">
        <f>"77113"</f>
        <v>77113</v>
      </c>
      <c r="N3240" t="s">
        <v>1880</v>
      </c>
      <c r="O3240">
        <v>101.28</v>
      </c>
      <c r="P3240">
        <v>20181031</v>
      </c>
      <c r="Q3240" t="s">
        <v>2487</v>
      </c>
      <c r="R3240" t="s">
        <v>1790</v>
      </c>
      <c r="S3240" t="s">
        <v>1615</v>
      </c>
      <c r="T3240" t="s">
        <v>1866</v>
      </c>
    </row>
    <row r="3241" spans="1:20" x14ac:dyDescent="0.25">
      <c r="A3241">
        <v>9</v>
      </c>
      <c r="B3241">
        <v>199</v>
      </c>
      <c r="C3241" t="str">
        <f>"11"</f>
        <v>11</v>
      </c>
      <c r="D3241">
        <v>6223</v>
      </c>
      <c r="E3241" t="str">
        <f>"VC"</f>
        <v>VC</v>
      </c>
      <c r="F3241" t="str">
        <f>"001"</f>
        <v>001</v>
      </c>
      <c r="G3241">
        <v>9</v>
      </c>
      <c r="H3241" t="str">
        <f>"22"</f>
        <v>22</v>
      </c>
      <c r="I3241" t="str">
        <f t="shared" si="605"/>
        <v>0</v>
      </c>
      <c r="J3241" t="str">
        <f>"22"</f>
        <v>22</v>
      </c>
      <c r="K3241">
        <v>20181102</v>
      </c>
      <c r="L3241" t="str">
        <f>"074469"</f>
        <v>074469</v>
      </c>
      <c r="M3241" t="str">
        <f>"27908"</f>
        <v>27908</v>
      </c>
      <c r="N3241" t="s">
        <v>1490</v>
      </c>
      <c r="O3241">
        <v>600</v>
      </c>
      <c r="P3241">
        <v>20181031</v>
      </c>
      <c r="Q3241" t="s">
        <v>2488</v>
      </c>
      <c r="R3241" t="s">
        <v>2489</v>
      </c>
      <c r="S3241" t="s">
        <v>1615</v>
      </c>
      <c r="T3241" t="s">
        <v>301</v>
      </c>
    </row>
    <row r="3242" spans="1:20" x14ac:dyDescent="0.25">
      <c r="A3242">
        <v>9</v>
      </c>
      <c r="B3242">
        <v>199</v>
      </c>
      <c r="C3242" t="str">
        <f>"00"</f>
        <v>00</v>
      </c>
      <c r="D3242">
        <v>2110</v>
      </c>
      <c r="E3242" t="str">
        <f>"18"</f>
        <v>18</v>
      </c>
      <c r="F3242" t="str">
        <f>"000"</f>
        <v>000</v>
      </c>
      <c r="G3242">
        <v>9</v>
      </c>
      <c r="H3242" t="str">
        <f>"00"</f>
        <v>00</v>
      </c>
      <c r="I3242" t="str">
        <f t="shared" si="605"/>
        <v>0</v>
      </c>
      <c r="J3242" t="str">
        <f>"00"</f>
        <v>00</v>
      </c>
      <c r="K3242">
        <v>20181102</v>
      </c>
      <c r="L3242" t="str">
        <f>"074471"</f>
        <v>074471</v>
      </c>
      <c r="M3242" t="str">
        <f>"28825"</f>
        <v>28825</v>
      </c>
      <c r="N3242" t="s">
        <v>1722</v>
      </c>
      <c r="O3242">
        <v>457</v>
      </c>
      <c r="P3242">
        <v>20181031</v>
      </c>
      <c r="Q3242" t="s">
        <v>1613</v>
      </c>
      <c r="R3242" t="s">
        <v>2490</v>
      </c>
      <c r="S3242" t="s">
        <v>1615</v>
      </c>
      <c r="T3242" t="s">
        <v>296</v>
      </c>
    </row>
    <row r="3243" spans="1:20" x14ac:dyDescent="0.25">
      <c r="A3243">
        <v>9</v>
      </c>
      <c r="B3243">
        <v>199</v>
      </c>
      <c r="C3243" t="str">
        <f>"51"</f>
        <v>51</v>
      </c>
      <c r="D3243">
        <v>6319</v>
      </c>
      <c r="E3243" t="str">
        <f>"MC"</f>
        <v>MC</v>
      </c>
      <c r="F3243" t="str">
        <f>"936"</f>
        <v>936</v>
      </c>
      <c r="G3243">
        <v>9</v>
      </c>
      <c r="H3243" t="str">
        <f>"99"</f>
        <v>99</v>
      </c>
      <c r="I3243" t="str">
        <f t="shared" si="605"/>
        <v>0</v>
      </c>
      <c r="J3243" t="str">
        <f>"81"</f>
        <v>81</v>
      </c>
      <c r="K3243">
        <v>20181102</v>
      </c>
      <c r="L3243" t="str">
        <f>"074472"</f>
        <v>074472</v>
      </c>
      <c r="M3243" t="str">
        <f>"29609"</f>
        <v>29609</v>
      </c>
      <c r="N3243" t="s">
        <v>2491</v>
      </c>
      <c r="O3243">
        <v>258.17</v>
      </c>
      <c r="P3243">
        <v>20181031</v>
      </c>
      <c r="Q3243" t="s">
        <v>2060</v>
      </c>
      <c r="R3243" t="s">
        <v>2492</v>
      </c>
      <c r="S3243" t="s">
        <v>1615</v>
      </c>
      <c r="T3243" t="s">
        <v>1713</v>
      </c>
    </row>
    <row r="3244" spans="1:20" x14ac:dyDescent="0.25">
      <c r="A3244">
        <v>9</v>
      </c>
      <c r="B3244">
        <v>199</v>
      </c>
      <c r="C3244" t="str">
        <f>"13"</f>
        <v>13</v>
      </c>
      <c r="D3244">
        <v>6411</v>
      </c>
      <c r="E3244" t="str">
        <f>"00"</f>
        <v>00</v>
      </c>
      <c r="F3244" t="str">
        <f>"101"</f>
        <v>101</v>
      </c>
      <c r="G3244">
        <v>9</v>
      </c>
      <c r="H3244" t="str">
        <f>"25"</f>
        <v>25</v>
      </c>
      <c r="I3244" t="str">
        <f t="shared" si="605"/>
        <v>0</v>
      </c>
      <c r="J3244" t="str">
        <f>"25"</f>
        <v>25</v>
      </c>
      <c r="K3244">
        <v>20181102</v>
      </c>
      <c r="L3244" t="str">
        <f t="shared" ref="L3244:L3254" si="606">"074474"</f>
        <v>074474</v>
      </c>
      <c r="M3244" t="str">
        <f t="shared" ref="M3244:M3254" si="607">"30744"</f>
        <v>30744</v>
      </c>
      <c r="N3244" t="s">
        <v>422</v>
      </c>
      <c r="O3244">
        <v>30.87</v>
      </c>
      <c r="P3244">
        <v>20181031</v>
      </c>
      <c r="Q3244" t="s">
        <v>1717</v>
      </c>
      <c r="R3244" t="s">
        <v>1718</v>
      </c>
      <c r="S3244" t="s">
        <v>1615</v>
      </c>
      <c r="T3244" t="s">
        <v>1479</v>
      </c>
    </row>
    <row r="3245" spans="1:20" x14ac:dyDescent="0.25">
      <c r="A3245">
        <v>9</v>
      </c>
      <c r="B3245">
        <v>199</v>
      </c>
      <c r="C3245" t="str">
        <f>"13"</f>
        <v>13</v>
      </c>
      <c r="D3245">
        <v>6411</v>
      </c>
      <c r="E3245" t="str">
        <f>"00"</f>
        <v>00</v>
      </c>
      <c r="F3245" t="str">
        <f>"101"</f>
        <v>101</v>
      </c>
      <c r="G3245">
        <v>9</v>
      </c>
      <c r="H3245" t="str">
        <f>"25"</f>
        <v>25</v>
      </c>
      <c r="I3245" t="str">
        <f t="shared" si="605"/>
        <v>0</v>
      </c>
      <c r="J3245" t="str">
        <f>"25"</f>
        <v>25</v>
      </c>
      <c r="K3245">
        <v>20181102</v>
      </c>
      <c r="L3245" t="str">
        <f t="shared" si="606"/>
        <v>074474</v>
      </c>
      <c r="M3245" t="str">
        <f t="shared" si="607"/>
        <v>30744</v>
      </c>
      <c r="N3245" t="s">
        <v>422</v>
      </c>
      <c r="O3245">
        <v>16.45</v>
      </c>
      <c r="P3245">
        <v>20181031</v>
      </c>
      <c r="Q3245" t="s">
        <v>1717</v>
      </c>
      <c r="R3245" t="s">
        <v>1718</v>
      </c>
      <c r="S3245" t="s">
        <v>1615</v>
      </c>
      <c r="T3245" t="s">
        <v>1479</v>
      </c>
    </row>
    <row r="3246" spans="1:20" x14ac:dyDescent="0.25">
      <c r="A3246">
        <v>9</v>
      </c>
      <c r="B3246">
        <v>199</v>
      </c>
      <c r="C3246" t="str">
        <f>"13"</f>
        <v>13</v>
      </c>
      <c r="D3246">
        <v>6411</v>
      </c>
      <c r="E3246" t="str">
        <f>"00"</f>
        <v>00</v>
      </c>
      <c r="F3246" t="str">
        <f>"101"</f>
        <v>101</v>
      </c>
      <c r="G3246">
        <v>9</v>
      </c>
      <c r="H3246" t="str">
        <f>"25"</f>
        <v>25</v>
      </c>
      <c r="I3246" t="str">
        <f t="shared" si="605"/>
        <v>0</v>
      </c>
      <c r="J3246" t="str">
        <f>"25"</f>
        <v>25</v>
      </c>
      <c r="K3246">
        <v>20181102</v>
      </c>
      <c r="L3246" t="str">
        <f t="shared" si="606"/>
        <v>074474</v>
      </c>
      <c r="M3246" t="str">
        <f t="shared" si="607"/>
        <v>30744</v>
      </c>
      <c r="N3246" t="s">
        <v>422</v>
      </c>
      <c r="O3246">
        <v>19.53</v>
      </c>
      <c r="P3246">
        <v>20181031</v>
      </c>
      <c r="Q3246" t="s">
        <v>1717</v>
      </c>
      <c r="R3246" t="s">
        <v>1718</v>
      </c>
      <c r="S3246" t="s">
        <v>1615</v>
      </c>
      <c r="T3246" t="s">
        <v>1479</v>
      </c>
    </row>
    <row r="3247" spans="1:20" x14ac:dyDescent="0.25">
      <c r="A3247">
        <v>9</v>
      </c>
      <c r="B3247">
        <v>199</v>
      </c>
      <c r="C3247" t="str">
        <f t="shared" ref="C3247:C3254" si="608">"36"</f>
        <v>36</v>
      </c>
      <c r="D3247">
        <v>6412</v>
      </c>
      <c r="E3247" t="str">
        <f t="shared" ref="E3247:E3252" si="609">"7B"</f>
        <v>7B</v>
      </c>
      <c r="F3247" t="str">
        <f t="shared" ref="F3247:F3258" si="610">"001"</f>
        <v>001</v>
      </c>
      <c r="G3247">
        <v>9</v>
      </c>
      <c r="H3247" t="str">
        <f t="shared" ref="H3247:H3254" si="611">"99"</f>
        <v>99</v>
      </c>
      <c r="I3247" t="str">
        <f t="shared" si="605"/>
        <v>0</v>
      </c>
      <c r="J3247" t="str">
        <f t="shared" ref="J3247:J3252" si="612">"32"</f>
        <v>32</v>
      </c>
      <c r="K3247">
        <v>20181102</v>
      </c>
      <c r="L3247" t="str">
        <f t="shared" si="606"/>
        <v>074474</v>
      </c>
      <c r="M3247" t="str">
        <f t="shared" si="607"/>
        <v>30744</v>
      </c>
      <c r="N3247" t="s">
        <v>422</v>
      </c>
      <c r="O3247">
        <v>41.75</v>
      </c>
      <c r="P3247">
        <v>20181031</v>
      </c>
      <c r="Q3247" t="s">
        <v>1658</v>
      </c>
      <c r="R3247" t="s">
        <v>2493</v>
      </c>
      <c r="S3247" t="s">
        <v>1615</v>
      </c>
      <c r="T3247" t="s">
        <v>301</v>
      </c>
    </row>
    <row r="3248" spans="1:20" x14ac:dyDescent="0.25">
      <c r="A3248">
        <v>9</v>
      </c>
      <c r="B3248">
        <v>199</v>
      </c>
      <c r="C3248" t="str">
        <f t="shared" si="608"/>
        <v>36</v>
      </c>
      <c r="D3248">
        <v>6412</v>
      </c>
      <c r="E3248" t="str">
        <f t="shared" si="609"/>
        <v>7B</v>
      </c>
      <c r="F3248" t="str">
        <f t="shared" si="610"/>
        <v>001</v>
      </c>
      <c r="G3248">
        <v>9</v>
      </c>
      <c r="H3248" t="str">
        <f t="shared" si="611"/>
        <v>99</v>
      </c>
      <c r="I3248" t="str">
        <f t="shared" si="605"/>
        <v>0</v>
      </c>
      <c r="J3248" t="str">
        <f t="shared" si="612"/>
        <v>32</v>
      </c>
      <c r="K3248">
        <v>20181102</v>
      </c>
      <c r="L3248" t="str">
        <f t="shared" si="606"/>
        <v>074474</v>
      </c>
      <c r="M3248" t="str">
        <f t="shared" si="607"/>
        <v>30744</v>
      </c>
      <c r="N3248" t="s">
        <v>422</v>
      </c>
      <c r="O3248">
        <v>77.819999999999993</v>
      </c>
      <c r="P3248">
        <v>20181031</v>
      </c>
      <c r="Q3248" t="s">
        <v>1658</v>
      </c>
      <c r="R3248" t="s">
        <v>2493</v>
      </c>
      <c r="S3248" t="s">
        <v>1615</v>
      </c>
      <c r="T3248" t="s">
        <v>301</v>
      </c>
    </row>
    <row r="3249" spans="1:20" x14ac:dyDescent="0.25">
      <c r="A3249">
        <v>9</v>
      </c>
      <c r="B3249">
        <v>199</v>
      </c>
      <c r="C3249" t="str">
        <f t="shared" si="608"/>
        <v>36</v>
      </c>
      <c r="D3249">
        <v>6412</v>
      </c>
      <c r="E3249" t="str">
        <f t="shared" si="609"/>
        <v>7B</v>
      </c>
      <c r="F3249" t="str">
        <f t="shared" si="610"/>
        <v>001</v>
      </c>
      <c r="G3249">
        <v>9</v>
      </c>
      <c r="H3249" t="str">
        <f t="shared" si="611"/>
        <v>99</v>
      </c>
      <c r="I3249" t="str">
        <f t="shared" si="605"/>
        <v>0</v>
      </c>
      <c r="J3249" t="str">
        <f t="shared" si="612"/>
        <v>32</v>
      </c>
      <c r="K3249">
        <v>20181102</v>
      </c>
      <c r="L3249" t="str">
        <f t="shared" si="606"/>
        <v>074474</v>
      </c>
      <c r="M3249" t="str">
        <f t="shared" si="607"/>
        <v>30744</v>
      </c>
      <c r="N3249" t="s">
        <v>422</v>
      </c>
      <c r="O3249">
        <v>46.16</v>
      </c>
      <c r="P3249">
        <v>20181031</v>
      </c>
      <c r="Q3249" t="s">
        <v>1658</v>
      </c>
      <c r="R3249" t="s">
        <v>1695</v>
      </c>
      <c r="S3249" t="s">
        <v>1615</v>
      </c>
      <c r="T3249" t="s">
        <v>301</v>
      </c>
    </row>
    <row r="3250" spans="1:20" x14ac:dyDescent="0.25">
      <c r="A3250">
        <v>9</v>
      </c>
      <c r="B3250">
        <v>199</v>
      </c>
      <c r="C3250" t="str">
        <f t="shared" si="608"/>
        <v>36</v>
      </c>
      <c r="D3250">
        <v>6412</v>
      </c>
      <c r="E3250" t="str">
        <f t="shared" si="609"/>
        <v>7B</v>
      </c>
      <c r="F3250" t="str">
        <f t="shared" si="610"/>
        <v>001</v>
      </c>
      <c r="G3250">
        <v>9</v>
      </c>
      <c r="H3250" t="str">
        <f t="shared" si="611"/>
        <v>99</v>
      </c>
      <c r="I3250" t="str">
        <f t="shared" si="605"/>
        <v>0</v>
      </c>
      <c r="J3250" t="str">
        <f t="shared" si="612"/>
        <v>32</v>
      </c>
      <c r="K3250">
        <v>20181102</v>
      </c>
      <c r="L3250" t="str">
        <f t="shared" si="606"/>
        <v>074474</v>
      </c>
      <c r="M3250" t="str">
        <f t="shared" si="607"/>
        <v>30744</v>
      </c>
      <c r="N3250" t="s">
        <v>422</v>
      </c>
      <c r="O3250">
        <v>33.85</v>
      </c>
      <c r="P3250">
        <v>20181031</v>
      </c>
      <c r="Q3250" t="s">
        <v>1658</v>
      </c>
      <c r="R3250" t="s">
        <v>1695</v>
      </c>
      <c r="S3250" t="s">
        <v>1615</v>
      </c>
      <c r="T3250" t="s">
        <v>301</v>
      </c>
    </row>
    <row r="3251" spans="1:20" x14ac:dyDescent="0.25">
      <c r="A3251">
        <v>9</v>
      </c>
      <c r="B3251">
        <v>199</v>
      </c>
      <c r="C3251" t="str">
        <f t="shared" si="608"/>
        <v>36</v>
      </c>
      <c r="D3251">
        <v>6412</v>
      </c>
      <c r="E3251" t="str">
        <f t="shared" si="609"/>
        <v>7B</v>
      </c>
      <c r="F3251" t="str">
        <f t="shared" si="610"/>
        <v>001</v>
      </c>
      <c r="G3251">
        <v>9</v>
      </c>
      <c r="H3251" t="str">
        <f t="shared" si="611"/>
        <v>99</v>
      </c>
      <c r="I3251" t="str">
        <f t="shared" si="605"/>
        <v>0</v>
      </c>
      <c r="J3251" t="str">
        <f t="shared" si="612"/>
        <v>32</v>
      </c>
      <c r="K3251">
        <v>20181102</v>
      </c>
      <c r="L3251" t="str">
        <f t="shared" si="606"/>
        <v>074474</v>
      </c>
      <c r="M3251" t="str">
        <f t="shared" si="607"/>
        <v>30744</v>
      </c>
      <c r="N3251" t="s">
        <v>422</v>
      </c>
      <c r="O3251">
        <v>54.12</v>
      </c>
      <c r="P3251">
        <v>20181031</v>
      </c>
      <c r="Q3251" t="s">
        <v>1658</v>
      </c>
      <c r="R3251" t="s">
        <v>1851</v>
      </c>
      <c r="S3251" t="s">
        <v>1615</v>
      </c>
      <c r="T3251" t="s">
        <v>301</v>
      </c>
    </row>
    <row r="3252" spans="1:20" x14ac:dyDescent="0.25">
      <c r="A3252">
        <v>9</v>
      </c>
      <c r="B3252">
        <v>199</v>
      </c>
      <c r="C3252" t="str">
        <f t="shared" si="608"/>
        <v>36</v>
      </c>
      <c r="D3252">
        <v>6412</v>
      </c>
      <c r="E3252" t="str">
        <f t="shared" si="609"/>
        <v>7B</v>
      </c>
      <c r="F3252" t="str">
        <f t="shared" si="610"/>
        <v>001</v>
      </c>
      <c r="G3252">
        <v>9</v>
      </c>
      <c r="H3252" t="str">
        <f t="shared" si="611"/>
        <v>99</v>
      </c>
      <c r="I3252" t="str">
        <f t="shared" si="605"/>
        <v>0</v>
      </c>
      <c r="J3252" t="str">
        <f t="shared" si="612"/>
        <v>32</v>
      </c>
      <c r="K3252">
        <v>20181102</v>
      </c>
      <c r="L3252" t="str">
        <f t="shared" si="606"/>
        <v>074474</v>
      </c>
      <c r="M3252" t="str">
        <f t="shared" si="607"/>
        <v>30744</v>
      </c>
      <c r="N3252" t="s">
        <v>422</v>
      </c>
      <c r="O3252">
        <v>97.93</v>
      </c>
      <c r="P3252">
        <v>20181031</v>
      </c>
      <c r="Q3252" t="s">
        <v>1658</v>
      </c>
      <c r="R3252" t="s">
        <v>1851</v>
      </c>
      <c r="S3252" t="s">
        <v>1615</v>
      </c>
      <c r="T3252" t="s">
        <v>301</v>
      </c>
    </row>
    <row r="3253" spans="1:20" x14ac:dyDescent="0.25">
      <c r="A3253">
        <v>9</v>
      </c>
      <c r="B3253">
        <v>199</v>
      </c>
      <c r="C3253" t="str">
        <f t="shared" si="608"/>
        <v>36</v>
      </c>
      <c r="D3253">
        <v>6412</v>
      </c>
      <c r="E3253" t="str">
        <f>"7C"</f>
        <v>7C</v>
      </c>
      <c r="F3253" t="str">
        <f t="shared" si="610"/>
        <v>001</v>
      </c>
      <c r="G3253">
        <v>9</v>
      </c>
      <c r="H3253" t="str">
        <f t="shared" si="611"/>
        <v>99</v>
      </c>
      <c r="I3253" t="str">
        <f t="shared" si="605"/>
        <v>0</v>
      </c>
      <c r="J3253" t="str">
        <f>"01"</f>
        <v>01</v>
      </c>
      <c r="K3253">
        <v>20181102</v>
      </c>
      <c r="L3253" t="str">
        <f t="shared" si="606"/>
        <v>074474</v>
      </c>
      <c r="M3253" t="str">
        <f t="shared" si="607"/>
        <v>30744</v>
      </c>
      <c r="N3253" t="s">
        <v>422</v>
      </c>
      <c r="O3253">
        <v>18.32</v>
      </c>
      <c r="P3253">
        <v>20181031</v>
      </c>
      <c r="Q3253" t="s">
        <v>1734</v>
      </c>
      <c r="R3253" t="s">
        <v>1944</v>
      </c>
      <c r="S3253" t="s">
        <v>1615</v>
      </c>
      <c r="T3253" t="s">
        <v>301</v>
      </c>
    </row>
    <row r="3254" spans="1:20" x14ac:dyDescent="0.25">
      <c r="A3254">
        <v>9</v>
      </c>
      <c r="B3254">
        <v>199</v>
      </c>
      <c r="C3254" t="str">
        <f t="shared" si="608"/>
        <v>36</v>
      </c>
      <c r="D3254">
        <v>6412</v>
      </c>
      <c r="E3254" t="str">
        <f>"7C"</f>
        <v>7C</v>
      </c>
      <c r="F3254" t="str">
        <f t="shared" si="610"/>
        <v>001</v>
      </c>
      <c r="G3254">
        <v>9</v>
      </c>
      <c r="H3254" t="str">
        <f t="shared" si="611"/>
        <v>99</v>
      </c>
      <c r="I3254" t="str">
        <f t="shared" si="605"/>
        <v>0</v>
      </c>
      <c r="J3254" t="str">
        <f>"01"</f>
        <v>01</v>
      </c>
      <c r="K3254">
        <v>20181102</v>
      </c>
      <c r="L3254" t="str">
        <f t="shared" si="606"/>
        <v>074474</v>
      </c>
      <c r="M3254" t="str">
        <f t="shared" si="607"/>
        <v>30744</v>
      </c>
      <c r="N3254" t="s">
        <v>422</v>
      </c>
      <c r="O3254">
        <v>19.03</v>
      </c>
      <c r="P3254">
        <v>20181031</v>
      </c>
      <c r="Q3254" t="s">
        <v>1734</v>
      </c>
      <c r="R3254" t="s">
        <v>1944</v>
      </c>
      <c r="S3254" t="s">
        <v>1615</v>
      </c>
      <c r="T3254" t="s">
        <v>301</v>
      </c>
    </row>
    <row r="3255" spans="1:20" x14ac:dyDescent="0.25">
      <c r="A3255">
        <v>9</v>
      </c>
      <c r="B3255">
        <v>199</v>
      </c>
      <c r="C3255" t="str">
        <f>"11"</f>
        <v>11</v>
      </c>
      <c r="D3255">
        <v>6299</v>
      </c>
      <c r="E3255" t="str">
        <f>"7K"</f>
        <v>7K</v>
      </c>
      <c r="F3255" t="str">
        <f t="shared" si="610"/>
        <v>001</v>
      </c>
      <c r="G3255">
        <v>9</v>
      </c>
      <c r="H3255" t="str">
        <f>"11"</f>
        <v>11</v>
      </c>
      <c r="I3255" t="str">
        <f t="shared" si="605"/>
        <v>0</v>
      </c>
      <c r="J3255" t="str">
        <f>"01"</f>
        <v>01</v>
      </c>
      <c r="K3255">
        <v>20181102</v>
      </c>
      <c r="L3255" t="str">
        <f>"074477"</f>
        <v>074477</v>
      </c>
      <c r="M3255" t="str">
        <f>"37260"</f>
        <v>37260</v>
      </c>
      <c r="N3255" t="s">
        <v>1890</v>
      </c>
      <c r="O3255">
        <v>200</v>
      </c>
      <c r="P3255">
        <v>20181031</v>
      </c>
      <c r="Q3255" t="s">
        <v>2470</v>
      </c>
      <c r="R3255" t="s">
        <v>2251</v>
      </c>
      <c r="S3255" t="s">
        <v>1615</v>
      </c>
      <c r="T3255" t="s">
        <v>301</v>
      </c>
    </row>
    <row r="3256" spans="1:20" x14ac:dyDescent="0.25">
      <c r="A3256">
        <v>9</v>
      </c>
      <c r="B3256">
        <v>199</v>
      </c>
      <c r="C3256" t="str">
        <f>"36"</f>
        <v>36</v>
      </c>
      <c r="D3256">
        <v>6411</v>
      </c>
      <c r="E3256" t="str">
        <f>"8M"</f>
        <v>8M</v>
      </c>
      <c r="F3256" t="str">
        <f t="shared" si="610"/>
        <v>001</v>
      </c>
      <c r="G3256">
        <v>9</v>
      </c>
      <c r="H3256" t="str">
        <f>"99"</f>
        <v>99</v>
      </c>
      <c r="I3256" t="str">
        <f>"1"</f>
        <v>1</v>
      </c>
      <c r="J3256" t="str">
        <f>"33"</f>
        <v>33</v>
      </c>
      <c r="K3256">
        <v>20181102</v>
      </c>
      <c r="L3256" t="str">
        <f>"074479"</f>
        <v>074479</v>
      </c>
      <c r="M3256" t="str">
        <f>"37805"</f>
        <v>37805</v>
      </c>
      <c r="N3256" t="s">
        <v>1627</v>
      </c>
      <c r="O3256">
        <v>16.66</v>
      </c>
      <c r="P3256">
        <v>20181031</v>
      </c>
      <c r="Q3256" t="s">
        <v>1628</v>
      </c>
      <c r="R3256" t="s">
        <v>1681</v>
      </c>
      <c r="S3256" t="s">
        <v>1615</v>
      </c>
      <c r="T3256" t="s">
        <v>301</v>
      </c>
    </row>
    <row r="3257" spans="1:20" x14ac:dyDescent="0.25">
      <c r="A3257">
        <v>9</v>
      </c>
      <c r="B3257">
        <v>199</v>
      </c>
      <c r="C3257" t="str">
        <f>"36"</f>
        <v>36</v>
      </c>
      <c r="D3257">
        <v>6412</v>
      </c>
      <c r="E3257" t="str">
        <f>"8M"</f>
        <v>8M</v>
      </c>
      <c r="F3257" t="str">
        <f t="shared" si="610"/>
        <v>001</v>
      </c>
      <c r="G3257">
        <v>9</v>
      </c>
      <c r="H3257" t="str">
        <f>"99"</f>
        <v>99</v>
      </c>
      <c r="I3257" t="str">
        <f>"1"</f>
        <v>1</v>
      </c>
      <c r="J3257" t="str">
        <f>"33"</f>
        <v>33</v>
      </c>
      <c r="K3257">
        <v>20181102</v>
      </c>
      <c r="L3257" t="str">
        <f>"074479"</f>
        <v>074479</v>
      </c>
      <c r="M3257" t="str">
        <f>"37805"</f>
        <v>37805</v>
      </c>
      <c r="N3257" t="s">
        <v>1627</v>
      </c>
      <c r="O3257">
        <v>100</v>
      </c>
      <c r="P3257">
        <v>20181031</v>
      </c>
      <c r="Q3257" t="s">
        <v>1629</v>
      </c>
      <c r="R3257" t="s">
        <v>1681</v>
      </c>
      <c r="S3257" t="s">
        <v>1615</v>
      </c>
      <c r="T3257" t="s">
        <v>301</v>
      </c>
    </row>
    <row r="3258" spans="1:20" x14ac:dyDescent="0.25">
      <c r="A3258">
        <v>9</v>
      </c>
      <c r="B3258">
        <v>199</v>
      </c>
      <c r="C3258" t="str">
        <f>"11"</f>
        <v>11</v>
      </c>
      <c r="D3258">
        <v>6299</v>
      </c>
      <c r="E3258" t="str">
        <f>"7K"</f>
        <v>7K</v>
      </c>
      <c r="F3258" t="str">
        <f t="shared" si="610"/>
        <v>001</v>
      </c>
      <c r="G3258">
        <v>9</v>
      </c>
      <c r="H3258" t="str">
        <f>"11"</f>
        <v>11</v>
      </c>
      <c r="I3258" t="str">
        <f>"0"</f>
        <v>0</v>
      </c>
      <c r="J3258" t="str">
        <f>"01"</f>
        <v>01</v>
      </c>
      <c r="K3258">
        <v>20181102</v>
      </c>
      <c r="L3258" t="str">
        <f>"074480"</f>
        <v>074480</v>
      </c>
      <c r="M3258" t="str">
        <f>"00581"</f>
        <v>00581</v>
      </c>
      <c r="N3258" t="s">
        <v>2494</v>
      </c>
      <c r="O3258">
        <v>700</v>
      </c>
      <c r="P3258">
        <v>20181031</v>
      </c>
      <c r="Q3258" t="s">
        <v>2470</v>
      </c>
      <c r="R3258" t="s">
        <v>2251</v>
      </c>
      <c r="S3258" t="s">
        <v>1615</v>
      </c>
      <c r="T3258" t="s">
        <v>301</v>
      </c>
    </row>
    <row r="3259" spans="1:20" x14ac:dyDescent="0.25">
      <c r="A3259">
        <v>9</v>
      </c>
      <c r="B3259">
        <v>199</v>
      </c>
      <c r="C3259" t="str">
        <f>"34"</f>
        <v>34</v>
      </c>
      <c r="D3259">
        <v>6495</v>
      </c>
      <c r="E3259" t="str">
        <f>"10"</f>
        <v>10</v>
      </c>
      <c r="F3259" t="str">
        <f>"937"</f>
        <v>937</v>
      </c>
      <c r="G3259">
        <v>9</v>
      </c>
      <c r="H3259" t="str">
        <f t="shared" ref="H3259:H3266" si="613">"99"</f>
        <v>99</v>
      </c>
      <c r="I3259" t="str">
        <f>"0"</f>
        <v>0</v>
      </c>
      <c r="J3259" t="str">
        <f>"82"</f>
        <v>82</v>
      </c>
      <c r="K3259">
        <v>20181102</v>
      </c>
      <c r="L3259" t="str">
        <f>"074481"</f>
        <v>074481</v>
      </c>
      <c r="M3259" t="str">
        <f>"39425"</f>
        <v>39425</v>
      </c>
      <c r="N3259" t="s">
        <v>2495</v>
      </c>
      <c r="O3259">
        <v>60</v>
      </c>
      <c r="P3259">
        <v>20181031</v>
      </c>
      <c r="Q3259" t="s">
        <v>2496</v>
      </c>
      <c r="R3259" t="s">
        <v>2497</v>
      </c>
      <c r="S3259" t="s">
        <v>1615</v>
      </c>
      <c r="T3259" t="s">
        <v>1810</v>
      </c>
    </row>
    <row r="3260" spans="1:20" x14ac:dyDescent="0.25">
      <c r="A3260">
        <v>9</v>
      </c>
      <c r="B3260">
        <v>199</v>
      </c>
      <c r="C3260" t="str">
        <f>"36"</f>
        <v>36</v>
      </c>
      <c r="D3260">
        <v>6399</v>
      </c>
      <c r="E3260" t="str">
        <f>"HC"</f>
        <v>HC</v>
      </c>
      <c r="F3260" t="str">
        <f>"001"</f>
        <v>001</v>
      </c>
      <c r="G3260">
        <v>9</v>
      </c>
      <c r="H3260" t="str">
        <f t="shared" si="613"/>
        <v>99</v>
      </c>
      <c r="I3260" t="str">
        <f>"0"</f>
        <v>0</v>
      </c>
      <c r="J3260" t="str">
        <f>"01"</f>
        <v>01</v>
      </c>
      <c r="K3260">
        <v>20181102</v>
      </c>
      <c r="L3260" t="str">
        <f>"074482"</f>
        <v>074482</v>
      </c>
      <c r="M3260" t="str">
        <f>"39531"</f>
        <v>39531</v>
      </c>
      <c r="N3260" t="s">
        <v>2498</v>
      </c>
      <c r="O3260">
        <v>136.80000000000001</v>
      </c>
      <c r="P3260">
        <v>20181031</v>
      </c>
      <c r="Q3260" t="s">
        <v>1770</v>
      </c>
      <c r="R3260" t="s">
        <v>1771</v>
      </c>
      <c r="S3260" t="s">
        <v>1615</v>
      </c>
      <c r="T3260" t="s">
        <v>301</v>
      </c>
    </row>
    <row r="3261" spans="1:20" x14ac:dyDescent="0.25">
      <c r="A3261">
        <v>9</v>
      </c>
      <c r="B3261">
        <v>199</v>
      </c>
      <c r="C3261" t="str">
        <f>"51"</f>
        <v>51</v>
      </c>
      <c r="D3261">
        <v>6254</v>
      </c>
      <c r="E3261" t="str">
        <f>"ME"</f>
        <v>ME</v>
      </c>
      <c r="F3261" t="str">
        <f>"936"</f>
        <v>936</v>
      </c>
      <c r="G3261">
        <v>9</v>
      </c>
      <c r="H3261" t="str">
        <f t="shared" si="613"/>
        <v>99</v>
      </c>
      <c r="I3261" t="str">
        <f>"1"</f>
        <v>1</v>
      </c>
      <c r="J3261" t="str">
        <f>"73"</f>
        <v>73</v>
      </c>
      <c r="K3261">
        <v>20181102</v>
      </c>
      <c r="L3261" t="str">
        <f>"074484"</f>
        <v>074484</v>
      </c>
      <c r="M3261" t="str">
        <f>"42194"</f>
        <v>42194</v>
      </c>
      <c r="N3261" t="s">
        <v>1736</v>
      </c>
      <c r="O3261" s="1">
        <v>1124.18</v>
      </c>
      <c r="P3261">
        <v>20181031</v>
      </c>
      <c r="Q3261" t="s">
        <v>1891</v>
      </c>
      <c r="R3261" t="s">
        <v>2499</v>
      </c>
      <c r="S3261" t="s">
        <v>1615</v>
      </c>
      <c r="T3261" t="s">
        <v>1713</v>
      </c>
    </row>
    <row r="3262" spans="1:20" x14ac:dyDescent="0.25">
      <c r="A3262">
        <v>9</v>
      </c>
      <c r="B3262">
        <v>199</v>
      </c>
      <c r="C3262" t="str">
        <f>"52"</f>
        <v>52</v>
      </c>
      <c r="D3262">
        <v>6299</v>
      </c>
      <c r="E3262" t="str">
        <f>"10"</f>
        <v>10</v>
      </c>
      <c r="F3262" t="str">
        <f>"001"</f>
        <v>001</v>
      </c>
      <c r="G3262">
        <v>9</v>
      </c>
      <c r="H3262" t="str">
        <f t="shared" si="613"/>
        <v>99</v>
      </c>
      <c r="I3262" t="str">
        <f t="shared" ref="I3262:I3270" si="614">"0"</f>
        <v>0</v>
      </c>
      <c r="J3262" t="str">
        <f>"87"</f>
        <v>87</v>
      </c>
      <c r="K3262">
        <v>20181102</v>
      </c>
      <c r="L3262" t="str">
        <f>"074485"</f>
        <v>074485</v>
      </c>
      <c r="M3262" t="str">
        <f>"44450"</f>
        <v>44450</v>
      </c>
      <c r="N3262" t="s">
        <v>2500</v>
      </c>
      <c r="O3262">
        <v>225</v>
      </c>
      <c r="P3262">
        <v>20181031</v>
      </c>
      <c r="Q3262" t="s">
        <v>2501</v>
      </c>
      <c r="R3262" t="s">
        <v>2502</v>
      </c>
      <c r="S3262" t="s">
        <v>1615</v>
      </c>
      <c r="T3262" t="s">
        <v>301</v>
      </c>
    </row>
    <row r="3263" spans="1:20" x14ac:dyDescent="0.25">
      <c r="A3263">
        <v>9</v>
      </c>
      <c r="B3263">
        <v>199</v>
      </c>
      <c r="C3263" t="str">
        <f>"52"</f>
        <v>52</v>
      </c>
      <c r="D3263">
        <v>6299</v>
      </c>
      <c r="E3263" t="str">
        <f>"10"</f>
        <v>10</v>
      </c>
      <c r="F3263" t="str">
        <f>"002"</f>
        <v>002</v>
      </c>
      <c r="G3263">
        <v>9</v>
      </c>
      <c r="H3263" t="str">
        <f t="shared" si="613"/>
        <v>99</v>
      </c>
      <c r="I3263" t="str">
        <f t="shared" si="614"/>
        <v>0</v>
      </c>
      <c r="J3263" t="str">
        <f>"87"</f>
        <v>87</v>
      </c>
      <c r="K3263">
        <v>20181102</v>
      </c>
      <c r="L3263" t="str">
        <f>"074485"</f>
        <v>074485</v>
      </c>
      <c r="M3263" t="str">
        <f>"44450"</f>
        <v>44450</v>
      </c>
      <c r="N3263" t="s">
        <v>2500</v>
      </c>
      <c r="O3263">
        <v>150</v>
      </c>
      <c r="P3263">
        <v>20181031</v>
      </c>
      <c r="Q3263" t="s">
        <v>2503</v>
      </c>
      <c r="R3263" t="s">
        <v>2504</v>
      </c>
      <c r="S3263" t="s">
        <v>1615</v>
      </c>
      <c r="T3263" t="s">
        <v>1485</v>
      </c>
    </row>
    <row r="3264" spans="1:20" x14ac:dyDescent="0.25">
      <c r="A3264">
        <v>9</v>
      </c>
      <c r="B3264">
        <v>199</v>
      </c>
      <c r="C3264" t="str">
        <f>"52"</f>
        <v>52</v>
      </c>
      <c r="D3264">
        <v>6299</v>
      </c>
      <c r="E3264" t="str">
        <f>"10"</f>
        <v>10</v>
      </c>
      <c r="F3264" t="str">
        <f>"041"</f>
        <v>041</v>
      </c>
      <c r="G3264">
        <v>9</v>
      </c>
      <c r="H3264" t="str">
        <f t="shared" si="613"/>
        <v>99</v>
      </c>
      <c r="I3264" t="str">
        <f t="shared" si="614"/>
        <v>0</v>
      </c>
      <c r="J3264" t="str">
        <f>"87"</f>
        <v>87</v>
      </c>
      <c r="K3264">
        <v>20181102</v>
      </c>
      <c r="L3264" t="str">
        <f>"074485"</f>
        <v>074485</v>
      </c>
      <c r="M3264" t="str">
        <f>"44450"</f>
        <v>44450</v>
      </c>
      <c r="N3264" t="s">
        <v>2500</v>
      </c>
      <c r="O3264">
        <v>300</v>
      </c>
      <c r="P3264">
        <v>20181031</v>
      </c>
      <c r="Q3264" t="s">
        <v>2505</v>
      </c>
      <c r="R3264" t="s">
        <v>2506</v>
      </c>
      <c r="S3264" t="s">
        <v>1615</v>
      </c>
      <c r="T3264" t="s">
        <v>106</v>
      </c>
    </row>
    <row r="3265" spans="1:20" x14ac:dyDescent="0.25">
      <c r="A3265">
        <v>9</v>
      </c>
      <c r="B3265">
        <v>199</v>
      </c>
      <c r="C3265" t="str">
        <f>"23"</f>
        <v>23</v>
      </c>
      <c r="D3265">
        <v>6498</v>
      </c>
      <c r="E3265" t="str">
        <f>"10"</f>
        <v>10</v>
      </c>
      <c r="F3265" t="str">
        <f>"001"</f>
        <v>001</v>
      </c>
      <c r="G3265">
        <v>9</v>
      </c>
      <c r="H3265" t="str">
        <f t="shared" si="613"/>
        <v>99</v>
      </c>
      <c r="I3265" t="str">
        <f t="shared" si="614"/>
        <v>0</v>
      </c>
      <c r="J3265" t="str">
        <f>"01"</f>
        <v>01</v>
      </c>
      <c r="K3265">
        <v>20181102</v>
      </c>
      <c r="L3265" t="str">
        <f>"074486"</f>
        <v>074486</v>
      </c>
      <c r="M3265" t="str">
        <f>"45093"</f>
        <v>45093</v>
      </c>
      <c r="N3265" t="s">
        <v>885</v>
      </c>
      <c r="O3265">
        <v>125</v>
      </c>
      <c r="P3265">
        <v>20181031</v>
      </c>
      <c r="Q3265" t="s">
        <v>2108</v>
      </c>
      <c r="R3265" t="s">
        <v>2507</v>
      </c>
      <c r="S3265" t="s">
        <v>1615</v>
      </c>
      <c r="T3265" t="s">
        <v>301</v>
      </c>
    </row>
    <row r="3266" spans="1:20" x14ac:dyDescent="0.25">
      <c r="A3266">
        <v>9</v>
      </c>
      <c r="B3266">
        <v>199</v>
      </c>
      <c r="C3266" t="str">
        <f>"36"</f>
        <v>36</v>
      </c>
      <c r="D3266">
        <v>6412</v>
      </c>
      <c r="E3266" t="str">
        <f>"H2"</f>
        <v>H2</v>
      </c>
      <c r="F3266" t="str">
        <f>"001"</f>
        <v>001</v>
      </c>
      <c r="G3266">
        <v>9</v>
      </c>
      <c r="H3266" t="str">
        <f t="shared" si="613"/>
        <v>99</v>
      </c>
      <c r="I3266" t="str">
        <f t="shared" si="614"/>
        <v>0</v>
      </c>
      <c r="J3266" t="str">
        <f>"37"</f>
        <v>37</v>
      </c>
      <c r="K3266">
        <v>20181102</v>
      </c>
      <c r="L3266" t="str">
        <f>"074486"</f>
        <v>074486</v>
      </c>
      <c r="M3266" t="str">
        <f>"45093"</f>
        <v>45093</v>
      </c>
      <c r="N3266" t="s">
        <v>885</v>
      </c>
      <c r="O3266">
        <v>261.37</v>
      </c>
      <c r="P3266">
        <v>20181031</v>
      </c>
      <c r="Q3266" t="s">
        <v>1704</v>
      </c>
      <c r="R3266" t="s">
        <v>2076</v>
      </c>
      <c r="S3266" t="s">
        <v>1615</v>
      </c>
      <c r="T3266" t="s">
        <v>301</v>
      </c>
    </row>
    <row r="3267" spans="1:20" x14ac:dyDescent="0.25">
      <c r="A3267">
        <v>9</v>
      </c>
      <c r="B3267">
        <v>199</v>
      </c>
      <c r="C3267" t="str">
        <f>"11"</f>
        <v>11</v>
      </c>
      <c r="D3267">
        <v>6499</v>
      </c>
      <c r="E3267" t="str">
        <f>"13"</f>
        <v>13</v>
      </c>
      <c r="F3267" t="str">
        <f>"041"</f>
        <v>041</v>
      </c>
      <c r="G3267">
        <v>9</v>
      </c>
      <c r="H3267" t="str">
        <f>"11"</f>
        <v>11</v>
      </c>
      <c r="I3267" t="str">
        <f t="shared" si="614"/>
        <v>0</v>
      </c>
      <c r="J3267" t="str">
        <f>"03"</f>
        <v>03</v>
      </c>
      <c r="K3267">
        <v>20181102</v>
      </c>
      <c r="L3267" t="str">
        <f>"074487"</f>
        <v>074487</v>
      </c>
      <c r="M3267" t="str">
        <f>"40781"</f>
        <v>40781</v>
      </c>
      <c r="N3267" t="s">
        <v>1738</v>
      </c>
      <c r="O3267">
        <v>339.15</v>
      </c>
      <c r="P3267">
        <v>20181031</v>
      </c>
      <c r="Q3267" t="s">
        <v>1739</v>
      </c>
      <c r="R3267" t="s">
        <v>2508</v>
      </c>
      <c r="S3267" t="s">
        <v>1615</v>
      </c>
      <c r="T3267" t="s">
        <v>106</v>
      </c>
    </row>
    <row r="3268" spans="1:20" x14ac:dyDescent="0.25">
      <c r="A3268">
        <v>9</v>
      </c>
      <c r="B3268">
        <v>199</v>
      </c>
      <c r="C3268" t="str">
        <f>"11"</f>
        <v>11</v>
      </c>
      <c r="D3268">
        <v>6329</v>
      </c>
      <c r="E3268" t="str">
        <f>"V8"</f>
        <v>V8</v>
      </c>
      <c r="F3268" t="str">
        <f>"001"</f>
        <v>001</v>
      </c>
      <c r="G3268">
        <v>9</v>
      </c>
      <c r="H3268" t="str">
        <f>"22"</f>
        <v>22</v>
      </c>
      <c r="I3268" t="str">
        <f t="shared" si="614"/>
        <v>0</v>
      </c>
      <c r="J3268" t="str">
        <f>"22"</f>
        <v>22</v>
      </c>
      <c r="K3268">
        <v>20181102</v>
      </c>
      <c r="L3268" t="str">
        <f>"074488"</f>
        <v>074488</v>
      </c>
      <c r="M3268" t="str">
        <f>"45710"</f>
        <v>45710</v>
      </c>
      <c r="N3268" t="s">
        <v>2509</v>
      </c>
      <c r="O3268">
        <v>660</v>
      </c>
      <c r="P3268">
        <v>20181031</v>
      </c>
      <c r="Q3268" t="s">
        <v>2510</v>
      </c>
      <c r="R3268" t="s">
        <v>2511</v>
      </c>
      <c r="S3268" t="s">
        <v>1615</v>
      </c>
      <c r="T3268" t="s">
        <v>301</v>
      </c>
    </row>
    <row r="3269" spans="1:20" x14ac:dyDescent="0.25">
      <c r="A3269">
        <v>9</v>
      </c>
      <c r="B3269">
        <v>199</v>
      </c>
      <c r="C3269" t="str">
        <f>"11"</f>
        <v>11</v>
      </c>
      <c r="D3269">
        <v>6399</v>
      </c>
      <c r="E3269" t="str">
        <f>"V8"</f>
        <v>V8</v>
      </c>
      <c r="F3269" t="str">
        <f>"001"</f>
        <v>001</v>
      </c>
      <c r="G3269">
        <v>9</v>
      </c>
      <c r="H3269" t="str">
        <f>"22"</f>
        <v>22</v>
      </c>
      <c r="I3269" t="str">
        <f t="shared" si="614"/>
        <v>0</v>
      </c>
      <c r="J3269" t="str">
        <f>"22"</f>
        <v>22</v>
      </c>
      <c r="K3269">
        <v>20181102</v>
      </c>
      <c r="L3269" t="str">
        <f>"074488"</f>
        <v>074488</v>
      </c>
      <c r="M3269" t="str">
        <f>"45710"</f>
        <v>45710</v>
      </c>
      <c r="N3269" t="s">
        <v>2509</v>
      </c>
      <c r="O3269" s="1">
        <v>3500</v>
      </c>
      <c r="P3269">
        <v>20181031</v>
      </c>
      <c r="Q3269" t="s">
        <v>2001</v>
      </c>
      <c r="R3269" t="s">
        <v>2512</v>
      </c>
      <c r="S3269" t="s">
        <v>1615</v>
      </c>
      <c r="T3269" t="s">
        <v>301</v>
      </c>
    </row>
    <row r="3270" spans="1:20" x14ac:dyDescent="0.25">
      <c r="A3270">
        <v>9</v>
      </c>
      <c r="B3270">
        <v>199</v>
      </c>
      <c r="C3270" t="str">
        <f>"36"</f>
        <v>36</v>
      </c>
      <c r="D3270">
        <v>6411</v>
      </c>
      <c r="E3270" t="str">
        <f>"09"</f>
        <v>09</v>
      </c>
      <c r="F3270" t="str">
        <f>"001"</f>
        <v>001</v>
      </c>
      <c r="G3270">
        <v>9</v>
      </c>
      <c r="H3270" t="str">
        <f>"99"</f>
        <v>99</v>
      </c>
      <c r="I3270" t="str">
        <f t="shared" si="614"/>
        <v>0</v>
      </c>
      <c r="J3270" t="str">
        <f>"01"</f>
        <v>01</v>
      </c>
      <c r="K3270">
        <v>20181102</v>
      </c>
      <c r="L3270" t="str">
        <f>"074489"</f>
        <v>074489</v>
      </c>
      <c r="M3270" t="str">
        <f>"46348"</f>
        <v>46348</v>
      </c>
      <c r="N3270" t="s">
        <v>1631</v>
      </c>
      <c r="O3270">
        <v>16</v>
      </c>
      <c r="P3270">
        <v>20181031</v>
      </c>
      <c r="Q3270" t="s">
        <v>2513</v>
      </c>
      <c r="R3270" t="s">
        <v>2428</v>
      </c>
      <c r="S3270" t="s">
        <v>1615</v>
      </c>
      <c r="T3270" t="s">
        <v>301</v>
      </c>
    </row>
    <row r="3271" spans="1:20" x14ac:dyDescent="0.25">
      <c r="A3271">
        <v>9</v>
      </c>
      <c r="B3271">
        <v>199</v>
      </c>
      <c r="C3271" t="str">
        <f>"36"</f>
        <v>36</v>
      </c>
      <c r="D3271">
        <v>6412</v>
      </c>
      <c r="E3271" t="str">
        <f>"09"</f>
        <v>09</v>
      </c>
      <c r="F3271" t="str">
        <f>"001"</f>
        <v>001</v>
      </c>
      <c r="G3271">
        <v>9</v>
      </c>
      <c r="H3271" t="str">
        <f>"99"</f>
        <v>99</v>
      </c>
      <c r="I3271" t="str">
        <f>"1"</f>
        <v>1</v>
      </c>
      <c r="J3271" t="str">
        <f>"01"</f>
        <v>01</v>
      </c>
      <c r="K3271">
        <v>20181102</v>
      </c>
      <c r="L3271" t="str">
        <f>"074489"</f>
        <v>074489</v>
      </c>
      <c r="M3271" t="str">
        <f>"46348"</f>
        <v>46348</v>
      </c>
      <c r="N3271" t="s">
        <v>1631</v>
      </c>
      <c r="O3271">
        <v>60</v>
      </c>
      <c r="P3271">
        <v>20181031</v>
      </c>
      <c r="Q3271" t="s">
        <v>2514</v>
      </c>
      <c r="R3271" t="s">
        <v>2428</v>
      </c>
      <c r="S3271" t="s">
        <v>1615</v>
      </c>
      <c r="T3271" t="s">
        <v>301</v>
      </c>
    </row>
    <row r="3272" spans="1:20" x14ac:dyDescent="0.25">
      <c r="A3272">
        <v>9</v>
      </c>
      <c r="B3272">
        <v>199</v>
      </c>
      <c r="C3272" t="str">
        <f>"00"</f>
        <v>00</v>
      </c>
      <c r="D3272">
        <v>1291</v>
      </c>
      <c r="E3272" t="str">
        <f>"05"</f>
        <v>05</v>
      </c>
      <c r="F3272" t="str">
        <f>"000"</f>
        <v>000</v>
      </c>
      <c r="G3272">
        <v>9</v>
      </c>
      <c r="H3272" t="str">
        <f>"00"</f>
        <v>00</v>
      </c>
      <c r="I3272" t="str">
        <f t="shared" ref="I3272:I3289" si="615">"0"</f>
        <v>0</v>
      </c>
      <c r="J3272" t="str">
        <f>"00"</f>
        <v>00</v>
      </c>
      <c r="K3272">
        <v>20181102</v>
      </c>
      <c r="L3272" t="str">
        <f>"074490"</f>
        <v>074490</v>
      </c>
      <c r="M3272" t="str">
        <f>"46398"</f>
        <v>46398</v>
      </c>
      <c r="N3272" t="s">
        <v>1636</v>
      </c>
      <c r="O3272">
        <v>208.3</v>
      </c>
      <c r="P3272">
        <v>20181031</v>
      </c>
      <c r="Q3272" t="s">
        <v>1637</v>
      </c>
      <c r="R3272" t="s">
        <v>2515</v>
      </c>
      <c r="S3272" t="s">
        <v>1615</v>
      </c>
      <c r="T3272" t="s">
        <v>296</v>
      </c>
    </row>
    <row r="3273" spans="1:20" x14ac:dyDescent="0.25">
      <c r="A3273">
        <v>9</v>
      </c>
      <c r="B3273">
        <v>199</v>
      </c>
      <c r="C3273" t="str">
        <f>"00"</f>
        <v>00</v>
      </c>
      <c r="D3273">
        <v>1291</v>
      </c>
      <c r="E3273" t="str">
        <f>"05"</f>
        <v>05</v>
      </c>
      <c r="F3273" t="str">
        <f>"000"</f>
        <v>000</v>
      </c>
      <c r="G3273">
        <v>9</v>
      </c>
      <c r="H3273" t="str">
        <f>"00"</f>
        <v>00</v>
      </c>
      <c r="I3273" t="str">
        <f t="shared" si="615"/>
        <v>0</v>
      </c>
      <c r="J3273" t="str">
        <f>"00"</f>
        <v>00</v>
      </c>
      <c r="K3273">
        <v>20181102</v>
      </c>
      <c r="L3273" t="str">
        <f>"074490"</f>
        <v>074490</v>
      </c>
      <c r="M3273" t="str">
        <f>"46398"</f>
        <v>46398</v>
      </c>
      <c r="N3273" t="s">
        <v>1636</v>
      </c>
      <c r="O3273" s="1">
        <v>11288.68</v>
      </c>
      <c r="P3273">
        <v>20181031</v>
      </c>
      <c r="Q3273" t="s">
        <v>1637</v>
      </c>
      <c r="R3273" t="s">
        <v>2515</v>
      </c>
      <c r="S3273" t="s">
        <v>1615</v>
      </c>
      <c r="T3273" t="s">
        <v>296</v>
      </c>
    </row>
    <row r="3274" spans="1:20" x14ac:dyDescent="0.25">
      <c r="A3274">
        <v>9</v>
      </c>
      <c r="B3274">
        <v>199</v>
      </c>
      <c r="C3274" t="str">
        <f>"41"</f>
        <v>41</v>
      </c>
      <c r="D3274">
        <v>6245</v>
      </c>
      <c r="E3274" t="str">
        <f>"10"</f>
        <v>10</v>
      </c>
      <c r="F3274" t="str">
        <f>"933"</f>
        <v>933</v>
      </c>
      <c r="G3274">
        <v>9</v>
      </c>
      <c r="H3274" t="str">
        <f>"99"</f>
        <v>99</v>
      </c>
      <c r="I3274" t="str">
        <f t="shared" si="615"/>
        <v>0</v>
      </c>
      <c r="J3274" t="str">
        <f>"85"</f>
        <v>85</v>
      </c>
      <c r="K3274">
        <v>20181102</v>
      </c>
      <c r="L3274" t="str">
        <f>"074490"</f>
        <v>074490</v>
      </c>
      <c r="M3274" t="str">
        <f>"46398"</f>
        <v>46398</v>
      </c>
      <c r="N3274" t="s">
        <v>1636</v>
      </c>
      <c r="O3274" s="1">
        <v>1026.9000000000001</v>
      </c>
      <c r="P3274">
        <v>20181031</v>
      </c>
      <c r="Q3274" t="s">
        <v>2516</v>
      </c>
      <c r="R3274" t="s">
        <v>2515</v>
      </c>
      <c r="S3274" t="s">
        <v>1615</v>
      </c>
      <c r="T3274" t="s">
        <v>1643</v>
      </c>
    </row>
    <row r="3275" spans="1:20" x14ac:dyDescent="0.25">
      <c r="A3275">
        <v>9</v>
      </c>
      <c r="B3275">
        <v>199</v>
      </c>
      <c r="C3275" t="str">
        <f>"00"</f>
        <v>00</v>
      </c>
      <c r="D3275">
        <v>1291</v>
      </c>
      <c r="E3275" t="str">
        <f>"05"</f>
        <v>05</v>
      </c>
      <c r="F3275" t="str">
        <f>"000"</f>
        <v>000</v>
      </c>
      <c r="G3275">
        <v>9</v>
      </c>
      <c r="H3275" t="str">
        <f>"00"</f>
        <v>00</v>
      </c>
      <c r="I3275" t="str">
        <f t="shared" si="615"/>
        <v>0</v>
      </c>
      <c r="J3275" t="str">
        <f>"00"</f>
        <v>00</v>
      </c>
      <c r="K3275">
        <v>20181102</v>
      </c>
      <c r="L3275" t="str">
        <f>"074491"</f>
        <v>074491</v>
      </c>
      <c r="M3275" t="str">
        <f>"46351"</f>
        <v>46351</v>
      </c>
      <c r="N3275" t="s">
        <v>1639</v>
      </c>
      <c r="O3275">
        <v>633.32000000000005</v>
      </c>
      <c r="P3275">
        <v>20181031</v>
      </c>
      <c r="Q3275" t="s">
        <v>1637</v>
      </c>
      <c r="R3275" t="s">
        <v>2517</v>
      </c>
      <c r="S3275" t="s">
        <v>1615</v>
      </c>
      <c r="T3275" t="s">
        <v>296</v>
      </c>
    </row>
    <row r="3276" spans="1:20" x14ac:dyDescent="0.25">
      <c r="A3276">
        <v>9</v>
      </c>
      <c r="B3276">
        <v>199</v>
      </c>
      <c r="C3276" t="str">
        <f>"51"</f>
        <v>51</v>
      </c>
      <c r="D3276">
        <v>6319</v>
      </c>
      <c r="E3276" t="str">
        <f>"MC"</f>
        <v>MC</v>
      </c>
      <c r="F3276" t="str">
        <f>"936"</f>
        <v>936</v>
      </c>
      <c r="G3276">
        <v>9</v>
      </c>
      <c r="H3276" t="str">
        <f>"99"</f>
        <v>99</v>
      </c>
      <c r="I3276" t="str">
        <f t="shared" si="615"/>
        <v>0</v>
      </c>
      <c r="J3276" t="str">
        <f>"81"</f>
        <v>81</v>
      </c>
      <c r="K3276">
        <v>20181102</v>
      </c>
      <c r="L3276" t="str">
        <f>"074492"</f>
        <v>074492</v>
      </c>
      <c r="M3276" t="str">
        <f>"47725"</f>
        <v>47725</v>
      </c>
      <c r="N3276" t="s">
        <v>2095</v>
      </c>
      <c r="O3276">
        <v>433</v>
      </c>
      <c r="P3276">
        <v>20181031</v>
      </c>
      <c r="Q3276" t="s">
        <v>2060</v>
      </c>
      <c r="R3276" t="s">
        <v>2518</v>
      </c>
      <c r="S3276" t="s">
        <v>1615</v>
      </c>
      <c r="T3276" t="s">
        <v>1713</v>
      </c>
    </row>
    <row r="3277" spans="1:20" x14ac:dyDescent="0.25">
      <c r="A3277">
        <v>9</v>
      </c>
      <c r="B3277">
        <v>199</v>
      </c>
      <c r="C3277" t="str">
        <f>"11"</f>
        <v>11</v>
      </c>
      <c r="D3277">
        <v>6249</v>
      </c>
      <c r="E3277" t="str">
        <f>"10"</f>
        <v>10</v>
      </c>
      <c r="F3277" t="str">
        <f>"041"</f>
        <v>041</v>
      </c>
      <c r="G3277">
        <v>9</v>
      </c>
      <c r="H3277" t="str">
        <f>"11"</f>
        <v>11</v>
      </c>
      <c r="I3277" t="str">
        <f t="shared" si="615"/>
        <v>0</v>
      </c>
      <c r="J3277" t="str">
        <f>"35"</f>
        <v>35</v>
      </c>
      <c r="K3277">
        <v>20181102</v>
      </c>
      <c r="L3277" t="str">
        <f>"074497"</f>
        <v>074497</v>
      </c>
      <c r="M3277" t="str">
        <f>"57662"</f>
        <v>57662</v>
      </c>
      <c r="N3277" t="s">
        <v>2519</v>
      </c>
      <c r="O3277">
        <v>86.7</v>
      </c>
      <c r="P3277">
        <v>20181031</v>
      </c>
      <c r="Q3277" t="s">
        <v>2520</v>
      </c>
      <c r="R3277" t="s">
        <v>2521</v>
      </c>
      <c r="S3277" t="s">
        <v>1615</v>
      </c>
      <c r="T3277" t="s">
        <v>106</v>
      </c>
    </row>
    <row r="3278" spans="1:20" x14ac:dyDescent="0.25">
      <c r="A3278">
        <v>9</v>
      </c>
      <c r="B3278">
        <v>199</v>
      </c>
      <c r="C3278" t="str">
        <f>"11"</f>
        <v>11</v>
      </c>
      <c r="D3278">
        <v>6249</v>
      </c>
      <c r="E3278" t="str">
        <f>"10"</f>
        <v>10</v>
      </c>
      <c r="F3278" t="str">
        <f>"041"</f>
        <v>041</v>
      </c>
      <c r="G3278">
        <v>9</v>
      </c>
      <c r="H3278" t="str">
        <f>"11"</f>
        <v>11</v>
      </c>
      <c r="I3278" t="str">
        <f t="shared" si="615"/>
        <v>0</v>
      </c>
      <c r="J3278" t="str">
        <f>"35"</f>
        <v>35</v>
      </c>
      <c r="K3278">
        <v>20181102</v>
      </c>
      <c r="L3278" t="str">
        <f>"074497"</f>
        <v>074497</v>
      </c>
      <c r="M3278" t="str">
        <f>"57662"</f>
        <v>57662</v>
      </c>
      <c r="N3278" t="s">
        <v>2519</v>
      </c>
      <c r="O3278">
        <v>197.5</v>
      </c>
      <c r="P3278">
        <v>20181031</v>
      </c>
      <c r="Q3278" t="s">
        <v>2520</v>
      </c>
      <c r="R3278" t="s">
        <v>2521</v>
      </c>
      <c r="S3278" t="s">
        <v>1615</v>
      </c>
      <c r="T3278" t="s">
        <v>106</v>
      </c>
    </row>
    <row r="3279" spans="1:20" x14ac:dyDescent="0.25">
      <c r="A3279">
        <v>9</v>
      </c>
      <c r="B3279">
        <v>199</v>
      </c>
      <c r="C3279" t="str">
        <f>"36"</f>
        <v>36</v>
      </c>
      <c r="D3279">
        <v>6269</v>
      </c>
      <c r="E3279" t="str">
        <f>"7B"</f>
        <v>7B</v>
      </c>
      <c r="F3279" t="str">
        <f t="shared" ref="F3279:F3285" si="616">"001"</f>
        <v>001</v>
      </c>
      <c r="G3279">
        <v>9</v>
      </c>
      <c r="H3279" t="str">
        <f>"99"</f>
        <v>99</v>
      </c>
      <c r="I3279" t="str">
        <f t="shared" si="615"/>
        <v>0</v>
      </c>
      <c r="J3279" t="str">
        <f>"32"</f>
        <v>32</v>
      </c>
      <c r="K3279">
        <v>20181102</v>
      </c>
      <c r="L3279" t="str">
        <f>"074498"</f>
        <v>074498</v>
      </c>
      <c r="M3279" t="str">
        <f>"57697"</f>
        <v>57697</v>
      </c>
      <c r="N3279" t="s">
        <v>1902</v>
      </c>
      <c r="O3279">
        <v>388.39</v>
      </c>
      <c r="P3279">
        <v>20181031</v>
      </c>
      <c r="Q3279" t="s">
        <v>1903</v>
      </c>
      <c r="R3279" t="s">
        <v>1695</v>
      </c>
      <c r="S3279" t="s">
        <v>1615</v>
      </c>
      <c r="T3279" t="s">
        <v>301</v>
      </c>
    </row>
    <row r="3280" spans="1:20" x14ac:dyDescent="0.25">
      <c r="A3280">
        <v>9</v>
      </c>
      <c r="B3280">
        <v>199</v>
      </c>
      <c r="C3280" t="str">
        <f>"36"</f>
        <v>36</v>
      </c>
      <c r="D3280">
        <v>6269</v>
      </c>
      <c r="E3280" t="str">
        <f>"7B"</f>
        <v>7B</v>
      </c>
      <c r="F3280" t="str">
        <f t="shared" si="616"/>
        <v>001</v>
      </c>
      <c r="G3280">
        <v>9</v>
      </c>
      <c r="H3280" t="str">
        <f>"99"</f>
        <v>99</v>
      </c>
      <c r="I3280" t="str">
        <f t="shared" si="615"/>
        <v>0</v>
      </c>
      <c r="J3280" t="str">
        <f>"32"</f>
        <v>32</v>
      </c>
      <c r="K3280">
        <v>20181102</v>
      </c>
      <c r="L3280" t="str">
        <f>"074498"</f>
        <v>074498</v>
      </c>
      <c r="M3280" t="str">
        <f>"57697"</f>
        <v>57697</v>
      </c>
      <c r="N3280" t="s">
        <v>1902</v>
      </c>
      <c r="O3280">
        <v>285.27999999999997</v>
      </c>
      <c r="P3280">
        <v>20181031</v>
      </c>
      <c r="Q3280" t="s">
        <v>1903</v>
      </c>
      <c r="R3280" t="s">
        <v>1851</v>
      </c>
      <c r="S3280" t="s">
        <v>1615</v>
      </c>
      <c r="T3280" t="s">
        <v>301</v>
      </c>
    </row>
    <row r="3281" spans="1:20" x14ac:dyDescent="0.25">
      <c r="A3281">
        <v>9</v>
      </c>
      <c r="B3281">
        <v>199</v>
      </c>
      <c r="C3281" t="str">
        <f>"36"</f>
        <v>36</v>
      </c>
      <c r="D3281">
        <v>6269</v>
      </c>
      <c r="E3281" t="str">
        <f>"7B"</f>
        <v>7B</v>
      </c>
      <c r="F3281" t="str">
        <f t="shared" si="616"/>
        <v>001</v>
      </c>
      <c r="G3281">
        <v>9</v>
      </c>
      <c r="H3281" t="str">
        <f>"99"</f>
        <v>99</v>
      </c>
      <c r="I3281" t="str">
        <f t="shared" si="615"/>
        <v>0</v>
      </c>
      <c r="J3281" t="str">
        <f>"32"</f>
        <v>32</v>
      </c>
      <c r="K3281">
        <v>20181102</v>
      </c>
      <c r="L3281" t="str">
        <f>"074498"</f>
        <v>074498</v>
      </c>
      <c r="M3281" t="str">
        <f>"57697"</f>
        <v>57697</v>
      </c>
      <c r="N3281" t="s">
        <v>1902</v>
      </c>
      <c r="O3281">
        <v>358.72</v>
      </c>
      <c r="P3281">
        <v>20181031</v>
      </c>
      <c r="Q3281" t="s">
        <v>1903</v>
      </c>
      <c r="R3281" t="s">
        <v>1851</v>
      </c>
      <c r="S3281" t="s">
        <v>1615</v>
      </c>
      <c r="T3281" t="s">
        <v>301</v>
      </c>
    </row>
    <row r="3282" spans="1:20" x14ac:dyDescent="0.25">
      <c r="A3282">
        <v>9</v>
      </c>
      <c r="B3282">
        <v>199</v>
      </c>
      <c r="C3282" t="str">
        <f>"36"</f>
        <v>36</v>
      </c>
      <c r="D3282">
        <v>6269</v>
      </c>
      <c r="E3282" t="str">
        <f>"7B"</f>
        <v>7B</v>
      </c>
      <c r="F3282" t="str">
        <f t="shared" si="616"/>
        <v>001</v>
      </c>
      <c r="G3282">
        <v>9</v>
      </c>
      <c r="H3282" t="str">
        <f>"99"</f>
        <v>99</v>
      </c>
      <c r="I3282" t="str">
        <f t="shared" si="615"/>
        <v>0</v>
      </c>
      <c r="J3282" t="str">
        <f>"32"</f>
        <v>32</v>
      </c>
      <c r="K3282">
        <v>20181102</v>
      </c>
      <c r="L3282" t="str">
        <f>"074498"</f>
        <v>074498</v>
      </c>
      <c r="M3282" t="str">
        <f>"57697"</f>
        <v>57697</v>
      </c>
      <c r="N3282" t="s">
        <v>1902</v>
      </c>
      <c r="O3282">
        <v>127.16</v>
      </c>
      <c r="P3282">
        <v>20181031</v>
      </c>
      <c r="Q3282" t="s">
        <v>1903</v>
      </c>
      <c r="R3282" t="s">
        <v>1851</v>
      </c>
      <c r="S3282" t="s">
        <v>1615</v>
      </c>
      <c r="T3282" t="s">
        <v>301</v>
      </c>
    </row>
    <row r="3283" spans="1:20" x14ac:dyDescent="0.25">
      <c r="A3283">
        <v>9</v>
      </c>
      <c r="B3283">
        <v>199</v>
      </c>
      <c r="C3283" t="str">
        <f>"36"</f>
        <v>36</v>
      </c>
      <c r="D3283">
        <v>6269</v>
      </c>
      <c r="E3283" t="str">
        <f>"7B"</f>
        <v>7B</v>
      </c>
      <c r="F3283" t="str">
        <f t="shared" si="616"/>
        <v>001</v>
      </c>
      <c r="G3283">
        <v>9</v>
      </c>
      <c r="H3283" t="str">
        <f>"99"</f>
        <v>99</v>
      </c>
      <c r="I3283" t="str">
        <f t="shared" si="615"/>
        <v>0</v>
      </c>
      <c r="J3283" t="str">
        <f>"32"</f>
        <v>32</v>
      </c>
      <c r="K3283">
        <v>20181102</v>
      </c>
      <c r="L3283" t="str">
        <f>"074498"</f>
        <v>074498</v>
      </c>
      <c r="M3283" t="str">
        <f>"57697"</f>
        <v>57697</v>
      </c>
      <c r="N3283" t="s">
        <v>1902</v>
      </c>
      <c r="O3283">
        <v>163.88</v>
      </c>
      <c r="P3283">
        <v>20181031</v>
      </c>
      <c r="Q3283" t="s">
        <v>1903</v>
      </c>
      <c r="R3283" t="s">
        <v>1851</v>
      </c>
      <c r="S3283" t="s">
        <v>1615</v>
      </c>
      <c r="T3283" t="s">
        <v>301</v>
      </c>
    </row>
    <row r="3284" spans="1:20" x14ac:dyDescent="0.25">
      <c r="A3284">
        <v>9</v>
      </c>
      <c r="B3284">
        <v>199</v>
      </c>
      <c r="C3284" t="str">
        <f>"11"</f>
        <v>11</v>
      </c>
      <c r="D3284">
        <v>6299</v>
      </c>
      <c r="E3284" t="str">
        <f>"7K"</f>
        <v>7K</v>
      </c>
      <c r="F3284" t="str">
        <f t="shared" si="616"/>
        <v>001</v>
      </c>
      <c r="G3284">
        <v>9</v>
      </c>
      <c r="H3284" t="str">
        <f>"11"</f>
        <v>11</v>
      </c>
      <c r="I3284" t="str">
        <f t="shared" si="615"/>
        <v>0</v>
      </c>
      <c r="J3284" t="str">
        <f>"01"</f>
        <v>01</v>
      </c>
      <c r="K3284">
        <v>20181102</v>
      </c>
      <c r="L3284" t="str">
        <f>"074499"</f>
        <v>074499</v>
      </c>
      <c r="M3284" t="str">
        <f>"00582"</f>
        <v>00582</v>
      </c>
      <c r="N3284" t="s">
        <v>2522</v>
      </c>
      <c r="O3284">
        <v>700</v>
      </c>
      <c r="P3284">
        <v>20181031</v>
      </c>
      <c r="Q3284" t="s">
        <v>2470</v>
      </c>
      <c r="R3284" t="s">
        <v>2251</v>
      </c>
      <c r="S3284" t="s">
        <v>1615</v>
      </c>
      <c r="T3284" t="s">
        <v>301</v>
      </c>
    </row>
    <row r="3285" spans="1:20" x14ac:dyDescent="0.25">
      <c r="A3285">
        <v>9</v>
      </c>
      <c r="B3285">
        <v>199</v>
      </c>
      <c r="C3285" t="str">
        <f>"11"</f>
        <v>11</v>
      </c>
      <c r="D3285">
        <v>6299</v>
      </c>
      <c r="E3285" t="str">
        <f>"7K"</f>
        <v>7K</v>
      </c>
      <c r="F3285" t="str">
        <f t="shared" si="616"/>
        <v>001</v>
      </c>
      <c r="G3285">
        <v>9</v>
      </c>
      <c r="H3285" t="str">
        <f>"11"</f>
        <v>11</v>
      </c>
      <c r="I3285" t="str">
        <f t="shared" si="615"/>
        <v>0</v>
      </c>
      <c r="J3285" t="str">
        <f>"01"</f>
        <v>01</v>
      </c>
      <c r="K3285">
        <v>20181102</v>
      </c>
      <c r="L3285" t="str">
        <f>"074501"</f>
        <v>074501</v>
      </c>
      <c r="M3285" t="str">
        <f>"57997"</f>
        <v>57997</v>
      </c>
      <c r="N3285" t="s">
        <v>1904</v>
      </c>
      <c r="O3285">
        <v>700</v>
      </c>
      <c r="P3285">
        <v>20181031</v>
      </c>
      <c r="Q3285" t="s">
        <v>2470</v>
      </c>
      <c r="R3285" t="s">
        <v>2251</v>
      </c>
      <c r="S3285" t="s">
        <v>1615</v>
      </c>
      <c r="T3285" t="s">
        <v>301</v>
      </c>
    </row>
    <row r="3286" spans="1:20" x14ac:dyDescent="0.25">
      <c r="A3286">
        <v>9</v>
      </c>
      <c r="B3286">
        <v>199</v>
      </c>
      <c r="C3286" t="str">
        <f>"13"</f>
        <v>13</v>
      </c>
      <c r="D3286">
        <v>6411</v>
      </c>
      <c r="E3286" t="str">
        <f>"00"</f>
        <v>00</v>
      </c>
      <c r="F3286" t="str">
        <f>"101"</f>
        <v>101</v>
      </c>
      <c r="G3286">
        <v>9</v>
      </c>
      <c r="H3286" t="str">
        <f>"25"</f>
        <v>25</v>
      </c>
      <c r="I3286" t="str">
        <f t="shared" si="615"/>
        <v>0</v>
      </c>
      <c r="J3286" t="str">
        <f>"25"</f>
        <v>25</v>
      </c>
      <c r="K3286">
        <v>20181102</v>
      </c>
      <c r="L3286" t="str">
        <f>"074503"</f>
        <v>074503</v>
      </c>
      <c r="M3286" t="str">
        <f>"00606"</f>
        <v>00606</v>
      </c>
      <c r="N3286" t="s">
        <v>2523</v>
      </c>
      <c r="O3286">
        <v>76.75</v>
      </c>
      <c r="P3286">
        <v>20181031</v>
      </c>
      <c r="Q3286" t="s">
        <v>1717</v>
      </c>
      <c r="R3286" t="s">
        <v>1718</v>
      </c>
      <c r="S3286" t="s">
        <v>1615</v>
      </c>
      <c r="T3286" t="s">
        <v>1479</v>
      </c>
    </row>
    <row r="3287" spans="1:20" x14ac:dyDescent="0.25">
      <c r="A3287">
        <v>9</v>
      </c>
      <c r="B3287">
        <v>199</v>
      </c>
      <c r="C3287" t="str">
        <f>"11"</f>
        <v>11</v>
      </c>
      <c r="D3287">
        <v>6399</v>
      </c>
      <c r="E3287" t="str">
        <f>"7K"</f>
        <v>7K</v>
      </c>
      <c r="F3287" t="str">
        <f>"001"</f>
        <v>001</v>
      </c>
      <c r="G3287">
        <v>9</v>
      </c>
      <c r="H3287" t="str">
        <f>"11"</f>
        <v>11</v>
      </c>
      <c r="I3287" t="str">
        <f t="shared" si="615"/>
        <v>0</v>
      </c>
      <c r="J3287" t="str">
        <f>"01"</f>
        <v>01</v>
      </c>
      <c r="K3287">
        <v>20181102</v>
      </c>
      <c r="L3287" t="str">
        <f>"074504"</f>
        <v>074504</v>
      </c>
      <c r="M3287" t="str">
        <f>"58204"</f>
        <v>58204</v>
      </c>
      <c r="N3287" t="s">
        <v>1767</v>
      </c>
      <c r="O3287">
        <v>146.96</v>
      </c>
      <c r="P3287">
        <v>20181031</v>
      </c>
      <c r="Q3287" t="s">
        <v>1671</v>
      </c>
      <c r="R3287" t="s">
        <v>2251</v>
      </c>
      <c r="S3287" t="s">
        <v>1615</v>
      </c>
      <c r="T3287" t="s">
        <v>301</v>
      </c>
    </row>
    <row r="3288" spans="1:20" x14ac:dyDescent="0.25">
      <c r="A3288">
        <v>9</v>
      </c>
      <c r="B3288">
        <v>199</v>
      </c>
      <c r="C3288" t="str">
        <f>"11"</f>
        <v>11</v>
      </c>
      <c r="D3288">
        <v>6399</v>
      </c>
      <c r="E3288" t="str">
        <f>"N9"</f>
        <v>N9</v>
      </c>
      <c r="F3288" t="str">
        <f>"001"</f>
        <v>001</v>
      </c>
      <c r="G3288">
        <v>9</v>
      </c>
      <c r="H3288" t="str">
        <f>"11"</f>
        <v>11</v>
      </c>
      <c r="I3288" t="str">
        <f t="shared" si="615"/>
        <v>0</v>
      </c>
      <c r="J3288" t="str">
        <f>"01"</f>
        <v>01</v>
      </c>
      <c r="K3288">
        <v>20181102</v>
      </c>
      <c r="L3288" t="str">
        <f>"074504"</f>
        <v>074504</v>
      </c>
      <c r="M3288" t="str">
        <f>"58204"</f>
        <v>58204</v>
      </c>
      <c r="N3288" t="s">
        <v>1767</v>
      </c>
      <c r="O3288">
        <v>11.64</v>
      </c>
      <c r="P3288">
        <v>20181031</v>
      </c>
      <c r="Q3288" t="s">
        <v>2160</v>
      </c>
      <c r="R3288" t="s">
        <v>2524</v>
      </c>
      <c r="S3288" t="s">
        <v>1615</v>
      </c>
      <c r="T3288" t="s">
        <v>301</v>
      </c>
    </row>
    <row r="3289" spans="1:20" x14ac:dyDescent="0.25">
      <c r="A3289">
        <v>9</v>
      </c>
      <c r="B3289">
        <v>199</v>
      </c>
      <c r="C3289" t="str">
        <f>"11"</f>
        <v>11</v>
      </c>
      <c r="D3289">
        <v>6399</v>
      </c>
      <c r="E3289" t="str">
        <f>"SR"</f>
        <v>SR</v>
      </c>
      <c r="F3289" t="str">
        <f>"001"</f>
        <v>001</v>
      </c>
      <c r="G3289">
        <v>9</v>
      </c>
      <c r="H3289" t="str">
        <f>"11"</f>
        <v>11</v>
      </c>
      <c r="I3289" t="str">
        <f t="shared" si="615"/>
        <v>0</v>
      </c>
      <c r="J3289" t="str">
        <f>"01"</f>
        <v>01</v>
      </c>
      <c r="K3289">
        <v>20181102</v>
      </c>
      <c r="L3289" t="str">
        <f>"074504"</f>
        <v>074504</v>
      </c>
      <c r="M3289" t="str">
        <f>"58204"</f>
        <v>58204</v>
      </c>
      <c r="N3289" t="s">
        <v>1767</v>
      </c>
      <c r="O3289">
        <v>13.43</v>
      </c>
      <c r="P3289">
        <v>20181031</v>
      </c>
      <c r="Q3289" t="s">
        <v>2162</v>
      </c>
      <c r="R3289" t="s">
        <v>2525</v>
      </c>
      <c r="S3289" t="s">
        <v>1615</v>
      </c>
      <c r="T3289" t="s">
        <v>301</v>
      </c>
    </row>
    <row r="3290" spans="1:20" x14ac:dyDescent="0.25">
      <c r="A3290">
        <v>9</v>
      </c>
      <c r="B3290">
        <v>199</v>
      </c>
      <c r="C3290" t="str">
        <f>"23"</f>
        <v>23</v>
      </c>
      <c r="D3290">
        <v>6411</v>
      </c>
      <c r="E3290" t="str">
        <f>"10"</f>
        <v>10</v>
      </c>
      <c r="F3290" t="str">
        <f>"001"</f>
        <v>001</v>
      </c>
      <c r="G3290">
        <v>9</v>
      </c>
      <c r="H3290" t="str">
        <f>"99"</f>
        <v>99</v>
      </c>
      <c r="I3290" t="str">
        <f>"1"</f>
        <v>1</v>
      </c>
      <c r="J3290" t="str">
        <f>"01"</f>
        <v>01</v>
      </c>
      <c r="K3290">
        <v>20181102</v>
      </c>
      <c r="L3290" t="str">
        <f>"074505"</f>
        <v>074505</v>
      </c>
      <c r="M3290" t="str">
        <f>"59018"</f>
        <v>59018</v>
      </c>
      <c r="N3290" t="s">
        <v>2526</v>
      </c>
      <c r="O3290">
        <v>133.22999999999999</v>
      </c>
      <c r="P3290">
        <v>20181031</v>
      </c>
      <c r="Q3290" t="s">
        <v>2464</v>
      </c>
      <c r="R3290" t="s">
        <v>586</v>
      </c>
      <c r="S3290" t="s">
        <v>1615</v>
      </c>
      <c r="T3290" t="s">
        <v>301</v>
      </c>
    </row>
    <row r="3291" spans="1:20" x14ac:dyDescent="0.25">
      <c r="A3291">
        <v>9</v>
      </c>
      <c r="B3291">
        <v>199</v>
      </c>
      <c r="C3291" t="str">
        <f>"11"</f>
        <v>11</v>
      </c>
      <c r="D3291">
        <v>6399</v>
      </c>
      <c r="E3291" t="str">
        <f>"45"</f>
        <v>45</v>
      </c>
      <c r="F3291" t="str">
        <f>"101"</f>
        <v>101</v>
      </c>
      <c r="G3291">
        <v>9</v>
      </c>
      <c r="H3291" t="str">
        <f>"11"</f>
        <v>11</v>
      </c>
      <c r="I3291" t="str">
        <f>"0"</f>
        <v>0</v>
      </c>
      <c r="J3291" t="str">
        <f>"04"</f>
        <v>04</v>
      </c>
      <c r="K3291">
        <v>20181102</v>
      </c>
      <c r="L3291" t="str">
        <f>"074507"</f>
        <v>074507</v>
      </c>
      <c r="M3291" t="str">
        <f>"61221"</f>
        <v>61221</v>
      </c>
      <c r="N3291" t="s">
        <v>1782</v>
      </c>
      <c r="O3291" s="1">
        <v>1485</v>
      </c>
      <c r="P3291">
        <v>20181031</v>
      </c>
      <c r="Q3291" t="s">
        <v>1859</v>
      </c>
      <c r="R3291" t="s">
        <v>2527</v>
      </c>
      <c r="S3291" t="s">
        <v>1615</v>
      </c>
      <c r="T3291" t="s">
        <v>1479</v>
      </c>
    </row>
    <row r="3292" spans="1:20" x14ac:dyDescent="0.25">
      <c r="A3292">
        <v>9</v>
      </c>
      <c r="B3292">
        <v>199</v>
      </c>
      <c r="C3292" t="str">
        <f>"23"</f>
        <v>23</v>
      </c>
      <c r="D3292">
        <v>6399</v>
      </c>
      <c r="E3292" t="str">
        <f>"10"</f>
        <v>10</v>
      </c>
      <c r="F3292" t="str">
        <f>"001"</f>
        <v>001</v>
      </c>
      <c r="G3292">
        <v>9</v>
      </c>
      <c r="H3292" t="str">
        <f t="shared" ref="H3292:H3298" si="617">"99"</f>
        <v>99</v>
      </c>
      <c r="I3292" t="str">
        <f>"0"</f>
        <v>0</v>
      </c>
      <c r="J3292" t="str">
        <f>"01"</f>
        <v>01</v>
      </c>
      <c r="K3292">
        <v>20181102</v>
      </c>
      <c r="L3292" t="str">
        <f>"074507"</f>
        <v>074507</v>
      </c>
      <c r="M3292" t="str">
        <f>"61221"</f>
        <v>61221</v>
      </c>
      <c r="N3292" t="s">
        <v>1782</v>
      </c>
      <c r="O3292">
        <v>510</v>
      </c>
      <c r="P3292">
        <v>20181031</v>
      </c>
      <c r="Q3292" t="s">
        <v>1785</v>
      </c>
      <c r="R3292" t="s">
        <v>2528</v>
      </c>
      <c r="S3292" t="s">
        <v>1615</v>
      </c>
      <c r="T3292" t="s">
        <v>301</v>
      </c>
    </row>
    <row r="3293" spans="1:20" x14ac:dyDescent="0.25">
      <c r="A3293">
        <v>9</v>
      </c>
      <c r="B3293">
        <v>199</v>
      </c>
      <c r="C3293" t="str">
        <f>"51"</f>
        <v>51</v>
      </c>
      <c r="D3293">
        <v>6319</v>
      </c>
      <c r="E3293" t="str">
        <f>"M2"</f>
        <v>M2</v>
      </c>
      <c r="F3293" t="str">
        <f>"936"</f>
        <v>936</v>
      </c>
      <c r="G3293">
        <v>9</v>
      </c>
      <c r="H3293" t="str">
        <f t="shared" si="617"/>
        <v>99</v>
      </c>
      <c r="I3293" t="str">
        <f>"0"</f>
        <v>0</v>
      </c>
      <c r="J3293" t="str">
        <f>"81"</f>
        <v>81</v>
      </c>
      <c r="K3293">
        <v>20181102</v>
      </c>
      <c r="L3293" t="str">
        <f>"074510"</f>
        <v>074510</v>
      </c>
      <c r="M3293" t="str">
        <f>"63608"</f>
        <v>63608</v>
      </c>
      <c r="N3293" t="s">
        <v>2122</v>
      </c>
      <c r="O3293" s="1">
        <v>1394.24</v>
      </c>
      <c r="P3293">
        <v>20181031</v>
      </c>
      <c r="Q3293" t="s">
        <v>2074</v>
      </c>
      <c r="R3293" t="s">
        <v>2529</v>
      </c>
      <c r="S3293" t="s">
        <v>1615</v>
      </c>
      <c r="T3293" t="s">
        <v>1713</v>
      </c>
    </row>
    <row r="3294" spans="1:20" x14ac:dyDescent="0.25">
      <c r="A3294">
        <v>9</v>
      </c>
      <c r="B3294">
        <v>199</v>
      </c>
      <c r="C3294" t="str">
        <f>"34"</f>
        <v>34</v>
      </c>
      <c r="D3294">
        <v>6411</v>
      </c>
      <c r="E3294" t="str">
        <f>"11"</f>
        <v>11</v>
      </c>
      <c r="F3294" t="str">
        <f>"937"</f>
        <v>937</v>
      </c>
      <c r="G3294">
        <v>9</v>
      </c>
      <c r="H3294" t="str">
        <f t="shared" si="617"/>
        <v>99</v>
      </c>
      <c r="I3294" t="str">
        <f>"1"</f>
        <v>1</v>
      </c>
      <c r="J3294" t="str">
        <f>"82"</f>
        <v>82</v>
      </c>
      <c r="K3294">
        <v>20181102</v>
      </c>
      <c r="L3294" t="str">
        <f>"074515"</f>
        <v>074515</v>
      </c>
      <c r="M3294" t="str">
        <f>"71149"</f>
        <v>71149</v>
      </c>
      <c r="N3294" t="s">
        <v>2530</v>
      </c>
      <c r="O3294">
        <v>33.43</v>
      </c>
      <c r="P3294">
        <v>20181101</v>
      </c>
      <c r="Q3294" t="s">
        <v>2531</v>
      </c>
      <c r="R3294" t="s">
        <v>1715</v>
      </c>
      <c r="S3294" t="s">
        <v>1615</v>
      </c>
      <c r="T3294" t="s">
        <v>1810</v>
      </c>
    </row>
    <row r="3295" spans="1:20" x14ac:dyDescent="0.25">
      <c r="A3295">
        <v>9</v>
      </c>
      <c r="B3295">
        <v>199</v>
      </c>
      <c r="C3295" t="str">
        <f>"51"</f>
        <v>51</v>
      </c>
      <c r="D3295">
        <v>6319</v>
      </c>
      <c r="E3295" t="str">
        <f>"M2"</f>
        <v>M2</v>
      </c>
      <c r="F3295" t="str">
        <f>"936"</f>
        <v>936</v>
      </c>
      <c r="G3295">
        <v>9</v>
      </c>
      <c r="H3295" t="str">
        <f t="shared" si="617"/>
        <v>99</v>
      </c>
      <c r="I3295" t="str">
        <f t="shared" ref="I3295:I3311" si="618">"0"</f>
        <v>0</v>
      </c>
      <c r="J3295" t="str">
        <f>"81"</f>
        <v>81</v>
      </c>
      <c r="K3295">
        <v>20181102</v>
      </c>
      <c r="L3295" t="str">
        <f>"074516"</f>
        <v>074516</v>
      </c>
      <c r="M3295" t="str">
        <f>"73610"</f>
        <v>73610</v>
      </c>
      <c r="N3295" t="s">
        <v>2532</v>
      </c>
      <c r="O3295">
        <v>58.6</v>
      </c>
      <c r="P3295">
        <v>20181031</v>
      </c>
      <c r="Q3295" t="s">
        <v>2074</v>
      </c>
      <c r="R3295" t="s">
        <v>2533</v>
      </c>
      <c r="S3295" t="s">
        <v>1615</v>
      </c>
      <c r="T3295" t="s">
        <v>1713</v>
      </c>
    </row>
    <row r="3296" spans="1:20" x14ac:dyDescent="0.25">
      <c r="A3296">
        <v>9</v>
      </c>
      <c r="B3296">
        <v>199</v>
      </c>
      <c r="C3296" t="str">
        <f>"51"</f>
        <v>51</v>
      </c>
      <c r="D3296">
        <v>6319</v>
      </c>
      <c r="E3296" t="str">
        <f>"MC"</f>
        <v>MC</v>
      </c>
      <c r="F3296" t="str">
        <f>"936"</f>
        <v>936</v>
      </c>
      <c r="G3296">
        <v>9</v>
      </c>
      <c r="H3296" t="str">
        <f t="shared" si="617"/>
        <v>99</v>
      </c>
      <c r="I3296" t="str">
        <f t="shared" si="618"/>
        <v>0</v>
      </c>
      <c r="J3296" t="str">
        <f>"81"</f>
        <v>81</v>
      </c>
      <c r="K3296">
        <v>20181102</v>
      </c>
      <c r="L3296" t="str">
        <f>"074516"</f>
        <v>074516</v>
      </c>
      <c r="M3296" t="str">
        <f>"73610"</f>
        <v>73610</v>
      </c>
      <c r="N3296" t="s">
        <v>2532</v>
      </c>
      <c r="O3296">
        <v>480.4</v>
      </c>
      <c r="P3296">
        <v>20181031</v>
      </c>
      <c r="Q3296" t="s">
        <v>2060</v>
      </c>
      <c r="R3296" t="s">
        <v>2534</v>
      </c>
      <c r="S3296" t="s">
        <v>1615</v>
      </c>
      <c r="T3296" t="s">
        <v>1713</v>
      </c>
    </row>
    <row r="3297" spans="1:20" x14ac:dyDescent="0.25">
      <c r="A3297">
        <v>9</v>
      </c>
      <c r="B3297">
        <v>199</v>
      </c>
      <c r="C3297" t="str">
        <f>"36"</f>
        <v>36</v>
      </c>
      <c r="D3297">
        <v>6412</v>
      </c>
      <c r="E3297" t="str">
        <f>"7B"</f>
        <v>7B</v>
      </c>
      <c r="F3297" t="str">
        <f>"001"</f>
        <v>001</v>
      </c>
      <c r="G3297">
        <v>9</v>
      </c>
      <c r="H3297" t="str">
        <f t="shared" si="617"/>
        <v>99</v>
      </c>
      <c r="I3297" t="str">
        <f t="shared" si="618"/>
        <v>0</v>
      </c>
      <c r="J3297" t="str">
        <f>"32"</f>
        <v>32</v>
      </c>
      <c r="K3297">
        <v>20181102</v>
      </c>
      <c r="L3297" t="str">
        <f>"074518"</f>
        <v>074518</v>
      </c>
      <c r="M3297" t="str">
        <f>"78729"</f>
        <v>78729</v>
      </c>
      <c r="N3297" t="s">
        <v>2535</v>
      </c>
      <c r="O3297">
        <v>470</v>
      </c>
      <c r="P3297">
        <v>20181031</v>
      </c>
      <c r="Q3297" t="s">
        <v>1658</v>
      </c>
      <c r="R3297" t="s">
        <v>2536</v>
      </c>
      <c r="S3297" t="s">
        <v>1615</v>
      </c>
      <c r="T3297" t="s">
        <v>301</v>
      </c>
    </row>
    <row r="3298" spans="1:20" x14ac:dyDescent="0.25">
      <c r="A3298">
        <v>9</v>
      </c>
      <c r="B3298">
        <v>199</v>
      </c>
      <c r="C3298" t="str">
        <f>"36"</f>
        <v>36</v>
      </c>
      <c r="D3298">
        <v>6495</v>
      </c>
      <c r="E3298" t="str">
        <f>"7B"</f>
        <v>7B</v>
      </c>
      <c r="F3298" t="str">
        <f>"041"</f>
        <v>041</v>
      </c>
      <c r="G3298">
        <v>9</v>
      </c>
      <c r="H3298" t="str">
        <f t="shared" si="617"/>
        <v>99</v>
      </c>
      <c r="I3298" t="str">
        <f t="shared" si="618"/>
        <v>0</v>
      </c>
      <c r="J3298" t="str">
        <f>"36"</f>
        <v>36</v>
      </c>
      <c r="K3298">
        <v>20181102</v>
      </c>
      <c r="L3298" t="str">
        <f>"074519"</f>
        <v>074519</v>
      </c>
      <c r="M3298" t="str">
        <f>"78729"</f>
        <v>78729</v>
      </c>
      <c r="N3298" t="s">
        <v>2535</v>
      </c>
      <c r="O3298">
        <v>20</v>
      </c>
      <c r="P3298">
        <v>20181031</v>
      </c>
      <c r="Q3298" t="s">
        <v>2537</v>
      </c>
      <c r="R3298" t="s">
        <v>2536</v>
      </c>
      <c r="S3298" t="s">
        <v>1615</v>
      </c>
      <c r="T3298" t="s">
        <v>106</v>
      </c>
    </row>
    <row r="3299" spans="1:20" x14ac:dyDescent="0.25">
      <c r="A3299">
        <v>9</v>
      </c>
      <c r="B3299">
        <v>199</v>
      </c>
      <c r="C3299" t="str">
        <f>"11"</f>
        <v>11</v>
      </c>
      <c r="D3299">
        <v>6395</v>
      </c>
      <c r="E3299" t="str">
        <f>"10"</f>
        <v>10</v>
      </c>
      <c r="F3299" t="str">
        <f>"001"</f>
        <v>001</v>
      </c>
      <c r="G3299">
        <v>9</v>
      </c>
      <c r="H3299" t="str">
        <f>"11"</f>
        <v>11</v>
      </c>
      <c r="I3299" t="str">
        <f t="shared" si="618"/>
        <v>0</v>
      </c>
      <c r="J3299" t="str">
        <f>"01"</f>
        <v>01</v>
      </c>
      <c r="K3299">
        <v>20181102</v>
      </c>
      <c r="L3299" t="str">
        <f t="shared" ref="L3299:L3306" si="619">"074521"</f>
        <v>074521</v>
      </c>
      <c r="M3299" t="str">
        <f t="shared" ref="M3299:M3306" si="620">"81303"</f>
        <v>81303</v>
      </c>
      <c r="N3299" t="s">
        <v>66</v>
      </c>
      <c r="O3299">
        <v>64.400000000000006</v>
      </c>
      <c r="P3299">
        <v>20181031</v>
      </c>
      <c r="Q3299" t="s">
        <v>1929</v>
      </c>
      <c r="R3299" t="s">
        <v>2538</v>
      </c>
      <c r="S3299" t="s">
        <v>1615</v>
      </c>
      <c r="T3299" t="s">
        <v>301</v>
      </c>
    </row>
    <row r="3300" spans="1:20" x14ac:dyDescent="0.25">
      <c r="A3300">
        <v>9</v>
      </c>
      <c r="B3300">
        <v>199</v>
      </c>
      <c r="C3300" t="str">
        <f>"11"</f>
        <v>11</v>
      </c>
      <c r="D3300">
        <v>6395</v>
      </c>
      <c r="E3300" t="str">
        <f>"10"</f>
        <v>10</v>
      </c>
      <c r="F3300" t="str">
        <f>"001"</f>
        <v>001</v>
      </c>
      <c r="G3300">
        <v>9</v>
      </c>
      <c r="H3300" t="str">
        <f>"11"</f>
        <v>11</v>
      </c>
      <c r="I3300" t="str">
        <f t="shared" si="618"/>
        <v>0</v>
      </c>
      <c r="J3300" t="str">
        <f>"01"</f>
        <v>01</v>
      </c>
      <c r="K3300">
        <v>20181102</v>
      </c>
      <c r="L3300" t="str">
        <f t="shared" si="619"/>
        <v>074521</v>
      </c>
      <c r="M3300" t="str">
        <f t="shared" si="620"/>
        <v>81303</v>
      </c>
      <c r="N3300" t="s">
        <v>66</v>
      </c>
      <c r="O3300">
        <v>114</v>
      </c>
      <c r="P3300">
        <v>20181031</v>
      </c>
      <c r="Q3300" t="s">
        <v>1929</v>
      </c>
      <c r="R3300" t="s">
        <v>2539</v>
      </c>
      <c r="S3300" t="s">
        <v>1615</v>
      </c>
      <c r="T3300" t="s">
        <v>301</v>
      </c>
    </row>
    <row r="3301" spans="1:20" x14ac:dyDescent="0.25">
      <c r="A3301">
        <v>9</v>
      </c>
      <c r="B3301">
        <v>199</v>
      </c>
      <c r="C3301" t="str">
        <f>"11"</f>
        <v>11</v>
      </c>
      <c r="D3301">
        <v>6395</v>
      </c>
      <c r="E3301" t="str">
        <f>"10"</f>
        <v>10</v>
      </c>
      <c r="F3301" t="str">
        <f>"001"</f>
        <v>001</v>
      </c>
      <c r="G3301">
        <v>9</v>
      </c>
      <c r="H3301" t="str">
        <f>"11"</f>
        <v>11</v>
      </c>
      <c r="I3301" t="str">
        <f t="shared" si="618"/>
        <v>0</v>
      </c>
      <c r="J3301" t="str">
        <f>"01"</f>
        <v>01</v>
      </c>
      <c r="K3301">
        <v>20181102</v>
      </c>
      <c r="L3301" t="str">
        <f t="shared" si="619"/>
        <v>074521</v>
      </c>
      <c r="M3301" t="str">
        <f t="shared" si="620"/>
        <v>81303</v>
      </c>
      <c r="N3301" t="s">
        <v>66</v>
      </c>
      <c r="O3301">
        <v>433.16</v>
      </c>
      <c r="P3301">
        <v>20181031</v>
      </c>
      <c r="Q3301" t="s">
        <v>1929</v>
      </c>
      <c r="R3301" t="s">
        <v>2540</v>
      </c>
      <c r="S3301" t="s">
        <v>1615</v>
      </c>
      <c r="T3301" t="s">
        <v>301</v>
      </c>
    </row>
    <row r="3302" spans="1:20" x14ac:dyDescent="0.25">
      <c r="A3302">
        <v>9</v>
      </c>
      <c r="B3302">
        <v>199</v>
      </c>
      <c r="C3302" t="str">
        <f>"11"</f>
        <v>11</v>
      </c>
      <c r="D3302">
        <v>6395</v>
      </c>
      <c r="E3302" t="str">
        <f>"10"</f>
        <v>10</v>
      </c>
      <c r="F3302" t="str">
        <f>"001"</f>
        <v>001</v>
      </c>
      <c r="G3302">
        <v>9</v>
      </c>
      <c r="H3302" t="str">
        <f>"11"</f>
        <v>11</v>
      </c>
      <c r="I3302" t="str">
        <f t="shared" si="618"/>
        <v>0</v>
      </c>
      <c r="J3302" t="str">
        <f>"01"</f>
        <v>01</v>
      </c>
      <c r="K3302">
        <v>20181102</v>
      </c>
      <c r="L3302" t="str">
        <f t="shared" si="619"/>
        <v>074521</v>
      </c>
      <c r="M3302" t="str">
        <f t="shared" si="620"/>
        <v>81303</v>
      </c>
      <c r="N3302" t="s">
        <v>66</v>
      </c>
      <c r="O3302">
        <v>255</v>
      </c>
      <c r="P3302">
        <v>20181031</v>
      </c>
      <c r="Q3302" t="s">
        <v>1929</v>
      </c>
      <c r="R3302" t="s">
        <v>2541</v>
      </c>
      <c r="S3302" t="s">
        <v>1615</v>
      </c>
      <c r="T3302" t="s">
        <v>301</v>
      </c>
    </row>
    <row r="3303" spans="1:20" x14ac:dyDescent="0.25">
      <c r="A3303">
        <v>9</v>
      </c>
      <c r="B3303">
        <v>199</v>
      </c>
      <c r="C3303" t="str">
        <f>"11"</f>
        <v>11</v>
      </c>
      <c r="D3303">
        <v>6395</v>
      </c>
      <c r="E3303" t="str">
        <f>"45"</f>
        <v>45</v>
      </c>
      <c r="F3303" t="str">
        <f>"101"</f>
        <v>101</v>
      </c>
      <c r="G3303">
        <v>9</v>
      </c>
      <c r="H3303" t="str">
        <f>"11"</f>
        <v>11</v>
      </c>
      <c r="I3303" t="str">
        <f t="shared" si="618"/>
        <v>0</v>
      </c>
      <c r="J3303" t="str">
        <f>"04"</f>
        <v>04</v>
      </c>
      <c r="K3303">
        <v>20181102</v>
      </c>
      <c r="L3303" t="str">
        <f t="shared" si="619"/>
        <v>074521</v>
      </c>
      <c r="M3303" t="str">
        <f t="shared" si="620"/>
        <v>81303</v>
      </c>
      <c r="N3303" t="s">
        <v>66</v>
      </c>
      <c r="O3303">
        <v>168.5</v>
      </c>
      <c r="P3303">
        <v>20181031</v>
      </c>
      <c r="Q3303" t="s">
        <v>2542</v>
      </c>
      <c r="R3303" t="s">
        <v>2543</v>
      </c>
      <c r="S3303" t="s">
        <v>1615</v>
      </c>
      <c r="T3303" t="s">
        <v>1479</v>
      </c>
    </row>
    <row r="3304" spans="1:20" x14ac:dyDescent="0.25">
      <c r="A3304">
        <v>9</v>
      </c>
      <c r="B3304">
        <v>199</v>
      </c>
      <c r="C3304" t="str">
        <f>"31"</f>
        <v>31</v>
      </c>
      <c r="D3304">
        <v>6395</v>
      </c>
      <c r="E3304" t="str">
        <f>"7F"</f>
        <v>7F</v>
      </c>
      <c r="F3304" t="str">
        <f>"001"</f>
        <v>001</v>
      </c>
      <c r="G3304">
        <v>9</v>
      </c>
      <c r="H3304" t="str">
        <f t="shared" ref="H3304:H3315" si="621">"99"</f>
        <v>99</v>
      </c>
      <c r="I3304" t="str">
        <f t="shared" si="618"/>
        <v>0</v>
      </c>
      <c r="J3304" t="str">
        <f>"01"</f>
        <v>01</v>
      </c>
      <c r="K3304">
        <v>20181102</v>
      </c>
      <c r="L3304" t="str">
        <f t="shared" si="619"/>
        <v>074521</v>
      </c>
      <c r="M3304" t="str">
        <f t="shared" si="620"/>
        <v>81303</v>
      </c>
      <c r="N3304" t="s">
        <v>66</v>
      </c>
      <c r="O3304">
        <v>525</v>
      </c>
      <c r="P3304">
        <v>20181031</v>
      </c>
      <c r="Q3304" t="s">
        <v>1934</v>
      </c>
      <c r="R3304" t="s">
        <v>2544</v>
      </c>
      <c r="S3304" t="s">
        <v>1615</v>
      </c>
      <c r="T3304" t="s">
        <v>301</v>
      </c>
    </row>
    <row r="3305" spans="1:20" x14ac:dyDescent="0.25">
      <c r="A3305">
        <v>9</v>
      </c>
      <c r="B3305">
        <v>199</v>
      </c>
      <c r="C3305" t="str">
        <f>"33"</f>
        <v>33</v>
      </c>
      <c r="D3305">
        <v>6394</v>
      </c>
      <c r="E3305" t="str">
        <f>"8F"</f>
        <v>8F</v>
      </c>
      <c r="F3305" t="str">
        <f>"101"</f>
        <v>101</v>
      </c>
      <c r="G3305">
        <v>9</v>
      </c>
      <c r="H3305" t="str">
        <f t="shared" si="621"/>
        <v>99</v>
      </c>
      <c r="I3305" t="str">
        <f t="shared" si="618"/>
        <v>0</v>
      </c>
      <c r="J3305" t="str">
        <f>"04"</f>
        <v>04</v>
      </c>
      <c r="K3305">
        <v>20181102</v>
      </c>
      <c r="L3305" t="str">
        <f t="shared" si="619"/>
        <v>074521</v>
      </c>
      <c r="M3305" t="str">
        <f t="shared" si="620"/>
        <v>81303</v>
      </c>
      <c r="N3305" t="s">
        <v>66</v>
      </c>
      <c r="O3305">
        <v>55</v>
      </c>
      <c r="P3305">
        <v>20181031</v>
      </c>
      <c r="Q3305" t="s">
        <v>2545</v>
      </c>
      <c r="R3305" t="s">
        <v>2546</v>
      </c>
      <c r="S3305" t="s">
        <v>1615</v>
      </c>
      <c r="T3305" t="s">
        <v>1479</v>
      </c>
    </row>
    <row r="3306" spans="1:20" x14ac:dyDescent="0.25">
      <c r="A3306">
        <v>9</v>
      </c>
      <c r="B3306">
        <v>199</v>
      </c>
      <c r="C3306" t="str">
        <f>"41"</f>
        <v>41</v>
      </c>
      <c r="D3306">
        <v>6395</v>
      </c>
      <c r="E3306" t="str">
        <f>"10"</f>
        <v>10</v>
      </c>
      <c r="F3306" t="str">
        <f>"730"</f>
        <v>730</v>
      </c>
      <c r="G3306">
        <v>9</v>
      </c>
      <c r="H3306" t="str">
        <f t="shared" si="621"/>
        <v>99</v>
      </c>
      <c r="I3306" t="str">
        <f t="shared" si="618"/>
        <v>0</v>
      </c>
      <c r="J3306" t="str">
        <f>"95"</f>
        <v>95</v>
      </c>
      <c r="K3306">
        <v>20181102</v>
      </c>
      <c r="L3306" t="str">
        <f t="shared" si="619"/>
        <v>074521</v>
      </c>
      <c r="M3306" t="str">
        <f t="shared" si="620"/>
        <v>81303</v>
      </c>
      <c r="N3306" t="s">
        <v>66</v>
      </c>
      <c r="O3306">
        <v>28.5</v>
      </c>
      <c r="P3306">
        <v>20181031</v>
      </c>
      <c r="Q3306" t="s">
        <v>2547</v>
      </c>
      <c r="R3306" t="s">
        <v>2548</v>
      </c>
      <c r="S3306" t="s">
        <v>1615</v>
      </c>
      <c r="T3306" t="s">
        <v>1794</v>
      </c>
    </row>
    <row r="3307" spans="1:20" x14ac:dyDescent="0.25">
      <c r="A3307">
        <v>9</v>
      </c>
      <c r="B3307">
        <v>199</v>
      </c>
      <c r="C3307" t="str">
        <f>"23"</f>
        <v>23</v>
      </c>
      <c r="D3307">
        <v>6498</v>
      </c>
      <c r="E3307" t="str">
        <f>"99"</f>
        <v>99</v>
      </c>
      <c r="F3307" t="str">
        <f>"041"</f>
        <v>041</v>
      </c>
      <c r="G3307">
        <v>9</v>
      </c>
      <c r="H3307" t="str">
        <f t="shared" si="621"/>
        <v>99</v>
      </c>
      <c r="I3307" t="str">
        <f t="shared" si="618"/>
        <v>0</v>
      </c>
      <c r="J3307" t="str">
        <f>"03"</f>
        <v>03</v>
      </c>
      <c r="K3307">
        <v>20181102</v>
      </c>
      <c r="L3307" t="str">
        <f>"074523"</f>
        <v>074523</v>
      </c>
      <c r="M3307" t="str">
        <f>"83022"</f>
        <v>83022</v>
      </c>
      <c r="N3307" t="s">
        <v>691</v>
      </c>
      <c r="O3307">
        <v>150.4</v>
      </c>
      <c r="P3307">
        <v>20181101</v>
      </c>
      <c r="Q3307" t="s">
        <v>2140</v>
      </c>
      <c r="R3307" t="s">
        <v>2549</v>
      </c>
      <c r="S3307" t="s">
        <v>1615</v>
      </c>
      <c r="T3307" t="s">
        <v>106</v>
      </c>
    </row>
    <row r="3308" spans="1:20" x14ac:dyDescent="0.25">
      <c r="A3308">
        <v>9</v>
      </c>
      <c r="B3308">
        <v>199</v>
      </c>
      <c r="C3308" t="str">
        <f>"23"</f>
        <v>23</v>
      </c>
      <c r="D3308">
        <v>6498</v>
      </c>
      <c r="E3308" t="str">
        <f>"99"</f>
        <v>99</v>
      </c>
      <c r="F3308" t="str">
        <f>"041"</f>
        <v>041</v>
      </c>
      <c r="G3308">
        <v>9</v>
      </c>
      <c r="H3308" t="str">
        <f t="shared" si="621"/>
        <v>99</v>
      </c>
      <c r="I3308" t="str">
        <f t="shared" si="618"/>
        <v>0</v>
      </c>
      <c r="J3308" t="str">
        <f>"03"</f>
        <v>03</v>
      </c>
      <c r="K3308">
        <v>20181102</v>
      </c>
      <c r="L3308" t="str">
        <f>"074523"</f>
        <v>074523</v>
      </c>
      <c r="M3308" t="str">
        <f>"83022"</f>
        <v>83022</v>
      </c>
      <c r="N3308" t="s">
        <v>691</v>
      </c>
      <c r="O3308">
        <v>56</v>
      </c>
      <c r="P3308">
        <v>20181101</v>
      </c>
      <c r="Q3308" t="s">
        <v>2140</v>
      </c>
      <c r="R3308" t="s">
        <v>2550</v>
      </c>
      <c r="S3308" t="s">
        <v>1615</v>
      </c>
      <c r="T3308" t="s">
        <v>106</v>
      </c>
    </row>
    <row r="3309" spans="1:20" x14ac:dyDescent="0.25">
      <c r="A3309">
        <v>9</v>
      </c>
      <c r="B3309">
        <v>199</v>
      </c>
      <c r="C3309" t="str">
        <f>"23"</f>
        <v>23</v>
      </c>
      <c r="D3309">
        <v>6498</v>
      </c>
      <c r="E3309" t="str">
        <f>"99"</f>
        <v>99</v>
      </c>
      <c r="F3309" t="str">
        <f>"041"</f>
        <v>041</v>
      </c>
      <c r="G3309">
        <v>9</v>
      </c>
      <c r="H3309" t="str">
        <f t="shared" si="621"/>
        <v>99</v>
      </c>
      <c r="I3309" t="str">
        <f t="shared" si="618"/>
        <v>0</v>
      </c>
      <c r="J3309" t="str">
        <f>"03"</f>
        <v>03</v>
      </c>
      <c r="K3309">
        <v>20181102</v>
      </c>
      <c r="L3309" t="str">
        <f>"074523"</f>
        <v>074523</v>
      </c>
      <c r="M3309" t="str">
        <f>"83022"</f>
        <v>83022</v>
      </c>
      <c r="N3309" t="s">
        <v>691</v>
      </c>
      <c r="O3309">
        <v>142.58000000000001</v>
      </c>
      <c r="P3309">
        <v>20181101</v>
      </c>
      <c r="Q3309" t="s">
        <v>2140</v>
      </c>
      <c r="R3309" t="s">
        <v>2550</v>
      </c>
      <c r="S3309" t="s">
        <v>1615</v>
      </c>
      <c r="T3309" t="s">
        <v>106</v>
      </c>
    </row>
    <row r="3310" spans="1:20" x14ac:dyDescent="0.25">
      <c r="A3310">
        <v>9</v>
      </c>
      <c r="B3310">
        <v>199</v>
      </c>
      <c r="C3310" t="str">
        <f>"41"</f>
        <v>41</v>
      </c>
      <c r="D3310">
        <v>6498</v>
      </c>
      <c r="E3310" t="str">
        <f>"10"</f>
        <v>10</v>
      </c>
      <c r="F3310" t="str">
        <f>"735"</f>
        <v>735</v>
      </c>
      <c r="G3310">
        <v>9</v>
      </c>
      <c r="H3310" t="str">
        <f t="shared" si="621"/>
        <v>99</v>
      </c>
      <c r="I3310" t="str">
        <f t="shared" si="618"/>
        <v>0</v>
      </c>
      <c r="J3310" t="str">
        <f>"96"</f>
        <v>96</v>
      </c>
      <c r="K3310">
        <v>20181102</v>
      </c>
      <c r="L3310" t="str">
        <f>"074523"</f>
        <v>074523</v>
      </c>
      <c r="M3310" t="str">
        <f>"83022"</f>
        <v>83022</v>
      </c>
      <c r="N3310" t="s">
        <v>691</v>
      </c>
      <c r="O3310">
        <v>236.66</v>
      </c>
      <c r="P3310">
        <v>20181101</v>
      </c>
      <c r="Q3310" t="s">
        <v>2333</v>
      </c>
      <c r="R3310" t="s">
        <v>2551</v>
      </c>
      <c r="S3310" t="s">
        <v>1615</v>
      </c>
      <c r="T3310" t="s">
        <v>151</v>
      </c>
    </row>
    <row r="3311" spans="1:20" x14ac:dyDescent="0.25">
      <c r="A3311">
        <v>9</v>
      </c>
      <c r="B3311">
        <v>199</v>
      </c>
      <c r="C3311" t="str">
        <f>"36"</f>
        <v>36</v>
      </c>
      <c r="D3311">
        <v>6411</v>
      </c>
      <c r="E3311" t="str">
        <f>"7B"</f>
        <v>7B</v>
      </c>
      <c r="F3311" t="str">
        <f>"001"</f>
        <v>001</v>
      </c>
      <c r="G3311">
        <v>9</v>
      </c>
      <c r="H3311" t="str">
        <f t="shared" si="621"/>
        <v>99</v>
      </c>
      <c r="I3311" t="str">
        <f t="shared" si="618"/>
        <v>0</v>
      </c>
      <c r="J3311" t="str">
        <f>"32"</f>
        <v>32</v>
      </c>
      <c r="K3311">
        <v>20181102</v>
      </c>
      <c r="L3311" t="str">
        <f>"074525"</f>
        <v>074525</v>
      </c>
      <c r="M3311" t="str">
        <f>"84370"</f>
        <v>84370</v>
      </c>
      <c r="N3311" t="s">
        <v>395</v>
      </c>
      <c r="O3311">
        <v>30</v>
      </c>
      <c r="P3311">
        <v>20181101</v>
      </c>
      <c r="Q3311" t="s">
        <v>1694</v>
      </c>
      <c r="R3311" t="s">
        <v>2552</v>
      </c>
      <c r="S3311" t="s">
        <v>1615</v>
      </c>
      <c r="T3311" t="s">
        <v>301</v>
      </c>
    </row>
    <row r="3312" spans="1:20" x14ac:dyDescent="0.25">
      <c r="A3312">
        <v>9</v>
      </c>
      <c r="B3312">
        <v>199</v>
      </c>
      <c r="C3312" t="str">
        <f>"36"</f>
        <v>36</v>
      </c>
      <c r="D3312">
        <v>6412</v>
      </c>
      <c r="E3312" t="str">
        <f>"7B"</f>
        <v>7B</v>
      </c>
      <c r="F3312" t="str">
        <f>"001"</f>
        <v>001</v>
      </c>
      <c r="G3312">
        <v>9</v>
      </c>
      <c r="H3312" t="str">
        <f t="shared" si="621"/>
        <v>99</v>
      </c>
      <c r="I3312" t="str">
        <f>"1"</f>
        <v>1</v>
      </c>
      <c r="J3312" t="str">
        <f>"32"</f>
        <v>32</v>
      </c>
      <c r="K3312">
        <v>20181102</v>
      </c>
      <c r="L3312" t="str">
        <f>"074525"</f>
        <v>074525</v>
      </c>
      <c r="M3312" t="str">
        <f>"84370"</f>
        <v>84370</v>
      </c>
      <c r="N3312" t="s">
        <v>395</v>
      </c>
      <c r="O3312">
        <v>457.98</v>
      </c>
      <c r="P3312">
        <v>20181101</v>
      </c>
      <c r="Q3312" t="s">
        <v>1696</v>
      </c>
      <c r="R3312" t="s">
        <v>2552</v>
      </c>
      <c r="S3312" t="s">
        <v>1615</v>
      </c>
      <c r="T3312" t="s">
        <v>301</v>
      </c>
    </row>
    <row r="3313" spans="1:20" x14ac:dyDescent="0.25">
      <c r="A3313">
        <v>9</v>
      </c>
      <c r="B3313">
        <v>199</v>
      </c>
      <c r="C3313" t="str">
        <f>"52"</f>
        <v>52</v>
      </c>
      <c r="D3313">
        <v>6219</v>
      </c>
      <c r="E3313" t="str">
        <f>"00"</f>
        <v>00</v>
      </c>
      <c r="F3313" t="str">
        <f>"101"</f>
        <v>101</v>
      </c>
      <c r="G3313">
        <v>9</v>
      </c>
      <c r="H3313" t="str">
        <f t="shared" si="621"/>
        <v>99</v>
      </c>
      <c r="I3313" t="str">
        <f>"0"</f>
        <v>0</v>
      </c>
      <c r="J3313" t="str">
        <f>"00"</f>
        <v>00</v>
      </c>
      <c r="K3313">
        <v>20181101</v>
      </c>
      <c r="L3313" t="str">
        <f>"074528"</f>
        <v>074528</v>
      </c>
      <c r="M3313" t="str">
        <f>"00242"</f>
        <v>00242</v>
      </c>
      <c r="N3313" t="s">
        <v>1669</v>
      </c>
      <c r="O3313">
        <v>-270</v>
      </c>
      <c r="P3313">
        <v>20181101</v>
      </c>
      <c r="Q3313" t="s">
        <v>1854</v>
      </c>
      <c r="R3313" t="s">
        <v>138</v>
      </c>
      <c r="S3313" t="s">
        <v>1615</v>
      </c>
      <c r="T3313" t="s">
        <v>1479</v>
      </c>
    </row>
    <row r="3314" spans="1:20" x14ac:dyDescent="0.25">
      <c r="A3314">
        <v>9</v>
      </c>
      <c r="B3314">
        <v>199</v>
      </c>
      <c r="C3314" t="str">
        <f>"52"</f>
        <v>52</v>
      </c>
      <c r="D3314">
        <v>6219</v>
      </c>
      <c r="E3314" t="str">
        <f>"00"</f>
        <v>00</v>
      </c>
      <c r="F3314" t="str">
        <f>"101"</f>
        <v>101</v>
      </c>
      <c r="G3314">
        <v>9</v>
      </c>
      <c r="H3314" t="str">
        <f t="shared" si="621"/>
        <v>99</v>
      </c>
      <c r="I3314" t="str">
        <f>"0"</f>
        <v>0</v>
      </c>
      <c r="J3314" t="str">
        <f>"00"</f>
        <v>00</v>
      </c>
      <c r="K3314">
        <v>20181102</v>
      </c>
      <c r="L3314" t="str">
        <f>"074528"</f>
        <v>074528</v>
      </c>
      <c r="M3314" t="str">
        <f>"00242"</f>
        <v>00242</v>
      </c>
      <c r="N3314" t="s">
        <v>1669</v>
      </c>
      <c r="O3314">
        <v>270</v>
      </c>
      <c r="P3314">
        <v>20181101</v>
      </c>
      <c r="Q3314" t="s">
        <v>1854</v>
      </c>
      <c r="R3314" t="s">
        <v>2553</v>
      </c>
      <c r="S3314" t="s">
        <v>1615</v>
      </c>
      <c r="T3314" t="s">
        <v>1479</v>
      </c>
    </row>
    <row r="3315" spans="1:20" x14ac:dyDescent="0.25">
      <c r="A3315">
        <v>9</v>
      </c>
      <c r="B3315">
        <v>199</v>
      </c>
      <c r="C3315" t="str">
        <f>"52"</f>
        <v>52</v>
      </c>
      <c r="D3315">
        <v>6219</v>
      </c>
      <c r="E3315" t="str">
        <f>"00"</f>
        <v>00</v>
      </c>
      <c r="F3315" t="str">
        <f>"101"</f>
        <v>101</v>
      </c>
      <c r="G3315">
        <v>9</v>
      </c>
      <c r="H3315" t="str">
        <f t="shared" si="621"/>
        <v>99</v>
      </c>
      <c r="I3315" t="str">
        <f>"0"</f>
        <v>0</v>
      </c>
      <c r="J3315" t="str">
        <f>"00"</f>
        <v>00</v>
      </c>
      <c r="K3315">
        <v>20181102</v>
      </c>
      <c r="L3315" t="str">
        <f>"074529"</f>
        <v>074529</v>
      </c>
      <c r="M3315" t="str">
        <f>"00242"</f>
        <v>00242</v>
      </c>
      <c r="N3315" t="s">
        <v>1669</v>
      </c>
      <c r="O3315">
        <v>270</v>
      </c>
      <c r="P3315">
        <v>20181101</v>
      </c>
      <c r="Q3315" t="s">
        <v>1854</v>
      </c>
      <c r="R3315" t="s">
        <v>2553</v>
      </c>
      <c r="S3315" t="s">
        <v>1615</v>
      </c>
      <c r="T3315" t="s">
        <v>1479</v>
      </c>
    </row>
    <row r="3316" spans="1:20" x14ac:dyDescent="0.25">
      <c r="A3316">
        <v>9</v>
      </c>
      <c r="B3316">
        <v>199</v>
      </c>
      <c r="C3316" t="str">
        <f>"12"</f>
        <v>12</v>
      </c>
      <c r="D3316">
        <v>6396</v>
      </c>
      <c r="E3316" t="str">
        <f>"7U"</f>
        <v>7U</v>
      </c>
      <c r="F3316" t="str">
        <f>"001"</f>
        <v>001</v>
      </c>
      <c r="G3316">
        <v>9</v>
      </c>
      <c r="H3316" t="str">
        <f>"11"</f>
        <v>11</v>
      </c>
      <c r="I3316" t="str">
        <f>"2"</f>
        <v>2</v>
      </c>
      <c r="J3316" t="str">
        <f>"01"</f>
        <v>01</v>
      </c>
      <c r="K3316">
        <v>20181105</v>
      </c>
      <c r="L3316" t="str">
        <f>"074530"</f>
        <v>074530</v>
      </c>
      <c r="M3316" t="str">
        <f>"79431"</f>
        <v>79431</v>
      </c>
      <c r="N3316" t="s">
        <v>2554</v>
      </c>
      <c r="O3316">
        <v>324.54000000000002</v>
      </c>
      <c r="P3316">
        <v>20181105</v>
      </c>
      <c r="Q3316" t="s">
        <v>2555</v>
      </c>
      <c r="R3316" t="s">
        <v>2556</v>
      </c>
      <c r="S3316" t="s">
        <v>1615</v>
      </c>
      <c r="T3316" t="s">
        <v>301</v>
      </c>
    </row>
    <row r="3317" spans="1:20" x14ac:dyDescent="0.25">
      <c r="A3317">
        <v>9</v>
      </c>
      <c r="B3317">
        <v>199</v>
      </c>
      <c r="C3317" t="str">
        <f>"12"</f>
        <v>12</v>
      </c>
      <c r="D3317">
        <v>6396</v>
      </c>
      <c r="E3317" t="str">
        <f>"7U"</f>
        <v>7U</v>
      </c>
      <c r="F3317" t="str">
        <f>"041"</f>
        <v>041</v>
      </c>
      <c r="G3317">
        <v>9</v>
      </c>
      <c r="H3317" t="str">
        <f>"11"</f>
        <v>11</v>
      </c>
      <c r="I3317" t="str">
        <f>"2"</f>
        <v>2</v>
      </c>
      <c r="J3317" t="str">
        <f>"03"</f>
        <v>03</v>
      </c>
      <c r="K3317">
        <v>20181105</v>
      </c>
      <c r="L3317" t="str">
        <f>"074530"</f>
        <v>074530</v>
      </c>
      <c r="M3317" t="str">
        <f>"79431"</f>
        <v>79431</v>
      </c>
      <c r="N3317" t="s">
        <v>2554</v>
      </c>
      <c r="O3317">
        <v>241.38</v>
      </c>
      <c r="P3317">
        <v>20181105</v>
      </c>
      <c r="Q3317" t="s">
        <v>2557</v>
      </c>
      <c r="R3317" t="s">
        <v>2556</v>
      </c>
      <c r="S3317" t="s">
        <v>1615</v>
      </c>
      <c r="T3317" t="s">
        <v>106</v>
      </c>
    </row>
    <row r="3318" spans="1:20" x14ac:dyDescent="0.25">
      <c r="A3318">
        <v>9</v>
      </c>
      <c r="B3318">
        <v>199</v>
      </c>
      <c r="C3318" t="str">
        <f>"12"</f>
        <v>12</v>
      </c>
      <c r="D3318">
        <v>6396</v>
      </c>
      <c r="E3318" t="str">
        <f>"7U"</f>
        <v>7U</v>
      </c>
      <c r="F3318" t="str">
        <f>"101"</f>
        <v>101</v>
      </c>
      <c r="G3318">
        <v>9</v>
      </c>
      <c r="H3318" t="str">
        <f>"11"</f>
        <v>11</v>
      </c>
      <c r="I3318" t="str">
        <f>"2"</f>
        <v>2</v>
      </c>
      <c r="J3318" t="str">
        <f>"04"</f>
        <v>04</v>
      </c>
      <c r="K3318">
        <v>20181105</v>
      </c>
      <c r="L3318" t="str">
        <f>"074530"</f>
        <v>074530</v>
      </c>
      <c r="M3318" t="str">
        <f>"79431"</f>
        <v>79431</v>
      </c>
      <c r="N3318" t="s">
        <v>2554</v>
      </c>
      <c r="O3318">
        <v>241.38</v>
      </c>
      <c r="P3318">
        <v>20181105</v>
      </c>
      <c r="Q3318" t="s">
        <v>2558</v>
      </c>
      <c r="R3318" t="s">
        <v>2556</v>
      </c>
      <c r="S3318" t="s">
        <v>1615</v>
      </c>
      <c r="T3318" t="s">
        <v>1479</v>
      </c>
    </row>
    <row r="3319" spans="1:20" x14ac:dyDescent="0.25">
      <c r="A3319">
        <v>9</v>
      </c>
      <c r="B3319">
        <v>199</v>
      </c>
      <c r="C3319" t="str">
        <f>"12"</f>
        <v>12</v>
      </c>
      <c r="D3319">
        <v>6396</v>
      </c>
      <c r="E3319" t="str">
        <f>"7U"</f>
        <v>7U</v>
      </c>
      <c r="F3319" t="str">
        <f>"104"</f>
        <v>104</v>
      </c>
      <c r="G3319">
        <v>9</v>
      </c>
      <c r="H3319" t="str">
        <f>"11"</f>
        <v>11</v>
      </c>
      <c r="I3319" t="str">
        <f>"2"</f>
        <v>2</v>
      </c>
      <c r="J3319" t="str">
        <f>"05"</f>
        <v>05</v>
      </c>
      <c r="K3319">
        <v>20181105</v>
      </c>
      <c r="L3319" t="str">
        <f>"074530"</f>
        <v>074530</v>
      </c>
      <c r="M3319" t="str">
        <f>"79431"</f>
        <v>79431</v>
      </c>
      <c r="N3319" t="s">
        <v>2554</v>
      </c>
      <c r="O3319">
        <v>242.46</v>
      </c>
      <c r="P3319">
        <v>20181105</v>
      </c>
      <c r="Q3319" t="s">
        <v>2559</v>
      </c>
      <c r="R3319" t="s">
        <v>2556</v>
      </c>
      <c r="S3319" t="s">
        <v>1615</v>
      </c>
      <c r="T3319" t="s">
        <v>46</v>
      </c>
    </row>
    <row r="3320" spans="1:20" x14ac:dyDescent="0.25">
      <c r="A3320">
        <v>9</v>
      </c>
      <c r="B3320">
        <v>199</v>
      </c>
      <c r="C3320" t="str">
        <f t="shared" ref="C3320:C3325" si="622">"11"</f>
        <v>11</v>
      </c>
      <c r="D3320">
        <v>6399</v>
      </c>
      <c r="E3320" t="str">
        <f>"V8"</f>
        <v>V8</v>
      </c>
      <c r="F3320" t="str">
        <f>"001"</f>
        <v>001</v>
      </c>
      <c r="G3320">
        <v>9</v>
      </c>
      <c r="H3320" t="str">
        <f>"22"</f>
        <v>22</v>
      </c>
      <c r="I3320" t="str">
        <f>"0"</f>
        <v>0</v>
      </c>
      <c r="J3320" t="str">
        <f>"22"</f>
        <v>22</v>
      </c>
      <c r="K3320">
        <v>20181109</v>
      </c>
      <c r="L3320" t="str">
        <f>"074532"</f>
        <v>074532</v>
      </c>
      <c r="M3320" t="str">
        <f>"01196"</f>
        <v>01196</v>
      </c>
      <c r="N3320" t="s">
        <v>2560</v>
      </c>
      <c r="O3320">
        <v>33.409999999999997</v>
      </c>
      <c r="P3320">
        <v>20181107</v>
      </c>
      <c r="Q3320" t="s">
        <v>2001</v>
      </c>
      <c r="R3320" t="s">
        <v>2561</v>
      </c>
      <c r="S3320" t="s">
        <v>1615</v>
      </c>
      <c r="T3320" t="s">
        <v>301</v>
      </c>
    </row>
    <row r="3321" spans="1:20" x14ac:dyDescent="0.25">
      <c r="A3321">
        <v>9</v>
      </c>
      <c r="B3321">
        <v>199</v>
      </c>
      <c r="C3321" t="str">
        <f t="shared" si="622"/>
        <v>11</v>
      </c>
      <c r="D3321">
        <v>6399</v>
      </c>
      <c r="E3321" t="str">
        <f>"V8"</f>
        <v>V8</v>
      </c>
      <c r="F3321" t="str">
        <f>"001"</f>
        <v>001</v>
      </c>
      <c r="G3321">
        <v>9</v>
      </c>
      <c r="H3321" t="str">
        <f>"22"</f>
        <v>22</v>
      </c>
      <c r="I3321" t="str">
        <f>"0"</f>
        <v>0</v>
      </c>
      <c r="J3321" t="str">
        <f>"22"</f>
        <v>22</v>
      </c>
      <c r="K3321">
        <v>20181109</v>
      </c>
      <c r="L3321" t="str">
        <f>"074532"</f>
        <v>074532</v>
      </c>
      <c r="M3321" t="str">
        <f>"01196"</f>
        <v>01196</v>
      </c>
      <c r="N3321" t="s">
        <v>2560</v>
      </c>
      <c r="O3321">
        <v>24.28</v>
      </c>
      <c r="P3321">
        <v>20181107</v>
      </c>
      <c r="Q3321" t="s">
        <v>2001</v>
      </c>
      <c r="R3321" t="s">
        <v>2562</v>
      </c>
      <c r="S3321" t="s">
        <v>1615</v>
      </c>
      <c r="T3321" t="s">
        <v>301</v>
      </c>
    </row>
    <row r="3322" spans="1:20" x14ac:dyDescent="0.25">
      <c r="A3322">
        <v>9</v>
      </c>
      <c r="B3322">
        <v>199</v>
      </c>
      <c r="C3322" t="str">
        <f t="shared" si="622"/>
        <v>11</v>
      </c>
      <c r="D3322">
        <v>6399</v>
      </c>
      <c r="E3322" t="str">
        <f>"8U"</f>
        <v>8U</v>
      </c>
      <c r="F3322" t="str">
        <f>"104"</f>
        <v>104</v>
      </c>
      <c r="G3322">
        <v>9</v>
      </c>
      <c r="H3322" t="str">
        <f>"11"</f>
        <v>11</v>
      </c>
      <c r="I3322" t="str">
        <f>"0"</f>
        <v>0</v>
      </c>
      <c r="J3322" t="str">
        <f>"05"</f>
        <v>05</v>
      </c>
      <c r="K3322">
        <v>20181109</v>
      </c>
      <c r="L3322" t="str">
        <f>"074533"</f>
        <v>074533</v>
      </c>
      <c r="M3322" t="str">
        <f>"00314"</f>
        <v>00314</v>
      </c>
      <c r="N3322" t="s">
        <v>1858</v>
      </c>
      <c r="O3322">
        <v>387.95</v>
      </c>
      <c r="P3322">
        <v>20181107</v>
      </c>
      <c r="Q3322" t="s">
        <v>2563</v>
      </c>
      <c r="R3322" t="s">
        <v>2564</v>
      </c>
      <c r="S3322" t="s">
        <v>1615</v>
      </c>
      <c r="T3322" t="s">
        <v>46</v>
      </c>
    </row>
    <row r="3323" spans="1:20" x14ac:dyDescent="0.25">
      <c r="A3323">
        <v>9</v>
      </c>
      <c r="B3323">
        <v>199</v>
      </c>
      <c r="C3323" t="str">
        <f t="shared" si="622"/>
        <v>11</v>
      </c>
      <c r="D3323">
        <v>6399</v>
      </c>
      <c r="E3323" t="str">
        <f>"10"</f>
        <v>10</v>
      </c>
      <c r="F3323" t="str">
        <f>"041"</f>
        <v>041</v>
      </c>
      <c r="G3323">
        <v>9</v>
      </c>
      <c r="H3323" t="str">
        <f>"11"</f>
        <v>11</v>
      </c>
      <c r="I3323" t="str">
        <f>"0"</f>
        <v>0</v>
      </c>
      <c r="J3323" t="str">
        <f>"80"</f>
        <v>80</v>
      </c>
      <c r="K3323">
        <v>20181109</v>
      </c>
      <c r="L3323" t="str">
        <f>"074535"</f>
        <v>074535</v>
      </c>
      <c r="M3323" t="str">
        <f>"04240"</f>
        <v>04240</v>
      </c>
      <c r="N3323" t="s">
        <v>2565</v>
      </c>
      <c r="O3323">
        <v>9.99</v>
      </c>
      <c r="P3323">
        <v>20181107</v>
      </c>
      <c r="Q3323" t="s">
        <v>2566</v>
      </c>
      <c r="R3323" t="s">
        <v>2567</v>
      </c>
      <c r="S3323" t="s">
        <v>1615</v>
      </c>
      <c r="T3323" t="s">
        <v>106</v>
      </c>
    </row>
    <row r="3324" spans="1:20" x14ac:dyDescent="0.25">
      <c r="A3324">
        <v>9</v>
      </c>
      <c r="B3324">
        <v>199</v>
      </c>
      <c r="C3324" t="str">
        <f t="shared" si="622"/>
        <v>11</v>
      </c>
      <c r="D3324">
        <v>6411</v>
      </c>
      <c r="E3324" t="str">
        <f>"VJ"</f>
        <v>VJ</v>
      </c>
      <c r="F3324" t="str">
        <f>"001"</f>
        <v>001</v>
      </c>
      <c r="G3324">
        <v>9</v>
      </c>
      <c r="H3324" t="str">
        <f>"22"</f>
        <v>22</v>
      </c>
      <c r="I3324" t="str">
        <f>"1"</f>
        <v>1</v>
      </c>
      <c r="J3324" t="str">
        <f>"22"</f>
        <v>22</v>
      </c>
      <c r="K3324">
        <v>20181109</v>
      </c>
      <c r="L3324" t="str">
        <f>"074540"</f>
        <v>074540</v>
      </c>
      <c r="M3324" t="str">
        <f>"00613"</f>
        <v>00613</v>
      </c>
      <c r="N3324" t="s">
        <v>2568</v>
      </c>
      <c r="O3324">
        <v>50</v>
      </c>
      <c r="P3324">
        <v>20181107</v>
      </c>
      <c r="Q3324" t="s">
        <v>2569</v>
      </c>
      <c r="R3324" t="s">
        <v>2570</v>
      </c>
      <c r="S3324" t="s">
        <v>1615</v>
      </c>
      <c r="T3324" t="s">
        <v>301</v>
      </c>
    </row>
    <row r="3325" spans="1:20" x14ac:dyDescent="0.25">
      <c r="A3325">
        <v>9</v>
      </c>
      <c r="B3325">
        <v>199</v>
      </c>
      <c r="C3325" t="str">
        <f t="shared" si="622"/>
        <v>11</v>
      </c>
      <c r="D3325">
        <v>6412</v>
      </c>
      <c r="E3325" t="str">
        <f>"VJ"</f>
        <v>VJ</v>
      </c>
      <c r="F3325" t="str">
        <f>"001"</f>
        <v>001</v>
      </c>
      <c r="G3325">
        <v>9</v>
      </c>
      <c r="H3325" t="str">
        <f>"22"</f>
        <v>22</v>
      </c>
      <c r="I3325" t="str">
        <f>"1"</f>
        <v>1</v>
      </c>
      <c r="J3325" t="str">
        <f>"22"</f>
        <v>22</v>
      </c>
      <c r="K3325">
        <v>20181109</v>
      </c>
      <c r="L3325" t="str">
        <f>"074540"</f>
        <v>074540</v>
      </c>
      <c r="M3325" t="str">
        <f>"00613"</f>
        <v>00613</v>
      </c>
      <c r="N3325" t="s">
        <v>2568</v>
      </c>
      <c r="O3325">
        <v>330</v>
      </c>
      <c r="P3325">
        <v>20181107</v>
      </c>
      <c r="Q3325" t="s">
        <v>2571</v>
      </c>
      <c r="R3325" t="s">
        <v>2570</v>
      </c>
      <c r="S3325" t="s">
        <v>1615</v>
      </c>
      <c r="T3325" t="s">
        <v>301</v>
      </c>
    </row>
    <row r="3326" spans="1:20" x14ac:dyDescent="0.25">
      <c r="A3326">
        <v>9</v>
      </c>
      <c r="B3326">
        <v>199</v>
      </c>
      <c r="C3326" t="str">
        <f>"41"</f>
        <v>41</v>
      </c>
      <c r="D3326">
        <v>6211</v>
      </c>
      <c r="E3326" t="str">
        <f>"01"</f>
        <v>01</v>
      </c>
      <c r="F3326" t="str">
        <f>"702"</f>
        <v>702</v>
      </c>
      <c r="G3326">
        <v>9</v>
      </c>
      <c r="H3326" t="str">
        <f>"99"</f>
        <v>99</v>
      </c>
      <c r="I3326" t="str">
        <f t="shared" ref="I3326:I3339" si="623">"0"</f>
        <v>0</v>
      </c>
      <c r="J3326" t="str">
        <f>"93"</f>
        <v>93</v>
      </c>
      <c r="K3326">
        <v>20181109</v>
      </c>
      <c r="L3326" t="str">
        <f>"074541"</f>
        <v>074541</v>
      </c>
      <c r="M3326" t="str">
        <f>"13281"</f>
        <v>13281</v>
      </c>
      <c r="N3326" t="s">
        <v>1684</v>
      </c>
      <c r="O3326" s="1">
        <v>3208.33</v>
      </c>
      <c r="P3326">
        <v>20181107</v>
      </c>
      <c r="Q3326" t="s">
        <v>1685</v>
      </c>
      <c r="R3326" t="s">
        <v>2572</v>
      </c>
      <c r="S3326" t="s">
        <v>1615</v>
      </c>
      <c r="T3326" t="s">
        <v>1611</v>
      </c>
    </row>
    <row r="3327" spans="1:20" x14ac:dyDescent="0.25">
      <c r="A3327">
        <v>9</v>
      </c>
      <c r="B3327">
        <v>199</v>
      </c>
      <c r="C3327" t="str">
        <f>"13"</f>
        <v>13</v>
      </c>
      <c r="D3327">
        <v>6411</v>
      </c>
      <c r="E3327" t="str">
        <f>"PD"</f>
        <v>PD</v>
      </c>
      <c r="F3327" t="str">
        <f>"001"</f>
        <v>001</v>
      </c>
      <c r="G3327">
        <v>9</v>
      </c>
      <c r="H3327" t="str">
        <f>"31"</f>
        <v>31</v>
      </c>
      <c r="I3327" t="str">
        <f t="shared" si="623"/>
        <v>0</v>
      </c>
      <c r="J3327" t="str">
        <f>"34"</f>
        <v>34</v>
      </c>
      <c r="K3327">
        <v>20181109</v>
      </c>
      <c r="L3327" t="str">
        <f>"074543"</f>
        <v>074543</v>
      </c>
      <c r="M3327" t="str">
        <f>"00612"</f>
        <v>00612</v>
      </c>
      <c r="N3327" t="s">
        <v>2573</v>
      </c>
      <c r="O3327">
        <v>41.64</v>
      </c>
      <c r="P3327">
        <v>20181107</v>
      </c>
      <c r="Q3327" t="s">
        <v>2220</v>
      </c>
      <c r="R3327" t="s">
        <v>2221</v>
      </c>
      <c r="S3327" t="s">
        <v>1615</v>
      </c>
      <c r="T3327" t="s">
        <v>301</v>
      </c>
    </row>
    <row r="3328" spans="1:20" x14ac:dyDescent="0.25">
      <c r="A3328">
        <v>9</v>
      </c>
      <c r="B3328">
        <v>199</v>
      </c>
      <c r="C3328" t="str">
        <f>"36"</f>
        <v>36</v>
      </c>
      <c r="D3328">
        <v>6299</v>
      </c>
      <c r="E3328" t="str">
        <f>"HC"</f>
        <v>HC</v>
      </c>
      <c r="F3328" t="str">
        <f>"001"</f>
        <v>001</v>
      </c>
      <c r="G3328">
        <v>9</v>
      </c>
      <c r="H3328" t="str">
        <f>"99"</f>
        <v>99</v>
      </c>
      <c r="I3328" t="str">
        <f t="shared" si="623"/>
        <v>0</v>
      </c>
      <c r="J3328" t="str">
        <f>"01"</f>
        <v>01</v>
      </c>
      <c r="K3328">
        <v>20181109</v>
      </c>
      <c r="L3328" t="str">
        <f>"074544"</f>
        <v>074544</v>
      </c>
      <c r="M3328" t="str">
        <f>"19079"</f>
        <v>19079</v>
      </c>
      <c r="N3328" t="s">
        <v>326</v>
      </c>
      <c r="O3328">
        <v>164.76</v>
      </c>
      <c r="P3328">
        <v>20181107</v>
      </c>
      <c r="Q3328" t="s">
        <v>2574</v>
      </c>
      <c r="R3328" t="s">
        <v>1771</v>
      </c>
      <c r="S3328" t="s">
        <v>1615</v>
      </c>
      <c r="T3328" t="s">
        <v>301</v>
      </c>
    </row>
    <row r="3329" spans="1:20" x14ac:dyDescent="0.25">
      <c r="A3329">
        <v>9</v>
      </c>
      <c r="B3329">
        <v>199</v>
      </c>
      <c r="C3329" t="str">
        <f>"13"</f>
        <v>13</v>
      </c>
      <c r="D3329">
        <v>6411</v>
      </c>
      <c r="E3329" t="str">
        <f>"PD"</f>
        <v>PD</v>
      </c>
      <c r="F3329" t="str">
        <f>"001"</f>
        <v>001</v>
      </c>
      <c r="G3329">
        <v>9</v>
      </c>
      <c r="H3329" t="str">
        <f>"31"</f>
        <v>31</v>
      </c>
      <c r="I3329" t="str">
        <f t="shared" si="623"/>
        <v>0</v>
      </c>
      <c r="J3329" t="str">
        <f>"34"</f>
        <v>34</v>
      </c>
      <c r="K3329">
        <v>20181109</v>
      </c>
      <c r="L3329" t="str">
        <f>"074546"</f>
        <v>074546</v>
      </c>
      <c r="M3329" t="str">
        <f>"31367"</f>
        <v>31367</v>
      </c>
      <c r="N3329" t="s">
        <v>2199</v>
      </c>
      <c r="O3329">
        <v>42.71</v>
      </c>
      <c r="P3329">
        <v>20181107</v>
      </c>
      <c r="Q3329" t="s">
        <v>2220</v>
      </c>
      <c r="R3329" t="s">
        <v>2221</v>
      </c>
      <c r="S3329" t="s">
        <v>1615</v>
      </c>
      <c r="T3329" t="s">
        <v>301</v>
      </c>
    </row>
    <row r="3330" spans="1:20" x14ac:dyDescent="0.25">
      <c r="A3330">
        <v>9</v>
      </c>
      <c r="B3330">
        <v>199</v>
      </c>
      <c r="C3330" t="str">
        <f>"13"</f>
        <v>13</v>
      </c>
      <c r="D3330">
        <v>6411</v>
      </c>
      <c r="E3330" t="str">
        <f>"PD"</f>
        <v>PD</v>
      </c>
      <c r="F3330" t="str">
        <f>"001"</f>
        <v>001</v>
      </c>
      <c r="G3330">
        <v>9</v>
      </c>
      <c r="H3330" t="str">
        <f>"31"</f>
        <v>31</v>
      </c>
      <c r="I3330" t="str">
        <f t="shared" si="623"/>
        <v>0</v>
      </c>
      <c r="J3330" t="str">
        <f>"34"</f>
        <v>34</v>
      </c>
      <c r="K3330">
        <v>20181109</v>
      </c>
      <c r="L3330" t="str">
        <f>"074548"</f>
        <v>074548</v>
      </c>
      <c r="M3330" t="str">
        <f>"19291"</f>
        <v>19291</v>
      </c>
      <c r="N3330" t="s">
        <v>2575</v>
      </c>
      <c r="O3330">
        <v>95</v>
      </c>
      <c r="P3330">
        <v>20181107</v>
      </c>
      <c r="Q3330" t="s">
        <v>2220</v>
      </c>
      <c r="R3330" t="s">
        <v>2221</v>
      </c>
      <c r="S3330" t="s">
        <v>1615</v>
      </c>
      <c r="T3330" t="s">
        <v>301</v>
      </c>
    </row>
    <row r="3331" spans="1:20" x14ac:dyDescent="0.25">
      <c r="A3331">
        <v>9</v>
      </c>
      <c r="B3331">
        <v>199</v>
      </c>
      <c r="C3331" t="str">
        <f>"34"</f>
        <v>34</v>
      </c>
      <c r="D3331">
        <v>6399</v>
      </c>
      <c r="E3331" t="str">
        <f>"11"</f>
        <v>11</v>
      </c>
      <c r="F3331" t="str">
        <f>"937"</f>
        <v>937</v>
      </c>
      <c r="G3331">
        <v>9</v>
      </c>
      <c r="H3331" t="str">
        <f>"99"</f>
        <v>99</v>
      </c>
      <c r="I3331" t="str">
        <f t="shared" si="623"/>
        <v>0</v>
      </c>
      <c r="J3331" t="str">
        <f>"82"</f>
        <v>82</v>
      </c>
      <c r="K3331">
        <v>20181109</v>
      </c>
      <c r="L3331" t="str">
        <f>"074550"</f>
        <v>074550</v>
      </c>
      <c r="M3331" t="str">
        <f>"21842"</f>
        <v>21842</v>
      </c>
      <c r="N3331" t="s">
        <v>2576</v>
      </c>
      <c r="O3331">
        <v>278.85000000000002</v>
      </c>
      <c r="P3331">
        <v>20181107</v>
      </c>
      <c r="Q3331" t="s">
        <v>2210</v>
      </c>
      <c r="R3331" t="s">
        <v>2577</v>
      </c>
      <c r="S3331" t="s">
        <v>1615</v>
      </c>
      <c r="T3331" t="s">
        <v>1810</v>
      </c>
    </row>
    <row r="3332" spans="1:20" x14ac:dyDescent="0.25">
      <c r="A3332">
        <v>9</v>
      </c>
      <c r="B3332">
        <v>199</v>
      </c>
      <c r="C3332" t="str">
        <f>"51"</f>
        <v>51</v>
      </c>
      <c r="D3332">
        <v>6319</v>
      </c>
      <c r="E3332" t="str">
        <f>"M2"</f>
        <v>M2</v>
      </c>
      <c r="F3332" t="str">
        <f>"936"</f>
        <v>936</v>
      </c>
      <c r="G3332">
        <v>9</v>
      </c>
      <c r="H3332" t="str">
        <f>"99"</f>
        <v>99</v>
      </c>
      <c r="I3332" t="str">
        <f t="shared" si="623"/>
        <v>0</v>
      </c>
      <c r="J3332" t="str">
        <f>"81"</f>
        <v>81</v>
      </c>
      <c r="K3332">
        <v>20181109</v>
      </c>
      <c r="L3332" t="str">
        <f>"074550"</f>
        <v>074550</v>
      </c>
      <c r="M3332" t="str">
        <f>"21842"</f>
        <v>21842</v>
      </c>
      <c r="N3332" t="s">
        <v>2576</v>
      </c>
      <c r="O3332">
        <v>92.95</v>
      </c>
      <c r="P3332">
        <v>20181107</v>
      </c>
      <c r="Q3332" t="s">
        <v>2074</v>
      </c>
      <c r="R3332" t="s">
        <v>2578</v>
      </c>
      <c r="S3332" t="s">
        <v>1615</v>
      </c>
      <c r="T3332" t="s">
        <v>1713</v>
      </c>
    </row>
    <row r="3333" spans="1:20" x14ac:dyDescent="0.25">
      <c r="A3333">
        <v>9</v>
      </c>
      <c r="B3333">
        <v>199</v>
      </c>
      <c r="C3333" t="str">
        <f>"11"</f>
        <v>11</v>
      </c>
      <c r="D3333">
        <v>6399</v>
      </c>
      <c r="E3333" t="str">
        <f>"45"</f>
        <v>45</v>
      </c>
      <c r="F3333" t="str">
        <f>"041"</f>
        <v>041</v>
      </c>
      <c r="G3333">
        <v>9</v>
      </c>
      <c r="H3333" t="str">
        <f>"11"</f>
        <v>11</v>
      </c>
      <c r="I3333" t="str">
        <f t="shared" si="623"/>
        <v>0</v>
      </c>
      <c r="J3333" t="str">
        <f>"03"</f>
        <v>03</v>
      </c>
      <c r="K3333">
        <v>20181109</v>
      </c>
      <c r="L3333" t="str">
        <f>"074551"</f>
        <v>074551</v>
      </c>
      <c r="M3333" t="str">
        <f>"14821"</f>
        <v>14821</v>
      </c>
      <c r="N3333" t="s">
        <v>1224</v>
      </c>
      <c r="O3333" s="1">
        <v>1114.4000000000001</v>
      </c>
      <c r="P3333">
        <v>20181107</v>
      </c>
      <c r="Q3333" t="s">
        <v>2204</v>
      </c>
      <c r="R3333" t="s">
        <v>1225</v>
      </c>
      <c r="S3333" t="s">
        <v>1615</v>
      </c>
      <c r="T3333" t="s">
        <v>106</v>
      </c>
    </row>
    <row r="3334" spans="1:20" x14ac:dyDescent="0.25">
      <c r="A3334">
        <v>9</v>
      </c>
      <c r="B3334">
        <v>199</v>
      </c>
      <c r="C3334" t="str">
        <f>"11"</f>
        <v>11</v>
      </c>
      <c r="D3334">
        <v>6399</v>
      </c>
      <c r="E3334" t="str">
        <f>"45"</f>
        <v>45</v>
      </c>
      <c r="F3334" t="str">
        <f>"101"</f>
        <v>101</v>
      </c>
      <c r="G3334">
        <v>9</v>
      </c>
      <c r="H3334" t="str">
        <f>"11"</f>
        <v>11</v>
      </c>
      <c r="I3334" t="str">
        <f t="shared" si="623"/>
        <v>0</v>
      </c>
      <c r="J3334" t="str">
        <f>"04"</f>
        <v>04</v>
      </c>
      <c r="K3334">
        <v>20181109</v>
      </c>
      <c r="L3334" t="str">
        <f>"074551"</f>
        <v>074551</v>
      </c>
      <c r="M3334" t="str">
        <f>"14821"</f>
        <v>14821</v>
      </c>
      <c r="N3334" t="s">
        <v>1224</v>
      </c>
      <c r="O3334" s="1">
        <v>1393</v>
      </c>
      <c r="P3334">
        <v>20181107</v>
      </c>
      <c r="Q3334" t="s">
        <v>1859</v>
      </c>
      <c r="R3334" t="s">
        <v>1225</v>
      </c>
      <c r="S3334" t="s">
        <v>1615</v>
      </c>
      <c r="T3334" t="s">
        <v>1479</v>
      </c>
    </row>
    <row r="3335" spans="1:20" x14ac:dyDescent="0.25">
      <c r="A3335">
        <v>9</v>
      </c>
      <c r="B3335">
        <v>199</v>
      </c>
      <c r="C3335" t="str">
        <f>"11"</f>
        <v>11</v>
      </c>
      <c r="D3335">
        <v>6399</v>
      </c>
      <c r="E3335" t="str">
        <f>"45"</f>
        <v>45</v>
      </c>
      <c r="F3335" t="str">
        <f>"104"</f>
        <v>104</v>
      </c>
      <c r="G3335">
        <v>9</v>
      </c>
      <c r="H3335" t="str">
        <f>"11"</f>
        <v>11</v>
      </c>
      <c r="I3335" t="str">
        <f t="shared" si="623"/>
        <v>0</v>
      </c>
      <c r="J3335" t="str">
        <f>"05"</f>
        <v>05</v>
      </c>
      <c r="K3335">
        <v>20181109</v>
      </c>
      <c r="L3335" t="str">
        <f>"074551"</f>
        <v>074551</v>
      </c>
      <c r="M3335" t="str">
        <f>"14821"</f>
        <v>14821</v>
      </c>
      <c r="N3335" t="s">
        <v>1224</v>
      </c>
      <c r="O3335" s="1">
        <v>2089.5</v>
      </c>
      <c r="P3335">
        <v>20181107</v>
      </c>
      <c r="Q3335" t="s">
        <v>2069</v>
      </c>
      <c r="R3335" t="s">
        <v>1225</v>
      </c>
      <c r="S3335" t="s">
        <v>1615</v>
      </c>
      <c r="T3335" t="s">
        <v>46</v>
      </c>
    </row>
    <row r="3336" spans="1:20" x14ac:dyDescent="0.25">
      <c r="A3336">
        <v>9</v>
      </c>
      <c r="B3336">
        <v>199</v>
      </c>
      <c r="C3336" t="str">
        <f>"13"</f>
        <v>13</v>
      </c>
      <c r="D3336">
        <v>6411</v>
      </c>
      <c r="E3336" t="str">
        <f>"00"</f>
        <v>00</v>
      </c>
      <c r="F3336" t="str">
        <f>"101"</f>
        <v>101</v>
      </c>
      <c r="G3336">
        <v>9</v>
      </c>
      <c r="H3336" t="str">
        <f>"25"</f>
        <v>25</v>
      </c>
      <c r="I3336" t="str">
        <f t="shared" si="623"/>
        <v>0</v>
      </c>
      <c r="J3336" t="str">
        <f>"25"</f>
        <v>25</v>
      </c>
      <c r="K3336">
        <v>20181109</v>
      </c>
      <c r="L3336" t="str">
        <f>"074553"</f>
        <v>074553</v>
      </c>
      <c r="M3336" t="str">
        <f>"19353"</f>
        <v>19353</v>
      </c>
      <c r="N3336" t="s">
        <v>2579</v>
      </c>
      <c r="O3336">
        <v>57.8</v>
      </c>
      <c r="P3336">
        <v>20181107</v>
      </c>
      <c r="Q3336" t="s">
        <v>1717</v>
      </c>
      <c r="R3336" t="s">
        <v>1718</v>
      </c>
      <c r="S3336" t="s">
        <v>1615</v>
      </c>
      <c r="T3336" t="s">
        <v>1479</v>
      </c>
    </row>
    <row r="3337" spans="1:20" x14ac:dyDescent="0.25">
      <c r="A3337">
        <v>9</v>
      </c>
      <c r="B3337">
        <v>199</v>
      </c>
      <c r="C3337" t="str">
        <f>"34"</f>
        <v>34</v>
      </c>
      <c r="D3337">
        <v>6399</v>
      </c>
      <c r="E3337" t="str">
        <f>"11"</f>
        <v>11</v>
      </c>
      <c r="F3337" t="str">
        <f>"937"</f>
        <v>937</v>
      </c>
      <c r="G3337">
        <v>9</v>
      </c>
      <c r="H3337" t="str">
        <f>"99"</f>
        <v>99</v>
      </c>
      <c r="I3337" t="str">
        <f t="shared" si="623"/>
        <v>0</v>
      </c>
      <c r="J3337" t="str">
        <f>"82"</f>
        <v>82</v>
      </c>
      <c r="K3337">
        <v>20181109</v>
      </c>
      <c r="L3337" t="str">
        <f>"074554"</f>
        <v>074554</v>
      </c>
      <c r="M3337" t="str">
        <f>"19425"</f>
        <v>19425</v>
      </c>
      <c r="N3337" t="s">
        <v>2209</v>
      </c>
      <c r="O3337">
        <v>357.56</v>
      </c>
      <c r="P3337">
        <v>20181107</v>
      </c>
      <c r="Q3337" t="s">
        <v>2210</v>
      </c>
      <c r="R3337" t="s">
        <v>2580</v>
      </c>
      <c r="S3337" t="s">
        <v>1615</v>
      </c>
      <c r="T3337" t="s">
        <v>1810</v>
      </c>
    </row>
    <row r="3338" spans="1:20" x14ac:dyDescent="0.25">
      <c r="A3338">
        <v>9</v>
      </c>
      <c r="B3338">
        <v>199</v>
      </c>
      <c r="C3338" t="str">
        <f>"34"</f>
        <v>34</v>
      </c>
      <c r="D3338">
        <v>6399</v>
      </c>
      <c r="E3338" t="str">
        <f>"11"</f>
        <v>11</v>
      </c>
      <c r="F3338" t="str">
        <f>"937"</f>
        <v>937</v>
      </c>
      <c r="G3338">
        <v>9</v>
      </c>
      <c r="H3338" t="str">
        <f>"99"</f>
        <v>99</v>
      </c>
      <c r="I3338" t="str">
        <f t="shared" si="623"/>
        <v>0</v>
      </c>
      <c r="J3338" t="str">
        <f>"82"</f>
        <v>82</v>
      </c>
      <c r="K3338">
        <v>20181109</v>
      </c>
      <c r="L3338" t="str">
        <f>"074554"</f>
        <v>074554</v>
      </c>
      <c r="M3338" t="str">
        <f>"19425"</f>
        <v>19425</v>
      </c>
      <c r="N3338" t="s">
        <v>2209</v>
      </c>
      <c r="O3338">
        <v>195.77</v>
      </c>
      <c r="P3338">
        <v>20181107</v>
      </c>
      <c r="Q3338" t="s">
        <v>2210</v>
      </c>
      <c r="R3338" t="s">
        <v>2581</v>
      </c>
      <c r="S3338" t="s">
        <v>1615</v>
      </c>
      <c r="T3338" t="s">
        <v>1810</v>
      </c>
    </row>
    <row r="3339" spans="1:20" x14ac:dyDescent="0.25">
      <c r="A3339">
        <v>9</v>
      </c>
      <c r="B3339">
        <v>199</v>
      </c>
      <c r="C3339" t="str">
        <f>"36"</f>
        <v>36</v>
      </c>
      <c r="D3339">
        <v>6411</v>
      </c>
      <c r="E3339" t="str">
        <f>"7B"</f>
        <v>7B</v>
      </c>
      <c r="F3339" t="str">
        <f>"001"</f>
        <v>001</v>
      </c>
      <c r="G3339">
        <v>9</v>
      </c>
      <c r="H3339" t="str">
        <f>"99"</f>
        <v>99</v>
      </c>
      <c r="I3339" t="str">
        <f t="shared" si="623"/>
        <v>0</v>
      </c>
      <c r="J3339" t="str">
        <f>"32"</f>
        <v>32</v>
      </c>
      <c r="K3339">
        <v>20181109</v>
      </c>
      <c r="L3339" t="str">
        <f>"074555"</f>
        <v>074555</v>
      </c>
      <c r="M3339" t="str">
        <f>"20416"</f>
        <v>20416</v>
      </c>
      <c r="N3339" t="s">
        <v>1693</v>
      </c>
      <c r="O3339">
        <v>30</v>
      </c>
      <c r="P3339">
        <v>20181108</v>
      </c>
      <c r="Q3339" t="s">
        <v>1694</v>
      </c>
      <c r="R3339" t="s">
        <v>2536</v>
      </c>
      <c r="S3339" t="s">
        <v>1615</v>
      </c>
      <c r="T3339" t="s">
        <v>301</v>
      </c>
    </row>
    <row r="3340" spans="1:20" x14ac:dyDescent="0.25">
      <c r="A3340">
        <v>9</v>
      </c>
      <c r="B3340">
        <v>199</v>
      </c>
      <c r="C3340" t="str">
        <f>"36"</f>
        <v>36</v>
      </c>
      <c r="D3340">
        <v>6412</v>
      </c>
      <c r="E3340" t="str">
        <f>"7B"</f>
        <v>7B</v>
      </c>
      <c r="F3340" t="str">
        <f>"001"</f>
        <v>001</v>
      </c>
      <c r="G3340">
        <v>9</v>
      </c>
      <c r="H3340" t="str">
        <f>"99"</f>
        <v>99</v>
      </c>
      <c r="I3340" t="str">
        <f>"1"</f>
        <v>1</v>
      </c>
      <c r="J3340" t="str">
        <f>"32"</f>
        <v>32</v>
      </c>
      <c r="K3340">
        <v>20181109</v>
      </c>
      <c r="L3340" t="str">
        <f>"074555"</f>
        <v>074555</v>
      </c>
      <c r="M3340" t="str">
        <f>"20416"</f>
        <v>20416</v>
      </c>
      <c r="N3340" t="s">
        <v>1693</v>
      </c>
      <c r="O3340">
        <v>235</v>
      </c>
      <c r="P3340">
        <v>20181108</v>
      </c>
      <c r="Q3340" t="s">
        <v>1696</v>
      </c>
      <c r="R3340" t="s">
        <v>2536</v>
      </c>
      <c r="S3340" t="s">
        <v>1615</v>
      </c>
      <c r="T3340" t="s">
        <v>301</v>
      </c>
    </row>
    <row r="3341" spans="1:20" x14ac:dyDescent="0.25">
      <c r="A3341">
        <v>9</v>
      </c>
      <c r="B3341">
        <v>199</v>
      </c>
      <c r="C3341" t="str">
        <f>"13"</f>
        <v>13</v>
      </c>
      <c r="D3341">
        <v>6411</v>
      </c>
      <c r="E3341" t="str">
        <f>"PD"</f>
        <v>PD</v>
      </c>
      <c r="F3341" t="str">
        <f>"001"</f>
        <v>001</v>
      </c>
      <c r="G3341">
        <v>9</v>
      </c>
      <c r="H3341" t="str">
        <f>"31"</f>
        <v>31</v>
      </c>
      <c r="I3341" t="str">
        <f t="shared" ref="I3341:I3356" si="624">"0"</f>
        <v>0</v>
      </c>
      <c r="J3341" t="str">
        <f>"34"</f>
        <v>34</v>
      </c>
      <c r="K3341">
        <v>20181109</v>
      </c>
      <c r="L3341" t="str">
        <f>"074557"</f>
        <v>074557</v>
      </c>
      <c r="M3341" t="str">
        <f>"20430"</f>
        <v>20430</v>
      </c>
      <c r="N3341" t="s">
        <v>2582</v>
      </c>
      <c r="O3341">
        <v>43.77</v>
      </c>
      <c r="P3341">
        <v>20181107</v>
      </c>
      <c r="Q3341" t="s">
        <v>2220</v>
      </c>
      <c r="R3341" t="s">
        <v>2221</v>
      </c>
      <c r="S3341" t="s">
        <v>1615</v>
      </c>
      <c r="T3341" t="s">
        <v>301</v>
      </c>
    </row>
    <row r="3342" spans="1:20" x14ac:dyDescent="0.25">
      <c r="A3342">
        <v>9</v>
      </c>
      <c r="B3342">
        <v>199</v>
      </c>
      <c r="C3342" t="str">
        <f t="shared" ref="C3342:C3356" si="625">"51"</f>
        <v>51</v>
      </c>
      <c r="D3342">
        <v>6255</v>
      </c>
      <c r="E3342" t="str">
        <f t="shared" ref="E3342:E3348" si="626">"10"</f>
        <v>10</v>
      </c>
      <c r="F3342" t="str">
        <f>"001"</f>
        <v>001</v>
      </c>
      <c r="G3342">
        <v>9</v>
      </c>
      <c r="H3342" t="str">
        <f t="shared" ref="H3342:H3356" si="627">"99"</f>
        <v>99</v>
      </c>
      <c r="I3342" t="str">
        <f t="shared" si="624"/>
        <v>0</v>
      </c>
      <c r="J3342" t="str">
        <f t="shared" ref="J3342:J3356" si="628">"73"</f>
        <v>73</v>
      </c>
      <c r="K3342">
        <v>20181109</v>
      </c>
      <c r="L3342" t="str">
        <f t="shared" ref="L3342:L3356" si="629">"074559"</f>
        <v>074559</v>
      </c>
      <c r="M3342" t="str">
        <f t="shared" ref="M3342:M3356" si="630">"20706"</f>
        <v>20706</v>
      </c>
      <c r="N3342" t="s">
        <v>2003</v>
      </c>
      <c r="O3342" s="1">
        <v>7706.44</v>
      </c>
      <c r="P3342">
        <v>20181107</v>
      </c>
      <c r="Q3342" t="s">
        <v>2004</v>
      </c>
      <c r="R3342" t="s">
        <v>2583</v>
      </c>
      <c r="S3342" t="s">
        <v>1615</v>
      </c>
      <c r="T3342" t="s">
        <v>301</v>
      </c>
    </row>
    <row r="3343" spans="1:20" x14ac:dyDescent="0.25">
      <c r="A3343">
        <v>9</v>
      </c>
      <c r="B3343">
        <v>199</v>
      </c>
      <c r="C3343" t="str">
        <f t="shared" si="625"/>
        <v>51</v>
      </c>
      <c r="D3343">
        <v>6255</v>
      </c>
      <c r="E3343" t="str">
        <f t="shared" si="626"/>
        <v>10</v>
      </c>
      <c r="F3343" t="str">
        <f>"002"</f>
        <v>002</v>
      </c>
      <c r="G3343">
        <v>9</v>
      </c>
      <c r="H3343" t="str">
        <f t="shared" si="627"/>
        <v>99</v>
      </c>
      <c r="I3343" t="str">
        <f t="shared" si="624"/>
        <v>0</v>
      </c>
      <c r="J3343" t="str">
        <f t="shared" si="628"/>
        <v>73</v>
      </c>
      <c r="K3343">
        <v>20181109</v>
      </c>
      <c r="L3343" t="str">
        <f t="shared" si="629"/>
        <v>074559</v>
      </c>
      <c r="M3343" t="str">
        <f t="shared" si="630"/>
        <v>20706</v>
      </c>
      <c r="N3343" t="s">
        <v>2003</v>
      </c>
      <c r="O3343">
        <v>46.85</v>
      </c>
      <c r="P3343">
        <v>20181107</v>
      </c>
      <c r="Q3343" t="s">
        <v>2006</v>
      </c>
      <c r="R3343" t="s">
        <v>2584</v>
      </c>
      <c r="S3343" t="s">
        <v>1615</v>
      </c>
      <c r="T3343" t="s">
        <v>1485</v>
      </c>
    </row>
    <row r="3344" spans="1:20" x14ac:dyDescent="0.25">
      <c r="A3344">
        <v>9</v>
      </c>
      <c r="B3344">
        <v>199</v>
      </c>
      <c r="C3344" t="str">
        <f t="shared" si="625"/>
        <v>51</v>
      </c>
      <c r="D3344">
        <v>6255</v>
      </c>
      <c r="E3344" t="str">
        <f t="shared" si="626"/>
        <v>10</v>
      </c>
      <c r="F3344" t="str">
        <f>"041"</f>
        <v>041</v>
      </c>
      <c r="G3344">
        <v>9</v>
      </c>
      <c r="H3344" t="str">
        <f t="shared" si="627"/>
        <v>99</v>
      </c>
      <c r="I3344" t="str">
        <f t="shared" si="624"/>
        <v>0</v>
      </c>
      <c r="J3344" t="str">
        <f t="shared" si="628"/>
        <v>73</v>
      </c>
      <c r="K3344">
        <v>20181109</v>
      </c>
      <c r="L3344" t="str">
        <f t="shared" si="629"/>
        <v>074559</v>
      </c>
      <c r="M3344" t="str">
        <f t="shared" si="630"/>
        <v>20706</v>
      </c>
      <c r="N3344" t="s">
        <v>2003</v>
      </c>
      <c r="O3344" s="1">
        <v>1078.53</v>
      </c>
      <c r="P3344">
        <v>20181107</v>
      </c>
      <c r="Q3344" t="s">
        <v>2008</v>
      </c>
      <c r="R3344" t="s">
        <v>2585</v>
      </c>
      <c r="S3344" t="s">
        <v>1615</v>
      </c>
      <c r="T3344" t="s">
        <v>106</v>
      </c>
    </row>
    <row r="3345" spans="1:20" x14ac:dyDescent="0.25">
      <c r="A3345">
        <v>9</v>
      </c>
      <c r="B3345">
        <v>199</v>
      </c>
      <c r="C3345" t="str">
        <f t="shared" si="625"/>
        <v>51</v>
      </c>
      <c r="D3345">
        <v>6255</v>
      </c>
      <c r="E3345" t="str">
        <f t="shared" si="626"/>
        <v>10</v>
      </c>
      <c r="F3345" t="str">
        <f>"101"</f>
        <v>101</v>
      </c>
      <c r="G3345">
        <v>9</v>
      </c>
      <c r="H3345" t="str">
        <f t="shared" si="627"/>
        <v>99</v>
      </c>
      <c r="I3345" t="str">
        <f t="shared" si="624"/>
        <v>0</v>
      </c>
      <c r="J3345" t="str">
        <f t="shared" si="628"/>
        <v>73</v>
      </c>
      <c r="K3345">
        <v>20181109</v>
      </c>
      <c r="L3345" t="str">
        <f t="shared" si="629"/>
        <v>074559</v>
      </c>
      <c r="M3345" t="str">
        <f t="shared" si="630"/>
        <v>20706</v>
      </c>
      <c r="N3345" t="s">
        <v>2003</v>
      </c>
      <c r="O3345" s="1">
        <v>2193.0700000000002</v>
      </c>
      <c r="P3345">
        <v>20181107</v>
      </c>
      <c r="Q3345" t="s">
        <v>2010</v>
      </c>
      <c r="R3345" t="s">
        <v>2586</v>
      </c>
      <c r="S3345" t="s">
        <v>1615</v>
      </c>
      <c r="T3345" t="s">
        <v>1479</v>
      </c>
    </row>
    <row r="3346" spans="1:20" x14ac:dyDescent="0.25">
      <c r="A3346">
        <v>9</v>
      </c>
      <c r="B3346">
        <v>199</v>
      </c>
      <c r="C3346" t="str">
        <f t="shared" si="625"/>
        <v>51</v>
      </c>
      <c r="D3346">
        <v>6255</v>
      </c>
      <c r="E3346" t="str">
        <f t="shared" si="626"/>
        <v>10</v>
      </c>
      <c r="F3346" t="str">
        <f>"104"</f>
        <v>104</v>
      </c>
      <c r="G3346">
        <v>9</v>
      </c>
      <c r="H3346" t="str">
        <f t="shared" si="627"/>
        <v>99</v>
      </c>
      <c r="I3346" t="str">
        <f t="shared" si="624"/>
        <v>0</v>
      </c>
      <c r="J3346" t="str">
        <f t="shared" si="628"/>
        <v>73</v>
      </c>
      <c r="K3346">
        <v>20181109</v>
      </c>
      <c r="L3346" t="str">
        <f t="shared" si="629"/>
        <v>074559</v>
      </c>
      <c r="M3346" t="str">
        <f t="shared" si="630"/>
        <v>20706</v>
      </c>
      <c r="N3346" t="s">
        <v>2003</v>
      </c>
      <c r="O3346" s="1">
        <v>1698.11</v>
      </c>
      <c r="P3346">
        <v>20181107</v>
      </c>
      <c r="Q3346" t="s">
        <v>2012</v>
      </c>
      <c r="R3346" t="s">
        <v>2587</v>
      </c>
      <c r="S3346" t="s">
        <v>1615</v>
      </c>
      <c r="T3346" t="s">
        <v>46</v>
      </c>
    </row>
    <row r="3347" spans="1:20" x14ac:dyDescent="0.25">
      <c r="A3347">
        <v>9</v>
      </c>
      <c r="B3347">
        <v>199</v>
      </c>
      <c r="C3347" t="str">
        <f t="shared" si="625"/>
        <v>51</v>
      </c>
      <c r="D3347">
        <v>6255</v>
      </c>
      <c r="E3347" t="str">
        <f t="shared" si="626"/>
        <v>10</v>
      </c>
      <c r="F3347" t="str">
        <f>"935"</f>
        <v>935</v>
      </c>
      <c r="G3347">
        <v>9</v>
      </c>
      <c r="H3347" t="str">
        <f t="shared" si="627"/>
        <v>99</v>
      </c>
      <c r="I3347" t="str">
        <f t="shared" si="624"/>
        <v>0</v>
      </c>
      <c r="J3347" t="str">
        <f t="shared" si="628"/>
        <v>73</v>
      </c>
      <c r="K3347">
        <v>20181109</v>
      </c>
      <c r="L3347" t="str">
        <f t="shared" si="629"/>
        <v>074559</v>
      </c>
      <c r="M3347" t="str">
        <f t="shared" si="630"/>
        <v>20706</v>
      </c>
      <c r="N3347" t="s">
        <v>2003</v>
      </c>
      <c r="O3347">
        <v>556.1</v>
      </c>
      <c r="P3347">
        <v>20181107</v>
      </c>
      <c r="Q3347" t="s">
        <v>2014</v>
      </c>
      <c r="R3347" t="s">
        <v>2588</v>
      </c>
      <c r="S3347" t="s">
        <v>1615</v>
      </c>
      <c r="T3347" t="s">
        <v>1876</v>
      </c>
    </row>
    <row r="3348" spans="1:20" x14ac:dyDescent="0.25">
      <c r="A3348">
        <v>9</v>
      </c>
      <c r="B3348">
        <v>199</v>
      </c>
      <c r="C3348" t="str">
        <f t="shared" si="625"/>
        <v>51</v>
      </c>
      <c r="D3348">
        <v>6255</v>
      </c>
      <c r="E3348" t="str">
        <f t="shared" si="626"/>
        <v>10</v>
      </c>
      <c r="F3348" t="str">
        <f>"936"</f>
        <v>936</v>
      </c>
      <c r="G3348">
        <v>9</v>
      </c>
      <c r="H3348" t="str">
        <f t="shared" si="627"/>
        <v>99</v>
      </c>
      <c r="I3348" t="str">
        <f t="shared" si="624"/>
        <v>0</v>
      </c>
      <c r="J3348" t="str">
        <f t="shared" si="628"/>
        <v>73</v>
      </c>
      <c r="K3348">
        <v>20181109</v>
      </c>
      <c r="L3348" t="str">
        <f t="shared" si="629"/>
        <v>074559</v>
      </c>
      <c r="M3348" t="str">
        <f t="shared" si="630"/>
        <v>20706</v>
      </c>
      <c r="N3348" t="s">
        <v>2003</v>
      </c>
      <c r="O3348">
        <v>87.06</v>
      </c>
      <c r="P3348">
        <v>20181107</v>
      </c>
      <c r="Q3348" t="s">
        <v>2016</v>
      </c>
      <c r="R3348" t="s">
        <v>2589</v>
      </c>
      <c r="S3348" t="s">
        <v>1615</v>
      </c>
      <c r="T3348" t="s">
        <v>1713</v>
      </c>
    </row>
    <row r="3349" spans="1:20" x14ac:dyDescent="0.25">
      <c r="A3349">
        <v>9</v>
      </c>
      <c r="B3349">
        <v>199</v>
      </c>
      <c r="C3349" t="str">
        <f t="shared" si="625"/>
        <v>51</v>
      </c>
      <c r="D3349">
        <v>6255</v>
      </c>
      <c r="E3349" t="str">
        <f>"11"</f>
        <v>11</v>
      </c>
      <c r="F3349" t="str">
        <f>"001"</f>
        <v>001</v>
      </c>
      <c r="G3349">
        <v>9</v>
      </c>
      <c r="H3349" t="str">
        <f t="shared" si="627"/>
        <v>99</v>
      </c>
      <c r="I3349" t="str">
        <f t="shared" si="624"/>
        <v>0</v>
      </c>
      <c r="J3349" t="str">
        <f t="shared" si="628"/>
        <v>73</v>
      </c>
      <c r="K3349">
        <v>20181109</v>
      </c>
      <c r="L3349" t="str">
        <f t="shared" si="629"/>
        <v>074559</v>
      </c>
      <c r="M3349" t="str">
        <f t="shared" si="630"/>
        <v>20706</v>
      </c>
      <c r="N3349" t="s">
        <v>2003</v>
      </c>
      <c r="O3349">
        <v>705.44</v>
      </c>
      <c r="P3349">
        <v>20181107</v>
      </c>
      <c r="Q3349" t="s">
        <v>2018</v>
      </c>
      <c r="R3349" t="s">
        <v>2590</v>
      </c>
      <c r="S3349" t="s">
        <v>1615</v>
      </c>
      <c r="T3349" t="s">
        <v>301</v>
      </c>
    </row>
    <row r="3350" spans="1:20" x14ac:dyDescent="0.25">
      <c r="A3350">
        <v>9</v>
      </c>
      <c r="B3350">
        <v>199</v>
      </c>
      <c r="C3350" t="str">
        <f t="shared" si="625"/>
        <v>51</v>
      </c>
      <c r="D3350">
        <v>6255</v>
      </c>
      <c r="E3350" t="str">
        <f>"11"</f>
        <v>11</v>
      </c>
      <c r="F3350" t="str">
        <f>"104"</f>
        <v>104</v>
      </c>
      <c r="G3350">
        <v>9</v>
      </c>
      <c r="H3350" t="str">
        <f t="shared" si="627"/>
        <v>99</v>
      </c>
      <c r="I3350" t="str">
        <f t="shared" si="624"/>
        <v>0</v>
      </c>
      <c r="J3350" t="str">
        <f t="shared" si="628"/>
        <v>73</v>
      </c>
      <c r="K3350">
        <v>20181109</v>
      </c>
      <c r="L3350" t="str">
        <f t="shared" si="629"/>
        <v>074559</v>
      </c>
      <c r="M3350" t="str">
        <f t="shared" si="630"/>
        <v>20706</v>
      </c>
      <c r="N3350" t="s">
        <v>2003</v>
      </c>
      <c r="O3350">
        <v>63.4</v>
      </c>
      <c r="P3350">
        <v>20181107</v>
      </c>
      <c r="Q3350" t="s">
        <v>2020</v>
      </c>
      <c r="R3350" t="s">
        <v>2591</v>
      </c>
      <c r="S3350" t="s">
        <v>1615</v>
      </c>
      <c r="T3350" t="s">
        <v>46</v>
      </c>
    </row>
    <row r="3351" spans="1:20" x14ac:dyDescent="0.25">
      <c r="A3351">
        <v>9</v>
      </c>
      <c r="B3351">
        <v>199</v>
      </c>
      <c r="C3351" t="str">
        <f t="shared" si="625"/>
        <v>51</v>
      </c>
      <c r="D3351">
        <v>6255</v>
      </c>
      <c r="E3351" t="str">
        <f>"3F"</f>
        <v>3F</v>
      </c>
      <c r="F3351" t="str">
        <f>"877"</f>
        <v>877</v>
      </c>
      <c r="G3351">
        <v>9</v>
      </c>
      <c r="H3351" t="str">
        <f t="shared" si="627"/>
        <v>99</v>
      </c>
      <c r="I3351" t="str">
        <f t="shared" si="624"/>
        <v>0</v>
      </c>
      <c r="J3351" t="str">
        <f t="shared" si="628"/>
        <v>73</v>
      </c>
      <c r="K3351">
        <v>20181109</v>
      </c>
      <c r="L3351" t="str">
        <f t="shared" si="629"/>
        <v>074559</v>
      </c>
      <c r="M3351" t="str">
        <f t="shared" si="630"/>
        <v>20706</v>
      </c>
      <c r="N3351" t="s">
        <v>2003</v>
      </c>
      <c r="O3351" s="1">
        <v>1472.73</v>
      </c>
      <c r="P3351">
        <v>20181107</v>
      </c>
      <c r="Q3351" t="s">
        <v>2022</v>
      </c>
      <c r="R3351" t="s">
        <v>2592</v>
      </c>
      <c r="S3351" t="s">
        <v>1615</v>
      </c>
      <c r="T3351" t="s">
        <v>2024</v>
      </c>
    </row>
    <row r="3352" spans="1:20" x14ac:dyDescent="0.25">
      <c r="A3352">
        <v>9</v>
      </c>
      <c r="B3352">
        <v>199</v>
      </c>
      <c r="C3352" t="str">
        <f t="shared" si="625"/>
        <v>51</v>
      </c>
      <c r="D3352">
        <v>6258</v>
      </c>
      <c r="E3352" t="str">
        <f>"10"</f>
        <v>10</v>
      </c>
      <c r="F3352" t="str">
        <f>"001"</f>
        <v>001</v>
      </c>
      <c r="G3352">
        <v>9</v>
      </c>
      <c r="H3352" t="str">
        <f t="shared" si="627"/>
        <v>99</v>
      </c>
      <c r="I3352" t="str">
        <f t="shared" si="624"/>
        <v>0</v>
      </c>
      <c r="J3352" t="str">
        <f t="shared" si="628"/>
        <v>73</v>
      </c>
      <c r="K3352">
        <v>20181109</v>
      </c>
      <c r="L3352" t="str">
        <f t="shared" si="629"/>
        <v>074559</v>
      </c>
      <c r="M3352" t="str">
        <f t="shared" si="630"/>
        <v>20706</v>
      </c>
      <c r="N3352" t="s">
        <v>2003</v>
      </c>
      <c r="O3352" s="1">
        <v>1066.4000000000001</v>
      </c>
      <c r="P3352">
        <v>20181107</v>
      </c>
      <c r="Q3352" t="s">
        <v>2025</v>
      </c>
      <c r="R3352" t="s">
        <v>2593</v>
      </c>
      <c r="S3352" t="s">
        <v>1615</v>
      </c>
      <c r="T3352" t="s">
        <v>301</v>
      </c>
    </row>
    <row r="3353" spans="1:20" x14ac:dyDescent="0.25">
      <c r="A3353">
        <v>9</v>
      </c>
      <c r="B3353">
        <v>199</v>
      </c>
      <c r="C3353" t="str">
        <f t="shared" si="625"/>
        <v>51</v>
      </c>
      <c r="D3353">
        <v>6258</v>
      </c>
      <c r="E3353" t="str">
        <f>"10"</f>
        <v>10</v>
      </c>
      <c r="F3353" t="str">
        <f>"041"</f>
        <v>041</v>
      </c>
      <c r="G3353">
        <v>9</v>
      </c>
      <c r="H3353" t="str">
        <f t="shared" si="627"/>
        <v>99</v>
      </c>
      <c r="I3353" t="str">
        <f t="shared" si="624"/>
        <v>0</v>
      </c>
      <c r="J3353" t="str">
        <f t="shared" si="628"/>
        <v>73</v>
      </c>
      <c r="K3353">
        <v>20181109</v>
      </c>
      <c r="L3353" t="str">
        <f t="shared" si="629"/>
        <v>074559</v>
      </c>
      <c r="M3353" t="str">
        <f t="shared" si="630"/>
        <v>20706</v>
      </c>
      <c r="N3353" t="s">
        <v>2003</v>
      </c>
      <c r="O3353">
        <v>317.49</v>
      </c>
      <c r="P3353">
        <v>20181107</v>
      </c>
      <c r="Q3353" t="s">
        <v>2027</v>
      </c>
      <c r="R3353" t="s">
        <v>2594</v>
      </c>
      <c r="S3353" t="s">
        <v>1615</v>
      </c>
      <c r="T3353" t="s">
        <v>106</v>
      </c>
    </row>
    <row r="3354" spans="1:20" x14ac:dyDescent="0.25">
      <c r="A3354">
        <v>9</v>
      </c>
      <c r="B3354">
        <v>199</v>
      </c>
      <c r="C3354" t="str">
        <f t="shared" si="625"/>
        <v>51</v>
      </c>
      <c r="D3354">
        <v>6258</v>
      </c>
      <c r="E3354" t="str">
        <f>"10"</f>
        <v>10</v>
      </c>
      <c r="F3354" t="str">
        <f>"101"</f>
        <v>101</v>
      </c>
      <c r="G3354">
        <v>9</v>
      </c>
      <c r="H3354" t="str">
        <f t="shared" si="627"/>
        <v>99</v>
      </c>
      <c r="I3354" t="str">
        <f t="shared" si="624"/>
        <v>0</v>
      </c>
      <c r="J3354" t="str">
        <f t="shared" si="628"/>
        <v>73</v>
      </c>
      <c r="K3354">
        <v>20181109</v>
      </c>
      <c r="L3354" t="str">
        <f t="shared" si="629"/>
        <v>074559</v>
      </c>
      <c r="M3354" t="str">
        <f t="shared" si="630"/>
        <v>20706</v>
      </c>
      <c r="N3354" t="s">
        <v>2003</v>
      </c>
      <c r="O3354">
        <v>234.92</v>
      </c>
      <c r="P3354">
        <v>20181107</v>
      </c>
      <c r="Q3354" t="s">
        <v>2029</v>
      </c>
      <c r="R3354" t="s">
        <v>2595</v>
      </c>
      <c r="S3354" t="s">
        <v>1615</v>
      </c>
      <c r="T3354" t="s">
        <v>1479</v>
      </c>
    </row>
    <row r="3355" spans="1:20" x14ac:dyDescent="0.25">
      <c r="A3355">
        <v>9</v>
      </c>
      <c r="B3355">
        <v>199</v>
      </c>
      <c r="C3355" t="str">
        <f t="shared" si="625"/>
        <v>51</v>
      </c>
      <c r="D3355">
        <v>6258</v>
      </c>
      <c r="E3355" t="str">
        <f>"10"</f>
        <v>10</v>
      </c>
      <c r="F3355" t="str">
        <f>"104"</f>
        <v>104</v>
      </c>
      <c r="G3355">
        <v>9</v>
      </c>
      <c r="H3355" t="str">
        <f t="shared" si="627"/>
        <v>99</v>
      </c>
      <c r="I3355" t="str">
        <f t="shared" si="624"/>
        <v>0</v>
      </c>
      <c r="J3355" t="str">
        <f t="shared" si="628"/>
        <v>73</v>
      </c>
      <c r="K3355">
        <v>20181109</v>
      </c>
      <c r="L3355" t="str">
        <f t="shared" si="629"/>
        <v>074559</v>
      </c>
      <c r="M3355" t="str">
        <f t="shared" si="630"/>
        <v>20706</v>
      </c>
      <c r="N3355" t="s">
        <v>2003</v>
      </c>
      <c r="O3355">
        <v>62.55</v>
      </c>
      <c r="P3355">
        <v>20181107</v>
      </c>
      <c r="Q3355" t="s">
        <v>2031</v>
      </c>
      <c r="R3355" t="s">
        <v>2596</v>
      </c>
      <c r="S3355" t="s">
        <v>1615</v>
      </c>
      <c r="T3355" t="s">
        <v>46</v>
      </c>
    </row>
    <row r="3356" spans="1:20" x14ac:dyDescent="0.25">
      <c r="A3356">
        <v>9</v>
      </c>
      <c r="B3356">
        <v>199</v>
      </c>
      <c r="C3356" t="str">
        <f t="shared" si="625"/>
        <v>51</v>
      </c>
      <c r="D3356">
        <v>6258</v>
      </c>
      <c r="E3356" t="str">
        <f>"11"</f>
        <v>11</v>
      </c>
      <c r="F3356" t="str">
        <f t="shared" ref="F3356:F3362" si="631">"001"</f>
        <v>001</v>
      </c>
      <c r="G3356">
        <v>9</v>
      </c>
      <c r="H3356" t="str">
        <f t="shared" si="627"/>
        <v>99</v>
      </c>
      <c r="I3356" t="str">
        <f t="shared" si="624"/>
        <v>0</v>
      </c>
      <c r="J3356" t="str">
        <f t="shared" si="628"/>
        <v>73</v>
      </c>
      <c r="K3356">
        <v>20181109</v>
      </c>
      <c r="L3356" t="str">
        <f t="shared" si="629"/>
        <v>074559</v>
      </c>
      <c r="M3356" t="str">
        <f t="shared" si="630"/>
        <v>20706</v>
      </c>
      <c r="N3356" t="s">
        <v>2003</v>
      </c>
      <c r="O3356">
        <v>189.03</v>
      </c>
      <c r="P3356">
        <v>20181107</v>
      </c>
      <c r="Q3356" t="s">
        <v>2033</v>
      </c>
      <c r="R3356" t="s">
        <v>2597</v>
      </c>
      <c r="S3356" t="s">
        <v>1615</v>
      </c>
      <c r="T3356" t="s">
        <v>301</v>
      </c>
    </row>
    <row r="3357" spans="1:20" x14ac:dyDescent="0.25">
      <c r="A3357">
        <v>9</v>
      </c>
      <c r="B3357">
        <v>199</v>
      </c>
      <c r="C3357" t="str">
        <f>"11"</f>
        <v>11</v>
      </c>
      <c r="D3357">
        <v>6411</v>
      </c>
      <c r="E3357" t="str">
        <f>"VJ"</f>
        <v>VJ</v>
      </c>
      <c r="F3357" t="str">
        <f t="shared" si="631"/>
        <v>001</v>
      </c>
      <c r="G3357">
        <v>9</v>
      </c>
      <c r="H3357" t="str">
        <f>"22"</f>
        <v>22</v>
      </c>
      <c r="I3357" t="str">
        <f>"1"</f>
        <v>1</v>
      </c>
      <c r="J3357" t="str">
        <f>"22"</f>
        <v>22</v>
      </c>
      <c r="K3357">
        <v>20181109</v>
      </c>
      <c r="L3357" t="str">
        <f>"074561"</f>
        <v>074561</v>
      </c>
      <c r="M3357" t="str">
        <f>"00611"</f>
        <v>00611</v>
      </c>
      <c r="N3357" t="s">
        <v>2598</v>
      </c>
      <c r="O3357">
        <v>430.14</v>
      </c>
      <c r="P3357">
        <v>20181107</v>
      </c>
      <c r="Q3357" t="s">
        <v>2569</v>
      </c>
      <c r="R3357" t="s">
        <v>2570</v>
      </c>
      <c r="S3357" t="s">
        <v>1615</v>
      </c>
      <c r="T3357" t="s">
        <v>301</v>
      </c>
    </row>
    <row r="3358" spans="1:20" x14ac:dyDescent="0.25">
      <c r="A3358">
        <v>9</v>
      </c>
      <c r="B3358">
        <v>199</v>
      </c>
      <c r="C3358" t="str">
        <f>"11"</f>
        <v>11</v>
      </c>
      <c r="D3358">
        <v>6412</v>
      </c>
      <c r="E3358" t="str">
        <f>"VJ"</f>
        <v>VJ</v>
      </c>
      <c r="F3358" t="str">
        <f t="shared" si="631"/>
        <v>001</v>
      </c>
      <c r="G3358">
        <v>9</v>
      </c>
      <c r="H3358" t="str">
        <f>"22"</f>
        <v>22</v>
      </c>
      <c r="I3358" t="str">
        <f>"1"</f>
        <v>1</v>
      </c>
      <c r="J3358" t="str">
        <f>"22"</f>
        <v>22</v>
      </c>
      <c r="K3358">
        <v>20181109</v>
      </c>
      <c r="L3358" t="str">
        <f>"074561"</f>
        <v>074561</v>
      </c>
      <c r="M3358" t="str">
        <f>"00611"</f>
        <v>00611</v>
      </c>
      <c r="N3358" t="s">
        <v>2598</v>
      </c>
      <c r="O3358" s="1">
        <v>1003.66</v>
      </c>
      <c r="P3358">
        <v>20181107</v>
      </c>
      <c r="Q3358" t="s">
        <v>2571</v>
      </c>
      <c r="R3358" t="s">
        <v>2570</v>
      </c>
      <c r="S3358" t="s">
        <v>1615</v>
      </c>
      <c r="T3358" t="s">
        <v>301</v>
      </c>
    </row>
    <row r="3359" spans="1:20" x14ac:dyDescent="0.25">
      <c r="A3359">
        <v>9</v>
      </c>
      <c r="B3359">
        <v>199</v>
      </c>
      <c r="C3359" t="str">
        <f>"11"</f>
        <v>11</v>
      </c>
      <c r="D3359">
        <v>6223</v>
      </c>
      <c r="E3359" t="str">
        <f>"VT"</f>
        <v>VT</v>
      </c>
      <c r="F3359" t="str">
        <f t="shared" si="631"/>
        <v>001</v>
      </c>
      <c r="G3359">
        <v>9</v>
      </c>
      <c r="H3359" t="str">
        <f>"22"</f>
        <v>22</v>
      </c>
      <c r="I3359" t="str">
        <f t="shared" ref="I3359:I3368" si="632">"0"</f>
        <v>0</v>
      </c>
      <c r="J3359" t="str">
        <f>"22"</f>
        <v>22</v>
      </c>
      <c r="K3359">
        <v>20181109</v>
      </c>
      <c r="L3359" t="str">
        <f>"074567"</f>
        <v>074567</v>
      </c>
      <c r="M3359" t="str">
        <f>"25144"</f>
        <v>25144</v>
      </c>
      <c r="N3359" t="s">
        <v>1620</v>
      </c>
      <c r="O3359" s="1">
        <v>7536.63</v>
      </c>
      <c r="P3359">
        <v>20181108</v>
      </c>
      <c r="Q3359" t="s">
        <v>2051</v>
      </c>
      <c r="R3359" t="s">
        <v>2599</v>
      </c>
      <c r="S3359" t="s">
        <v>1615</v>
      </c>
      <c r="T3359" t="s">
        <v>301</v>
      </c>
    </row>
    <row r="3360" spans="1:20" x14ac:dyDescent="0.25">
      <c r="A3360">
        <v>9</v>
      </c>
      <c r="B3360">
        <v>199</v>
      </c>
      <c r="C3360" t="str">
        <f>"11"</f>
        <v>11</v>
      </c>
      <c r="D3360">
        <v>6412</v>
      </c>
      <c r="E3360" t="str">
        <f>"V8"</f>
        <v>V8</v>
      </c>
      <c r="F3360" t="str">
        <f t="shared" si="631"/>
        <v>001</v>
      </c>
      <c r="G3360">
        <v>9</v>
      </c>
      <c r="H3360" t="str">
        <f>"22"</f>
        <v>22</v>
      </c>
      <c r="I3360" t="str">
        <f t="shared" si="632"/>
        <v>0</v>
      </c>
      <c r="J3360" t="str">
        <f>"22"</f>
        <v>22</v>
      </c>
      <c r="K3360">
        <v>20181109</v>
      </c>
      <c r="L3360" t="str">
        <f>"074568"</f>
        <v>074568</v>
      </c>
      <c r="M3360" t="str">
        <f>"25460"</f>
        <v>25460</v>
      </c>
      <c r="N3360" t="s">
        <v>2600</v>
      </c>
      <c r="O3360">
        <v>140</v>
      </c>
      <c r="P3360">
        <v>20181108</v>
      </c>
      <c r="Q3360" t="s">
        <v>1884</v>
      </c>
      <c r="R3360" t="s">
        <v>2601</v>
      </c>
      <c r="S3360" t="s">
        <v>1615</v>
      </c>
      <c r="T3360" t="s">
        <v>301</v>
      </c>
    </row>
    <row r="3361" spans="1:20" x14ac:dyDescent="0.25">
      <c r="A3361">
        <v>9</v>
      </c>
      <c r="B3361">
        <v>199</v>
      </c>
      <c r="C3361" t="str">
        <f>"36"</f>
        <v>36</v>
      </c>
      <c r="D3361">
        <v>6411</v>
      </c>
      <c r="E3361" t="str">
        <f>"V8"</f>
        <v>V8</v>
      </c>
      <c r="F3361" t="str">
        <f t="shared" si="631"/>
        <v>001</v>
      </c>
      <c r="G3361">
        <v>9</v>
      </c>
      <c r="H3361" t="str">
        <f>"22"</f>
        <v>22</v>
      </c>
      <c r="I3361" t="str">
        <f t="shared" si="632"/>
        <v>0</v>
      </c>
      <c r="J3361" t="str">
        <f>"22"</f>
        <v>22</v>
      </c>
      <c r="K3361">
        <v>20181109</v>
      </c>
      <c r="L3361" t="str">
        <f>"074568"</f>
        <v>074568</v>
      </c>
      <c r="M3361" t="str">
        <f>"25460"</f>
        <v>25460</v>
      </c>
      <c r="N3361" t="s">
        <v>2600</v>
      </c>
      <c r="O3361">
        <v>25</v>
      </c>
      <c r="P3361">
        <v>20181108</v>
      </c>
      <c r="Q3361" t="s">
        <v>2602</v>
      </c>
      <c r="R3361" t="s">
        <v>2601</v>
      </c>
      <c r="S3361" t="s">
        <v>1615</v>
      </c>
      <c r="T3361" t="s">
        <v>301</v>
      </c>
    </row>
    <row r="3362" spans="1:20" x14ac:dyDescent="0.25">
      <c r="A3362">
        <v>9</v>
      </c>
      <c r="B3362">
        <v>199</v>
      </c>
      <c r="C3362" t="str">
        <f>"23"</f>
        <v>23</v>
      </c>
      <c r="D3362">
        <v>6411</v>
      </c>
      <c r="E3362" t="str">
        <f>"10"</f>
        <v>10</v>
      </c>
      <c r="F3362" t="str">
        <f t="shared" si="631"/>
        <v>001</v>
      </c>
      <c r="G3362">
        <v>9</v>
      </c>
      <c r="H3362" t="str">
        <f>"99"</f>
        <v>99</v>
      </c>
      <c r="I3362" t="str">
        <f t="shared" si="632"/>
        <v>0</v>
      </c>
      <c r="J3362" t="str">
        <f>"01"</f>
        <v>01</v>
      </c>
      <c r="K3362">
        <v>20181109</v>
      </c>
      <c r="L3362" t="str">
        <f>"074570"</f>
        <v>074570</v>
      </c>
      <c r="M3362" t="str">
        <f>"27900"</f>
        <v>27900</v>
      </c>
      <c r="N3362" t="s">
        <v>1490</v>
      </c>
      <c r="O3362">
        <v>100</v>
      </c>
      <c r="P3362">
        <v>20181108</v>
      </c>
      <c r="Q3362" t="s">
        <v>2389</v>
      </c>
      <c r="R3362" t="s">
        <v>2603</v>
      </c>
      <c r="S3362" t="s">
        <v>1615</v>
      </c>
      <c r="T3362" t="s">
        <v>301</v>
      </c>
    </row>
    <row r="3363" spans="1:20" x14ac:dyDescent="0.25">
      <c r="A3363">
        <v>9</v>
      </c>
      <c r="B3363">
        <v>199</v>
      </c>
      <c r="C3363" t="str">
        <f>"34"</f>
        <v>34</v>
      </c>
      <c r="D3363">
        <v>6411</v>
      </c>
      <c r="E3363" t="str">
        <f>"10"</f>
        <v>10</v>
      </c>
      <c r="F3363" t="str">
        <f>"937"</f>
        <v>937</v>
      </c>
      <c r="G3363">
        <v>9</v>
      </c>
      <c r="H3363" t="str">
        <f>"99"</f>
        <v>99</v>
      </c>
      <c r="I3363" t="str">
        <f t="shared" si="632"/>
        <v>0</v>
      </c>
      <c r="J3363" t="str">
        <f>"82"</f>
        <v>82</v>
      </c>
      <c r="K3363">
        <v>20181109</v>
      </c>
      <c r="L3363" t="str">
        <f>"074570"</f>
        <v>074570</v>
      </c>
      <c r="M3363" t="str">
        <f>"27900"</f>
        <v>27900</v>
      </c>
      <c r="N3363" t="s">
        <v>1490</v>
      </c>
      <c r="O3363">
        <v>120</v>
      </c>
      <c r="P3363">
        <v>20181108</v>
      </c>
      <c r="Q3363" t="s">
        <v>2604</v>
      </c>
      <c r="R3363" t="s">
        <v>2605</v>
      </c>
      <c r="S3363" t="s">
        <v>1615</v>
      </c>
      <c r="T3363" t="s">
        <v>1810</v>
      </c>
    </row>
    <row r="3364" spans="1:20" x14ac:dyDescent="0.25">
      <c r="A3364">
        <v>9</v>
      </c>
      <c r="B3364">
        <v>199</v>
      </c>
      <c r="C3364" t="str">
        <f>"41"</f>
        <v>41</v>
      </c>
      <c r="D3364">
        <v>6239</v>
      </c>
      <c r="E3364" t="str">
        <f>"11"</f>
        <v>11</v>
      </c>
      <c r="F3364" t="str">
        <f>"726"</f>
        <v>726</v>
      </c>
      <c r="G3364">
        <v>9</v>
      </c>
      <c r="H3364" t="str">
        <f>"99"</f>
        <v>99</v>
      </c>
      <c r="I3364" t="str">
        <f t="shared" si="632"/>
        <v>0</v>
      </c>
      <c r="J3364" t="str">
        <f>"91"</f>
        <v>91</v>
      </c>
      <c r="K3364">
        <v>20181109</v>
      </c>
      <c r="L3364" t="str">
        <f>"074570"</f>
        <v>074570</v>
      </c>
      <c r="M3364" t="str">
        <f>"27900"</f>
        <v>27900</v>
      </c>
      <c r="N3364" t="s">
        <v>1490</v>
      </c>
      <c r="O3364" s="1">
        <v>1200</v>
      </c>
      <c r="P3364">
        <v>20181108</v>
      </c>
      <c r="Q3364" t="s">
        <v>2606</v>
      </c>
      <c r="R3364" t="s">
        <v>2607</v>
      </c>
      <c r="S3364" t="s">
        <v>1615</v>
      </c>
      <c r="T3364" t="s">
        <v>2608</v>
      </c>
    </row>
    <row r="3365" spans="1:20" x14ac:dyDescent="0.25">
      <c r="A3365">
        <v>9</v>
      </c>
      <c r="B3365">
        <v>199</v>
      </c>
      <c r="C3365" t="str">
        <f>"36"</f>
        <v>36</v>
      </c>
      <c r="D3365">
        <v>6411</v>
      </c>
      <c r="E3365" t="str">
        <f>"V8"</f>
        <v>V8</v>
      </c>
      <c r="F3365" t="str">
        <f>"041"</f>
        <v>041</v>
      </c>
      <c r="G3365">
        <v>9</v>
      </c>
      <c r="H3365" t="str">
        <f>"99"</f>
        <v>99</v>
      </c>
      <c r="I3365" t="str">
        <f t="shared" si="632"/>
        <v>0</v>
      </c>
      <c r="J3365" t="str">
        <f>"03"</f>
        <v>03</v>
      </c>
      <c r="K3365">
        <v>20181109</v>
      </c>
      <c r="L3365" t="str">
        <f>"074571"</f>
        <v>074571</v>
      </c>
      <c r="M3365" t="str">
        <f>"00058"</f>
        <v>00058</v>
      </c>
      <c r="N3365" t="s">
        <v>2609</v>
      </c>
      <c r="O3365">
        <v>12.5</v>
      </c>
      <c r="P3365">
        <v>20181108</v>
      </c>
      <c r="Q3365" t="s">
        <v>2610</v>
      </c>
      <c r="R3365" t="s">
        <v>2601</v>
      </c>
      <c r="S3365" t="s">
        <v>1615</v>
      </c>
      <c r="T3365" t="s">
        <v>106</v>
      </c>
    </row>
    <row r="3366" spans="1:20" x14ac:dyDescent="0.25">
      <c r="A3366">
        <v>9</v>
      </c>
      <c r="B3366">
        <v>199</v>
      </c>
      <c r="C3366" t="str">
        <f>"36"</f>
        <v>36</v>
      </c>
      <c r="D3366">
        <v>6412</v>
      </c>
      <c r="E3366" t="str">
        <f>"V8"</f>
        <v>V8</v>
      </c>
      <c r="F3366" t="str">
        <f>"041"</f>
        <v>041</v>
      </c>
      <c r="G3366">
        <v>9</v>
      </c>
      <c r="H3366" t="str">
        <f>"99"</f>
        <v>99</v>
      </c>
      <c r="I3366" t="str">
        <f t="shared" si="632"/>
        <v>0</v>
      </c>
      <c r="J3366" t="str">
        <f>"03"</f>
        <v>03</v>
      </c>
      <c r="K3366">
        <v>20181109</v>
      </c>
      <c r="L3366" t="str">
        <f>"074571"</f>
        <v>074571</v>
      </c>
      <c r="M3366" t="str">
        <f>"00058"</f>
        <v>00058</v>
      </c>
      <c r="N3366" t="s">
        <v>2609</v>
      </c>
      <c r="O3366">
        <v>60</v>
      </c>
      <c r="P3366">
        <v>20181108</v>
      </c>
      <c r="Q3366" t="s">
        <v>2611</v>
      </c>
      <c r="R3366" t="s">
        <v>2601</v>
      </c>
      <c r="S3366" t="s">
        <v>1615</v>
      </c>
      <c r="T3366" t="s">
        <v>106</v>
      </c>
    </row>
    <row r="3367" spans="1:20" x14ac:dyDescent="0.25">
      <c r="A3367">
        <v>9</v>
      </c>
      <c r="B3367">
        <v>199</v>
      </c>
      <c r="C3367" t="str">
        <f>"13"</f>
        <v>13</v>
      </c>
      <c r="D3367">
        <v>6411</v>
      </c>
      <c r="E3367" t="str">
        <f>"00"</f>
        <v>00</v>
      </c>
      <c r="F3367" t="str">
        <f>"101"</f>
        <v>101</v>
      </c>
      <c r="G3367">
        <v>9</v>
      </c>
      <c r="H3367" t="str">
        <f>"25"</f>
        <v>25</v>
      </c>
      <c r="I3367" t="str">
        <f t="shared" si="632"/>
        <v>0</v>
      </c>
      <c r="J3367" t="str">
        <f>"25"</f>
        <v>25</v>
      </c>
      <c r="K3367">
        <v>20181109</v>
      </c>
      <c r="L3367" t="str">
        <f t="shared" ref="L3367:L3374" si="633">"074572"</f>
        <v>074572</v>
      </c>
      <c r="M3367" t="str">
        <f t="shared" ref="M3367:M3374" si="634">"28680"</f>
        <v>28680</v>
      </c>
      <c r="N3367" t="s">
        <v>482</v>
      </c>
      <c r="O3367">
        <v>260</v>
      </c>
      <c r="P3367">
        <v>20181108</v>
      </c>
      <c r="Q3367" t="s">
        <v>1717</v>
      </c>
      <c r="R3367" t="s">
        <v>1718</v>
      </c>
      <c r="S3367" t="s">
        <v>1615</v>
      </c>
      <c r="T3367" t="s">
        <v>1479</v>
      </c>
    </row>
    <row r="3368" spans="1:20" x14ac:dyDescent="0.25">
      <c r="A3368">
        <v>9</v>
      </c>
      <c r="B3368">
        <v>199</v>
      </c>
      <c r="C3368" t="str">
        <f>"13"</f>
        <v>13</v>
      </c>
      <c r="D3368">
        <v>6411</v>
      </c>
      <c r="E3368" t="str">
        <f>"7K"</f>
        <v>7K</v>
      </c>
      <c r="F3368" t="str">
        <f t="shared" ref="F3368:F3374" si="635">"001"</f>
        <v>001</v>
      </c>
      <c r="G3368">
        <v>9</v>
      </c>
      <c r="H3368" t="str">
        <f>"11"</f>
        <v>11</v>
      </c>
      <c r="I3368" t="str">
        <f t="shared" si="632"/>
        <v>0</v>
      </c>
      <c r="J3368" t="str">
        <f t="shared" ref="J3368:J3374" si="636">"01"</f>
        <v>01</v>
      </c>
      <c r="K3368">
        <v>20181109</v>
      </c>
      <c r="L3368" t="str">
        <f t="shared" si="633"/>
        <v>074572</v>
      </c>
      <c r="M3368" t="str">
        <f t="shared" si="634"/>
        <v>28680</v>
      </c>
      <c r="N3368" t="s">
        <v>482</v>
      </c>
      <c r="O3368">
        <v>195</v>
      </c>
      <c r="P3368">
        <v>20181108</v>
      </c>
      <c r="Q3368" t="s">
        <v>1833</v>
      </c>
      <c r="R3368" t="s">
        <v>1834</v>
      </c>
      <c r="S3368" t="s">
        <v>1615</v>
      </c>
      <c r="T3368" t="s">
        <v>301</v>
      </c>
    </row>
    <row r="3369" spans="1:20" x14ac:dyDescent="0.25">
      <c r="A3369">
        <v>9</v>
      </c>
      <c r="B3369">
        <v>199</v>
      </c>
      <c r="C3369" t="str">
        <f t="shared" ref="C3369:C3374" si="637">"36"</f>
        <v>36</v>
      </c>
      <c r="D3369">
        <v>6412</v>
      </c>
      <c r="E3369" t="str">
        <f t="shared" ref="E3369:E3374" si="638">"7C"</f>
        <v>7C</v>
      </c>
      <c r="F3369" t="str">
        <f t="shared" si="635"/>
        <v>001</v>
      </c>
      <c r="G3369">
        <v>9</v>
      </c>
      <c r="H3369" t="str">
        <f t="shared" ref="H3369:H3378" si="639">"99"</f>
        <v>99</v>
      </c>
      <c r="I3369" t="str">
        <f t="shared" ref="I3369:I3374" si="640">"1"</f>
        <v>1</v>
      </c>
      <c r="J3369" t="str">
        <f t="shared" si="636"/>
        <v>01</v>
      </c>
      <c r="K3369">
        <v>20181109</v>
      </c>
      <c r="L3369" t="str">
        <f t="shared" si="633"/>
        <v>074572</v>
      </c>
      <c r="M3369" t="str">
        <f t="shared" si="634"/>
        <v>28680</v>
      </c>
      <c r="N3369" t="s">
        <v>482</v>
      </c>
      <c r="O3369">
        <v>52</v>
      </c>
      <c r="P3369">
        <v>20181108</v>
      </c>
      <c r="Q3369" t="s">
        <v>2222</v>
      </c>
      <c r="R3369" t="s">
        <v>2379</v>
      </c>
      <c r="S3369" t="s">
        <v>1615</v>
      </c>
      <c r="T3369" t="s">
        <v>301</v>
      </c>
    </row>
    <row r="3370" spans="1:20" x14ac:dyDescent="0.25">
      <c r="A3370">
        <v>9</v>
      </c>
      <c r="B3370">
        <v>199</v>
      </c>
      <c r="C3370" t="str">
        <f t="shared" si="637"/>
        <v>36</v>
      </c>
      <c r="D3370">
        <v>6412</v>
      </c>
      <c r="E3370" t="str">
        <f t="shared" si="638"/>
        <v>7C</v>
      </c>
      <c r="F3370" t="str">
        <f t="shared" si="635"/>
        <v>001</v>
      </c>
      <c r="G3370">
        <v>9</v>
      </c>
      <c r="H3370" t="str">
        <f t="shared" si="639"/>
        <v>99</v>
      </c>
      <c r="I3370" t="str">
        <f t="shared" si="640"/>
        <v>1</v>
      </c>
      <c r="J3370" t="str">
        <f t="shared" si="636"/>
        <v>01</v>
      </c>
      <c r="K3370">
        <v>20181109</v>
      </c>
      <c r="L3370" t="str">
        <f t="shared" si="633"/>
        <v>074572</v>
      </c>
      <c r="M3370" t="str">
        <f t="shared" si="634"/>
        <v>28680</v>
      </c>
      <c r="N3370" t="s">
        <v>482</v>
      </c>
      <c r="O3370">
        <v>52</v>
      </c>
      <c r="P3370">
        <v>20181108</v>
      </c>
      <c r="Q3370" t="s">
        <v>2222</v>
      </c>
      <c r="R3370" t="s">
        <v>2379</v>
      </c>
      <c r="S3370" t="s">
        <v>1615</v>
      </c>
      <c r="T3370" t="s">
        <v>301</v>
      </c>
    </row>
    <row r="3371" spans="1:20" x14ac:dyDescent="0.25">
      <c r="A3371">
        <v>9</v>
      </c>
      <c r="B3371">
        <v>199</v>
      </c>
      <c r="C3371" t="str">
        <f t="shared" si="637"/>
        <v>36</v>
      </c>
      <c r="D3371">
        <v>6412</v>
      </c>
      <c r="E3371" t="str">
        <f t="shared" si="638"/>
        <v>7C</v>
      </c>
      <c r="F3371" t="str">
        <f t="shared" si="635"/>
        <v>001</v>
      </c>
      <c r="G3371">
        <v>9</v>
      </c>
      <c r="H3371" t="str">
        <f t="shared" si="639"/>
        <v>99</v>
      </c>
      <c r="I3371" t="str">
        <f t="shared" si="640"/>
        <v>1</v>
      </c>
      <c r="J3371" t="str">
        <f t="shared" si="636"/>
        <v>01</v>
      </c>
      <c r="K3371">
        <v>20181109</v>
      </c>
      <c r="L3371" t="str">
        <f t="shared" si="633"/>
        <v>074572</v>
      </c>
      <c r="M3371" t="str">
        <f t="shared" si="634"/>
        <v>28680</v>
      </c>
      <c r="N3371" t="s">
        <v>482</v>
      </c>
      <c r="O3371">
        <v>52</v>
      </c>
      <c r="P3371">
        <v>20181108</v>
      </c>
      <c r="Q3371" t="s">
        <v>2222</v>
      </c>
      <c r="R3371" t="s">
        <v>1944</v>
      </c>
      <c r="S3371" t="s">
        <v>1615</v>
      </c>
      <c r="T3371" t="s">
        <v>301</v>
      </c>
    </row>
    <row r="3372" spans="1:20" x14ac:dyDescent="0.25">
      <c r="A3372">
        <v>9</v>
      </c>
      <c r="B3372">
        <v>199</v>
      </c>
      <c r="C3372" t="str">
        <f t="shared" si="637"/>
        <v>36</v>
      </c>
      <c r="D3372">
        <v>6412</v>
      </c>
      <c r="E3372" t="str">
        <f t="shared" si="638"/>
        <v>7C</v>
      </c>
      <c r="F3372" t="str">
        <f t="shared" si="635"/>
        <v>001</v>
      </c>
      <c r="G3372">
        <v>9</v>
      </c>
      <c r="H3372" t="str">
        <f t="shared" si="639"/>
        <v>99</v>
      </c>
      <c r="I3372" t="str">
        <f t="shared" si="640"/>
        <v>1</v>
      </c>
      <c r="J3372" t="str">
        <f t="shared" si="636"/>
        <v>01</v>
      </c>
      <c r="K3372">
        <v>20181109</v>
      </c>
      <c r="L3372" t="str">
        <f t="shared" si="633"/>
        <v>074572</v>
      </c>
      <c r="M3372" t="str">
        <f t="shared" si="634"/>
        <v>28680</v>
      </c>
      <c r="N3372" t="s">
        <v>482</v>
      </c>
      <c r="O3372">
        <v>52</v>
      </c>
      <c r="P3372">
        <v>20181108</v>
      </c>
      <c r="Q3372" t="s">
        <v>2222</v>
      </c>
      <c r="R3372" t="s">
        <v>1944</v>
      </c>
      <c r="S3372" t="s">
        <v>1615</v>
      </c>
      <c r="T3372" t="s">
        <v>301</v>
      </c>
    </row>
    <row r="3373" spans="1:20" x14ac:dyDescent="0.25">
      <c r="A3373">
        <v>9</v>
      </c>
      <c r="B3373">
        <v>199</v>
      </c>
      <c r="C3373" t="str">
        <f t="shared" si="637"/>
        <v>36</v>
      </c>
      <c r="D3373">
        <v>6412</v>
      </c>
      <c r="E3373" t="str">
        <f t="shared" si="638"/>
        <v>7C</v>
      </c>
      <c r="F3373" t="str">
        <f t="shared" si="635"/>
        <v>001</v>
      </c>
      <c r="G3373">
        <v>9</v>
      </c>
      <c r="H3373" t="str">
        <f t="shared" si="639"/>
        <v>99</v>
      </c>
      <c r="I3373" t="str">
        <f t="shared" si="640"/>
        <v>1</v>
      </c>
      <c r="J3373" t="str">
        <f t="shared" si="636"/>
        <v>01</v>
      </c>
      <c r="K3373">
        <v>20181109</v>
      </c>
      <c r="L3373" t="str">
        <f t="shared" si="633"/>
        <v>074572</v>
      </c>
      <c r="M3373" t="str">
        <f t="shared" si="634"/>
        <v>28680</v>
      </c>
      <c r="N3373" t="s">
        <v>482</v>
      </c>
      <c r="O3373">
        <v>52</v>
      </c>
      <c r="P3373">
        <v>20181108</v>
      </c>
      <c r="Q3373" t="s">
        <v>2222</v>
      </c>
      <c r="R3373" t="s">
        <v>2232</v>
      </c>
      <c r="S3373" t="s">
        <v>1615</v>
      </c>
      <c r="T3373" t="s">
        <v>301</v>
      </c>
    </row>
    <row r="3374" spans="1:20" x14ac:dyDescent="0.25">
      <c r="A3374">
        <v>9</v>
      </c>
      <c r="B3374">
        <v>199</v>
      </c>
      <c r="C3374" t="str">
        <f t="shared" si="637"/>
        <v>36</v>
      </c>
      <c r="D3374">
        <v>6412</v>
      </c>
      <c r="E3374" t="str">
        <f t="shared" si="638"/>
        <v>7C</v>
      </c>
      <c r="F3374" t="str">
        <f t="shared" si="635"/>
        <v>001</v>
      </c>
      <c r="G3374">
        <v>9</v>
      </c>
      <c r="H3374" t="str">
        <f t="shared" si="639"/>
        <v>99</v>
      </c>
      <c r="I3374" t="str">
        <f t="shared" si="640"/>
        <v>1</v>
      </c>
      <c r="J3374" t="str">
        <f t="shared" si="636"/>
        <v>01</v>
      </c>
      <c r="K3374">
        <v>20181109</v>
      </c>
      <c r="L3374" t="str">
        <f t="shared" si="633"/>
        <v>074572</v>
      </c>
      <c r="M3374" t="str">
        <f t="shared" si="634"/>
        <v>28680</v>
      </c>
      <c r="N3374" t="s">
        <v>482</v>
      </c>
      <c r="O3374">
        <v>52</v>
      </c>
      <c r="P3374">
        <v>20181108</v>
      </c>
      <c r="Q3374" t="s">
        <v>2222</v>
      </c>
      <c r="R3374" t="s">
        <v>2232</v>
      </c>
      <c r="S3374" t="s">
        <v>1615</v>
      </c>
      <c r="T3374" t="s">
        <v>301</v>
      </c>
    </row>
    <row r="3375" spans="1:20" x14ac:dyDescent="0.25">
      <c r="A3375">
        <v>9</v>
      </c>
      <c r="B3375">
        <v>199</v>
      </c>
      <c r="C3375" t="str">
        <f>"41"</f>
        <v>41</v>
      </c>
      <c r="D3375">
        <v>6212</v>
      </c>
      <c r="E3375" t="str">
        <f>"10"</f>
        <v>10</v>
      </c>
      <c r="F3375" t="str">
        <f>"726"</f>
        <v>726</v>
      </c>
      <c r="G3375">
        <v>9</v>
      </c>
      <c r="H3375" t="str">
        <f t="shared" si="639"/>
        <v>99</v>
      </c>
      <c r="I3375" t="str">
        <f t="shared" ref="I3375:I3389" si="641">"0"</f>
        <v>0</v>
      </c>
      <c r="J3375" t="str">
        <f>"91"</f>
        <v>91</v>
      </c>
      <c r="K3375">
        <v>20181109</v>
      </c>
      <c r="L3375" t="str">
        <f>"074573"</f>
        <v>074573</v>
      </c>
      <c r="M3375" t="str">
        <f>"31771"</f>
        <v>31771</v>
      </c>
      <c r="N3375" t="s">
        <v>2612</v>
      </c>
      <c r="O3375" s="1">
        <v>8000</v>
      </c>
      <c r="P3375">
        <v>20181108</v>
      </c>
      <c r="Q3375" t="s">
        <v>2613</v>
      </c>
      <c r="R3375" t="s">
        <v>2614</v>
      </c>
      <c r="S3375" t="s">
        <v>1615</v>
      </c>
      <c r="T3375" t="s">
        <v>2608</v>
      </c>
    </row>
    <row r="3376" spans="1:20" x14ac:dyDescent="0.25">
      <c r="A3376">
        <v>9</v>
      </c>
      <c r="B3376">
        <v>199</v>
      </c>
      <c r="C3376" t="str">
        <f>"41"</f>
        <v>41</v>
      </c>
      <c r="D3376">
        <v>6499</v>
      </c>
      <c r="E3376" t="str">
        <f>"12"</f>
        <v>12</v>
      </c>
      <c r="F3376" t="str">
        <f>"720"</f>
        <v>720</v>
      </c>
      <c r="G3376">
        <v>9</v>
      </c>
      <c r="H3376" t="str">
        <f t="shared" si="639"/>
        <v>99</v>
      </c>
      <c r="I3376" t="str">
        <f t="shared" si="641"/>
        <v>0</v>
      </c>
      <c r="J3376" t="str">
        <f>"91"</f>
        <v>91</v>
      </c>
      <c r="K3376">
        <v>20181109</v>
      </c>
      <c r="L3376" t="str">
        <f>"074577"</f>
        <v>074577</v>
      </c>
      <c r="M3376" t="str">
        <f>"28820"</f>
        <v>28820</v>
      </c>
      <c r="N3376" t="s">
        <v>2224</v>
      </c>
      <c r="O3376">
        <v>45.8</v>
      </c>
      <c r="P3376">
        <v>20181108</v>
      </c>
      <c r="Q3376" t="s">
        <v>2225</v>
      </c>
      <c r="R3376" t="s">
        <v>2615</v>
      </c>
      <c r="S3376" t="s">
        <v>1615</v>
      </c>
      <c r="T3376" t="s">
        <v>2045</v>
      </c>
    </row>
    <row r="3377" spans="1:20" x14ac:dyDescent="0.25">
      <c r="A3377">
        <v>9</v>
      </c>
      <c r="B3377">
        <v>199</v>
      </c>
      <c r="C3377" t="str">
        <f>"41"</f>
        <v>41</v>
      </c>
      <c r="D3377">
        <v>6499</v>
      </c>
      <c r="E3377" t="str">
        <f>"12"</f>
        <v>12</v>
      </c>
      <c r="F3377" t="str">
        <f>"720"</f>
        <v>720</v>
      </c>
      <c r="G3377">
        <v>9</v>
      </c>
      <c r="H3377" t="str">
        <f t="shared" si="639"/>
        <v>99</v>
      </c>
      <c r="I3377" t="str">
        <f t="shared" si="641"/>
        <v>0</v>
      </c>
      <c r="J3377" t="str">
        <f>"91"</f>
        <v>91</v>
      </c>
      <c r="K3377">
        <v>20181109</v>
      </c>
      <c r="L3377" t="str">
        <f>"074577"</f>
        <v>074577</v>
      </c>
      <c r="M3377" t="str">
        <f>"28820"</f>
        <v>28820</v>
      </c>
      <c r="N3377" t="s">
        <v>2224</v>
      </c>
      <c r="O3377">
        <v>78.099999999999994</v>
      </c>
      <c r="P3377">
        <v>20181108</v>
      </c>
      <c r="Q3377" t="s">
        <v>2225</v>
      </c>
      <c r="R3377" t="s">
        <v>2616</v>
      </c>
      <c r="S3377" t="s">
        <v>1615</v>
      </c>
      <c r="T3377" t="s">
        <v>2045</v>
      </c>
    </row>
    <row r="3378" spans="1:20" x14ac:dyDescent="0.25">
      <c r="A3378">
        <v>9</v>
      </c>
      <c r="B3378">
        <v>199</v>
      </c>
      <c r="C3378" t="str">
        <f>"51"</f>
        <v>51</v>
      </c>
      <c r="D3378">
        <v>6319</v>
      </c>
      <c r="E3378" t="str">
        <f>"M2"</f>
        <v>M2</v>
      </c>
      <c r="F3378" t="str">
        <f>"936"</f>
        <v>936</v>
      </c>
      <c r="G3378">
        <v>9</v>
      </c>
      <c r="H3378" t="str">
        <f t="shared" si="639"/>
        <v>99</v>
      </c>
      <c r="I3378" t="str">
        <f t="shared" si="641"/>
        <v>0</v>
      </c>
      <c r="J3378" t="str">
        <f>"81"</f>
        <v>81</v>
      </c>
      <c r="K3378">
        <v>20181109</v>
      </c>
      <c r="L3378" t="str">
        <f>"074578"</f>
        <v>074578</v>
      </c>
      <c r="M3378" t="str">
        <f>"29089"</f>
        <v>29089</v>
      </c>
      <c r="N3378" t="s">
        <v>2617</v>
      </c>
      <c r="O3378">
        <v>379.26</v>
      </c>
      <c r="P3378">
        <v>20181108</v>
      </c>
      <c r="Q3378" t="s">
        <v>2074</v>
      </c>
      <c r="R3378" t="s">
        <v>2618</v>
      </c>
      <c r="S3378" t="s">
        <v>1615</v>
      </c>
      <c r="T3378" t="s">
        <v>1713</v>
      </c>
    </row>
    <row r="3379" spans="1:20" x14ac:dyDescent="0.25">
      <c r="A3379">
        <v>9</v>
      </c>
      <c r="B3379">
        <v>199</v>
      </c>
      <c r="C3379" t="str">
        <f>"11"</f>
        <v>11</v>
      </c>
      <c r="D3379">
        <v>6412</v>
      </c>
      <c r="E3379" t="str">
        <f>"V8"</f>
        <v>V8</v>
      </c>
      <c r="F3379" t="str">
        <f>"001"</f>
        <v>001</v>
      </c>
      <c r="G3379">
        <v>9</v>
      </c>
      <c r="H3379" t="str">
        <f>"22"</f>
        <v>22</v>
      </c>
      <c r="I3379" t="str">
        <f t="shared" si="641"/>
        <v>0</v>
      </c>
      <c r="J3379" t="str">
        <f>"22"</f>
        <v>22</v>
      </c>
      <c r="K3379">
        <v>20181109</v>
      </c>
      <c r="L3379" t="str">
        <f>"074579"</f>
        <v>074579</v>
      </c>
      <c r="M3379" t="str">
        <f>"21049"</f>
        <v>21049</v>
      </c>
      <c r="N3379" t="s">
        <v>1883</v>
      </c>
      <c r="O3379">
        <v>140</v>
      </c>
      <c r="P3379">
        <v>20181108</v>
      </c>
      <c r="Q3379" t="s">
        <v>1884</v>
      </c>
      <c r="R3379" t="s">
        <v>2601</v>
      </c>
      <c r="S3379" t="s">
        <v>1615</v>
      </c>
      <c r="T3379" t="s">
        <v>301</v>
      </c>
    </row>
    <row r="3380" spans="1:20" x14ac:dyDescent="0.25">
      <c r="A3380">
        <v>9</v>
      </c>
      <c r="B3380">
        <v>199</v>
      </c>
      <c r="C3380" t="str">
        <f>"00"</f>
        <v>00</v>
      </c>
      <c r="D3380">
        <v>1312</v>
      </c>
      <c r="E3380" t="str">
        <f>"00"</f>
        <v>00</v>
      </c>
      <c r="F3380" t="str">
        <f>"000"</f>
        <v>000</v>
      </c>
      <c r="G3380">
        <v>9</v>
      </c>
      <c r="H3380" t="str">
        <f>"00"</f>
        <v>00</v>
      </c>
      <c r="I3380" t="str">
        <f t="shared" si="641"/>
        <v>0</v>
      </c>
      <c r="J3380" t="str">
        <f>"00"</f>
        <v>00</v>
      </c>
      <c r="K3380">
        <v>20181109</v>
      </c>
      <c r="L3380" t="str">
        <f>"074580"</f>
        <v>074580</v>
      </c>
      <c r="M3380" t="str">
        <f>"29610"</f>
        <v>29610</v>
      </c>
      <c r="N3380" t="s">
        <v>2067</v>
      </c>
      <c r="O3380">
        <v>280.10000000000002</v>
      </c>
      <c r="P3380">
        <v>20181108</v>
      </c>
      <c r="Q3380" t="s">
        <v>1860</v>
      </c>
      <c r="R3380" t="s">
        <v>2619</v>
      </c>
      <c r="S3380" t="s">
        <v>1615</v>
      </c>
      <c r="T3380" t="s">
        <v>296</v>
      </c>
    </row>
    <row r="3381" spans="1:20" x14ac:dyDescent="0.25">
      <c r="A3381">
        <v>9</v>
      </c>
      <c r="B3381">
        <v>199</v>
      </c>
      <c r="C3381" t="str">
        <f>"00"</f>
        <v>00</v>
      </c>
      <c r="D3381">
        <v>1312</v>
      </c>
      <c r="E3381" t="str">
        <f>"00"</f>
        <v>00</v>
      </c>
      <c r="F3381" t="str">
        <f>"000"</f>
        <v>000</v>
      </c>
      <c r="G3381">
        <v>9</v>
      </c>
      <c r="H3381" t="str">
        <f>"00"</f>
        <v>00</v>
      </c>
      <c r="I3381" t="str">
        <f t="shared" si="641"/>
        <v>0</v>
      </c>
      <c r="J3381" t="str">
        <f>"00"</f>
        <v>00</v>
      </c>
      <c r="K3381">
        <v>20181109</v>
      </c>
      <c r="L3381" t="str">
        <f>"074580"</f>
        <v>074580</v>
      </c>
      <c r="M3381" t="str">
        <f>"29610"</f>
        <v>29610</v>
      </c>
      <c r="N3381" t="s">
        <v>2067</v>
      </c>
      <c r="O3381" s="1">
        <v>1520.97</v>
      </c>
      <c r="P3381">
        <v>20181108</v>
      </c>
      <c r="Q3381" t="s">
        <v>1860</v>
      </c>
      <c r="R3381" t="s">
        <v>2620</v>
      </c>
      <c r="S3381" t="s">
        <v>1615</v>
      </c>
      <c r="T3381" t="s">
        <v>296</v>
      </c>
    </row>
    <row r="3382" spans="1:20" x14ac:dyDescent="0.25">
      <c r="A3382">
        <v>9</v>
      </c>
      <c r="B3382">
        <v>199</v>
      </c>
      <c r="C3382" t="str">
        <f>"00"</f>
        <v>00</v>
      </c>
      <c r="D3382">
        <v>1312</v>
      </c>
      <c r="E3382" t="str">
        <f>"00"</f>
        <v>00</v>
      </c>
      <c r="F3382" t="str">
        <f>"000"</f>
        <v>000</v>
      </c>
      <c r="G3382">
        <v>9</v>
      </c>
      <c r="H3382" t="str">
        <f>"00"</f>
        <v>00</v>
      </c>
      <c r="I3382" t="str">
        <f t="shared" si="641"/>
        <v>0</v>
      </c>
      <c r="J3382" t="str">
        <f>"00"</f>
        <v>00</v>
      </c>
      <c r="K3382">
        <v>20181109</v>
      </c>
      <c r="L3382" t="str">
        <f>"074580"</f>
        <v>074580</v>
      </c>
      <c r="M3382" t="str">
        <f>"29610"</f>
        <v>29610</v>
      </c>
      <c r="N3382" t="s">
        <v>2067</v>
      </c>
      <c r="O3382">
        <v>119.95</v>
      </c>
      <c r="P3382">
        <v>20181108</v>
      </c>
      <c r="Q3382" t="s">
        <v>1860</v>
      </c>
      <c r="R3382" t="s">
        <v>2621</v>
      </c>
      <c r="S3382" t="s">
        <v>1615</v>
      </c>
      <c r="T3382" t="s">
        <v>296</v>
      </c>
    </row>
    <row r="3383" spans="1:20" x14ac:dyDescent="0.25">
      <c r="A3383">
        <v>9</v>
      </c>
      <c r="B3383">
        <v>199</v>
      </c>
      <c r="C3383" t="str">
        <f>"00"</f>
        <v>00</v>
      </c>
      <c r="D3383">
        <v>1312</v>
      </c>
      <c r="E3383" t="str">
        <f>"00"</f>
        <v>00</v>
      </c>
      <c r="F3383" t="str">
        <f>"000"</f>
        <v>000</v>
      </c>
      <c r="G3383">
        <v>9</v>
      </c>
      <c r="H3383" t="str">
        <f>"00"</f>
        <v>00</v>
      </c>
      <c r="I3383" t="str">
        <f t="shared" si="641"/>
        <v>0</v>
      </c>
      <c r="J3383" t="str">
        <f>"00"</f>
        <v>00</v>
      </c>
      <c r="K3383">
        <v>20181109</v>
      </c>
      <c r="L3383" t="str">
        <f>"074580"</f>
        <v>074580</v>
      </c>
      <c r="M3383" t="str">
        <f>"29610"</f>
        <v>29610</v>
      </c>
      <c r="N3383" t="s">
        <v>2067</v>
      </c>
      <c r="O3383" s="1">
        <v>1016.4</v>
      </c>
      <c r="P3383">
        <v>20181108</v>
      </c>
      <c r="Q3383" t="s">
        <v>1860</v>
      </c>
      <c r="R3383" t="s">
        <v>2622</v>
      </c>
      <c r="S3383" t="s">
        <v>1615</v>
      </c>
      <c r="T3383" t="s">
        <v>296</v>
      </c>
    </row>
    <row r="3384" spans="1:20" x14ac:dyDescent="0.25">
      <c r="A3384">
        <v>9</v>
      </c>
      <c r="B3384">
        <v>199</v>
      </c>
      <c r="C3384" t="str">
        <f>"00"</f>
        <v>00</v>
      </c>
      <c r="D3384">
        <v>1312</v>
      </c>
      <c r="E3384" t="str">
        <f>"00"</f>
        <v>00</v>
      </c>
      <c r="F3384" t="str">
        <f>"000"</f>
        <v>000</v>
      </c>
      <c r="G3384">
        <v>9</v>
      </c>
      <c r="H3384" t="str">
        <f>"00"</f>
        <v>00</v>
      </c>
      <c r="I3384" t="str">
        <f t="shared" si="641"/>
        <v>0</v>
      </c>
      <c r="J3384" t="str">
        <f>"00"</f>
        <v>00</v>
      </c>
      <c r="K3384">
        <v>20181109</v>
      </c>
      <c r="L3384" t="str">
        <f>"074580"</f>
        <v>074580</v>
      </c>
      <c r="M3384" t="str">
        <f>"29610"</f>
        <v>29610</v>
      </c>
      <c r="N3384" t="s">
        <v>2067</v>
      </c>
      <c r="O3384">
        <v>801.02</v>
      </c>
      <c r="P3384">
        <v>20181108</v>
      </c>
      <c r="Q3384" t="s">
        <v>1860</v>
      </c>
      <c r="R3384" t="s">
        <v>2623</v>
      </c>
      <c r="S3384" t="s">
        <v>1615</v>
      </c>
      <c r="T3384" t="s">
        <v>296</v>
      </c>
    </row>
    <row r="3385" spans="1:20" x14ac:dyDescent="0.25">
      <c r="A3385">
        <v>9</v>
      </c>
      <c r="B3385">
        <v>199</v>
      </c>
      <c r="C3385" t="str">
        <f>"36"</f>
        <v>36</v>
      </c>
      <c r="D3385">
        <v>6299</v>
      </c>
      <c r="E3385" t="str">
        <f>"HC"</f>
        <v>HC</v>
      </c>
      <c r="F3385" t="str">
        <f>"001"</f>
        <v>001</v>
      </c>
      <c r="G3385">
        <v>9</v>
      </c>
      <c r="H3385" t="str">
        <f>"99"</f>
        <v>99</v>
      </c>
      <c r="I3385" t="str">
        <f t="shared" si="641"/>
        <v>0</v>
      </c>
      <c r="J3385" t="str">
        <f>"01"</f>
        <v>01</v>
      </c>
      <c r="K3385">
        <v>20181109</v>
      </c>
      <c r="L3385" t="str">
        <f>"074583"</f>
        <v>074583</v>
      </c>
      <c r="M3385" t="str">
        <f>"30118"</f>
        <v>30118</v>
      </c>
      <c r="N3385" t="s">
        <v>347</v>
      </c>
      <c r="O3385">
        <v>274.60000000000002</v>
      </c>
      <c r="P3385">
        <v>20181108</v>
      </c>
      <c r="Q3385" t="s">
        <v>2574</v>
      </c>
      <c r="R3385" t="s">
        <v>1771</v>
      </c>
      <c r="S3385" t="s">
        <v>1615</v>
      </c>
      <c r="T3385" t="s">
        <v>301</v>
      </c>
    </row>
    <row r="3386" spans="1:20" x14ac:dyDescent="0.25">
      <c r="A3386">
        <v>9</v>
      </c>
      <c r="B3386">
        <v>199</v>
      </c>
      <c r="C3386" t="str">
        <f>"11"</f>
        <v>11</v>
      </c>
      <c r="D3386">
        <v>6396</v>
      </c>
      <c r="E3386" t="str">
        <f>"TB"</f>
        <v>TB</v>
      </c>
      <c r="F3386" t="str">
        <f>"001"</f>
        <v>001</v>
      </c>
      <c r="G3386">
        <v>9</v>
      </c>
      <c r="H3386" t="str">
        <f t="shared" ref="H3386:H3393" si="642">"11"</f>
        <v>11</v>
      </c>
      <c r="I3386" t="str">
        <f t="shared" si="641"/>
        <v>0</v>
      </c>
      <c r="J3386" t="str">
        <f>"01"</f>
        <v>01</v>
      </c>
      <c r="K3386">
        <v>20181109</v>
      </c>
      <c r="L3386" t="str">
        <f t="shared" ref="L3386:L3393" si="643">"074584"</f>
        <v>074584</v>
      </c>
      <c r="M3386" t="str">
        <f t="shared" ref="M3386:M3393" si="644">"30390"</f>
        <v>30390</v>
      </c>
      <c r="N3386" t="s">
        <v>2624</v>
      </c>
      <c r="O3386">
        <v>628.95000000000005</v>
      </c>
      <c r="P3386">
        <v>20181108</v>
      </c>
      <c r="Q3386" t="s">
        <v>2625</v>
      </c>
      <c r="R3386" t="s">
        <v>2626</v>
      </c>
      <c r="S3386" t="s">
        <v>1615</v>
      </c>
      <c r="T3386" t="s">
        <v>301</v>
      </c>
    </row>
    <row r="3387" spans="1:20" x14ac:dyDescent="0.25">
      <c r="A3387">
        <v>9</v>
      </c>
      <c r="B3387">
        <v>199</v>
      </c>
      <c r="C3387" t="str">
        <f>"11"</f>
        <v>11</v>
      </c>
      <c r="D3387">
        <v>6396</v>
      </c>
      <c r="E3387" t="str">
        <f>"TB"</f>
        <v>TB</v>
      </c>
      <c r="F3387" t="str">
        <f>"041"</f>
        <v>041</v>
      </c>
      <c r="G3387">
        <v>9</v>
      </c>
      <c r="H3387" t="str">
        <f t="shared" si="642"/>
        <v>11</v>
      </c>
      <c r="I3387" t="str">
        <f t="shared" si="641"/>
        <v>0</v>
      </c>
      <c r="J3387" t="str">
        <f>"03"</f>
        <v>03</v>
      </c>
      <c r="K3387">
        <v>20181109</v>
      </c>
      <c r="L3387" t="str">
        <f t="shared" si="643"/>
        <v>074584</v>
      </c>
      <c r="M3387" t="str">
        <f t="shared" si="644"/>
        <v>30390</v>
      </c>
      <c r="N3387" t="s">
        <v>2624</v>
      </c>
      <c r="O3387">
        <v>628.95000000000005</v>
      </c>
      <c r="P3387">
        <v>20181108</v>
      </c>
      <c r="Q3387" t="s">
        <v>2627</v>
      </c>
      <c r="R3387" t="s">
        <v>2626</v>
      </c>
      <c r="S3387" t="s">
        <v>1615</v>
      </c>
      <c r="T3387" t="s">
        <v>106</v>
      </c>
    </row>
    <row r="3388" spans="1:20" x14ac:dyDescent="0.25">
      <c r="A3388">
        <v>9</v>
      </c>
      <c r="B3388">
        <v>199</v>
      </c>
      <c r="C3388" t="str">
        <f>"11"</f>
        <v>11</v>
      </c>
      <c r="D3388">
        <v>6396</v>
      </c>
      <c r="E3388" t="str">
        <f>"TB"</f>
        <v>TB</v>
      </c>
      <c r="F3388" t="str">
        <f>"101"</f>
        <v>101</v>
      </c>
      <c r="G3388">
        <v>9</v>
      </c>
      <c r="H3388" t="str">
        <f t="shared" si="642"/>
        <v>11</v>
      </c>
      <c r="I3388" t="str">
        <f t="shared" si="641"/>
        <v>0</v>
      </c>
      <c r="J3388" t="str">
        <f>"04"</f>
        <v>04</v>
      </c>
      <c r="K3388">
        <v>20181109</v>
      </c>
      <c r="L3388" t="str">
        <f t="shared" si="643"/>
        <v>074584</v>
      </c>
      <c r="M3388" t="str">
        <f t="shared" si="644"/>
        <v>30390</v>
      </c>
      <c r="N3388" t="s">
        <v>2624</v>
      </c>
      <c r="O3388">
        <v>628.95000000000005</v>
      </c>
      <c r="P3388">
        <v>20181108</v>
      </c>
      <c r="Q3388" t="s">
        <v>2628</v>
      </c>
      <c r="R3388" t="s">
        <v>2626</v>
      </c>
      <c r="S3388" t="s">
        <v>1615</v>
      </c>
      <c r="T3388" t="s">
        <v>1479</v>
      </c>
    </row>
    <row r="3389" spans="1:20" x14ac:dyDescent="0.25">
      <c r="A3389">
        <v>9</v>
      </c>
      <c r="B3389">
        <v>199</v>
      </c>
      <c r="C3389" t="str">
        <f>"11"</f>
        <v>11</v>
      </c>
      <c r="D3389">
        <v>6396</v>
      </c>
      <c r="E3389" t="str">
        <f>"TB"</f>
        <v>TB</v>
      </c>
      <c r="F3389" t="str">
        <f>"104"</f>
        <v>104</v>
      </c>
      <c r="G3389">
        <v>9</v>
      </c>
      <c r="H3389" t="str">
        <f t="shared" si="642"/>
        <v>11</v>
      </c>
      <c r="I3389" t="str">
        <f t="shared" si="641"/>
        <v>0</v>
      </c>
      <c r="J3389" t="str">
        <f>"05"</f>
        <v>05</v>
      </c>
      <c r="K3389">
        <v>20181109</v>
      </c>
      <c r="L3389" t="str">
        <f t="shared" si="643"/>
        <v>074584</v>
      </c>
      <c r="M3389" t="str">
        <f t="shared" si="644"/>
        <v>30390</v>
      </c>
      <c r="N3389" t="s">
        <v>2624</v>
      </c>
      <c r="O3389">
        <v>628.95000000000005</v>
      </c>
      <c r="P3389">
        <v>20181108</v>
      </c>
      <c r="Q3389" t="s">
        <v>2629</v>
      </c>
      <c r="R3389" t="s">
        <v>2626</v>
      </c>
      <c r="S3389" t="s">
        <v>1615</v>
      </c>
      <c r="T3389" t="s">
        <v>46</v>
      </c>
    </row>
    <row r="3390" spans="1:20" x14ac:dyDescent="0.25">
      <c r="A3390">
        <v>9</v>
      </c>
      <c r="B3390">
        <v>199</v>
      </c>
      <c r="C3390" t="str">
        <f>"12"</f>
        <v>12</v>
      </c>
      <c r="D3390">
        <v>6396</v>
      </c>
      <c r="E3390" t="str">
        <f>"7U"</f>
        <v>7U</v>
      </c>
      <c r="F3390" t="str">
        <f>"001"</f>
        <v>001</v>
      </c>
      <c r="G3390">
        <v>9</v>
      </c>
      <c r="H3390" t="str">
        <f t="shared" si="642"/>
        <v>11</v>
      </c>
      <c r="I3390" t="str">
        <f>"1"</f>
        <v>1</v>
      </c>
      <c r="J3390" t="str">
        <f>"01"</f>
        <v>01</v>
      </c>
      <c r="K3390">
        <v>20181109</v>
      </c>
      <c r="L3390" t="str">
        <f t="shared" si="643"/>
        <v>074584</v>
      </c>
      <c r="M3390" t="str">
        <f t="shared" si="644"/>
        <v>30390</v>
      </c>
      <c r="N3390" t="s">
        <v>2624</v>
      </c>
      <c r="O3390">
        <v>885</v>
      </c>
      <c r="P3390">
        <v>20181108</v>
      </c>
      <c r="Q3390" t="s">
        <v>2630</v>
      </c>
      <c r="R3390" t="s">
        <v>2626</v>
      </c>
      <c r="S3390" t="s">
        <v>1615</v>
      </c>
      <c r="T3390" t="s">
        <v>301</v>
      </c>
    </row>
    <row r="3391" spans="1:20" x14ac:dyDescent="0.25">
      <c r="A3391">
        <v>9</v>
      </c>
      <c r="B3391">
        <v>199</v>
      </c>
      <c r="C3391" t="str">
        <f>"12"</f>
        <v>12</v>
      </c>
      <c r="D3391">
        <v>6396</v>
      </c>
      <c r="E3391" t="str">
        <f>"7U"</f>
        <v>7U</v>
      </c>
      <c r="F3391" t="str">
        <f>"041"</f>
        <v>041</v>
      </c>
      <c r="G3391">
        <v>9</v>
      </c>
      <c r="H3391" t="str">
        <f t="shared" si="642"/>
        <v>11</v>
      </c>
      <c r="I3391" t="str">
        <f>"0"</f>
        <v>0</v>
      </c>
      <c r="J3391" t="str">
        <f>"03"</f>
        <v>03</v>
      </c>
      <c r="K3391">
        <v>20181109</v>
      </c>
      <c r="L3391" t="str">
        <f t="shared" si="643"/>
        <v>074584</v>
      </c>
      <c r="M3391" t="str">
        <f t="shared" si="644"/>
        <v>30390</v>
      </c>
      <c r="N3391" t="s">
        <v>2624</v>
      </c>
      <c r="O3391">
        <v>885</v>
      </c>
      <c r="P3391">
        <v>20181108</v>
      </c>
      <c r="Q3391" t="s">
        <v>2631</v>
      </c>
      <c r="R3391" t="s">
        <v>2626</v>
      </c>
      <c r="S3391" t="s">
        <v>1615</v>
      </c>
      <c r="T3391" t="s">
        <v>106</v>
      </c>
    </row>
    <row r="3392" spans="1:20" x14ac:dyDescent="0.25">
      <c r="A3392">
        <v>9</v>
      </c>
      <c r="B3392">
        <v>199</v>
      </c>
      <c r="C3392" t="str">
        <f>"12"</f>
        <v>12</v>
      </c>
      <c r="D3392">
        <v>6396</v>
      </c>
      <c r="E3392" t="str">
        <f>"7U"</f>
        <v>7U</v>
      </c>
      <c r="F3392" t="str">
        <f>"101"</f>
        <v>101</v>
      </c>
      <c r="G3392">
        <v>9</v>
      </c>
      <c r="H3392" t="str">
        <f t="shared" si="642"/>
        <v>11</v>
      </c>
      <c r="I3392" t="str">
        <f>"1"</f>
        <v>1</v>
      </c>
      <c r="J3392" t="str">
        <f>"04"</f>
        <v>04</v>
      </c>
      <c r="K3392">
        <v>20181109</v>
      </c>
      <c r="L3392" t="str">
        <f t="shared" si="643"/>
        <v>074584</v>
      </c>
      <c r="M3392" t="str">
        <f t="shared" si="644"/>
        <v>30390</v>
      </c>
      <c r="N3392" t="s">
        <v>2624</v>
      </c>
      <c r="O3392">
        <v>885</v>
      </c>
      <c r="P3392">
        <v>20181108</v>
      </c>
      <c r="Q3392" t="s">
        <v>2632</v>
      </c>
      <c r="R3392" t="s">
        <v>2626</v>
      </c>
      <c r="S3392" t="s">
        <v>1615</v>
      </c>
      <c r="T3392" t="s">
        <v>1479</v>
      </c>
    </row>
    <row r="3393" spans="1:20" x14ac:dyDescent="0.25">
      <c r="A3393">
        <v>9</v>
      </c>
      <c r="B3393">
        <v>199</v>
      </c>
      <c r="C3393" t="str">
        <f>"12"</f>
        <v>12</v>
      </c>
      <c r="D3393">
        <v>6396</v>
      </c>
      <c r="E3393" t="str">
        <f>"7U"</f>
        <v>7U</v>
      </c>
      <c r="F3393" t="str">
        <f>"104"</f>
        <v>104</v>
      </c>
      <c r="G3393">
        <v>9</v>
      </c>
      <c r="H3393" t="str">
        <f t="shared" si="642"/>
        <v>11</v>
      </c>
      <c r="I3393" t="str">
        <f>"0"</f>
        <v>0</v>
      </c>
      <c r="J3393" t="str">
        <f>"05"</f>
        <v>05</v>
      </c>
      <c r="K3393">
        <v>20181109</v>
      </c>
      <c r="L3393" t="str">
        <f t="shared" si="643"/>
        <v>074584</v>
      </c>
      <c r="M3393" t="str">
        <f t="shared" si="644"/>
        <v>30390</v>
      </c>
      <c r="N3393" t="s">
        <v>2624</v>
      </c>
      <c r="O3393">
        <v>885</v>
      </c>
      <c r="P3393">
        <v>20181108</v>
      </c>
      <c r="Q3393" t="s">
        <v>2633</v>
      </c>
      <c r="R3393" t="s">
        <v>2626</v>
      </c>
      <c r="S3393" t="s">
        <v>1615</v>
      </c>
      <c r="T3393" t="s">
        <v>46</v>
      </c>
    </row>
    <row r="3394" spans="1:20" x14ac:dyDescent="0.25">
      <c r="A3394">
        <v>9</v>
      </c>
      <c r="B3394">
        <v>199</v>
      </c>
      <c r="C3394" t="str">
        <f t="shared" ref="C3394:C3399" si="645">"36"</f>
        <v>36</v>
      </c>
      <c r="D3394">
        <v>6411</v>
      </c>
      <c r="E3394" t="str">
        <f t="shared" ref="E3394:E3399" si="646">"7B"</f>
        <v>7B</v>
      </c>
      <c r="F3394" t="str">
        <f t="shared" ref="F3394:F3400" si="647">"001"</f>
        <v>001</v>
      </c>
      <c r="G3394">
        <v>9</v>
      </c>
      <c r="H3394" t="str">
        <f t="shared" ref="H3394:H3399" si="648">"99"</f>
        <v>99</v>
      </c>
      <c r="I3394" t="str">
        <f>"0"</f>
        <v>0</v>
      </c>
      <c r="J3394" t="str">
        <f t="shared" ref="J3394:J3399" si="649">"32"</f>
        <v>32</v>
      </c>
      <c r="K3394">
        <v>20181109</v>
      </c>
      <c r="L3394" t="str">
        <f>"074585"</f>
        <v>074585</v>
      </c>
      <c r="M3394" t="str">
        <f>"30837"</f>
        <v>30837</v>
      </c>
      <c r="N3394" t="s">
        <v>621</v>
      </c>
      <c r="O3394">
        <v>59.5</v>
      </c>
      <c r="P3394">
        <v>20181108</v>
      </c>
      <c r="Q3394" t="s">
        <v>1694</v>
      </c>
      <c r="R3394" t="s">
        <v>1851</v>
      </c>
      <c r="S3394" t="s">
        <v>1615</v>
      </c>
      <c r="T3394" t="s">
        <v>301</v>
      </c>
    </row>
    <row r="3395" spans="1:20" x14ac:dyDescent="0.25">
      <c r="A3395">
        <v>9</v>
      </c>
      <c r="B3395">
        <v>199</v>
      </c>
      <c r="C3395" t="str">
        <f t="shared" si="645"/>
        <v>36</v>
      </c>
      <c r="D3395">
        <v>6412</v>
      </c>
      <c r="E3395" t="str">
        <f t="shared" si="646"/>
        <v>7B</v>
      </c>
      <c r="F3395" t="str">
        <f t="shared" si="647"/>
        <v>001</v>
      </c>
      <c r="G3395">
        <v>9</v>
      </c>
      <c r="H3395" t="str">
        <f t="shared" si="648"/>
        <v>99</v>
      </c>
      <c r="I3395" t="str">
        <f>"1"</f>
        <v>1</v>
      </c>
      <c r="J3395" t="str">
        <f t="shared" si="649"/>
        <v>32</v>
      </c>
      <c r="K3395">
        <v>20181109</v>
      </c>
      <c r="L3395" t="str">
        <f>"074585"</f>
        <v>074585</v>
      </c>
      <c r="M3395" t="str">
        <f>"30837"</f>
        <v>30837</v>
      </c>
      <c r="N3395" t="s">
        <v>621</v>
      </c>
      <c r="O3395">
        <v>799</v>
      </c>
      <c r="P3395">
        <v>20181108</v>
      </c>
      <c r="Q3395" t="s">
        <v>1696</v>
      </c>
      <c r="R3395" t="s">
        <v>1851</v>
      </c>
      <c r="S3395" t="s">
        <v>1615</v>
      </c>
      <c r="T3395" t="s">
        <v>301</v>
      </c>
    </row>
    <row r="3396" spans="1:20" x14ac:dyDescent="0.25">
      <c r="A3396">
        <v>9</v>
      </c>
      <c r="B3396">
        <v>199</v>
      </c>
      <c r="C3396" t="str">
        <f t="shared" si="645"/>
        <v>36</v>
      </c>
      <c r="D3396">
        <v>6412</v>
      </c>
      <c r="E3396" t="str">
        <f t="shared" si="646"/>
        <v>7B</v>
      </c>
      <c r="F3396" t="str">
        <f t="shared" si="647"/>
        <v>001</v>
      </c>
      <c r="G3396">
        <v>9</v>
      </c>
      <c r="H3396" t="str">
        <f t="shared" si="648"/>
        <v>99</v>
      </c>
      <c r="I3396" t="str">
        <f t="shared" ref="I3396:I3432" si="650">"0"</f>
        <v>0</v>
      </c>
      <c r="J3396" t="str">
        <f t="shared" si="649"/>
        <v>32</v>
      </c>
      <c r="K3396">
        <v>20181109</v>
      </c>
      <c r="L3396" t="str">
        <f>"074586"</f>
        <v>074586</v>
      </c>
      <c r="M3396" t="str">
        <f>"30744"</f>
        <v>30744</v>
      </c>
      <c r="N3396" t="s">
        <v>422</v>
      </c>
      <c r="O3396">
        <v>12.74</v>
      </c>
      <c r="P3396">
        <v>20181108</v>
      </c>
      <c r="Q3396" t="s">
        <v>1658</v>
      </c>
      <c r="R3396" t="s">
        <v>1851</v>
      </c>
      <c r="S3396" t="s">
        <v>1615</v>
      </c>
      <c r="T3396" t="s">
        <v>301</v>
      </c>
    </row>
    <row r="3397" spans="1:20" x14ac:dyDescent="0.25">
      <c r="A3397">
        <v>9</v>
      </c>
      <c r="B3397">
        <v>199</v>
      </c>
      <c r="C3397" t="str">
        <f t="shared" si="645"/>
        <v>36</v>
      </c>
      <c r="D3397">
        <v>6412</v>
      </c>
      <c r="E3397" t="str">
        <f t="shared" si="646"/>
        <v>7B</v>
      </c>
      <c r="F3397" t="str">
        <f t="shared" si="647"/>
        <v>001</v>
      </c>
      <c r="G3397">
        <v>9</v>
      </c>
      <c r="H3397" t="str">
        <f t="shared" si="648"/>
        <v>99</v>
      </c>
      <c r="I3397" t="str">
        <f t="shared" si="650"/>
        <v>0</v>
      </c>
      <c r="J3397" t="str">
        <f t="shared" si="649"/>
        <v>32</v>
      </c>
      <c r="K3397">
        <v>20181109</v>
      </c>
      <c r="L3397" t="str">
        <f>"074586"</f>
        <v>074586</v>
      </c>
      <c r="M3397" t="str">
        <f>"30744"</f>
        <v>30744</v>
      </c>
      <c r="N3397" t="s">
        <v>422</v>
      </c>
      <c r="O3397">
        <v>12.69</v>
      </c>
      <c r="P3397">
        <v>20181108</v>
      </c>
      <c r="Q3397" t="s">
        <v>1658</v>
      </c>
      <c r="R3397" t="s">
        <v>1851</v>
      </c>
      <c r="S3397" t="s">
        <v>1615</v>
      </c>
      <c r="T3397" t="s">
        <v>301</v>
      </c>
    </row>
    <row r="3398" spans="1:20" x14ac:dyDescent="0.25">
      <c r="A3398">
        <v>9</v>
      </c>
      <c r="B3398">
        <v>199</v>
      </c>
      <c r="C3398" t="str">
        <f t="shared" si="645"/>
        <v>36</v>
      </c>
      <c r="D3398">
        <v>6412</v>
      </c>
      <c r="E3398" t="str">
        <f t="shared" si="646"/>
        <v>7B</v>
      </c>
      <c r="F3398" t="str">
        <f t="shared" si="647"/>
        <v>001</v>
      </c>
      <c r="G3398">
        <v>9</v>
      </c>
      <c r="H3398" t="str">
        <f t="shared" si="648"/>
        <v>99</v>
      </c>
      <c r="I3398" t="str">
        <f t="shared" si="650"/>
        <v>0</v>
      </c>
      <c r="J3398" t="str">
        <f t="shared" si="649"/>
        <v>32</v>
      </c>
      <c r="K3398">
        <v>20181109</v>
      </c>
      <c r="L3398" t="str">
        <f>"074586"</f>
        <v>074586</v>
      </c>
      <c r="M3398" t="str">
        <f>"30744"</f>
        <v>30744</v>
      </c>
      <c r="N3398" t="s">
        <v>422</v>
      </c>
      <c r="O3398">
        <v>59.9</v>
      </c>
      <c r="P3398">
        <v>20181108</v>
      </c>
      <c r="Q3398" t="s">
        <v>1658</v>
      </c>
      <c r="R3398" t="s">
        <v>2634</v>
      </c>
      <c r="S3398" t="s">
        <v>1615</v>
      </c>
      <c r="T3398" t="s">
        <v>301</v>
      </c>
    </row>
    <row r="3399" spans="1:20" x14ac:dyDescent="0.25">
      <c r="A3399">
        <v>9</v>
      </c>
      <c r="B3399">
        <v>199</v>
      </c>
      <c r="C3399" t="str">
        <f t="shared" si="645"/>
        <v>36</v>
      </c>
      <c r="D3399">
        <v>6412</v>
      </c>
      <c r="E3399" t="str">
        <f t="shared" si="646"/>
        <v>7B</v>
      </c>
      <c r="F3399" t="str">
        <f t="shared" si="647"/>
        <v>001</v>
      </c>
      <c r="G3399">
        <v>9</v>
      </c>
      <c r="H3399" t="str">
        <f t="shared" si="648"/>
        <v>99</v>
      </c>
      <c r="I3399" t="str">
        <f t="shared" si="650"/>
        <v>0</v>
      </c>
      <c r="J3399" t="str">
        <f t="shared" si="649"/>
        <v>32</v>
      </c>
      <c r="K3399">
        <v>20181109</v>
      </c>
      <c r="L3399" t="str">
        <f>"074586"</f>
        <v>074586</v>
      </c>
      <c r="M3399" t="str">
        <f>"30744"</f>
        <v>30744</v>
      </c>
      <c r="N3399" t="s">
        <v>422</v>
      </c>
      <c r="O3399">
        <v>43.26</v>
      </c>
      <c r="P3399">
        <v>20181108</v>
      </c>
      <c r="Q3399" t="s">
        <v>1658</v>
      </c>
      <c r="R3399" t="s">
        <v>2634</v>
      </c>
      <c r="S3399" t="s">
        <v>1615</v>
      </c>
      <c r="T3399" t="s">
        <v>301</v>
      </c>
    </row>
    <row r="3400" spans="1:20" x14ac:dyDescent="0.25">
      <c r="A3400">
        <v>9</v>
      </c>
      <c r="B3400">
        <v>199</v>
      </c>
      <c r="C3400" t="str">
        <f t="shared" ref="C3400:C3421" si="651">"11"</f>
        <v>11</v>
      </c>
      <c r="D3400">
        <v>6399</v>
      </c>
      <c r="E3400" t="str">
        <f>"00"</f>
        <v>00</v>
      </c>
      <c r="F3400" t="str">
        <f t="shared" si="647"/>
        <v>001</v>
      </c>
      <c r="G3400">
        <v>9</v>
      </c>
      <c r="H3400" t="str">
        <f>"23"</f>
        <v>23</v>
      </c>
      <c r="I3400" t="str">
        <f t="shared" si="650"/>
        <v>0</v>
      </c>
      <c r="J3400" t="str">
        <f>"23"</f>
        <v>23</v>
      </c>
      <c r="K3400">
        <v>20181109</v>
      </c>
      <c r="L3400" t="str">
        <f t="shared" ref="L3400:L3407" si="652">"074593"</f>
        <v>074593</v>
      </c>
      <c r="M3400" t="str">
        <f t="shared" ref="M3400:M3407" si="653">"37500"</f>
        <v>37500</v>
      </c>
      <c r="N3400" t="s">
        <v>2077</v>
      </c>
      <c r="O3400">
        <v>69.86</v>
      </c>
      <c r="P3400">
        <v>20181108</v>
      </c>
      <c r="Q3400" t="s">
        <v>2635</v>
      </c>
      <c r="R3400" t="s">
        <v>2636</v>
      </c>
      <c r="S3400" t="s">
        <v>1615</v>
      </c>
      <c r="T3400" t="s">
        <v>301</v>
      </c>
    </row>
    <row r="3401" spans="1:20" x14ac:dyDescent="0.25">
      <c r="A3401">
        <v>9</v>
      </c>
      <c r="B3401">
        <v>199</v>
      </c>
      <c r="C3401" t="str">
        <f t="shared" si="651"/>
        <v>11</v>
      </c>
      <c r="D3401">
        <v>6399</v>
      </c>
      <c r="E3401" t="str">
        <f>"00"</f>
        <v>00</v>
      </c>
      <c r="F3401" t="str">
        <f>"101"</f>
        <v>101</v>
      </c>
      <c r="G3401">
        <v>9</v>
      </c>
      <c r="H3401" t="str">
        <f>"23"</f>
        <v>23</v>
      </c>
      <c r="I3401" t="str">
        <f t="shared" si="650"/>
        <v>0</v>
      </c>
      <c r="J3401" t="str">
        <f>"23"</f>
        <v>23</v>
      </c>
      <c r="K3401">
        <v>20181109</v>
      </c>
      <c r="L3401" t="str">
        <f t="shared" si="652"/>
        <v>074593</v>
      </c>
      <c r="M3401" t="str">
        <f t="shared" si="653"/>
        <v>37500</v>
      </c>
      <c r="N3401" t="s">
        <v>2077</v>
      </c>
      <c r="O3401">
        <v>49.64</v>
      </c>
      <c r="P3401">
        <v>20181108</v>
      </c>
      <c r="Q3401" t="s">
        <v>2078</v>
      </c>
      <c r="R3401" t="s">
        <v>2636</v>
      </c>
      <c r="S3401" t="s">
        <v>1615</v>
      </c>
      <c r="T3401" t="s">
        <v>1479</v>
      </c>
    </row>
    <row r="3402" spans="1:20" x14ac:dyDescent="0.25">
      <c r="A3402">
        <v>9</v>
      </c>
      <c r="B3402">
        <v>199</v>
      </c>
      <c r="C3402" t="str">
        <f t="shared" si="651"/>
        <v>11</v>
      </c>
      <c r="D3402">
        <v>6399</v>
      </c>
      <c r="E3402" t="str">
        <f>"N1"</f>
        <v>N1</v>
      </c>
      <c r="F3402" t="str">
        <f>"001"</f>
        <v>001</v>
      </c>
      <c r="G3402">
        <v>9</v>
      </c>
      <c r="H3402" t="str">
        <f>"11"</f>
        <v>11</v>
      </c>
      <c r="I3402" t="str">
        <f t="shared" si="650"/>
        <v>0</v>
      </c>
      <c r="J3402" t="str">
        <f>"01"</f>
        <v>01</v>
      </c>
      <c r="K3402">
        <v>20181109</v>
      </c>
      <c r="L3402" t="str">
        <f t="shared" si="652"/>
        <v>074593</v>
      </c>
      <c r="M3402" t="str">
        <f t="shared" si="653"/>
        <v>37500</v>
      </c>
      <c r="N3402" t="s">
        <v>2077</v>
      </c>
      <c r="O3402">
        <v>8.44</v>
      </c>
      <c r="P3402">
        <v>20181108</v>
      </c>
      <c r="Q3402" t="s">
        <v>2637</v>
      </c>
      <c r="R3402" t="s">
        <v>2638</v>
      </c>
      <c r="S3402" t="s">
        <v>1615</v>
      </c>
      <c r="T3402" t="s">
        <v>301</v>
      </c>
    </row>
    <row r="3403" spans="1:20" x14ac:dyDescent="0.25">
      <c r="A3403">
        <v>9</v>
      </c>
      <c r="B3403">
        <v>199</v>
      </c>
      <c r="C3403" t="str">
        <f t="shared" si="651"/>
        <v>11</v>
      </c>
      <c r="D3403">
        <v>6399</v>
      </c>
      <c r="E3403" t="str">
        <f>"V8"</f>
        <v>V8</v>
      </c>
      <c r="F3403" t="str">
        <f>"001"</f>
        <v>001</v>
      </c>
      <c r="G3403">
        <v>9</v>
      </c>
      <c r="H3403" t="str">
        <f>"22"</f>
        <v>22</v>
      </c>
      <c r="I3403" t="str">
        <f t="shared" si="650"/>
        <v>0</v>
      </c>
      <c r="J3403" t="str">
        <f>"22"</f>
        <v>22</v>
      </c>
      <c r="K3403">
        <v>20181109</v>
      </c>
      <c r="L3403" t="str">
        <f t="shared" si="652"/>
        <v>074593</v>
      </c>
      <c r="M3403" t="str">
        <f t="shared" si="653"/>
        <v>37500</v>
      </c>
      <c r="N3403" t="s">
        <v>2077</v>
      </c>
      <c r="O3403">
        <v>124.9</v>
      </c>
      <c r="P3403">
        <v>20181108</v>
      </c>
      <c r="Q3403" t="s">
        <v>2001</v>
      </c>
      <c r="R3403" t="s">
        <v>2639</v>
      </c>
      <c r="S3403" t="s">
        <v>1615</v>
      </c>
      <c r="T3403" t="s">
        <v>301</v>
      </c>
    </row>
    <row r="3404" spans="1:20" x14ac:dyDescent="0.25">
      <c r="A3404">
        <v>9</v>
      </c>
      <c r="B3404">
        <v>199</v>
      </c>
      <c r="C3404" t="str">
        <f t="shared" si="651"/>
        <v>11</v>
      </c>
      <c r="D3404">
        <v>6399</v>
      </c>
      <c r="E3404" t="str">
        <f>"VH"</f>
        <v>VH</v>
      </c>
      <c r="F3404" t="str">
        <f>"001"</f>
        <v>001</v>
      </c>
      <c r="G3404">
        <v>9</v>
      </c>
      <c r="H3404" t="str">
        <f>"22"</f>
        <v>22</v>
      </c>
      <c r="I3404" t="str">
        <f t="shared" si="650"/>
        <v>0</v>
      </c>
      <c r="J3404" t="str">
        <f>"22"</f>
        <v>22</v>
      </c>
      <c r="K3404">
        <v>20181109</v>
      </c>
      <c r="L3404" t="str">
        <f t="shared" si="652"/>
        <v>074593</v>
      </c>
      <c r="M3404" t="str">
        <f t="shared" si="653"/>
        <v>37500</v>
      </c>
      <c r="N3404" t="s">
        <v>2077</v>
      </c>
      <c r="O3404">
        <v>57.94</v>
      </c>
      <c r="P3404">
        <v>20181108</v>
      </c>
      <c r="Q3404" t="s">
        <v>2206</v>
      </c>
      <c r="R3404" t="s">
        <v>2636</v>
      </c>
      <c r="S3404" t="s">
        <v>1615</v>
      </c>
      <c r="T3404" t="s">
        <v>301</v>
      </c>
    </row>
    <row r="3405" spans="1:20" x14ac:dyDescent="0.25">
      <c r="A3405">
        <v>9</v>
      </c>
      <c r="B3405">
        <v>199</v>
      </c>
      <c r="C3405" t="str">
        <f t="shared" si="651"/>
        <v>11</v>
      </c>
      <c r="D3405">
        <v>6399</v>
      </c>
      <c r="E3405" t="str">
        <f>"VH"</f>
        <v>VH</v>
      </c>
      <c r="F3405" t="str">
        <f>"001"</f>
        <v>001</v>
      </c>
      <c r="G3405">
        <v>9</v>
      </c>
      <c r="H3405" t="str">
        <f>"22"</f>
        <v>22</v>
      </c>
      <c r="I3405" t="str">
        <f t="shared" si="650"/>
        <v>0</v>
      </c>
      <c r="J3405" t="str">
        <f>"22"</f>
        <v>22</v>
      </c>
      <c r="K3405">
        <v>20181109</v>
      </c>
      <c r="L3405" t="str">
        <f t="shared" si="652"/>
        <v>074593</v>
      </c>
      <c r="M3405" t="str">
        <f t="shared" si="653"/>
        <v>37500</v>
      </c>
      <c r="N3405" t="s">
        <v>2077</v>
      </c>
      <c r="O3405">
        <v>93.98</v>
      </c>
      <c r="P3405">
        <v>20181108</v>
      </c>
      <c r="Q3405" t="s">
        <v>2206</v>
      </c>
      <c r="R3405" t="s">
        <v>2636</v>
      </c>
      <c r="S3405" t="s">
        <v>1615</v>
      </c>
      <c r="T3405" t="s">
        <v>301</v>
      </c>
    </row>
    <row r="3406" spans="1:20" x14ac:dyDescent="0.25">
      <c r="A3406">
        <v>9</v>
      </c>
      <c r="B3406">
        <v>199</v>
      </c>
      <c r="C3406" t="str">
        <f t="shared" si="651"/>
        <v>11</v>
      </c>
      <c r="D3406">
        <v>6399</v>
      </c>
      <c r="E3406" t="str">
        <f>"VH"</f>
        <v>VH</v>
      </c>
      <c r="F3406" t="str">
        <f>"001"</f>
        <v>001</v>
      </c>
      <c r="G3406">
        <v>9</v>
      </c>
      <c r="H3406" t="str">
        <f>"22"</f>
        <v>22</v>
      </c>
      <c r="I3406" t="str">
        <f t="shared" si="650"/>
        <v>0</v>
      </c>
      <c r="J3406" t="str">
        <f>"22"</f>
        <v>22</v>
      </c>
      <c r="K3406">
        <v>20181109</v>
      </c>
      <c r="L3406" t="str">
        <f t="shared" si="652"/>
        <v>074593</v>
      </c>
      <c r="M3406" t="str">
        <f t="shared" si="653"/>
        <v>37500</v>
      </c>
      <c r="N3406" t="s">
        <v>2077</v>
      </c>
      <c r="O3406">
        <v>204.83</v>
      </c>
      <c r="P3406">
        <v>20181108</v>
      </c>
      <c r="Q3406" t="s">
        <v>2206</v>
      </c>
      <c r="R3406" t="s">
        <v>2636</v>
      </c>
      <c r="S3406" t="s">
        <v>1615</v>
      </c>
      <c r="T3406" t="s">
        <v>301</v>
      </c>
    </row>
    <row r="3407" spans="1:20" x14ac:dyDescent="0.25">
      <c r="A3407">
        <v>9</v>
      </c>
      <c r="B3407">
        <v>199</v>
      </c>
      <c r="C3407" t="str">
        <f t="shared" si="651"/>
        <v>11</v>
      </c>
      <c r="D3407">
        <v>6499</v>
      </c>
      <c r="E3407" t="str">
        <f>"10"</f>
        <v>10</v>
      </c>
      <c r="F3407" t="str">
        <f>"104"</f>
        <v>104</v>
      </c>
      <c r="G3407">
        <v>9</v>
      </c>
      <c r="H3407" t="str">
        <f>"11"</f>
        <v>11</v>
      </c>
      <c r="I3407" t="str">
        <f t="shared" si="650"/>
        <v>0</v>
      </c>
      <c r="J3407" t="str">
        <f>"05"</f>
        <v>05</v>
      </c>
      <c r="K3407">
        <v>20181109</v>
      </c>
      <c r="L3407" t="str">
        <f t="shared" si="652"/>
        <v>074593</v>
      </c>
      <c r="M3407" t="str">
        <f t="shared" si="653"/>
        <v>37500</v>
      </c>
      <c r="N3407" t="s">
        <v>2077</v>
      </c>
      <c r="O3407">
        <v>119.52</v>
      </c>
      <c r="P3407">
        <v>20181108</v>
      </c>
      <c r="Q3407" t="s">
        <v>2640</v>
      </c>
      <c r="R3407" t="s">
        <v>2641</v>
      </c>
      <c r="S3407" t="s">
        <v>1615</v>
      </c>
      <c r="T3407" t="s">
        <v>46</v>
      </c>
    </row>
    <row r="3408" spans="1:20" x14ac:dyDescent="0.25">
      <c r="A3408">
        <v>9</v>
      </c>
      <c r="B3408">
        <v>199</v>
      </c>
      <c r="C3408" t="str">
        <f t="shared" si="651"/>
        <v>11</v>
      </c>
      <c r="D3408">
        <v>6249</v>
      </c>
      <c r="E3408" t="str">
        <f>"7B"</f>
        <v>7B</v>
      </c>
      <c r="F3408" t="str">
        <f t="shared" ref="F3408:F3422" si="654">"001"</f>
        <v>001</v>
      </c>
      <c r="G3408">
        <v>9</v>
      </c>
      <c r="H3408" t="str">
        <f>"11"</f>
        <v>11</v>
      </c>
      <c r="I3408" t="str">
        <f t="shared" si="650"/>
        <v>0</v>
      </c>
      <c r="J3408" t="str">
        <f>"32"</f>
        <v>32</v>
      </c>
      <c r="K3408">
        <v>20181109</v>
      </c>
      <c r="L3408" t="str">
        <f>"074594"</f>
        <v>074594</v>
      </c>
      <c r="M3408" t="str">
        <f>"39572"</f>
        <v>39572</v>
      </c>
      <c r="N3408" t="s">
        <v>2233</v>
      </c>
      <c r="O3408">
        <v>65</v>
      </c>
      <c r="P3408">
        <v>20181108</v>
      </c>
      <c r="Q3408" t="s">
        <v>2234</v>
      </c>
      <c r="R3408" t="s">
        <v>2642</v>
      </c>
      <c r="S3408" t="s">
        <v>1615</v>
      </c>
      <c r="T3408" t="s">
        <v>301</v>
      </c>
    </row>
    <row r="3409" spans="1:20" x14ac:dyDescent="0.25">
      <c r="A3409">
        <v>9</v>
      </c>
      <c r="B3409">
        <v>199</v>
      </c>
      <c r="C3409" t="str">
        <f t="shared" si="651"/>
        <v>11</v>
      </c>
      <c r="D3409">
        <v>6399</v>
      </c>
      <c r="E3409" t="str">
        <f>"7B"</f>
        <v>7B</v>
      </c>
      <c r="F3409" t="str">
        <f t="shared" si="654"/>
        <v>001</v>
      </c>
      <c r="G3409">
        <v>9</v>
      </c>
      <c r="H3409" t="str">
        <f>"11"</f>
        <v>11</v>
      </c>
      <c r="I3409" t="str">
        <f t="shared" si="650"/>
        <v>0</v>
      </c>
      <c r="J3409" t="str">
        <f>"32"</f>
        <v>32</v>
      </c>
      <c r="K3409">
        <v>20181109</v>
      </c>
      <c r="L3409" t="str">
        <f>"074594"</f>
        <v>074594</v>
      </c>
      <c r="M3409" t="str">
        <f>"39572"</f>
        <v>39572</v>
      </c>
      <c r="N3409" t="s">
        <v>2233</v>
      </c>
      <c r="O3409">
        <v>76.400000000000006</v>
      </c>
      <c r="P3409">
        <v>20181108</v>
      </c>
      <c r="Q3409" t="s">
        <v>2239</v>
      </c>
      <c r="R3409" t="s">
        <v>2643</v>
      </c>
      <c r="S3409" t="s">
        <v>1615</v>
      </c>
      <c r="T3409" t="s">
        <v>301</v>
      </c>
    </row>
    <row r="3410" spans="1:20" x14ac:dyDescent="0.25">
      <c r="A3410">
        <v>9</v>
      </c>
      <c r="B3410">
        <v>199</v>
      </c>
      <c r="C3410" t="str">
        <f t="shared" si="651"/>
        <v>11</v>
      </c>
      <c r="D3410">
        <v>6399</v>
      </c>
      <c r="E3410" t="str">
        <f>"7B"</f>
        <v>7B</v>
      </c>
      <c r="F3410" t="str">
        <f t="shared" si="654"/>
        <v>001</v>
      </c>
      <c r="G3410">
        <v>9</v>
      </c>
      <c r="H3410" t="str">
        <f>"11"</f>
        <v>11</v>
      </c>
      <c r="I3410" t="str">
        <f t="shared" si="650"/>
        <v>0</v>
      </c>
      <c r="J3410" t="str">
        <f>"32"</f>
        <v>32</v>
      </c>
      <c r="K3410">
        <v>20181109</v>
      </c>
      <c r="L3410" t="str">
        <f>"074594"</f>
        <v>074594</v>
      </c>
      <c r="M3410" t="str">
        <f>"39572"</f>
        <v>39572</v>
      </c>
      <c r="N3410" t="s">
        <v>2233</v>
      </c>
      <c r="O3410">
        <v>47.95</v>
      </c>
      <c r="P3410">
        <v>20181108</v>
      </c>
      <c r="Q3410" t="s">
        <v>2239</v>
      </c>
      <c r="R3410" t="s">
        <v>2644</v>
      </c>
      <c r="S3410" t="s">
        <v>1615</v>
      </c>
      <c r="T3410" t="s">
        <v>301</v>
      </c>
    </row>
    <row r="3411" spans="1:20" x14ac:dyDescent="0.25">
      <c r="A3411">
        <v>9</v>
      </c>
      <c r="B3411">
        <v>199</v>
      </c>
      <c r="C3411" t="str">
        <f t="shared" si="651"/>
        <v>11</v>
      </c>
      <c r="D3411">
        <v>6399</v>
      </c>
      <c r="E3411" t="str">
        <f>"7B"</f>
        <v>7B</v>
      </c>
      <c r="F3411" t="str">
        <f t="shared" si="654"/>
        <v>001</v>
      </c>
      <c r="G3411">
        <v>9</v>
      </c>
      <c r="H3411" t="str">
        <f>"11"</f>
        <v>11</v>
      </c>
      <c r="I3411" t="str">
        <f t="shared" si="650"/>
        <v>0</v>
      </c>
      <c r="J3411" t="str">
        <f>"32"</f>
        <v>32</v>
      </c>
      <c r="K3411">
        <v>20181109</v>
      </c>
      <c r="L3411" t="str">
        <f>"074594"</f>
        <v>074594</v>
      </c>
      <c r="M3411" t="str">
        <f>"39572"</f>
        <v>39572</v>
      </c>
      <c r="N3411" t="s">
        <v>2233</v>
      </c>
      <c r="O3411">
        <v>47.95</v>
      </c>
      <c r="P3411">
        <v>20181108</v>
      </c>
      <c r="Q3411" t="s">
        <v>2239</v>
      </c>
      <c r="R3411" t="s">
        <v>2644</v>
      </c>
      <c r="S3411" t="s">
        <v>1615</v>
      </c>
      <c r="T3411" t="s">
        <v>301</v>
      </c>
    </row>
    <row r="3412" spans="1:20" x14ac:dyDescent="0.25">
      <c r="A3412">
        <v>9</v>
      </c>
      <c r="B3412">
        <v>199</v>
      </c>
      <c r="C3412" t="str">
        <f t="shared" si="651"/>
        <v>11</v>
      </c>
      <c r="D3412">
        <v>6399</v>
      </c>
      <c r="E3412" t="str">
        <f>"V8"</f>
        <v>V8</v>
      </c>
      <c r="F3412" t="str">
        <f t="shared" si="654"/>
        <v>001</v>
      </c>
      <c r="G3412">
        <v>9</v>
      </c>
      <c r="H3412" t="str">
        <f>"22"</f>
        <v>22</v>
      </c>
      <c r="I3412" t="str">
        <f t="shared" si="650"/>
        <v>0</v>
      </c>
      <c r="J3412" t="str">
        <f>"22"</f>
        <v>22</v>
      </c>
      <c r="K3412">
        <v>20181109</v>
      </c>
      <c r="L3412" t="str">
        <f>"074595"</f>
        <v>074595</v>
      </c>
      <c r="M3412" t="str">
        <f>"40550"</f>
        <v>40550</v>
      </c>
      <c r="N3412" t="s">
        <v>2645</v>
      </c>
      <c r="O3412">
        <v>90.62</v>
      </c>
      <c r="P3412">
        <v>20181108</v>
      </c>
      <c r="Q3412" t="s">
        <v>2001</v>
      </c>
      <c r="R3412" t="s">
        <v>2646</v>
      </c>
      <c r="S3412" t="s">
        <v>1615</v>
      </c>
      <c r="T3412" t="s">
        <v>301</v>
      </c>
    </row>
    <row r="3413" spans="1:20" x14ac:dyDescent="0.25">
      <c r="A3413">
        <v>9</v>
      </c>
      <c r="B3413">
        <v>199</v>
      </c>
      <c r="C3413" t="str">
        <f t="shared" si="651"/>
        <v>11</v>
      </c>
      <c r="D3413">
        <v>6399</v>
      </c>
      <c r="E3413" t="str">
        <f t="shared" ref="E3413:E3418" si="655">"7K"</f>
        <v>7K</v>
      </c>
      <c r="F3413" t="str">
        <f t="shared" si="654"/>
        <v>001</v>
      </c>
      <c r="G3413">
        <v>9</v>
      </c>
      <c r="H3413" t="str">
        <f t="shared" ref="H3413:H3418" si="656">"11"</f>
        <v>11</v>
      </c>
      <c r="I3413" t="str">
        <f t="shared" si="650"/>
        <v>0</v>
      </c>
      <c r="J3413" t="str">
        <f t="shared" ref="J3413:J3418" si="657">"01"</f>
        <v>01</v>
      </c>
      <c r="K3413">
        <v>20181109</v>
      </c>
      <c r="L3413" t="str">
        <f t="shared" ref="L3413:L3426" si="658">"074596"</f>
        <v>074596</v>
      </c>
      <c r="M3413" t="str">
        <f t="shared" ref="M3413:M3426" si="659">"41230"</f>
        <v>41230</v>
      </c>
      <c r="N3413" t="s">
        <v>1350</v>
      </c>
      <c r="O3413">
        <v>91.55</v>
      </c>
      <c r="P3413">
        <v>20181108</v>
      </c>
      <c r="Q3413" t="s">
        <v>1671</v>
      </c>
      <c r="R3413" t="s">
        <v>2251</v>
      </c>
      <c r="S3413" t="s">
        <v>1615</v>
      </c>
      <c r="T3413" t="s">
        <v>301</v>
      </c>
    </row>
    <row r="3414" spans="1:20" x14ac:dyDescent="0.25">
      <c r="A3414">
        <v>9</v>
      </c>
      <c r="B3414">
        <v>199</v>
      </c>
      <c r="C3414" t="str">
        <f t="shared" si="651"/>
        <v>11</v>
      </c>
      <c r="D3414">
        <v>6399</v>
      </c>
      <c r="E3414" t="str">
        <f t="shared" si="655"/>
        <v>7K</v>
      </c>
      <c r="F3414" t="str">
        <f t="shared" si="654"/>
        <v>001</v>
      </c>
      <c r="G3414">
        <v>9</v>
      </c>
      <c r="H3414" t="str">
        <f t="shared" si="656"/>
        <v>11</v>
      </c>
      <c r="I3414" t="str">
        <f t="shared" si="650"/>
        <v>0</v>
      </c>
      <c r="J3414" t="str">
        <f t="shared" si="657"/>
        <v>01</v>
      </c>
      <c r="K3414">
        <v>20181109</v>
      </c>
      <c r="L3414" t="str">
        <f t="shared" si="658"/>
        <v>074596</v>
      </c>
      <c r="M3414" t="str">
        <f t="shared" si="659"/>
        <v>41230</v>
      </c>
      <c r="N3414" t="s">
        <v>1350</v>
      </c>
      <c r="O3414">
        <v>32</v>
      </c>
      <c r="P3414">
        <v>20181108</v>
      </c>
      <c r="Q3414" t="s">
        <v>1671</v>
      </c>
      <c r="R3414" t="s">
        <v>2251</v>
      </c>
      <c r="S3414" t="s">
        <v>1615</v>
      </c>
      <c r="T3414" t="s">
        <v>301</v>
      </c>
    </row>
    <row r="3415" spans="1:20" x14ac:dyDescent="0.25">
      <c r="A3415">
        <v>9</v>
      </c>
      <c r="B3415">
        <v>199</v>
      </c>
      <c r="C3415" t="str">
        <f t="shared" si="651"/>
        <v>11</v>
      </c>
      <c r="D3415">
        <v>6399</v>
      </c>
      <c r="E3415" t="str">
        <f t="shared" si="655"/>
        <v>7K</v>
      </c>
      <c r="F3415" t="str">
        <f t="shared" si="654"/>
        <v>001</v>
      </c>
      <c r="G3415">
        <v>9</v>
      </c>
      <c r="H3415" t="str">
        <f t="shared" si="656"/>
        <v>11</v>
      </c>
      <c r="I3415" t="str">
        <f t="shared" si="650"/>
        <v>0</v>
      </c>
      <c r="J3415" t="str">
        <f t="shared" si="657"/>
        <v>01</v>
      </c>
      <c r="K3415">
        <v>20181109</v>
      </c>
      <c r="L3415" t="str">
        <f t="shared" si="658"/>
        <v>074596</v>
      </c>
      <c r="M3415" t="str">
        <f t="shared" si="659"/>
        <v>41230</v>
      </c>
      <c r="N3415" t="s">
        <v>1350</v>
      </c>
      <c r="O3415">
        <v>110.52</v>
      </c>
      <c r="P3415">
        <v>20181108</v>
      </c>
      <c r="Q3415" t="s">
        <v>1671</v>
      </c>
      <c r="R3415" t="s">
        <v>2251</v>
      </c>
      <c r="S3415" t="s">
        <v>1615</v>
      </c>
      <c r="T3415" t="s">
        <v>301</v>
      </c>
    </row>
    <row r="3416" spans="1:20" x14ac:dyDescent="0.25">
      <c r="A3416">
        <v>9</v>
      </c>
      <c r="B3416">
        <v>199</v>
      </c>
      <c r="C3416" t="str">
        <f t="shared" si="651"/>
        <v>11</v>
      </c>
      <c r="D3416">
        <v>6399</v>
      </c>
      <c r="E3416" t="str">
        <f t="shared" si="655"/>
        <v>7K</v>
      </c>
      <c r="F3416" t="str">
        <f t="shared" si="654"/>
        <v>001</v>
      </c>
      <c r="G3416">
        <v>9</v>
      </c>
      <c r="H3416" t="str">
        <f t="shared" si="656"/>
        <v>11</v>
      </c>
      <c r="I3416" t="str">
        <f t="shared" si="650"/>
        <v>0</v>
      </c>
      <c r="J3416" t="str">
        <f t="shared" si="657"/>
        <v>01</v>
      </c>
      <c r="K3416">
        <v>20181109</v>
      </c>
      <c r="L3416" t="str">
        <f t="shared" si="658"/>
        <v>074596</v>
      </c>
      <c r="M3416" t="str">
        <f t="shared" si="659"/>
        <v>41230</v>
      </c>
      <c r="N3416" t="s">
        <v>1350</v>
      </c>
      <c r="O3416">
        <v>60.18</v>
      </c>
      <c r="P3416">
        <v>20181108</v>
      </c>
      <c r="Q3416" t="s">
        <v>1671</v>
      </c>
      <c r="R3416" t="s">
        <v>2251</v>
      </c>
      <c r="S3416" t="s">
        <v>1615</v>
      </c>
      <c r="T3416" t="s">
        <v>301</v>
      </c>
    </row>
    <row r="3417" spans="1:20" x14ac:dyDescent="0.25">
      <c r="A3417">
        <v>9</v>
      </c>
      <c r="B3417">
        <v>199</v>
      </c>
      <c r="C3417" t="str">
        <f t="shared" si="651"/>
        <v>11</v>
      </c>
      <c r="D3417">
        <v>6399</v>
      </c>
      <c r="E3417" t="str">
        <f t="shared" si="655"/>
        <v>7K</v>
      </c>
      <c r="F3417" t="str">
        <f t="shared" si="654"/>
        <v>001</v>
      </c>
      <c r="G3417">
        <v>9</v>
      </c>
      <c r="H3417" t="str">
        <f t="shared" si="656"/>
        <v>11</v>
      </c>
      <c r="I3417" t="str">
        <f t="shared" si="650"/>
        <v>0</v>
      </c>
      <c r="J3417" t="str">
        <f t="shared" si="657"/>
        <v>01</v>
      </c>
      <c r="K3417">
        <v>20181109</v>
      </c>
      <c r="L3417" t="str">
        <f t="shared" si="658"/>
        <v>074596</v>
      </c>
      <c r="M3417" t="str">
        <f t="shared" si="659"/>
        <v>41230</v>
      </c>
      <c r="N3417" t="s">
        <v>1350</v>
      </c>
      <c r="O3417">
        <v>41.2</v>
      </c>
      <c r="P3417">
        <v>20181108</v>
      </c>
      <c r="Q3417" t="s">
        <v>1671</v>
      </c>
      <c r="R3417" t="s">
        <v>2251</v>
      </c>
      <c r="S3417" t="s">
        <v>1615</v>
      </c>
      <c r="T3417" t="s">
        <v>301</v>
      </c>
    </row>
    <row r="3418" spans="1:20" x14ac:dyDescent="0.25">
      <c r="A3418">
        <v>9</v>
      </c>
      <c r="B3418">
        <v>199</v>
      </c>
      <c r="C3418" t="str">
        <f t="shared" si="651"/>
        <v>11</v>
      </c>
      <c r="D3418">
        <v>6399</v>
      </c>
      <c r="E3418" t="str">
        <f t="shared" si="655"/>
        <v>7K</v>
      </c>
      <c r="F3418" t="str">
        <f t="shared" si="654"/>
        <v>001</v>
      </c>
      <c r="G3418">
        <v>9</v>
      </c>
      <c r="H3418" t="str">
        <f t="shared" si="656"/>
        <v>11</v>
      </c>
      <c r="I3418" t="str">
        <f t="shared" si="650"/>
        <v>0</v>
      </c>
      <c r="J3418" t="str">
        <f t="shared" si="657"/>
        <v>01</v>
      </c>
      <c r="K3418">
        <v>20181109</v>
      </c>
      <c r="L3418" t="str">
        <f t="shared" si="658"/>
        <v>074596</v>
      </c>
      <c r="M3418" t="str">
        <f t="shared" si="659"/>
        <v>41230</v>
      </c>
      <c r="N3418" t="s">
        <v>1350</v>
      </c>
      <c r="O3418">
        <v>-4.59</v>
      </c>
      <c r="P3418">
        <v>20181003</v>
      </c>
      <c r="Q3418" t="s">
        <v>1671</v>
      </c>
      <c r="R3418" t="s">
        <v>2647</v>
      </c>
      <c r="S3418" t="s">
        <v>1615</v>
      </c>
      <c r="T3418" t="s">
        <v>301</v>
      </c>
    </row>
    <row r="3419" spans="1:20" x14ac:dyDescent="0.25">
      <c r="A3419">
        <v>9</v>
      </c>
      <c r="B3419">
        <v>199</v>
      </c>
      <c r="C3419" t="str">
        <f t="shared" si="651"/>
        <v>11</v>
      </c>
      <c r="D3419">
        <v>6399</v>
      </c>
      <c r="E3419" t="str">
        <f>"V8"</f>
        <v>V8</v>
      </c>
      <c r="F3419" t="str">
        <f t="shared" si="654"/>
        <v>001</v>
      </c>
      <c r="G3419">
        <v>9</v>
      </c>
      <c r="H3419" t="str">
        <f>"22"</f>
        <v>22</v>
      </c>
      <c r="I3419" t="str">
        <f t="shared" si="650"/>
        <v>0</v>
      </c>
      <c r="J3419" t="str">
        <f>"22"</f>
        <v>22</v>
      </c>
      <c r="K3419">
        <v>20181109</v>
      </c>
      <c r="L3419" t="str">
        <f t="shared" si="658"/>
        <v>074596</v>
      </c>
      <c r="M3419" t="str">
        <f t="shared" si="659"/>
        <v>41230</v>
      </c>
      <c r="N3419" t="s">
        <v>1350</v>
      </c>
      <c r="O3419">
        <v>171.54</v>
      </c>
      <c r="P3419">
        <v>20181108</v>
      </c>
      <c r="Q3419" t="s">
        <v>2001</v>
      </c>
      <c r="R3419" t="s">
        <v>2443</v>
      </c>
      <c r="S3419" t="s">
        <v>1615</v>
      </c>
      <c r="T3419" t="s">
        <v>301</v>
      </c>
    </row>
    <row r="3420" spans="1:20" x14ac:dyDescent="0.25">
      <c r="A3420">
        <v>9</v>
      </c>
      <c r="B3420">
        <v>199</v>
      </c>
      <c r="C3420" t="str">
        <f t="shared" si="651"/>
        <v>11</v>
      </c>
      <c r="D3420">
        <v>6399</v>
      </c>
      <c r="E3420" t="str">
        <f>"V8"</f>
        <v>V8</v>
      </c>
      <c r="F3420" t="str">
        <f t="shared" si="654"/>
        <v>001</v>
      </c>
      <c r="G3420">
        <v>9</v>
      </c>
      <c r="H3420" t="str">
        <f>"22"</f>
        <v>22</v>
      </c>
      <c r="I3420" t="str">
        <f t="shared" si="650"/>
        <v>0</v>
      </c>
      <c r="J3420" t="str">
        <f>"22"</f>
        <v>22</v>
      </c>
      <c r="K3420">
        <v>20181109</v>
      </c>
      <c r="L3420" t="str">
        <f t="shared" si="658"/>
        <v>074596</v>
      </c>
      <c r="M3420" t="str">
        <f t="shared" si="659"/>
        <v>41230</v>
      </c>
      <c r="N3420" t="s">
        <v>1350</v>
      </c>
      <c r="O3420">
        <v>25.13</v>
      </c>
      <c r="P3420">
        <v>20181108</v>
      </c>
      <c r="Q3420" t="s">
        <v>2001</v>
      </c>
      <c r="R3420" t="s">
        <v>2648</v>
      </c>
      <c r="S3420" t="s">
        <v>1615</v>
      </c>
      <c r="T3420" t="s">
        <v>301</v>
      </c>
    </row>
    <row r="3421" spans="1:20" x14ac:dyDescent="0.25">
      <c r="A3421">
        <v>9</v>
      </c>
      <c r="B3421">
        <v>199</v>
      </c>
      <c r="C3421" t="str">
        <f t="shared" si="651"/>
        <v>11</v>
      </c>
      <c r="D3421">
        <v>6399</v>
      </c>
      <c r="E3421" t="str">
        <f>"VR"</f>
        <v>VR</v>
      </c>
      <c r="F3421" t="str">
        <f t="shared" si="654"/>
        <v>001</v>
      </c>
      <c r="G3421">
        <v>9</v>
      </c>
      <c r="H3421" t="str">
        <f>"22"</f>
        <v>22</v>
      </c>
      <c r="I3421" t="str">
        <f t="shared" si="650"/>
        <v>0</v>
      </c>
      <c r="J3421" t="str">
        <f>"22"</f>
        <v>22</v>
      </c>
      <c r="K3421">
        <v>20181109</v>
      </c>
      <c r="L3421" t="str">
        <f t="shared" si="658"/>
        <v>074596</v>
      </c>
      <c r="M3421" t="str">
        <f t="shared" si="659"/>
        <v>41230</v>
      </c>
      <c r="N3421" t="s">
        <v>1350</v>
      </c>
      <c r="O3421">
        <v>62.62</v>
      </c>
      <c r="P3421">
        <v>20181108</v>
      </c>
      <c r="Q3421" t="s">
        <v>1863</v>
      </c>
      <c r="R3421" t="s">
        <v>1970</v>
      </c>
      <c r="S3421" t="s">
        <v>1615</v>
      </c>
      <c r="T3421" t="s">
        <v>301</v>
      </c>
    </row>
    <row r="3422" spans="1:20" x14ac:dyDescent="0.25">
      <c r="A3422">
        <v>9</v>
      </c>
      <c r="B3422">
        <v>199</v>
      </c>
      <c r="C3422" t="str">
        <f>"12"</f>
        <v>12</v>
      </c>
      <c r="D3422">
        <v>6399</v>
      </c>
      <c r="E3422" t="str">
        <f>"7U"</f>
        <v>7U</v>
      </c>
      <c r="F3422" t="str">
        <f t="shared" si="654"/>
        <v>001</v>
      </c>
      <c r="G3422">
        <v>9</v>
      </c>
      <c r="H3422" t="str">
        <f>"11"</f>
        <v>11</v>
      </c>
      <c r="I3422" t="str">
        <f t="shared" si="650"/>
        <v>0</v>
      </c>
      <c r="J3422" t="str">
        <f>"01"</f>
        <v>01</v>
      </c>
      <c r="K3422">
        <v>20181109</v>
      </c>
      <c r="L3422" t="str">
        <f t="shared" si="658"/>
        <v>074596</v>
      </c>
      <c r="M3422" t="str">
        <f t="shared" si="659"/>
        <v>41230</v>
      </c>
      <c r="N3422" t="s">
        <v>1350</v>
      </c>
      <c r="O3422">
        <v>125.1</v>
      </c>
      <c r="P3422">
        <v>20181108</v>
      </c>
      <c r="Q3422" t="s">
        <v>2172</v>
      </c>
      <c r="R3422" t="s">
        <v>2649</v>
      </c>
      <c r="S3422" t="s">
        <v>1615</v>
      </c>
      <c r="T3422" t="s">
        <v>301</v>
      </c>
    </row>
    <row r="3423" spans="1:20" x14ac:dyDescent="0.25">
      <c r="A3423">
        <v>9</v>
      </c>
      <c r="B3423">
        <v>199</v>
      </c>
      <c r="C3423" t="str">
        <f>"51"</f>
        <v>51</v>
      </c>
      <c r="D3423">
        <v>6319</v>
      </c>
      <c r="E3423" t="str">
        <f>"MC"</f>
        <v>MC</v>
      </c>
      <c r="F3423" t="str">
        <f>"936"</f>
        <v>936</v>
      </c>
      <c r="G3423">
        <v>9</v>
      </c>
      <c r="H3423" t="str">
        <f>"99"</f>
        <v>99</v>
      </c>
      <c r="I3423" t="str">
        <f t="shared" si="650"/>
        <v>0</v>
      </c>
      <c r="J3423" t="str">
        <f>"81"</f>
        <v>81</v>
      </c>
      <c r="K3423">
        <v>20181109</v>
      </c>
      <c r="L3423" t="str">
        <f t="shared" si="658"/>
        <v>074596</v>
      </c>
      <c r="M3423" t="str">
        <f t="shared" si="659"/>
        <v>41230</v>
      </c>
      <c r="N3423" t="s">
        <v>1350</v>
      </c>
      <c r="O3423">
        <v>160.07</v>
      </c>
      <c r="P3423">
        <v>20181108</v>
      </c>
      <c r="Q3423" t="s">
        <v>2060</v>
      </c>
      <c r="R3423" t="s">
        <v>2650</v>
      </c>
      <c r="S3423" t="s">
        <v>1615</v>
      </c>
      <c r="T3423" t="s">
        <v>1713</v>
      </c>
    </row>
    <row r="3424" spans="1:20" x14ac:dyDescent="0.25">
      <c r="A3424">
        <v>9</v>
      </c>
      <c r="B3424">
        <v>199</v>
      </c>
      <c r="C3424" t="str">
        <f>"51"</f>
        <v>51</v>
      </c>
      <c r="D3424">
        <v>6319</v>
      </c>
      <c r="E3424" t="str">
        <f>"MC"</f>
        <v>MC</v>
      </c>
      <c r="F3424" t="str">
        <f>"936"</f>
        <v>936</v>
      </c>
      <c r="G3424">
        <v>9</v>
      </c>
      <c r="H3424" t="str">
        <f>"99"</f>
        <v>99</v>
      </c>
      <c r="I3424" t="str">
        <f t="shared" si="650"/>
        <v>0</v>
      </c>
      <c r="J3424" t="str">
        <f>"81"</f>
        <v>81</v>
      </c>
      <c r="K3424">
        <v>20181109</v>
      </c>
      <c r="L3424" t="str">
        <f t="shared" si="658"/>
        <v>074596</v>
      </c>
      <c r="M3424" t="str">
        <f t="shared" si="659"/>
        <v>41230</v>
      </c>
      <c r="N3424" t="s">
        <v>1350</v>
      </c>
      <c r="O3424">
        <v>240.92</v>
      </c>
      <c r="P3424">
        <v>20181108</v>
      </c>
      <c r="Q3424" t="s">
        <v>2060</v>
      </c>
      <c r="R3424" t="s">
        <v>2651</v>
      </c>
      <c r="S3424" t="s">
        <v>1615</v>
      </c>
      <c r="T3424" t="s">
        <v>1713</v>
      </c>
    </row>
    <row r="3425" spans="1:20" x14ac:dyDescent="0.25">
      <c r="A3425">
        <v>9</v>
      </c>
      <c r="B3425">
        <v>199</v>
      </c>
      <c r="C3425" t="str">
        <f>"51"</f>
        <v>51</v>
      </c>
      <c r="D3425">
        <v>6319</v>
      </c>
      <c r="E3425" t="str">
        <f>"MC"</f>
        <v>MC</v>
      </c>
      <c r="F3425" t="str">
        <f>"936"</f>
        <v>936</v>
      </c>
      <c r="G3425">
        <v>9</v>
      </c>
      <c r="H3425" t="str">
        <f>"99"</f>
        <v>99</v>
      </c>
      <c r="I3425" t="str">
        <f t="shared" si="650"/>
        <v>0</v>
      </c>
      <c r="J3425" t="str">
        <f>"81"</f>
        <v>81</v>
      </c>
      <c r="K3425">
        <v>20181109</v>
      </c>
      <c r="L3425" t="str">
        <f t="shared" si="658"/>
        <v>074596</v>
      </c>
      <c r="M3425" t="str">
        <f t="shared" si="659"/>
        <v>41230</v>
      </c>
      <c r="N3425" t="s">
        <v>1350</v>
      </c>
      <c r="O3425">
        <v>55.82</v>
      </c>
      <c r="P3425">
        <v>20181108</v>
      </c>
      <c r="Q3425" t="s">
        <v>2060</v>
      </c>
      <c r="R3425" t="s">
        <v>2188</v>
      </c>
      <c r="S3425" t="s">
        <v>1615</v>
      </c>
      <c r="T3425" t="s">
        <v>1713</v>
      </c>
    </row>
    <row r="3426" spans="1:20" x14ac:dyDescent="0.25">
      <c r="A3426">
        <v>9</v>
      </c>
      <c r="B3426">
        <v>199</v>
      </c>
      <c r="C3426" t="str">
        <f>"51"</f>
        <v>51</v>
      </c>
      <c r="D3426">
        <v>6319</v>
      </c>
      <c r="E3426" t="str">
        <f>"MC"</f>
        <v>MC</v>
      </c>
      <c r="F3426" t="str">
        <f>"936"</f>
        <v>936</v>
      </c>
      <c r="G3426">
        <v>9</v>
      </c>
      <c r="H3426" t="str">
        <f>"99"</f>
        <v>99</v>
      </c>
      <c r="I3426" t="str">
        <f t="shared" si="650"/>
        <v>0</v>
      </c>
      <c r="J3426" t="str">
        <f>"81"</f>
        <v>81</v>
      </c>
      <c r="K3426">
        <v>20181109</v>
      </c>
      <c r="L3426" t="str">
        <f t="shared" si="658"/>
        <v>074596</v>
      </c>
      <c r="M3426" t="str">
        <f t="shared" si="659"/>
        <v>41230</v>
      </c>
      <c r="N3426" t="s">
        <v>1350</v>
      </c>
      <c r="O3426">
        <v>412.74</v>
      </c>
      <c r="P3426">
        <v>20181108</v>
      </c>
      <c r="Q3426" t="s">
        <v>2060</v>
      </c>
      <c r="R3426" t="s">
        <v>2188</v>
      </c>
      <c r="S3426" t="s">
        <v>1615</v>
      </c>
      <c r="T3426" t="s">
        <v>1713</v>
      </c>
    </row>
    <row r="3427" spans="1:20" x14ac:dyDescent="0.25">
      <c r="A3427">
        <v>9</v>
      </c>
      <c r="B3427">
        <v>199</v>
      </c>
      <c r="C3427" t="str">
        <f t="shared" ref="C3427:C3432" si="660">"11"</f>
        <v>11</v>
      </c>
      <c r="D3427">
        <v>6399</v>
      </c>
      <c r="E3427" t="str">
        <f t="shared" ref="E3427:E3432" si="661">"7E"</f>
        <v>7E</v>
      </c>
      <c r="F3427" t="str">
        <f>"001"</f>
        <v>001</v>
      </c>
      <c r="G3427">
        <v>9</v>
      </c>
      <c r="H3427" t="str">
        <f t="shared" ref="H3427:H3432" si="662">"11"</f>
        <v>11</v>
      </c>
      <c r="I3427" t="str">
        <f t="shared" si="650"/>
        <v>0</v>
      </c>
      <c r="J3427" t="str">
        <f>"31"</f>
        <v>31</v>
      </c>
      <c r="K3427">
        <v>20181109</v>
      </c>
      <c r="L3427" t="str">
        <f t="shared" ref="L3427:L3432" si="663">"074598"</f>
        <v>074598</v>
      </c>
      <c r="M3427" t="str">
        <f t="shared" ref="M3427:M3432" si="664">"57791"</f>
        <v>57791</v>
      </c>
      <c r="N3427" t="s">
        <v>2381</v>
      </c>
      <c r="O3427">
        <v>91.5</v>
      </c>
      <c r="P3427">
        <v>20181108</v>
      </c>
      <c r="Q3427" t="s">
        <v>2382</v>
      </c>
      <c r="R3427" t="s">
        <v>2652</v>
      </c>
      <c r="S3427" t="s">
        <v>1615</v>
      </c>
      <c r="T3427" t="s">
        <v>301</v>
      </c>
    </row>
    <row r="3428" spans="1:20" x14ac:dyDescent="0.25">
      <c r="A3428">
        <v>9</v>
      </c>
      <c r="B3428">
        <v>199</v>
      </c>
      <c r="C3428" t="str">
        <f t="shared" si="660"/>
        <v>11</v>
      </c>
      <c r="D3428">
        <v>6399</v>
      </c>
      <c r="E3428" t="str">
        <f t="shared" si="661"/>
        <v>7E</v>
      </c>
      <c r="F3428" t="str">
        <f>"001"</f>
        <v>001</v>
      </c>
      <c r="G3428">
        <v>9</v>
      </c>
      <c r="H3428" t="str">
        <f t="shared" si="662"/>
        <v>11</v>
      </c>
      <c r="I3428" t="str">
        <f t="shared" si="650"/>
        <v>0</v>
      </c>
      <c r="J3428" t="str">
        <f>"31"</f>
        <v>31</v>
      </c>
      <c r="K3428">
        <v>20181109</v>
      </c>
      <c r="L3428" t="str">
        <f t="shared" si="663"/>
        <v>074598</v>
      </c>
      <c r="M3428" t="str">
        <f t="shared" si="664"/>
        <v>57791</v>
      </c>
      <c r="N3428" t="s">
        <v>2381</v>
      </c>
      <c r="O3428">
        <v>73.5</v>
      </c>
      <c r="P3428">
        <v>20181108</v>
      </c>
      <c r="Q3428" t="s">
        <v>2382</v>
      </c>
      <c r="R3428" t="s">
        <v>2653</v>
      </c>
      <c r="S3428" t="s">
        <v>1615</v>
      </c>
      <c r="T3428" t="s">
        <v>301</v>
      </c>
    </row>
    <row r="3429" spans="1:20" x14ac:dyDescent="0.25">
      <c r="A3429">
        <v>9</v>
      </c>
      <c r="B3429">
        <v>199</v>
      </c>
      <c r="C3429" t="str">
        <f t="shared" si="660"/>
        <v>11</v>
      </c>
      <c r="D3429">
        <v>6399</v>
      </c>
      <c r="E3429" t="str">
        <f t="shared" si="661"/>
        <v>7E</v>
      </c>
      <c r="F3429" t="str">
        <f>"001"</f>
        <v>001</v>
      </c>
      <c r="G3429">
        <v>9</v>
      </c>
      <c r="H3429" t="str">
        <f t="shared" si="662"/>
        <v>11</v>
      </c>
      <c r="I3429" t="str">
        <f t="shared" si="650"/>
        <v>0</v>
      </c>
      <c r="J3429" t="str">
        <f>"31"</f>
        <v>31</v>
      </c>
      <c r="K3429">
        <v>20181109</v>
      </c>
      <c r="L3429" t="str">
        <f t="shared" si="663"/>
        <v>074598</v>
      </c>
      <c r="M3429" t="str">
        <f t="shared" si="664"/>
        <v>57791</v>
      </c>
      <c r="N3429" t="s">
        <v>2381</v>
      </c>
      <c r="O3429">
        <v>199.65</v>
      </c>
      <c r="P3429">
        <v>20181108</v>
      </c>
      <c r="Q3429" t="s">
        <v>2382</v>
      </c>
      <c r="R3429" t="s">
        <v>2654</v>
      </c>
      <c r="S3429" t="s">
        <v>1615</v>
      </c>
      <c r="T3429" t="s">
        <v>301</v>
      </c>
    </row>
    <row r="3430" spans="1:20" x14ac:dyDescent="0.25">
      <c r="A3430">
        <v>9</v>
      </c>
      <c r="B3430">
        <v>199</v>
      </c>
      <c r="C3430" t="str">
        <f t="shared" si="660"/>
        <v>11</v>
      </c>
      <c r="D3430">
        <v>6399</v>
      </c>
      <c r="E3430" t="str">
        <f t="shared" si="661"/>
        <v>7E</v>
      </c>
      <c r="F3430" t="str">
        <f>"041"</f>
        <v>041</v>
      </c>
      <c r="G3430">
        <v>9</v>
      </c>
      <c r="H3430" t="str">
        <f t="shared" si="662"/>
        <v>11</v>
      </c>
      <c r="I3430" t="str">
        <f t="shared" si="650"/>
        <v>0</v>
      </c>
      <c r="J3430" t="str">
        <f>"35"</f>
        <v>35</v>
      </c>
      <c r="K3430">
        <v>20181109</v>
      </c>
      <c r="L3430" t="str">
        <f t="shared" si="663"/>
        <v>074598</v>
      </c>
      <c r="M3430" t="str">
        <f t="shared" si="664"/>
        <v>57791</v>
      </c>
      <c r="N3430" t="s">
        <v>2381</v>
      </c>
      <c r="O3430">
        <v>388.63</v>
      </c>
      <c r="P3430">
        <v>20181108</v>
      </c>
      <c r="Q3430" t="s">
        <v>2655</v>
      </c>
      <c r="R3430" t="s">
        <v>2652</v>
      </c>
      <c r="S3430" t="s">
        <v>1615</v>
      </c>
      <c r="T3430" t="s">
        <v>106</v>
      </c>
    </row>
    <row r="3431" spans="1:20" x14ac:dyDescent="0.25">
      <c r="A3431">
        <v>9</v>
      </c>
      <c r="B3431">
        <v>199</v>
      </c>
      <c r="C3431" t="str">
        <f t="shared" si="660"/>
        <v>11</v>
      </c>
      <c r="D3431">
        <v>6399</v>
      </c>
      <c r="E3431" t="str">
        <f t="shared" si="661"/>
        <v>7E</v>
      </c>
      <c r="F3431" t="str">
        <f>"041"</f>
        <v>041</v>
      </c>
      <c r="G3431">
        <v>9</v>
      </c>
      <c r="H3431" t="str">
        <f t="shared" si="662"/>
        <v>11</v>
      </c>
      <c r="I3431" t="str">
        <f t="shared" si="650"/>
        <v>0</v>
      </c>
      <c r="J3431" t="str">
        <f>"35"</f>
        <v>35</v>
      </c>
      <c r="K3431">
        <v>20181109</v>
      </c>
      <c r="L3431" t="str">
        <f t="shared" si="663"/>
        <v>074598</v>
      </c>
      <c r="M3431" t="str">
        <f t="shared" si="664"/>
        <v>57791</v>
      </c>
      <c r="N3431" t="s">
        <v>2381</v>
      </c>
      <c r="O3431">
        <v>71.989999999999995</v>
      </c>
      <c r="P3431">
        <v>20181108</v>
      </c>
      <c r="Q3431" t="s">
        <v>2655</v>
      </c>
      <c r="R3431" t="s">
        <v>2656</v>
      </c>
      <c r="S3431" t="s">
        <v>1615</v>
      </c>
      <c r="T3431" t="s">
        <v>106</v>
      </c>
    </row>
    <row r="3432" spans="1:20" x14ac:dyDescent="0.25">
      <c r="A3432">
        <v>9</v>
      </c>
      <c r="B3432">
        <v>199</v>
      </c>
      <c r="C3432" t="str">
        <f t="shared" si="660"/>
        <v>11</v>
      </c>
      <c r="D3432">
        <v>6399</v>
      </c>
      <c r="E3432" t="str">
        <f t="shared" si="661"/>
        <v>7E</v>
      </c>
      <c r="F3432" t="str">
        <f>"041"</f>
        <v>041</v>
      </c>
      <c r="G3432">
        <v>9</v>
      </c>
      <c r="H3432" t="str">
        <f t="shared" si="662"/>
        <v>11</v>
      </c>
      <c r="I3432" t="str">
        <f t="shared" si="650"/>
        <v>0</v>
      </c>
      <c r="J3432" t="str">
        <f>"35"</f>
        <v>35</v>
      </c>
      <c r="K3432">
        <v>20181109</v>
      </c>
      <c r="L3432" t="str">
        <f t="shared" si="663"/>
        <v>074598</v>
      </c>
      <c r="M3432" t="str">
        <f t="shared" si="664"/>
        <v>57791</v>
      </c>
      <c r="N3432" t="s">
        <v>2381</v>
      </c>
      <c r="O3432">
        <v>66.95</v>
      </c>
      <c r="P3432">
        <v>20181108</v>
      </c>
      <c r="Q3432" t="s">
        <v>2655</v>
      </c>
      <c r="R3432" t="s">
        <v>2657</v>
      </c>
      <c r="S3432" t="s">
        <v>1615</v>
      </c>
      <c r="T3432" t="s">
        <v>106</v>
      </c>
    </row>
    <row r="3433" spans="1:20" x14ac:dyDescent="0.25">
      <c r="A3433">
        <v>9</v>
      </c>
      <c r="B3433">
        <v>199</v>
      </c>
      <c r="C3433" t="str">
        <f>"36"</f>
        <v>36</v>
      </c>
      <c r="D3433">
        <v>6411</v>
      </c>
      <c r="E3433" t="str">
        <f>"8S"</f>
        <v>8S</v>
      </c>
      <c r="F3433" t="str">
        <f>"001"</f>
        <v>001</v>
      </c>
      <c r="G3433">
        <v>9</v>
      </c>
      <c r="H3433" t="str">
        <f>"99"</f>
        <v>99</v>
      </c>
      <c r="I3433" t="str">
        <f>"1"</f>
        <v>1</v>
      </c>
      <c r="J3433" t="str">
        <f>"01"</f>
        <v>01</v>
      </c>
      <c r="K3433">
        <v>20181109</v>
      </c>
      <c r="L3433" t="str">
        <f>"074599"</f>
        <v>074599</v>
      </c>
      <c r="M3433" t="str">
        <f>"46348"</f>
        <v>46348</v>
      </c>
      <c r="N3433" t="s">
        <v>1631</v>
      </c>
      <c r="O3433">
        <v>25</v>
      </c>
      <c r="P3433">
        <v>20181108</v>
      </c>
      <c r="Q3433" t="s">
        <v>1632</v>
      </c>
      <c r="R3433" t="s">
        <v>2658</v>
      </c>
      <c r="S3433" t="s">
        <v>1615</v>
      </c>
      <c r="T3433" t="s">
        <v>301</v>
      </c>
    </row>
    <row r="3434" spans="1:20" x14ac:dyDescent="0.25">
      <c r="A3434">
        <v>9</v>
      </c>
      <c r="B3434">
        <v>199</v>
      </c>
      <c r="C3434" t="str">
        <f>"36"</f>
        <v>36</v>
      </c>
      <c r="D3434">
        <v>6412</v>
      </c>
      <c r="E3434" t="str">
        <f>"8S"</f>
        <v>8S</v>
      </c>
      <c r="F3434" t="str">
        <f>"001"</f>
        <v>001</v>
      </c>
      <c r="G3434">
        <v>9</v>
      </c>
      <c r="H3434" t="str">
        <f>"99"</f>
        <v>99</v>
      </c>
      <c r="I3434" t="str">
        <f>"1"</f>
        <v>1</v>
      </c>
      <c r="J3434" t="str">
        <f>"01"</f>
        <v>01</v>
      </c>
      <c r="K3434">
        <v>20181109</v>
      </c>
      <c r="L3434" t="str">
        <f>"074599"</f>
        <v>074599</v>
      </c>
      <c r="M3434" t="str">
        <f>"46348"</f>
        <v>46348</v>
      </c>
      <c r="N3434" t="s">
        <v>1631</v>
      </c>
      <c r="O3434">
        <v>450</v>
      </c>
      <c r="P3434">
        <v>20181108</v>
      </c>
      <c r="Q3434" t="s">
        <v>1634</v>
      </c>
      <c r="R3434" t="s">
        <v>2658</v>
      </c>
      <c r="S3434" t="s">
        <v>1615</v>
      </c>
      <c r="T3434" t="s">
        <v>301</v>
      </c>
    </row>
    <row r="3435" spans="1:20" x14ac:dyDescent="0.25">
      <c r="A3435">
        <v>9</v>
      </c>
      <c r="B3435">
        <v>199</v>
      </c>
      <c r="C3435" t="str">
        <f>"41"</f>
        <v>41</v>
      </c>
      <c r="D3435">
        <v>6299</v>
      </c>
      <c r="E3435" t="str">
        <f>"10"</f>
        <v>10</v>
      </c>
      <c r="F3435" t="str">
        <f>"735"</f>
        <v>735</v>
      </c>
      <c r="G3435">
        <v>9</v>
      </c>
      <c r="H3435" t="str">
        <f>"99"</f>
        <v>99</v>
      </c>
      <c r="I3435" t="str">
        <f t="shared" ref="I3435:I3451" si="665">"0"</f>
        <v>0</v>
      </c>
      <c r="J3435" t="str">
        <f>"96"</f>
        <v>96</v>
      </c>
      <c r="K3435">
        <v>20181109</v>
      </c>
      <c r="L3435" t="str">
        <f>"074603"</f>
        <v>074603</v>
      </c>
      <c r="M3435" t="str">
        <f>"00522"</f>
        <v>00522</v>
      </c>
      <c r="N3435" t="s">
        <v>1647</v>
      </c>
      <c r="O3435" s="1">
        <v>2100</v>
      </c>
      <c r="P3435">
        <v>20181108</v>
      </c>
      <c r="Q3435" t="s">
        <v>2101</v>
      </c>
      <c r="R3435" t="s">
        <v>2308</v>
      </c>
      <c r="S3435" t="s">
        <v>1615</v>
      </c>
      <c r="T3435" t="s">
        <v>151</v>
      </c>
    </row>
    <row r="3436" spans="1:20" x14ac:dyDescent="0.25">
      <c r="A3436">
        <v>9</v>
      </c>
      <c r="B3436">
        <v>199</v>
      </c>
      <c r="C3436" t="str">
        <f>"11"</f>
        <v>11</v>
      </c>
      <c r="D3436">
        <v>6412</v>
      </c>
      <c r="E3436" t="str">
        <f>"7K"</f>
        <v>7K</v>
      </c>
      <c r="F3436" t="str">
        <f>"041"</f>
        <v>041</v>
      </c>
      <c r="G3436">
        <v>9</v>
      </c>
      <c r="H3436" t="str">
        <f>"11"</f>
        <v>11</v>
      </c>
      <c r="I3436" t="str">
        <f t="shared" si="665"/>
        <v>0</v>
      </c>
      <c r="J3436" t="str">
        <f>"03"</f>
        <v>03</v>
      </c>
      <c r="K3436">
        <v>20181109</v>
      </c>
      <c r="L3436" t="str">
        <f>"074605"</f>
        <v>074605</v>
      </c>
      <c r="M3436" t="str">
        <f>"54221"</f>
        <v>54221</v>
      </c>
      <c r="N3436" t="s">
        <v>2659</v>
      </c>
      <c r="O3436">
        <v>75</v>
      </c>
      <c r="P3436">
        <v>20181108</v>
      </c>
      <c r="Q3436" t="s">
        <v>2660</v>
      </c>
      <c r="R3436" t="s">
        <v>757</v>
      </c>
      <c r="S3436" t="s">
        <v>1615</v>
      </c>
      <c r="T3436" t="s">
        <v>106</v>
      </c>
    </row>
    <row r="3437" spans="1:20" x14ac:dyDescent="0.25">
      <c r="A3437">
        <v>9</v>
      </c>
      <c r="B3437">
        <v>199</v>
      </c>
      <c r="C3437" t="str">
        <f>"11"</f>
        <v>11</v>
      </c>
      <c r="D3437">
        <v>6412</v>
      </c>
      <c r="E3437" t="str">
        <f>"7K"</f>
        <v>7K</v>
      </c>
      <c r="F3437" t="str">
        <f>"041"</f>
        <v>041</v>
      </c>
      <c r="G3437">
        <v>9</v>
      </c>
      <c r="H3437" t="str">
        <f>"11"</f>
        <v>11</v>
      </c>
      <c r="I3437" t="str">
        <f t="shared" si="665"/>
        <v>0</v>
      </c>
      <c r="J3437" t="str">
        <f>"03"</f>
        <v>03</v>
      </c>
      <c r="K3437">
        <v>20181109</v>
      </c>
      <c r="L3437" t="str">
        <f>"074605"</f>
        <v>074605</v>
      </c>
      <c r="M3437" t="str">
        <f>"54221"</f>
        <v>54221</v>
      </c>
      <c r="N3437" t="s">
        <v>2659</v>
      </c>
      <c r="O3437">
        <v>130</v>
      </c>
      <c r="P3437">
        <v>20181108</v>
      </c>
      <c r="Q3437" t="s">
        <v>2660</v>
      </c>
      <c r="R3437" t="s">
        <v>2661</v>
      </c>
      <c r="S3437" t="s">
        <v>1615</v>
      </c>
      <c r="T3437" t="s">
        <v>106</v>
      </c>
    </row>
    <row r="3438" spans="1:20" x14ac:dyDescent="0.25">
      <c r="A3438">
        <v>9</v>
      </c>
      <c r="B3438">
        <v>199</v>
      </c>
      <c r="C3438" t="str">
        <f>"51"</f>
        <v>51</v>
      </c>
      <c r="D3438">
        <v>6249</v>
      </c>
      <c r="E3438" t="str">
        <f>"M1"</f>
        <v>M1</v>
      </c>
      <c r="F3438" t="str">
        <f>"936"</f>
        <v>936</v>
      </c>
      <c r="G3438">
        <v>9</v>
      </c>
      <c r="H3438" t="str">
        <f t="shared" ref="H3438:H3447" si="666">"99"</f>
        <v>99</v>
      </c>
      <c r="I3438" t="str">
        <f t="shared" si="665"/>
        <v>0</v>
      </c>
      <c r="J3438" t="str">
        <f>"81"</f>
        <v>81</v>
      </c>
      <c r="K3438">
        <v>20181109</v>
      </c>
      <c r="L3438" t="str">
        <f>"074608"</f>
        <v>074608</v>
      </c>
      <c r="M3438" t="str">
        <f>"00181"</f>
        <v>00181</v>
      </c>
      <c r="N3438" t="s">
        <v>1762</v>
      </c>
      <c r="O3438">
        <v>320</v>
      </c>
      <c r="P3438">
        <v>20181108</v>
      </c>
      <c r="Q3438" t="s">
        <v>1763</v>
      </c>
      <c r="R3438" s="2">
        <v>43405</v>
      </c>
      <c r="S3438" t="s">
        <v>1615</v>
      </c>
      <c r="T3438" t="s">
        <v>1713</v>
      </c>
    </row>
    <row r="3439" spans="1:20" x14ac:dyDescent="0.25">
      <c r="A3439">
        <v>9</v>
      </c>
      <c r="B3439">
        <v>199</v>
      </c>
      <c r="C3439" t="str">
        <f>"36"</f>
        <v>36</v>
      </c>
      <c r="D3439">
        <v>6269</v>
      </c>
      <c r="E3439" t="str">
        <f>"7B"</f>
        <v>7B</v>
      </c>
      <c r="F3439" t="str">
        <f>"001"</f>
        <v>001</v>
      </c>
      <c r="G3439">
        <v>9</v>
      </c>
      <c r="H3439" t="str">
        <f t="shared" si="666"/>
        <v>99</v>
      </c>
      <c r="I3439" t="str">
        <f t="shared" si="665"/>
        <v>0</v>
      </c>
      <c r="J3439" t="str">
        <f>"32"</f>
        <v>32</v>
      </c>
      <c r="K3439">
        <v>20181109</v>
      </c>
      <c r="L3439" t="str">
        <f>"074610"</f>
        <v>074610</v>
      </c>
      <c r="M3439" t="str">
        <f>"57697"</f>
        <v>57697</v>
      </c>
      <c r="N3439" t="s">
        <v>1902</v>
      </c>
      <c r="O3439">
        <v>232.83</v>
      </c>
      <c r="P3439">
        <v>20181108</v>
      </c>
      <c r="Q3439" t="s">
        <v>1903</v>
      </c>
      <c r="R3439" t="s">
        <v>2634</v>
      </c>
      <c r="S3439" t="s">
        <v>1615</v>
      </c>
      <c r="T3439" t="s">
        <v>301</v>
      </c>
    </row>
    <row r="3440" spans="1:20" x14ac:dyDescent="0.25">
      <c r="A3440">
        <v>9</v>
      </c>
      <c r="B3440">
        <v>199</v>
      </c>
      <c r="C3440" t="str">
        <f>"36"</f>
        <v>36</v>
      </c>
      <c r="D3440">
        <v>6269</v>
      </c>
      <c r="E3440" t="str">
        <f>"7B"</f>
        <v>7B</v>
      </c>
      <c r="F3440" t="str">
        <f>"001"</f>
        <v>001</v>
      </c>
      <c r="G3440">
        <v>9</v>
      </c>
      <c r="H3440" t="str">
        <f t="shared" si="666"/>
        <v>99</v>
      </c>
      <c r="I3440" t="str">
        <f t="shared" si="665"/>
        <v>0</v>
      </c>
      <c r="J3440" t="str">
        <f>"32"</f>
        <v>32</v>
      </c>
      <c r="K3440">
        <v>20181109</v>
      </c>
      <c r="L3440" t="str">
        <f>"074610"</f>
        <v>074610</v>
      </c>
      <c r="M3440" t="str">
        <f>"57697"</f>
        <v>57697</v>
      </c>
      <c r="N3440" t="s">
        <v>1902</v>
      </c>
      <c r="O3440">
        <v>168.56</v>
      </c>
      <c r="P3440">
        <v>20181108</v>
      </c>
      <c r="Q3440" t="s">
        <v>1903</v>
      </c>
      <c r="R3440" t="s">
        <v>2634</v>
      </c>
      <c r="S3440" t="s">
        <v>1615</v>
      </c>
      <c r="T3440" t="s">
        <v>301</v>
      </c>
    </row>
    <row r="3441" spans="1:20" x14ac:dyDescent="0.25">
      <c r="A3441">
        <v>9</v>
      </c>
      <c r="B3441">
        <v>199</v>
      </c>
      <c r="C3441" t="str">
        <f>"36"</f>
        <v>36</v>
      </c>
      <c r="D3441">
        <v>6299</v>
      </c>
      <c r="E3441" t="str">
        <f>"HC"</f>
        <v>HC</v>
      </c>
      <c r="F3441" t="str">
        <f>"001"</f>
        <v>001</v>
      </c>
      <c r="G3441">
        <v>9</v>
      </c>
      <c r="H3441" t="str">
        <f t="shared" si="666"/>
        <v>99</v>
      </c>
      <c r="I3441" t="str">
        <f t="shared" si="665"/>
        <v>0</v>
      </c>
      <c r="J3441" t="str">
        <f>"01"</f>
        <v>01</v>
      </c>
      <c r="K3441">
        <v>20181109</v>
      </c>
      <c r="L3441" t="str">
        <f>"074611"</f>
        <v>074611</v>
      </c>
      <c r="M3441" t="str">
        <f>"57974"</f>
        <v>57974</v>
      </c>
      <c r="N3441" t="s">
        <v>371</v>
      </c>
      <c r="O3441">
        <v>274.60000000000002</v>
      </c>
      <c r="P3441">
        <v>20181108</v>
      </c>
      <c r="Q3441" t="s">
        <v>2574</v>
      </c>
      <c r="R3441" t="s">
        <v>1771</v>
      </c>
      <c r="S3441" t="s">
        <v>1615</v>
      </c>
      <c r="T3441" t="s">
        <v>301</v>
      </c>
    </row>
    <row r="3442" spans="1:20" x14ac:dyDescent="0.25">
      <c r="A3442">
        <v>9</v>
      </c>
      <c r="B3442">
        <v>199</v>
      </c>
      <c r="C3442" t="str">
        <f>"36"</f>
        <v>36</v>
      </c>
      <c r="D3442">
        <v>6299</v>
      </c>
      <c r="E3442" t="str">
        <f>"HC"</f>
        <v>HC</v>
      </c>
      <c r="F3442" t="str">
        <f>"001"</f>
        <v>001</v>
      </c>
      <c r="G3442">
        <v>9</v>
      </c>
      <c r="H3442" t="str">
        <f t="shared" si="666"/>
        <v>99</v>
      </c>
      <c r="I3442" t="str">
        <f t="shared" si="665"/>
        <v>0</v>
      </c>
      <c r="J3442" t="str">
        <f>"01"</f>
        <v>01</v>
      </c>
      <c r="K3442">
        <v>20181109</v>
      </c>
      <c r="L3442" t="str">
        <f>"074613"</f>
        <v>074613</v>
      </c>
      <c r="M3442" t="str">
        <f>"57964"</f>
        <v>57964</v>
      </c>
      <c r="N3442" t="s">
        <v>578</v>
      </c>
      <c r="O3442">
        <v>164.76</v>
      </c>
      <c r="P3442">
        <v>20181108</v>
      </c>
      <c r="Q3442" t="s">
        <v>2574</v>
      </c>
      <c r="R3442" t="s">
        <v>1771</v>
      </c>
      <c r="S3442" t="s">
        <v>1615</v>
      </c>
      <c r="T3442" t="s">
        <v>301</v>
      </c>
    </row>
    <row r="3443" spans="1:20" x14ac:dyDescent="0.25">
      <c r="A3443">
        <v>9</v>
      </c>
      <c r="B3443">
        <v>199</v>
      </c>
      <c r="C3443" t="str">
        <f>"23"</f>
        <v>23</v>
      </c>
      <c r="D3443">
        <v>6498</v>
      </c>
      <c r="E3443" t="str">
        <f>"10"</f>
        <v>10</v>
      </c>
      <c r="F3443" t="str">
        <f>"104"</f>
        <v>104</v>
      </c>
      <c r="G3443">
        <v>9</v>
      </c>
      <c r="H3443" t="str">
        <f t="shared" si="666"/>
        <v>99</v>
      </c>
      <c r="I3443" t="str">
        <f t="shared" si="665"/>
        <v>0</v>
      </c>
      <c r="J3443" t="str">
        <f>"05"</f>
        <v>05</v>
      </c>
      <c r="K3443">
        <v>20181109</v>
      </c>
      <c r="L3443" t="str">
        <f>"074614"</f>
        <v>074614</v>
      </c>
      <c r="M3443" t="str">
        <f>"58201"</f>
        <v>58201</v>
      </c>
      <c r="N3443" t="s">
        <v>2662</v>
      </c>
      <c r="O3443">
        <v>54.04</v>
      </c>
      <c r="P3443">
        <v>20181108</v>
      </c>
      <c r="Q3443" t="s">
        <v>2402</v>
      </c>
      <c r="R3443" t="s">
        <v>2663</v>
      </c>
      <c r="S3443" t="s">
        <v>1615</v>
      </c>
      <c r="T3443" t="s">
        <v>46</v>
      </c>
    </row>
    <row r="3444" spans="1:20" x14ac:dyDescent="0.25">
      <c r="A3444">
        <v>9</v>
      </c>
      <c r="B3444">
        <v>199</v>
      </c>
      <c r="C3444" t="str">
        <f>"23"</f>
        <v>23</v>
      </c>
      <c r="D3444">
        <v>6498</v>
      </c>
      <c r="E3444" t="str">
        <f>"10"</f>
        <v>10</v>
      </c>
      <c r="F3444" t="str">
        <f>"104"</f>
        <v>104</v>
      </c>
      <c r="G3444">
        <v>9</v>
      </c>
      <c r="H3444" t="str">
        <f t="shared" si="666"/>
        <v>99</v>
      </c>
      <c r="I3444" t="str">
        <f t="shared" si="665"/>
        <v>0</v>
      </c>
      <c r="J3444" t="str">
        <f>"05"</f>
        <v>05</v>
      </c>
      <c r="K3444">
        <v>20181109</v>
      </c>
      <c r="L3444" t="str">
        <f>"074614"</f>
        <v>074614</v>
      </c>
      <c r="M3444" t="str">
        <f>"58201"</f>
        <v>58201</v>
      </c>
      <c r="N3444" t="s">
        <v>2662</v>
      </c>
      <c r="O3444">
        <v>7.76</v>
      </c>
      <c r="P3444">
        <v>20181108</v>
      </c>
      <c r="Q3444" t="s">
        <v>2402</v>
      </c>
      <c r="R3444" t="s">
        <v>2663</v>
      </c>
      <c r="S3444" t="s">
        <v>1615</v>
      </c>
      <c r="T3444" t="s">
        <v>46</v>
      </c>
    </row>
    <row r="3445" spans="1:20" x14ac:dyDescent="0.25">
      <c r="A3445">
        <v>9</v>
      </c>
      <c r="B3445">
        <v>199</v>
      </c>
      <c r="C3445" t="str">
        <f>"34"</f>
        <v>34</v>
      </c>
      <c r="D3445">
        <v>6299</v>
      </c>
      <c r="E3445" t="str">
        <f>"10"</f>
        <v>10</v>
      </c>
      <c r="F3445" t="str">
        <f>"937"</f>
        <v>937</v>
      </c>
      <c r="G3445">
        <v>9</v>
      </c>
      <c r="H3445" t="str">
        <f t="shared" si="666"/>
        <v>99</v>
      </c>
      <c r="I3445" t="str">
        <f t="shared" si="665"/>
        <v>0</v>
      </c>
      <c r="J3445" t="str">
        <f>"82"</f>
        <v>82</v>
      </c>
      <c r="K3445">
        <v>20181109</v>
      </c>
      <c r="L3445" t="str">
        <f>"074615"</f>
        <v>074615</v>
      </c>
      <c r="M3445" t="str">
        <f>"58927"</f>
        <v>58927</v>
      </c>
      <c r="N3445" t="s">
        <v>1772</v>
      </c>
      <c r="O3445">
        <v>360</v>
      </c>
      <c r="P3445">
        <v>20181108</v>
      </c>
      <c r="Q3445" t="s">
        <v>2292</v>
      </c>
      <c r="R3445" t="s">
        <v>2664</v>
      </c>
      <c r="S3445" t="s">
        <v>1615</v>
      </c>
      <c r="T3445" t="s">
        <v>1810</v>
      </c>
    </row>
    <row r="3446" spans="1:20" x14ac:dyDescent="0.25">
      <c r="A3446">
        <v>9</v>
      </c>
      <c r="B3446">
        <v>199</v>
      </c>
      <c r="C3446" t="str">
        <f>"34"</f>
        <v>34</v>
      </c>
      <c r="D3446">
        <v>6299</v>
      </c>
      <c r="E3446" t="str">
        <f>"10"</f>
        <v>10</v>
      </c>
      <c r="F3446" t="str">
        <f>"937"</f>
        <v>937</v>
      </c>
      <c r="G3446">
        <v>9</v>
      </c>
      <c r="H3446" t="str">
        <f t="shared" si="666"/>
        <v>99</v>
      </c>
      <c r="I3446" t="str">
        <f t="shared" si="665"/>
        <v>0</v>
      </c>
      <c r="J3446" t="str">
        <f>"82"</f>
        <v>82</v>
      </c>
      <c r="K3446">
        <v>20181109</v>
      </c>
      <c r="L3446" t="str">
        <f>"074615"</f>
        <v>074615</v>
      </c>
      <c r="M3446" t="str">
        <f>"58927"</f>
        <v>58927</v>
      </c>
      <c r="N3446" t="s">
        <v>1772</v>
      </c>
      <c r="O3446">
        <v>220</v>
      </c>
      <c r="P3446">
        <v>20181108</v>
      </c>
      <c r="Q3446" t="s">
        <v>2292</v>
      </c>
      <c r="R3446" t="s">
        <v>1774</v>
      </c>
      <c r="S3446" t="s">
        <v>1615</v>
      </c>
      <c r="T3446" t="s">
        <v>1810</v>
      </c>
    </row>
    <row r="3447" spans="1:20" x14ac:dyDescent="0.25">
      <c r="A3447">
        <v>9</v>
      </c>
      <c r="B3447">
        <v>199</v>
      </c>
      <c r="C3447" t="str">
        <f>"34"</f>
        <v>34</v>
      </c>
      <c r="D3447">
        <v>6299</v>
      </c>
      <c r="E3447" t="str">
        <f>"10"</f>
        <v>10</v>
      </c>
      <c r="F3447" t="str">
        <f>"937"</f>
        <v>937</v>
      </c>
      <c r="G3447">
        <v>9</v>
      </c>
      <c r="H3447" t="str">
        <f t="shared" si="666"/>
        <v>99</v>
      </c>
      <c r="I3447" t="str">
        <f t="shared" si="665"/>
        <v>0</v>
      </c>
      <c r="J3447" t="str">
        <f>"82"</f>
        <v>82</v>
      </c>
      <c r="K3447">
        <v>20181109</v>
      </c>
      <c r="L3447" t="str">
        <f>"074615"</f>
        <v>074615</v>
      </c>
      <c r="M3447" t="str">
        <f>"58927"</f>
        <v>58927</v>
      </c>
      <c r="N3447" t="s">
        <v>1772</v>
      </c>
      <c r="O3447">
        <v>150</v>
      </c>
      <c r="P3447">
        <v>20181108</v>
      </c>
      <c r="Q3447" t="s">
        <v>2292</v>
      </c>
      <c r="R3447" t="s">
        <v>2293</v>
      </c>
      <c r="S3447" t="s">
        <v>1615</v>
      </c>
      <c r="T3447" t="s">
        <v>1810</v>
      </c>
    </row>
    <row r="3448" spans="1:20" x14ac:dyDescent="0.25">
      <c r="A3448">
        <v>9</v>
      </c>
      <c r="B3448">
        <v>199</v>
      </c>
      <c r="C3448" t="str">
        <f>"11"</f>
        <v>11</v>
      </c>
      <c r="D3448">
        <v>6399</v>
      </c>
      <c r="E3448" t="str">
        <f>"7K"</f>
        <v>7K</v>
      </c>
      <c r="F3448" t="str">
        <f>"041"</f>
        <v>041</v>
      </c>
      <c r="G3448">
        <v>9</v>
      </c>
      <c r="H3448" t="str">
        <f>"11"</f>
        <v>11</v>
      </c>
      <c r="I3448" t="str">
        <f t="shared" si="665"/>
        <v>0</v>
      </c>
      <c r="J3448" t="str">
        <f>"03"</f>
        <v>03</v>
      </c>
      <c r="K3448">
        <v>20181109</v>
      </c>
      <c r="L3448" t="str">
        <f>"074616"</f>
        <v>074616</v>
      </c>
      <c r="M3448" t="str">
        <f>"58950"</f>
        <v>58950</v>
      </c>
      <c r="N3448" t="s">
        <v>2665</v>
      </c>
      <c r="O3448">
        <v>280.3</v>
      </c>
      <c r="P3448">
        <v>20181108</v>
      </c>
      <c r="Q3448" t="s">
        <v>2666</v>
      </c>
      <c r="R3448" t="s">
        <v>2667</v>
      </c>
      <c r="S3448" t="s">
        <v>1615</v>
      </c>
      <c r="T3448" t="s">
        <v>106</v>
      </c>
    </row>
    <row r="3449" spans="1:20" x14ac:dyDescent="0.25">
      <c r="A3449">
        <v>9</v>
      </c>
      <c r="B3449">
        <v>199</v>
      </c>
      <c r="C3449" t="str">
        <f>"51"</f>
        <v>51</v>
      </c>
      <c r="D3449">
        <v>6259</v>
      </c>
      <c r="E3449" t="str">
        <f>"10"</f>
        <v>10</v>
      </c>
      <c r="F3449" t="str">
        <f>"936"</f>
        <v>936</v>
      </c>
      <c r="G3449">
        <v>9</v>
      </c>
      <c r="H3449" t="str">
        <f t="shared" ref="H3449:H3454" si="667">"99"</f>
        <v>99</v>
      </c>
      <c r="I3449" t="str">
        <f t="shared" si="665"/>
        <v>0</v>
      </c>
      <c r="J3449" t="str">
        <f>"73"</f>
        <v>73</v>
      </c>
      <c r="K3449">
        <v>20181109</v>
      </c>
      <c r="L3449" t="str">
        <f>"074621"</f>
        <v>074621</v>
      </c>
      <c r="M3449" t="str">
        <f>"62340"</f>
        <v>62340</v>
      </c>
      <c r="N3449" t="s">
        <v>1787</v>
      </c>
      <c r="O3449" s="1">
        <v>5066.6499999999996</v>
      </c>
      <c r="P3449">
        <v>20181108</v>
      </c>
      <c r="Q3449" t="s">
        <v>1789</v>
      </c>
      <c r="R3449" t="s">
        <v>2668</v>
      </c>
      <c r="S3449" t="s">
        <v>1615</v>
      </c>
      <c r="T3449" t="s">
        <v>1713</v>
      </c>
    </row>
    <row r="3450" spans="1:20" x14ac:dyDescent="0.25">
      <c r="A3450">
        <v>9</v>
      </c>
      <c r="B3450">
        <v>199</v>
      </c>
      <c r="C3450" t="str">
        <f>"36"</f>
        <v>36</v>
      </c>
      <c r="D3450">
        <v>6412</v>
      </c>
      <c r="E3450" t="str">
        <f>"8S"</f>
        <v>8S</v>
      </c>
      <c r="F3450" t="str">
        <f>"001"</f>
        <v>001</v>
      </c>
      <c r="G3450">
        <v>9</v>
      </c>
      <c r="H3450" t="str">
        <f t="shared" si="667"/>
        <v>99</v>
      </c>
      <c r="I3450" t="str">
        <f t="shared" si="665"/>
        <v>0</v>
      </c>
      <c r="J3450" t="str">
        <f>"01"</f>
        <v>01</v>
      </c>
      <c r="K3450">
        <v>20181109</v>
      </c>
      <c r="L3450" t="str">
        <f>"074622"</f>
        <v>074622</v>
      </c>
      <c r="M3450" t="str">
        <f>"46225"</f>
        <v>46225</v>
      </c>
      <c r="N3450" t="s">
        <v>378</v>
      </c>
      <c r="O3450" s="1">
        <v>1456</v>
      </c>
      <c r="P3450">
        <v>20181108</v>
      </c>
      <c r="Q3450" t="s">
        <v>1625</v>
      </c>
      <c r="R3450" t="s">
        <v>2658</v>
      </c>
      <c r="S3450" t="s">
        <v>1615</v>
      </c>
      <c r="T3450" t="s">
        <v>301</v>
      </c>
    </row>
    <row r="3451" spans="1:20" x14ac:dyDescent="0.25">
      <c r="A3451">
        <v>9</v>
      </c>
      <c r="B3451">
        <v>199</v>
      </c>
      <c r="C3451" t="str">
        <f>"36"</f>
        <v>36</v>
      </c>
      <c r="D3451">
        <v>6299</v>
      </c>
      <c r="E3451" t="str">
        <f>"HC"</f>
        <v>HC</v>
      </c>
      <c r="F3451" t="str">
        <f>"001"</f>
        <v>001</v>
      </c>
      <c r="G3451">
        <v>9</v>
      </c>
      <c r="H3451" t="str">
        <f t="shared" si="667"/>
        <v>99</v>
      </c>
      <c r="I3451" t="str">
        <f t="shared" si="665"/>
        <v>0</v>
      </c>
      <c r="J3451" t="str">
        <f>"01"</f>
        <v>01</v>
      </c>
      <c r="K3451">
        <v>20181109</v>
      </c>
      <c r="L3451" t="str">
        <f>"074626"</f>
        <v>074626</v>
      </c>
      <c r="M3451" t="str">
        <f>"63670"</f>
        <v>63670</v>
      </c>
      <c r="N3451" t="s">
        <v>383</v>
      </c>
      <c r="O3451">
        <v>164.76</v>
      </c>
      <c r="P3451">
        <v>20181108</v>
      </c>
      <c r="Q3451" t="s">
        <v>2574</v>
      </c>
      <c r="R3451" t="s">
        <v>1771</v>
      </c>
      <c r="S3451" t="s">
        <v>1615</v>
      </c>
      <c r="T3451" t="s">
        <v>301</v>
      </c>
    </row>
    <row r="3452" spans="1:20" x14ac:dyDescent="0.25">
      <c r="A3452">
        <v>9</v>
      </c>
      <c r="B3452">
        <v>199</v>
      </c>
      <c r="C3452" t="str">
        <f>"36"</f>
        <v>36</v>
      </c>
      <c r="D3452">
        <v>6412</v>
      </c>
      <c r="E3452" t="str">
        <f>"7E"</f>
        <v>7E</v>
      </c>
      <c r="F3452" t="str">
        <f>"041"</f>
        <v>041</v>
      </c>
      <c r="G3452">
        <v>9</v>
      </c>
      <c r="H3452" t="str">
        <f t="shared" si="667"/>
        <v>99</v>
      </c>
      <c r="I3452" t="str">
        <f>"1"</f>
        <v>1</v>
      </c>
      <c r="J3452" t="str">
        <f>"35"</f>
        <v>35</v>
      </c>
      <c r="K3452">
        <v>20181109</v>
      </c>
      <c r="L3452" t="str">
        <f>"074627"</f>
        <v>074627</v>
      </c>
      <c r="M3452" t="str">
        <f>"63792"</f>
        <v>63792</v>
      </c>
      <c r="N3452" t="s">
        <v>2669</v>
      </c>
      <c r="O3452">
        <v>93.47</v>
      </c>
      <c r="P3452">
        <v>20181108</v>
      </c>
      <c r="Q3452" t="s">
        <v>2345</v>
      </c>
      <c r="R3452" t="s">
        <v>1656</v>
      </c>
      <c r="S3452" t="s">
        <v>1615</v>
      </c>
      <c r="T3452" t="s">
        <v>106</v>
      </c>
    </row>
    <row r="3453" spans="1:20" x14ac:dyDescent="0.25">
      <c r="A3453">
        <v>9</v>
      </c>
      <c r="B3453">
        <v>199</v>
      </c>
      <c r="C3453" t="str">
        <f>"34"</f>
        <v>34</v>
      </c>
      <c r="D3453">
        <v>6311</v>
      </c>
      <c r="E3453" t="str">
        <f>"10"</f>
        <v>10</v>
      </c>
      <c r="F3453" t="str">
        <f>"937"</f>
        <v>937</v>
      </c>
      <c r="G3453">
        <v>9</v>
      </c>
      <c r="H3453" t="str">
        <f t="shared" si="667"/>
        <v>99</v>
      </c>
      <c r="I3453" t="str">
        <f t="shared" ref="I3453:I3483" si="668">"0"</f>
        <v>0</v>
      </c>
      <c r="J3453" t="str">
        <f>"82"</f>
        <v>82</v>
      </c>
      <c r="K3453">
        <v>20181109</v>
      </c>
      <c r="L3453" t="str">
        <f>"074630"</f>
        <v>074630</v>
      </c>
      <c r="M3453" t="str">
        <f>"65212"</f>
        <v>65212</v>
      </c>
      <c r="N3453" t="s">
        <v>1913</v>
      </c>
      <c r="O3453" s="1">
        <v>8069.25</v>
      </c>
      <c r="P3453">
        <v>20181108</v>
      </c>
      <c r="Q3453" t="s">
        <v>1914</v>
      </c>
      <c r="R3453" t="s">
        <v>2670</v>
      </c>
      <c r="S3453" t="s">
        <v>1615</v>
      </c>
      <c r="T3453" t="s">
        <v>1810</v>
      </c>
    </row>
    <row r="3454" spans="1:20" x14ac:dyDescent="0.25">
      <c r="A3454">
        <v>9</v>
      </c>
      <c r="B3454">
        <v>199</v>
      </c>
      <c r="C3454" t="str">
        <f>"34"</f>
        <v>34</v>
      </c>
      <c r="D3454">
        <v>6311</v>
      </c>
      <c r="E3454" t="str">
        <f>"10"</f>
        <v>10</v>
      </c>
      <c r="F3454" t="str">
        <f>"937"</f>
        <v>937</v>
      </c>
      <c r="G3454">
        <v>9</v>
      </c>
      <c r="H3454" t="str">
        <f t="shared" si="667"/>
        <v>99</v>
      </c>
      <c r="I3454" t="str">
        <f t="shared" si="668"/>
        <v>0</v>
      </c>
      <c r="J3454" t="str">
        <f>"82"</f>
        <v>82</v>
      </c>
      <c r="K3454">
        <v>20181109</v>
      </c>
      <c r="L3454" t="str">
        <f>"074630"</f>
        <v>074630</v>
      </c>
      <c r="M3454" t="str">
        <f>"65212"</f>
        <v>65212</v>
      </c>
      <c r="N3454" t="s">
        <v>1913</v>
      </c>
      <c r="O3454" s="1">
        <v>8514.44</v>
      </c>
      <c r="P3454">
        <v>20181108</v>
      </c>
      <c r="Q3454" t="s">
        <v>1914</v>
      </c>
      <c r="R3454" t="s">
        <v>2671</v>
      </c>
      <c r="S3454" t="s">
        <v>1615</v>
      </c>
      <c r="T3454" t="s">
        <v>1810</v>
      </c>
    </row>
    <row r="3455" spans="1:20" x14ac:dyDescent="0.25">
      <c r="A3455">
        <v>9</v>
      </c>
      <c r="B3455">
        <v>199</v>
      </c>
      <c r="C3455" t="str">
        <f>"11"</f>
        <v>11</v>
      </c>
      <c r="D3455">
        <v>6249</v>
      </c>
      <c r="E3455" t="str">
        <f>"7B"</f>
        <v>7B</v>
      </c>
      <c r="F3455" t="str">
        <f>"041"</f>
        <v>041</v>
      </c>
      <c r="G3455">
        <v>9</v>
      </c>
      <c r="H3455" t="str">
        <f>"11"</f>
        <v>11</v>
      </c>
      <c r="I3455" t="str">
        <f t="shared" si="668"/>
        <v>0</v>
      </c>
      <c r="J3455" t="str">
        <f>"36"</f>
        <v>36</v>
      </c>
      <c r="K3455">
        <v>20181109</v>
      </c>
      <c r="L3455" t="str">
        <f>"074635"</f>
        <v>074635</v>
      </c>
      <c r="M3455" t="str">
        <f>"70650"</f>
        <v>70650</v>
      </c>
      <c r="N3455" t="s">
        <v>1920</v>
      </c>
      <c r="O3455">
        <v>205</v>
      </c>
      <c r="P3455">
        <v>20181108</v>
      </c>
      <c r="Q3455" t="s">
        <v>2672</v>
      </c>
      <c r="R3455" t="s">
        <v>2673</v>
      </c>
      <c r="S3455" t="s">
        <v>1615</v>
      </c>
      <c r="T3455" t="s">
        <v>106</v>
      </c>
    </row>
    <row r="3456" spans="1:20" x14ac:dyDescent="0.25">
      <c r="A3456">
        <v>9</v>
      </c>
      <c r="B3456">
        <v>199</v>
      </c>
      <c r="C3456" t="str">
        <f>"11"</f>
        <v>11</v>
      </c>
      <c r="D3456">
        <v>6249</v>
      </c>
      <c r="E3456" t="str">
        <f>"7B"</f>
        <v>7B</v>
      </c>
      <c r="F3456" t="str">
        <f>"041"</f>
        <v>041</v>
      </c>
      <c r="G3456">
        <v>9</v>
      </c>
      <c r="H3456" t="str">
        <f>"11"</f>
        <v>11</v>
      </c>
      <c r="I3456" t="str">
        <f t="shared" si="668"/>
        <v>0</v>
      </c>
      <c r="J3456" t="str">
        <f>"36"</f>
        <v>36</v>
      </c>
      <c r="K3456">
        <v>20181109</v>
      </c>
      <c r="L3456" t="str">
        <f>"074635"</f>
        <v>074635</v>
      </c>
      <c r="M3456" t="str">
        <f>"70650"</f>
        <v>70650</v>
      </c>
      <c r="N3456" t="s">
        <v>1920</v>
      </c>
      <c r="O3456">
        <v>715</v>
      </c>
      <c r="P3456">
        <v>20181108</v>
      </c>
      <c r="Q3456" t="s">
        <v>2672</v>
      </c>
      <c r="R3456" t="s">
        <v>2674</v>
      </c>
      <c r="S3456" t="s">
        <v>1615</v>
      </c>
      <c r="T3456" t="s">
        <v>106</v>
      </c>
    </row>
    <row r="3457" spans="1:20" x14ac:dyDescent="0.25">
      <c r="A3457">
        <v>9</v>
      </c>
      <c r="B3457">
        <v>199</v>
      </c>
      <c r="C3457" t="str">
        <f>"11"</f>
        <v>11</v>
      </c>
      <c r="D3457">
        <v>6399</v>
      </c>
      <c r="E3457" t="str">
        <f>"7B"</f>
        <v>7B</v>
      </c>
      <c r="F3457" t="str">
        <f>"041"</f>
        <v>041</v>
      </c>
      <c r="G3457">
        <v>9</v>
      </c>
      <c r="H3457" t="str">
        <f>"11"</f>
        <v>11</v>
      </c>
      <c r="I3457" t="str">
        <f t="shared" si="668"/>
        <v>0</v>
      </c>
      <c r="J3457" t="str">
        <f>"36"</f>
        <v>36</v>
      </c>
      <c r="K3457">
        <v>20181109</v>
      </c>
      <c r="L3457" t="str">
        <f>"074635"</f>
        <v>074635</v>
      </c>
      <c r="M3457" t="str">
        <f>"70650"</f>
        <v>70650</v>
      </c>
      <c r="N3457" t="s">
        <v>1920</v>
      </c>
      <c r="O3457">
        <v>170.72</v>
      </c>
      <c r="P3457">
        <v>20181108</v>
      </c>
      <c r="Q3457" t="s">
        <v>1921</v>
      </c>
      <c r="R3457" t="s">
        <v>2675</v>
      </c>
      <c r="S3457" t="s">
        <v>1615</v>
      </c>
      <c r="T3457" t="s">
        <v>106</v>
      </c>
    </row>
    <row r="3458" spans="1:20" x14ac:dyDescent="0.25">
      <c r="A3458">
        <v>9</v>
      </c>
      <c r="B3458">
        <v>199</v>
      </c>
      <c r="C3458" t="str">
        <f>"34"</f>
        <v>34</v>
      </c>
      <c r="D3458">
        <v>6249</v>
      </c>
      <c r="E3458" t="str">
        <f>"10"</f>
        <v>10</v>
      </c>
      <c r="F3458" t="str">
        <f>"937"</f>
        <v>937</v>
      </c>
      <c r="G3458">
        <v>9</v>
      </c>
      <c r="H3458" t="str">
        <f t="shared" ref="H3458:H3464" si="669">"99"</f>
        <v>99</v>
      </c>
      <c r="I3458" t="str">
        <f t="shared" si="668"/>
        <v>0</v>
      </c>
      <c r="J3458" t="str">
        <f>"82"</f>
        <v>82</v>
      </c>
      <c r="K3458">
        <v>20181109</v>
      </c>
      <c r="L3458" t="str">
        <f>"074636"</f>
        <v>074636</v>
      </c>
      <c r="M3458" t="str">
        <f>"71225"</f>
        <v>71225</v>
      </c>
      <c r="N3458" t="s">
        <v>1803</v>
      </c>
      <c r="O3458">
        <v>180</v>
      </c>
      <c r="P3458">
        <v>20181108</v>
      </c>
      <c r="Q3458" t="s">
        <v>2036</v>
      </c>
      <c r="R3458" t="s">
        <v>2676</v>
      </c>
      <c r="S3458" t="s">
        <v>1615</v>
      </c>
      <c r="T3458" t="s">
        <v>1810</v>
      </c>
    </row>
    <row r="3459" spans="1:20" x14ac:dyDescent="0.25">
      <c r="A3459">
        <v>9</v>
      </c>
      <c r="B3459">
        <v>199</v>
      </c>
      <c r="C3459" t="str">
        <f>"34"</f>
        <v>34</v>
      </c>
      <c r="D3459">
        <v>6249</v>
      </c>
      <c r="E3459" t="str">
        <f>"10"</f>
        <v>10</v>
      </c>
      <c r="F3459" t="str">
        <f>"937"</f>
        <v>937</v>
      </c>
      <c r="G3459">
        <v>9</v>
      </c>
      <c r="H3459" t="str">
        <f t="shared" si="669"/>
        <v>99</v>
      </c>
      <c r="I3459" t="str">
        <f t="shared" si="668"/>
        <v>0</v>
      </c>
      <c r="J3459" t="str">
        <f>"82"</f>
        <v>82</v>
      </c>
      <c r="K3459">
        <v>20181109</v>
      </c>
      <c r="L3459" t="str">
        <f>"074636"</f>
        <v>074636</v>
      </c>
      <c r="M3459" t="str">
        <f>"71225"</f>
        <v>71225</v>
      </c>
      <c r="N3459" t="s">
        <v>1803</v>
      </c>
      <c r="O3459" s="1">
        <v>2646.04</v>
      </c>
      <c r="P3459">
        <v>20181108</v>
      </c>
      <c r="Q3459" t="s">
        <v>2036</v>
      </c>
      <c r="R3459" t="s">
        <v>2677</v>
      </c>
      <c r="S3459" t="s">
        <v>1615</v>
      </c>
      <c r="T3459" t="s">
        <v>1810</v>
      </c>
    </row>
    <row r="3460" spans="1:20" x14ac:dyDescent="0.25">
      <c r="A3460">
        <v>9</v>
      </c>
      <c r="B3460">
        <v>199</v>
      </c>
      <c r="C3460" t="str">
        <f>"51"</f>
        <v>51</v>
      </c>
      <c r="D3460">
        <v>6249</v>
      </c>
      <c r="E3460" t="str">
        <f>"WF"</f>
        <v>WF</v>
      </c>
      <c r="F3460" t="str">
        <f>"936"</f>
        <v>936</v>
      </c>
      <c r="G3460">
        <v>9</v>
      </c>
      <c r="H3460" t="str">
        <f t="shared" si="669"/>
        <v>99</v>
      </c>
      <c r="I3460" t="str">
        <f t="shared" si="668"/>
        <v>0</v>
      </c>
      <c r="J3460" t="str">
        <f>"82"</f>
        <v>82</v>
      </c>
      <c r="K3460">
        <v>20181109</v>
      </c>
      <c r="L3460" t="str">
        <f>"074636"</f>
        <v>074636</v>
      </c>
      <c r="M3460" t="str">
        <f>"71225"</f>
        <v>71225</v>
      </c>
      <c r="N3460" t="s">
        <v>1803</v>
      </c>
      <c r="O3460">
        <v>572.96</v>
      </c>
      <c r="P3460">
        <v>20181108</v>
      </c>
      <c r="Q3460" t="s">
        <v>2127</v>
      </c>
      <c r="R3460" t="s">
        <v>2678</v>
      </c>
      <c r="S3460" t="s">
        <v>1615</v>
      </c>
      <c r="T3460" t="s">
        <v>1713</v>
      </c>
    </row>
    <row r="3461" spans="1:20" x14ac:dyDescent="0.25">
      <c r="A3461">
        <v>9</v>
      </c>
      <c r="B3461">
        <v>199</v>
      </c>
      <c r="C3461" t="str">
        <f>"51"</f>
        <v>51</v>
      </c>
      <c r="D3461">
        <v>6256</v>
      </c>
      <c r="E3461" t="str">
        <f>"10"</f>
        <v>10</v>
      </c>
      <c r="F3461" t="str">
        <f>"936"</f>
        <v>936</v>
      </c>
      <c r="G3461">
        <v>9</v>
      </c>
      <c r="H3461" t="str">
        <f t="shared" si="669"/>
        <v>99</v>
      </c>
      <c r="I3461" t="str">
        <f t="shared" si="668"/>
        <v>0</v>
      </c>
      <c r="J3461" t="str">
        <f>"81"</f>
        <v>81</v>
      </c>
      <c r="K3461">
        <v>20181109</v>
      </c>
      <c r="L3461" t="str">
        <f>"074638"</f>
        <v>074638</v>
      </c>
      <c r="M3461" t="str">
        <f>"72340"</f>
        <v>72340</v>
      </c>
      <c r="N3461" t="s">
        <v>1652</v>
      </c>
      <c r="O3461">
        <v>222.88</v>
      </c>
      <c r="P3461">
        <v>20181108</v>
      </c>
      <c r="Q3461" t="s">
        <v>2679</v>
      </c>
      <c r="R3461" t="s">
        <v>2680</v>
      </c>
      <c r="S3461" t="s">
        <v>1615</v>
      </c>
      <c r="T3461" t="s">
        <v>1713</v>
      </c>
    </row>
    <row r="3462" spans="1:20" x14ac:dyDescent="0.25">
      <c r="A3462">
        <v>9</v>
      </c>
      <c r="B3462">
        <v>199</v>
      </c>
      <c r="C3462" t="str">
        <f>"51"</f>
        <v>51</v>
      </c>
      <c r="D3462">
        <v>6256</v>
      </c>
      <c r="E3462" t="str">
        <f>"10"</f>
        <v>10</v>
      </c>
      <c r="F3462" t="str">
        <f>"936"</f>
        <v>936</v>
      </c>
      <c r="G3462">
        <v>9</v>
      </c>
      <c r="H3462" t="str">
        <f t="shared" si="669"/>
        <v>99</v>
      </c>
      <c r="I3462" t="str">
        <f t="shared" si="668"/>
        <v>0</v>
      </c>
      <c r="J3462" t="str">
        <f>"81"</f>
        <v>81</v>
      </c>
      <c r="K3462">
        <v>20181109</v>
      </c>
      <c r="L3462" t="str">
        <f>"074638"</f>
        <v>074638</v>
      </c>
      <c r="M3462" t="str">
        <f>"72340"</f>
        <v>72340</v>
      </c>
      <c r="N3462" t="s">
        <v>1652</v>
      </c>
      <c r="O3462">
        <v>232.81</v>
      </c>
      <c r="P3462">
        <v>20181108</v>
      </c>
      <c r="Q3462" t="s">
        <v>2679</v>
      </c>
      <c r="R3462" t="s">
        <v>2681</v>
      </c>
      <c r="S3462" t="s">
        <v>1615</v>
      </c>
      <c r="T3462" t="s">
        <v>1713</v>
      </c>
    </row>
    <row r="3463" spans="1:20" x14ac:dyDescent="0.25">
      <c r="A3463">
        <v>9</v>
      </c>
      <c r="B3463">
        <v>199</v>
      </c>
      <c r="C3463" t="str">
        <f>"41"</f>
        <v>41</v>
      </c>
      <c r="D3463">
        <v>6417</v>
      </c>
      <c r="E3463" t="str">
        <f>"10"</f>
        <v>10</v>
      </c>
      <c r="F3463" t="str">
        <f>"702"</f>
        <v>702</v>
      </c>
      <c r="G3463">
        <v>9</v>
      </c>
      <c r="H3463" t="str">
        <f t="shared" si="669"/>
        <v>99</v>
      </c>
      <c r="I3463" t="str">
        <f t="shared" si="668"/>
        <v>0</v>
      </c>
      <c r="J3463" t="str">
        <f>"93"</f>
        <v>93</v>
      </c>
      <c r="K3463">
        <v>20181109</v>
      </c>
      <c r="L3463" t="str">
        <f>"074641"</f>
        <v>074641</v>
      </c>
      <c r="M3463" t="str">
        <f>"74385"</f>
        <v>74385</v>
      </c>
      <c r="N3463" t="s">
        <v>1812</v>
      </c>
      <c r="O3463">
        <v>120</v>
      </c>
      <c r="P3463">
        <v>20181108</v>
      </c>
      <c r="Q3463" t="s">
        <v>2682</v>
      </c>
      <c r="R3463" t="s">
        <v>2683</v>
      </c>
      <c r="S3463" t="s">
        <v>1615</v>
      </c>
      <c r="T3463" t="s">
        <v>1611</v>
      </c>
    </row>
    <row r="3464" spans="1:20" x14ac:dyDescent="0.25">
      <c r="A3464">
        <v>9</v>
      </c>
      <c r="B3464">
        <v>199</v>
      </c>
      <c r="C3464" t="str">
        <f>"41"</f>
        <v>41</v>
      </c>
      <c r="D3464">
        <v>6299</v>
      </c>
      <c r="E3464" t="str">
        <f>"11"</f>
        <v>11</v>
      </c>
      <c r="F3464" t="str">
        <f>"730"</f>
        <v>730</v>
      </c>
      <c r="G3464">
        <v>9</v>
      </c>
      <c r="H3464" t="str">
        <f t="shared" si="669"/>
        <v>99</v>
      </c>
      <c r="I3464" t="str">
        <f t="shared" si="668"/>
        <v>0</v>
      </c>
      <c r="J3464" t="str">
        <f>"95"</f>
        <v>95</v>
      </c>
      <c r="K3464">
        <v>20181109</v>
      </c>
      <c r="L3464" t="str">
        <f>"074646"</f>
        <v>074646</v>
      </c>
      <c r="M3464" t="str">
        <f>"00194"</f>
        <v>00194</v>
      </c>
      <c r="N3464" t="s">
        <v>2684</v>
      </c>
      <c r="O3464" s="1">
        <v>1862.4</v>
      </c>
      <c r="P3464">
        <v>20181108</v>
      </c>
      <c r="Q3464" t="s">
        <v>2685</v>
      </c>
      <c r="R3464" t="s">
        <v>2686</v>
      </c>
      <c r="S3464" t="s">
        <v>1615</v>
      </c>
      <c r="T3464" t="s">
        <v>1794</v>
      </c>
    </row>
    <row r="3465" spans="1:20" x14ac:dyDescent="0.25">
      <c r="A3465">
        <v>9</v>
      </c>
      <c r="B3465">
        <v>199</v>
      </c>
      <c r="C3465" t="str">
        <f>"11"</f>
        <v>11</v>
      </c>
      <c r="D3465">
        <v>6399</v>
      </c>
      <c r="E3465" t="str">
        <f>"VD"</f>
        <v>VD</v>
      </c>
      <c r="F3465" t="str">
        <f>"001"</f>
        <v>001</v>
      </c>
      <c r="G3465">
        <v>9</v>
      </c>
      <c r="H3465" t="str">
        <f>"22"</f>
        <v>22</v>
      </c>
      <c r="I3465" t="str">
        <f t="shared" si="668"/>
        <v>0</v>
      </c>
      <c r="J3465" t="str">
        <f>"22"</f>
        <v>22</v>
      </c>
      <c r="K3465">
        <v>20181109</v>
      </c>
      <c r="L3465" t="str">
        <f>"074647"</f>
        <v>074647</v>
      </c>
      <c r="M3465" t="str">
        <f>"82494"</f>
        <v>82494</v>
      </c>
      <c r="N3465" t="s">
        <v>2687</v>
      </c>
      <c r="O3465">
        <v>202.4</v>
      </c>
      <c r="P3465">
        <v>20181108</v>
      </c>
      <c r="Q3465" t="s">
        <v>1862</v>
      </c>
      <c r="R3465" t="s">
        <v>2688</v>
      </c>
      <c r="S3465" t="s">
        <v>1615</v>
      </c>
      <c r="T3465" t="s">
        <v>301</v>
      </c>
    </row>
    <row r="3466" spans="1:20" x14ac:dyDescent="0.25">
      <c r="A3466">
        <v>9</v>
      </c>
      <c r="B3466">
        <v>199</v>
      </c>
      <c r="C3466" t="str">
        <f>"11"</f>
        <v>11</v>
      </c>
      <c r="D3466">
        <v>6399</v>
      </c>
      <c r="E3466" t="str">
        <f>"VD"</f>
        <v>VD</v>
      </c>
      <c r="F3466" t="str">
        <f>"001"</f>
        <v>001</v>
      </c>
      <c r="G3466">
        <v>9</v>
      </c>
      <c r="H3466" t="str">
        <f>"22"</f>
        <v>22</v>
      </c>
      <c r="I3466" t="str">
        <f t="shared" si="668"/>
        <v>0</v>
      </c>
      <c r="J3466" t="str">
        <f>"22"</f>
        <v>22</v>
      </c>
      <c r="K3466">
        <v>20181109</v>
      </c>
      <c r="L3466" t="str">
        <f>"074647"</f>
        <v>074647</v>
      </c>
      <c r="M3466" t="str">
        <f>"82494"</f>
        <v>82494</v>
      </c>
      <c r="N3466" t="s">
        <v>2687</v>
      </c>
      <c r="O3466">
        <v>100.32</v>
      </c>
      <c r="P3466">
        <v>20181108</v>
      </c>
      <c r="Q3466" t="s">
        <v>1862</v>
      </c>
      <c r="R3466" t="s">
        <v>2689</v>
      </c>
      <c r="S3466" t="s">
        <v>1615</v>
      </c>
      <c r="T3466" t="s">
        <v>301</v>
      </c>
    </row>
    <row r="3467" spans="1:20" x14ac:dyDescent="0.25">
      <c r="A3467">
        <v>9</v>
      </c>
      <c r="B3467">
        <v>199</v>
      </c>
      <c r="C3467" t="str">
        <f>"13"</f>
        <v>13</v>
      </c>
      <c r="D3467">
        <v>6411</v>
      </c>
      <c r="E3467" t="str">
        <f>"PD"</f>
        <v>PD</v>
      </c>
      <c r="F3467" t="str">
        <f>"001"</f>
        <v>001</v>
      </c>
      <c r="G3467">
        <v>9</v>
      </c>
      <c r="H3467" t="str">
        <f>"31"</f>
        <v>31</v>
      </c>
      <c r="I3467" t="str">
        <f t="shared" si="668"/>
        <v>0</v>
      </c>
      <c r="J3467" t="str">
        <f>"34"</f>
        <v>34</v>
      </c>
      <c r="K3467">
        <v>20181109</v>
      </c>
      <c r="L3467" t="str">
        <f>"074648"</f>
        <v>074648</v>
      </c>
      <c r="M3467" t="str">
        <f>"83007"</f>
        <v>83007</v>
      </c>
      <c r="N3467" t="s">
        <v>2690</v>
      </c>
      <c r="O3467">
        <v>31.99</v>
      </c>
      <c r="P3467">
        <v>20181108</v>
      </c>
      <c r="Q3467" t="s">
        <v>2220</v>
      </c>
      <c r="R3467" t="s">
        <v>2221</v>
      </c>
      <c r="S3467" t="s">
        <v>1615</v>
      </c>
      <c r="T3467" t="s">
        <v>301</v>
      </c>
    </row>
    <row r="3468" spans="1:20" x14ac:dyDescent="0.25">
      <c r="A3468">
        <v>9</v>
      </c>
      <c r="B3468">
        <v>199</v>
      </c>
      <c r="C3468" t="str">
        <f>"11"</f>
        <v>11</v>
      </c>
      <c r="D3468">
        <v>6299</v>
      </c>
      <c r="E3468" t="str">
        <f>"00"</f>
        <v>00</v>
      </c>
      <c r="F3468" t="str">
        <f>"104"</f>
        <v>104</v>
      </c>
      <c r="G3468">
        <v>9</v>
      </c>
      <c r="H3468" t="str">
        <f>"11"</f>
        <v>11</v>
      </c>
      <c r="I3468" t="str">
        <f t="shared" si="668"/>
        <v>0</v>
      </c>
      <c r="J3468" t="str">
        <f>"05"</f>
        <v>05</v>
      </c>
      <c r="K3468">
        <v>20181109</v>
      </c>
      <c r="L3468" t="str">
        <f>"074649"</f>
        <v>074649</v>
      </c>
      <c r="M3468" t="str">
        <f>"83060"</f>
        <v>83060</v>
      </c>
      <c r="N3468" t="s">
        <v>2151</v>
      </c>
      <c r="O3468" s="1">
        <v>1410</v>
      </c>
      <c r="P3468">
        <v>20181108</v>
      </c>
      <c r="Q3468" t="s">
        <v>2152</v>
      </c>
      <c r="R3468" t="s">
        <v>2691</v>
      </c>
      <c r="S3468" t="s">
        <v>1615</v>
      </c>
      <c r="T3468" t="s">
        <v>46</v>
      </c>
    </row>
    <row r="3469" spans="1:20" x14ac:dyDescent="0.25">
      <c r="A3469">
        <v>9</v>
      </c>
      <c r="B3469">
        <v>199</v>
      </c>
      <c r="C3469" t="str">
        <f>"11"</f>
        <v>11</v>
      </c>
      <c r="D3469">
        <v>6399</v>
      </c>
      <c r="E3469" t="str">
        <f>"7K"</f>
        <v>7K</v>
      </c>
      <c r="F3469" t="str">
        <f>"041"</f>
        <v>041</v>
      </c>
      <c r="G3469">
        <v>9</v>
      </c>
      <c r="H3469" t="str">
        <f>"11"</f>
        <v>11</v>
      </c>
      <c r="I3469" t="str">
        <f t="shared" si="668"/>
        <v>0</v>
      </c>
      <c r="J3469" t="str">
        <f>"03"</f>
        <v>03</v>
      </c>
      <c r="K3469">
        <v>20181116</v>
      </c>
      <c r="L3469" t="str">
        <f>"074653"</f>
        <v>074653</v>
      </c>
      <c r="M3469" t="str">
        <f>"03710"</f>
        <v>03710</v>
      </c>
      <c r="N3469" t="s">
        <v>1385</v>
      </c>
      <c r="O3469">
        <v>252</v>
      </c>
      <c r="P3469">
        <v>20181115</v>
      </c>
      <c r="Q3469" t="s">
        <v>2666</v>
      </c>
      <c r="R3469" t="s">
        <v>2692</v>
      </c>
      <c r="S3469" t="s">
        <v>1615</v>
      </c>
      <c r="T3469" t="s">
        <v>106</v>
      </c>
    </row>
    <row r="3470" spans="1:20" x14ac:dyDescent="0.25">
      <c r="A3470">
        <v>9</v>
      </c>
      <c r="B3470">
        <v>199</v>
      </c>
      <c r="C3470" t="str">
        <f>"41"</f>
        <v>41</v>
      </c>
      <c r="D3470">
        <v>6399</v>
      </c>
      <c r="E3470" t="str">
        <f>"10"</f>
        <v>10</v>
      </c>
      <c r="F3470" t="str">
        <f>"730"</f>
        <v>730</v>
      </c>
      <c r="G3470">
        <v>9</v>
      </c>
      <c r="H3470" t="str">
        <f>"99"</f>
        <v>99</v>
      </c>
      <c r="I3470" t="str">
        <f t="shared" si="668"/>
        <v>0</v>
      </c>
      <c r="J3470" t="str">
        <f>"95"</f>
        <v>95</v>
      </c>
      <c r="K3470">
        <v>20181116</v>
      </c>
      <c r="L3470" t="str">
        <f>"074653"</f>
        <v>074653</v>
      </c>
      <c r="M3470" t="str">
        <f>"03710"</f>
        <v>03710</v>
      </c>
      <c r="N3470" t="s">
        <v>1385</v>
      </c>
      <c r="O3470">
        <v>100.9</v>
      </c>
      <c r="P3470">
        <v>20181115</v>
      </c>
      <c r="Q3470" t="s">
        <v>1987</v>
      </c>
      <c r="R3470" t="s">
        <v>641</v>
      </c>
      <c r="S3470" t="s">
        <v>1615</v>
      </c>
      <c r="T3470" t="s">
        <v>1794</v>
      </c>
    </row>
    <row r="3471" spans="1:20" x14ac:dyDescent="0.25">
      <c r="A3471">
        <v>9</v>
      </c>
      <c r="B3471">
        <v>199</v>
      </c>
      <c r="C3471" t="str">
        <f t="shared" ref="C3471:C3476" si="670">"11"</f>
        <v>11</v>
      </c>
      <c r="D3471">
        <v>6269</v>
      </c>
      <c r="E3471" t="str">
        <f>"V8"</f>
        <v>V8</v>
      </c>
      <c r="F3471" t="str">
        <f>"001"</f>
        <v>001</v>
      </c>
      <c r="G3471">
        <v>9</v>
      </c>
      <c r="H3471" t="str">
        <f>"22"</f>
        <v>22</v>
      </c>
      <c r="I3471" t="str">
        <f t="shared" si="668"/>
        <v>0</v>
      </c>
      <c r="J3471" t="str">
        <f>"22"</f>
        <v>22</v>
      </c>
      <c r="K3471">
        <v>20181116</v>
      </c>
      <c r="L3471" t="str">
        <f>"074654"</f>
        <v>074654</v>
      </c>
      <c r="M3471" t="str">
        <f>"02230"</f>
        <v>02230</v>
      </c>
      <c r="N3471" t="s">
        <v>1673</v>
      </c>
      <c r="O3471">
        <v>85.27</v>
      </c>
      <c r="P3471">
        <v>20181115</v>
      </c>
      <c r="Q3471" t="s">
        <v>2154</v>
      </c>
      <c r="R3471" t="s">
        <v>2308</v>
      </c>
      <c r="S3471" t="s">
        <v>1615</v>
      </c>
      <c r="T3471" t="s">
        <v>301</v>
      </c>
    </row>
    <row r="3472" spans="1:20" x14ac:dyDescent="0.25">
      <c r="A3472">
        <v>9</v>
      </c>
      <c r="B3472">
        <v>199</v>
      </c>
      <c r="C3472" t="str">
        <f t="shared" si="670"/>
        <v>11</v>
      </c>
      <c r="D3472">
        <v>6399</v>
      </c>
      <c r="E3472" t="str">
        <f>"10"</f>
        <v>10</v>
      </c>
      <c r="F3472" t="str">
        <f>"001"</f>
        <v>001</v>
      </c>
      <c r="G3472">
        <v>9</v>
      </c>
      <c r="H3472" t="str">
        <f>"11"</f>
        <v>11</v>
      </c>
      <c r="I3472" t="str">
        <f t="shared" si="668"/>
        <v>0</v>
      </c>
      <c r="J3472" t="str">
        <f>"01"</f>
        <v>01</v>
      </c>
      <c r="K3472">
        <v>20181116</v>
      </c>
      <c r="L3472" t="str">
        <f t="shared" ref="L3472:L3481" si="671">"074655"</f>
        <v>074655</v>
      </c>
      <c r="M3472" t="str">
        <f t="shared" ref="M3472:M3481" si="672">"04410"</f>
        <v>04410</v>
      </c>
      <c r="N3472" t="s">
        <v>410</v>
      </c>
      <c r="O3472">
        <v>129.99</v>
      </c>
      <c r="P3472">
        <v>20181115</v>
      </c>
      <c r="Q3472" t="s">
        <v>1675</v>
      </c>
      <c r="R3472" t="s">
        <v>2693</v>
      </c>
      <c r="S3472" t="s">
        <v>1615</v>
      </c>
      <c r="T3472" t="s">
        <v>301</v>
      </c>
    </row>
    <row r="3473" spans="1:20" x14ac:dyDescent="0.25">
      <c r="A3473">
        <v>9</v>
      </c>
      <c r="B3473">
        <v>199</v>
      </c>
      <c r="C3473" t="str">
        <f t="shared" si="670"/>
        <v>11</v>
      </c>
      <c r="D3473">
        <v>6399</v>
      </c>
      <c r="E3473" t="str">
        <f>"10"</f>
        <v>10</v>
      </c>
      <c r="F3473" t="str">
        <f>"001"</f>
        <v>001</v>
      </c>
      <c r="G3473">
        <v>9</v>
      </c>
      <c r="H3473" t="str">
        <f>"11"</f>
        <v>11</v>
      </c>
      <c r="I3473" t="str">
        <f t="shared" si="668"/>
        <v>0</v>
      </c>
      <c r="J3473" t="str">
        <f>"01"</f>
        <v>01</v>
      </c>
      <c r="K3473">
        <v>20181116</v>
      </c>
      <c r="L3473" t="str">
        <f t="shared" si="671"/>
        <v>074655</v>
      </c>
      <c r="M3473" t="str">
        <f t="shared" si="672"/>
        <v>04410</v>
      </c>
      <c r="N3473" t="s">
        <v>410</v>
      </c>
      <c r="O3473">
        <v>83.72</v>
      </c>
      <c r="P3473">
        <v>20181115</v>
      </c>
      <c r="Q3473" t="s">
        <v>1675</v>
      </c>
      <c r="R3473" t="s">
        <v>2694</v>
      </c>
      <c r="S3473" t="s">
        <v>1615</v>
      </c>
      <c r="T3473" t="s">
        <v>301</v>
      </c>
    </row>
    <row r="3474" spans="1:20" x14ac:dyDescent="0.25">
      <c r="A3474">
        <v>9</v>
      </c>
      <c r="B3474">
        <v>199</v>
      </c>
      <c r="C3474" t="str">
        <f t="shared" si="670"/>
        <v>11</v>
      </c>
      <c r="D3474">
        <v>6399</v>
      </c>
      <c r="E3474" t="str">
        <f>"10"</f>
        <v>10</v>
      </c>
      <c r="F3474" t="str">
        <f>"104"</f>
        <v>104</v>
      </c>
      <c r="G3474">
        <v>9</v>
      </c>
      <c r="H3474" t="str">
        <f>"11"</f>
        <v>11</v>
      </c>
      <c r="I3474" t="str">
        <f t="shared" si="668"/>
        <v>0</v>
      </c>
      <c r="J3474" t="str">
        <f>"80"</f>
        <v>80</v>
      </c>
      <c r="K3474">
        <v>20181116</v>
      </c>
      <c r="L3474" t="str">
        <f t="shared" si="671"/>
        <v>074655</v>
      </c>
      <c r="M3474" t="str">
        <f t="shared" si="672"/>
        <v>04410</v>
      </c>
      <c r="N3474" t="s">
        <v>410</v>
      </c>
      <c r="O3474">
        <v>139.80000000000001</v>
      </c>
      <c r="P3474">
        <v>20181115</v>
      </c>
      <c r="Q3474" t="s">
        <v>2695</v>
      </c>
      <c r="R3474" t="s">
        <v>2696</v>
      </c>
      <c r="S3474" t="s">
        <v>1615</v>
      </c>
      <c r="T3474" t="s">
        <v>46</v>
      </c>
    </row>
    <row r="3475" spans="1:20" x14ac:dyDescent="0.25">
      <c r="A3475">
        <v>9</v>
      </c>
      <c r="B3475">
        <v>199</v>
      </c>
      <c r="C3475" t="str">
        <f t="shared" si="670"/>
        <v>11</v>
      </c>
      <c r="D3475">
        <v>6399</v>
      </c>
      <c r="E3475" t="str">
        <f>"7A"</f>
        <v>7A</v>
      </c>
      <c r="F3475" t="str">
        <f>"001"</f>
        <v>001</v>
      </c>
      <c r="G3475">
        <v>9</v>
      </c>
      <c r="H3475" t="str">
        <f>"11"</f>
        <v>11</v>
      </c>
      <c r="I3475" t="str">
        <f t="shared" si="668"/>
        <v>0</v>
      </c>
      <c r="J3475" t="str">
        <f>"01"</f>
        <v>01</v>
      </c>
      <c r="K3475">
        <v>20181116</v>
      </c>
      <c r="L3475" t="str">
        <f t="shared" si="671"/>
        <v>074655</v>
      </c>
      <c r="M3475" t="str">
        <f t="shared" si="672"/>
        <v>04410</v>
      </c>
      <c r="N3475" t="s">
        <v>410</v>
      </c>
      <c r="O3475">
        <v>47.44</v>
      </c>
      <c r="P3475">
        <v>20181115</v>
      </c>
      <c r="Q3475" t="s">
        <v>2157</v>
      </c>
      <c r="R3475" t="s">
        <v>2697</v>
      </c>
      <c r="S3475" t="s">
        <v>1615</v>
      </c>
      <c r="T3475" t="s">
        <v>301</v>
      </c>
    </row>
    <row r="3476" spans="1:20" x14ac:dyDescent="0.25">
      <c r="A3476">
        <v>9</v>
      </c>
      <c r="B3476">
        <v>199</v>
      </c>
      <c r="C3476" t="str">
        <f t="shared" si="670"/>
        <v>11</v>
      </c>
      <c r="D3476">
        <v>6399</v>
      </c>
      <c r="E3476" t="str">
        <f>"P1"</f>
        <v>P1</v>
      </c>
      <c r="F3476" t="str">
        <f>"001"</f>
        <v>001</v>
      </c>
      <c r="G3476">
        <v>9</v>
      </c>
      <c r="H3476" t="str">
        <f>"11"</f>
        <v>11</v>
      </c>
      <c r="I3476" t="str">
        <f t="shared" si="668"/>
        <v>0</v>
      </c>
      <c r="J3476" t="str">
        <f>"01"</f>
        <v>01</v>
      </c>
      <c r="K3476">
        <v>20181116</v>
      </c>
      <c r="L3476" t="str">
        <f t="shared" si="671"/>
        <v>074655</v>
      </c>
      <c r="M3476" t="str">
        <f t="shared" si="672"/>
        <v>04410</v>
      </c>
      <c r="N3476" t="s">
        <v>410</v>
      </c>
      <c r="O3476">
        <v>79.599999999999994</v>
      </c>
      <c r="P3476">
        <v>20181115</v>
      </c>
      <c r="Q3476" t="s">
        <v>2698</v>
      </c>
      <c r="R3476" t="s">
        <v>2699</v>
      </c>
      <c r="S3476" t="s">
        <v>1615</v>
      </c>
      <c r="T3476" t="s">
        <v>301</v>
      </c>
    </row>
    <row r="3477" spans="1:20" x14ac:dyDescent="0.25">
      <c r="A3477">
        <v>9</v>
      </c>
      <c r="B3477">
        <v>199</v>
      </c>
      <c r="C3477" t="str">
        <f>"23"</f>
        <v>23</v>
      </c>
      <c r="D3477">
        <v>6399</v>
      </c>
      <c r="E3477" t="str">
        <f t="shared" ref="E3477:E3483" si="673">"10"</f>
        <v>10</v>
      </c>
      <c r="F3477" t="str">
        <f>"001"</f>
        <v>001</v>
      </c>
      <c r="G3477">
        <v>9</v>
      </c>
      <c r="H3477" t="str">
        <f t="shared" ref="H3477:H3483" si="674">"99"</f>
        <v>99</v>
      </c>
      <c r="I3477" t="str">
        <f t="shared" si="668"/>
        <v>0</v>
      </c>
      <c r="J3477" t="str">
        <f>"01"</f>
        <v>01</v>
      </c>
      <c r="K3477">
        <v>20181116</v>
      </c>
      <c r="L3477" t="str">
        <f t="shared" si="671"/>
        <v>074655</v>
      </c>
      <c r="M3477" t="str">
        <f t="shared" si="672"/>
        <v>04410</v>
      </c>
      <c r="N3477" t="s">
        <v>410</v>
      </c>
      <c r="O3477">
        <v>220.38</v>
      </c>
      <c r="P3477">
        <v>20181115</v>
      </c>
      <c r="Q3477" t="s">
        <v>1785</v>
      </c>
      <c r="R3477" t="s">
        <v>2700</v>
      </c>
      <c r="S3477" t="s">
        <v>1615</v>
      </c>
      <c r="T3477" t="s">
        <v>301</v>
      </c>
    </row>
    <row r="3478" spans="1:20" x14ac:dyDescent="0.25">
      <c r="A3478">
        <v>9</v>
      </c>
      <c r="B3478">
        <v>199</v>
      </c>
      <c r="C3478" t="str">
        <f>"41"</f>
        <v>41</v>
      </c>
      <c r="D3478">
        <v>6399</v>
      </c>
      <c r="E3478" t="str">
        <f t="shared" si="673"/>
        <v>10</v>
      </c>
      <c r="F3478" t="str">
        <f>"720"</f>
        <v>720</v>
      </c>
      <c r="G3478">
        <v>9</v>
      </c>
      <c r="H3478" t="str">
        <f t="shared" si="674"/>
        <v>99</v>
      </c>
      <c r="I3478" t="str">
        <f t="shared" si="668"/>
        <v>0</v>
      </c>
      <c r="J3478" t="str">
        <f>"91"</f>
        <v>91</v>
      </c>
      <c r="K3478">
        <v>20181116</v>
      </c>
      <c r="L3478" t="str">
        <f t="shared" si="671"/>
        <v>074655</v>
      </c>
      <c r="M3478" t="str">
        <f t="shared" si="672"/>
        <v>04410</v>
      </c>
      <c r="N3478" t="s">
        <v>410</v>
      </c>
      <c r="O3478">
        <v>159.35</v>
      </c>
      <c r="P3478">
        <v>20181115</v>
      </c>
      <c r="Q3478" t="s">
        <v>2132</v>
      </c>
      <c r="R3478" t="s">
        <v>2701</v>
      </c>
      <c r="S3478" t="s">
        <v>1615</v>
      </c>
      <c r="T3478" t="s">
        <v>2045</v>
      </c>
    </row>
    <row r="3479" spans="1:20" x14ac:dyDescent="0.25">
      <c r="A3479">
        <v>9</v>
      </c>
      <c r="B3479">
        <v>199</v>
      </c>
      <c r="C3479" t="str">
        <f>"41"</f>
        <v>41</v>
      </c>
      <c r="D3479">
        <v>6399</v>
      </c>
      <c r="E3479" t="str">
        <f t="shared" si="673"/>
        <v>10</v>
      </c>
      <c r="F3479" t="str">
        <f>"726"</f>
        <v>726</v>
      </c>
      <c r="G3479">
        <v>9</v>
      </c>
      <c r="H3479" t="str">
        <f t="shared" si="674"/>
        <v>99</v>
      </c>
      <c r="I3479" t="str">
        <f t="shared" si="668"/>
        <v>0</v>
      </c>
      <c r="J3479" t="str">
        <f>"91"</f>
        <v>91</v>
      </c>
      <c r="K3479">
        <v>20181116</v>
      </c>
      <c r="L3479" t="str">
        <f t="shared" si="671"/>
        <v>074655</v>
      </c>
      <c r="M3479" t="str">
        <f t="shared" si="672"/>
        <v>04410</v>
      </c>
      <c r="N3479" t="s">
        <v>410</v>
      </c>
      <c r="O3479">
        <v>244.42</v>
      </c>
      <c r="P3479">
        <v>20181115</v>
      </c>
      <c r="Q3479" t="s">
        <v>2702</v>
      </c>
      <c r="R3479" t="s">
        <v>641</v>
      </c>
      <c r="S3479" t="s">
        <v>1615</v>
      </c>
      <c r="T3479" t="s">
        <v>2608</v>
      </c>
    </row>
    <row r="3480" spans="1:20" x14ac:dyDescent="0.25">
      <c r="A3480">
        <v>9</v>
      </c>
      <c r="B3480">
        <v>199</v>
      </c>
      <c r="C3480" t="str">
        <f>"41"</f>
        <v>41</v>
      </c>
      <c r="D3480">
        <v>6399</v>
      </c>
      <c r="E3480" t="str">
        <f t="shared" si="673"/>
        <v>10</v>
      </c>
      <c r="F3480" t="str">
        <f>"726"</f>
        <v>726</v>
      </c>
      <c r="G3480">
        <v>9</v>
      </c>
      <c r="H3480" t="str">
        <f t="shared" si="674"/>
        <v>99</v>
      </c>
      <c r="I3480" t="str">
        <f t="shared" si="668"/>
        <v>0</v>
      </c>
      <c r="J3480" t="str">
        <f>"91"</f>
        <v>91</v>
      </c>
      <c r="K3480">
        <v>20181116</v>
      </c>
      <c r="L3480" t="str">
        <f t="shared" si="671"/>
        <v>074655</v>
      </c>
      <c r="M3480" t="str">
        <f t="shared" si="672"/>
        <v>04410</v>
      </c>
      <c r="N3480" t="s">
        <v>410</v>
      </c>
      <c r="O3480">
        <v>-13.51</v>
      </c>
      <c r="P3480">
        <v>20181108</v>
      </c>
      <c r="Q3480" t="s">
        <v>2702</v>
      </c>
      <c r="R3480" t="s">
        <v>2703</v>
      </c>
      <c r="S3480" t="s">
        <v>1615</v>
      </c>
      <c r="T3480" t="s">
        <v>2608</v>
      </c>
    </row>
    <row r="3481" spans="1:20" x14ac:dyDescent="0.25">
      <c r="A3481">
        <v>9</v>
      </c>
      <c r="B3481">
        <v>199</v>
      </c>
      <c r="C3481" t="str">
        <f>"53"</f>
        <v>53</v>
      </c>
      <c r="D3481">
        <v>6399</v>
      </c>
      <c r="E3481" t="str">
        <f t="shared" si="673"/>
        <v>10</v>
      </c>
      <c r="F3481" t="str">
        <f>"880"</f>
        <v>880</v>
      </c>
      <c r="G3481">
        <v>9</v>
      </c>
      <c r="H3481" t="str">
        <f t="shared" si="674"/>
        <v>99</v>
      </c>
      <c r="I3481" t="str">
        <f t="shared" si="668"/>
        <v>0</v>
      </c>
      <c r="J3481" t="str">
        <f>"80"</f>
        <v>80</v>
      </c>
      <c r="K3481">
        <v>20181116</v>
      </c>
      <c r="L3481" t="str">
        <f t="shared" si="671"/>
        <v>074655</v>
      </c>
      <c r="M3481" t="str">
        <f t="shared" si="672"/>
        <v>04410</v>
      </c>
      <c r="N3481" t="s">
        <v>410</v>
      </c>
      <c r="O3481">
        <v>147</v>
      </c>
      <c r="P3481">
        <v>20181115</v>
      </c>
      <c r="Q3481" t="s">
        <v>1865</v>
      </c>
      <c r="R3481" t="s">
        <v>2704</v>
      </c>
      <c r="S3481" t="s">
        <v>1615</v>
      </c>
      <c r="T3481" t="s">
        <v>1866</v>
      </c>
    </row>
    <row r="3482" spans="1:20" x14ac:dyDescent="0.25">
      <c r="A3482">
        <v>9</v>
      </c>
      <c r="B3482">
        <v>199</v>
      </c>
      <c r="C3482" t="str">
        <f>"34"</f>
        <v>34</v>
      </c>
      <c r="D3482">
        <v>6249</v>
      </c>
      <c r="E3482" t="str">
        <f t="shared" si="673"/>
        <v>10</v>
      </c>
      <c r="F3482" t="str">
        <f>"937"</f>
        <v>937</v>
      </c>
      <c r="G3482">
        <v>9</v>
      </c>
      <c r="H3482" t="str">
        <f t="shared" si="674"/>
        <v>99</v>
      </c>
      <c r="I3482" t="str">
        <f t="shared" si="668"/>
        <v>0</v>
      </c>
      <c r="J3482" t="str">
        <f>"82"</f>
        <v>82</v>
      </c>
      <c r="K3482">
        <v>20181116</v>
      </c>
      <c r="L3482" t="str">
        <f>"074657"</f>
        <v>074657</v>
      </c>
      <c r="M3482" t="str">
        <f>"06267"</f>
        <v>06267</v>
      </c>
      <c r="N3482" t="s">
        <v>1867</v>
      </c>
      <c r="O3482" s="1">
        <v>1470.71</v>
      </c>
      <c r="P3482">
        <v>20181115</v>
      </c>
      <c r="Q3482" t="s">
        <v>2036</v>
      </c>
      <c r="R3482" t="s">
        <v>2705</v>
      </c>
      <c r="S3482" t="s">
        <v>1615</v>
      </c>
      <c r="T3482" t="s">
        <v>1810</v>
      </c>
    </row>
    <row r="3483" spans="1:20" x14ac:dyDescent="0.25">
      <c r="A3483">
        <v>9</v>
      </c>
      <c r="B3483">
        <v>199</v>
      </c>
      <c r="C3483" t="str">
        <f>"34"</f>
        <v>34</v>
      </c>
      <c r="D3483">
        <v>6249</v>
      </c>
      <c r="E3483" t="str">
        <f t="shared" si="673"/>
        <v>10</v>
      </c>
      <c r="F3483" t="str">
        <f>"937"</f>
        <v>937</v>
      </c>
      <c r="G3483">
        <v>9</v>
      </c>
      <c r="H3483" t="str">
        <f t="shared" si="674"/>
        <v>99</v>
      </c>
      <c r="I3483" t="str">
        <f t="shared" si="668"/>
        <v>0</v>
      </c>
      <c r="J3483" t="str">
        <f>"82"</f>
        <v>82</v>
      </c>
      <c r="K3483">
        <v>20181116</v>
      </c>
      <c r="L3483" t="str">
        <f>"074658"</f>
        <v>074658</v>
      </c>
      <c r="M3483" t="str">
        <f>"24208"</f>
        <v>24208</v>
      </c>
      <c r="N3483" t="s">
        <v>2356</v>
      </c>
      <c r="O3483">
        <v>190</v>
      </c>
      <c r="P3483">
        <v>20181115</v>
      </c>
      <c r="Q3483" t="s">
        <v>2036</v>
      </c>
      <c r="R3483" t="s">
        <v>2706</v>
      </c>
      <c r="S3483" t="s">
        <v>1615</v>
      </c>
      <c r="T3483" t="s">
        <v>1810</v>
      </c>
    </row>
    <row r="3484" spans="1:20" x14ac:dyDescent="0.25">
      <c r="A3484">
        <v>9</v>
      </c>
      <c r="B3484">
        <v>199</v>
      </c>
      <c r="C3484" t="str">
        <f>"11"</f>
        <v>11</v>
      </c>
      <c r="D3484">
        <v>6412</v>
      </c>
      <c r="E3484" t="str">
        <f>"NL"</f>
        <v>NL</v>
      </c>
      <c r="F3484" t="str">
        <f t="shared" ref="F3484:F3491" si="675">"001"</f>
        <v>001</v>
      </c>
      <c r="G3484">
        <v>9</v>
      </c>
      <c r="H3484" t="str">
        <f>"22"</f>
        <v>22</v>
      </c>
      <c r="I3484" t="str">
        <f>"1"</f>
        <v>1</v>
      </c>
      <c r="J3484" t="str">
        <f>"22"</f>
        <v>22</v>
      </c>
      <c r="K3484">
        <v>20181116</v>
      </c>
      <c r="L3484" t="str">
        <f>"074659"</f>
        <v>074659</v>
      </c>
      <c r="M3484" t="str">
        <f>"06893"</f>
        <v>06893</v>
      </c>
      <c r="N3484" t="s">
        <v>2707</v>
      </c>
      <c r="O3484">
        <v>15</v>
      </c>
      <c r="P3484">
        <v>20181115</v>
      </c>
      <c r="Q3484" t="s">
        <v>2708</v>
      </c>
      <c r="R3484" t="s">
        <v>2709</v>
      </c>
      <c r="S3484" t="s">
        <v>1615</v>
      </c>
      <c r="T3484" t="s">
        <v>301</v>
      </c>
    </row>
    <row r="3485" spans="1:20" x14ac:dyDescent="0.25">
      <c r="A3485">
        <v>9</v>
      </c>
      <c r="B3485">
        <v>199</v>
      </c>
      <c r="C3485" t="str">
        <f>"36"</f>
        <v>36</v>
      </c>
      <c r="D3485">
        <v>6411</v>
      </c>
      <c r="E3485" t="str">
        <f>"NL"</f>
        <v>NL</v>
      </c>
      <c r="F3485" t="str">
        <f t="shared" si="675"/>
        <v>001</v>
      </c>
      <c r="G3485">
        <v>9</v>
      </c>
      <c r="H3485" t="str">
        <f>"22"</f>
        <v>22</v>
      </c>
      <c r="I3485" t="str">
        <f t="shared" ref="I3485:I3491" si="676">"0"</f>
        <v>0</v>
      </c>
      <c r="J3485" t="str">
        <f>"22"</f>
        <v>22</v>
      </c>
      <c r="K3485">
        <v>20181116</v>
      </c>
      <c r="L3485" t="str">
        <f>"074659"</f>
        <v>074659</v>
      </c>
      <c r="M3485" t="str">
        <f>"06893"</f>
        <v>06893</v>
      </c>
      <c r="N3485" t="s">
        <v>2707</v>
      </c>
      <c r="O3485">
        <v>9</v>
      </c>
      <c r="P3485">
        <v>20181115</v>
      </c>
      <c r="Q3485" t="s">
        <v>2710</v>
      </c>
      <c r="R3485" t="s">
        <v>2709</v>
      </c>
      <c r="S3485" t="s">
        <v>1615</v>
      </c>
      <c r="T3485" t="s">
        <v>301</v>
      </c>
    </row>
    <row r="3486" spans="1:20" x14ac:dyDescent="0.25">
      <c r="A3486">
        <v>9</v>
      </c>
      <c r="B3486">
        <v>199</v>
      </c>
      <c r="C3486" t="str">
        <f>"23"</f>
        <v>23</v>
      </c>
      <c r="D3486">
        <v>6495</v>
      </c>
      <c r="E3486" t="str">
        <f>"10"</f>
        <v>10</v>
      </c>
      <c r="F3486" t="str">
        <f t="shared" si="675"/>
        <v>001</v>
      </c>
      <c r="G3486">
        <v>9</v>
      </c>
      <c r="H3486" t="str">
        <f>"99"</f>
        <v>99</v>
      </c>
      <c r="I3486" t="str">
        <f t="shared" si="676"/>
        <v>0</v>
      </c>
      <c r="J3486" t="str">
        <f>"01"</f>
        <v>01</v>
      </c>
      <c r="K3486">
        <v>20181116</v>
      </c>
      <c r="L3486" t="str">
        <f>"074660"</f>
        <v>074660</v>
      </c>
      <c r="M3486" t="str">
        <f>"07701"</f>
        <v>07701</v>
      </c>
      <c r="N3486" t="s">
        <v>2711</v>
      </c>
      <c r="O3486">
        <v>89</v>
      </c>
      <c r="P3486">
        <v>20181115</v>
      </c>
      <c r="Q3486" t="s">
        <v>1824</v>
      </c>
      <c r="R3486" t="s">
        <v>2712</v>
      </c>
      <c r="S3486" t="s">
        <v>1615</v>
      </c>
      <c r="T3486" t="s">
        <v>301</v>
      </c>
    </row>
    <row r="3487" spans="1:20" x14ac:dyDescent="0.25">
      <c r="A3487">
        <v>9</v>
      </c>
      <c r="B3487">
        <v>199</v>
      </c>
      <c r="C3487" t="str">
        <f>"23"</f>
        <v>23</v>
      </c>
      <c r="D3487">
        <v>6495</v>
      </c>
      <c r="E3487" t="str">
        <f>"10"</f>
        <v>10</v>
      </c>
      <c r="F3487" t="str">
        <f t="shared" si="675"/>
        <v>001</v>
      </c>
      <c r="G3487">
        <v>9</v>
      </c>
      <c r="H3487" t="str">
        <f>"99"</f>
        <v>99</v>
      </c>
      <c r="I3487" t="str">
        <f t="shared" si="676"/>
        <v>0</v>
      </c>
      <c r="J3487" t="str">
        <f>"01"</f>
        <v>01</v>
      </c>
      <c r="K3487">
        <v>20181116</v>
      </c>
      <c r="L3487" t="str">
        <f>"074660"</f>
        <v>074660</v>
      </c>
      <c r="M3487" t="str">
        <f>"07701"</f>
        <v>07701</v>
      </c>
      <c r="N3487" t="s">
        <v>2711</v>
      </c>
      <c r="O3487">
        <v>89</v>
      </c>
      <c r="P3487">
        <v>20181115</v>
      </c>
      <c r="Q3487" t="s">
        <v>1824</v>
      </c>
      <c r="R3487" t="s">
        <v>2713</v>
      </c>
      <c r="S3487" t="s">
        <v>1615</v>
      </c>
      <c r="T3487" t="s">
        <v>301</v>
      </c>
    </row>
    <row r="3488" spans="1:20" x14ac:dyDescent="0.25">
      <c r="A3488">
        <v>9</v>
      </c>
      <c r="B3488">
        <v>199</v>
      </c>
      <c r="C3488" t="str">
        <f>"23"</f>
        <v>23</v>
      </c>
      <c r="D3488">
        <v>6495</v>
      </c>
      <c r="E3488" t="str">
        <f>"10"</f>
        <v>10</v>
      </c>
      <c r="F3488" t="str">
        <f t="shared" si="675"/>
        <v>001</v>
      </c>
      <c r="G3488">
        <v>9</v>
      </c>
      <c r="H3488" t="str">
        <f>"99"</f>
        <v>99</v>
      </c>
      <c r="I3488" t="str">
        <f t="shared" si="676"/>
        <v>0</v>
      </c>
      <c r="J3488" t="str">
        <f>"01"</f>
        <v>01</v>
      </c>
      <c r="K3488">
        <v>20181116</v>
      </c>
      <c r="L3488" t="str">
        <f>"074660"</f>
        <v>074660</v>
      </c>
      <c r="M3488" t="str">
        <f>"07701"</f>
        <v>07701</v>
      </c>
      <c r="N3488" t="s">
        <v>2711</v>
      </c>
      <c r="O3488">
        <v>89</v>
      </c>
      <c r="P3488">
        <v>20181115</v>
      </c>
      <c r="Q3488" t="s">
        <v>1824</v>
      </c>
      <c r="R3488" t="s">
        <v>2714</v>
      </c>
      <c r="S3488" t="s">
        <v>1615</v>
      </c>
      <c r="T3488" t="s">
        <v>301</v>
      </c>
    </row>
    <row r="3489" spans="1:20" x14ac:dyDescent="0.25">
      <c r="A3489">
        <v>9</v>
      </c>
      <c r="B3489">
        <v>199</v>
      </c>
      <c r="C3489" t="str">
        <f>"23"</f>
        <v>23</v>
      </c>
      <c r="D3489">
        <v>6495</v>
      </c>
      <c r="E3489" t="str">
        <f>"10"</f>
        <v>10</v>
      </c>
      <c r="F3489" t="str">
        <f t="shared" si="675"/>
        <v>001</v>
      </c>
      <c r="G3489">
        <v>9</v>
      </c>
      <c r="H3489" t="str">
        <f>"99"</f>
        <v>99</v>
      </c>
      <c r="I3489" t="str">
        <f t="shared" si="676"/>
        <v>0</v>
      </c>
      <c r="J3489" t="str">
        <f>"01"</f>
        <v>01</v>
      </c>
      <c r="K3489">
        <v>20181116</v>
      </c>
      <c r="L3489" t="str">
        <f>"074660"</f>
        <v>074660</v>
      </c>
      <c r="M3489" t="str">
        <f>"07701"</f>
        <v>07701</v>
      </c>
      <c r="N3489" t="s">
        <v>2711</v>
      </c>
      <c r="O3489">
        <v>89</v>
      </c>
      <c r="P3489">
        <v>20181115</v>
      </c>
      <c r="Q3489" t="s">
        <v>1824</v>
      </c>
      <c r="R3489" t="s">
        <v>2715</v>
      </c>
      <c r="S3489" t="s">
        <v>1615</v>
      </c>
      <c r="T3489" t="s">
        <v>301</v>
      </c>
    </row>
    <row r="3490" spans="1:20" x14ac:dyDescent="0.25">
      <c r="A3490">
        <v>9</v>
      </c>
      <c r="B3490">
        <v>199</v>
      </c>
      <c r="C3490" t="str">
        <f>"36"</f>
        <v>36</v>
      </c>
      <c r="D3490">
        <v>6412</v>
      </c>
      <c r="E3490" t="str">
        <f>"H1"</f>
        <v>H1</v>
      </c>
      <c r="F3490" t="str">
        <f t="shared" si="675"/>
        <v>001</v>
      </c>
      <c r="G3490">
        <v>9</v>
      </c>
      <c r="H3490" t="str">
        <f>"31"</f>
        <v>31</v>
      </c>
      <c r="I3490" t="str">
        <f t="shared" si="676"/>
        <v>0</v>
      </c>
      <c r="J3490" t="str">
        <f>"34"</f>
        <v>34</v>
      </c>
      <c r="K3490">
        <v>20181116</v>
      </c>
      <c r="L3490" t="str">
        <f>"074661"</f>
        <v>074661</v>
      </c>
      <c r="M3490" t="str">
        <f>"00610"</f>
        <v>00610</v>
      </c>
      <c r="N3490" t="s">
        <v>2716</v>
      </c>
      <c r="O3490">
        <v>200</v>
      </c>
      <c r="P3490">
        <v>20181115</v>
      </c>
      <c r="Q3490" t="s">
        <v>2410</v>
      </c>
      <c r="R3490" t="s">
        <v>2717</v>
      </c>
      <c r="S3490" t="s">
        <v>1615</v>
      </c>
      <c r="T3490" t="s">
        <v>301</v>
      </c>
    </row>
    <row r="3491" spans="1:20" x14ac:dyDescent="0.25">
      <c r="A3491">
        <v>9</v>
      </c>
      <c r="B3491">
        <v>199</v>
      </c>
      <c r="C3491" t="str">
        <f>"11"</f>
        <v>11</v>
      </c>
      <c r="D3491">
        <v>6299</v>
      </c>
      <c r="E3491" t="str">
        <f>"7K"</f>
        <v>7K</v>
      </c>
      <c r="F3491" t="str">
        <f t="shared" si="675"/>
        <v>001</v>
      </c>
      <c r="G3491">
        <v>9</v>
      </c>
      <c r="H3491" t="str">
        <f>"11"</f>
        <v>11</v>
      </c>
      <c r="I3491" t="str">
        <f t="shared" si="676"/>
        <v>0</v>
      </c>
      <c r="J3491" t="str">
        <f>"01"</f>
        <v>01</v>
      </c>
      <c r="K3491">
        <v>20181116</v>
      </c>
      <c r="L3491" t="str">
        <f>"074662"</f>
        <v>074662</v>
      </c>
      <c r="M3491" t="str">
        <f>"00580"</f>
        <v>00580</v>
      </c>
      <c r="N3491" t="s">
        <v>2718</v>
      </c>
      <c r="O3491">
        <v>700</v>
      </c>
      <c r="P3491">
        <v>20181115</v>
      </c>
      <c r="Q3491" t="s">
        <v>2470</v>
      </c>
      <c r="R3491" t="s">
        <v>2251</v>
      </c>
      <c r="S3491" t="s">
        <v>1615</v>
      </c>
      <c r="T3491" t="s">
        <v>301</v>
      </c>
    </row>
    <row r="3492" spans="1:20" x14ac:dyDescent="0.25">
      <c r="A3492">
        <v>9</v>
      </c>
      <c r="B3492">
        <v>199</v>
      </c>
      <c r="C3492" t="str">
        <f>"23"</f>
        <v>23</v>
      </c>
      <c r="D3492">
        <v>6411</v>
      </c>
      <c r="E3492" t="str">
        <f>"8K"</f>
        <v>8K</v>
      </c>
      <c r="F3492" t="str">
        <f>"104"</f>
        <v>104</v>
      </c>
      <c r="G3492">
        <v>9</v>
      </c>
      <c r="H3492" t="str">
        <f>"99"</f>
        <v>99</v>
      </c>
      <c r="I3492" t="str">
        <f>"1"</f>
        <v>1</v>
      </c>
      <c r="J3492" t="str">
        <f>"05"</f>
        <v>05</v>
      </c>
      <c r="K3492">
        <v>20181116</v>
      </c>
      <c r="L3492" t="str">
        <f>"074664"</f>
        <v>074664</v>
      </c>
      <c r="M3492" t="str">
        <f>"21158"</f>
        <v>21158</v>
      </c>
      <c r="N3492" t="s">
        <v>2719</v>
      </c>
      <c r="O3492">
        <v>60.7</v>
      </c>
      <c r="P3492">
        <v>20181115</v>
      </c>
      <c r="Q3492" t="s">
        <v>2720</v>
      </c>
      <c r="R3492" t="s">
        <v>2721</v>
      </c>
      <c r="S3492" t="s">
        <v>1615</v>
      </c>
      <c r="T3492" t="s">
        <v>46</v>
      </c>
    </row>
    <row r="3493" spans="1:20" x14ac:dyDescent="0.25">
      <c r="A3493">
        <v>9</v>
      </c>
      <c r="B3493">
        <v>199</v>
      </c>
      <c r="C3493" t="str">
        <f>"36"</f>
        <v>36</v>
      </c>
      <c r="D3493">
        <v>6411</v>
      </c>
      <c r="E3493" t="str">
        <f>"7B"</f>
        <v>7B</v>
      </c>
      <c r="F3493" t="str">
        <f t="shared" ref="F3493:F3502" si="677">"001"</f>
        <v>001</v>
      </c>
      <c r="G3493">
        <v>9</v>
      </c>
      <c r="H3493" t="str">
        <f>"99"</f>
        <v>99</v>
      </c>
      <c r="I3493" t="str">
        <f>"0"</f>
        <v>0</v>
      </c>
      <c r="J3493" t="str">
        <f>"32"</f>
        <v>32</v>
      </c>
      <c r="K3493">
        <v>20181116</v>
      </c>
      <c r="L3493" t="str">
        <f>"074666"</f>
        <v>074666</v>
      </c>
      <c r="M3493" t="str">
        <f>"20416"</f>
        <v>20416</v>
      </c>
      <c r="N3493" t="s">
        <v>1693</v>
      </c>
      <c r="O3493">
        <v>60</v>
      </c>
      <c r="P3493">
        <v>20181115</v>
      </c>
      <c r="Q3493" t="s">
        <v>1694</v>
      </c>
      <c r="R3493" t="s">
        <v>2722</v>
      </c>
      <c r="S3493" t="s">
        <v>1615</v>
      </c>
      <c r="T3493" t="s">
        <v>301</v>
      </c>
    </row>
    <row r="3494" spans="1:20" x14ac:dyDescent="0.25">
      <c r="A3494">
        <v>9</v>
      </c>
      <c r="B3494">
        <v>199</v>
      </c>
      <c r="C3494" t="str">
        <f>"36"</f>
        <v>36</v>
      </c>
      <c r="D3494">
        <v>6412</v>
      </c>
      <c r="E3494" t="str">
        <f>"7B"</f>
        <v>7B</v>
      </c>
      <c r="F3494" t="str">
        <f t="shared" si="677"/>
        <v>001</v>
      </c>
      <c r="G3494">
        <v>9</v>
      </c>
      <c r="H3494" t="str">
        <f>"99"</f>
        <v>99</v>
      </c>
      <c r="I3494" t="str">
        <f>"1"</f>
        <v>1</v>
      </c>
      <c r="J3494" t="str">
        <f>"32"</f>
        <v>32</v>
      </c>
      <c r="K3494">
        <v>20181116</v>
      </c>
      <c r="L3494" t="str">
        <f>"074666"</f>
        <v>074666</v>
      </c>
      <c r="M3494" t="str">
        <f>"20416"</f>
        <v>20416</v>
      </c>
      <c r="N3494" t="s">
        <v>1693</v>
      </c>
      <c r="O3494">
        <v>80</v>
      </c>
      <c r="P3494">
        <v>20181115</v>
      </c>
      <c r="Q3494" t="s">
        <v>1696</v>
      </c>
      <c r="R3494" t="s">
        <v>2722</v>
      </c>
      <c r="S3494" t="s">
        <v>1615</v>
      </c>
      <c r="T3494" t="s">
        <v>301</v>
      </c>
    </row>
    <row r="3495" spans="1:20" x14ac:dyDescent="0.25">
      <c r="A3495">
        <v>9</v>
      </c>
      <c r="B3495">
        <v>199</v>
      </c>
      <c r="C3495" t="str">
        <f t="shared" ref="C3495:C3502" si="678">"11"</f>
        <v>11</v>
      </c>
      <c r="D3495">
        <v>6269</v>
      </c>
      <c r="E3495" t="str">
        <f>"VA"</f>
        <v>VA</v>
      </c>
      <c r="F3495" t="str">
        <f t="shared" si="677"/>
        <v>001</v>
      </c>
      <c r="G3495">
        <v>9</v>
      </c>
      <c r="H3495" t="str">
        <f t="shared" ref="H3495:H3502" si="679">"22"</f>
        <v>22</v>
      </c>
      <c r="I3495" t="str">
        <f t="shared" ref="I3495:I3537" si="680">"0"</f>
        <v>0</v>
      </c>
      <c r="J3495" t="str">
        <f t="shared" ref="J3495:J3502" si="681">"22"</f>
        <v>22</v>
      </c>
      <c r="K3495">
        <v>20181116</v>
      </c>
      <c r="L3495" t="str">
        <f t="shared" ref="L3495:L3502" si="682">"074670"</f>
        <v>074670</v>
      </c>
      <c r="M3495" t="str">
        <f t="shared" ref="M3495:M3502" si="683">"20683"</f>
        <v>20683</v>
      </c>
      <c r="N3495" t="s">
        <v>1697</v>
      </c>
      <c r="O3495">
        <v>106.51</v>
      </c>
      <c r="P3495">
        <v>20181115</v>
      </c>
      <c r="Q3495" t="s">
        <v>2213</v>
      </c>
      <c r="R3495" t="s">
        <v>2723</v>
      </c>
      <c r="S3495" t="s">
        <v>1615</v>
      </c>
      <c r="T3495" t="s">
        <v>301</v>
      </c>
    </row>
    <row r="3496" spans="1:20" x14ac:dyDescent="0.25">
      <c r="A3496">
        <v>9</v>
      </c>
      <c r="B3496">
        <v>199</v>
      </c>
      <c r="C3496" t="str">
        <f t="shared" si="678"/>
        <v>11</v>
      </c>
      <c r="D3496">
        <v>6269</v>
      </c>
      <c r="E3496" t="str">
        <f>"VA"</f>
        <v>VA</v>
      </c>
      <c r="F3496" t="str">
        <f t="shared" si="677"/>
        <v>001</v>
      </c>
      <c r="G3496">
        <v>9</v>
      </c>
      <c r="H3496" t="str">
        <f t="shared" si="679"/>
        <v>22</v>
      </c>
      <c r="I3496" t="str">
        <f t="shared" si="680"/>
        <v>0</v>
      </c>
      <c r="J3496" t="str">
        <f t="shared" si="681"/>
        <v>22</v>
      </c>
      <c r="K3496">
        <v>20181116</v>
      </c>
      <c r="L3496" t="str">
        <f t="shared" si="682"/>
        <v>074670</v>
      </c>
      <c r="M3496" t="str">
        <f t="shared" si="683"/>
        <v>20683</v>
      </c>
      <c r="N3496" t="s">
        <v>1697</v>
      </c>
      <c r="O3496">
        <v>57.78</v>
      </c>
      <c r="P3496">
        <v>20181115</v>
      </c>
      <c r="Q3496" t="s">
        <v>2213</v>
      </c>
      <c r="R3496" t="s">
        <v>2724</v>
      </c>
      <c r="S3496" t="s">
        <v>1615</v>
      </c>
      <c r="T3496" t="s">
        <v>301</v>
      </c>
    </row>
    <row r="3497" spans="1:20" x14ac:dyDescent="0.25">
      <c r="A3497">
        <v>9</v>
      </c>
      <c r="B3497">
        <v>199</v>
      </c>
      <c r="C3497" t="str">
        <f t="shared" si="678"/>
        <v>11</v>
      </c>
      <c r="D3497">
        <v>6269</v>
      </c>
      <c r="E3497" t="str">
        <f>"VA"</f>
        <v>VA</v>
      </c>
      <c r="F3497" t="str">
        <f t="shared" si="677"/>
        <v>001</v>
      </c>
      <c r="G3497">
        <v>9</v>
      </c>
      <c r="H3497" t="str">
        <f t="shared" si="679"/>
        <v>22</v>
      </c>
      <c r="I3497" t="str">
        <f t="shared" si="680"/>
        <v>0</v>
      </c>
      <c r="J3497" t="str">
        <f t="shared" si="681"/>
        <v>22</v>
      </c>
      <c r="K3497">
        <v>20181116</v>
      </c>
      <c r="L3497" t="str">
        <f t="shared" si="682"/>
        <v>074670</v>
      </c>
      <c r="M3497" t="str">
        <f t="shared" si="683"/>
        <v>20683</v>
      </c>
      <c r="N3497" t="s">
        <v>1697</v>
      </c>
      <c r="O3497">
        <v>57.78</v>
      </c>
      <c r="P3497">
        <v>20181115</v>
      </c>
      <c r="Q3497" t="s">
        <v>2213</v>
      </c>
      <c r="R3497" t="s">
        <v>2725</v>
      </c>
      <c r="S3497" t="s">
        <v>1615</v>
      </c>
      <c r="T3497" t="s">
        <v>301</v>
      </c>
    </row>
    <row r="3498" spans="1:20" x14ac:dyDescent="0.25">
      <c r="A3498">
        <v>9</v>
      </c>
      <c r="B3498">
        <v>199</v>
      </c>
      <c r="C3498" t="str">
        <f t="shared" si="678"/>
        <v>11</v>
      </c>
      <c r="D3498">
        <v>6269</v>
      </c>
      <c r="E3498" t="str">
        <f>"VA"</f>
        <v>VA</v>
      </c>
      <c r="F3498" t="str">
        <f t="shared" si="677"/>
        <v>001</v>
      </c>
      <c r="G3498">
        <v>9</v>
      </c>
      <c r="H3498" t="str">
        <f t="shared" si="679"/>
        <v>22</v>
      </c>
      <c r="I3498" t="str">
        <f t="shared" si="680"/>
        <v>0</v>
      </c>
      <c r="J3498" t="str">
        <f t="shared" si="681"/>
        <v>22</v>
      </c>
      <c r="K3498">
        <v>20181116</v>
      </c>
      <c r="L3498" t="str">
        <f t="shared" si="682"/>
        <v>074670</v>
      </c>
      <c r="M3498" t="str">
        <f t="shared" si="683"/>
        <v>20683</v>
      </c>
      <c r="N3498" t="s">
        <v>1697</v>
      </c>
      <c r="O3498">
        <v>110.7</v>
      </c>
      <c r="P3498">
        <v>20181115</v>
      </c>
      <c r="Q3498" t="s">
        <v>2213</v>
      </c>
      <c r="R3498" t="s">
        <v>2726</v>
      </c>
      <c r="S3498" t="s">
        <v>1615</v>
      </c>
      <c r="T3498" t="s">
        <v>301</v>
      </c>
    </row>
    <row r="3499" spans="1:20" x14ac:dyDescent="0.25">
      <c r="A3499">
        <v>9</v>
      </c>
      <c r="B3499">
        <v>199</v>
      </c>
      <c r="C3499" t="str">
        <f t="shared" si="678"/>
        <v>11</v>
      </c>
      <c r="D3499">
        <v>6399</v>
      </c>
      <c r="E3499" t="str">
        <f>"V8"</f>
        <v>V8</v>
      </c>
      <c r="F3499" t="str">
        <f t="shared" si="677"/>
        <v>001</v>
      </c>
      <c r="G3499">
        <v>9</v>
      </c>
      <c r="H3499" t="str">
        <f t="shared" si="679"/>
        <v>22</v>
      </c>
      <c r="I3499" t="str">
        <f t="shared" si="680"/>
        <v>0</v>
      </c>
      <c r="J3499" t="str">
        <f t="shared" si="681"/>
        <v>22</v>
      </c>
      <c r="K3499">
        <v>20181116</v>
      </c>
      <c r="L3499" t="str">
        <f t="shared" si="682"/>
        <v>074670</v>
      </c>
      <c r="M3499" t="str">
        <f t="shared" si="683"/>
        <v>20683</v>
      </c>
      <c r="N3499" t="s">
        <v>1697</v>
      </c>
      <c r="O3499">
        <v>13</v>
      </c>
      <c r="P3499">
        <v>20181115</v>
      </c>
      <c r="Q3499" t="s">
        <v>2001</v>
      </c>
      <c r="R3499" t="s">
        <v>2723</v>
      </c>
      <c r="S3499" t="s">
        <v>1615</v>
      </c>
      <c r="T3499" t="s">
        <v>301</v>
      </c>
    </row>
    <row r="3500" spans="1:20" x14ac:dyDescent="0.25">
      <c r="A3500">
        <v>9</v>
      </c>
      <c r="B3500">
        <v>199</v>
      </c>
      <c r="C3500" t="str">
        <f t="shared" si="678"/>
        <v>11</v>
      </c>
      <c r="D3500">
        <v>6399</v>
      </c>
      <c r="E3500" t="str">
        <f>"V8"</f>
        <v>V8</v>
      </c>
      <c r="F3500" t="str">
        <f t="shared" si="677"/>
        <v>001</v>
      </c>
      <c r="G3500">
        <v>9</v>
      </c>
      <c r="H3500" t="str">
        <f t="shared" si="679"/>
        <v>22</v>
      </c>
      <c r="I3500" t="str">
        <f t="shared" si="680"/>
        <v>0</v>
      </c>
      <c r="J3500" t="str">
        <f t="shared" si="681"/>
        <v>22</v>
      </c>
      <c r="K3500">
        <v>20181116</v>
      </c>
      <c r="L3500" t="str">
        <f t="shared" si="682"/>
        <v>074670</v>
      </c>
      <c r="M3500" t="str">
        <f t="shared" si="683"/>
        <v>20683</v>
      </c>
      <c r="N3500" t="s">
        <v>1697</v>
      </c>
      <c r="O3500">
        <v>13</v>
      </c>
      <c r="P3500">
        <v>20181115</v>
      </c>
      <c r="Q3500" t="s">
        <v>2001</v>
      </c>
      <c r="R3500" t="s">
        <v>2724</v>
      </c>
      <c r="S3500" t="s">
        <v>1615</v>
      </c>
      <c r="T3500" t="s">
        <v>301</v>
      </c>
    </row>
    <row r="3501" spans="1:20" x14ac:dyDescent="0.25">
      <c r="A3501">
        <v>9</v>
      </c>
      <c r="B3501">
        <v>199</v>
      </c>
      <c r="C3501" t="str">
        <f t="shared" si="678"/>
        <v>11</v>
      </c>
      <c r="D3501">
        <v>6399</v>
      </c>
      <c r="E3501" t="str">
        <f>"V8"</f>
        <v>V8</v>
      </c>
      <c r="F3501" t="str">
        <f t="shared" si="677"/>
        <v>001</v>
      </c>
      <c r="G3501">
        <v>9</v>
      </c>
      <c r="H3501" t="str">
        <f t="shared" si="679"/>
        <v>22</v>
      </c>
      <c r="I3501" t="str">
        <f t="shared" si="680"/>
        <v>0</v>
      </c>
      <c r="J3501" t="str">
        <f t="shared" si="681"/>
        <v>22</v>
      </c>
      <c r="K3501">
        <v>20181116</v>
      </c>
      <c r="L3501" t="str">
        <f t="shared" si="682"/>
        <v>074670</v>
      </c>
      <c r="M3501" t="str">
        <f t="shared" si="683"/>
        <v>20683</v>
      </c>
      <c r="N3501" t="s">
        <v>1697</v>
      </c>
      <c r="O3501">
        <v>13</v>
      </c>
      <c r="P3501">
        <v>20181115</v>
      </c>
      <c r="Q3501" t="s">
        <v>2001</v>
      </c>
      <c r="R3501" t="s">
        <v>2725</v>
      </c>
      <c r="S3501" t="s">
        <v>1615</v>
      </c>
      <c r="T3501" t="s">
        <v>301</v>
      </c>
    </row>
    <row r="3502" spans="1:20" x14ac:dyDescent="0.25">
      <c r="A3502">
        <v>9</v>
      </c>
      <c r="B3502">
        <v>199</v>
      </c>
      <c r="C3502" t="str">
        <f t="shared" si="678"/>
        <v>11</v>
      </c>
      <c r="D3502">
        <v>6399</v>
      </c>
      <c r="E3502" t="str">
        <f>"V8"</f>
        <v>V8</v>
      </c>
      <c r="F3502" t="str">
        <f t="shared" si="677"/>
        <v>001</v>
      </c>
      <c r="G3502">
        <v>9</v>
      </c>
      <c r="H3502" t="str">
        <f t="shared" si="679"/>
        <v>22</v>
      </c>
      <c r="I3502" t="str">
        <f t="shared" si="680"/>
        <v>0</v>
      </c>
      <c r="J3502" t="str">
        <f t="shared" si="681"/>
        <v>22</v>
      </c>
      <c r="K3502">
        <v>20181116</v>
      </c>
      <c r="L3502" t="str">
        <f t="shared" si="682"/>
        <v>074670</v>
      </c>
      <c r="M3502" t="str">
        <f t="shared" si="683"/>
        <v>20683</v>
      </c>
      <c r="N3502" t="s">
        <v>1697</v>
      </c>
      <c r="O3502">
        <v>16</v>
      </c>
      <c r="P3502">
        <v>20181115</v>
      </c>
      <c r="Q3502" t="s">
        <v>2001</v>
      </c>
      <c r="R3502" t="s">
        <v>2726</v>
      </c>
      <c r="S3502" t="s">
        <v>1615</v>
      </c>
      <c r="T3502" t="s">
        <v>301</v>
      </c>
    </row>
    <row r="3503" spans="1:20" x14ac:dyDescent="0.25">
      <c r="A3503">
        <v>9</v>
      </c>
      <c r="B3503">
        <v>199</v>
      </c>
      <c r="C3503" t="str">
        <f>"51"</f>
        <v>51</v>
      </c>
      <c r="D3503">
        <v>6256</v>
      </c>
      <c r="E3503" t="str">
        <f>"13"</f>
        <v>13</v>
      </c>
      <c r="F3503" t="str">
        <f>"880"</f>
        <v>880</v>
      </c>
      <c r="G3503">
        <v>9</v>
      </c>
      <c r="H3503" t="str">
        <f>"99"</f>
        <v>99</v>
      </c>
      <c r="I3503" t="str">
        <f t="shared" si="680"/>
        <v>0</v>
      </c>
      <c r="J3503" t="str">
        <f>"80"</f>
        <v>80</v>
      </c>
      <c r="K3503">
        <v>20181116</v>
      </c>
      <c r="L3503" t="str">
        <f>"074671"</f>
        <v>074671</v>
      </c>
      <c r="M3503" t="str">
        <f>"21146"</f>
        <v>21146</v>
      </c>
      <c r="N3503" t="s">
        <v>2367</v>
      </c>
      <c r="O3503">
        <v>412.8</v>
      </c>
      <c r="P3503">
        <v>20181115</v>
      </c>
      <c r="Q3503" t="s">
        <v>2368</v>
      </c>
      <c r="R3503" t="s">
        <v>2668</v>
      </c>
      <c r="S3503" t="s">
        <v>1615</v>
      </c>
      <c r="T3503" t="s">
        <v>1866</v>
      </c>
    </row>
    <row r="3504" spans="1:20" x14ac:dyDescent="0.25">
      <c r="A3504">
        <v>9</v>
      </c>
      <c r="B3504">
        <v>199</v>
      </c>
      <c r="C3504" t="str">
        <f>"00"</f>
        <v>00</v>
      </c>
      <c r="D3504">
        <v>1312</v>
      </c>
      <c r="E3504" t="str">
        <f>"00"</f>
        <v>00</v>
      </c>
      <c r="F3504" t="str">
        <f>"000"</f>
        <v>000</v>
      </c>
      <c r="G3504">
        <v>9</v>
      </c>
      <c r="H3504" t="str">
        <f>"00"</f>
        <v>00</v>
      </c>
      <c r="I3504" t="str">
        <f t="shared" si="680"/>
        <v>0</v>
      </c>
      <c r="J3504" t="str">
        <f>"00"</f>
        <v>00</v>
      </c>
      <c r="K3504">
        <v>20181116</v>
      </c>
      <c r="L3504" t="str">
        <f>"074674"</f>
        <v>074674</v>
      </c>
      <c r="M3504" t="str">
        <f>"22129"</f>
        <v>22129</v>
      </c>
      <c r="N3504" t="s">
        <v>775</v>
      </c>
      <c r="O3504" s="1">
        <v>1161.28</v>
      </c>
      <c r="P3504">
        <v>20181115</v>
      </c>
      <c r="Q3504" t="s">
        <v>1860</v>
      </c>
      <c r="R3504" t="s">
        <v>2727</v>
      </c>
      <c r="S3504" t="s">
        <v>1615</v>
      </c>
      <c r="T3504" t="s">
        <v>296</v>
      </c>
    </row>
    <row r="3505" spans="1:20" x14ac:dyDescent="0.25">
      <c r="A3505">
        <v>9</v>
      </c>
      <c r="B3505">
        <v>199</v>
      </c>
      <c r="C3505" t="str">
        <f>"21"</f>
        <v>21</v>
      </c>
      <c r="D3505">
        <v>6411</v>
      </c>
      <c r="E3505" t="str">
        <f>"V1"</f>
        <v>V1</v>
      </c>
      <c r="F3505" t="str">
        <f>"001"</f>
        <v>001</v>
      </c>
      <c r="G3505">
        <v>9</v>
      </c>
      <c r="H3505" t="str">
        <f>"22"</f>
        <v>22</v>
      </c>
      <c r="I3505" t="str">
        <f t="shared" si="680"/>
        <v>0</v>
      </c>
      <c r="J3505" t="str">
        <f>"22"</f>
        <v>22</v>
      </c>
      <c r="K3505">
        <v>20181116</v>
      </c>
      <c r="L3505" t="str">
        <f t="shared" ref="L3505:L3515" si="684">"074678"</f>
        <v>074678</v>
      </c>
      <c r="M3505" t="str">
        <f t="shared" ref="M3505:M3515" si="685">"27896"</f>
        <v>27896</v>
      </c>
      <c r="N3505" t="s">
        <v>1490</v>
      </c>
      <c r="O3505">
        <v>100</v>
      </c>
      <c r="P3505">
        <v>20181115</v>
      </c>
      <c r="Q3505" t="s">
        <v>2728</v>
      </c>
      <c r="R3505" t="s">
        <v>2729</v>
      </c>
      <c r="S3505" t="s">
        <v>1615</v>
      </c>
      <c r="T3505" t="s">
        <v>301</v>
      </c>
    </row>
    <row r="3506" spans="1:20" x14ac:dyDescent="0.25">
      <c r="A3506">
        <v>9</v>
      </c>
      <c r="B3506">
        <v>199</v>
      </c>
      <c r="C3506" t="str">
        <f>"41"</f>
        <v>41</v>
      </c>
      <c r="D3506">
        <v>6239</v>
      </c>
      <c r="E3506" t="str">
        <f>"01"</f>
        <v>01</v>
      </c>
      <c r="F3506" t="str">
        <f>"709"</f>
        <v>709</v>
      </c>
      <c r="G3506">
        <v>9</v>
      </c>
      <c r="H3506" t="str">
        <f t="shared" ref="H3506:H3524" si="686">"99"</f>
        <v>99</v>
      </c>
      <c r="I3506" t="str">
        <f t="shared" si="680"/>
        <v>0</v>
      </c>
      <c r="J3506" t="str">
        <f>"83"</f>
        <v>83</v>
      </c>
      <c r="K3506">
        <v>20181116</v>
      </c>
      <c r="L3506" t="str">
        <f t="shared" si="684"/>
        <v>074678</v>
      </c>
      <c r="M3506" t="str">
        <f t="shared" si="685"/>
        <v>27896</v>
      </c>
      <c r="N3506" t="s">
        <v>1490</v>
      </c>
      <c r="O3506" s="1">
        <v>2500</v>
      </c>
      <c r="P3506">
        <v>20181115</v>
      </c>
      <c r="Q3506" t="s">
        <v>2730</v>
      </c>
      <c r="R3506" t="s">
        <v>2731</v>
      </c>
      <c r="S3506" t="s">
        <v>1615</v>
      </c>
      <c r="T3506" t="s">
        <v>1820</v>
      </c>
    </row>
    <row r="3507" spans="1:20" x14ac:dyDescent="0.25">
      <c r="A3507">
        <v>9</v>
      </c>
      <c r="B3507">
        <v>199</v>
      </c>
      <c r="C3507" t="str">
        <f t="shared" ref="C3507:C3515" si="687">"53"</f>
        <v>53</v>
      </c>
      <c r="D3507">
        <v>6239</v>
      </c>
      <c r="E3507" t="str">
        <f t="shared" ref="E3507:E3515" si="688">"00"</f>
        <v>00</v>
      </c>
      <c r="F3507" t="str">
        <f>"001"</f>
        <v>001</v>
      </c>
      <c r="G3507">
        <v>9</v>
      </c>
      <c r="H3507" t="str">
        <f t="shared" si="686"/>
        <v>99</v>
      </c>
      <c r="I3507" t="str">
        <f t="shared" si="680"/>
        <v>0</v>
      </c>
      <c r="J3507" t="str">
        <f t="shared" ref="J3507:J3515" si="689">"91"</f>
        <v>91</v>
      </c>
      <c r="K3507">
        <v>20181116</v>
      </c>
      <c r="L3507" t="str">
        <f t="shared" si="684"/>
        <v>074678</v>
      </c>
      <c r="M3507" t="str">
        <f t="shared" si="685"/>
        <v>27896</v>
      </c>
      <c r="N3507" t="s">
        <v>1490</v>
      </c>
      <c r="O3507" s="1">
        <v>6298.56</v>
      </c>
      <c r="P3507">
        <v>20181115</v>
      </c>
      <c r="Q3507" t="s">
        <v>2732</v>
      </c>
      <c r="R3507" t="s">
        <v>2733</v>
      </c>
      <c r="S3507" t="s">
        <v>1615</v>
      </c>
      <c r="T3507" t="s">
        <v>301</v>
      </c>
    </row>
    <row r="3508" spans="1:20" x14ac:dyDescent="0.25">
      <c r="A3508">
        <v>9</v>
      </c>
      <c r="B3508">
        <v>199</v>
      </c>
      <c r="C3508" t="str">
        <f t="shared" si="687"/>
        <v>53</v>
      </c>
      <c r="D3508">
        <v>6239</v>
      </c>
      <c r="E3508" t="str">
        <f t="shared" si="688"/>
        <v>00</v>
      </c>
      <c r="F3508" t="str">
        <f>"001"</f>
        <v>001</v>
      </c>
      <c r="G3508">
        <v>9</v>
      </c>
      <c r="H3508" t="str">
        <f t="shared" si="686"/>
        <v>99</v>
      </c>
      <c r="I3508" t="str">
        <f t="shared" si="680"/>
        <v>0</v>
      </c>
      <c r="J3508" t="str">
        <f t="shared" si="689"/>
        <v>91</v>
      </c>
      <c r="K3508">
        <v>20181116</v>
      </c>
      <c r="L3508" t="str">
        <f t="shared" si="684"/>
        <v>074678</v>
      </c>
      <c r="M3508" t="str">
        <f t="shared" si="685"/>
        <v>27896</v>
      </c>
      <c r="N3508" t="s">
        <v>1490</v>
      </c>
      <c r="O3508" s="1">
        <v>3700</v>
      </c>
      <c r="P3508">
        <v>20181115</v>
      </c>
      <c r="Q3508" t="s">
        <v>2732</v>
      </c>
      <c r="R3508" t="s">
        <v>2734</v>
      </c>
      <c r="S3508" t="s">
        <v>1615</v>
      </c>
      <c r="T3508" t="s">
        <v>301</v>
      </c>
    </row>
    <row r="3509" spans="1:20" x14ac:dyDescent="0.25">
      <c r="A3509">
        <v>9</v>
      </c>
      <c r="B3509">
        <v>199</v>
      </c>
      <c r="C3509" t="str">
        <f t="shared" si="687"/>
        <v>53</v>
      </c>
      <c r="D3509">
        <v>6239</v>
      </c>
      <c r="E3509" t="str">
        <f t="shared" si="688"/>
        <v>00</v>
      </c>
      <c r="F3509" t="str">
        <f>"001"</f>
        <v>001</v>
      </c>
      <c r="G3509">
        <v>9</v>
      </c>
      <c r="H3509" t="str">
        <f t="shared" si="686"/>
        <v>99</v>
      </c>
      <c r="I3509" t="str">
        <f t="shared" si="680"/>
        <v>0</v>
      </c>
      <c r="J3509" t="str">
        <f t="shared" si="689"/>
        <v>91</v>
      </c>
      <c r="K3509">
        <v>20181116</v>
      </c>
      <c r="L3509" t="str">
        <f t="shared" si="684"/>
        <v>074678</v>
      </c>
      <c r="M3509" t="str">
        <f t="shared" si="685"/>
        <v>27896</v>
      </c>
      <c r="N3509" t="s">
        <v>1490</v>
      </c>
      <c r="O3509" s="1">
        <v>1415.7</v>
      </c>
      <c r="P3509">
        <v>20181115</v>
      </c>
      <c r="Q3509" t="s">
        <v>2732</v>
      </c>
      <c r="R3509" t="s">
        <v>2735</v>
      </c>
      <c r="S3509" t="s">
        <v>1615</v>
      </c>
      <c r="T3509" t="s">
        <v>301</v>
      </c>
    </row>
    <row r="3510" spans="1:20" x14ac:dyDescent="0.25">
      <c r="A3510">
        <v>9</v>
      </c>
      <c r="B3510">
        <v>199</v>
      </c>
      <c r="C3510" t="str">
        <f t="shared" si="687"/>
        <v>53</v>
      </c>
      <c r="D3510">
        <v>6239</v>
      </c>
      <c r="E3510" t="str">
        <f t="shared" si="688"/>
        <v>00</v>
      </c>
      <c r="F3510" t="str">
        <f>"002"</f>
        <v>002</v>
      </c>
      <c r="G3510">
        <v>9</v>
      </c>
      <c r="H3510" t="str">
        <f t="shared" si="686"/>
        <v>99</v>
      </c>
      <c r="I3510" t="str">
        <f t="shared" si="680"/>
        <v>0</v>
      </c>
      <c r="J3510" t="str">
        <f t="shared" si="689"/>
        <v>91</v>
      </c>
      <c r="K3510">
        <v>20181116</v>
      </c>
      <c r="L3510" t="str">
        <f t="shared" si="684"/>
        <v>074678</v>
      </c>
      <c r="M3510" t="str">
        <f t="shared" si="685"/>
        <v>27896</v>
      </c>
      <c r="N3510" t="s">
        <v>1490</v>
      </c>
      <c r="O3510">
        <v>363.34</v>
      </c>
      <c r="P3510">
        <v>20181115</v>
      </c>
      <c r="Q3510" t="s">
        <v>2736</v>
      </c>
      <c r="R3510" t="s">
        <v>2735</v>
      </c>
      <c r="S3510" t="s">
        <v>1615</v>
      </c>
      <c r="T3510" t="s">
        <v>1485</v>
      </c>
    </row>
    <row r="3511" spans="1:20" x14ac:dyDescent="0.25">
      <c r="A3511">
        <v>9</v>
      </c>
      <c r="B3511">
        <v>199</v>
      </c>
      <c r="C3511" t="str">
        <f t="shared" si="687"/>
        <v>53</v>
      </c>
      <c r="D3511">
        <v>6239</v>
      </c>
      <c r="E3511" t="str">
        <f t="shared" si="688"/>
        <v>00</v>
      </c>
      <c r="F3511" t="str">
        <f>"041"</f>
        <v>041</v>
      </c>
      <c r="G3511">
        <v>9</v>
      </c>
      <c r="H3511" t="str">
        <f t="shared" si="686"/>
        <v>99</v>
      </c>
      <c r="I3511" t="str">
        <f t="shared" si="680"/>
        <v>0</v>
      </c>
      <c r="J3511" t="str">
        <f t="shared" si="689"/>
        <v>91</v>
      </c>
      <c r="K3511">
        <v>20181116</v>
      </c>
      <c r="L3511" t="str">
        <f t="shared" si="684"/>
        <v>074678</v>
      </c>
      <c r="M3511" t="str">
        <f t="shared" si="685"/>
        <v>27896</v>
      </c>
      <c r="N3511" t="s">
        <v>1490</v>
      </c>
      <c r="O3511" s="1">
        <v>8708.5499999999993</v>
      </c>
      <c r="P3511">
        <v>20181115</v>
      </c>
      <c r="Q3511" t="s">
        <v>2737</v>
      </c>
      <c r="R3511" t="s">
        <v>2735</v>
      </c>
      <c r="S3511" t="s">
        <v>1615</v>
      </c>
      <c r="T3511" t="s">
        <v>106</v>
      </c>
    </row>
    <row r="3512" spans="1:20" x14ac:dyDescent="0.25">
      <c r="A3512">
        <v>9</v>
      </c>
      <c r="B3512">
        <v>199</v>
      </c>
      <c r="C3512" t="str">
        <f t="shared" si="687"/>
        <v>53</v>
      </c>
      <c r="D3512">
        <v>6239</v>
      </c>
      <c r="E3512" t="str">
        <f t="shared" si="688"/>
        <v>00</v>
      </c>
      <c r="F3512" t="str">
        <f>"101"</f>
        <v>101</v>
      </c>
      <c r="G3512">
        <v>9</v>
      </c>
      <c r="H3512" t="str">
        <f t="shared" si="686"/>
        <v>99</v>
      </c>
      <c r="I3512" t="str">
        <f t="shared" si="680"/>
        <v>0</v>
      </c>
      <c r="J3512" t="str">
        <f t="shared" si="689"/>
        <v>91</v>
      </c>
      <c r="K3512">
        <v>20181116</v>
      </c>
      <c r="L3512" t="str">
        <f t="shared" si="684"/>
        <v>074678</v>
      </c>
      <c r="M3512" t="str">
        <f t="shared" si="685"/>
        <v>27896</v>
      </c>
      <c r="N3512" t="s">
        <v>1490</v>
      </c>
      <c r="O3512" s="1">
        <v>9357.92</v>
      </c>
      <c r="P3512">
        <v>20181115</v>
      </c>
      <c r="Q3512" t="s">
        <v>2738</v>
      </c>
      <c r="R3512" t="s">
        <v>2735</v>
      </c>
      <c r="S3512" t="s">
        <v>1615</v>
      </c>
      <c r="T3512" t="s">
        <v>1479</v>
      </c>
    </row>
    <row r="3513" spans="1:20" x14ac:dyDescent="0.25">
      <c r="A3513">
        <v>9</v>
      </c>
      <c r="B3513">
        <v>199</v>
      </c>
      <c r="C3513" t="str">
        <f t="shared" si="687"/>
        <v>53</v>
      </c>
      <c r="D3513">
        <v>6239</v>
      </c>
      <c r="E3513" t="str">
        <f t="shared" si="688"/>
        <v>00</v>
      </c>
      <c r="F3513" t="str">
        <f>"104"</f>
        <v>104</v>
      </c>
      <c r="G3513">
        <v>9</v>
      </c>
      <c r="H3513" t="str">
        <f t="shared" si="686"/>
        <v>99</v>
      </c>
      <c r="I3513" t="str">
        <f t="shared" si="680"/>
        <v>0</v>
      </c>
      <c r="J3513" t="str">
        <f t="shared" si="689"/>
        <v>91</v>
      </c>
      <c r="K3513">
        <v>20181116</v>
      </c>
      <c r="L3513" t="str">
        <f t="shared" si="684"/>
        <v>074678</v>
      </c>
      <c r="M3513" t="str">
        <f t="shared" si="685"/>
        <v>27896</v>
      </c>
      <c r="N3513" t="s">
        <v>1490</v>
      </c>
      <c r="O3513" s="1">
        <v>8809.0499999999993</v>
      </c>
      <c r="P3513">
        <v>20181115</v>
      </c>
      <c r="Q3513" t="s">
        <v>2739</v>
      </c>
      <c r="R3513" t="s">
        <v>2735</v>
      </c>
      <c r="S3513" t="s">
        <v>1615</v>
      </c>
      <c r="T3513" t="s">
        <v>46</v>
      </c>
    </row>
    <row r="3514" spans="1:20" x14ac:dyDescent="0.25">
      <c r="A3514">
        <v>9</v>
      </c>
      <c r="B3514">
        <v>199</v>
      </c>
      <c r="C3514" t="str">
        <f t="shared" si="687"/>
        <v>53</v>
      </c>
      <c r="D3514">
        <v>6239</v>
      </c>
      <c r="E3514" t="str">
        <f t="shared" si="688"/>
        <v>00</v>
      </c>
      <c r="F3514" t="str">
        <f>"726"</f>
        <v>726</v>
      </c>
      <c r="G3514">
        <v>9</v>
      </c>
      <c r="H3514" t="str">
        <f t="shared" si="686"/>
        <v>99</v>
      </c>
      <c r="I3514" t="str">
        <f t="shared" si="680"/>
        <v>0</v>
      </c>
      <c r="J3514" t="str">
        <f t="shared" si="689"/>
        <v>91</v>
      </c>
      <c r="K3514">
        <v>20181116</v>
      </c>
      <c r="L3514" t="str">
        <f t="shared" si="684"/>
        <v>074678</v>
      </c>
      <c r="M3514" t="str">
        <f t="shared" si="685"/>
        <v>27896</v>
      </c>
      <c r="N3514" t="s">
        <v>1490</v>
      </c>
      <c r="O3514" s="1">
        <v>18424.96</v>
      </c>
      <c r="P3514">
        <v>20181115</v>
      </c>
      <c r="Q3514" t="s">
        <v>2740</v>
      </c>
      <c r="R3514" t="s">
        <v>2741</v>
      </c>
      <c r="S3514" t="s">
        <v>1615</v>
      </c>
      <c r="T3514" t="s">
        <v>2608</v>
      </c>
    </row>
    <row r="3515" spans="1:20" x14ac:dyDescent="0.25">
      <c r="A3515">
        <v>9</v>
      </c>
      <c r="B3515">
        <v>199</v>
      </c>
      <c r="C3515" t="str">
        <f t="shared" si="687"/>
        <v>53</v>
      </c>
      <c r="D3515">
        <v>6239</v>
      </c>
      <c r="E3515" t="str">
        <f t="shared" si="688"/>
        <v>00</v>
      </c>
      <c r="F3515" t="str">
        <f>"726"</f>
        <v>726</v>
      </c>
      <c r="G3515">
        <v>9</v>
      </c>
      <c r="H3515" t="str">
        <f t="shared" si="686"/>
        <v>99</v>
      </c>
      <c r="I3515" t="str">
        <f t="shared" si="680"/>
        <v>0</v>
      </c>
      <c r="J3515" t="str">
        <f t="shared" si="689"/>
        <v>91</v>
      </c>
      <c r="K3515">
        <v>20181116</v>
      </c>
      <c r="L3515" t="str">
        <f t="shared" si="684"/>
        <v>074678</v>
      </c>
      <c r="M3515" t="str">
        <f t="shared" si="685"/>
        <v>27896</v>
      </c>
      <c r="N3515" t="s">
        <v>1490</v>
      </c>
      <c r="O3515" s="1">
        <v>6298.56</v>
      </c>
      <c r="P3515">
        <v>20181115</v>
      </c>
      <c r="Q3515" t="s">
        <v>2740</v>
      </c>
      <c r="R3515" t="s">
        <v>2742</v>
      </c>
      <c r="S3515" t="s">
        <v>1615</v>
      </c>
      <c r="T3515" t="s">
        <v>2608</v>
      </c>
    </row>
    <row r="3516" spans="1:20" x14ac:dyDescent="0.25">
      <c r="A3516">
        <v>9</v>
      </c>
      <c r="B3516">
        <v>199</v>
      </c>
      <c r="C3516" t="str">
        <f>"36"</f>
        <v>36</v>
      </c>
      <c r="D3516">
        <v>6412</v>
      </c>
      <c r="E3516" t="str">
        <f>"8S"</f>
        <v>8S</v>
      </c>
      <c r="F3516" t="str">
        <f>"001"</f>
        <v>001</v>
      </c>
      <c r="G3516">
        <v>9</v>
      </c>
      <c r="H3516" t="str">
        <f t="shared" si="686"/>
        <v>99</v>
      </c>
      <c r="I3516" t="str">
        <f t="shared" si="680"/>
        <v>0</v>
      </c>
      <c r="J3516" t="str">
        <f>"01"</f>
        <v>01</v>
      </c>
      <c r="K3516">
        <v>20181116</v>
      </c>
      <c r="L3516" t="str">
        <f>"074679"</f>
        <v>074679</v>
      </c>
      <c r="M3516" t="str">
        <f>"28644"</f>
        <v>28644</v>
      </c>
      <c r="N3516" t="s">
        <v>2743</v>
      </c>
      <c r="O3516">
        <v>891.25</v>
      </c>
      <c r="P3516">
        <v>20181115</v>
      </c>
      <c r="Q3516" t="s">
        <v>1625</v>
      </c>
      <c r="R3516" t="s">
        <v>2744</v>
      </c>
      <c r="S3516" t="s">
        <v>1615</v>
      </c>
      <c r="T3516" t="s">
        <v>301</v>
      </c>
    </row>
    <row r="3517" spans="1:20" x14ac:dyDescent="0.25">
      <c r="A3517">
        <v>9</v>
      </c>
      <c r="B3517">
        <v>199</v>
      </c>
      <c r="C3517" t="str">
        <f t="shared" ref="C3517:C3524" si="690">"51"</f>
        <v>51</v>
      </c>
      <c r="D3517">
        <v>6249</v>
      </c>
      <c r="E3517" t="str">
        <f>"M8"</f>
        <v>M8</v>
      </c>
      <c r="F3517" t="str">
        <f t="shared" ref="F3517:F3524" si="691">"936"</f>
        <v>936</v>
      </c>
      <c r="G3517">
        <v>9</v>
      </c>
      <c r="H3517" t="str">
        <f t="shared" si="686"/>
        <v>99</v>
      </c>
      <c r="I3517" t="str">
        <f t="shared" si="680"/>
        <v>0</v>
      </c>
      <c r="J3517" t="str">
        <f t="shared" ref="J3517:J3524" si="692">"81"</f>
        <v>81</v>
      </c>
      <c r="K3517">
        <v>20181116</v>
      </c>
      <c r="L3517" t="str">
        <f>"074680"</f>
        <v>074680</v>
      </c>
      <c r="M3517" t="str">
        <f>"29500"</f>
        <v>29500</v>
      </c>
      <c r="N3517" t="s">
        <v>2059</v>
      </c>
      <c r="O3517">
        <v>455</v>
      </c>
      <c r="P3517">
        <v>20181115</v>
      </c>
      <c r="Q3517" t="s">
        <v>2096</v>
      </c>
      <c r="R3517" t="s">
        <v>2745</v>
      </c>
      <c r="S3517" t="s">
        <v>1615</v>
      </c>
      <c r="T3517" t="s">
        <v>1713</v>
      </c>
    </row>
    <row r="3518" spans="1:20" x14ac:dyDescent="0.25">
      <c r="A3518">
        <v>9</v>
      </c>
      <c r="B3518">
        <v>199</v>
      </c>
      <c r="C3518" t="str">
        <f t="shared" si="690"/>
        <v>51</v>
      </c>
      <c r="D3518">
        <v>6319</v>
      </c>
      <c r="E3518" t="str">
        <f t="shared" ref="E3518:E3524" si="693">"MC"</f>
        <v>MC</v>
      </c>
      <c r="F3518" t="str">
        <f t="shared" si="691"/>
        <v>936</v>
      </c>
      <c r="G3518">
        <v>9</v>
      </c>
      <c r="H3518" t="str">
        <f t="shared" si="686"/>
        <v>99</v>
      </c>
      <c r="I3518" t="str">
        <f t="shared" si="680"/>
        <v>0</v>
      </c>
      <c r="J3518" t="str">
        <f t="shared" si="692"/>
        <v>81</v>
      </c>
      <c r="K3518">
        <v>20181116</v>
      </c>
      <c r="L3518" t="str">
        <f>"074680"</f>
        <v>074680</v>
      </c>
      <c r="M3518" t="str">
        <f>"29500"</f>
        <v>29500</v>
      </c>
      <c r="N3518" t="s">
        <v>2059</v>
      </c>
      <c r="O3518">
        <v>77.52</v>
      </c>
      <c r="P3518">
        <v>20181115</v>
      </c>
      <c r="Q3518" t="s">
        <v>2060</v>
      </c>
      <c r="R3518" t="s">
        <v>2746</v>
      </c>
      <c r="S3518" t="s">
        <v>1615</v>
      </c>
      <c r="T3518" t="s">
        <v>1713</v>
      </c>
    </row>
    <row r="3519" spans="1:20" x14ac:dyDescent="0.25">
      <c r="A3519">
        <v>9</v>
      </c>
      <c r="B3519">
        <v>199</v>
      </c>
      <c r="C3519" t="str">
        <f t="shared" si="690"/>
        <v>51</v>
      </c>
      <c r="D3519">
        <v>6319</v>
      </c>
      <c r="E3519" t="str">
        <f t="shared" si="693"/>
        <v>MC</v>
      </c>
      <c r="F3519" t="str">
        <f t="shared" si="691"/>
        <v>936</v>
      </c>
      <c r="G3519">
        <v>9</v>
      </c>
      <c r="H3519" t="str">
        <f t="shared" si="686"/>
        <v>99</v>
      </c>
      <c r="I3519" t="str">
        <f t="shared" si="680"/>
        <v>0</v>
      </c>
      <c r="J3519" t="str">
        <f t="shared" si="692"/>
        <v>81</v>
      </c>
      <c r="K3519">
        <v>20181116</v>
      </c>
      <c r="L3519" t="str">
        <f>"074680"</f>
        <v>074680</v>
      </c>
      <c r="M3519" t="str">
        <f>"29500"</f>
        <v>29500</v>
      </c>
      <c r="N3519" t="s">
        <v>2059</v>
      </c>
      <c r="O3519">
        <v>735.6</v>
      </c>
      <c r="P3519">
        <v>20181115</v>
      </c>
      <c r="Q3519" t="s">
        <v>2060</v>
      </c>
      <c r="R3519" t="s">
        <v>2747</v>
      </c>
      <c r="S3519" t="s">
        <v>1615</v>
      </c>
      <c r="T3519" t="s">
        <v>1713</v>
      </c>
    </row>
    <row r="3520" spans="1:20" x14ac:dyDescent="0.25">
      <c r="A3520">
        <v>9</v>
      </c>
      <c r="B3520">
        <v>199</v>
      </c>
      <c r="C3520" t="str">
        <f t="shared" si="690"/>
        <v>51</v>
      </c>
      <c r="D3520">
        <v>6319</v>
      </c>
      <c r="E3520" t="str">
        <f t="shared" si="693"/>
        <v>MC</v>
      </c>
      <c r="F3520" t="str">
        <f t="shared" si="691"/>
        <v>936</v>
      </c>
      <c r="G3520">
        <v>9</v>
      </c>
      <c r="H3520" t="str">
        <f t="shared" si="686"/>
        <v>99</v>
      </c>
      <c r="I3520" t="str">
        <f t="shared" si="680"/>
        <v>0</v>
      </c>
      <c r="J3520" t="str">
        <f t="shared" si="692"/>
        <v>81</v>
      </c>
      <c r="K3520">
        <v>20181116</v>
      </c>
      <c r="L3520" t="str">
        <f>"074680"</f>
        <v>074680</v>
      </c>
      <c r="M3520" t="str">
        <f>"29500"</f>
        <v>29500</v>
      </c>
      <c r="N3520" t="s">
        <v>2059</v>
      </c>
      <c r="O3520">
        <v>20</v>
      </c>
      <c r="P3520">
        <v>20181115</v>
      </c>
      <c r="Q3520" t="s">
        <v>2060</v>
      </c>
      <c r="R3520" t="s">
        <v>2748</v>
      </c>
      <c r="S3520" t="s">
        <v>1615</v>
      </c>
      <c r="T3520" t="s">
        <v>1713</v>
      </c>
    </row>
    <row r="3521" spans="1:20" x14ac:dyDescent="0.25">
      <c r="A3521">
        <v>9</v>
      </c>
      <c r="B3521">
        <v>199</v>
      </c>
      <c r="C3521" t="str">
        <f t="shared" si="690"/>
        <v>51</v>
      </c>
      <c r="D3521">
        <v>6319</v>
      </c>
      <c r="E3521" t="str">
        <f t="shared" si="693"/>
        <v>MC</v>
      </c>
      <c r="F3521" t="str">
        <f t="shared" si="691"/>
        <v>936</v>
      </c>
      <c r="G3521">
        <v>9</v>
      </c>
      <c r="H3521" t="str">
        <f t="shared" si="686"/>
        <v>99</v>
      </c>
      <c r="I3521" t="str">
        <f t="shared" si="680"/>
        <v>0</v>
      </c>
      <c r="J3521" t="str">
        <f t="shared" si="692"/>
        <v>81</v>
      </c>
      <c r="K3521">
        <v>20181116</v>
      </c>
      <c r="L3521" t="str">
        <f>"074680"</f>
        <v>074680</v>
      </c>
      <c r="M3521" t="str">
        <f>"29500"</f>
        <v>29500</v>
      </c>
      <c r="N3521" t="s">
        <v>2059</v>
      </c>
      <c r="O3521">
        <v>512.6</v>
      </c>
      <c r="P3521">
        <v>20181115</v>
      </c>
      <c r="Q3521" t="s">
        <v>2060</v>
      </c>
      <c r="R3521" t="s">
        <v>2749</v>
      </c>
      <c r="S3521" t="s">
        <v>1615</v>
      </c>
      <c r="T3521" t="s">
        <v>1713</v>
      </c>
    </row>
    <row r="3522" spans="1:20" x14ac:dyDescent="0.25">
      <c r="A3522">
        <v>9</v>
      </c>
      <c r="B3522">
        <v>199</v>
      </c>
      <c r="C3522" t="str">
        <f t="shared" si="690"/>
        <v>51</v>
      </c>
      <c r="D3522">
        <v>6319</v>
      </c>
      <c r="E3522" t="str">
        <f t="shared" si="693"/>
        <v>MC</v>
      </c>
      <c r="F3522" t="str">
        <f t="shared" si="691"/>
        <v>936</v>
      </c>
      <c r="G3522">
        <v>9</v>
      </c>
      <c r="H3522" t="str">
        <f t="shared" si="686"/>
        <v>99</v>
      </c>
      <c r="I3522" t="str">
        <f t="shared" si="680"/>
        <v>0</v>
      </c>
      <c r="J3522" t="str">
        <f t="shared" si="692"/>
        <v>81</v>
      </c>
      <c r="K3522">
        <v>20181116</v>
      </c>
      <c r="L3522" t="str">
        <f>"074681"</f>
        <v>074681</v>
      </c>
      <c r="M3522" t="str">
        <f>"29548"</f>
        <v>29548</v>
      </c>
      <c r="N3522" t="s">
        <v>2064</v>
      </c>
      <c r="O3522">
        <v>268.44</v>
      </c>
      <c r="P3522">
        <v>20181115</v>
      </c>
      <c r="Q3522" t="s">
        <v>2060</v>
      </c>
      <c r="R3522" t="s">
        <v>2750</v>
      </c>
      <c r="S3522" t="s">
        <v>1615</v>
      </c>
      <c r="T3522" t="s">
        <v>1713</v>
      </c>
    </row>
    <row r="3523" spans="1:20" x14ac:dyDescent="0.25">
      <c r="A3523">
        <v>9</v>
      </c>
      <c r="B3523">
        <v>199</v>
      </c>
      <c r="C3523" t="str">
        <f t="shared" si="690"/>
        <v>51</v>
      </c>
      <c r="D3523">
        <v>6319</v>
      </c>
      <c r="E3523" t="str">
        <f t="shared" si="693"/>
        <v>MC</v>
      </c>
      <c r="F3523" t="str">
        <f t="shared" si="691"/>
        <v>936</v>
      </c>
      <c r="G3523">
        <v>9</v>
      </c>
      <c r="H3523" t="str">
        <f t="shared" si="686"/>
        <v>99</v>
      </c>
      <c r="I3523" t="str">
        <f t="shared" si="680"/>
        <v>0</v>
      </c>
      <c r="J3523" t="str">
        <f t="shared" si="692"/>
        <v>81</v>
      </c>
      <c r="K3523">
        <v>20181116</v>
      </c>
      <c r="L3523" t="str">
        <f>"074681"</f>
        <v>074681</v>
      </c>
      <c r="M3523" t="str">
        <f>"29548"</f>
        <v>29548</v>
      </c>
      <c r="N3523" t="s">
        <v>2064</v>
      </c>
      <c r="O3523">
        <v>120.15</v>
      </c>
      <c r="P3523">
        <v>20181115</v>
      </c>
      <c r="Q3523" t="s">
        <v>2060</v>
      </c>
      <c r="R3523" t="s">
        <v>2751</v>
      </c>
      <c r="S3523" t="s">
        <v>1615</v>
      </c>
      <c r="T3523" t="s">
        <v>1713</v>
      </c>
    </row>
    <row r="3524" spans="1:20" x14ac:dyDescent="0.25">
      <c r="A3524">
        <v>9</v>
      </c>
      <c r="B3524">
        <v>199</v>
      </c>
      <c r="C3524" t="str">
        <f t="shared" si="690"/>
        <v>51</v>
      </c>
      <c r="D3524">
        <v>6319</v>
      </c>
      <c r="E3524" t="str">
        <f t="shared" si="693"/>
        <v>MC</v>
      </c>
      <c r="F3524" t="str">
        <f t="shared" si="691"/>
        <v>936</v>
      </c>
      <c r="G3524">
        <v>9</v>
      </c>
      <c r="H3524" t="str">
        <f t="shared" si="686"/>
        <v>99</v>
      </c>
      <c r="I3524" t="str">
        <f t="shared" si="680"/>
        <v>0</v>
      </c>
      <c r="J3524" t="str">
        <f t="shared" si="692"/>
        <v>81</v>
      </c>
      <c r="K3524">
        <v>20181116</v>
      </c>
      <c r="L3524" t="str">
        <f>"074681"</f>
        <v>074681</v>
      </c>
      <c r="M3524" t="str">
        <f>"29548"</f>
        <v>29548</v>
      </c>
      <c r="N3524" t="s">
        <v>2064</v>
      </c>
      <c r="O3524">
        <v>124.3</v>
      </c>
      <c r="P3524">
        <v>20181115</v>
      </c>
      <c r="Q3524" t="s">
        <v>2060</v>
      </c>
      <c r="R3524" t="s">
        <v>2752</v>
      </c>
      <c r="S3524" t="s">
        <v>1615</v>
      </c>
      <c r="T3524" t="s">
        <v>1713</v>
      </c>
    </row>
    <row r="3525" spans="1:20" x14ac:dyDescent="0.25">
      <c r="A3525">
        <v>9</v>
      </c>
      <c r="B3525">
        <v>199</v>
      </c>
      <c r="C3525" t="str">
        <f>"11"</f>
        <v>11</v>
      </c>
      <c r="D3525">
        <v>6399</v>
      </c>
      <c r="E3525" t="str">
        <f>"V8"</f>
        <v>V8</v>
      </c>
      <c r="F3525" t="str">
        <f>"001"</f>
        <v>001</v>
      </c>
      <c r="G3525">
        <v>9</v>
      </c>
      <c r="H3525" t="str">
        <f>"22"</f>
        <v>22</v>
      </c>
      <c r="I3525" t="str">
        <f t="shared" si="680"/>
        <v>0</v>
      </c>
      <c r="J3525" t="str">
        <f>"22"</f>
        <v>22</v>
      </c>
      <c r="K3525">
        <v>20181116</v>
      </c>
      <c r="L3525" t="str">
        <f>"074682"</f>
        <v>074682</v>
      </c>
      <c r="M3525" t="str">
        <f>"29624"</f>
        <v>29624</v>
      </c>
      <c r="N3525" t="s">
        <v>2753</v>
      </c>
      <c r="O3525">
        <v>191.1</v>
      </c>
      <c r="P3525">
        <v>20181115</v>
      </c>
      <c r="Q3525" t="s">
        <v>2001</v>
      </c>
      <c r="R3525" t="s">
        <v>2754</v>
      </c>
      <c r="S3525" t="s">
        <v>1615</v>
      </c>
      <c r="T3525" t="s">
        <v>301</v>
      </c>
    </row>
    <row r="3526" spans="1:20" x14ac:dyDescent="0.25">
      <c r="A3526">
        <v>9</v>
      </c>
      <c r="B3526">
        <v>199</v>
      </c>
      <c r="C3526" t="str">
        <f>"00"</f>
        <v>00</v>
      </c>
      <c r="D3526">
        <v>1312</v>
      </c>
      <c r="E3526" t="str">
        <f>"00"</f>
        <v>00</v>
      </c>
      <c r="F3526" t="str">
        <f>"000"</f>
        <v>000</v>
      </c>
      <c r="G3526">
        <v>9</v>
      </c>
      <c r="H3526" t="str">
        <f>"00"</f>
        <v>00</v>
      </c>
      <c r="I3526" t="str">
        <f t="shared" si="680"/>
        <v>0</v>
      </c>
      <c r="J3526" t="str">
        <f>"00"</f>
        <v>00</v>
      </c>
      <c r="K3526">
        <v>20181116</v>
      </c>
      <c r="L3526" t="str">
        <f>"074683"</f>
        <v>074683</v>
      </c>
      <c r="M3526" t="str">
        <f>"29628"</f>
        <v>29628</v>
      </c>
      <c r="N3526" t="s">
        <v>2071</v>
      </c>
      <c r="O3526">
        <v>273.89999999999998</v>
      </c>
      <c r="P3526">
        <v>20181115</v>
      </c>
      <c r="Q3526" t="s">
        <v>1860</v>
      </c>
      <c r="R3526" t="s">
        <v>2755</v>
      </c>
      <c r="S3526" t="s">
        <v>1615</v>
      </c>
      <c r="T3526" t="s">
        <v>296</v>
      </c>
    </row>
    <row r="3527" spans="1:20" x14ac:dyDescent="0.25">
      <c r="A3527">
        <v>9</v>
      </c>
      <c r="B3527">
        <v>199</v>
      </c>
      <c r="C3527" t="str">
        <f t="shared" ref="C3527:C3533" si="694">"11"</f>
        <v>11</v>
      </c>
      <c r="D3527">
        <v>6399</v>
      </c>
      <c r="E3527" t="str">
        <f>"AP"</f>
        <v>AP</v>
      </c>
      <c r="F3527" t="str">
        <f t="shared" ref="F3527:F3533" si="695">"001"</f>
        <v>001</v>
      </c>
      <c r="G3527">
        <v>9</v>
      </c>
      <c r="H3527" t="str">
        <f>"31"</f>
        <v>31</v>
      </c>
      <c r="I3527" t="str">
        <f t="shared" si="680"/>
        <v>0</v>
      </c>
      <c r="J3527" t="str">
        <f>"34"</f>
        <v>34</v>
      </c>
      <c r="K3527">
        <v>20181116</v>
      </c>
      <c r="L3527" t="str">
        <f>"074684"</f>
        <v>074684</v>
      </c>
      <c r="M3527" t="str">
        <f>"30132"</f>
        <v>30132</v>
      </c>
      <c r="N3527" t="s">
        <v>2756</v>
      </c>
      <c r="O3527">
        <v>428.63</v>
      </c>
      <c r="P3527">
        <v>20181115</v>
      </c>
      <c r="Q3527" t="s">
        <v>1677</v>
      </c>
      <c r="R3527" t="s">
        <v>2757</v>
      </c>
      <c r="S3527" t="s">
        <v>1615</v>
      </c>
      <c r="T3527" t="s">
        <v>301</v>
      </c>
    </row>
    <row r="3528" spans="1:20" x14ac:dyDescent="0.25">
      <c r="A3528">
        <v>9</v>
      </c>
      <c r="B3528">
        <v>199</v>
      </c>
      <c r="C3528" t="str">
        <f t="shared" si="694"/>
        <v>11</v>
      </c>
      <c r="D3528">
        <v>6399</v>
      </c>
      <c r="E3528" t="str">
        <f t="shared" ref="E3528:E3533" si="696">"VJ"</f>
        <v>VJ</v>
      </c>
      <c r="F3528" t="str">
        <f t="shared" si="695"/>
        <v>001</v>
      </c>
      <c r="G3528">
        <v>9</v>
      </c>
      <c r="H3528" t="str">
        <f t="shared" ref="H3528:H3533" si="697">"22"</f>
        <v>22</v>
      </c>
      <c r="I3528" t="str">
        <f t="shared" si="680"/>
        <v>0</v>
      </c>
      <c r="J3528" t="str">
        <f t="shared" ref="J3528:J3533" si="698">"22"</f>
        <v>22</v>
      </c>
      <c r="K3528">
        <v>20181116</v>
      </c>
      <c r="L3528" t="str">
        <f t="shared" ref="L3528:L3533" si="699">"074689"</f>
        <v>074689</v>
      </c>
      <c r="M3528" t="str">
        <f t="shared" ref="M3528:M3533" si="700">"00544"</f>
        <v>00544</v>
      </c>
      <c r="N3528" t="s">
        <v>2758</v>
      </c>
      <c r="O3528">
        <v>120.48</v>
      </c>
      <c r="P3528">
        <v>20181115</v>
      </c>
      <c r="Q3528" t="s">
        <v>2759</v>
      </c>
      <c r="R3528" t="s">
        <v>2760</v>
      </c>
      <c r="S3528" t="s">
        <v>1615</v>
      </c>
      <c r="T3528" t="s">
        <v>301</v>
      </c>
    </row>
    <row r="3529" spans="1:20" x14ac:dyDescent="0.25">
      <c r="A3529">
        <v>9</v>
      </c>
      <c r="B3529">
        <v>199</v>
      </c>
      <c r="C3529" t="str">
        <f t="shared" si="694"/>
        <v>11</v>
      </c>
      <c r="D3529">
        <v>6399</v>
      </c>
      <c r="E3529" t="str">
        <f t="shared" si="696"/>
        <v>VJ</v>
      </c>
      <c r="F3529" t="str">
        <f t="shared" si="695"/>
        <v>001</v>
      </c>
      <c r="G3529">
        <v>9</v>
      </c>
      <c r="H3529" t="str">
        <f t="shared" si="697"/>
        <v>22</v>
      </c>
      <c r="I3529" t="str">
        <f t="shared" si="680"/>
        <v>0</v>
      </c>
      <c r="J3529" t="str">
        <f t="shared" si="698"/>
        <v>22</v>
      </c>
      <c r="K3529">
        <v>20181116</v>
      </c>
      <c r="L3529" t="str">
        <f t="shared" si="699"/>
        <v>074689</v>
      </c>
      <c r="M3529" t="str">
        <f t="shared" si="700"/>
        <v>00544</v>
      </c>
      <c r="N3529" t="s">
        <v>2758</v>
      </c>
      <c r="O3529" s="1">
        <v>1781.65</v>
      </c>
      <c r="P3529">
        <v>20181115</v>
      </c>
      <c r="Q3529" t="s">
        <v>2759</v>
      </c>
      <c r="R3529" t="s">
        <v>2761</v>
      </c>
      <c r="S3529" t="s">
        <v>1615</v>
      </c>
      <c r="T3529" t="s">
        <v>301</v>
      </c>
    </row>
    <row r="3530" spans="1:20" x14ac:dyDescent="0.25">
      <c r="A3530">
        <v>9</v>
      </c>
      <c r="B3530">
        <v>199</v>
      </c>
      <c r="C3530" t="str">
        <f t="shared" si="694"/>
        <v>11</v>
      </c>
      <c r="D3530">
        <v>6399</v>
      </c>
      <c r="E3530" t="str">
        <f t="shared" si="696"/>
        <v>VJ</v>
      </c>
      <c r="F3530" t="str">
        <f t="shared" si="695"/>
        <v>001</v>
      </c>
      <c r="G3530">
        <v>9</v>
      </c>
      <c r="H3530" t="str">
        <f t="shared" si="697"/>
        <v>22</v>
      </c>
      <c r="I3530" t="str">
        <f t="shared" si="680"/>
        <v>0</v>
      </c>
      <c r="J3530" t="str">
        <f t="shared" si="698"/>
        <v>22</v>
      </c>
      <c r="K3530">
        <v>20181116</v>
      </c>
      <c r="L3530" t="str">
        <f t="shared" si="699"/>
        <v>074689</v>
      </c>
      <c r="M3530" t="str">
        <f t="shared" si="700"/>
        <v>00544</v>
      </c>
      <c r="N3530" t="s">
        <v>2758</v>
      </c>
      <c r="O3530">
        <v>70.55</v>
      </c>
      <c r="P3530">
        <v>20181115</v>
      </c>
      <c r="Q3530" t="s">
        <v>2759</v>
      </c>
      <c r="R3530" t="s">
        <v>2762</v>
      </c>
      <c r="S3530" t="s">
        <v>1615</v>
      </c>
      <c r="T3530" t="s">
        <v>301</v>
      </c>
    </row>
    <row r="3531" spans="1:20" x14ac:dyDescent="0.25">
      <c r="A3531">
        <v>9</v>
      </c>
      <c r="B3531">
        <v>199</v>
      </c>
      <c r="C3531" t="str">
        <f t="shared" si="694"/>
        <v>11</v>
      </c>
      <c r="D3531">
        <v>6399</v>
      </c>
      <c r="E3531" t="str">
        <f t="shared" si="696"/>
        <v>VJ</v>
      </c>
      <c r="F3531" t="str">
        <f t="shared" si="695"/>
        <v>001</v>
      </c>
      <c r="G3531">
        <v>9</v>
      </c>
      <c r="H3531" t="str">
        <f t="shared" si="697"/>
        <v>22</v>
      </c>
      <c r="I3531" t="str">
        <f t="shared" si="680"/>
        <v>0</v>
      </c>
      <c r="J3531" t="str">
        <f t="shared" si="698"/>
        <v>22</v>
      </c>
      <c r="K3531">
        <v>20181116</v>
      </c>
      <c r="L3531" t="str">
        <f t="shared" si="699"/>
        <v>074689</v>
      </c>
      <c r="M3531" t="str">
        <f t="shared" si="700"/>
        <v>00544</v>
      </c>
      <c r="N3531" t="s">
        <v>2758</v>
      </c>
      <c r="O3531">
        <v>201.57</v>
      </c>
      <c r="P3531">
        <v>20181115</v>
      </c>
      <c r="Q3531" t="s">
        <v>2759</v>
      </c>
      <c r="R3531" t="s">
        <v>2763</v>
      </c>
      <c r="S3531" t="s">
        <v>1615</v>
      </c>
      <c r="T3531" t="s">
        <v>301</v>
      </c>
    </row>
    <row r="3532" spans="1:20" x14ac:dyDescent="0.25">
      <c r="A3532">
        <v>9</v>
      </c>
      <c r="B3532">
        <v>199</v>
      </c>
      <c r="C3532" t="str">
        <f t="shared" si="694"/>
        <v>11</v>
      </c>
      <c r="D3532">
        <v>6399</v>
      </c>
      <c r="E3532" t="str">
        <f t="shared" si="696"/>
        <v>VJ</v>
      </c>
      <c r="F3532" t="str">
        <f t="shared" si="695"/>
        <v>001</v>
      </c>
      <c r="G3532">
        <v>9</v>
      </c>
      <c r="H3532" t="str">
        <f t="shared" si="697"/>
        <v>22</v>
      </c>
      <c r="I3532" t="str">
        <f t="shared" si="680"/>
        <v>0</v>
      </c>
      <c r="J3532" t="str">
        <f t="shared" si="698"/>
        <v>22</v>
      </c>
      <c r="K3532">
        <v>20181116</v>
      </c>
      <c r="L3532" t="str">
        <f t="shared" si="699"/>
        <v>074689</v>
      </c>
      <c r="M3532" t="str">
        <f t="shared" si="700"/>
        <v>00544</v>
      </c>
      <c r="N3532" t="s">
        <v>2758</v>
      </c>
      <c r="O3532">
        <v>442.5</v>
      </c>
      <c r="P3532">
        <v>20181115</v>
      </c>
      <c r="Q3532" t="s">
        <v>2759</v>
      </c>
      <c r="R3532" t="s">
        <v>2764</v>
      </c>
      <c r="S3532" t="s">
        <v>1615</v>
      </c>
      <c r="T3532" t="s">
        <v>301</v>
      </c>
    </row>
    <row r="3533" spans="1:20" x14ac:dyDescent="0.25">
      <c r="A3533">
        <v>9</v>
      </c>
      <c r="B3533">
        <v>199</v>
      </c>
      <c r="C3533" t="str">
        <f t="shared" si="694"/>
        <v>11</v>
      </c>
      <c r="D3533">
        <v>6399</v>
      </c>
      <c r="E3533" t="str">
        <f t="shared" si="696"/>
        <v>VJ</v>
      </c>
      <c r="F3533" t="str">
        <f t="shared" si="695"/>
        <v>001</v>
      </c>
      <c r="G3533">
        <v>9</v>
      </c>
      <c r="H3533" t="str">
        <f t="shared" si="697"/>
        <v>22</v>
      </c>
      <c r="I3533" t="str">
        <f t="shared" si="680"/>
        <v>0</v>
      </c>
      <c r="J3533" t="str">
        <f t="shared" si="698"/>
        <v>22</v>
      </c>
      <c r="K3533">
        <v>20181116</v>
      </c>
      <c r="L3533" t="str">
        <f t="shared" si="699"/>
        <v>074689</v>
      </c>
      <c r="M3533" t="str">
        <f t="shared" si="700"/>
        <v>00544</v>
      </c>
      <c r="N3533" t="s">
        <v>2758</v>
      </c>
      <c r="O3533">
        <v>91.37</v>
      </c>
      <c r="P3533">
        <v>20181115</v>
      </c>
      <c r="Q3533" t="s">
        <v>2759</v>
      </c>
      <c r="R3533" t="s">
        <v>2765</v>
      </c>
      <c r="S3533" t="s">
        <v>1615</v>
      </c>
      <c r="T3533" t="s">
        <v>301</v>
      </c>
    </row>
    <row r="3534" spans="1:20" x14ac:dyDescent="0.25">
      <c r="A3534">
        <v>9</v>
      </c>
      <c r="B3534">
        <v>199</v>
      </c>
      <c r="C3534" t="str">
        <f>"41"</f>
        <v>41</v>
      </c>
      <c r="D3534">
        <v>6411</v>
      </c>
      <c r="E3534" t="str">
        <f>"LK"</f>
        <v>LK</v>
      </c>
      <c r="F3534" t="str">
        <f>"933"</f>
        <v>933</v>
      </c>
      <c r="G3534">
        <v>9</v>
      </c>
      <c r="H3534" t="str">
        <f t="shared" ref="H3534:H3544" si="701">"99"</f>
        <v>99</v>
      </c>
      <c r="I3534" t="str">
        <f t="shared" si="680"/>
        <v>0</v>
      </c>
      <c r="J3534" t="str">
        <f>"85"</f>
        <v>85</v>
      </c>
      <c r="K3534">
        <v>20181116</v>
      </c>
      <c r="L3534" t="str">
        <f>"074692"</f>
        <v>074692</v>
      </c>
      <c r="M3534" t="str">
        <f>"00041"</f>
        <v>00041</v>
      </c>
      <c r="N3534" t="s">
        <v>2766</v>
      </c>
      <c r="O3534">
        <v>134.94999999999999</v>
      </c>
      <c r="P3534">
        <v>20181115</v>
      </c>
      <c r="Q3534" t="s">
        <v>2767</v>
      </c>
      <c r="R3534" t="s">
        <v>2768</v>
      </c>
      <c r="S3534" t="s">
        <v>1615</v>
      </c>
      <c r="T3534" t="s">
        <v>1643</v>
      </c>
    </row>
    <row r="3535" spans="1:20" x14ac:dyDescent="0.25">
      <c r="A3535">
        <v>9</v>
      </c>
      <c r="B3535">
        <v>199</v>
      </c>
      <c r="C3535" t="str">
        <f>"51"</f>
        <v>51</v>
      </c>
      <c r="D3535">
        <v>6319</v>
      </c>
      <c r="E3535" t="str">
        <f>"M3"</f>
        <v>M3</v>
      </c>
      <c r="F3535" t="str">
        <f>"936"</f>
        <v>936</v>
      </c>
      <c r="G3535">
        <v>9</v>
      </c>
      <c r="H3535" t="str">
        <f t="shared" si="701"/>
        <v>99</v>
      </c>
      <c r="I3535" t="str">
        <f t="shared" si="680"/>
        <v>0</v>
      </c>
      <c r="J3535" t="str">
        <f>"81"</f>
        <v>81</v>
      </c>
      <c r="K3535">
        <v>20181116</v>
      </c>
      <c r="L3535" t="str">
        <f>"074693"</f>
        <v>074693</v>
      </c>
      <c r="M3535" t="str">
        <f>"00125"</f>
        <v>00125</v>
      </c>
      <c r="N3535" t="s">
        <v>2245</v>
      </c>
      <c r="O3535">
        <v>219.48</v>
      </c>
      <c r="P3535">
        <v>20181115</v>
      </c>
      <c r="Q3535" t="s">
        <v>2246</v>
      </c>
      <c r="R3535" t="s">
        <v>2769</v>
      </c>
      <c r="S3535" t="s">
        <v>1615</v>
      </c>
      <c r="T3535" t="s">
        <v>1713</v>
      </c>
    </row>
    <row r="3536" spans="1:20" x14ac:dyDescent="0.25">
      <c r="A3536">
        <v>9</v>
      </c>
      <c r="B3536">
        <v>199</v>
      </c>
      <c r="C3536" t="str">
        <f>"51"</f>
        <v>51</v>
      </c>
      <c r="D3536">
        <v>6319</v>
      </c>
      <c r="E3536" t="str">
        <f>"M3"</f>
        <v>M3</v>
      </c>
      <c r="F3536" t="str">
        <f>"936"</f>
        <v>936</v>
      </c>
      <c r="G3536">
        <v>9</v>
      </c>
      <c r="H3536" t="str">
        <f t="shared" si="701"/>
        <v>99</v>
      </c>
      <c r="I3536" t="str">
        <f t="shared" si="680"/>
        <v>0</v>
      </c>
      <c r="J3536" t="str">
        <f>"81"</f>
        <v>81</v>
      </c>
      <c r="K3536">
        <v>20181116</v>
      </c>
      <c r="L3536" t="str">
        <f>"074693"</f>
        <v>074693</v>
      </c>
      <c r="M3536" t="str">
        <f>"00125"</f>
        <v>00125</v>
      </c>
      <c r="N3536" t="s">
        <v>2245</v>
      </c>
      <c r="O3536" s="1">
        <v>1051.8399999999999</v>
      </c>
      <c r="P3536">
        <v>20181115</v>
      </c>
      <c r="Q3536" t="s">
        <v>2246</v>
      </c>
      <c r="R3536" t="s">
        <v>2770</v>
      </c>
      <c r="S3536" t="s">
        <v>1615</v>
      </c>
      <c r="T3536" t="s">
        <v>1713</v>
      </c>
    </row>
    <row r="3537" spans="1:20" x14ac:dyDescent="0.25">
      <c r="A3537">
        <v>9</v>
      </c>
      <c r="B3537">
        <v>199</v>
      </c>
      <c r="C3537" t="str">
        <f>"51"</f>
        <v>51</v>
      </c>
      <c r="D3537">
        <v>6319</v>
      </c>
      <c r="E3537" t="str">
        <f>"M3"</f>
        <v>M3</v>
      </c>
      <c r="F3537" t="str">
        <f>"936"</f>
        <v>936</v>
      </c>
      <c r="G3537">
        <v>9</v>
      </c>
      <c r="H3537" t="str">
        <f t="shared" si="701"/>
        <v>99</v>
      </c>
      <c r="I3537" t="str">
        <f t="shared" si="680"/>
        <v>0</v>
      </c>
      <c r="J3537" t="str">
        <f>"81"</f>
        <v>81</v>
      </c>
      <c r="K3537">
        <v>20181116</v>
      </c>
      <c r="L3537" t="str">
        <f>"074693"</f>
        <v>074693</v>
      </c>
      <c r="M3537" t="str">
        <f>"00125"</f>
        <v>00125</v>
      </c>
      <c r="N3537" t="s">
        <v>2245</v>
      </c>
      <c r="O3537">
        <v>67.84</v>
      </c>
      <c r="P3537">
        <v>20181115</v>
      </c>
      <c r="Q3537" t="s">
        <v>2246</v>
      </c>
      <c r="R3537" t="s">
        <v>2771</v>
      </c>
      <c r="S3537" t="s">
        <v>1615</v>
      </c>
      <c r="T3537" t="s">
        <v>1713</v>
      </c>
    </row>
    <row r="3538" spans="1:20" x14ac:dyDescent="0.25">
      <c r="A3538">
        <v>9</v>
      </c>
      <c r="B3538">
        <v>199</v>
      </c>
      <c r="C3538" t="str">
        <f>"51"</f>
        <v>51</v>
      </c>
      <c r="D3538">
        <v>6254</v>
      </c>
      <c r="E3538" t="str">
        <f>"ME"</f>
        <v>ME</v>
      </c>
      <c r="F3538" t="str">
        <f>"936"</f>
        <v>936</v>
      </c>
      <c r="G3538">
        <v>9</v>
      </c>
      <c r="H3538" t="str">
        <f t="shared" si="701"/>
        <v>99</v>
      </c>
      <c r="I3538" t="str">
        <f>"1"</f>
        <v>1</v>
      </c>
      <c r="J3538" t="str">
        <f>"73"</f>
        <v>73</v>
      </c>
      <c r="K3538">
        <v>20181116</v>
      </c>
      <c r="L3538" t="str">
        <f>"074696"</f>
        <v>074696</v>
      </c>
      <c r="M3538" t="str">
        <f>"42194"</f>
        <v>42194</v>
      </c>
      <c r="N3538" t="s">
        <v>1736</v>
      </c>
      <c r="O3538" s="1">
        <v>75902.8</v>
      </c>
      <c r="P3538">
        <v>20181115</v>
      </c>
      <c r="Q3538" t="s">
        <v>1891</v>
      </c>
      <c r="R3538" t="s">
        <v>2772</v>
      </c>
      <c r="S3538" t="s">
        <v>1615</v>
      </c>
      <c r="T3538" t="s">
        <v>1713</v>
      </c>
    </row>
    <row r="3539" spans="1:20" x14ac:dyDescent="0.25">
      <c r="A3539">
        <v>9</v>
      </c>
      <c r="B3539">
        <v>199</v>
      </c>
      <c r="C3539" t="str">
        <f>"81"</f>
        <v>81</v>
      </c>
      <c r="D3539">
        <v>6629</v>
      </c>
      <c r="E3539" t="str">
        <f>"00"</f>
        <v>00</v>
      </c>
      <c r="F3539" t="str">
        <f>"101"</f>
        <v>101</v>
      </c>
      <c r="G3539">
        <v>9</v>
      </c>
      <c r="H3539" t="str">
        <f t="shared" si="701"/>
        <v>99</v>
      </c>
      <c r="I3539" t="str">
        <f>"0"</f>
        <v>0</v>
      </c>
      <c r="J3539" t="str">
        <f>"80"</f>
        <v>80</v>
      </c>
      <c r="K3539">
        <v>20181116</v>
      </c>
      <c r="L3539" t="str">
        <f>"074697"</f>
        <v>074697</v>
      </c>
      <c r="M3539" t="str">
        <f>"43532"</f>
        <v>43532</v>
      </c>
      <c r="N3539" t="s">
        <v>2261</v>
      </c>
      <c r="O3539" s="1">
        <v>15048</v>
      </c>
      <c r="P3539">
        <v>20181115</v>
      </c>
      <c r="Q3539" t="s">
        <v>2265</v>
      </c>
      <c r="R3539" t="s">
        <v>2773</v>
      </c>
      <c r="S3539" t="s">
        <v>1615</v>
      </c>
      <c r="T3539" t="s">
        <v>1479</v>
      </c>
    </row>
    <row r="3540" spans="1:20" x14ac:dyDescent="0.25">
      <c r="A3540">
        <v>9</v>
      </c>
      <c r="B3540">
        <v>199</v>
      </c>
      <c r="C3540" t="str">
        <f>"52"</f>
        <v>52</v>
      </c>
      <c r="D3540">
        <v>6299</v>
      </c>
      <c r="E3540" t="str">
        <f>"10"</f>
        <v>10</v>
      </c>
      <c r="F3540" t="str">
        <f>"001"</f>
        <v>001</v>
      </c>
      <c r="G3540">
        <v>9</v>
      </c>
      <c r="H3540" t="str">
        <f t="shared" si="701"/>
        <v>99</v>
      </c>
      <c r="I3540" t="str">
        <f>"0"</f>
        <v>0</v>
      </c>
      <c r="J3540" t="str">
        <f>"87"</f>
        <v>87</v>
      </c>
      <c r="K3540">
        <v>20181116</v>
      </c>
      <c r="L3540" t="str">
        <f>"074698"</f>
        <v>074698</v>
      </c>
      <c r="M3540" t="str">
        <f>"44450"</f>
        <v>44450</v>
      </c>
      <c r="N3540" t="s">
        <v>2500</v>
      </c>
      <c r="O3540">
        <v>225</v>
      </c>
      <c r="P3540">
        <v>20181115</v>
      </c>
      <c r="Q3540" t="s">
        <v>2501</v>
      </c>
      <c r="R3540" t="s">
        <v>2774</v>
      </c>
      <c r="S3540" t="s">
        <v>1615</v>
      </c>
      <c r="T3540" t="s">
        <v>301</v>
      </c>
    </row>
    <row r="3541" spans="1:20" x14ac:dyDescent="0.25">
      <c r="A3541">
        <v>9</v>
      </c>
      <c r="B3541">
        <v>199</v>
      </c>
      <c r="C3541" t="str">
        <f>"36"</f>
        <v>36</v>
      </c>
      <c r="D3541">
        <v>6411</v>
      </c>
      <c r="E3541" t="str">
        <f>"8S"</f>
        <v>8S</v>
      </c>
      <c r="F3541" t="str">
        <f>"001"</f>
        <v>001</v>
      </c>
      <c r="G3541">
        <v>9</v>
      </c>
      <c r="H3541" t="str">
        <f t="shared" si="701"/>
        <v>99</v>
      </c>
      <c r="I3541" t="str">
        <f>"1"</f>
        <v>1</v>
      </c>
      <c r="J3541" t="str">
        <f>"01"</f>
        <v>01</v>
      </c>
      <c r="K3541">
        <v>20181116</v>
      </c>
      <c r="L3541" t="str">
        <f>"074700"</f>
        <v>074700</v>
      </c>
      <c r="M3541" t="str">
        <f>"46348"</f>
        <v>46348</v>
      </c>
      <c r="N3541" t="s">
        <v>1631</v>
      </c>
      <c r="O3541">
        <v>50</v>
      </c>
      <c r="P3541">
        <v>20181115</v>
      </c>
      <c r="Q3541" t="s">
        <v>1632</v>
      </c>
      <c r="R3541" t="s">
        <v>2744</v>
      </c>
      <c r="S3541" t="s">
        <v>1615</v>
      </c>
      <c r="T3541" t="s">
        <v>301</v>
      </c>
    </row>
    <row r="3542" spans="1:20" x14ac:dyDescent="0.25">
      <c r="A3542">
        <v>9</v>
      </c>
      <c r="B3542">
        <v>199</v>
      </c>
      <c r="C3542" t="str">
        <f>"36"</f>
        <v>36</v>
      </c>
      <c r="D3542">
        <v>6411</v>
      </c>
      <c r="E3542" t="str">
        <f>"8S"</f>
        <v>8S</v>
      </c>
      <c r="F3542" t="str">
        <f>"001"</f>
        <v>001</v>
      </c>
      <c r="G3542">
        <v>9</v>
      </c>
      <c r="H3542" t="str">
        <f t="shared" si="701"/>
        <v>99</v>
      </c>
      <c r="I3542" t="str">
        <f>"1"</f>
        <v>1</v>
      </c>
      <c r="J3542" t="str">
        <f>"01"</f>
        <v>01</v>
      </c>
      <c r="K3542">
        <v>20181116</v>
      </c>
      <c r="L3542" t="str">
        <f>"074700"</f>
        <v>074700</v>
      </c>
      <c r="M3542" t="str">
        <f>"46348"</f>
        <v>46348</v>
      </c>
      <c r="N3542" t="s">
        <v>1631</v>
      </c>
      <c r="O3542">
        <v>25</v>
      </c>
      <c r="P3542">
        <v>20181115</v>
      </c>
      <c r="Q3542" t="s">
        <v>1632</v>
      </c>
      <c r="R3542" t="s">
        <v>2775</v>
      </c>
      <c r="S3542" t="s">
        <v>1615</v>
      </c>
      <c r="T3542" t="s">
        <v>301</v>
      </c>
    </row>
    <row r="3543" spans="1:20" x14ac:dyDescent="0.25">
      <c r="A3543">
        <v>9</v>
      </c>
      <c r="B3543">
        <v>199</v>
      </c>
      <c r="C3543" t="str">
        <f>"36"</f>
        <v>36</v>
      </c>
      <c r="D3543">
        <v>6412</v>
      </c>
      <c r="E3543" t="str">
        <f>"8S"</f>
        <v>8S</v>
      </c>
      <c r="F3543" t="str">
        <f>"001"</f>
        <v>001</v>
      </c>
      <c r="G3543">
        <v>9</v>
      </c>
      <c r="H3543" t="str">
        <f t="shared" si="701"/>
        <v>99</v>
      </c>
      <c r="I3543" t="str">
        <f>"1"</f>
        <v>1</v>
      </c>
      <c r="J3543" t="str">
        <f>"01"</f>
        <v>01</v>
      </c>
      <c r="K3543">
        <v>20181116</v>
      </c>
      <c r="L3543" t="str">
        <f>"074700"</f>
        <v>074700</v>
      </c>
      <c r="M3543" t="str">
        <f>"46348"</f>
        <v>46348</v>
      </c>
      <c r="N3543" t="s">
        <v>1631</v>
      </c>
      <c r="O3543">
        <v>480</v>
      </c>
      <c r="P3543">
        <v>20181115</v>
      </c>
      <c r="Q3543" t="s">
        <v>1634</v>
      </c>
      <c r="R3543" t="s">
        <v>2744</v>
      </c>
      <c r="S3543" t="s">
        <v>1615</v>
      </c>
      <c r="T3543" t="s">
        <v>301</v>
      </c>
    </row>
    <row r="3544" spans="1:20" x14ac:dyDescent="0.25">
      <c r="A3544">
        <v>9</v>
      </c>
      <c r="B3544">
        <v>199</v>
      </c>
      <c r="C3544" t="str">
        <f>"36"</f>
        <v>36</v>
      </c>
      <c r="D3544">
        <v>6412</v>
      </c>
      <c r="E3544" t="str">
        <f>"8S"</f>
        <v>8S</v>
      </c>
      <c r="F3544" t="str">
        <f>"001"</f>
        <v>001</v>
      </c>
      <c r="G3544">
        <v>9</v>
      </c>
      <c r="H3544" t="str">
        <f t="shared" si="701"/>
        <v>99</v>
      </c>
      <c r="I3544" t="str">
        <f>"1"</f>
        <v>1</v>
      </c>
      <c r="J3544" t="str">
        <f>"01"</f>
        <v>01</v>
      </c>
      <c r="K3544">
        <v>20181116</v>
      </c>
      <c r="L3544" t="str">
        <f>"074700"</f>
        <v>074700</v>
      </c>
      <c r="M3544" t="str">
        <f>"46348"</f>
        <v>46348</v>
      </c>
      <c r="N3544" t="s">
        <v>1631</v>
      </c>
      <c r="O3544">
        <v>300</v>
      </c>
      <c r="P3544">
        <v>20181115</v>
      </c>
      <c r="Q3544" t="s">
        <v>1634</v>
      </c>
      <c r="R3544" t="s">
        <v>2775</v>
      </c>
      <c r="S3544" t="s">
        <v>1615</v>
      </c>
      <c r="T3544" t="s">
        <v>301</v>
      </c>
    </row>
    <row r="3545" spans="1:20" x14ac:dyDescent="0.25">
      <c r="A3545">
        <v>9</v>
      </c>
      <c r="B3545">
        <v>199</v>
      </c>
      <c r="C3545" t="str">
        <f>"00"</f>
        <v>00</v>
      </c>
      <c r="D3545">
        <v>1291</v>
      </c>
      <c r="E3545" t="str">
        <f>"05"</f>
        <v>05</v>
      </c>
      <c r="F3545" t="str">
        <f>"000"</f>
        <v>000</v>
      </c>
      <c r="G3545">
        <v>9</v>
      </c>
      <c r="H3545" t="str">
        <f>"00"</f>
        <v>00</v>
      </c>
      <c r="I3545" t="str">
        <f t="shared" ref="I3545:I3564" si="702">"0"</f>
        <v>0</v>
      </c>
      <c r="J3545" t="str">
        <f>"00"</f>
        <v>00</v>
      </c>
      <c r="K3545">
        <v>20181116</v>
      </c>
      <c r="L3545" t="str">
        <f>"074701"</f>
        <v>074701</v>
      </c>
      <c r="M3545" t="str">
        <f>"46398"</f>
        <v>46398</v>
      </c>
      <c r="N3545" t="s">
        <v>1636</v>
      </c>
      <c r="O3545" s="1">
        <v>1820</v>
      </c>
      <c r="P3545">
        <v>20181115</v>
      </c>
      <c r="Q3545" t="s">
        <v>1637</v>
      </c>
      <c r="R3545" t="s">
        <v>2776</v>
      </c>
      <c r="S3545" t="s">
        <v>1615</v>
      </c>
      <c r="T3545" t="s">
        <v>296</v>
      </c>
    </row>
    <row r="3546" spans="1:20" x14ac:dyDescent="0.25">
      <c r="A3546">
        <v>9</v>
      </c>
      <c r="B3546">
        <v>199</v>
      </c>
      <c r="C3546" t="str">
        <f>"00"</f>
        <v>00</v>
      </c>
      <c r="D3546">
        <v>1291</v>
      </c>
      <c r="E3546" t="str">
        <f>"05"</f>
        <v>05</v>
      </c>
      <c r="F3546" t="str">
        <f>"000"</f>
        <v>000</v>
      </c>
      <c r="G3546">
        <v>9</v>
      </c>
      <c r="H3546" t="str">
        <f>"00"</f>
        <v>00</v>
      </c>
      <c r="I3546" t="str">
        <f t="shared" si="702"/>
        <v>0</v>
      </c>
      <c r="J3546" t="str">
        <f>"00"</f>
        <v>00</v>
      </c>
      <c r="K3546">
        <v>20181116</v>
      </c>
      <c r="L3546" t="str">
        <f>"074702"</f>
        <v>074702</v>
      </c>
      <c r="M3546" t="str">
        <f>"46351"</f>
        <v>46351</v>
      </c>
      <c r="N3546" t="s">
        <v>1639</v>
      </c>
      <c r="O3546" s="1">
        <v>11074.01</v>
      </c>
      <c r="P3546">
        <v>20181115</v>
      </c>
      <c r="Q3546" t="s">
        <v>1637</v>
      </c>
      <c r="R3546" t="s">
        <v>2777</v>
      </c>
      <c r="S3546" t="s">
        <v>1615</v>
      </c>
      <c r="T3546" t="s">
        <v>296</v>
      </c>
    </row>
    <row r="3547" spans="1:20" x14ac:dyDescent="0.25">
      <c r="A3547">
        <v>9</v>
      </c>
      <c r="B3547">
        <v>199</v>
      </c>
      <c r="C3547" t="str">
        <f>"41"</f>
        <v>41</v>
      </c>
      <c r="D3547">
        <v>6269</v>
      </c>
      <c r="E3547" t="str">
        <f>"10"</f>
        <v>10</v>
      </c>
      <c r="F3547" t="str">
        <f>"933"</f>
        <v>933</v>
      </c>
      <c r="G3547">
        <v>9</v>
      </c>
      <c r="H3547" t="str">
        <f>"99"</f>
        <v>99</v>
      </c>
      <c r="I3547" t="str">
        <f t="shared" si="702"/>
        <v>0</v>
      </c>
      <c r="J3547" t="str">
        <f>"85"</f>
        <v>85</v>
      </c>
      <c r="K3547">
        <v>20181116</v>
      </c>
      <c r="L3547" t="str">
        <f>"074702"</f>
        <v>074702</v>
      </c>
      <c r="M3547" t="str">
        <f>"46351"</f>
        <v>46351</v>
      </c>
      <c r="N3547" t="s">
        <v>1639</v>
      </c>
      <c r="O3547" s="1">
        <v>4248.04</v>
      </c>
      <c r="P3547">
        <v>20181115</v>
      </c>
      <c r="Q3547" t="s">
        <v>1642</v>
      </c>
      <c r="R3547" t="s">
        <v>2777</v>
      </c>
      <c r="S3547" t="s">
        <v>1615</v>
      </c>
      <c r="T3547" t="s">
        <v>1643</v>
      </c>
    </row>
    <row r="3548" spans="1:20" x14ac:dyDescent="0.25">
      <c r="A3548">
        <v>9</v>
      </c>
      <c r="B3548">
        <v>199</v>
      </c>
      <c r="C3548" t="str">
        <f>"36"</f>
        <v>36</v>
      </c>
      <c r="D3548">
        <v>6269</v>
      </c>
      <c r="E3548" t="str">
        <f>"HC"</f>
        <v>HC</v>
      </c>
      <c r="F3548" t="str">
        <f>"001"</f>
        <v>001</v>
      </c>
      <c r="G3548">
        <v>9</v>
      </c>
      <c r="H3548" t="str">
        <f>"99"</f>
        <v>99</v>
      </c>
      <c r="I3548" t="str">
        <f t="shared" si="702"/>
        <v>0</v>
      </c>
      <c r="J3548" t="str">
        <f>"01"</f>
        <v>01</v>
      </c>
      <c r="K3548">
        <v>20181116</v>
      </c>
      <c r="L3548" t="str">
        <f>"074709"</f>
        <v>074709</v>
      </c>
      <c r="M3548" t="str">
        <f>"58204"</f>
        <v>58204</v>
      </c>
      <c r="N3548" t="s">
        <v>1767</v>
      </c>
      <c r="O3548">
        <v>36.25</v>
      </c>
      <c r="P3548">
        <v>20181115</v>
      </c>
      <c r="Q3548" t="s">
        <v>2778</v>
      </c>
      <c r="R3548" t="s">
        <v>1771</v>
      </c>
      <c r="S3548" t="s">
        <v>1615</v>
      </c>
      <c r="T3548" t="s">
        <v>301</v>
      </c>
    </row>
    <row r="3549" spans="1:20" x14ac:dyDescent="0.25">
      <c r="A3549">
        <v>9</v>
      </c>
      <c r="B3549">
        <v>199</v>
      </c>
      <c r="C3549" t="str">
        <f>"36"</f>
        <v>36</v>
      </c>
      <c r="D3549">
        <v>6399</v>
      </c>
      <c r="E3549" t="str">
        <f>"H2"</f>
        <v>H2</v>
      </c>
      <c r="F3549" t="str">
        <f>"001"</f>
        <v>001</v>
      </c>
      <c r="G3549">
        <v>9</v>
      </c>
      <c r="H3549" t="str">
        <f>"99"</f>
        <v>99</v>
      </c>
      <c r="I3549" t="str">
        <f t="shared" si="702"/>
        <v>0</v>
      </c>
      <c r="J3549" t="str">
        <f>"37"</f>
        <v>37</v>
      </c>
      <c r="K3549">
        <v>20181116</v>
      </c>
      <c r="L3549" t="str">
        <f>"074709"</f>
        <v>074709</v>
      </c>
      <c r="M3549" t="str">
        <f>"58204"</f>
        <v>58204</v>
      </c>
      <c r="N3549" t="s">
        <v>1767</v>
      </c>
      <c r="O3549">
        <v>60.18</v>
      </c>
      <c r="P3549">
        <v>20181115</v>
      </c>
      <c r="Q3549" t="s">
        <v>2779</v>
      </c>
      <c r="R3549" t="s">
        <v>2780</v>
      </c>
      <c r="S3549" t="s">
        <v>1615</v>
      </c>
      <c r="T3549" t="s">
        <v>301</v>
      </c>
    </row>
    <row r="3550" spans="1:20" x14ac:dyDescent="0.25">
      <c r="A3550">
        <v>9</v>
      </c>
      <c r="B3550">
        <v>199</v>
      </c>
      <c r="C3550" t="str">
        <f>"36"</f>
        <v>36</v>
      </c>
      <c r="D3550">
        <v>6399</v>
      </c>
      <c r="E3550" t="str">
        <f>"H2"</f>
        <v>H2</v>
      </c>
      <c r="F3550" t="str">
        <f>"001"</f>
        <v>001</v>
      </c>
      <c r="G3550">
        <v>9</v>
      </c>
      <c r="H3550" t="str">
        <f>"99"</f>
        <v>99</v>
      </c>
      <c r="I3550" t="str">
        <f t="shared" si="702"/>
        <v>0</v>
      </c>
      <c r="J3550" t="str">
        <f>"37"</f>
        <v>37</v>
      </c>
      <c r="K3550">
        <v>20181116</v>
      </c>
      <c r="L3550" t="str">
        <f>"074709"</f>
        <v>074709</v>
      </c>
      <c r="M3550" t="str">
        <f>"58204"</f>
        <v>58204</v>
      </c>
      <c r="N3550" t="s">
        <v>1767</v>
      </c>
      <c r="O3550">
        <v>132.68</v>
      </c>
      <c r="P3550">
        <v>20181115</v>
      </c>
      <c r="Q3550" t="s">
        <v>2779</v>
      </c>
      <c r="R3550" t="s">
        <v>2780</v>
      </c>
      <c r="S3550" t="s">
        <v>1615</v>
      </c>
      <c r="T3550" t="s">
        <v>301</v>
      </c>
    </row>
    <row r="3551" spans="1:20" x14ac:dyDescent="0.25">
      <c r="A3551">
        <v>9</v>
      </c>
      <c r="B3551">
        <v>199</v>
      </c>
      <c r="C3551" t="str">
        <f>"11"</f>
        <v>11</v>
      </c>
      <c r="D3551">
        <v>6399</v>
      </c>
      <c r="E3551" t="str">
        <f>"45"</f>
        <v>45</v>
      </c>
      <c r="F3551" t="str">
        <f>"041"</f>
        <v>041</v>
      </c>
      <c r="G3551">
        <v>9</v>
      </c>
      <c r="H3551" t="str">
        <f>"11"</f>
        <v>11</v>
      </c>
      <c r="I3551" t="str">
        <f t="shared" si="702"/>
        <v>0</v>
      </c>
      <c r="J3551" t="str">
        <f>"03"</f>
        <v>03</v>
      </c>
      <c r="K3551">
        <v>20181116</v>
      </c>
      <c r="L3551" t="str">
        <f>"074710"</f>
        <v>074710</v>
      </c>
      <c r="M3551" t="str">
        <f>"58202"</f>
        <v>58202</v>
      </c>
      <c r="N3551" t="s">
        <v>2781</v>
      </c>
      <c r="O3551">
        <v>5.94</v>
      </c>
      <c r="P3551">
        <v>20181115</v>
      </c>
      <c r="Q3551" t="s">
        <v>2204</v>
      </c>
      <c r="R3551" t="s">
        <v>2782</v>
      </c>
      <c r="S3551" t="s">
        <v>1615</v>
      </c>
      <c r="T3551" t="s">
        <v>106</v>
      </c>
    </row>
    <row r="3552" spans="1:20" x14ac:dyDescent="0.25">
      <c r="A3552">
        <v>9</v>
      </c>
      <c r="B3552">
        <v>199</v>
      </c>
      <c r="C3552" t="str">
        <f>"11"</f>
        <v>11</v>
      </c>
      <c r="D3552">
        <v>6499</v>
      </c>
      <c r="E3552" t="str">
        <f>"13"</f>
        <v>13</v>
      </c>
      <c r="F3552" t="str">
        <f>"041"</f>
        <v>041</v>
      </c>
      <c r="G3552">
        <v>9</v>
      </c>
      <c r="H3552" t="str">
        <f>"11"</f>
        <v>11</v>
      </c>
      <c r="I3552" t="str">
        <f t="shared" si="702"/>
        <v>0</v>
      </c>
      <c r="J3552" t="str">
        <f>"03"</f>
        <v>03</v>
      </c>
      <c r="K3552">
        <v>20181116</v>
      </c>
      <c r="L3552" t="str">
        <f>"074710"</f>
        <v>074710</v>
      </c>
      <c r="M3552" t="str">
        <f>"58202"</f>
        <v>58202</v>
      </c>
      <c r="N3552" t="s">
        <v>2781</v>
      </c>
      <c r="O3552">
        <v>42</v>
      </c>
      <c r="P3552">
        <v>20181115</v>
      </c>
      <c r="Q3552" t="s">
        <v>1739</v>
      </c>
      <c r="R3552" t="s">
        <v>2641</v>
      </c>
      <c r="S3552" t="s">
        <v>1615</v>
      </c>
      <c r="T3552" t="s">
        <v>106</v>
      </c>
    </row>
    <row r="3553" spans="1:20" x14ac:dyDescent="0.25">
      <c r="A3553">
        <v>9</v>
      </c>
      <c r="B3553">
        <v>199</v>
      </c>
      <c r="C3553" t="str">
        <f>"23"</f>
        <v>23</v>
      </c>
      <c r="D3553">
        <v>6399</v>
      </c>
      <c r="E3553" t="str">
        <f>"11"</f>
        <v>11</v>
      </c>
      <c r="F3553" t="str">
        <f>"041"</f>
        <v>041</v>
      </c>
      <c r="G3553">
        <v>9</v>
      </c>
      <c r="H3553" t="str">
        <f>"99"</f>
        <v>99</v>
      </c>
      <c r="I3553" t="str">
        <f t="shared" si="702"/>
        <v>0</v>
      </c>
      <c r="J3553" t="str">
        <f>"03"</f>
        <v>03</v>
      </c>
      <c r="K3553">
        <v>20181116</v>
      </c>
      <c r="L3553" t="str">
        <f>"074710"</f>
        <v>074710</v>
      </c>
      <c r="M3553" t="str">
        <f>"58202"</f>
        <v>58202</v>
      </c>
      <c r="N3553" t="s">
        <v>2781</v>
      </c>
      <c r="O3553">
        <v>34.82</v>
      </c>
      <c r="P3553">
        <v>20181115</v>
      </c>
      <c r="Q3553" t="s">
        <v>1955</v>
      </c>
      <c r="R3553" t="s">
        <v>2783</v>
      </c>
      <c r="S3553" t="s">
        <v>1615</v>
      </c>
      <c r="T3553" t="s">
        <v>106</v>
      </c>
    </row>
    <row r="3554" spans="1:20" x14ac:dyDescent="0.25">
      <c r="A3554">
        <v>9</v>
      </c>
      <c r="B3554">
        <v>199</v>
      </c>
      <c r="C3554" t="str">
        <f>"23"</f>
        <v>23</v>
      </c>
      <c r="D3554">
        <v>6498</v>
      </c>
      <c r="E3554" t="str">
        <f>"99"</f>
        <v>99</v>
      </c>
      <c r="F3554" t="str">
        <f>"041"</f>
        <v>041</v>
      </c>
      <c r="G3554">
        <v>9</v>
      </c>
      <c r="H3554" t="str">
        <f>"99"</f>
        <v>99</v>
      </c>
      <c r="I3554" t="str">
        <f t="shared" si="702"/>
        <v>0</v>
      </c>
      <c r="J3554" t="str">
        <f>"03"</f>
        <v>03</v>
      </c>
      <c r="K3554">
        <v>20181116</v>
      </c>
      <c r="L3554" t="str">
        <f>"074710"</f>
        <v>074710</v>
      </c>
      <c r="M3554" t="str">
        <f>"58202"</f>
        <v>58202</v>
      </c>
      <c r="N3554" t="s">
        <v>2781</v>
      </c>
      <c r="O3554">
        <v>23.98</v>
      </c>
      <c r="P3554">
        <v>20181115</v>
      </c>
      <c r="Q3554" t="s">
        <v>2140</v>
      </c>
      <c r="R3554" t="s">
        <v>2784</v>
      </c>
      <c r="S3554" t="s">
        <v>1615</v>
      </c>
      <c r="T3554" t="s">
        <v>106</v>
      </c>
    </row>
    <row r="3555" spans="1:20" x14ac:dyDescent="0.25">
      <c r="A3555">
        <v>9</v>
      </c>
      <c r="B3555">
        <v>199</v>
      </c>
      <c r="C3555" t="str">
        <f>"41"</f>
        <v>41</v>
      </c>
      <c r="D3555">
        <v>6329</v>
      </c>
      <c r="E3555" t="str">
        <f>"10"</f>
        <v>10</v>
      </c>
      <c r="F3555" t="str">
        <f>"720"</f>
        <v>720</v>
      </c>
      <c r="G3555">
        <v>9</v>
      </c>
      <c r="H3555" t="str">
        <f>"99"</f>
        <v>99</v>
      </c>
      <c r="I3555" t="str">
        <f t="shared" si="702"/>
        <v>0</v>
      </c>
      <c r="J3555" t="str">
        <f>"91"</f>
        <v>91</v>
      </c>
      <c r="K3555">
        <v>20181116</v>
      </c>
      <c r="L3555" t="str">
        <f>"074713"</f>
        <v>074713</v>
      </c>
      <c r="M3555" t="str">
        <f>"00355"</f>
        <v>00355</v>
      </c>
      <c r="N3555" t="s">
        <v>2304</v>
      </c>
      <c r="O3555">
        <v>28</v>
      </c>
      <c r="P3555">
        <v>20181115</v>
      </c>
      <c r="Q3555" t="s">
        <v>2043</v>
      </c>
      <c r="R3555" t="s">
        <v>2306</v>
      </c>
      <c r="S3555" t="s">
        <v>1615</v>
      </c>
      <c r="T3555" t="s">
        <v>2045</v>
      </c>
    </row>
    <row r="3556" spans="1:20" x14ac:dyDescent="0.25">
      <c r="A3556">
        <v>9</v>
      </c>
      <c r="B3556">
        <v>199</v>
      </c>
      <c r="C3556" t="str">
        <f>"00"</f>
        <v>00</v>
      </c>
      <c r="D3556">
        <v>1312</v>
      </c>
      <c r="E3556" t="str">
        <f>"00"</f>
        <v>00</v>
      </c>
      <c r="F3556" t="str">
        <f>"000"</f>
        <v>000</v>
      </c>
      <c r="G3556">
        <v>9</v>
      </c>
      <c r="H3556" t="str">
        <f>"00"</f>
        <v>00</v>
      </c>
      <c r="I3556" t="str">
        <f t="shared" si="702"/>
        <v>0</v>
      </c>
      <c r="J3556" t="str">
        <f>"00"</f>
        <v>00</v>
      </c>
      <c r="K3556">
        <v>20181116</v>
      </c>
      <c r="L3556" t="str">
        <f>"074714"</f>
        <v>074714</v>
      </c>
      <c r="M3556" t="str">
        <f>"00608"</f>
        <v>00608</v>
      </c>
      <c r="N3556" t="s">
        <v>2785</v>
      </c>
      <c r="O3556">
        <v>215</v>
      </c>
      <c r="P3556">
        <v>20181115</v>
      </c>
      <c r="Q3556" t="s">
        <v>1860</v>
      </c>
      <c r="R3556" t="s">
        <v>2786</v>
      </c>
      <c r="S3556" t="s">
        <v>1615</v>
      </c>
      <c r="T3556" t="s">
        <v>296</v>
      </c>
    </row>
    <row r="3557" spans="1:20" x14ac:dyDescent="0.25">
      <c r="A3557">
        <v>9</v>
      </c>
      <c r="B3557">
        <v>199</v>
      </c>
      <c r="C3557" t="str">
        <f t="shared" ref="C3557:C3562" si="703">"11"</f>
        <v>11</v>
      </c>
      <c r="D3557">
        <v>6399</v>
      </c>
      <c r="E3557" t="str">
        <f t="shared" ref="E3557:E3562" si="704">"74"</f>
        <v>74</v>
      </c>
      <c r="F3557" t="str">
        <f t="shared" ref="F3557:F3562" si="705">"041"</f>
        <v>041</v>
      </c>
      <c r="G3557">
        <v>9</v>
      </c>
      <c r="H3557" t="str">
        <f t="shared" ref="H3557:H3562" si="706">"11"</f>
        <v>11</v>
      </c>
      <c r="I3557" t="str">
        <f t="shared" si="702"/>
        <v>0</v>
      </c>
      <c r="J3557" t="str">
        <f t="shared" ref="J3557:J3562" si="707">"03"</f>
        <v>03</v>
      </c>
      <c r="K3557">
        <v>20181116</v>
      </c>
      <c r="L3557" t="str">
        <f t="shared" ref="L3557:L3562" si="708">"074720"</f>
        <v>074720</v>
      </c>
      <c r="M3557" t="str">
        <f t="shared" ref="M3557:M3562" si="709">"65826"</f>
        <v>65826</v>
      </c>
      <c r="N3557" t="s">
        <v>2787</v>
      </c>
      <c r="O3557">
        <v>41.66</v>
      </c>
      <c r="P3557">
        <v>20181115</v>
      </c>
      <c r="Q3557" t="s">
        <v>2302</v>
      </c>
      <c r="R3557" t="s">
        <v>2788</v>
      </c>
      <c r="S3557" t="s">
        <v>1615</v>
      </c>
      <c r="T3557" t="s">
        <v>106</v>
      </c>
    </row>
    <row r="3558" spans="1:20" x14ac:dyDescent="0.25">
      <c r="A3558">
        <v>9</v>
      </c>
      <c r="B3558">
        <v>199</v>
      </c>
      <c r="C3558" t="str">
        <f t="shared" si="703"/>
        <v>11</v>
      </c>
      <c r="D3558">
        <v>6399</v>
      </c>
      <c r="E3558" t="str">
        <f t="shared" si="704"/>
        <v>74</v>
      </c>
      <c r="F3558" t="str">
        <f t="shared" si="705"/>
        <v>041</v>
      </c>
      <c r="G3558">
        <v>9</v>
      </c>
      <c r="H3558" t="str">
        <f t="shared" si="706"/>
        <v>11</v>
      </c>
      <c r="I3558" t="str">
        <f t="shared" si="702"/>
        <v>0</v>
      </c>
      <c r="J3558" t="str">
        <f t="shared" si="707"/>
        <v>03</v>
      </c>
      <c r="K3558">
        <v>20181116</v>
      </c>
      <c r="L3558" t="str">
        <f t="shared" si="708"/>
        <v>074720</v>
      </c>
      <c r="M3558" t="str">
        <f t="shared" si="709"/>
        <v>65826</v>
      </c>
      <c r="N3558" t="s">
        <v>2787</v>
      </c>
      <c r="O3558">
        <v>89.97</v>
      </c>
      <c r="P3558">
        <v>20181115</v>
      </c>
      <c r="Q3558" t="s">
        <v>2302</v>
      </c>
      <c r="R3558" t="s">
        <v>2789</v>
      </c>
      <c r="S3558" t="s">
        <v>1615</v>
      </c>
      <c r="T3558" t="s">
        <v>106</v>
      </c>
    </row>
    <row r="3559" spans="1:20" x14ac:dyDescent="0.25">
      <c r="A3559">
        <v>9</v>
      </c>
      <c r="B3559">
        <v>199</v>
      </c>
      <c r="C3559" t="str">
        <f t="shared" si="703"/>
        <v>11</v>
      </c>
      <c r="D3559">
        <v>6399</v>
      </c>
      <c r="E3559" t="str">
        <f t="shared" si="704"/>
        <v>74</v>
      </c>
      <c r="F3559" t="str">
        <f t="shared" si="705"/>
        <v>041</v>
      </c>
      <c r="G3559">
        <v>9</v>
      </c>
      <c r="H3559" t="str">
        <f t="shared" si="706"/>
        <v>11</v>
      </c>
      <c r="I3559" t="str">
        <f t="shared" si="702"/>
        <v>0</v>
      </c>
      <c r="J3559" t="str">
        <f t="shared" si="707"/>
        <v>03</v>
      </c>
      <c r="K3559">
        <v>20181116</v>
      </c>
      <c r="L3559" t="str">
        <f t="shared" si="708"/>
        <v>074720</v>
      </c>
      <c r="M3559" t="str">
        <f t="shared" si="709"/>
        <v>65826</v>
      </c>
      <c r="N3559" t="s">
        <v>2787</v>
      </c>
      <c r="O3559">
        <v>673.96</v>
      </c>
      <c r="P3559">
        <v>20181115</v>
      </c>
      <c r="Q3559" t="s">
        <v>2302</v>
      </c>
      <c r="R3559" t="s">
        <v>2790</v>
      </c>
      <c r="S3559" t="s">
        <v>1615</v>
      </c>
      <c r="T3559" t="s">
        <v>106</v>
      </c>
    </row>
    <row r="3560" spans="1:20" x14ac:dyDescent="0.25">
      <c r="A3560">
        <v>9</v>
      </c>
      <c r="B3560">
        <v>199</v>
      </c>
      <c r="C3560" t="str">
        <f t="shared" si="703"/>
        <v>11</v>
      </c>
      <c r="D3560">
        <v>6399</v>
      </c>
      <c r="E3560" t="str">
        <f t="shared" si="704"/>
        <v>74</v>
      </c>
      <c r="F3560" t="str">
        <f t="shared" si="705"/>
        <v>041</v>
      </c>
      <c r="G3560">
        <v>9</v>
      </c>
      <c r="H3560" t="str">
        <f t="shared" si="706"/>
        <v>11</v>
      </c>
      <c r="I3560" t="str">
        <f t="shared" si="702"/>
        <v>0</v>
      </c>
      <c r="J3560" t="str">
        <f t="shared" si="707"/>
        <v>03</v>
      </c>
      <c r="K3560">
        <v>20181116</v>
      </c>
      <c r="L3560" t="str">
        <f t="shared" si="708"/>
        <v>074720</v>
      </c>
      <c r="M3560" t="str">
        <f t="shared" si="709"/>
        <v>65826</v>
      </c>
      <c r="N3560" t="s">
        <v>2787</v>
      </c>
      <c r="O3560">
        <v>466.19</v>
      </c>
      <c r="P3560">
        <v>20181115</v>
      </c>
      <c r="Q3560" t="s">
        <v>2302</v>
      </c>
      <c r="R3560" t="s">
        <v>2791</v>
      </c>
      <c r="S3560" t="s">
        <v>1615</v>
      </c>
      <c r="T3560" t="s">
        <v>106</v>
      </c>
    </row>
    <row r="3561" spans="1:20" x14ac:dyDescent="0.25">
      <c r="A3561">
        <v>9</v>
      </c>
      <c r="B3561">
        <v>199</v>
      </c>
      <c r="C3561" t="str">
        <f t="shared" si="703"/>
        <v>11</v>
      </c>
      <c r="D3561">
        <v>6399</v>
      </c>
      <c r="E3561" t="str">
        <f t="shared" si="704"/>
        <v>74</v>
      </c>
      <c r="F3561" t="str">
        <f t="shared" si="705"/>
        <v>041</v>
      </c>
      <c r="G3561">
        <v>9</v>
      </c>
      <c r="H3561" t="str">
        <f t="shared" si="706"/>
        <v>11</v>
      </c>
      <c r="I3561" t="str">
        <f t="shared" si="702"/>
        <v>0</v>
      </c>
      <c r="J3561" t="str">
        <f t="shared" si="707"/>
        <v>03</v>
      </c>
      <c r="K3561">
        <v>20181116</v>
      </c>
      <c r="L3561" t="str">
        <f t="shared" si="708"/>
        <v>074720</v>
      </c>
      <c r="M3561" t="str">
        <f t="shared" si="709"/>
        <v>65826</v>
      </c>
      <c r="N3561" t="s">
        <v>2787</v>
      </c>
      <c r="O3561">
        <v>120.58</v>
      </c>
      <c r="P3561">
        <v>20181115</v>
      </c>
      <c r="Q3561" t="s">
        <v>2302</v>
      </c>
      <c r="R3561" t="s">
        <v>2792</v>
      </c>
      <c r="S3561" t="s">
        <v>1615</v>
      </c>
      <c r="T3561" t="s">
        <v>106</v>
      </c>
    </row>
    <row r="3562" spans="1:20" x14ac:dyDescent="0.25">
      <c r="A3562">
        <v>9</v>
      </c>
      <c r="B3562">
        <v>199</v>
      </c>
      <c r="C3562" t="str">
        <f t="shared" si="703"/>
        <v>11</v>
      </c>
      <c r="D3562">
        <v>6399</v>
      </c>
      <c r="E3562" t="str">
        <f t="shared" si="704"/>
        <v>74</v>
      </c>
      <c r="F3562" t="str">
        <f t="shared" si="705"/>
        <v>041</v>
      </c>
      <c r="G3562">
        <v>9</v>
      </c>
      <c r="H3562" t="str">
        <f t="shared" si="706"/>
        <v>11</v>
      </c>
      <c r="I3562" t="str">
        <f t="shared" si="702"/>
        <v>0</v>
      </c>
      <c r="J3562" t="str">
        <f t="shared" si="707"/>
        <v>03</v>
      </c>
      <c r="K3562">
        <v>20181116</v>
      </c>
      <c r="L3562" t="str">
        <f t="shared" si="708"/>
        <v>074720</v>
      </c>
      <c r="M3562" t="str">
        <f t="shared" si="709"/>
        <v>65826</v>
      </c>
      <c r="N3562" t="s">
        <v>2787</v>
      </c>
      <c r="O3562">
        <v>787.37</v>
      </c>
      <c r="P3562">
        <v>20181115</v>
      </c>
      <c r="Q3562" t="s">
        <v>2302</v>
      </c>
      <c r="R3562" t="s">
        <v>2793</v>
      </c>
      <c r="S3562" t="s">
        <v>1615</v>
      </c>
      <c r="T3562" t="s">
        <v>106</v>
      </c>
    </row>
    <row r="3563" spans="1:20" x14ac:dyDescent="0.25">
      <c r="A3563">
        <v>9</v>
      </c>
      <c r="B3563">
        <v>199</v>
      </c>
      <c r="C3563" t="str">
        <f>"41"</f>
        <v>41</v>
      </c>
      <c r="D3563">
        <v>6495</v>
      </c>
      <c r="E3563" t="str">
        <f>"10"</f>
        <v>10</v>
      </c>
      <c r="F3563" t="str">
        <f>"702"</f>
        <v>702</v>
      </c>
      <c r="G3563">
        <v>9</v>
      </c>
      <c r="H3563" t="str">
        <f>"99"</f>
        <v>99</v>
      </c>
      <c r="I3563" t="str">
        <f t="shared" si="702"/>
        <v>0</v>
      </c>
      <c r="J3563" t="str">
        <f>"93"</f>
        <v>93</v>
      </c>
      <c r="K3563">
        <v>20181116</v>
      </c>
      <c r="L3563" t="str">
        <f>"074722"</f>
        <v>074722</v>
      </c>
      <c r="M3563" t="str">
        <f>"74385"</f>
        <v>74385</v>
      </c>
      <c r="N3563" t="s">
        <v>1812</v>
      </c>
      <c r="O3563">
        <v>34.56</v>
      </c>
      <c r="P3563">
        <v>20181115</v>
      </c>
      <c r="Q3563" t="s">
        <v>1813</v>
      </c>
      <c r="R3563" t="s">
        <v>2794</v>
      </c>
      <c r="S3563" t="s">
        <v>1615</v>
      </c>
      <c r="T3563" t="s">
        <v>1611</v>
      </c>
    </row>
    <row r="3564" spans="1:20" x14ac:dyDescent="0.25">
      <c r="A3564">
        <v>9</v>
      </c>
      <c r="B3564">
        <v>199</v>
      </c>
      <c r="C3564" t="str">
        <f>"36"</f>
        <v>36</v>
      </c>
      <c r="D3564">
        <v>6412</v>
      </c>
      <c r="E3564" t="str">
        <f>"8S"</f>
        <v>8S</v>
      </c>
      <c r="F3564" t="str">
        <f>"001"</f>
        <v>001</v>
      </c>
      <c r="G3564">
        <v>9</v>
      </c>
      <c r="H3564" t="str">
        <f>"99"</f>
        <v>99</v>
      </c>
      <c r="I3564" t="str">
        <f t="shared" si="702"/>
        <v>0</v>
      </c>
      <c r="J3564" t="str">
        <f>"01"</f>
        <v>01</v>
      </c>
      <c r="K3564">
        <v>20181116</v>
      </c>
      <c r="L3564" t="str">
        <f>"074725"</f>
        <v>074725</v>
      </c>
      <c r="M3564" t="str">
        <f>"78340"</f>
        <v>78340</v>
      </c>
      <c r="N3564" t="s">
        <v>2795</v>
      </c>
      <c r="O3564" s="1">
        <v>1960</v>
      </c>
      <c r="P3564">
        <v>20181115</v>
      </c>
      <c r="Q3564" t="s">
        <v>1625</v>
      </c>
      <c r="R3564" t="s">
        <v>2744</v>
      </c>
      <c r="S3564" t="s">
        <v>1615</v>
      </c>
      <c r="T3564" t="s">
        <v>301</v>
      </c>
    </row>
    <row r="3565" spans="1:20" x14ac:dyDescent="0.25">
      <c r="A3565">
        <v>9</v>
      </c>
      <c r="B3565">
        <v>199</v>
      </c>
      <c r="C3565" t="str">
        <f>"11"</f>
        <v>11</v>
      </c>
      <c r="D3565">
        <v>6411</v>
      </c>
      <c r="E3565" t="str">
        <f>"VJ"</f>
        <v>VJ</v>
      </c>
      <c r="F3565" t="str">
        <f>"001"</f>
        <v>001</v>
      </c>
      <c r="G3565">
        <v>9</v>
      </c>
      <c r="H3565" t="str">
        <f>"22"</f>
        <v>22</v>
      </c>
      <c r="I3565" t="str">
        <f>"1"</f>
        <v>1</v>
      </c>
      <c r="J3565" t="str">
        <f>"22"</f>
        <v>22</v>
      </c>
      <c r="K3565">
        <v>20181116</v>
      </c>
      <c r="L3565" t="str">
        <f>"074727"</f>
        <v>074727</v>
      </c>
      <c r="M3565" t="str">
        <f>"00600"</f>
        <v>00600</v>
      </c>
      <c r="N3565" t="s">
        <v>2796</v>
      </c>
      <c r="O3565">
        <v>60</v>
      </c>
      <c r="P3565">
        <v>20181115</v>
      </c>
      <c r="Q3565" t="s">
        <v>2569</v>
      </c>
      <c r="R3565" t="s">
        <v>2570</v>
      </c>
      <c r="S3565" t="s">
        <v>1615</v>
      </c>
      <c r="T3565" t="s">
        <v>301</v>
      </c>
    </row>
    <row r="3566" spans="1:20" x14ac:dyDescent="0.25">
      <c r="A3566">
        <v>9</v>
      </c>
      <c r="B3566">
        <v>199</v>
      </c>
      <c r="C3566" t="str">
        <f>"11"</f>
        <v>11</v>
      </c>
      <c r="D3566">
        <v>6412</v>
      </c>
      <c r="E3566" t="str">
        <f>"VJ"</f>
        <v>VJ</v>
      </c>
      <c r="F3566" t="str">
        <f>"001"</f>
        <v>001</v>
      </c>
      <c r="G3566">
        <v>9</v>
      </c>
      <c r="H3566" t="str">
        <f>"22"</f>
        <v>22</v>
      </c>
      <c r="I3566" t="str">
        <f>"1"</f>
        <v>1</v>
      </c>
      <c r="J3566" t="str">
        <f>"22"</f>
        <v>22</v>
      </c>
      <c r="K3566">
        <v>20181116</v>
      </c>
      <c r="L3566" t="str">
        <f>"074727"</f>
        <v>074727</v>
      </c>
      <c r="M3566" t="str">
        <f>"00600"</f>
        <v>00600</v>
      </c>
      <c r="N3566" t="s">
        <v>2796</v>
      </c>
      <c r="O3566">
        <v>660</v>
      </c>
      <c r="P3566">
        <v>20181115</v>
      </c>
      <c r="Q3566" t="s">
        <v>2571</v>
      </c>
      <c r="R3566" t="s">
        <v>2570</v>
      </c>
      <c r="S3566" t="s">
        <v>1615</v>
      </c>
      <c r="T3566" t="s">
        <v>301</v>
      </c>
    </row>
    <row r="3567" spans="1:20" x14ac:dyDescent="0.25">
      <c r="A3567">
        <v>9</v>
      </c>
      <c r="B3567">
        <v>199</v>
      </c>
      <c r="C3567" t="str">
        <f>"34"</f>
        <v>34</v>
      </c>
      <c r="D3567">
        <v>6396</v>
      </c>
      <c r="E3567" t="str">
        <f>"11"</f>
        <v>11</v>
      </c>
      <c r="F3567" t="str">
        <f>"937"</f>
        <v>937</v>
      </c>
      <c r="G3567">
        <v>9</v>
      </c>
      <c r="H3567" t="str">
        <f>"99"</f>
        <v>99</v>
      </c>
      <c r="I3567" t="str">
        <f>"0"</f>
        <v>0</v>
      </c>
      <c r="J3567" t="str">
        <f>"82"</f>
        <v>82</v>
      </c>
      <c r="K3567">
        <v>20181116</v>
      </c>
      <c r="L3567" t="str">
        <f>"074729"</f>
        <v>074729</v>
      </c>
      <c r="M3567" t="str">
        <f>"80509"</f>
        <v>80509</v>
      </c>
      <c r="N3567" t="s">
        <v>2797</v>
      </c>
      <c r="O3567" s="1">
        <v>5450</v>
      </c>
      <c r="P3567">
        <v>20181115</v>
      </c>
      <c r="Q3567" t="s">
        <v>2798</v>
      </c>
      <c r="R3567" t="s">
        <v>2799</v>
      </c>
      <c r="S3567" t="s">
        <v>1615</v>
      </c>
      <c r="T3567" t="s">
        <v>1810</v>
      </c>
    </row>
    <row r="3568" spans="1:20" x14ac:dyDescent="0.25">
      <c r="A3568">
        <v>9</v>
      </c>
      <c r="B3568">
        <v>199</v>
      </c>
      <c r="C3568" t="str">
        <f>"36"</f>
        <v>36</v>
      </c>
      <c r="D3568">
        <v>6412</v>
      </c>
      <c r="E3568" t="str">
        <f>"8S"</f>
        <v>8S</v>
      </c>
      <c r="F3568" t="str">
        <f t="shared" ref="F3568:F3573" si="710">"001"</f>
        <v>001</v>
      </c>
      <c r="G3568">
        <v>9</v>
      </c>
      <c r="H3568" t="str">
        <f>"99"</f>
        <v>99</v>
      </c>
      <c r="I3568" t="str">
        <f>"0"</f>
        <v>0</v>
      </c>
      <c r="J3568" t="str">
        <f>"01"</f>
        <v>01</v>
      </c>
      <c r="K3568">
        <v>20181116</v>
      </c>
      <c r="L3568" t="str">
        <f>"074731"</f>
        <v>074731</v>
      </c>
      <c r="M3568" t="str">
        <f>"82491"</f>
        <v>82491</v>
      </c>
      <c r="N3568" t="s">
        <v>666</v>
      </c>
      <c r="O3568">
        <v>720</v>
      </c>
      <c r="P3568">
        <v>20181115</v>
      </c>
      <c r="Q3568" t="s">
        <v>1625</v>
      </c>
      <c r="R3568" t="s">
        <v>2775</v>
      </c>
      <c r="S3568" t="s">
        <v>1615</v>
      </c>
      <c r="T3568" t="s">
        <v>301</v>
      </c>
    </row>
    <row r="3569" spans="1:20" x14ac:dyDescent="0.25">
      <c r="A3569">
        <v>9</v>
      </c>
      <c r="B3569">
        <v>199</v>
      </c>
      <c r="C3569" t="str">
        <f>"36"</f>
        <v>36</v>
      </c>
      <c r="D3569">
        <v>6411</v>
      </c>
      <c r="E3569" t="str">
        <f>"H1"</f>
        <v>H1</v>
      </c>
      <c r="F3569" t="str">
        <f t="shared" si="710"/>
        <v>001</v>
      </c>
      <c r="G3569">
        <v>9</v>
      </c>
      <c r="H3569" t="str">
        <f>"31"</f>
        <v>31</v>
      </c>
      <c r="I3569" t="str">
        <f>"1"</f>
        <v>1</v>
      </c>
      <c r="J3569" t="str">
        <f>"34"</f>
        <v>34</v>
      </c>
      <c r="K3569">
        <v>20181116</v>
      </c>
      <c r="L3569" t="str">
        <f>"074732"</f>
        <v>074732</v>
      </c>
      <c r="M3569" t="str">
        <f>"83007"</f>
        <v>83007</v>
      </c>
      <c r="N3569" t="s">
        <v>2690</v>
      </c>
      <c r="O3569">
        <v>66.66</v>
      </c>
      <c r="P3569">
        <v>20181115</v>
      </c>
      <c r="Q3569" t="s">
        <v>2408</v>
      </c>
      <c r="R3569" t="s">
        <v>2717</v>
      </c>
      <c r="S3569" t="s">
        <v>1615</v>
      </c>
      <c r="T3569" t="s">
        <v>301</v>
      </c>
    </row>
    <row r="3570" spans="1:20" x14ac:dyDescent="0.25">
      <c r="A3570">
        <v>9</v>
      </c>
      <c r="B3570">
        <v>199</v>
      </c>
      <c r="C3570" t="str">
        <f>"36"</f>
        <v>36</v>
      </c>
      <c r="D3570">
        <v>6412</v>
      </c>
      <c r="E3570" t="str">
        <f>"H1"</f>
        <v>H1</v>
      </c>
      <c r="F3570" t="str">
        <f t="shared" si="710"/>
        <v>001</v>
      </c>
      <c r="G3570">
        <v>9</v>
      </c>
      <c r="H3570" t="str">
        <f>"31"</f>
        <v>31</v>
      </c>
      <c r="I3570" t="str">
        <f>"1"</f>
        <v>1</v>
      </c>
      <c r="J3570" t="str">
        <f>"34"</f>
        <v>34</v>
      </c>
      <c r="K3570">
        <v>20181116</v>
      </c>
      <c r="L3570" t="str">
        <f>"074732"</f>
        <v>074732</v>
      </c>
      <c r="M3570" t="str">
        <f>"83007"</f>
        <v>83007</v>
      </c>
      <c r="N3570" t="s">
        <v>2690</v>
      </c>
      <c r="O3570">
        <v>300</v>
      </c>
      <c r="P3570">
        <v>20181115</v>
      </c>
      <c r="Q3570" t="s">
        <v>2411</v>
      </c>
      <c r="R3570" t="s">
        <v>2717</v>
      </c>
      <c r="S3570" t="s">
        <v>1615</v>
      </c>
      <c r="T3570" t="s">
        <v>301</v>
      </c>
    </row>
    <row r="3571" spans="1:20" x14ac:dyDescent="0.25">
      <c r="A3571">
        <v>9</v>
      </c>
      <c r="B3571">
        <v>199</v>
      </c>
      <c r="C3571" t="str">
        <f>"36"</f>
        <v>36</v>
      </c>
      <c r="D3571">
        <v>6411</v>
      </c>
      <c r="E3571" t="str">
        <f>"7B"</f>
        <v>7B</v>
      </c>
      <c r="F3571" t="str">
        <f t="shared" si="710"/>
        <v>001</v>
      </c>
      <c r="G3571">
        <v>9</v>
      </c>
      <c r="H3571" t="str">
        <f>"99"</f>
        <v>99</v>
      </c>
      <c r="I3571" t="str">
        <f>"0"</f>
        <v>0</v>
      </c>
      <c r="J3571" t="str">
        <f>"32"</f>
        <v>32</v>
      </c>
      <c r="K3571">
        <v>20181116</v>
      </c>
      <c r="L3571" t="str">
        <f>"074733"</f>
        <v>074733</v>
      </c>
      <c r="M3571" t="str">
        <f>"84370"</f>
        <v>84370</v>
      </c>
      <c r="N3571" t="s">
        <v>395</v>
      </c>
      <c r="O3571">
        <v>17</v>
      </c>
      <c r="P3571">
        <v>20181115</v>
      </c>
      <c r="Q3571" t="s">
        <v>1694</v>
      </c>
      <c r="R3571" t="s">
        <v>2634</v>
      </c>
      <c r="S3571" t="s">
        <v>1615</v>
      </c>
      <c r="T3571" t="s">
        <v>301</v>
      </c>
    </row>
    <row r="3572" spans="1:20" x14ac:dyDescent="0.25">
      <c r="A3572">
        <v>9</v>
      </c>
      <c r="B3572">
        <v>199</v>
      </c>
      <c r="C3572" t="str">
        <f>"36"</f>
        <v>36</v>
      </c>
      <c r="D3572">
        <v>6412</v>
      </c>
      <c r="E3572" t="str">
        <f>"7B"</f>
        <v>7B</v>
      </c>
      <c r="F3572" t="str">
        <f t="shared" si="710"/>
        <v>001</v>
      </c>
      <c r="G3572">
        <v>9</v>
      </c>
      <c r="H3572" t="str">
        <f>"99"</f>
        <v>99</v>
      </c>
      <c r="I3572" t="str">
        <f>"1"</f>
        <v>1</v>
      </c>
      <c r="J3572" t="str">
        <f>"32"</f>
        <v>32</v>
      </c>
      <c r="K3572">
        <v>20181116</v>
      </c>
      <c r="L3572" t="str">
        <f>"074733"</f>
        <v>074733</v>
      </c>
      <c r="M3572" t="str">
        <f>"84370"</f>
        <v>84370</v>
      </c>
      <c r="N3572" t="s">
        <v>395</v>
      </c>
      <c r="O3572">
        <v>476.2</v>
      </c>
      <c r="P3572">
        <v>20181115</v>
      </c>
      <c r="Q3572" t="s">
        <v>1696</v>
      </c>
      <c r="R3572" t="s">
        <v>2634</v>
      </c>
      <c r="S3572" t="s">
        <v>1615</v>
      </c>
      <c r="T3572" t="s">
        <v>301</v>
      </c>
    </row>
    <row r="3573" spans="1:20" x14ac:dyDescent="0.25">
      <c r="A3573">
        <v>9</v>
      </c>
      <c r="B3573">
        <v>199</v>
      </c>
      <c r="C3573" t="str">
        <f>"21"</f>
        <v>21</v>
      </c>
      <c r="D3573">
        <v>6411</v>
      </c>
      <c r="E3573" t="str">
        <f>"V1"</f>
        <v>V1</v>
      </c>
      <c r="F3573" t="str">
        <f t="shared" si="710"/>
        <v>001</v>
      </c>
      <c r="G3573">
        <v>9</v>
      </c>
      <c r="H3573" t="str">
        <f>"22"</f>
        <v>22</v>
      </c>
      <c r="I3573" t="str">
        <f t="shared" ref="I3573:I3580" si="711">"0"</f>
        <v>0</v>
      </c>
      <c r="J3573" t="str">
        <f>"22"</f>
        <v>22</v>
      </c>
      <c r="K3573">
        <v>20181116</v>
      </c>
      <c r="L3573" t="str">
        <f>"074737"</f>
        <v>074737</v>
      </c>
      <c r="M3573" t="str">
        <f>"24930"</f>
        <v>24930</v>
      </c>
      <c r="N3573" t="s">
        <v>2800</v>
      </c>
      <c r="O3573">
        <v>196.7</v>
      </c>
      <c r="P3573">
        <v>20181115</v>
      </c>
      <c r="Q3573" t="s">
        <v>2728</v>
      </c>
      <c r="R3573" t="s">
        <v>2801</v>
      </c>
      <c r="S3573" t="s">
        <v>1615</v>
      </c>
      <c r="T3573" t="s">
        <v>301</v>
      </c>
    </row>
    <row r="3574" spans="1:20" x14ac:dyDescent="0.25">
      <c r="A3574">
        <v>9</v>
      </c>
      <c r="B3574">
        <v>199</v>
      </c>
      <c r="C3574" t="str">
        <f>"53"</f>
        <v>53</v>
      </c>
      <c r="D3574">
        <v>6411</v>
      </c>
      <c r="E3574" t="str">
        <f>"10"</f>
        <v>10</v>
      </c>
      <c r="F3574" t="str">
        <f>"880"</f>
        <v>880</v>
      </c>
      <c r="G3574">
        <v>9</v>
      </c>
      <c r="H3574" t="str">
        <f>"99"</f>
        <v>99</v>
      </c>
      <c r="I3574" t="str">
        <f t="shared" si="711"/>
        <v>0</v>
      </c>
      <c r="J3574" t="str">
        <f>"80"</f>
        <v>80</v>
      </c>
      <c r="K3574">
        <v>20181116</v>
      </c>
      <c r="L3574" t="str">
        <f>"074738"</f>
        <v>074738</v>
      </c>
      <c r="M3574" t="str">
        <f>"84607"</f>
        <v>84607</v>
      </c>
      <c r="N3574" t="s">
        <v>2802</v>
      </c>
      <c r="O3574">
        <v>74.75</v>
      </c>
      <c r="P3574">
        <v>20181115</v>
      </c>
      <c r="Q3574" t="s">
        <v>1901</v>
      </c>
      <c r="R3574" t="s">
        <v>2803</v>
      </c>
      <c r="S3574" t="s">
        <v>1615</v>
      </c>
      <c r="T3574" t="s">
        <v>1866</v>
      </c>
    </row>
    <row r="3575" spans="1:20" x14ac:dyDescent="0.25">
      <c r="A3575">
        <v>9</v>
      </c>
      <c r="B3575">
        <v>199</v>
      </c>
      <c r="C3575" t="str">
        <f>"52"</f>
        <v>52</v>
      </c>
      <c r="D3575">
        <v>6219</v>
      </c>
      <c r="E3575" t="str">
        <f>"00"</f>
        <v>00</v>
      </c>
      <c r="F3575" t="str">
        <f>"101"</f>
        <v>101</v>
      </c>
      <c r="G3575">
        <v>9</v>
      </c>
      <c r="H3575" t="str">
        <f>"99"</f>
        <v>99</v>
      </c>
      <c r="I3575" t="str">
        <f t="shared" si="711"/>
        <v>0</v>
      </c>
      <c r="J3575" t="str">
        <f>"00"</f>
        <v>00</v>
      </c>
      <c r="K3575">
        <v>20181116</v>
      </c>
      <c r="L3575" t="str">
        <f>"074739"</f>
        <v>074739</v>
      </c>
      <c r="M3575" t="str">
        <f>"00242"</f>
        <v>00242</v>
      </c>
      <c r="N3575" t="s">
        <v>1669</v>
      </c>
      <c r="O3575">
        <v>270</v>
      </c>
      <c r="P3575">
        <v>20181115</v>
      </c>
      <c r="Q3575" t="s">
        <v>1854</v>
      </c>
      <c r="R3575" t="s">
        <v>2804</v>
      </c>
      <c r="S3575" t="s">
        <v>1615</v>
      </c>
      <c r="T3575" t="s">
        <v>1479</v>
      </c>
    </row>
    <row r="3576" spans="1:20" x14ac:dyDescent="0.25">
      <c r="A3576">
        <v>9</v>
      </c>
      <c r="B3576">
        <v>199</v>
      </c>
      <c r="C3576" t="str">
        <f>"52"</f>
        <v>52</v>
      </c>
      <c r="D3576">
        <v>6219</v>
      </c>
      <c r="E3576" t="str">
        <f>"00"</f>
        <v>00</v>
      </c>
      <c r="F3576" t="str">
        <f>"101"</f>
        <v>101</v>
      </c>
      <c r="G3576">
        <v>9</v>
      </c>
      <c r="H3576" t="str">
        <f>"99"</f>
        <v>99</v>
      </c>
      <c r="I3576" t="str">
        <f t="shared" si="711"/>
        <v>0</v>
      </c>
      <c r="J3576" t="str">
        <f>"00"</f>
        <v>00</v>
      </c>
      <c r="K3576">
        <v>20181116</v>
      </c>
      <c r="L3576" t="str">
        <f>"074739"</f>
        <v>074739</v>
      </c>
      <c r="M3576" t="str">
        <f>"00242"</f>
        <v>00242</v>
      </c>
      <c r="N3576" t="s">
        <v>1669</v>
      </c>
      <c r="O3576">
        <v>300</v>
      </c>
      <c r="P3576">
        <v>20181115</v>
      </c>
      <c r="Q3576" t="s">
        <v>1854</v>
      </c>
      <c r="R3576" t="s">
        <v>2805</v>
      </c>
      <c r="S3576" t="s">
        <v>1615</v>
      </c>
      <c r="T3576" t="s">
        <v>1479</v>
      </c>
    </row>
    <row r="3577" spans="1:20" x14ac:dyDescent="0.25">
      <c r="A3577">
        <v>9</v>
      </c>
      <c r="B3577">
        <v>199</v>
      </c>
      <c r="C3577" t="str">
        <f>"34"</f>
        <v>34</v>
      </c>
      <c r="D3577">
        <v>6249</v>
      </c>
      <c r="E3577" t="str">
        <f>"10"</f>
        <v>10</v>
      </c>
      <c r="F3577" t="str">
        <f>"937"</f>
        <v>937</v>
      </c>
      <c r="G3577">
        <v>9</v>
      </c>
      <c r="H3577" t="str">
        <f>"99"</f>
        <v>99</v>
      </c>
      <c r="I3577" t="str">
        <f t="shared" si="711"/>
        <v>0</v>
      </c>
      <c r="J3577" t="str">
        <f>"82"</f>
        <v>82</v>
      </c>
      <c r="K3577">
        <v>20181130</v>
      </c>
      <c r="L3577" t="str">
        <f>"074740"</f>
        <v>074740</v>
      </c>
      <c r="M3577" t="str">
        <f>"00280"</f>
        <v>00280</v>
      </c>
      <c r="N3577" t="s">
        <v>1857</v>
      </c>
      <c r="O3577">
        <v>800</v>
      </c>
      <c r="P3577">
        <v>20181128</v>
      </c>
      <c r="Q3577" t="s">
        <v>2036</v>
      </c>
      <c r="R3577" t="s">
        <v>2806</v>
      </c>
      <c r="S3577" t="s">
        <v>1615</v>
      </c>
      <c r="T3577" t="s">
        <v>1810</v>
      </c>
    </row>
    <row r="3578" spans="1:20" x14ac:dyDescent="0.25">
      <c r="A3578">
        <v>9</v>
      </c>
      <c r="B3578">
        <v>199</v>
      </c>
      <c r="C3578" t="str">
        <f>"34"</f>
        <v>34</v>
      </c>
      <c r="D3578">
        <v>6249</v>
      </c>
      <c r="E3578" t="str">
        <f>"10"</f>
        <v>10</v>
      </c>
      <c r="F3578" t="str">
        <f>"937"</f>
        <v>937</v>
      </c>
      <c r="G3578">
        <v>9</v>
      </c>
      <c r="H3578" t="str">
        <f>"99"</f>
        <v>99</v>
      </c>
      <c r="I3578" t="str">
        <f t="shared" si="711"/>
        <v>0</v>
      </c>
      <c r="J3578" t="str">
        <f>"82"</f>
        <v>82</v>
      </c>
      <c r="K3578">
        <v>20181130</v>
      </c>
      <c r="L3578" t="str">
        <f>"074740"</f>
        <v>074740</v>
      </c>
      <c r="M3578" t="str">
        <f>"00280"</f>
        <v>00280</v>
      </c>
      <c r="N3578" t="s">
        <v>1857</v>
      </c>
      <c r="O3578" s="1">
        <v>2534.06</v>
      </c>
      <c r="P3578">
        <v>20181128</v>
      </c>
      <c r="Q3578" t="s">
        <v>2036</v>
      </c>
      <c r="R3578" t="s">
        <v>2807</v>
      </c>
      <c r="S3578" t="s">
        <v>1615</v>
      </c>
      <c r="T3578" t="s">
        <v>1810</v>
      </c>
    </row>
    <row r="3579" spans="1:20" x14ac:dyDescent="0.25">
      <c r="A3579">
        <v>9</v>
      </c>
      <c r="B3579">
        <v>199</v>
      </c>
      <c r="C3579" t="str">
        <f>"11"</f>
        <v>11</v>
      </c>
      <c r="D3579">
        <v>6399</v>
      </c>
      <c r="E3579" t="str">
        <f>"AP"</f>
        <v>AP</v>
      </c>
      <c r="F3579" t="str">
        <f>"001"</f>
        <v>001</v>
      </c>
      <c r="G3579">
        <v>9</v>
      </c>
      <c r="H3579" t="str">
        <f>"31"</f>
        <v>31</v>
      </c>
      <c r="I3579" t="str">
        <f t="shared" si="711"/>
        <v>0</v>
      </c>
      <c r="J3579" t="str">
        <f>"34"</f>
        <v>34</v>
      </c>
      <c r="K3579">
        <v>20181130</v>
      </c>
      <c r="L3579" t="str">
        <f>"074742"</f>
        <v>074742</v>
      </c>
      <c r="M3579" t="str">
        <f>"00546"</f>
        <v>00546</v>
      </c>
      <c r="N3579" t="s">
        <v>2808</v>
      </c>
      <c r="O3579">
        <v>245</v>
      </c>
      <c r="P3579">
        <v>20181128</v>
      </c>
      <c r="Q3579" t="s">
        <v>1677</v>
      </c>
      <c r="R3579" t="s">
        <v>2809</v>
      </c>
      <c r="S3579" t="s">
        <v>1615</v>
      </c>
      <c r="T3579" t="s">
        <v>301</v>
      </c>
    </row>
    <row r="3580" spans="1:20" x14ac:dyDescent="0.25">
      <c r="A3580">
        <v>9</v>
      </c>
      <c r="B3580">
        <v>199</v>
      </c>
      <c r="C3580" t="str">
        <f>"11"</f>
        <v>11</v>
      </c>
      <c r="D3580">
        <v>6399</v>
      </c>
      <c r="E3580" t="str">
        <f>"45"</f>
        <v>45</v>
      </c>
      <c r="F3580" t="str">
        <f>"101"</f>
        <v>101</v>
      </c>
      <c r="G3580">
        <v>9</v>
      </c>
      <c r="H3580" t="str">
        <f>"11"</f>
        <v>11</v>
      </c>
      <c r="I3580" t="str">
        <f t="shared" si="711"/>
        <v>0</v>
      </c>
      <c r="J3580" t="str">
        <f>"04"</f>
        <v>04</v>
      </c>
      <c r="K3580">
        <v>20181130</v>
      </c>
      <c r="L3580" t="str">
        <f>"074743"</f>
        <v>074743</v>
      </c>
      <c r="M3580" t="str">
        <f>"00314"</f>
        <v>00314</v>
      </c>
      <c r="N3580" t="s">
        <v>1858</v>
      </c>
      <c r="O3580">
        <v>107.96</v>
      </c>
      <c r="P3580">
        <v>20181128</v>
      </c>
      <c r="Q3580" t="s">
        <v>1859</v>
      </c>
      <c r="R3580" t="s">
        <v>1959</v>
      </c>
      <c r="S3580" t="s">
        <v>1615</v>
      </c>
      <c r="T3580" t="s">
        <v>1479</v>
      </c>
    </row>
    <row r="3581" spans="1:20" x14ac:dyDescent="0.25">
      <c r="A3581">
        <v>9</v>
      </c>
      <c r="B3581">
        <v>199</v>
      </c>
      <c r="C3581" t="str">
        <f t="shared" ref="C3581:C3587" si="712">"51"</f>
        <v>51</v>
      </c>
      <c r="D3581">
        <v>6249</v>
      </c>
      <c r="E3581" t="str">
        <f t="shared" ref="E3581:E3587" si="713">"PM"</f>
        <v>PM</v>
      </c>
      <c r="F3581" t="str">
        <f t="shared" ref="F3581:F3587" si="714">"936"</f>
        <v>936</v>
      </c>
      <c r="G3581">
        <v>9</v>
      </c>
      <c r="H3581" t="str">
        <f t="shared" ref="H3581:H3587" si="715">"99"</f>
        <v>99</v>
      </c>
      <c r="I3581" t="str">
        <f t="shared" ref="I3581:I3587" si="716">"1"</f>
        <v>1</v>
      </c>
      <c r="J3581" t="str">
        <f t="shared" ref="J3581:J3587" si="717">"81"</f>
        <v>81</v>
      </c>
      <c r="K3581">
        <v>20181130</v>
      </c>
      <c r="L3581" t="str">
        <f t="shared" ref="L3581:L3587" si="718">"074744"</f>
        <v>074744</v>
      </c>
      <c r="M3581" t="str">
        <f t="shared" ref="M3581:M3587" si="719">"00306"</f>
        <v>00306</v>
      </c>
      <c r="N3581" t="s">
        <v>2810</v>
      </c>
      <c r="O3581">
        <v>160.29</v>
      </c>
      <c r="P3581">
        <v>20181128</v>
      </c>
      <c r="Q3581" t="s">
        <v>2811</v>
      </c>
      <c r="R3581" t="s">
        <v>2812</v>
      </c>
      <c r="S3581" t="s">
        <v>1615</v>
      </c>
      <c r="T3581" t="s">
        <v>1713</v>
      </c>
    </row>
    <row r="3582" spans="1:20" x14ac:dyDescent="0.25">
      <c r="A3582">
        <v>9</v>
      </c>
      <c r="B3582">
        <v>199</v>
      </c>
      <c r="C3582" t="str">
        <f t="shared" si="712"/>
        <v>51</v>
      </c>
      <c r="D3582">
        <v>6249</v>
      </c>
      <c r="E3582" t="str">
        <f t="shared" si="713"/>
        <v>PM</v>
      </c>
      <c r="F3582" t="str">
        <f t="shared" si="714"/>
        <v>936</v>
      </c>
      <c r="G3582">
        <v>9</v>
      </c>
      <c r="H3582" t="str">
        <f t="shared" si="715"/>
        <v>99</v>
      </c>
      <c r="I3582" t="str">
        <f t="shared" si="716"/>
        <v>1</v>
      </c>
      <c r="J3582" t="str">
        <f t="shared" si="717"/>
        <v>81</v>
      </c>
      <c r="K3582">
        <v>20181130</v>
      </c>
      <c r="L3582" t="str">
        <f t="shared" si="718"/>
        <v>074744</v>
      </c>
      <c r="M3582" t="str">
        <f t="shared" si="719"/>
        <v>00306</v>
      </c>
      <c r="N3582" t="s">
        <v>2810</v>
      </c>
      <c r="O3582">
        <v>22.84</v>
      </c>
      <c r="P3582">
        <v>20181128</v>
      </c>
      <c r="Q3582" t="s">
        <v>2811</v>
      </c>
      <c r="R3582" t="s">
        <v>2813</v>
      </c>
      <c r="S3582" t="s">
        <v>1615</v>
      </c>
      <c r="T3582" t="s">
        <v>1713</v>
      </c>
    </row>
    <row r="3583" spans="1:20" x14ac:dyDescent="0.25">
      <c r="A3583">
        <v>9</v>
      </c>
      <c r="B3583">
        <v>199</v>
      </c>
      <c r="C3583" t="str">
        <f t="shared" si="712"/>
        <v>51</v>
      </c>
      <c r="D3583">
        <v>6249</v>
      </c>
      <c r="E3583" t="str">
        <f t="shared" si="713"/>
        <v>PM</v>
      </c>
      <c r="F3583" t="str">
        <f t="shared" si="714"/>
        <v>936</v>
      </c>
      <c r="G3583">
        <v>9</v>
      </c>
      <c r="H3583" t="str">
        <f t="shared" si="715"/>
        <v>99</v>
      </c>
      <c r="I3583" t="str">
        <f t="shared" si="716"/>
        <v>1</v>
      </c>
      <c r="J3583" t="str">
        <f t="shared" si="717"/>
        <v>81</v>
      </c>
      <c r="K3583">
        <v>20181130</v>
      </c>
      <c r="L3583" t="str">
        <f t="shared" si="718"/>
        <v>074744</v>
      </c>
      <c r="M3583" t="str">
        <f t="shared" si="719"/>
        <v>00306</v>
      </c>
      <c r="N3583" t="s">
        <v>2810</v>
      </c>
      <c r="O3583">
        <v>90.78</v>
      </c>
      <c r="P3583">
        <v>20181128</v>
      </c>
      <c r="Q3583" t="s">
        <v>2811</v>
      </c>
      <c r="R3583" t="s">
        <v>2814</v>
      </c>
      <c r="S3583" t="s">
        <v>1615</v>
      </c>
      <c r="T3583" t="s">
        <v>1713</v>
      </c>
    </row>
    <row r="3584" spans="1:20" x14ac:dyDescent="0.25">
      <c r="A3584">
        <v>9</v>
      </c>
      <c r="B3584">
        <v>199</v>
      </c>
      <c r="C3584" t="str">
        <f t="shared" si="712"/>
        <v>51</v>
      </c>
      <c r="D3584">
        <v>6249</v>
      </c>
      <c r="E3584" t="str">
        <f t="shared" si="713"/>
        <v>PM</v>
      </c>
      <c r="F3584" t="str">
        <f t="shared" si="714"/>
        <v>936</v>
      </c>
      <c r="G3584">
        <v>9</v>
      </c>
      <c r="H3584" t="str">
        <f t="shared" si="715"/>
        <v>99</v>
      </c>
      <c r="I3584" t="str">
        <f t="shared" si="716"/>
        <v>1</v>
      </c>
      <c r="J3584" t="str">
        <f t="shared" si="717"/>
        <v>81</v>
      </c>
      <c r="K3584">
        <v>20181130</v>
      </c>
      <c r="L3584" t="str">
        <f t="shared" si="718"/>
        <v>074744</v>
      </c>
      <c r="M3584" t="str">
        <f t="shared" si="719"/>
        <v>00306</v>
      </c>
      <c r="N3584" t="s">
        <v>2810</v>
      </c>
      <c r="O3584">
        <v>160.28</v>
      </c>
      <c r="P3584">
        <v>20181128</v>
      </c>
      <c r="Q3584" t="s">
        <v>2811</v>
      </c>
      <c r="R3584" t="s">
        <v>2815</v>
      </c>
      <c r="S3584" t="s">
        <v>1615</v>
      </c>
      <c r="T3584" t="s">
        <v>1713</v>
      </c>
    </row>
    <row r="3585" spans="1:20" x14ac:dyDescent="0.25">
      <c r="A3585">
        <v>9</v>
      </c>
      <c r="B3585">
        <v>199</v>
      </c>
      <c r="C3585" t="str">
        <f t="shared" si="712"/>
        <v>51</v>
      </c>
      <c r="D3585">
        <v>6249</v>
      </c>
      <c r="E3585" t="str">
        <f t="shared" si="713"/>
        <v>PM</v>
      </c>
      <c r="F3585" t="str">
        <f t="shared" si="714"/>
        <v>936</v>
      </c>
      <c r="G3585">
        <v>9</v>
      </c>
      <c r="H3585" t="str">
        <f t="shared" si="715"/>
        <v>99</v>
      </c>
      <c r="I3585" t="str">
        <f t="shared" si="716"/>
        <v>1</v>
      </c>
      <c r="J3585" t="str">
        <f t="shared" si="717"/>
        <v>81</v>
      </c>
      <c r="K3585">
        <v>20181130</v>
      </c>
      <c r="L3585" t="str">
        <f t="shared" si="718"/>
        <v>074744</v>
      </c>
      <c r="M3585" t="str">
        <f t="shared" si="719"/>
        <v>00306</v>
      </c>
      <c r="N3585" t="s">
        <v>2810</v>
      </c>
      <c r="O3585">
        <v>83.03</v>
      </c>
      <c r="P3585">
        <v>20181128</v>
      </c>
      <c r="Q3585" t="s">
        <v>2811</v>
      </c>
      <c r="R3585" t="s">
        <v>2816</v>
      </c>
      <c r="S3585" t="s">
        <v>1615</v>
      </c>
      <c r="T3585" t="s">
        <v>1713</v>
      </c>
    </row>
    <row r="3586" spans="1:20" x14ac:dyDescent="0.25">
      <c r="A3586">
        <v>9</v>
      </c>
      <c r="B3586">
        <v>199</v>
      </c>
      <c r="C3586" t="str">
        <f t="shared" si="712"/>
        <v>51</v>
      </c>
      <c r="D3586">
        <v>6249</v>
      </c>
      <c r="E3586" t="str">
        <f t="shared" si="713"/>
        <v>PM</v>
      </c>
      <c r="F3586" t="str">
        <f t="shared" si="714"/>
        <v>936</v>
      </c>
      <c r="G3586">
        <v>9</v>
      </c>
      <c r="H3586" t="str">
        <f t="shared" si="715"/>
        <v>99</v>
      </c>
      <c r="I3586" t="str">
        <f t="shared" si="716"/>
        <v>1</v>
      </c>
      <c r="J3586" t="str">
        <f t="shared" si="717"/>
        <v>81</v>
      </c>
      <c r="K3586">
        <v>20181130</v>
      </c>
      <c r="L3586" t="str">
        <f t="shared" si="718"/>
        <v>074744</v>
      </c>
      <c r="M3586" t="str">
        <f t="shared" si="719"/>
        <v>00306</v>
      </c>
      <c r="N3586" t="s">
        <v>2810</v>
      </c>
      <c r="O3586">
        <v>411.12</v>
      </c>
      <c r="P3586">
        <v>20181128</v>
      </c>
      <c r="Q3586" t="s">
        <v>2811</v>
      </c>
      <c r="R3586" t="s">
        <v>2817</v>
      </c>
      <c r="S3586" t="s">
        <v>1615</v>
      </c>
      <c r="T3586" t="s">
        <v>1713</v>
      </c>
    </row>
    <row r="3587" spans="1:20" x14ac:dyDescent="0.25">
      <c r="A3587">
        <v>9</v>
      </c>
      <c r="B3587">
        <v>199</v>
      </c>
      <c r="C3587" t="str">
        <f t="shared" si="712"/>
        <v>51</v>
      </c>
      <c r="D3587">
        <v>6249</v>
      </c>
      <c r="E3587" t="str">
        <f t="shared" si="713"/>
        <v>PM</v>
      </c>
      <c r="F3587" t="str">
        <f t="shared" si="714"/>
        <v>936</v>
      </c>
      <c r="G3587">
        <v>9</v>
      </c>
      <c r="H3587" t="str">
        <f t="shared" si="715"/>
        <v>99</v>
      </c>
      <c r="I3587" t="str">
        <f t="shared" si="716"/>
        <v>1</v>
      </c>
      <c r="J3587" t="str">
        <f t="shared" si="717"/>
        <v>81</v>
      </c>
      <c r="K3587">
        <v>20181130</v>
      </c>
      <c r="L3587" t="str">
        <f t="shared" si="718"/>
        <v>074744</v>
      </c>
      <c r="M3587" t="str">
        <f t="shared" si="719"/>
        <v>00306</v>
      </c>
      <c r="N3587" t="s">
        <v>2810</v>
      </c>
      <c r="O3587" s="1">
        <v>2507.16</v>
      </c>
      <c r="P3587">
        <v>20181128</v>
      </c>
      <c r="Q3587" t="s">
        <v>2811</v>
      </c>
      <c r="R3587" t="s">
        <v>2818</v>
      </c>
      <c r="S3587" t="s">
        <v>1615</v>
      </c>
      <c r="T3587" t="s">
        <v>1713</v>
      </c>
    </row>
    <row r="3588" spans="1:20" x14ac:dyDescent="0.25">
      <c r="A3588">
        <v>9</v>
      </c>
      <c r="B3588">
        <v>199</v>
      </c>
      <c r="C3588" t="str">
        <f t="shared" ref="C3588:C3597" si="720">"11"</f>
        <v>11</v>
      </c>
      <c r="D3588">
        <v>6399</v>
      </c>
      <c r="E3588" t="str">
        <f>"10"</f>
        <v>10</v>
      </c>
      <c r="F3588" t="str">
        <f>"001"</f>
        <v>001</v>
      </c>
      <c r="G3588">
        <v>9</v>
      </c>
      <c r="H3588" t="str">
        <f t="shared" ref="H3588:H3594" si="721">"11"</f>
        <v>11</v>
      </c>
      <c r="I3588" t="str">
        <f t="shared" ref="I3588:I3626" si="722">"0"</f>
        <v>0</v>
      </c>
      <c r="J3588" t="str">
        <f>"01"</f>
        <v>01</v>
      </c>
      <c r="K3588">
        <v>20181130</v>
      </c>
      <c r="L3588" t="str">
        <f t="shared" ref="L3588:L3601" si="723">"074746"</f>
        <v>074746</v>
      </c>
      <c r="M3588" t="str">
        <f t="shared" ref="M3588:M3601" si="724">"04410"</f>
        <v>04410</v>
      </c>
      <c r="N3588" t="s">
        <v>410</v>
      </c>
      <c r="O3588">
        <v>176.6</v>
      </c>
      <c r="P3588">
        <v>20181128</v>
      </c>
      <c r="Q3588" t="s">
        <v>1675</v>
      </c>
      <c r="R3588" t="s">
        <v>2819</v>
      </c>
      <c r="S3588" t="s">
        <v>1615</v>
      </c>
      <c r="T3588" t="s">
        <v>301</v>
      </c>
    </row>
    <row r="3589" spans="1:20" x14ac:dyDescent="0.25">
      <c r="A3589">
        <v>9</v>
      </c>
      <c r="B3589">
        <v>199</v>
      </c>
      <c r="C3589" t="str">
        <f t="shared" si="720"/>
        <v>11</v>
      </c>
      <c r="D3589">
        <v>6399</v>
      </c>
      <c r="E3589" t="str">
        <f>"10"</f>
        <v>10</v>
      </c>
      <c r="F3589" t="str">
        <f>"104"</f>
        <v>104</v>
      </c>
      <c r="G3589">
        <v>9</v>
      </c>
      <c r="H3589" t="str">
        <f t="shared" si="721"/>
        <v>11</v>
      </c>
      <c r="I3589" t="str">
        <f t="shared" si="722"/>
        <v>0</v>
      </c>
      <c r="J3589" t="str">
        <f>"80"</f>
        <v>80</v>
      </c>
      <c r="K3589">
        <v>20181130</v>
      </c>
      <c r="L3589" t="str">
        <f t="shared" si="723"/>
        <v>074746</v>
      </c>
      <c r="M3589" t="str">
        <f t="shared" si="724"/>
        <v>04410</v>
      </c>
      <c r="N3589" t="s">
        <v>410</v>
      </c>
      <c r="O3589">
        <v>388.07</v>
      </c>
      <c r="P3589">
        <v>20181128</v>
      </c>
      <c r="Q3589" t="s">
        <v>2695</v>
      </c>
      <c r="R3589" t="s">
        <v>1993</v>
      </c>
      <c r="S3589" t="s">
        <v>1615</v>
      </c>
      <c r="T3589" t="s">
        <v>46</v>
      </c>
    </row>
    <row r="3590" spans="1:20" x14ac:dyDescent="0.25">
      <c r="A3590">
        <v>9</v>
      </c>
      <c r="B3590">
        <v>199</v>
      </c>
      <c r="C3590" t="str">
        <f t="shared" si="720"/>
        <v>11</v>
      </c>
      <c r="D3590">
        <v>6399</v>
      </c>
      <c r="E3590" t="str">
        <f>"LS"</f>
        <v>LS</v>
      </c>
      <c r="F3590" t="str">
        <f>"001"</f>
        <v>001</v>
      </c>
      <c r="G3590">
        <v>9</v>
      </c>
      <c r="H3590" t="str">
        <f t="shared" si="721"/>
        <v>11</v>
      </c>
      <c r="I3590" t="str">
        <f t="shared" si="722"/>
        <v>0</v>
      </c>
      <c r="J3590" t="str">
        <f>"01"</f>
        <v>01</v>
      </c>
      <c r="K3590">
        <v>20181130</v>
      </c>
      <c r="L3590" t="str">
        <f t="shared" si="723"/>
        <v>074746</v>
      </c>
      <c r="M3590" t="str">
        <f t="shared" si="724"/>
        <v>04410</v>
      </c>
      <c r="N3590" t="s">
        <v>410</v>
      </c>
      <c r="O3590">
        <v>109.43</v>
      </c>
      <c r="P3590">
        <v>20181128</v>
      </c>
      <c r="Q3590" t="s">
        <v>2820</v>
      </c>
      <c r="R3590" t="s">
        <v>2821</v>
      </c>
      <c r="S3590" t="s">
        <v>1615</v>
      </c>
      <c r="T3590" t="s">
        <v>301</v>
      </c>
    </row>
    <row r="3591" spans="1:20" x14ac:dyDescent="0.25">
      <c r="A3591">
        <v>9</v>
      </c>
      <c r="B3591">
        <v>199</v>
      </c>
      <c r="C3591" t="str">
        <f t="shared" si="720"/>
        <v>11</v>
      </c>
      <c r="D3591">
        <v>6399</v>
      </c>
      <c r="E3591" t="str">
        <f>"LS"</f>
        <v>LS</v>
      </c>
      <c r="F3591" t="str">
        <f>"001"</f>
        <v>001</v>
      </c>
      <c r="G3591">
        <v>9</v>
      </c>
      <c r="H3591" t="str">
        <f t="shared" si="721"/>
        <v>11</v>
      </c>
      <c r="I3591" t="str">
        <f t="shared" si="722"/>
        <v>0</v>
      </c>
      <c r="J3591" t="str">
        <f>"01"</f>
        <v>01</v>
      </c>
      <c r="K3591">
        <v>20181130</v>
      </c>
      <c r="L3591" t="str">
        <f t="shared" si="723"/>
        <v>074746</v>
      </c>
      <c r="M3591" t="str">
        <f t="shared" si="724"/>
        <v>04410</v>
      </c>
      <c r="N3591" t="s">
        <v>410</v>
      </c>
      <c r="O3591">
        <v>62.98</v>
      </c>
      <c r="P3591">
        <v>20181128</v>
      </c>
      <c r="Q3591" t="s">
        <v>2820</v>
      </c>
      <c r="R3591" t="s">
        <v>2822</v>
      </c>
      <c r="S3591" t="s">
        <v>1615</v>
      </c>
      <c r="T3591" t="s">
        <v>301</v>
      </c>
    </row>
    <row r="3592" spans="1:20" x14ac:dyDescent="0.25">
      <c r="A3592">
        <v>9</v>
      </c>
      <c r="B3592">
        <v>199</v>
      </c>
      <c r="C3592" t="str">
        <f t="shared" si="720"/>
        <v>11</v>
      </c>
      <c r="D3592">
        <v>6399</v>
      </c>
      <c r="E3592" t="str">
        <f>"PK"</f>
        <v>PK</v>
      </c>
      <c r="F3592" t="str">
        <f>"101"</f>
        <v>101</v>
      </c>
      <c r="G3592">
        <v>9</v>
      </c>
      <c r="H3592" t="str">
        <f t="shared" si="721"/>
        <v>11</v>
      </c>
      <c r="I3592" t="str">
        <f t="shared" si="722"/>
        <v>0</v>
      </c>
      <c r="J3592" t="str">
        <f>"04"</f>
        <v>04</v>
      </c>
      <c r="K3592">
        <v>20181130</v>
      </c>
      <c r="L3592" t="str">
        <f t="shared" si="723"/>
        <v>074746</v>
      </c>
      <c r="M3592" t="str">
        <f t="shared" si="724"/>
        <v>04410</v>
      </c>
      <c r="N3592" t="s">
        <v>410</v>
      </c>
      <c r="O3592">
        <v>280.51</v>
      </c>
      <c r="P3592">
        <v>20181128</v>
      </c>
      <c r="Q3592" t="s">
        <v>2823</v>
      </c>
      <c r="R3592" t="s">
        <v>2793</v>
      </c>
      <c r="S3592" t="s">
        <v>1615</v>
      </c>
      <c r="T3592" t="s">
        <v>1479</v>
      </c>
    </row>
    <row r="3593" spans="1:20" x14ac:dyDescent="0.25">
      <c r="A3593">
        <v>9</v>
      </c>
      <c r="B3593">
        <v>199</v>
      </c>
      <c r="C3593" t="str">
        <f t="shared" si="720"/>
        <v>11</v>
      </c>
      <c r="D3593">
        <v>6399</v>
      </c>
      <c r="E3593" t="str">
        <f>"PK"</f>
        <v>PK</v>
      </c>
      <c r="F3593" t="str">
        <f>"101"</f>
        <v>101</v>
      </c>
      <c r="G3593">
        <v>9</v>
      </c>
      <c r="H3593" t="str">
        <f t="shared" si="721"/>
        <v>11</v>
      </c>
      <c r="I3593" t="str">
        <f t="shared" si="722"/>
        <v>0</v>
      </c>
      <c r="J3593" t="str">
        <f>"04"</f>
        <v>04</v>
      </c>
      <c r="K3593">
        <v>20181130</v>
      </c>
      <c r="L3593" t="str">
        <f t="shared" si="723"/>
        <v>074746</v>
      </c>
      <c r="M3593" t="str">
        <f t="shared" si="724"/>
        <v>04410</v>
      </c>
      <c r="N3593" t="s">
        <v>410</v>
      </c>
      <c r="O3593">
        <v>179.62</v>
      </c>
      <c r="P3593">
        <v>20181128</v>
      </c>
      <c r="Q3593" t="s">
        <v>2823</v>
      </c>
      <c r="R3593" t="s">
        <v>2793</v>
      </c>
      <c r="S3593" t="s">
        <v>1615</v>
      </c>
      <c r="T3593" t="s">
        <v>1479</v>
      </c>
    </row>
    <row r="3594" spans="1:20" x14ac:dyDescent="0.25">
      <c r="A3594">
        <v>9</v>
      </c>
      <c r="B3594">
        <v>199</v>
      </c>
      <c r="C3594" t="str">
        <f t="shared" si="720"/>
        <v>11</v>
      </c>
      <c r="D3594">
        <v>6399</v>
      </c>
      <c r="E3594" t="str">
        <f>"SL"</f>
        <v>SL</v>
      </c>
      <c r="F3594" t="str">
        <f>"001"</f>
        <v>001</v>
      </c>
      <c r="G3594">
        <v>9</v>
      </c>
      <c r="H3594" t="str">
        <f t="shared" si="721"/>
        <v>11</v>
      </c>
      <c r="I3594" t="str">
        <f t="shared" si="722"/>
        <v>0</v>
      </c>
      <c r="J3594" t="str">
        <f>"01"</f>
        <v>01</v>
      </c>
      <c r="K3594">
        <v>20181130</v>
      </c>
      <c r="L3594" t="str">
        <f t="shared" si="723"/>
        <v>074746</v>
      </c>
      <c r="M3594" t="str">
        <f t="shared" si="724"/>
        <v>04410</v>
      </c>
      <c r="N3594" t="s">
        <v>410</v>
      </c>
      <c r="O3594">
        <v>351.48</v>
      </c>
      <c r="P3594">
        <v>20181128</v>
      </c>
      <c r="Q3594" t="s">
        <v>2824</v>
      </c>
      <c r="R3594" t="s">
        <v>2825</v>
      </c>
      <c r="S3594" t="s">
        <v>1615</v>
      </c>
      <c r="T3594" t="s">
        <v>301</v>
      </c>
    </row>
    <row r="3595" spans="1:20" x14ac:dyDescent="0.25">
      <c r="A3595">
        <v>9</v>
      </c>
      <c r="B3595">
        <v>199</v>
      </c>
      <c r="C3595" t="str">
        <f t="shared" si="720"/>
        <v>11</v>
      </c>
      <c r="D3595">
        <v>6399</v>
      </c>
      <c r="E3595" t="str">
        <f>"VH"</f>
        <v>VH</v>
      </c>
      <c r="F3595" t="str">
        <f>"001"</f>
        <v>001</v>
      </c>
      <c r="G3595">
        <v>9</v>
      </c>
      <c r="H3595" t="str">
        <f>"22"</f>
        <v>22</v>
      </c>
      <c r="I3595" t="str">
        <f t="shared" si="722"/>
        <v>0</v>
      </c>
      <c r="J3595" t="str">
        <f>"22"</f>
        <v>22</v>
      </c>
      <c r="K3595">
        <v>20181130</v>
      </c>
      <c r="L3595" t="str">
        <f t="shared" si="723"/>
        <v>074746</v>
      </c>
      <c r="M3595" t="str">
        <f t="shared" si="724"/>
        <v>04410</v>
      </c>
      <c r="N3595" t="s">
        <v>410</v>
      </c>
      <c r="O3595">
        <v>390.5</v>
      </c>
      <c r="P3595">
        <v>20181128</v>
      </c>
      <c r="Q3595" t="s">
        <v>2206</v>
      </c>
      <c r="R3595" t="s">
        <v>2636</v>
      </c>
      <c r="S3595" t="s">
        <v>1615</v>
      </c>
      <c r="T3595" t="s">
        <v>301</v>
      </c>
    </row>
    <row r="3596" spans="1:20" x14ac:dyDescent="0.25">
      <c r="A3596">
        <v>9</v>
      </c>
      <c r="B3596">
        <v>199</v>
      </c>
      <c r="C3596" t="str">
        <f t="shared" si="720"/>
        <v>11</v>
      </c>
      <c r="D3596">
        <v>6399</v>
      </c>
      <c r="E3596" t="str">
        <f>"VJ"</f>
        <v>VJ</v>
      </c>
      <c r="F3596" t="str">
        <f>"001"</f>
        <v>001</v>
      </c>
      <c r="G3596">
        <v>9</v>
      </c>
      <c r="H3596" t="str">
        <f>"22"</f>
        <v>22</v>
      </c>
      <c r="I3596" t="str">
        <f t="shared" si="722"/>
        <v>0</v>
      </c>
      <c r="J3596" t="str">
        <f>"22"</f>
        <v>22</v>
      </c>
      <c r="K3596">
        <v>20181130</v>
      </c>
      <c r="L3596" t="str">
        <f t="shared" si="723"/>
        <v>074746</v>
      </c>
      <c r="M3596" t="str">
        <f t="shared" si="724"/>
        <v>04410</v>
      </c>
      <c r="N3596" t="s">
        <v>410</v>
      </c>
      <c r="O3596">
        <v>115.8</v>
      </c>
      <c r="P3596">
        <v>20181128</v>
      </c>
      <c r="Q3596" t="s">
        <v>2759</v>
      </c>
      <c r="R3596" t="s">
        <v>2826</v>
      </c>
      <c r="S3596" t="s">
        <v>1615</v>
      </c>
      <c r="T3596" t="s">
        <v>301</v>
      </c>
    </row>
    <row r="3597" spans="1:20" x14ac:dyDescent="0.25">
      <c r="A3597">
        <v>9</v>
      </c>
      <c r="B3597">
        <v>199</v>
      </c>
      <c r="C3597" t="str">
        <f t="shared" si="720"/>
        <v>11</v>
      </c>
      <c r="D3597">
        <v>6399</v>
      </c>
      <c r="E3597" t="str">
        <f>"VR"</f>
        <v>VR</v>
      </c>
      <c r="F3597" t="str">
        <f>"001"</f>
        <v>001</v>
      </c>
      <c r="G3597">
        <v>9</v>
      </c>
      <c r="H3597" t="str">
        <f>"22"</f>
        <v>22</v>
      </c>
      <c r="I3597" t="str">
        <f t="shared" si="722"/>
        <v>0</v>
      </c>
      <c r="J3597" t="str">
        <f>"22"</f>
        <v>22</v>
      </c>
      <c r="K3597">
        <v>20181130</v>
      </c>
      <c r="L3597" t="str">
        <f t="shared" si="723"/>
        <v>074746</v>
      </c>
      <c r="M3597" t="str">
        <f t="shared" si="724"/>
        <v>04410</v>
      </c>
      <c r="N3597" t="s">
        <v>410</v>
      </c>
      <c r="O3597">
        <v>81.12</v>
      </c>
      <c r="P3597">
        <v>20181128</v>
      </c>
      <c r="Q3597" t="s">
        <v>1863</v>
      </c>
      <c r="R3597" t="s">
        <v>2827</v>
      </c>
      <c r="S3597" t="s">
        <v>1615</v>
      </c>
      <c r="T3597" t="s">
        <v>301</v>
      </c>
    </row>
    <row r="3598" spans="1:20" x14ac:dyDescent="0.25">
      <c r="A3598">
        <v>9</v>
      </c>
      <c r="B3598">
        <v>199</v>
      </c>
      <c r="C3598" t="str">
        <f>"23"</f>
        <v>23</v>
      </c>
      <c r="D3598">
        <v>6399</v>
      </c>
      <c r="E3598" t="str">
        <f>"10"</f>
        <v>10</v>
      </c>
      <c r="F3598" t="str">
        <f>"001"</f>
        <v>001</v>
      </c>
      <c r="G3598">
        <v>9</v>
      </c>
      <c r="H3598" t="str">
        <f>"99"</f>
        <v>99</v>
      </c>
      <c r="I3598" t="str">
        <f t="shared" si="722"/>
        <v>0</v>
      </c>
      <c r="J3598" t="str">
        <f>"01"</f>
        <v>01</v>
      </c>
      <c r="K3598">
        <v>20181130</v>
      </c>
      <c r="L3598" t="str">
        <f t="shared" si="723"/>
        <v>074746</v>
      </c>
      <c r="M3598" t="str">
        <f t="shared" si="724"/>
        <v>04410</v>
      </c>
      <c r="N3598" t="s">
        <v>410</v>
      </c>
      <c r="O3598">
        <v>83.96</v>
      </c>
      <c r="P3598">
        <v>20181128</v>
      </c>
      <c r="Q3598" t="s">
        <v>1785</v>
      </c>
      <c r="R3598" t="s">
        <v>1957</v>
      </c>
      <c r="S3598" t="s">
        <v>1615</v>
      </c>
      <c r="T3598" t="s">
        <v>301</v>
      </c>
    </row>
    <row r="3599" spans="1:20" x14ac:dyDescent="0.25">
      <c r="A3599">
        <v>9</v>
      </c>
      <c r="B3599">
        <v>199</v>
      </c>
      <c r="C3599" t="str">
        <f>"23"</f>
        <v>23</v>
      </c>
      <c r="D3599">
        <v>6399</v>
      </c>
      <c r="E3599" t="str">
        <f>"8K"</f>
        <v>8K</v>
      </c>
      <c r="F3599" t="str">
        <f>"101"</f>
        <v>101</v>
      </c>
      <c r="G3599">
        <v>9</v>
      </c>
      <c r="H3599" t="str">
        <f>"99"</f>
        <v>99</v>
      </c>
      <c r="I3599" t="str">
        <f t="shared" si="722"/>
        <v>0</v>
      </c>
      <c r="J3599" t="str">
        <f>"04"</f>
        <v>04</v>
      </c>
      <c r="K3599">
        <v>20181130</v>
      </c>
      <c r="L3599" t="str">
        <f t="shared" si="723"/>
        <v>074746</v>
      </c>
      <c r="M3599" t="str">
        <f t="shared" si="724"/>
        <v>04410</v>
      </c>
      <c r="N3599" t="s">
        <v>410</v>
      </c>
      <c r="O3599">
        <v>53.85</v>
      </c>
      <c r="P3599">
        <v>20181128</v>
      </c>
      <c r="Q3599" t="s">
        <v>1998</v>
      </c>
      <c r="R3599" t="s">
        <v>2828</v>
      </c>
      <c r="S3599" t="s">
        <v>1615</v>
      </c>
      <c r="T3599" t="s">
        <v>1479</v>
      </c>
    </row>
    <row r="3600" spans="1:20" x14ac:dyDescent="0.25">
      <c r="A3600">
        <v>9</v>
      </c>
      <c r="B3600">
        <v>199</v>
      </c>
      <c r="C3600" t="str">
        <f>"23"</f>
        <v>23</v>
      </c>
      <c r="D3600">
        <v>6399</v>
      </c>
      <c r="E3600" t="str">
        <f>"8K"</f>
        <v>8K</v>
      </c>
      <c r="F3600" t="str">
        <f>"101"</f>
        <v>101</v>
      </c>
      <c r="G3600">
        <v>9</v>
      </c>
      <c r="H3600" t="str">
        <f>"99"</f>
        <v>99</v>
      </c>
      <c r="I3600" t="str">
        <f t="shared" si="722"/>
        <v>0</v>
      </c>
      <c r="J3600" t="str">
        <f>"04"</f>
        <v>04</v>
      </c>
      <c r="K3600">
        <v>20181130</v>
      </c>
      <c r="L3600" t="str">
        <f t="shared" si="723"/>
        <v>074746</v>
      </c>
      <c r="M3600" t="str">
        <f t="shared" si="724"/>
        <v>04410</v>
      </c>
      <c r="N3600" t="s">
        <v>410</v>
      </c>
      <c r="O3600">
        <v>49.95</v>
      </c>
      <c r="P3600">
        <v>20181128</v>
      </c>
      <c r="Q3600" t="s">
        <v>1998</v>
      </c>
      <c r="R3600" t="s">
        <v>2829</v>
      </c>
      <c r="S3600" t="s">
        <v>1615</v>
      </c>
      <c r="T3600" t="s">
        <v>1479</v>
      </c>
    </row>
    <row r="3601" spans="1:20" x14ac:dyDescent="0.25">
      <c r="A3601">
        <v>9</v>
      </c>
      <c r="B3601">
        <v>199</v>
      </c>
      <c r="C3601" t="str">
        <f>"31"</f>
        <v>31</v>
      </c>
      <c r="D3601">
        <v>6399</v>
      </c>
      <c r="E3601" t="str">
        <f>"7F"</f>
        <v>7F</v>
      </c>
      <c r="F3601" t="str">
        <f>"001"</f>
        <v>001</v>
      </c>
      <c r="G3601">
        <v>9</v>
      </c>
      <c r="H3601" t="str">
        <f>"31"</f>
        <v>31</v>
      </c>
      <c r="I3601" t="str">
        <f t="shared" si="722"/>
        <v>0</v>
      </c>
      <c r="J3601" t="str">
        <f>"34"</f>
        <v>34</v>
      </c>
      <c r="K3601">
        <v>20181130</v>
      </c>
      <c r="L3601" t="str">
        <f t="shared" si="723"/>
        <v>074746</v>
      </c>
      <c r="M3601" t="str">
        <f t="shared" si="724"/>
        <v>04410</v>
      </c>
      <c r="N3601" t="s">
        <v>410</v>
      </c>
      <c r="O3601">
        <v>272.3</v>
      </c>
      <c r="P3601">
        <v>20181128</v>
      </c>
      <c r="Q3601" t="s">
        <v>1864</v>
      </c>
      <c r="R3601" t="s">
        <v>2830</v>
      </c>
      <c r="S3601" t="s">
        <v>1615</v>
      </c>
      <c r="T3601" t="s">
        <v>301</v>
      </c>
    </row>
    <row r="3602" spans="1:20" x14ac:dyDescent="0.25">
      <c r="A3602">
        <v>9</v>
      </c>
      <c r="B3602">
        <v>199</v>
      </c>
      <c r="C3602" t="str">
        <f>"51"</f>
        <v>51</v>
      </c>
      <c r="D3602">
        <v>6256</v>
      </c>
      <c r="E3602" t="str">
        <f>"11"</f>
        <v>11</v>
      </c>
      <c r="F3602" t="str">
        <f>"880"</f>
        <v>880</v>
      </c>
      <c r="G3602">
        <v>9</v>
      </c>
      <c r="H3602" t="str">
        <f>"99"</f>
        <v>99</v>
      </c>
      <c r="I3602" t="str">
        <f t="shared" si="722"/>
        <v>0</v>
      </c>
      <c r="J3602" t="str">
        <f>"80"</f>
        <v>80</v>
      </c>
      <c r="K3602">
        <v>20181130</v>
      </c>
      <c r="L3602" t="str">
        <f>"074747"</f>
        <v>074747</v>
      </c>
      <c r="M3602" t="str">
        <f>"00392"</f>
        <v>00392</v>
      </c>
      <c r="N3602" t="s">
        <v>1869</v>
      </c>
      <c r="O3602">
        <v>47.23</v>
      </c>
      <c r="P3602">
        <v>20181128</v>
      </c>
      <c r="Q3602" t="s">
        <v>1871</v>
      </c>
      <c r="R3602" t="s">
        <v>2831</v>
      </c>
      <c r="S3602" t="s">
        <v>1615</v>
      </c>
      <c r="T3602" t="s">
        <v>1866</v>
      </c>
    </row>
    <row r="3603" spans="1:20" x14ac:dyDescent="0.25">
      <c r="A3603">
        <v>9</v>
      </c>
      <c r="B3603">
        <v>199</v>
      </c>
      <c r="C3603" t="str">
        <f>"51"</f>
        <v>51</v>
      </c>
      <c r="D3603">
        <v>6319</v>
      </c>
      <c r="E3603" t="str">
        <f>"M2"</f>
        <v>M2</v>
      </c>
      <c r="F3603" t="str">
        <f>"936"</f>
        <v>936</v>
      </c>
      <c r="G3603">
        <v>9</v>
      </c>
      <c r="H3603" t="str">
        <f>"99"</f>
        <v>99</v>
      </c>
      <c r="I3603" t="str">
        <f t="shared" si="722"/>
        <v>0</v>
      </c>
      <c r="J3603" t="str">
        <f>"81"</f>
        <v>81</v>
      </c>
      <c r="K3603">
        <v>20181130</v>
      </c>
      <c r="L3603" t="str">
        <f>"074748"</f>
        <v>074748</v>
      </c>
      <c r="M3603" t="str">
        <f>"08132"</f>
        <v>08132</v>
      </c>
      <c r="N3603" t="s">
        <v>2449</v>
      </c>
      <c r="O3603">
        <v>21.6</v>
      </c>
      <c r="P3603">
        <v>20181128</v>
      </c>
      <c r="Q3603" t="s">
        <v>2074</v>
      </c>
      <c r="R3603" t="s">
        <v>2832</v>
      </c>
      <c r="S3603" t="s">
        <v>1615</v>
      </c>
      <c r="T3603" t="s">
        <v>1713</v>
      </c>
    </row>
    <row r="3604" spans="1:20" x14ac:dyDescent="0.25">
      <c r="A3604">
        <v>9</v>
      </c>
      <c r="B3604">
        <v>199</v>
      </c>
      <c r="C3604" t="str">
        <f t="shared" ref="C3604:C3609" si="725">"11"</f>
        <v>11</v>
      </c>
      <c r="D3604">
        <v>6399</v>
      </c>
      <c r="E3604" t="str">
        <f>"VA"</f>
        <v>VA</v>
      </c>
      <c r="F3604" t="str">
        <f>"001"</f>
        <v>001</v>
      </c>
      <c r="G3604">
        <v>9</v>
      </c>
      <c r="H3604" t="str">
        <f>"22"</f>
        <v>22</v>
      </c>
      <c r="I3604" t="str">
        <f t="shared" si="722"/>
        <v>0</v>
      </c>
      <c r="J3604" t="str">
        <f>"22"</f>
        <v>22</v>
      </c>
      <c r="K3604">
        <v>20181130</v>
      </c>
      <c r="L3604" t="str">
        <f>"074749"</f>
        <v>074749</v>
      </c>
      <c r="M3604" t="str">
        <f>"08196"</f>
        <v>08196</v>
      </c>
      <c r="N3604" t="s">
        <v>2185</v>
      </c>
      <c r="O3604">
        <v>36.78</v>
      </c>
      <c r="P3604">
        <v>20181128</v>
      </c>
      <c r="Q3604" t="s">
        <v>2186</v>
      </c>
      <c r="R3604" t="s">
        <v>2833</v>
      </c>
      <c r="S3604" t="s">
        <v>1615</v>
      </c>
      <c r="T3604" t="s">
        <v>301</v>
      </c>
    </row>
    <row r="3605" spans="1:20" x14ac:dyDescent="0.25">
      <c r="A3605">
        <v>9</v>
      </c>
      <c r="B3605">
        <v>199</v>
      </c>
      <c r="C3605" t="str">
        <f t="shared" si="725"/>
        <v>11</v>
      </c>
      <c r="D3605">
        <v>6399</v>
      </c>
      <c r="E3605" t="str">
        <f>"VA"</f>
        <v>VA</v>
      </c>
      <c r="F3605" t="str">
        <f>"001"</f>
        <v>001</v>
      </c>
      <c r="G3605">
        <v>9</v>
      </c>
      <c r="H3605" t="str">
        <f>"22"</f>
        <v>22</v>
      </c>
      <c r="I3605" t="str">
        <f t="shared" si="722"/>
        <v>0</v>
      </c>
      <c r="J3605" t="str">
        <f>"22"</f>
        <v>22</v>
      </c>
      <c r="K3605">
        <v>20181130</v>
      </c>
      <c r="L3605" t="str">
        <f>"074749"</f>
        <v>074749</v>
      </c>
      <c r="M3605" t="str">
        <f>"08196"</f>
        <v>08196</v>
      </c>
      <c r="N3605" t="s">
        <v>2185</v>
      </c>
      <c r="O3605">
        <v>129.97999999999999</v>
      </c>
      <c r="P3605">
        <v>20181128</v>
      </c>
      <c r="Q3605" t="s">
        <v>2186</v>
      </c>
      <c r="R3605" t="s">
        <v>2834</v>
      </c>
      <c r="S3605" t="s">
        <v>1615</v>
      </c>
      <c r="T3605" t="s">
        <v>301</v>
      </c>
    </row>
    <row r="3606" spans="1:20" x14ac:dyDescent="0.25">
      <c r="A3606">
        <v>9</v>
      </c>
      <c r="B3606">
        <v>199</v>
      </c>
      <c r="C3606" t="str">
        <f t="shared" si="725"/>
        <v>11</v>
      </c>
      <c r="D3606">
        <v>6399</v>
      </c>
      <c r="E3606" t="str">
        <f>"VA"</f>
        <v>VA</v>
      </c>
      <c r="F3606" t="str">
        <f>"001"</f>
        <v>001</v>
      </c>
      <c r="G3606">
        <v>9</v>
      </c>
      <c r="H3606" t="str">
        <f>"22"</f>
        <v>22</v>
      </c>
      <c r="I3606" t="str">
        <f t="shared" si="722"/>
        <v>0</v>
      </c>
      <c r="J3606" t="str">
        <f>"22"</f>
        <v>22</v>
      </c>
      <c r="K3606">
        <v>20181130</v>
      </c>
      <c r="L3606" t="str">
        <f>"074749"</f>
        <v>074749</v>
      </c>
      <c r="M3606" t="str">
        <f>"08196"</f>
        <v>08196</v>
      </c>
      <c r="N3606" t="s">
        <v>2185</v>
      </c>
      <c r="O3606">
        <v>77.94</v>
      </c>
      <c r="P3606">
        <v>20181128</v>
      </c>
      <c r="Q3606" t="s">
        <v>2186</v>
      </c>
      <c r="R3606" t="s">
        <v>2835</v>
      </c>
      <c r="S3606" t="s">
        <v>1615</v>
      </c>
      <c r="T3606" t="s">
        <v>301</v>
      </c>
    </row>
    <row r="3607" spans="1:20" x14ac:dyDescent="0.25">
      <c r="A3607">
        <v>9</v>
      </c>
      <c r="B3607">
        <v>199</v>
      </c>
      <c r="C3607" t="str">
        <f t="shared" si="725"/>
        <v>11</v>
      </c>
      <c r="D3607">
        <v>6399</v>
      </c>
      <c r="E3607" t="str">
        <f>"45"</f>
        <v>45</v>
      </c>
      <c r="F3607" t="str">
        <f>"101"</f>
        <v>101</v>
      </c>
      <c r="G3607">
        <v>9</v>
      </c>
      <c r="H3607" t="str">
        <f>"11"</f>
        <v>11</v>
      </c>
      <c r="I3607" t="str">
        <f t="shared" si="722"/>
        <v>0</v>
      </c>
      <c r="J3607" t="str">
        <f>"04"</f>
        <v>04</v>
      </c>
      <c r="K3607">
        <v>20181130</v>
      </c>
      <c r="L3607" t="str">
        <f t="shared" ref="L3607:L3613" si="726">"074750"</f>
        <v>074750</v>
      </c>
      <c r="M3607" t="str">
        <f t="shared" ref="M3607:M3613" si="727">"09170"</f>
        <v>09170</v>
      </c>
      <c r="N3607" t="s">
        <v>679</v>
      </c>
      <c r="O3607">
        <v>101.94</v>
      </c>
      <c r="P3607">
        <v>20181128</v>
      </c>
      <c r="Q3607" t="s">
        <v>1859</v>
      </c>
      <c r="R3607" t="s">
        <v>2836</v>
      </c>
      <c r="S3607" t="s">
        <v>1615</v>
      </c>
      <c r="T3607" t="s">
        <v>1479</v>
      </c>
    </row>
    <row r="3608" spans="1:20" x14ac:dyDescent="0.25">
      <c r="A3608">
        <v>9</v>
      </c>
      <c r="B3608">
        <v>199</v>
      </c>
      <c r="C3608" t="str">
        <f t="shared" si="725"/>
        <v>11</v>
      </c>
      <c r="D3608">
        <v>6399</v>
      </c>
      <c r="E3608" t="str">
        <f>"45"</f>
        <v>45</v>
      </c>
      <c r="F3608" t="str">
        <f>"101"</f>
        <v>101</v>
      </c>
      <c r="G3608">
        <v>9</v>
      </c>
      <c r="H3608" t="str">
        <f>"11"</f>
        <v>11</v>
      </c>
      <c r="I3608" t="str">
        <f t="shared" si="722"/>
        <v>0</v>
      </c>
      <c r="J3608" t="str">
        <f>"04"</f>
        <v>04</v>
      </c>
      <c r="K3608">
        <v>20181130</v>
      </c>
      <c r="L3608" t="str">
        <f t="shared" si="726"/>
        <v>074750</v>
      </c>
      <c r="M3608" t="str">
        <f t="shared" si="727"/>
        <v>09170</v>
      </c>
      <c r="N3608" t="s">
        <v>679</v>
      </c>
      <c r="O3608">
        <v>67.959999999999994</v>
      </c>
      <c r="P3608">
        <v>20181128</v>
      </c>
      <c r="Q3608" t="s">
        <v>1859</v>
      </c>
      <c r="R3608" t="s">
        <v>2836</v>
      </c>
      <c r="S3608" t="s">
        <v>1615</v>
      </c>
      <c r="T3608" t="s">
        <v>1479</v>
      </c>
    </row>
    <row r="3609" spans="1:20" x14ac:dyDescent="0.25">
      <c r="A3609">
        <v>9</v>
      </c>
      <c r="B3609">
        <v>199</v>
      </c>
      <c r="C3609" t="str">
        <f t="shared" si="725"/>
        <v>11</v>
      </c>
      <c r="D3609">
        <v>6399</v>
      </c>
      <c r="E3609" t="str">
        <f>"VB"</f>
        <v>VB</v>
      </c>
      <c r="F3609" t="str">
        <f>"001"</f>
        <v>001</v>
      </c>
      <c r="G3609">
        <v>9</v>
      </c>
      <c r="H3609" t="str">
        <f>"22"</f>
        <v>22</v>
      </c>
      <c r="I3609" t="str">
        <f t="shared" si="722"/>
        <v>0</v>
      </c>
      <c r="J3609" t="str">
        <f>"22"</f>
        <v>22</v>
      </c>
      <c r="K3609">
        <v>20181130</v>
      </c>
      <c r="L3609" t="str">
        <f t="shared" si="726"/>
        <v>074750</v>
      </c>
      <c r="M3609" t="str">
        <f t="shared" si="727"/>
        <v>09170</v>
      </c>
      <c r="N3609" t="s">
        <v>679</v>
      </c>
      <c r="O3609">
        <v>359.88</v>
      </c>
      <c r="P3609">
        <v>20181128</v>
      </c>
      <c r="Q3609" t="s">
        <v>2837</v>
      </c>
      <c r="R3609" t="s">
        <v>2838</v>
      </c>
      <c r="S3609" t="s">
        <v>1615</v>
      </c>
      <c r="T3609" t="s">
        <v>301</v>
      </c>
    </row>
    <row r="3610" spans="1:20" x14ac:dyDescent="0.25">
      <c r="A3610">
        <v>9</v>
      </c>
      <c r="B3610">
        <v>199</v>
      </c>
      <c r="C3610" t="str">
        <f>"41"</f>
        <v>41</v>
      </c>
      <c r="D3610">
        <v>6299</v>
      </c>
      <c r="E3610" t="str">
        <f>"10"</f>
        <v>10</v>
      </c>
      <c r="F3610" t="str">
        <f>"730"</f>
        <v>730</v>
      </c>
      <c r="G3610">
        <v>9</v>
      </c>
      <c r="H3610" t="str">
        <f>"99"</f>
        <v>99</v>
      </c>
      <c r="I3610" t="str">
        <f t="shared" si="722"/>
        <v>0</v>
      </c>
      <c r="J3610" t="str">
        <f>"95"</f>
        <v>95</v>
      </c>
      <c r="K3610">
        <v>20181130</v>
      </c>
      <c r="L3610" t="str">
        <f t="shared" si="726"/>
        <v>074750</v>
      </c>
      <c r="M3610" t="str">
        <f t="shared" si="727"/>
        <v>09170</v>
      </c>
      <c r="N3610" t="s">
        <v>679</v>
      </c>
      <c r="O3610">
        <v>48</v>
      </c>
      <c r="P3610">
        <v>20181128</v>
      </c>
      <c r="Q3610" t="s">
        <v>2434</v>
      </c>
      <c r="R3610" s="3">
        <v>43409</v>
      </c>
      <c r="S3610" t="s">
        <v>1615</v>
      </c>
      <c r="T3610" t="s">
        <v>1794</v>
      </c>
    </row>
    <row r="3611" spans="1:20" x14ac:dyDescent="0.25">
      <c r="A3611">
        <v>9</v>
      </c>
      <c r="B3611">
        <v>199</v>
      </c>
      <c r="C3611" t="str">
        <f>"41"</f>
        <v>41</v>
      </c>
      <c r="D3611">
        <v>6399</v>
      </c>
      <c r="E3611" t="str">
        <f>"10"</f>
        <v>10</v>
      </c>
      <c r="F3611" t="str">
        <f>"735"</f>
        <v>735</v>
      </c>
      <c r="G3611">
        <v>9</v>
      </c>
      <c r="H3611" t="str">
        <f>"99"</f>
        <v>99</v>
      </c>
      <c r="I3611" t="str">
        <f t="shared" si="722"/>
        <v>0</v>
      </c>
      <c r="J3611" t="str">
        <f>"96"</f>
        <v>96</v>
      </c>
      <c r="K3611">
        <v>20181130</v>
      </c>
      <c r="L3611" t="str">
        <f t="shared" si="726"/>
        <v>074750</v>
      </c>
      <c r="M3611" t="str">
        <f t="shared" si="727"/>
        <v>09170</v>
      </c>
      <c r="N3611" t="s">
        <v>679</v>
      </c>
      <c r="O3611">
        <v>38.78</v>
      </c>
      <c r="P3611">
        <v>20181128</v>
      </c>
      <c r="Q3611" t="s">
        <v>2839</v>
      </c>
      <c r="R3611" t="s">
        <v>2840</v>
      </c>
      <c r="S3611" t="s">
        <v>1615</v>
      </c>
      <c r="T3611" t="s">
        <v>151</v>
      </c>
    </row>
    <row r="3612" spans="1:20" x14ac:dyDescent="0.25">
      <c r="A3612">
        <v>9</v>
      </c>
      <c r="B3612">
        <v>199</v>
      </c>
      <c r="C3612" t="str">
        <f>"41"</f>
        <v>41</v>
      </c>
      <c r="D3612">
        <v>6399</v>
      </c>
      <c r="E3612" t="str">
        <f>"10"</f>
        <v>10</v>
      </c>
      <c r="F3612" t="str">
        <f>"735"</f>
        <v>735</v>
      </c>
      <c r="G3612">
        <v>9</v>
      </c>
      <c r="H3612" t="str">
        <f>"99"</f>
        <v>99</v>
      </c>
      <c r="I3612" t="str">
        <f t="shared" si="722"/>
        <v>0</v>
      </c>
      <c r="J3612" t="str">
        <f>"96"</f>
        <v>96</v>
      </c>
      <c r="K3612">
        <v>20181130</v>
      </c>
      <c r="L3612" t="str">
        <f t="shared" si="726"/>
        <v>074750</v>
      </c>
      <c r="M3612" t="str">
        <f t="shared" si="727"/>
        <v>09170</v>
      </c>
      <c r="N3612" t="s">
        <v>679</v>
      </c>
      <c r="O3612">
        <v>25.88</v>
      </c>
      <c r="P3612">
        <v>20181128</v>
      </c>
      <c r="Q3612" t="s">
        <v>2839</v>
      </c>
      <c r="R3612" t="s">
        <v>2841</v>
      </c>
      <c r="S3612" t="s">
        <v>1615</v>
      </c>
      <c r="T3612" t="s">
        <v>151</v>
      </c>
    </row>
    <row r="3613" spans="1:20" x14ac:dyDescent="0.25">
      <c r="A3613">
        <v>9</v>
      </c>
      <c r="B3613">
        <v>199</v>
      </c>
      <c r="C3613" t="str">
        <f>"41"</f>
        <v>41</v>
      </c>
      <c r="D3613">
        <v>6498</v>
      </c>
      <c r="E3613" t="str">
        <f>"10"</f>
        <v>10</v>
      </c>
      <c r="F3613" t="str">
        <f>"730"</f>
        <v>730</v>
      </c>
      <c r="G3613">
        <v>9</v>
      </c>
      <c r="H3613" t="str">
        <f>"99"</f>
        <v>99</v>
      </c>
      <c r="I3613" t="str">
        <f t="shared" si="722"/>
        <v>0</v>
      </c>
      <c r="J3613" t="str">
        <f>"95"</f>
        <v>95</v>
      </c>
      <c r="K3613">
        <v>20181130</v>
      </c>
      <c r="L3613" t="str">
        <f t="shared" si="726"/>
        <v>074750</v>
      </c>
      <c r="M3613" t="str">
        <f t="shared" si="727"/>
        <v>09170</v>
      </c>
      <c r="N3613" t="s">
        <v>679</v>
      </c>
      <c r="O3613">
        <v>169.99</v>
      </c>
      <c r="P3613">
        <v>20181128</v>
      </c>
      <c r="Q3613" t="s">
        <v>2842</v>
      </c>
      <c r="R3613" t="s">
        <v>2843</v>
      </c>
      <c r="S3613" t="s">
        <v>1615</v>
      </c>
      <c r="T3613" t="s">
        <v>1794</v>
      </c>
    </row>
    <row r="3614" spans="1:20" x14ac:dyDescent="0.25">
      <c r="A3614">
        <v>9</v>
      </c>
      <c r="B3614">
        <v>199</v>
      </c>
      <c r="C3614" t="str">
        <f>"23"</f>
        <v>23</v>
      </c>
      <c r="D3614">
        <v>6498</v>
      </c>
      <c r="E3614" t="str">
        <f>"10"</f>
        <v>10</v>
      </c>
      <c r="F3614" t="str">
        <f>"001"</f>
        <v>001</v>
      </c>
      <c r="G3614">
        <v>9</v>
      </c>
      <c r="H3614" t="str">
        <f>"99"</f>
        <v>99</v>
      </c>
      <c r="I3614" t="str">
        <f t="shared" si="722"/>
        <v>0</v>
      </c>
      <c r="J3614" t="str">
        <f>"01"</f>
        <v>01</v>
      </c>
      <c r="K3614">
        <v>20181130</v>
      </c>
      <c r="L3614" t="str">
        <f>"074751"</f>
        <v>074751</v>
      </c>
      <c r="M3614" t="str">
        <f>"10418"</f>
        <v>10418</v>
      </c>
      <c r="N3614" t="s">
        <v>2360</v>
      </c>
      <c r="O3614" s="1">
        <v>1197.8</v>
      </c>
      <c r="P3614">
        <v>20181128</v>
      </c>
      <c r="Q3614" t="s">
        <v>2108</v>
      </c>
      <c r="R3614" t="s">
        <v>2844</v>
      </c>
      <c r="S3614" t="s">
        <v>1615</v>
      </c>
      <c r="T3614" t="s">
        <v>301</v>
      </c>
    </row>
    <row r="3615" spans="1:20" x14ac:dyDescent="0.25">
      <c r="A3615">
        <v>9</v>
      </c>
      <c r="B3615">
        <v>199</v>
      </c>
      <c r="C3615" t="str">
        <f>"12"</f>
        <v>12</v>
      </c>
      <c r="D3615">
        <v>6328</v>
      </c>
      <c r="E3615" t="str">
        <f>"7U"</f>
        <v>7U</v>
      </c>
      <c r="F3615" t="str">
        <f>"104"</f>
        <v>104</v>
      </c>
      <c r="G3615">
        <v>9</v>
      </c>
      <c r="H3615" t="str">
        <f>"11"</f>
        <v>11</v>
      </c>
      <c r="I3615" t="str">
        <f t="shared" si="722"/>
        <v>0</v>
      </c>
      <c r="J3615" t="str">
        <f>"05"</f>
        <v>05</v>
      </c>
      <c r="K3615">
        <v>20181130</v>
      </c>
      <c r="L3615" t="str">
        <f>"074753"</f>
        <v>074753</v>
      </c>
      <c r="M3615" t="str">
        <f>"11759"</f>
        <v>11759</v>
      </c>
      <c r="N3615" t="s">
        <v>2845</v>
      </c>
      <c r="O3615">
        <v>338.01</v>
      </c>
      <c r="P3615">
        <v>20181128</v>
      </c>
      <c r="Q3615" t="s">
        <v>2846</v>
      </c>
      <c r="R3615" t="s">
        <v>2847</v>
      </c>
      <c r="S3615" t="s">
        <v>1615</v>
      </c>
      <c r="T3615" t="s">
        <v>46</v>
      </c>
    </row>
    <row r="3616" spans="1:20" x14ac:dyDescent="0.25">
      <c r="A3616">
        <v>9</v>
      </c>
      <c r="B3616">
        <v>199</v>
      </c>
      <c r="C3616" t="str">
        <f>"12"</f>
        <v>12</v>
      </c>
      <c r="D3616">
        <v>6328</v>
      </c>
      <c r="E3616" t="str">
        <f>"7U"</f>
        <v>7U</v>
      </c>
      <c r="F3616" t="str">
        <f>"104"</f>
        <v>104</v>
      </c>
      <c r="G3616">
        <v>9</v>
      </c>
      <c r="H3616" t="str">
        <f>"11"</f>
        <v>11</v>
      </c>
      <c r="I3616" t="str">
        <f t="shared" si="722"/>
        <v>0</v>
      </c>
      <c r="J3616" t="str">
        <f>"05"</f>
        <v>05</v>
      </c>
      <c r="K3616">
        <v>20181130</v>
      </c>
      <c r="L3616" t="str">
        <f>"074753"</f>
        <v>074753</v>
      </c>
      <c r="M3616" t="str">
        <f>"11759"</f>
        <v>11759</v>
      </c>
      <c r="N3616" t="s">
        <v>2845</v>
      </c>
      <c r="O3616" s="1">
        <v>3302.79</v>
      </c>
      <c r="P3616">
        <v>20181128</v>
      </c>
      <c r="Q3616" t="s">
        <v>2846</v>
      </c>
      <c r="R3616" t="s">
        <v>1945</v>
      </c>
      <c r="S3616" t="s">
        <v>1615</v>
      </c>
      <c r="T3616" t="s">
        <v>46</v>
      </c>
    </row>
    <row r="3617" spans="1:20" x14ac:dyDescent="0.25">
      <c r="A3617">
        <v>9</v>
      </c>
      <c r="B3617">
        <v>199</v>
      </c>
      <c r="C3617" t="str">
        <f>"12"</f>
        <v>12</v>
      </c>
      <c r="D3617">
        <v>6329</v>
      </c>
      <c r="E3617" t="str">
        <f>"7U"</f>
        <v>7U</v>
      </c>
      <c r="F3617" t="str">
        <f>"104"</f>
        <v>104</v>
      </c>
      <c r="G3617">
        <v>9</v>
      </c>
      <c r="H3617" t="str">
        <f>"11"</f>
        <v>11</v>
      </c>
      <c r="I3617" t="str">
        <f t="shared" si="722"/>
        <v>0</v>
      </c>
      <c r="J3617" t="str">
        <f>"05"</f>
        <v>05</v>
      </c>
      <c r="K3617">
        <v>20181130</v>
      </c>
      <c r="L3617" t="str">
        <f>"074753"</f>
        <v>074753</v>
      </c>
      <c r="M3617" t="str">
        <f>"11759"</f>
        <v>11759</v>
      </c>
      <c r="N3617" t="s">
        <v>2845</v>
      </c>
      <c r="O3617">
        <v>879.02</v>
      </c>
      <c r="P3617">
        <v>20181128</v>
      </c>
      <c r="Q3617" t="s">
        <v>2848</v>
      </c>
      <c r="R3617" t="s">
        <v>1945</v>
      </c>
      <c r="S3617" t="s">
        <v>1615</v>
      </c>
      <c r="T3617" t="s">
        <v>46</v>
      </c>
    </row>
    <row r="3618" spans="1:20" x14ac:dyDescent="0.25">
      <c r="A3618">
        <v>9</v>
      </c>
      <c r="B3618">
        <v>199</v>
      </c>
      <c r="C3618" t="str">
        <f>"21"</f>
        <v>21</v>
      </c>
      <c r="D3618">
        <v>6411</v>
      </c>
      <c r="E3618" t="str">
        <f>"V1"</f>
        <v>V1</v>
      </c>
      <c r="F3618" t="str">
        <f>"001"</f>
        <v>001</v>
      </c>
      <c r="G3618">
        <v>9</v>
      </c>
      <c r="H3618" t="str">
        <f>"22"</f>
        <v>22</v>
      </c>
      <c r="I3618" t="str">
        <f t="shared" si="722"/>
        <v>0</v>
      </c>
      <c r="J3618" t="str">
        <f>"22"</f>
        <v>22</v>
      </c>
      <c r="K3618">
        <v>20181130</v>
      </c>
      <c r="L3618" t="str">
        <f>"074758"</f>
        <v>074758</v>
      </c>
      <c r="M3618" t="str">
        <f>"14190"</f>
        <v>14190</v>
      </c>
      <c r="N3618" t="s">
        <v>2849</v>
      </c>
      <c r="O3618">
        <v>650</v>
      </c>
      <c r="P3618">
        <v>20181128</v>
      </c>
      <c r="Q3618" t="s">
        <v>2728</v>
      </c>
      <c r="R3618" t="s">
        <v>2850</v>
      </c>
      <c r="S3618" t="s">
        <v>1615</v>
      </c>
      <c r="T3618" t="s">
        <v>301</v>
      </c>
    </row>
    <row r="3619" spans="1:20" x14ac:dyDescent="0.25">
      <c r="A3619">
        <v>9</v>
      </c>
      <c r="B3619">
        <v>199</v>
      </c>
      <c r="C3619" t="str">
        <f>"51"</f>
        <v>51</v>
      </c>
      <c r="D3619">
        <v>6249</v>
      </c>
      <c r="E3619" t="str">
        <f>"M8"</f>
        <v>M8</v>
      </c>
      <c r="F3619" t="str">
        <f>"936"</f>
        <v>936</v>
      </c>
      <c r="G3619">
        <v>9</v>
      </c>
      <c r="H3619" t="str">
        <f>"99"</f>
        <v>99</v>
      </c>
      <c r="I3619" t="str">
        <f t="shared" si="722"/>
        <v>0</v>
      </c>
      <c r="J3619" t="str">
        <f>"81"</f>
        <v>81</v>
      </c>
      <c r="K3619">
        <v>20181130</v>
      </c>
      <c r="L3619" t="str">
        <f>"074759"</f>
        <v>074759</v>
      </c>
      <c r="M3619" t="str">
        <f>"19188"</f>
        <v>19188</v>
      </c>
      <c r="N3619" t="s">
        <v>2851</v>
      </c>
      <c r="O3619" s="1">
        <v>5606</v>
      </c>
      <c r="P3619">
        <v>20181129</v>
      </c>
      <c r="Q3619" t="s">
        <v>2096</v>
      </c>
      <c r="R3619" t="s">
        <v>2852</v>
      </c>
      <c r="S3619" t="s">
        <v>1615</v>
      </c>
      <c r="T3619" t="s">
        <v>1713</v>
      </c>
    </row>
    <row r="3620" spans="1:20" x14ac:dyDescent="0.25">
      <c r="A3620">
        <v>9</v>
      </c>
      <c r="B3620">
        <v>199</v>
      </c>
      <c r="C3620" t="str">
        <f>"11"</f>
        <v>11</v>
      </c>
      <c r="D3620">
        <v>6399</v>
      </c>
      <c r="E3620" t="str">
        <f>"VD"</f>
        <v>VD</v>
      </c>
      <c r="F3620" t="str">
        <f>"001"</f>
        <v>001</v>
      </c>
      <c r="G3620">
        <v>9</v>
      </c>
      <c r="H3620" t="str">
        <f>"22"</f>
        <v>22</v>
      </c>
      <c r="I3620" t="str">
        <f t="shared" si="722"/>
        <v>0</v>
      </c>
      <c r="J3620" t="str">
        <f>"22"</f>
        <v>22</v>
      </c>
      <c r="K3620">
        <v>20181130</v>
      </c>
      <c r="L3620" t="str">
        <f>"074761"</f>
        <v>074761</v>
      </c>
      <c r="M3620" t="str">
        <f>"00628"</f>
        <v>00628</v>
      </c>
      <c r="N3620" t="s">
        <v>2853</v>
      </c>
      <c r="O3620">
        <v>345</v>
      </c>
      <c r="P3620">
        <v>20181128</v>
      </c>
      <c r="Q3620" t="s">
        <v>1862</v>
      </c>
      <c r="R3620" t="s">
        <v>2854</v>
      </c>
      <c r="S3620" t="s">
        <v>1615</v>
      </c>
      <c r="T3620" t="s">
        <v>301</v>
      </c>
    </row>
    <row r="3621" spans="1:20" x14ac:dyDescent="0.25">
      <c r="A3621">
        <v>9</v>
      </c>
      <c r="B3621">
        <v>199</v>
      </c>
      <c r="C3621" t="str">
        <f>"11"</f>
        <v>11</v>
      </c>
      <c r="D3621">
        <v>6399</v>
      </c>
      <c r="E3621" t="str">
        <f>"H4"</f>
        <v>H4</v>
      </c>
      <c r="F3621" t="str">
        <f>"001"</f>
        <v>001</v>
      </c>
      <c r="G3621">
        <v>9</v>
      </c>
      <c r="H3621" t="str">
        <f>"11"</f>
        <v>11</v>
      </c>
      <c r="I3621" t="str">
        <f t="shared" si="722"/>
        <v>0</v>
      </c>
      <c r="J3621" t="str">
        <f>"01"</f>
        <v>01</v>
      </c>
      <c r="K3621">
        <v>20181130</v>
      </c>
      <c r="L3621" t="str">
        <f>"074764"</f>
        <v>074764</v>
      </c>
      <c r="M3621" t="str">
        <f>"00092"</f>
        <v>00092</v>
      </c>
      <c r="N3621" t="s">
        <v>2855</v>
      </c>
      <c r="O3621">
        <v>219.9</v>
      </c>
      <c r="P3621">
        <v>20181128</v>
      </c>
      <c r="Q3621" t="s">
        <v>2856</v>
      </c>
      <c r="R3621" t="s">
        <v>2857</v>
      </c>
      <c r="S3621" t="s">
        <v>1615</v>
      </c>
      <c r="T3621" t="s">
        <v>301</v>
      </c>
    </row>
    <row r="3622" spans="1:20" x14ac:dyDescent="0.25">
      <c r="A3622">
        <v>9</v>
      </c>
      <c r="B3622">
        <v>199</v>
      </c>
      <c r="C3622" t="str">
        <f>"34"</f>
        <v>34</v>
      </c>
      <c r="D3622">
        <v>6249</v>
      </c>
      <c r="E3622" t="str">
        <f>"10"</f>
        <v>10</v>
      </c>
      <c r="F3622" t="str">
        <f>"937"</f>
        <v>937</v>
      </c>
      <c r="G3622">
        <v>9</v>
      </c>
      <c r="H3622" t="str">
        <f t="shared" ref="H3622:H3628" si="728">"99"</f>
        <v>99</v>
      </c>
      <c r="I3622" t="str">
        <f t="shared" si="722"/>
        <v>0</v>
      </c>
      <c r="J3622" t="str">
        <f>"82"</f>
        <v>82</v>
      </c>
      <c r="K3622">
        <v>20181130</v>
      </c>
      <c r="L3622" t="str">
        <f>"074765"</f>
        <v>074765</v>
      </c>
      <c r="M3622" t="str">
        <f>"21901"</f>
        <v>21901</v>
      </c>
      <c r="N3622" t="s">
        <v>2046</v>
      </c>
      <c r="O3622" s="1">
        <v>2276.2199999999998</v>
      </c>
      <c r="P3622">
        <v>20181128</v>
      </c>
      <c r="Q3622" t="s">
        <v>2036</v>
      </c>
      <c r="R3622" t="s">
        <v>2858</v>
      </c>
      <c r="S3622" t="s">
        <v>1615</v>
      </c>
      <c r="T3622" t="s">
        <v>1810</v>
      </c>
    </row>
    <row r="3623" spans="1:20" x14ac:dyDescent="0.25">
      <c r="A3623">
        <v>9</v>
      </c>
      <c r="B3623">
        <v>199</v>
      </c>
      <c r="C3623" t="str">
        <f>"34"</f>
        <v>34</v>
      </c>
      <c r="D3623">
        <v>6249</v>
      </c>
      <c r="E3623" t="str">
        <f>"10"</f>
        <v>10</v>
      </c>
      <c r="F3623" t="str">
        <f>"937"</f>
        <v>937</v>
      </c>
      <c r="G3623">
        <v>9</v>
      </c>
      <c r="H3623" t="str">
        <f t="shared" si="728"/>
        <v>99</v>
      </c>
      <c r="I3623" t="str">
        <f t="shared" si="722"/>
        <v>0</v>
      </c>
      <c r="J3623" t="str">
        <f>"82"</f>
        <v>82</v>
      </c>
      <c r="K3623">
        <v>20181130</v>
      </c>
      <c r="L3623" t="str">
        <f>"074765"</f>
        <v>074765</v>
      </c>
      <c r="M3623" t="str">
        <f>"21901"</f>
        <v>21901</v>
      </c>
      <c r="N3623" t="s">
        <v>2046</v>
      </c>
      <c r="O3623">
        <v>768.69</v>
      </c>
      <c r="P3623">
        <v>20181128</v>
      </c>
      <c r="Q3623" t="s">
        <v>2036</v>
      </c>
      <c r="R3623" t="s">
        <v>2859</v>
      </c>
      <c r="S3623" t="s">
        <v>1615</v>
      </c>
      <c r="T3623" t="s">
        <v>1810</v>
      </c>
    </row>
    <row r="3624" spans="1:20" x14ac:dyDescent="0.25">
      <c r="A3624">
        <v>9</v>
      </c>
      <c r="B3624">
        <v>199</v>
      </c>
      <c r="C3624" t="str">
        <f>"31"</f>
        <v>31</v>
      </c>
      <c r="D3624">
        <v>6649</v>
      </c>
      <c r="E3624" t="str">
        <f>"7F"</f>
        <v>7F</v>
      </c>
      <c r="F3624" t="str">
        <f>"001"</f>
        <v>001</v>
      </c>
      <c r="G3624">
        <v>9</v>
      </c>
      <c r="H3624" t="str">
        <f t="shared" si="728"/>
        <v>99</v>
      </c>
      <c r="I3624" t="str">
        <f t="shared" si="722"/>
        <v>0</v>
      </c>
      <c r="J3624" t="str">
        <f>"01"</f>
        <v>01</v>
      </c>
      <c r="K3624">
        <v>20181130</v>
      </c>
      <c r="L3624" t="str">
        <f>"074766"</f>
        <v>074766</v>
      </c>
      <c r="M3624" t="str">
        <f>"25165"</f>
        <v>25165</v>
      </c>
      <c r="N3624" t="s">
        <v>2860</v>
      </c>
      <c r="O3624" s="1">
        <v>1592.17</v>
      </c>
      <c r="P3624">
        <v>20181128</v>
      </c>
      <c r="Q3624" t="s">
        <v>2861</v>
      </c>
      <c r="R3624" t="s">
        <v>2862</v>
      </c>
      <c r="S3624" t="s">
        <v>1615</v>
      </c>
      <c r="T3624" t="s">
        <v>301</v>
      </c>
    </row>
    <row r="3625" spans="1:20" x14ac:dyDescent="0.25">
      <c r="A3625">
        <v>9</v>
      </c>
      <c r="B3625">
        <v>199</v>
      </c>
      <c r="C3625" t="str">
        <f>"41"</f>
        <v>41</v>
      </c>
      <c r="D3625">
        <v>6399</v>
      </c>
      <c r="E3625" t="str">
        <f>"10"</f>
        <v>10</v>
      </c>
      <c r="F3625" t="str">
        <f>"720"</f>
        <v>720</v>
      </c>
      <c r="G3625">
        <v>9</v>
      </c>
      <c r="H3625" t="str">
        <f t="shared" si="728"/>
        <v>99</v>
      </c>
      <c r="I3625" t="str">
        <f t="shared" si="722"/>
        <v>0</v>
      </c>
      <c r="J3625" t="str">
        <f>"91"</f>
        <v>91</v>
      </c>
      <c r="K3625">
        <v>20181130</v>
      </c>
      <c r="L3625" t="str">
        <f>"074767"</f>
        <v>074767</v>
      </c>
      <c r="M3625" t="str">
        <f>"25179"</f>
        <v>25179</v>
      </c>
      <c r="N3625" t="s">
        <v>2863</v>
      </c>
      <c r="O3625">
        <v>284.51</v>
      </c>
      <c r="P3625">
        <v>20181128</v>
      </c>
      <c r="Q3625" t="s">
        <v>2132</v>
      </c>
      <c r="R3625" t="s">
        <v>2864</v>
      </c>
      <c r="S3625" t="s">
        <v>1615</v>
      </c>
      <c r="T3625" t="s">
        <v>2045</v>
      </c>
    </row>
    <row r="3626" spans="1:20" x14ac:dyDescent="0.25">
      <c r="A3626">
        <v>9</v>
      </c>
      <c r="B3626">
        <v>199</v>
      </c>
      <c r="C3626" t="str">
        <f>"51"</f>
        <v>51</v>
      </c>
      <c r="D3626">
        <v>6256</v>
      </c>
      <c r="E3626" t="str">
        <f>"15"</f>
        <v>15</v>
      </c>
      <c r="F3626" t="str">
        <f>"880"</f>
        <v>880</v>
      </c>
      <c r="G3626">
        <v>9</v>
      </c>
      <c r="H3626" t="str">
        <f t="shared" si="728"/>
        <v>99</v>
      </c>
      <c r="I3626" t="str">
        <f t="shared" si="722"/>
        <v>0</v>
      </c>
      <c r="J3626" t="str">
        <f>"80"</f>
        <v>80</v>
      </c>
      <c r="K3626">
        <v>20181130</v>
      </c>
      <c r="L3626" t="str">
        <f>"074768"</f>
        <v>074768</v>
      </c>
      <c r="M3626" t="str">
        <f>"77113"</f>
        <v>77113</v>
      </c>
      <c r="N3626" t="s">
        <v>1880</v>
      </c>
      <c r="O3626">
        <v>129.75</v>
      </c>
      <c r="P3626">
        <v>20181129</v>
      </c>
      <c r="Q3626" t="s">
        <v>2487</v>
      </c>
      <c r="R3626" t="s">
        <v>2308</v>
      </c>
      <c r="S3626" t="s">
        <v>1615</v>
      </c>
      <c r="T3626" t="s">
        <v>1866</v>
      </c>
    </row>
    <row r="3627" spans="1:20" x14ac:dyDescent="0.25">
      <c r="A3627">
        <v>9</v>
      </c>
      <c r="B3627">
        <v>199</v>
      </c>
      <c r="C3627" t="str">
        <f>"36"</f>
        <v>36</v>
      </c>
      <c r="D3627">
        <v>6412</v>
      </c>
      <c r="E3627" t="str">
        <f>"7B"</f>
        <v>7B</v>
      </c>
      <c r="F3627" t="str">
        <f>"001"</f>
        <v>001</v>
      </c>
      <c r="G3627">
        <v>9</v>
      </c>
      <c r="H3627" t="str">
        <f t="shared" si="728"/>
        <v>99</v>
      </c>
      <c r="I3627" t="str">
        <f>"1"</f>
        <v>1</v>
      </c>
      <c r="J3627" t="str">
        <f>"32"</f>
        <v>32</v>
      </c>
      <c r="K3627">
        <v>20181130</v>
      </c>
      <c r="L3627" t="str">
        <f>"074769"</f>
        <v>074769</v>
      </c>
      <c r="M3627" t="str">
        <f>"25871"</f>
        <v>25871</v>
      </c>
      <c r="N3627" t="s">
        <v>1150</v>
      </c>
      <c r="O3627">
        <v>202.5</v>
      </c>
      <c r="P3627">
        <v>20181128</v>
      </c>
      <c r="Q3627" t="s">
        <v>1696</v>
      </c>
      <c r="R3627" t="s">
        <v>2865</v>
      </c>
      <c r="S3627" t="s">
        <v>1615</v>
      </c>
      <c r="T3627" t="s">
        <v>301</v>
      </c>
    </row>
    <row r="3628" spans="1:20" x14ac:dyDescent="0.25">
      <c r="A3628">
        <v>9</v>
      </c>
      <c r="B3628">
        <v>199</v>
      </c>
      <c r="C3628" t="str">
        <f>"36"</f>
        <v>36</v>
      </c>
      <c r="D3628">
        <v>6412</v>
      </c>
      <c r="E3628" t="str">
        <f>"H2"</f>
        <v>H2</v>
      </c>
      <c r="F3628" t="str">
        <f>"001"</f>
        <v>001</v>
      </c>
      <c r="G3628">
        <v>9</v>
      </c>
      <c r="H3628" t="str">
        <f t="shared" si="728"/>
        <v>99</v>
      </c>
      <c r="I3628" t="str">
        <f t="shared" ref="I3628:I3641" si="729">"0"</f>
        <v>0</v>
      </c>
      <c r="J3628" t="str">
        <f>"37"</f>
        <v>37</v>
      </c>
      <c r="K3628">
        <v>20181130</v>
      </c>
      <c r="L3628" t="str">
        <f>"074769"</f>
        <v>074769</v>
      </c>
      <c r="M3628" t="str">
        <f>"25871"</f>
        <v>25871</v>
      </c>
      <c r="N3628" t="s">
        <v>1150</v>
      </c>
      <c r="O3628">
        <v>111.84</v>
      </c>
      <c r="P3628">
        <v>20181128</v>
      </c>
      <c r="Q3628" t="s">
        <v>1704</v>
      </c>
      <c r="R3628" t="s">
        <v>2866</v>
      </c>
      <c r="S3628" t="s">
        <v>1615</v>
      </c>
      <c r="T3628" t="s">
        <v>301</v>
      </c>
    </row>
    <row r="3629" spans="1:20" x14ac:dyDescent="0.25">
      <c r="A3629">
        <v>9</v>
      </c>
      <c r="B3629">
        <v>199</v>
      </c>
      <c r="C3629" t="str">
        <f>"11"</f>
        <v>11</v>
      </c>
      <c r="D3629">
        <v>6399</v>
      </c>
      <c r="E3629" t="str">
        <f>"7E"</f>
        <v>7E</v>
      </c>
      <c r="F3629" t="str">
        <f>"001"</f>
        <v>001</v>
      </c>
      <c r="G3629">
        <v>9</v>
      </c>
      <c r="H3629" t="str">
        <f>"11"</f>
        <v>11</v>
      </c>
      <c r="I3629" t="str">
        <f t="shared" si="729"/>
        <v>0</v>
      </c>
      <c r="J3629" t="str">
        <f>"31"</f>
        <v>31</v>
      </c>
      <c r="K3629">
        <v>20181130</v>
      </c>
      <c r="L3629" t="str">
        <f>"074770"</f>
        <v>074770</v>
      </c>
      <c r="M3629" t="str">
        <f>"28684"</f>
        <v>28684</v>
      </c>
      <c r="N3629" t="s">
        <v>2867</v>
      </c>
      <c r="O3629">
        <v>96</v>
      </c>
      <c r="P3629">
        <v>20181128</v>
      </c>
      <c r="Q3629" t="s">
        <v>2382</v>
      </c>
      <c r="R3629" t="s">
        <v>2868</v>
      </c>
      <c r="S3629" t="s">
        <v>1615</v>
      </c>
      <c r="T3629" t="s">
        <v>301</v>
      </c>
    </row>
    <row r="3630" spans="1:20" x14ac:dyDescent="0.25">
      <c r="A3630">
        <v>9</v>
      </c>
      <c r="B3630">
        <v>199</v>
      </c>
      <c r="C3630" t="str">
        <f>"51"</f>
        <v>51</v>
      </c>
      <c r="D3630">
        <v>6249</v>
      </c>
      <c r="E3630" t="str">
        <f>"MC"</f>
        <v>MC</v>
      </c>
      <c r="F3630" t="str">
        <f>"001"</f>
        <v>001</v>
      </c>
      <c r="G3630">
        <v>9</v>
      </c>
      <c r="H3630" t="str">
        <f>"99"</f>
        <v>99</v>
      </c>
      <c r="I3630" t="str">
        <f t="shared" si="729"/>
        <v>0</v>
      </c>
      <c r="J3630" t="str">
        <f>"81"</f>
        <v>81</v>
      </c>
      <c r="K3630">
        <v>20181130</v>
      </c>
      <c r="L3630" t="str">
        <f>"074771"</f>
        <v>074771</v>
      </c>
      <c r="M3630" t="str">
        <f>"28688"</f>
        <v>28688</v>
      </c>
      <c r="N3630" t="s">
        <v>2869</v>
      </c>
      <c r="O3630" s="1">
        <v>1345</v>
      </c>
      <c r="P3630">
        <v>20181129</v>
      </c>
      <c r="Q3630" t="s">
        <v>2386</v>
      </c>
      <c r="R3630" t="s">
        <v>2870</v>
      </c>
      <c r="S3630" t="s">
        <v>1615</v>
      </c>
      <c r="T3630" t="s">
        <v>301</v>
      </c>
    </row>
    <row r="3631" spans="1:20" x14ac:dyDescent="0.25">
      <c r="A3631">
        <v>9</v>
      </c>
      <c r="B3631">
        <v>199</v>
      </c>
      <c r="C3631" t="str">
        <f>"11"</f>
        <v>11</v>
      </c>
      <c r="D3631">
        <v>6412</v>
      </c>
      <c r="E3631" t="str">
        <f>"V8"</f>
        <v>V8</v>
      </c>
      <c r="F3631" t="str">
        <f>"001"</f>
        <v>001</v>
      </c>
      <c r="G3631">
        <v>9</v>
      </c>
      <c r="H3631" t="str">
        <f>"22"</f>
        <v>22</v>
      </c>
      <c r="I3631" t="str">
        <f t="shared" si="729"/>
        <v>0</v>
      </c>
      <c r="J3631" t="str">
        <f>"22"</f>
        <v>22</v>
      </c>
      <c r="K3631">
        <v>20181130</v>
      </c>
      <c r="L3631" t="str">
        <f>"074773"</f>
        <v>074773</v>
      </c>
      <c r="M3631" t="str">
        <f>"21049"</f>
        <v>21049</v>
      </c>
      <c r="N3631" t="s">
        <v>1883</v>
      </c>
      <c r="O3631">
        <v>75</v>
      </c>
      <c r="P3631">
        <v>20181128</v>
      </c>
      <c r="Q3631" t="s">
        <v>1884</v>
      </c>
      <c r="R3631" t="s">
        <v>2871</v>
      </c>
      <c r="S3631" t="s">
        <v>1615</v>
      </c>
      <c r="T3631" t="s">
        <v>301</v>
      </c>
    </row>
    <row r="3632" spans="1:20" x14ac:dyDescent="0.25">
      <c r="A3632">
        <v>9</v>
      </c>
      <c r="B3632">
        <v>199</v>
      </c>
      <c r="C3632" t="str">
        <f>"51"</f>
        <v>51</v>
      </c>
      <c r="D3632">
        <v>6319</v>
      </c>
      <c r="E3632" t="str">
        <f>"MC"</f>
        <v>MC</v>
      </c>
      <c r="F3632" t="str">
        <f>"936"</f>
        <v>936</v>
      </c>
      <c r="G3632">
        <v>9</v>
      </c>
      <c r="H3632" t="str">
        <f>"99"</f>
        <v>99</v>
      </c>
      <c r="I3632" t="str">
        <f t="shared" si="729"/>
        <v>0</v>
      </c>
      <c r="J3632" t="str">
        <f>"81"</f>
        <v>81</v>
      </c>
      <c r="K3632">
        <v>20181130</v>
      </c>
      <c r="L3632" t="str">
        <f>"074774"</f>
        <v>074774</v>
      </c>
      <c r="M3632" t="str">
        <f>"29500"</f>
        <v>29500</v>
      </c>
      <c r="N3632" t="s">
        <v>2059</v>
      </c>
      <c r="O3632">
        <v>329.2</v>
      </c>
      <c r="P3632">
        <v>20181128</v>
      </c>
      <c r="Q3632" t="s">
        <v>2060</v>
      </c>
      <c r="R3632" t="s">
        <v>2872</v>
      </c>
      <c r="S3632" t="s">
        <v>1615</v>
      </c>
      <c r="T3632" t="s">
        <v>1713</v>
      </c>
    </row>
    <row r="3633" spans="1:20" x14ac:dyDescent="0.25">
      <c r="A3633">
        <v>9</v>
      </c>
      <c r="B3633">
        <v>199</v>
      </c>
      <c r="C3633" t="str">
        <f>"51"</f>
        <v>51</v>
      </c>
      <c r="D3633">
        <v>6319</v>
      </c>
      <c r="E3633" t="str">
        <f>"MC"</f>
        <v>MC</v>
      </c>
      <c r="F3633" t="str">
        <f>"936"</f>
        <v>936</v>
      </c>
      <c r="G3633">
        <v>9</v>
      </c>
      <c r="H3633" t="str">
        <f>"99"</f>
        <v>99</v>
      </c>
      <c r="I3633" t="str">
        <f t="shared" si="729"/>
        <v>0</v>
      </c>
      <c r="J3633" t="str">
        <f>"81"</f>
        <v>81</v>
      </c>
      <c r="K3633">
        <v>20181130</v>
      </c>
      <c r="L3633" t="str">
        <f>"074774"</f>
        <v>074774</v>
      </c>
      <c r="M3633" t="str">
        <f>"29500"</f>
        <v>29500</v>
      </c>
      <c r="N3633" t="s">
        <v>2059</v>
      </c>
      <c r="O3633" s="1">
        <v>1434.1</v>
      </c>
      <c r="P3633">
        <v>20181128</v>
      </c>
      <c r="Q3633" t="s">
        <v>2060</v>
      </c>
      <c r="R3633" t="s">
        <v>2873</v>
      </c>
      <c r="S3633" t="s">
        <v>1615</v>
      </c>
      <c r="T3633" t="s">
        <v>1713</v>
      </c>
    </row>
    <row r="3634" spans="1:20" x14ac:dyDescent="0.25">
      <c r="A3634">
        <v>9</v>
      </c>
      <c r="B3634">
        <v>199</v>
      </c>
      <c r="C3634" t="str">
        <f>"12"</f>
        <v>12</v>
      </c>
      <c r="D3634">
        <v>6328</v>
      </c>
      <c r="E3634" t="str">
        <f>"7U"</f>
        <v>7U</v>
      </c>
      <c r="F3634" t="str">
        <f t="shared" ref="F3634:F3639" si="730">"001"</f>
        <v>001</v>
      </c>
      <c r="G3634">
        <v>9</v>
      </c>
      <c r="H3634" t="str">
        <f>"11"</f>
        <v>11</v>
      </c>
      <c r="I3634" t="str">
        <f t="shared" si="729"/>
        <v>0</v>
      </c>
      <c r="J3634" t="str">
        <f>"01"</f>
        <v>01</v>
      </c>
      <c r="K3634">
        <v>20181130</v>
      </c>
      <c r="L3634" t="str">
        <f>"074775"</f>
        <v>074775</v>
      </c>
      <c r="M3634" t="str">
        <f>"30390"</f>
        <v>30390</v>
      </c>
      <c r="N3634" t="s">
        <v>2624</v>
      </c>
      <c r="O3634">
        <v>356.59</v>
      </c>
      <c r="P3634">
        <v>20181128</v>
      </c>
      <c r="Q3634" t="s">
        <v>1894</v>
      </c>
      <c r="R3634" t="s">
        <v>1945</v>
      </c>
      <c r="S3634" t="s">
        <v>1615</v>
      </c>
      <c r="T3634" t="s">
        <v>301</v>
      </c>
    </row>
    <row r="3635" spans="1:20" x14ac:dyDescent="0.25">
      <c r="A3635">
        <v>9</v>
      </c>
      <c r="B3635">
        <v>199</v>
      </c>
      <c r="C3635" t="str">
        <f>"12"</f>
        <v>12</v>
      </c>
      <c r="D3635">
        <v>6328</v>
      </c>
      <c r="E3635" t="str">
        <f>"7U"</f>
        <v>7U</v>
      </c>
      <c r="F3635" t="str">
        <f t="shared" si="730"/>
        <v>001</v>
      </c>
      <c r="G3635">
        <v>9</v>
      </c>
      <c r="H3635" t="str">
        <f>"11"</f>
        <v>11</v>
      </c>
      <c r="I3635" t="str">
        <f t="shared" si="729"/>
        <v>0</v>
      </c>
      <c r="J3635" t="str">
        <f>"01"</f>
        <v>01</v>
      </c>
      <c r="K3635">
        <v>20181130</v>
      </c>
      <c r="L3635" t="str">
        <f>"074775"</f>
        <v>074775</v>
      </c>
      <c r="M3635" t="str">
        <f>"30390"</f>
        <v>30390</v>
      </c>
      <c r="N3635" t="s">
        <v>2624</v>
      </c>
      <c r="O3635">
        <v>600.42999999999995</v>
      </c>
      <c r="P3635">
        <v>20181128</v>
      </c>
      <c r="Q3635" t="s">
        <v>1894</v>
      </c>
      <c r="R3635" t="s">
        <v>1945</v>
      </c>
      <c r="S3635" t="s">
        <v>1615</v>
      </c>
      <c r="T3635" t="s">
        <v>301</v>
      </c>
    </row>
    <row r="3636" spans="1:20" x14ac:dyDescent="0.25">
      <c r="A3636">
        <v>9</v>
      </c>
      <c r="B3636">
        <v>199</v>
      </c>
      <c r="C3636" t="str">
        <f>"36"</f>
        <v>36</v>
      </c>
      <c r="D3636">
        <v>6412</v>
      </c>
      <c r="E3636" t="str">
        <f>"7B"</f>
        <v>7B</v>
      </c>
      <c r="F3636" t="str">
        <f t="shared" si="730"/>
        <v>001</v>
      </c>
      <c r="G3636">
        <v>9</v>
      </c>
      <c r="H3636" t="str">
        <f>"99"</f>
        <v>99</v>
      </c>
      <c r="I3636" t="str">
        <f t="shared" si="729"/>
        <v>0</v>
      </c>
      <c r="J3636" t="str">
        <f>"32"</f>
        <v>32</v>
      </c>
      <c r="K3636">
        <v>20181130</v>
      </c>
      <c r="L3636" t="str">
        <f>"074777"</f>
        <v>074777</v>
      </c>
      <c r="M3636" t="str">
        <f>"30744"</f>
        <v>30744</v>
      </c>
      <c r="N3636" t="s">
        <v>422</v>
      </c>
      <c r="O3636">
        <v>49.06</v>
      </c>
      <c r="P3636">
        <v>20181128</v>
      </c>
      <c r="Q3636" t="s">
        <v>1658</v>
      </c>
      <c r="R3636" t="s">
        <v>2874</v>
      </c>
      <c r="S3636" t="s">
        <v>1615</v>
      </c>
      <c r="T3636" t="s">
        <v>301</v>
      </c>
    </row>
    <row r="3637" spans="1:20" x14ac:dyDescent="0.25">
      <c r="A3637">
        <v>9</v>
      </c>
      <c r="B3637">
        <v>199</v>
      </c>
      <c r="C3637" t="str">
        <f>"36"</f>
        <v>36</v>
      </c>
      <c r="D3637">
        <v>6412</v>
      </c>
      <c r="E3637" t="str">
        <f>"7B"</f>
        <v>7B</v>
      </c>
      <c r="F3637" t="str">
        <f t="shared" si="730"/>
        <v>001</v>
      </c>
      <c r="G3637">
        <v>9</v>
      </c>
      <c r="H3637" t="str">
        <f>"99"</f>
        <v>99</v>
      </c>
      <c r="I3637" t="str">
        <f t="shared" si="729"/>
        <v>0</v>
      </c>
      <c r="J3637" t="str">
        <f>"32"</f>
        <v>32</v>
      </c>
      <c r="K3637">
        <v>20181130</v>
      </c>
      <c r="L3637" t="str">
        <f>"074777"</f>
        <v>074777</v>
      </c>
      <c r="M3637" t="str">
        <f>"30744"</f>
        <v>30744</v>
      </c>
      <c r="N3637" t="s">
        <v>422</v>
      </c>
      <c r="O3637">
        <v>27.27</v>
      </c>
      <c r="P3637">
        <v>20181128</v>
      </c>
      <c r="Q3637" t="s">
        <v>1658</v>
      </c>
      <c r="R3637" t="s">
        <v>2874</v>
      </c>
      <c r="S3637" t="s">
        <v>1615</v>
      </c>
      <c r="T3637" t="s">
        <v>301</v>
      </c>
    </row>
    <row r="3638" spans="1:20" x14ac:dyDescent="0.25">
      <c r="A3638">
        <v>9</v>
      </c>
      <c r="B3638">
        <v>199</v>
      </c>
      <c r="C3638" t="str">
        <f>"36"</f>
        <v>36</v>
      </c>
      <c r="D3638">
        <v>6412</v>
      </c>
      <c r="E3638" t="str">
        <f>"7B"</f>
        <v>7B</v>
      </c>
      <c r="F3638" t="str">
        <f t="shared" si="730"/>
        <v>001</v>
      </c>
      <c r="G3638">
        <v>9</v>
      </c>
      <c r="H3638" t="str">
        <f>"99"</f>
        <v>99</v>
      </c>
      <c r="I3638" t="str">
        <f t="shared" si="729"/>
        <v>0</v>
      </c>
      <c r="J3638" t="str">
        <f>"32"</f>
        <v>32</v>
      </c>
      <c r="K3638">
        <v>20181130</v>
      </c>
      <c r="L3638" t="str">
        <f>"074777"</f>
        <v>074777</v>
      </c>
      <c r="M3638" t="str">
        <f>"30744"</f>
        <v>30744</v>
      </c>
      <c r="N3638" t="s">
        <v>422</v>
      </c>
      <c r="O3638">
        <v>44.66</v>
      </c>
      <c r="P3638">
        <v>20181128</v>
      </c>
      <c r="Q3638" t="s">
        <v>1658</v>
      </c>
      <c r="R3638" t="s">
        <v>2536</v>
      </c>
      <c r="S3638" t="s">
        <v>1615</v>
      </c>
      <c r="T3638" t="s">
        <v>301</v>
      </c>
    </row>
    <row r="3639" spans="1:20" x14ac:dyDescent="0.25">
      <c r="A3639">
        <v>9</v>
      </c>
      <c r="B3639">
        <v>199</v>
      </c>
      <c r="C3639" t="str">
        <f>"36"</f>
        <v>36</v>
      </c>
      <c r="D3639">
        <v>6412</v>
      </c>
      <c r="E3639" t="str">
        <f>"7B"</f>
        <v>7B</v>
      </c>
      <c r="F3639" t="str">
        <f t="shared" si="730"/>
        <v>001</v>
      </c>
      <c r="G3639">
        <v>9</v>
      </c>
      <c r="H3639" t="str">
        <f>"99"</f>
        <v>99</v>
      </c>
      <c r="I3639" t="str">
        <f t="shared" si="729"/>
        <v>0</v>
      </c>
      <c r="J3639" t="str">
        <f>"32"</f>
        <v>32</v>
      </c>
      <c r="K3639">
        <v>20181130</v>
      </c>
      <c r="L3639" t="str">
        <f>"074777"</f>
        <v>074777</v>
      </c>
      <c r="M3639" t="str">
        <f>"30744"</f>
        <v>30744</v>
      </c>
      <c r="N3639" t="s">
        <v>422</v>
      </c>
      <c r="O3639">
        <v>33.46</v>
      </c>
      <c r="P3639">
        <v>20181128</v>
      </c>
      <c r="Q3639" t="s">
        <v>1658</v>
      </c>
      <c r="R3639" t="s">
        <v>2536</v>
      </c>
      <c r="S3639" t="s">
        <v>1615</v>
      </c>
      <c r="T3639" t="s">
        <v>301</v>
      </c>
    </row>
    <row r="3640" spans="1:20" x14ac:dyDescent="0.25">
      <c r="A3640">
        <v>9</v>
      </c>
      <c r="B3640">
        <v>199</v>
      </c>
      <c r="C3640" t="str">
        <f>"11"</f>
        <v>11</v>
      </c>
      <c r="D3640">
        <v>6399</v>
      </c>
      <c r="E3640" t="str">
        <f>"VH"</f>
        <v>VH</v>
      </c>
      <c r="F3640" t="str">
        <f>"002"</f>
        <v>002</v>
      </c>
      <c r="G3640">
        <v>9</v>
      </c>
      <c r="H3640" t="str">
        <f>"22"</f>
        <v>22</v>
      </c>
      <c r="I3640" t="str">
        <f t="shared" si="729"/>
        <v>0</v>
      </c>
      <c r="J3640" t="str">
        <f>"22"</f>
        <v>22</v>
      </c>
      <c r="K3640">
        <v>20181130</v>
      </c>
      <c r="L3640" t="str">
        <f>"074778"</f>
        <v>074778</v>
      </c>
      <c r="M3640" t="str">
        <f>"31284"</f>
        <v>31284</v>
      </c>
      <c r="N3640" t="s">
        <v>2875</v>
      </c>
      <c r="O3640">
        <v>255.51</v>
      </c>
      <c r="P3640">
        <v>20181128</v>
      </c>
      <c r="Q3640" t="s">
        <v>1912</v>
      </c>
      <c r="R3640" t="s">
        <v>2636</v>
      </c>
      <c r="S3640" t="s">
        <v>1615</v>
      </c>
      <c r="T3640" t="s">
        <v>1485</v>
      </c>
    </row>
    <row r="3641" spans="1:20" x14ac:dyDescent="0.25">
      <c r="A3641">
        <v>9</v>
      </c>
      <c r="B3641">
        <v>199</v>
      </c>
      <c r="C3641" t="str">
        <f>"11"</f>
        <v>11</v>
      </c>
      <c r="D3641">
        <v>6299</v>
      </c>
      <c r="E3641" t="str">
        <f>"7E"</f>
        <v>7E</v>
      </c>
      <c r="F3641" t="str">
        <f>"041"</f>
        <v>041</v>
      </c>
      <c r="G3641">
        <v>9</v>
      </c>
      <c r="H3641" t="str">
        <f>"11"</f>
        <v>11</v>
      </c>
      <c r="I3641" t="str">
        <f t="shared" si="729"/>
        <v>0</v>
      </c>
      <c r="J3641" t="str">
        <f>"35"</f>
        <v>35</v>
      </c>
      <c r="K3641">
        <v>20181130</v>
      </c>
      <c r="L3641" t="str">
        <f>"074783"</f>
        <v>074783</v>
      </c>
      <c r="M3641" t="str">
        <f>"37570"</f>
        <v>37570</v>
      </c>
      <c r="N3641" t="s">
        <v>2876</v>
      </c>
      <c r="O3641">
        <v>305</v>
      </c>
      <c r="P3641">
        <v>20181128</v>
      </c>
      <c r="Q3641" t="s">
        <v>2877</v>
      </c>
      <c r="R3641" t="s">
        <v>2878</v>
      </c>
      <c r="S3641" t="s">
        <v>1615</v>
      </c>
      <c r="T3641" t="s">
        <v>106</v>
      </c>
    </row>
    <row r="3642" spans="1:20" x14ac:dyDescent="0.25">
      <c r="A3642">
        <v>9</v>
      </c>
      <c r="B3642">
        <v>199</v>
      </c>
      <c r="C3642" t="str">
        <f>"51"</f>
        <v>51</v>
      </c>
      <c r="D3642">
        <v>6254</v>
      </c>
      <c r="E3642" t="str">
        <f>"ME"</f>
        <v>ME</v>
      </c>
      <c r="F3642" t="str">
        <f>"936"</f>
        <v>936</v>
      </c>
      <c r="G3642">
        <v>9</v>
      </c>
      <c r="H3642" t="str">
        <f>"99"</f>
        <v>99</v>
      </c>
      <c r="I3642" t="str">
        <f>"1"</f>
        <v>1</v>
      </c>
      <c r="J3642" t="str">
        <f>"73"</f>
        <v>73</v>
      </c>
      <c r="K3642">
        <v>20181130</v>
      </c>
      <c r="L3642" t="str">
        <f>"074786"</f>
        <v>074786</v>
      </c>
      <c r="M3642" t="str">
        <f>"42194"</f>
        <v>42194</v>
      </c>
      <c r="N3642" t="s">
        <v>1736</v>
      </c>
      <c r="O3642" s="1">
        <v>1808.96</v>
      </c>
      <c r="P3642">
        <v>20181128</v>
      </c>
      <c r="Q3642" t="s">
        <v>1891</v>
      </c>
      <c r="R3642" t="s">
        <v>2879</v>
      </c>
      <c r="S3642" t="s">
        <v>1615</v>
      </c>
      <c r="T3642" t="s">
        <v>1713</v>
      </c>
    </row>
    <row r="3643" spans="1:20" x14ac:dyDescent="0.25">
      <c r="A3643">
        <v>9</v>
      </c>
      <c r="B3643">
        <v>199</v>
      </c>
      <c r="C3643" t="str">
        <f>"31"</f>
        <v>31</v>
      </c>
      <c r="D3643">
        <v>6499</v>
      </c>
      <c r="E3643" t="str">
        <f>"7F"</f>
        <v>7F</v>
      </c>
      <c r="F3643" t="str">
        <f>"001"</f>
        <v>001</v>
      </c>
      <c r="G3643">
        <v>9</v>
      </c>
      <c r="H3643" t="str">
        <f>"31"</f>
        <v>31</v>
      </c>
      <c r="I3643" t="str">
        <f>"0"</f>
        <v>0</v>
      </c>
      <c r="J3643" t="str">
        <f>"34"</f>
        <v>34</v>
      </c>
      <c r="K3643">
        <v>20181130</v>
      </c>
      <c r="L3643" t="str">
        <f>"074787"</f>
        <v>074787</v>
      </c>
      <c r="M3643" t="str">
        <f>"45093"</f>
        <v>45093</v>
      </c>
      <c r="N3643" t="s">
        <v>885</v>
      </c>
      <c r="O3643">
        <v>187.97</v>
      </c>
      <c r="P3643">
        <v>20181128</v>
      </c>
      <c r="Q3643" t="s">
        <v>2880</v>
      </c>
      <c r="R3643" t="s">
        <v>2881</v>
      </c>
      <c r="S3643" t="s">
        <v>1615</v>
      </c>
      <c r="T3643" t="s">
        <v>301</v>
      </c>
    </row>
    <row r="3644" spans="1:20" x14ac:dyDescent="0.25">
      <c r="A3644">
        <v>9</v>
      </c>
      <c r="B3644">
        <v>199</v>
      </c>
      <c r="C3644" t="str">
        <f>"36"</f>
        <v>36</v>
      </c>
      <c r="D3644">
        <v>6411</v>
      </c>
      <c r="E3644" t="str">
        <f>"7C"</f>
        <v>7C</v>
      </c>
      <c r="F3644" t="str">
        <f>"001"</f>
        <v>001</v>
      </c>
      <c r="G3644">
        <v>9</v>
      </c>
      <c r="H3644" t="str">
        <f>"99"</f>
        <v>99</v>
      </c>
      <c r="I3644" t="str">
        <f>"1"</f>
        <v>1</v>
      </c>
      <c r="J3644" t="str">
        <f>"01"</f>
        <v>01</v>
      </c>
      <c r="K3644">
        <v>20181130</v>
      </c>
      <c r="L3644" t="str">
        <f>"074787"</f>
        <v>074787</v>
      </c>
      <c r="M3644" t="str">
        <f>"45093"</f>
        <v>45093</v>
      </c>
      <c r="N3644" t="s">
        <v>885</v>
      </c>
      <c r="O3644">
        <v>14</v>
      </c>
      <c r="P3644">
        <v>20181128</v>
      </c>
      <c r="Q3644" t="s">
        <v>1732</v>
      </c>
      <c r="R3644" t="s">
        <v>2882</v>
      </c>
      <c r="S3644" t="s">
        <v>1615</v>
      </c>
      <c r="T3644" t="s">
        <v>301</v>
      </c>
    </row>
    <row r="3645" spans="1:20" x14ac:dyDescent="0.25">
      <c r="A3645">
        <v>9</v>
      </c>
      <c r="B3645">
        <v>199</v>
      </c>
      <c r="C3645" t="str">
        <f>"36"</f>
        <v>36</v>
      </c>
      <c r="D3645">
        <v>6412</v>
      </c>
      <c r="E3645" t="str">
        <f>"7C"</f>
        <v>7C</v>
      </c>
      <c r="F3645" t="str">
        <f>"001"</f>
        <v>001</v>
      </c>
      <c r="G3645">
        <v>9</v>
      </c>
      <c r="H3645" t="str">
        <f>"99"</f>
        <v>99</v>
      </c>
      <c r="I3645" t="str">
        <f t="shared" ref="I3645:I3676" si="731">"0"</f>
        <v>0</v>
      </c>
      <c r="J3645" t="str">
        <f>"01"</f>
        <v>01</v>
      </c>
      <c r="K3645">
        <v>20181130</v>
      </c>
      <c r="L3645" t="str">
        <f>"074787"</f>
        <v>074787</v>
      </c>
      <c r="M3645" t="str">
        <f>"45093"</f>
        <v>45093</v>
      </c>
      <c r="N3645" t="s">
        <v>885</v>
      </c>
      <c r="O3645">
        <v>152.69999999999999</v>
      </c>
      <c r="P3645">
        <v>20181128</v>
      </c>
      <c r="Q3645" t="s">
        <v>1734</v>
      </c>
      <c r="R3645" t="s">
        <v>2882</v>
      </c>
      <c r="S3645" t="s">
        <v>1615</v>
      </c>
      <c r="T3645" t="s">
        <v>301</v>
      </c>
    </row>
    <row r="3646" spans="1:20" x14ac:dyDescent="0.25">
      <c r="A3646">
        <v>9</v>
      </c>
      <c r="B3646">
        <v>199</v>
      </c>
      <c r="C3646" t="str">
        <f>"41"</f>
        <v>41</v>
      </c>
      <c r="D3646">
        <v>6498</v>
      </c>
      <c r="E3646" t="str">
        <f>"10"</f>
        <v>10</v>
      </c>
      <c r="F3646" t="str">
        <f>"735"</f>
        <v>735</v>
      </c>
      <c r="G3646">
        <v>9</v>
      </c>
      <c r="H3646" t="str">
        <f>"99"</f>
        <v>99</v>
      </c>
      <c r="I3646" t="str">
        <f t="shared" si="731"/>
        <v>0</v>
      </c>
      <c r="J3646" t="str">
        <f>"96"</f>
        <v>96</v>
      </c>
      <c r="K3646">
        <v>20181130</v>
      </c>
      <c r="L3646" t="str">
        <f>"074787"</f>
        <v>074787</v>
      </c>
      <c r="M3646" t="str">
        <f>"45093"</f>
        <v>45093</v>
      </c>
      <c r="N3646" t="s">
        <v>885</v>
      </c>
      <c r="O3646">
        <v>77.989999999999995</v>
      </c>
      <c r="P3646">
        <v>20181128</v>
      </c>
      <c r="Q3646" t="s">
        <v>2333</v>
      </c>
      <c r="R3646" t="s">
        <v>2334</v>
      </c>
      <c r="S3646" t="s">
        <v>1615</v>
      </c>
      <c r="T3646" t="s">
        <v>151</v>
      </c>
    </row>
    <row r="3647" spans="1:20" x14ac:dyDescent="0.25">
      <c r="A3647">
        <v>9</v>
      </c>
      <c r="B3647">
        <v>199</v>
      </c>
      <c r="C3647" t="str">
        <f>"11"</f>
        <v>11</v>
      </c>
      <c r="D3647">
        <v>6499</v>
      </c>
      <c r="E3647" t="str">
        <f>"10"</f>
        <v>10</v>
      </c>
      <c r="F3647" t="str">
        <f>"104"</f>
        <v>104</v>
      </c>
      <c r="G3647">
        <v>9</v>
      </c>
      <c r="H3647" t="str">
        <f>"11"</f>
        <v>11</v>
      </c>
      <c r="I3647" t="str">
        <f t="shared" si="731"/>
        <v>0</v>
      </c>
      <c r="J3647" t="str">
        <f>"05"</f>
        <v>05</v>
      </c>
      <c r="K3647">
        <v>20181130</v>
      </c>
      <c r="L3647" t="str">
        <f>"074788"</f>
        <v>074788</v>
      </c>
      <c r="M3647" t="str">
        <f>"40781"</f>
        <v>40781</v>
      </c>
      <c r="N3647" t="s">
        <v>1738</v>
      </c>
      <c r="O3647">
        <v>580</v>
      </c>
      <c r="P3647">
        <v>20181128</v>
      </c>
      <c r="Q3647" t="s">
        <v>2640</v>
      </c>
      <c r="R3647" t="s">
        <v>2883</v>
      </c>
      <c r="S3647" t="s">
        <v>1615</v>
      </c>
      <c r="T3647" t="s">
        <v>46</v>
      </c>
    </row>
    <row r="3648" spans="1:20" x14ac:dyDescent="0.25">
      <c r="A3648">
        <v>9</v>
      </c>
      <c r="B3648">
        <v>199</v>
      </c>
      <c r="C3648" t="str">
        <f>"00"</f>
        <v>00</v>
      </c>
      <c r="D3648">
        <v>1291</v>
      </c>
      <c r="E3648" t="str">
        <f>"05"</f>
        <v>05</v>
      </c>
      <c r="F3648" t="str">
        <f>"000"</f>
        <v>000</v>
      </c>
      <c r="G3648">
        <v>9</v>
      </c>
      <c r="H3648" t="str">
        <f>"00"</f>
        <v>00</v>
      </c>
      <c r="I3648" t="str">
        <f t="shared" si="731"/>
        <v>0</v>
      </c>
      <c r="J3648" t="str">
        <f>"00"</f>
        <v>00</v>
      </c>
      <c r="K3648">
        <v>20181130</v>
      </c>
      <c r="L3648" t="str">
        <f>"074789"</f>
        <v>074789</v>
      </c>
      <c r="M3648" t="str">
        <f>"46351"</f>
        <v>46351</v>
      </c>
      <c r="N3648" t="s">
        <v>1639</v>
      </c>
      <c r="O3648">
        <v>633.32000000000005</v>
      </c>
      <c r="P3648">
        <v>20181128</v>
      </c>
      <c r="Q3648" t="s">
        <v>1637</v>
      </c>
      <c r="R3648" t="s">
        <v>2884</v>
      </c>
      <c r="S3648" t="s">
        <v>1615</v>
      </c>
      <c r="T3648" t="s">
        <v>296</v>
      </c>
    </row>
    <row r="3649" spans="1:20" x14ac:dyDescent="0.25">
      <c r="A3649">
        <v>9</v>
      </c>
      <c r="B3649">
        <v>199</v>
      </c>
      <c r="C3649" t="str">
        <f>"51"</f>
        <v>51</v>
      </c>
      <c r="D3649">
        <v>6319</v>
      </c>
      <c r="E3649" t="str">
        <f>"MC"</f>
        <v>MC</v>
      </c>
      <c r="F3649" t="str">
        <f>"936"</f>
        <v>936</v>
      </c>
      <c r="G3649">
        <v>9</v>
      </c>
      <c r="H3649" t="str">
        <f t="shared" ref="H3649:H3658" si="732">"99"</f>
        <v>99</v>
      </c>
      <c r="I3649" t="str">
        <f t="shared" si="731"/>
        <v>0</v>
      </c>
      <c r="J3649" t="str">
        <f>"81"</f>
        <v>81</v>
      </c>
      <c r="K3649">
        <v>20181130</v>
      </c>
      <c r="L3649" t="str">
        <f>"074790"</f>
        <v>074790</v>
      </c>
      <c r="M3649" t="str">
        <f>"49898"</f>
        <v>49898</v>
      </c>
      <c r="N3649" t="s">
        <v>2390</v>
      </c>
      <c r="O3649">
        <v>173.91</v>
      </c>
      <c r="P3649">
        <v>20181128</v>
      </c>
      <c r="Q3649" t="s">
        <v>2060</v>
      </c>
      <c r="R3649" t="s">
        <v>2885</v>
      </c>
      <c r="S3649" t="s">
        <v>1615</v>
      </c>
      <c r="T3649" t="s">
        <v>1713</v>
      </c>
    </row>
    <row r="3650" spans="1:20" x14ac:dyDescent="0.25">
      <c r="A3650">
        <v>9</v>
      </c>
      <c r="B3650">
        <v>199</v>
      </c>
      <c r="C3650" t="str">
        <f>"51"</f>
        <v>51</v>
      </c>
      <c r="D3650">
        <v>6319</v>
      </c>
      <c r="E3650" t="str">
        <f>"MC"</f>
        <v>MC</v>
      </c>
      <c r="F3650" t="str">
        <f>"936"</f>
        <v>936</v>
      </c>
      <c r="G3650">
        <v>9</v>
      </c>
      <c r="H3650" t="str">
        <f t="shared" si="732"/>
        <v>99</v>
      </c>
      <c r="I3650" t="str">
        <f t="shared" si="731"/>
        <v>0</v>
      </c>
      <c r="J3650" t="str">
        <f>"81"</f>
        <v>81</v>
      </c>
      <c r="K3650">
        <v>20181130</v>
      </c>
      <c r="L3650" t="str">
        <f>"074790"</f>
        <v>074790</v>
      </c>
      <c r="M3650" t="str">
        <f>"49898"</f>
        <v>49898</v>
      </c>
      <c r="N3650" t="s">
        <v>2390</v>
      </c>
      <c r="O3650">
        <v>100.46</v>
      </c>
      <c r="P3650">
        <v>20181128</v>
      </c>
      <c r="Q3650" t="s">
        <v>2060</v>
      </c>
      <c r="R3650" t="s">
        <v>2886</v>
      </c>
      <c r="S3650" t="s">
        <v>1615</v>
      </c>
      <c r="T3650" t="s">
        <v>1713</v>
      </c>
    </row>
    <row r="3651" spans="1:20" x14ac:dyDescent="0.25">
      <c r="A3651">
        <v>9</v>
      </c>
      <c r="B3651">
        <v>199</v>
      </c>
      <c r="C3651" t="str">
        <f>"51"</f>
        <v>51</v>
      </c>
      <c r="D3651">
        <v>6319</v>
      </c>
      <c r="E3651" t="str">
        <f>"MC"</f>
        <v>MC</v>
      </c>
      <c r="F3651" t="str">
        <f>"936"</f>
        <v>936</v>
      </c>
      <c r="G3651">
        <v>9</v>
      </c>
      <c r="H3651" t="str">
        <f t="shared" si="732"/>
        <v>99</v>
      </c>
      <c r="I3651" t="str">
        <f t="shared" si="731"/>
        <v>0</v>
      </c>
      <c r="J3651" t="str">
        <f>"81"</f>
        <v>81</v>
      </c>
      <c r="K3651">
        <v>20181130</v>
      </c>
      <c r="L3651" t="str">
        <f>"074790"</f>
        <v>074790</v>
      </c>
      <c r="M3651" t="str">
        <f>"49898"</f>
        <v>49898</v>
      </c>
      <c r="N3651" t="s">
        <v>2390</v>
      </c>
      <c r="O3651">
        <v>93.06</v>
      </c>
      <c r="P3651">
        <v>20181128</v>
      </c>
      <c r="Q3651" t="s">
        <v>2060</v>
      </c>
      <c r="R3651" t="s">
        <v>2887</v>
      </c>
      <c r="S3651" t="s">
        <v>1615</v>
      </c>
      <c r="T3651" t="s">
        <v>1713</v>
      </c>
    </row>
    <row r="3652" spans="1:20" x14ac:dyDescent="0.25">
      <c r="A3652">
        <v>9</v>
      </c>
      <c r="B3652">
        <v>199</v>
      </c>
      <c r="C3652" t="str">
        <f>"51"</f>
        <v>51</v>
      </c>
      <c r="D3652">
        <v>6319</v>
      </c>
      <c r="E3652" t="str">
        <f>"M3"</f>
        <v>M3</v>
      </c>
      <c r="F3652" t="str">
        <f>"936"</f>
        <v>936</v>
      </c>
      <c r="G3652">
        <v>9</v>
      </c>
      <c r="H3652" t="str">
        <f t="shared" si="732"/>
        <v>99</v>
      </c>
      <c r="I3652" t="str">
        <f t="shared" si="731"/>
        <v>0</v>
      </c>
      <c r="J3652" t="str">
        <f>"81"</f>
        <v>81</v>
      </c>
      <c r="K3652">
        <v>20181130</v>
      </c>
      <c r="L3652" t="str">
        <f>"074791"</f>
        <v>074791</v>
      </c>
      <c r="M3652" t="str">
        <f>"49970"</f>
        <v>49970</v>
      </c>
      <c r="N3652" t="s">
        <v>2273</v>
      </c>
      <c r="O3652" s="1">
        <v>1700</v>
      </c>
      <c r="P3652">
        <v>20181128</v>
      </c>
      <c r="Q3652" t="s">
        <v>2246</v>
      </c>
      <c r="R3652" t="s">
        <v>2888</v>
      </c>
      <c r="S3652" t="s">
        <v>1615</v>
      </c>
      <c r="T3652" t="s">
        <v>1713</v>
      </c>
    </row>
    <row r="3653" spans="1:20" x14ac:dyDescent="0.25">
      <c r="A3653">
        <v>9</v>
      </c>
      <c r="B3653">
        <v>199</v>
      </c>
      <c r="C3653" t="str">
        <f>"41"</f>
        <v>41</v>
      </c>
      <c r="D3653">
        <v>6299</v>
      </c>
      <c r="E3653" t="str">
        <f>"10"</f>
        <v>10</v>
      </c>
      <c r="F3653" t="str">
        <f>"735"</f>
        <v>735</v>
      </c>
      <c r="G3653">
        <v>9</v>
      </c>
      <c r="H3653" t="str">
        <f t="shared" si="732"/>
        <v>99</v>
      </c>
      <c r="I3653" t="str">
        <f t="shared" si="731"/>
        <v>0</v>
      </c>
      <c r="J3653" t="str">
        <f>"96"</f>
        <v>96</v>
      </c>
      <c r="K3653">
        <v>20181130</v>
      </c>
      <c r="L3653" t="str">
        <f>"074792"</f>
        <v>074792</v>
      </c>
      <c r="M3653" t="str">
        <f>"00522"</f>
        <v>00522</v>
      </c>
      <c r="N3653" t="s">
        <v>1647</v>
      </c>
      <c r="O3653" s="1">
        <v>2100</v>
      </c>
      <c r="P3653">
        <v>20181128</v>
      </c>
      <c r="Q3653" t="s">
        <v>2101</v>
      </c>
      <c r="R3653" t="s">
        <v>2668</v>
      </c>
      <c r="S3653" t="s">
        <v>1615</v>
      </c>
      <c r="T3653" t="s">
        <v>151</v>
      </c>
    </row>
    <row r="3654" spans="1:20" x14ac:dyDescent="0.25">
      <c r="A3654">
        <v>9</v>
      </c>
      <c r="B3654">
        <v>199</v>
      </c>
      <c r="C3654" t="str">
        <f>"36"</f>
        <v>36</v>
      </c>
      <c r="D3654">
        <v>6412</v>
      </c>
      <c r="E3654" t="str">
        <f>"8S"</f>
        <v>8S</v>
      </c>
      <c r="F3654" t="str">
        <f>"001"</f>
        <v>001</v>
      </c>
      <c r="G3654">
        <v>9</v>
      </c>
      <c r="H3654" t="str">
        <f t="shared" si="732"/>
        <v>99</v>
      </c>
      <c r="I3654" t="str">
        <f t="shared" si="731"/>
        <v>0</v>
      </c>
      <c r="J3654" t="str">
        <f>"91"</f>
        <v>91</v>
      </c>
      <c r="K3654">
        <v>20181130</v>
      </c>
      <c r="L3654" t="str">
        <f>"074793"</f>
        <v>074793</v>
      </c>
      <c r="M3654" t="str">
        <f>"55846"</f>
        <v>55846</v>
      </c>
      <c r="N3654" t="s">
        <v>2889</v>
      </c>
      <c r="O3654">
        <v>910</v>
      </c>
      <c r="P3654">
        <v>20181128</v>
      </c>
      <c r="Q3654" t="s">
        <v>2890</v>
      </c>
      <c r="R3654" t="s">
        <v>2891</v>
      </c>
      <c r="S3654" t="s">
        <v>1615</v>
      </c>
      <c r="T3654" t="s">
        <v>301</v>
      </c>
    </row>
    <row r="3655" spans="1:20" x14ac:dyDescent="0.25">
      <c r="A3655">
        <v>9</v>
      </c>
      <c r="B3655">
        <v>199</v>
      </c>
      <c r="C3655" t="str">
        <f>"41"</f>
        <v>41</v>
      </c>
      <c r="D3655">
        <v>6213</v>
      </c>
      <c r="E3655" t="str">
        <f>"11"</f>
        <v>11</v>
      </c>
      <c r="F3655" t="str">
        <f>"703"</f>
        <v>703</v>
      </c>
      <c r="G3655">
        <v>9</v>
      </c>
      <c r="H3655" t="str">
        <f t="shared" si="732"/>
        <v>99</v>
      </c>
      <c r="I3655" t="str">
        <f t="shared" si="731"/>
        <v>0</v>
      </c>
      <c r="J3655" t="str">
        <f>"91"</f>
        <v>91</v>
      </c>
      <c r="K3655">
        <v>20181130</v>
      </c>
      <c r="L3655" t="str">
        <f>"074794"</f>
        <v>074794</v>
      </c>
      <c r="M3655" t="str">
        <f>"61166"</f>
        <v>61166</v>
      </c>
      <c r="N3655" t="s">
        <v>2892</v>
      </c>
      <c r="O3655" s="1">
        <v>3561.5</v>
      </c>
      <c r="P3655">
        <v>20181129</v>
      </c>
      <c r="Q3655" t="s">
        <v>2893</v>
      </c>
      <c r="R3655" t="s">
        <v>2894</v>
      </c>
      <c r="S3655" t="s">
        <v>1615</v>
      </c>
      <c r="T3655" t="s">
        <v>1761</v>
      </c>
    </row>
    <row r="3656" spans="1:20" x14ac:dyDescent="0.25">
      <c r="A3656">
        <v>9</v>
      </c>
      <c r="B3656">
        <v>199</v>
      </c>
      <c r="C3656" t="str">
        <f>"51"</f>
        <v>51</v>
      </c>
      <c r="D3656">
        <v>6249</v>
      </c>
      <c r="E3656" t="str">
        <f>"M1"</f>
        <v>M1</v>
      </c>
      <c r="F3656" t="str">
        <f>"936"</f>
        <v>936</v>
      </c>
      <c r="G3656">
        <v>9</v>
      </c>
      <c r="H3656" t="str">
        <f t="shared" si="732"/>
        <v>99</v>
      </c>
      <c r="I3656" t="str">
        <f t="shared" si="731"/>
        <v>0</v>
      </c>
      <c r="J3656" t="str">
        <f>"81"</f>
        <v>81</v>
      </c>
      <c r="K3656">
        <v>20181130</v>
      </c>
      <c r="L3656" t="str">
        <f>"074795"</f>
        <v>074795</v>
      </c>
      <c r="M3656" t="str">
        <f>"00181"</f>
        <v>00181</v>
      </c>
      <c r="N3656" t="s">
        <v>1762</v>
      </c>
      <c r="O3656">
        <v>320</v>
      </c>
      <c r="P3656">
        <v>20181129</v>
      </c>
      <c r="Q3656" t="s">
        <v>1763</v>
      </c>
      <c r="R3656" s="2">
        <v>43435</v>
      </c>
      <c r="S3656" t="s">
        <v>1615</v>
      </c>
      <c r="T3656" t="s">
        <v>1713</v>
      </c>
    </row>
    <row r="3657" spans="1:20" x14ac:dyDescent="0.25">
      <c r="A3657">
        <v>9</v>
      </c>
      <c r="B3657">
        <v>199</v>
      </c>
      <c r="C3657" t="str">
        <f>"41"</f>
        <v>41</v>
      </c>
      <c r="D3657">
        <v>6491</v>
      </c>
      <c r="E3657" t="str">
        <f>"10"</f>
        <v>10</v>
      </c>
      <c r="F3657" t="str">
        <f>"726"</f>
        <v>726</v>
      </c>
      <c r="G3657">
        <v>9</v>
      </c>
      <c r="H3657" t="str">
        <f t="shared" si="732"/>
        <v>99</v>
      </c>
      <c r="I3657" t="str">
        <f t="shared" si="731"/>
        <v>0</v>
      </c>
      <c r="J3657" t="str">
        <f>"91"</f>
        <v>91</v>
      </c>
      <c r="K3657">
        <v>20181130</v>
      </c>
      <c r="L3657" t="str">
        <f>"074799"</f>
        <v>074799</v>
      </c>
      <c r="M3657" t="str">
        <f>"00355"</f>
        <v>00355</v>
      </c>
      <c r="N3657" t="s">
        <v>2304</v>
      </c>
      <c r="O3657">
        <v>120</v>
      </c>
      <c r="P3657">
        <v>20181129</v>
      </c>
      <c r="Q3657" t="s">
        <v>2895</v>
      </c>
      <c r="R3657" t="s">
        <v>2896</v>
      </c>
      <c r="S3657" t="s">
        <v>1615</v>
      </c>
      <c r="T3657" t="s">
        <v>2608</v>
      </c>
    </row>
    <row r="3658" spans="1:20" x14ac:dyDescent="0.25">
      <c r="A3658">
        <v>9</v>
      </c>
      <c r="B3658">
        <v>199</v>
      </c>
      <c r="C3658" t="str">
        <f>"41"</f>
        <v>41</v>
      </c>
      <c r="D3658">
        <v>6299</v>
      </c>
      <c r="E3658" t="str">
        <f>"00"</f>
        <v>00</v>
      </c>
      <c r="F3658" t="str">
        <f>"932"</f>
        <v>932</v>
      </c>
      <c r="G3658">
        <v>9</v>
      </c>
      <c r="H3658" t="str">
        <f t="shared" si="732"/>
        <v>99</v>
      </c>
      <c r="I3658" t="str">
        <f t="shared" si="731"/>
        <v>0</v>
      </c>
      <c r="J3658" t="str">
        <f>"84"</f>
        <v>84</v>
      </c>
      <c r="K3658">
        <v>20181130</v>
      </c>
      <c r="L3658" t="str">
        <f>"074800"</f>
        <v>074800</v>
      </c>
      <c r="M3658" t="str">
        <f>"60842"</f>
        <v>60842</v>
      </c>
      <c r="N3658" t="s">
        <v>2897</v>
      </c>
      <c r="O3658">
        <v>767</v>
      </c>
      <c r="P3658">
        <v>20181129</v>
      </c>
      <c r="Q3658" t="s">
        <v>2898</v>
      </c>
      <c r="R3658" t="s">
        <v>2899</v>
      </c>
      <c r="S3658" t="s">
        <v>1615</v>
      </c>
      <c r="T3658" t="s">
        <v>2900</v>
      </c>
    </row>
    <row r="3659" spans="1:20" x14ac:dyDescent="0.25">
      <c r="A3659">
        <v>9</v>
      </c>
      <c r="B3659">
        <v>199</v>
      </c>
      <c r="C3659" t="str">
        <f>"11"</f>
        <v>11</v>
      </c>
      <c r="D3659">
        <v>6399</v>
      </c>
      <c r="E3659" t="str">
        <f>"10"</f>
        <v>10</v>
      </c>
      <c r="F3659" t="str">
        <f>"001"</f>
        <v>001</v>
      </c>
      <c r="G3659">
        <v>9</v>
      </c>
      <c r="H3659" t="str">
        <f>"11"</f>
        <v>11</v>
      </c>
      <c r="I3659" t="str">
        <f t="shared" si="731"/>
        <v>0</v>
      </c>
      <c r="J3659" t="str">
        <f>"01"</f>
        <v>01</v>
      </c>
      <c r="K3659">
        <v>20181130</v>
      </c>
      <c r="L3659" t="str">
        <f>"074804"</f>
        <v>074804</v>
      </c>
      <c r="M3659" t="str">
        <f>"65106"</f>
        <v>65106</v>
      </c>
      <c r="N3659" t="s">
        <v>1175</v>
      </c>
      <c r="O3659">
        <v>413.4</v>
      </c>
      <c r="P3659">
        <v>20181129</v>
      </c>
      <c r="Q3659" t="s">
        <v>1675</v>
      </c>
      <c r="R3659" t="s">
        <v>2793</v>
      </c>
      <c r="S3659" t="s">
        <v>1615</v>
      </c>
      <c r="T3659" t="s">
        <v>301</v>
      </c>
    </row>
    <row r="3660" spans="1:20" x14ac:dyDescent="0.25">
      <c r="A3660">
        <v>9</v>
      </c>
      <c r="B3660">
        <v>199</v>
      </c>
      <c r="C3660" t="str">
        <f>"11"</f>
        <v>11</v>
      </c>
      <c r="D3660">
        <v>6399</v>
      </c>
      <c r="E3660" t="str">
        <f>"8M"</f>
        <v>8M</v>
      </c>
      <c r="F3660" t="str">
        <f>"001"</f>
        <v>001</v>
      </c>
      <c r="G3660">
        <v>9</v>
      </c>
      <c r="H3660" t="str">
        <f>"11"</f>
        <v>11</v>
      </c>
      <c r="I3660" t="str">
        <f t="shared" si="731"/>
        <v>0</v>
      </c>
      <c r="J3660" t="str">
        <f>"33"</f>
        <v>33</v>
      </c>
      <c r="K3660">
        <v>20181130</v>
      </c>
      <c r="L3660" t="str">
        <f>"074804"</f>
        <v>074804</v>
      </c>
      <c r="M3660" t="str">
        <f>"65106"</f>
        <v>65106</v>
      </c>
      <c r="N3660" t="s">
        <v>1175</v>
      </c>
      <c r="O3660">
        <v>170.94</v>
      </c>
      <c r="P3660">
        <v>20181129</v>
      </c>
      <c r="Q3660" t="s">
        <v>1928</v>
      </c>
      <c r="R3660" t="s">
        <v>2901</v>
      </c>
      <c r="S3660" t="s">
        <v>1615</v>
      </c>
      <c r="T3660" t="s">
        <v>301</v>
      </c>
    </row>
    <row r="3661" spans="1:20" x14ac:dyDescent="0.25">
      <c r="A3661">
        <v>9</v>
      </c>
      <c r="B3661">
        <v>199</v>
      </c>
      <c r="C3661" t="str">
        <f>"23"</f>
        <v>23</v>
      </c>
      <c r="D3661">
        <v>6498</v>
      </c>
      <c r="E3661" t="str">
        <f>"10"</f>
        <v>10</v>
      </c>
      <c r="F3661" t="str">
        <f>"001"</f>
        <v>001</v>
      </c>
      <c r="G3661">
        <v>9</v>
      </c>
      <c r="H3661" t="str">
        <f>"99"</f>
        <v>99</v>
      </c>
      <c r="I3661" t="str">
        <f t="shared" si="731"/>
        <v>0</v>
      </c>
      <c r="J3661" t="str">
        <f>"01"</f>
        <v>01</v>
      </c>
      <c r="K3661">
        <v>20181130</v>
      </c>
      <c r="L3661" t="str">
        <f>"074804"</f>
        <v>074804</v>
      </c>
      <c r="M3661" t="str">
        <f>"65106"</f>
        <v>65106</v>
      </c>
      <c r="N3661" t="s">
        <v>1175</v>
      </c>
      <c r="O3661">
        <v>227.62</v>
      </c>
      <c r="P3661">
        <v>20181129</v>
      </c>
      <c r="Q3661" t="s">
        <v>2108</v>
      </c>
      <c r="R3661" t="s">
        <v>2902</v>
      </c>
      <c r="S3661" t="s">
        <v>1615</v>
      </c>
      <c r="T3661" t="s">
        <v>301</v>
      </c>
    </row>
    <row r="3662" spans="1:20" x14ac:dyDescent="0.25">
      <c r="A3662">
        <v>9</v>
      </c>
      <c r="B3662">
        <v>199</v>
      </c>
      <c r="C3662" t="str">
        <f>"23"</f>
        <v>23</v>
      </c>
      <c r="D3662">
        <v>6498</v>
      </c>
      <c r="E3662" t="str">
        <f>"10"</f>
        <v>10</v>
      </c>
      <c r="F3662" t="str">
        <f>"104"</f>
        <v>104</v>
      </c>
      <c r="G3662">
        <v>9</v>
      </c>
      <c r="H3662" t="str">
        <f>"99"</f>
        <v>99</v>
      </c>
      <c r="I3662" t="str">
        <f t="shared" si="731"/>
        <v>0</v>
      </c>
      <c r="J3662" t="str">
        <f>"05"</f>
        <v>05</v>
      </c>
      <c r="K3662">
        <v>20181130</v>
      </c>
      <c r="L3662" t="str">
        <f>"074804"</f>
        <v>074804</v>
      </c>
      <c r="M3662" t="str">
        <f>"65106"</f>
        <v>65106</v>
      </c>
      <c r="N3662" t="s">
        <v>1175</v>
      </c>
      <c r="O3662">
        <v>173.37</v>
      </c>
      <c r="P3662">
        <v>20181129</v>
      </c>
      <c r="Q3662" t="s">
        <v>2402</v>
      </c>
      <c r="R3662" t="s">
        <v>2081</v>
      </c>
      <c r="S3662" t="s">
        <v>1615</v>
      </c>
      <c r="T3662" t="s">
        <v>46</v>
      </c>
    </row>
    <row r="3663" spans="1:20" x14ac:dyDescent="0.25">
      <c r="A3663">
        <v>9</v>
      </c>
      <c r="B3663">
        <v>199</v>
      </c>
      <c r="C3663" t="str">
        <f>"36"</f>
        <v>36</v>
      </c>
      <c r="D3663">
        <v>6499</v>
      </c>
      <c r="E3663" t="str">
        <f>"H2"</f>
        <v>H2</v>
      </c>
      <c r="F3663" t="str">
        <f t="shared" ref="F3663:F3668" si="733">"001"</f>
        <v>001</v>
      </c>
      <c r="G3663">
        <v>9</v>
      </c>
      <c r="H3663" t="str">
        <f>"99"</f>
        <v>99</v>
      </c>
      <c r="I3663" t="str">
        <f t="shared" si="731"/>
        <v>0</v>
      </c>
      <c r="J3663" t="str">
        <f>"37"</f>
        <v>37</v>
      </c>
      <c r="K3663">
        <v>20181130</v>
      </c>
      <c r="L3663" t="str">
        <f>"074804"</f>
        <v>074804</v>
      </c>
      <c r="M3663" t="str">
        <f>"65106"</f>
        <v>65106</v>
      </c>
      <c r="N3663" t="s">
        <v>1175</v>
      </c>
      <c r="O3663">
        <v>165.54</v>
      </c>
      <c r="P3663">
        <v>20181129</v>
      </c>
      <c r="Q3663" t="s">
        <v>2903</v>
      </c>
      <c r="R3663" t="s">
        <v>2904</v>
      </c>
      <c r="S3663" t="s">
        <v>1615</v>
      </c>
      <c r="T3663" t="s">
        <v>301</v>
      </c>
    </row>
    <row r="3664" spans="1:20" x14ac:dyDescent="0.25">
      <c r="A3664">
        <v>9</v>
      </c>
      <c r="B3664">
        <v>199</v>
      </c>
      <c r="C3664" t="str">
        <f>"11"</f>
        <v>11</v>
      </c>
      <c r="D3664">
        <v>6399</v>
      </c>
      <c r="E3664" t="str">
        <f>"V8"</f>
        <v>V8</v>
      </c>
      <c r="F3664" t="str">
        <f t="shared" si="733"/>
        <v>001</v>
      </c>
      <c r="G3664">
        <v>9</v>
      </c>
      <c r="H3664" t="str">
        <f>"22"</f>
        <v>22</v>
      </c>
      <c r="I3664" t="str">
        <f t="shared" si="731"/>
        <v>0</v>
      </c>
      <c r="J3664" t="str">
        <f>"22"</f>
        <v>22</v>
      </c>
      <c r="K3664">
        <v>20181130</v>
      </c>
      <c r="L3664" t="str">
        <f>"074806"</f>
        <v>074806</v>
      </c>
      <c r="M3664" t="str">
        <f>"71250"</f>
        <v>71250</v>
      </c>
      <c r="N3664" t="s">
        <v>1389</v>
      </c>
      <c r="O3664" s="1">
        <v>1445.61</v>
      </c>
      <c r="P3664">
        <v>20181129</v>
      </c>
      <c r="Q3664" t="s">
        <v>2001</v>
      </c>
      <c r="R3664" t="s">
        <v>2905</v>
      </c>
      <c r="S3664" t="s">
        <v>1615</v>
      </c>
      <c r="T3664" t="s">
        <v>301</v>
      </c>
    </row>
    <row r="3665" spans="1:20" x14ac:dyDescent="0.25">
      <c r="A3665">
        <v>9</v>
      </c>
      <c r="B3665">
        <v>199</v>
      </c>
      <c r="C3665" t="str">
        <f>"11"</f>
        <v>11</v>
      </c>
      <c r="D3665">
        <v>6399</v>
      </c>
      <c r="E3665" t="str">
        <f>"V8"</f>
        <v>V8</v>
      </c>
      <c r="F3665" t="str">
        <f t="shared" si="733"/>
        <v>001</v>
      </c>
      <c r="G3665">
        <v>9</v>
      </c>
      <c r="H3665" t="str">
        <f>"22"</f>
        <v>22</v>
      </c>
      <c r="I3665" t="str">
        <f t="shared" si="731"/>
        <v>0</v>
      </c>
      <c r="J3665" t="str">
        <f>"22"</f>
        <v>22</v>
      </c>
      <c r="K3665">
        <v>20181130</v>
      </c>
      <c r="L3665" t="str">
        <f>"074806"</f>
        <v>074806</v>
      </c>
      <c r="M3665" t="str">
        <f>"71250"</f>
        <v>71250</v>
      </c>
      <c r="N3665" t="s">
        <v>1389</v>
      </c>
      <c r="O3665">
        <v>404.95</v>
      </c>
      <c r="P3665">
        <v>20181129</v>
      </c>
      <c r="Q3665" t="s">
        <v>2001</v>
      </c>
      <c r="R3665" t="s">
        <v>2905</v>
      </c>
      <c r="S3665" t="s">
        <v>1615</v>
      </c>
      <c r="T3665" t="s">
        <v>301</v>
      </c>
    </row>
    <row r="3666" spans="1:20" x14ac:dyDescent="0.25">
      <c r="A3666">
        <v>9</v>
      </c>
      <c r="B3666">
        <v>199</v>
      </c>
      <c r="C3666" t="str">
        <f>"11"</f>
        <v>11</v>
      </c>
      <c r="D3666">
        <v>6399</v>
      </c>
      <c r="E3666" t="str">
        <f>"V8"</f>
        <v>V8</v>
      </c>
      <c r="F3666" t="str">
        <f t="shared" si="733"/>
        <v>001</v>
      </c>
      <c r="G3666">
        <v>9</v>
      </c>
      <c r="H3666" t="str">
        <f>"22"</f>
        <v>22</v>
      </c>
      <c r="I3666" t="str">
        <f t="shared" si="731"/>
        <v>0</v>
      </c>
      <c r="J3666" t="str">
        <f>"22"</f>
        <v>22</v>
      </c>
      <c r="K3666">
        <v>20181130</v>
      </c>
      <c r="L3666" t="str">
        <f>"074806"</f>
        <v>074806</v>
      </c>
      <c r="M3666" t="str">
        <f>"71250"</f>
        <v>71250</v>
      </c>
      <c r="N3666" t="s">
        <v>1389</v>
      </c>
      <c r="O3666">
        <v>292.3</v>
      </c>
      <c r="P3666">
        <v>20181129</v>
      </c>
      <c r="Q3666" t="s">
        <v>2001</v>
      </c>
      <c r="R3666" t="s">
        <v>2905</v>
      </c>
      <c r="S3666" t="s">
        <v>1615</v>
      </c>
      <c r="T3666" t="s">
        <v>301</v>
      </c>
    </row>
    <row r="3667" spans="1:20" x14ac:dyDescent="0.25">
      <c r="A3667">
        <v>9</v>
      </c>
      <c r="B3667">
        <v>199</v>
      </c>
      <c r="C3667" t="str">
        <f>"11"</f>
        <v>11</v>
      </c>
      <c r="D3667">
        <v>6399</v>
      </c>
      <c r="E3667" t="str">
        <f>"V8"</f>
        <v>V8</v>
      </c>
      <c r="F3667" t="str">
        <f t="shared" si="733"/>
        <v>001</v>
      </c>
      <c r="G3667">
        <v>9</v>
      </c>
      <c r="H3667" t="str">
        <f>"22"</f>
        <v>22</v>
      </c>
      <c r="I3667" t="str">
        <f t="shared" si="731"/>
        <v>0</v>
      </c>
      <c r="J3667" t="str">
        <f>"22"</f>
        <v>22</v>
      </c>
      <c r="K3667">
        <v>20181130</v>
      </c>
      <c r="L3667" t="str">
        <f>"074806"</f>
        <v>074806</v>
      </c>
      <c r="M3667" t="str">
        <f>"71250"</f>
        <v>71250</v>
      </c>
      <c r="N3667" t="s">
        <v>1389</v>
      </c>
      <c r="O3667">
        <v>424.2</v>
      </c>
      <c r="P3667">
        <v>20181129</v>
      </c>
      <c r="Q3667" t="s">
        <v>2001</v>
      </c>
      <c r="R3667" t="s">
        <v>2905</v>
      </c>
      <c r="S3667" t="s">
        <v>1615</v>
      </c>
      <c r="T3667" t="s">
        <v>301</v>
      </c>
    </row>
    <row r="3668" spans="1:20" x14ac:dyDescent="0.25">
      <c r="A3668">
        <v>9</v>
      </c>
      <c r="B3668">
        <v>199</v>
      </c>
      <c r="C3668" t="str">
        <f>"11"</f>
        <v>11</v>
      </c>
      <c r="D3668">
        <v>6399</v>
      </c>
      <c r="E3668" t="str">
        <f>"V8"</f>
        <v>V8</v>
      </c>
      <c r="F3668" t="str">
        <f t="shared" si="733"/>
        <v>001</v>
      </c>
      <c r="G3668">
        <v>9</v>
      </c>
      <c r="H3668" t="str">
        <f>"22"</f>
        <v>22</v>
      </c>
      <c r="I3668" t="str">
        <f t="shared" si="731"/>
        <v>0</v>
      </c>
      <c r="J3668" t="str">
        <f>"22"</f>
        <v>22</v>
      </c>
      <c r="K3668">
        <v>20181130</v>
      </c>
      <c r="L3668" t="str">
        <f>"074806"</f>
        <v>074806</v>
      </c>
      <c r="M3668" t="str">
        <f>"71250"</f>
        <v>71250</v>
      </c>
      <c r="N3668" t="s">
        <v>1389</v>
      </c>
      <c r="O3668">
        <v>82.21</v>
      </c>
      <c r="P3668">
        <v>20181129</v>
      </c>
      <c r="Q3668" t="s">
        <v>2001</v>
      </c>
      <c r="R3668" t="s">
        <v>2905</v>
      </c>
      <c r="S3668" t="s">
        <v>1615</v>
      </c>
      <c r="T3668" t="s">
        <v>301</v>
      </c>
    </row>
    <row r="3669" spans="1:20" x14ac:dyDescent="0.25">
      <c r="A3669">
        <v>9</v>
      </c>
      <c r="B3669">
        <v>199</v>
      </c>
      <c r="C3669" t="str">
        <f>"41"</f>
        <v>41</v>
      </c>
      <c r="D3669">
        <v>6495</v>
      </c>
      <c r="E3669" t="str">
        <f>"10"</f>
        <v>10</v>
      </c>
      <c r="F3669" t="str">
        <f>"702"</f>
        <v>702</v>
      </c>
      <c r="G3669">
        <v>9</v>
      </c>
      <c r="H3669" t="str">
        <f>"99"</f>
        <v>99</v>
      </c>
      <c r="I3669" t="str">
        <f t="shared" si="731"/>
        <v>0</v>
      </c>
      <c r="J3669" t="str">
        <f>"93"</f>
        <v>93</v>
      </c>
      <c r="K3669">
        <v>20181130</v>
      </c>
      <c r="L3669" t="str">
        <f>"074810"</f>
        <v>074810</v>
      </c>
      <c r="M3669" t="str">
        <f>"74385"</f>
        <v>74385</v>
      </c>
      <c r="N3669" t="s">
        <v>1812</v>
      </c>
      <c r="O3669">
        <v>350</v>
      </c>
      <c r="P3669">
        <v>20181129</v>
      </c>
      <c r="Q3669" t="s">
        <v>1813</v>
      </c>
      <c r="R3669" t="s">
        <v>2906</v>
      </c>
      <c r="S3669" t="s">
        <v>1615</v>
      </c>
      <c r="T3669" t="s">
        <v>1611</v>
      </c>
    </row>
    <row r="3670" spans="1:20" x14ac:dyDescent="0.25">
      <c r="A3670">
        <v>9</v>
      </c>
      <c r="B3670">
        <v>199</v>
      </c>
      <c r="C3670" t="str">
        <f>"41"</f>
        <v>41</v>
      </c>
      <c r="D3670">
        <v>6495</v>
      </c>
      <c r="E3670" t="str">
        <f>"10"</f>
        <v>10</v>
      </c>
      <c r="F3670" t="str">
        <f>"702"</f>
        <v>702</v>
      </c>
      <c r="G3670">
        <v>9</v>
      </c>
      <c r="H3670" t="str">
        <f>"99"</f>
        <v>99</v>
      </c>
      <c r="I3670" t="str">
        <f t="shared" si="731"/>
        <v>0</v>
      </c>
      <c r="J3670" t="str">
        <f>"93"</f>
        <v>93</v>
      </c>
      <c r="K3670">
        <v>20181130</v>
      </c>
      <c r="L3670" t="str">
        <f>"074810"</f>
        <v>074810</v>
      </c>
      <c r="M3670" t="str">
        <f>"74385"</f>
        <v>74385</v>
      </c>
      <c r="N3670" t="s">
        <v>1812</v>
      </c>
      <c r="O3670" s="1">
        <v>8284.3700000000008</v>
      </c>
      <c r="P3670">
        <v>20181129</v>
      </c>
      <c r="Q3670" t="s">
        <v>1813</v>
      </c>
      <c r="R3670" t="s">
        <v>2907</v>
      </c>
      <c r="S3670" t="s">
        <v>1615</v>
      </c>
      <c r="T3670" t="s">
        <v>1611</v>
      </c>
    </row>
    <row r="3671" spans="1:20" x14ac:dyDescent="0.25">
      <c r="A3671">
        <v>9</v>
      </c>
      <c r="B3671">
        <v>199</v>
      </c>
      <c r="C3671" t="str">
        <f>"11"</f>
        <v>11</v>
      </c>
      <c r="D3671">
        <v>6399</v>
      </c>
      <c r="E3671" t="str">
        <f>"72"</f>
        <v>72</v>
      </c>
      <c r="F3671" t="str">
        <f>"041"</f>
        <v>041</v>
      </c>
      <c r="G3671">
        <v>9</v>
      </c>
      <c r="H3671" t="str">
        <f>"11"</f>
        <v>11</v>
      </c>
      <c r="I3671" t="str">
        <f t="shared" si="731"/>
        <v>0</v>
      </c>
      <c r="J3671" t="str">
        <f>"03"</f>
        <v>03</v>
      </c>
      <c r="K3671">
        <v>20181130</v>
      </c>
      <c r="L3671" t="str">
        <f>"074811"</f>
        <v>074811</v>
      </c>
      <c r="M3671" t="str">
        <f>"75794"</f>
        <v>75794</v>
      </c>
      <c r="N3671" t="s">
        <v>2335</v>
      </c>
      <c r="O3671">
        <v>126.77</v>
      </c>
      <c r="P3671">
        <v>20181129</v>
      </c>
      <c r="Q3671" t="s">
        <v>2054</v>
      </c>
      <c r="R3671" t="s">
        <v>2908</v>
      </c>
      <c r="S3671" t="s">
        <v>1615</v>
      </c>
      <c r="T3671" t="s">
        <v>106</v>
      </c>
    </row>
    <row r="3672" spans="1:20" x14ac:dyDescent="0.25">
      <c r="A3672">
        <v>9</v>
      </c>
      <c r="B3672">
        <v>199</v>
      </c>
      <c r="C3672" t="str">
        <f>"36"</f>
        <v>36</v>
      </c>
      <c r="D3672">
        <v>6399</v>
      </c>
      <c r="E3672" t="str">
        <f>"09"</f>
        <v>09</v>
      </c>
      <c r="F3672" t="str">
        <f>"001"</f>
        <v>001</v>
      </c>
      <c r="G3672">
        <v>9</v>
      </c>
      <c r="H3672" t="str">
        <f>"99"</f>
        <v>99</v>
      </c>
      <c r="I3672" t="str">
        <f t="shared" si="731"/>
        <v>0</v>
      </c>
      <c r="J3672" t="str">
        <f>"01"</f>
        <v>01</v>
      </c>
      <c r="K3672">
        <v>20181130</v>
      </c>
      <c r="L3672" t="str">
        <f>"074812"</f>
        <v>074812</v>
      </c>
      <c r="M3672" t="str">
        <f>"78441"</f>
        <v>78441</v>
      </c>
      <c r="N3672" t="s">
        <v>2909</v>
      </c>
      <c r="O3672">
        <v>160</v>
      </c>
      <c r="P3672">
        <v>20181129</v>
      </c>
      <c r="Q3672" t="s">
        <v>2177</v>
      </c>
      <c r="R3672" t="s">
        <v>2910</v>
      </c>
      <c r="S3672" t="s">
        <v>1615</v>
      </c>
      <c r="T3672" t="s">
        <v>301</v>
      </c>
    </row>
    <row r="3673" spans="1:20" x14ac:dyDescent="0.25">
      <c r="A3673">
        <v>9</v>
      </c>
      <c r="B3673">
        <v>199</v>
      </c>
      <c r="C3673" t="str">
        <f>"13"</f>
        <v>13</v>
      </c>
      <c r="D3673">
        <v>6411</v>
      </c>
      <c r="E3673" t="str">
        <f>"7B"</f>
        <v>7B</v>
      </c>
      <c r="F3673" t="str">
        <f>"001"</f>
        <v>001</v>
      </c>
      <c r="G3673">
        <v>9</v>
      </c>
      <c r="H3673" t="str">
        <f>"11"</f>
        <v>11</v>
      </c>
      <c r="I3673" t="str">
        <f t="shared" si="731"/>
        <v>0</v>
      </c>
      <c r="J3673" t="str">
        <f>"32"</f>
        <v>32</v>
      </c>
      <c r="K3673">
        <v>20181130</v>
      </c>
      <c r="L3673" t="str">
        <f>"074813"</f>
        <v>074813</v>
      </c>
      <c r="M3673" t="str">
        <f>"78727"</f>
        <v>78727</v>
      </c>
      <c r="N3673" t="s">
        <v>1842</v>
      </c>
      <c r="O3673">
        <v>100</v>
      </c>
      <c r="P3673">
        <v>20181129</v>
      </c>
      <c r="Q3673" t="s">
        <v>2911</v>
      </c>
      <c r="R3673" t="s">
        <v>2912</v>
      </c>
      <c r="S3673" t="s">
        <v>1615</v>
      </c>
      <c r="T3673" t="s">
        <v>301</v>
      </c>
    </row>
    <row r="3674" spans="1:20" x14ac:dyDescent="0.25">
      <c r="A3674">
        <v>9</v>
      </c>
      <c r="B3674">
        <v>199</v>
      </c>
      <c r="C3674" t="str">
        <f>"11"</f>
        <v>11</v>
      </c>
      <c r="D3674">
        <v>6339</v>
      </c>
      <c r="E3674" t="str">
        <f>"10"</f>
        <v>10</v>
      </c>
      <c r="F3674" t="str">
        <f>"001"</f>
        <v>001</v>
      </c>
      <c r="G3674">
        <v>9</v>
      </c>
      <c r="H3674" t="str">
        <f>"11"</f>
        <v>11</v>
      </c>
      <c r="I3674" t="str">
        <f t="shared" si="731"/>
        <v>0</v>
      </c>
      <c r="J3674" t="str">
        <f>"01"</f>
        <v>01</v>
      </c>
      <c r="K3674">
        <v>20181130</v>
      </c>
      <c r="L3674" t="str">
        <f>"074814"</f>
        <v>074814</v>
      </c>
      <c r="M3674" t="str">
        <f>"79661"</f>
        <v>79661</v>
      </c>
      <c r="N3674" t="s">
        <v>2913</v>
      </c>
      <c r="O3674">
        <v>100</v>
      </c>
      <c r="P3674">
        <v>20181129</v>
      </c>
      <c r="Q3674" t="s">
        <v>2914</v>
      </c>
      <c r="R3674" t="s">
        <v>2915</v>
      </c>
      <c r="S3674" t="s">
        <v>1615</v>
      </c>
      <c r="T3674" t="s">
        <v>301</v>
      </c>
    </row>
    <row r="3675" spans="1:20" x14ac:dyDescent="0.25">
      <c r="A3675">
        <v>9</v>
      </c>
      <c r="B3675">
        <v>199</v>
      </c>
      <c r="C3675" t="str">
        <f>"41"</f>
        <v>41</v>
      </c>
      <c r="D3675">
        <v>6649</v>
      </c>
      <c r="E3675" t="str">
        <f>"10"</f>
        <v>10</v>
      </c>
      <c r="F3675" t="str">
        <f>"933"</f>
        <v>933</v>
      </c>
      <c r="G3675">
        <v>9</v>
      </c>
      <c r="H3675" t="str">
        <f>"99"</f>
        <v>99</v>
      </c>
      <c r="I3675" t="str">
        <f t="shared" si="731"/>
        <v>0</v>
      </c>
      <c r="J3675" t="str">
        <f>"85"</f>
        <v>85</v>
      </c>
      <c r="K3675">
        <v>20181130</v>
      </c>
      <c r="L3675" t="str">
        <f>"074815"</f>
        <v>074815</v>
      </c>
      <c r="M3675" t="str">
        <f>"00587"</f>
        <v>00587</v>
      </c>
      <c r="N3675" t="s">
        <v>2916</v>
      </c>
      <c r="O3675">
        <v>90</v>
      </c>
      <c r="P3675">
        <v>20181129</v>
      </c>
      <c r="Q3675" t="s">
        <v>2460</v>
      </c>
      <c r="R3675" t="s">
        <v>2917</v>
      </c>
      <c r="S3675" t="s">
        <v>1615</v>
      </c>
      <c r="T3675" t="s">
        <v>1643</v>
      </c>
    </row>
    <row r="3676" spans="1:20" x14ac:dyDescent="0.25">
      <c r="A3676">
        <v>9</v>
      </c>
      <c r="B3676">
        <v>199</v>
      </c>
      <c r="C3676" t="str">
        <f>"36"</f>
        <v>36</v>
      </c>
      <c r="D3676">
        <v>6495</v>
      </c>
      <c r="E3676" t="str">
        <f>"7B"</f>
        <v>7B</v>
      </c>
      <c r="F3676" t="str">
        <f>"041"</f>
        <v>041</v>
      </c>
      <c r="G3676">
        <v>9</v>
      </c>
      <c r="H3676" t="str">
        <f>"99"</f>
        <v>99</v>
      </c>
      <c r="I3676" t="str">
        <f t="shared" si="731"/>
        <v>0</v>
      </c>
      <c r="J3676" t="str">
        <f>"36"</f>
        <v>36</v>
      </c>
      <c r="K3676">
        <v>20181130</v>
      </c>
      <c r="L3676" t="str">
        <f>"074817"</f>
        <v>074817</v>
      </c>
      <c r="M3676" t="str">
        <f>"78729"</f>
        <v>78729</v>
      </c>
      <c r="N3676" t="s">
        <v>2535</v>
      </c>
      <c r="O3676">
        <v>108</v>
      </c>
      <c r="P3676">
        <v>20181129</v>
      </c>
      <c r="Q3676" t="s">
        <v>2537</v>
      </c>
      <c r="R3676" t="s">
        <v>2918</v>
      </c>
      <c r="S3676" t="s">
        <v>1615</v>
      </c>
      <c r="T3676" t="s">
        <v>106</v>
      </c>
    </row>
    <row r="3677" spans="1:20" x14ac:dyDescent="0.25">
      <c r="A3677">
        <v>9</v>
      </c>
      <c r="B3677">
        <v>199</v>
      </c>
      <c r="C3677" t="str">
        <f>"41"</f>
        <v>41</v>
      </c>
      <c r="D3677">
        <v>6499</v>
      </c>
      <c r="E3677" t="str">
        <f t="shared" ref="E3677:E3688" si="734">"10"</f>
        <v>10</v>
      </c>
      <c r="F3677" t="str">
        <f>"702"</f>
        <v>702</v>
      </c>
      <c r="G3677">
        <v>9</v>
      </c>
      <c r="H3677" t="str">
        <f>"99"</f>
        <v>99</v>
      </c>
      <c r="I3677" t="str">
        <f t="shared" ref="I3677:I3708" si="735">"0"</f>
        <v>0</v>
      </c>
      <c r="J3677" t="str">
        <f>"93"</f>
        <v>93</v>
      </c>
      <c r="K3677">
        <v>20181130</v>
      </c>
      <c r="L3677" t="str">
        <f>"074818"</f>
        <v>074818</v>
      </c>
      <c r="M3677" t="str">
        <f>"80600"</f>
        <v>80600</v>
      </c>
      <c r="N3677" t="s">
        <v>1927</v>
      </c>
      <c r="O3677">
        <v>237.9</v>
      </c>
      <c r="P3677">
        <v>20181129</v>
      </c>
      <c r="Q3677" t="s">
        <v>2919</v>
      </c>
      <c r="R3677" t="s">
        <v>2920</v>
      </c>
      <c r="S3677" t="s">
        <v>1615</v>
      </c>
      <c r="T3677" t="s">
        <v>1611</v>
      </c>
    </row>
    <row r="3678" spans="1:20" x14ac:dyDescent="0.25">
      <c r="A3678">
        <v>9</v>
      </c>
      <c r="B3678">
        <v>199</v>
      </c>
      <c r="C3678" t="str">
        <f t="shared" ref="C3678:C3692" si="736">"11"</f>
        <v>11</v>
      </c>
      <c r="D3678">
        <v>6395</v>
      </c>
      <c r="E3678" t="str">
        <f t="shared" si="734"/>
        <v>10</v>
      </c>
      <c r="F3678" t="str">
        <f t="shared" ref="F3678:F3684" si="737">"001"</f>
        <v>001</v>
      </c>
      <c r="G3678">
        <v>9</v>
      </c>
      <c r="H3678" t="str">
        <f t="shared" ref="H3678:H3692" si="738">"11"</f>
        <v>11</v>
      </c>
      <c r="I3678" t="str">
        <f t="shared" si="735"/>
        <v>0</v>
      </c>
      <c r="J3678" t="str">
        <f t="shared" ref="J3678:J3684" si="739">"01"</f>
        <v>01</v>
      </c>
      <c r="K3678">
        <v>20181130</v>
      </c>
      <c r="L3678" t="str">
        <f t="shared" ref="L3678:L3697" si="740">"074819"</f>
        <v>074819</v>
      </c>
      <c r="M3678" t="str">
        <f t="shared" ref="M3678:M3697" si="741">"81303"</f>
        <v>81303</v>
      </c>
      <c r="N3678" t="s">
        <v>66</v>
      </c>
      <c r="O3678">
        <v>455</v>
      </c>
      <c r="P3678">
        <v>20181129</v>
      </c>
      <c r="Q3678" t="s">
        <v>1929</v>
      </c>
      <c r="R3678" t="s">
        <v>2921</v>
      </c>
      <c r="S3678" t="s">
        <v>1615</v>
      </c>
      <c r="T3678" t="s">
        <v>301</v>
      </c>
    </row>
    <row r="3679" spans="1:20" x14ac:dyDescent="0.25">
      <c r="A3679">
        <v>9</v>
      </c>
      <c r="B3679">
        <v>199</v>
      </c>
      <c r="C3679" t="str">
        <f t="shared" si="736"/>
        <v>11</v>
      </c>
      <c r="D3679">
        <v>6395</v>
      </c>
      <c r="E3679" t="str">
        <f t="shared" si="734"/>
        <v>10</v>
      </c>
      <c r="F3679" t="str">
        <f t="shared" si="737"/>
        <v>001</v>
      </c>
      <c r="G3679">
        <v>9</v>
      </c>
      <c r="H3679" t="str">
        <f t="shared" si="738"/>
        <v>11</v>
      </c>
      <c r="I3679" t="str">
        <f t="shared" si="735"/>
        <v>0</v>
      </c>
      <c r="J3679" t="str">
        <f t="shared" si="739"/>
        <v>01</v>
      </c>
      <c r="K3679">
        <v>20181130</v>
      </c>
      <c r="L3679" t="str">
        <f t="shared" si="740"/>
        <v>074819</v>
      </c>
      <c r="M3679" t="str">
        <f t="shared" si="741"/>
        <v>81303</v>
      </c>
      <c r="N3679" t="s">
        <v>66</v>
      </c>
      <c r="O3679">
        <v>162.5</v>
      </c>
      <c r="P3679">
        <v>20181129</v>
      </c>
      <c r="Q3679" t="s">
        <v>1929</v>
      </c>
      <c r="R3679" t="s">
        <v>2922</v>
      </c>
      <c r="S3679" t="s">
        <v>1615</v>
      </c>
      <c r="T3679" t="s">
        <v>301</v>
      </c>
    </row>
    <row r="3680" spans="1:20" x14ac:dyDescent="0.25">
      <c r="A3680">
        <v>9</v>
      </c>
      <c r="B3680">
        <v>199</v>
      </c>
      <c r="C3680" t="str">
        <f t="shared" si="736"/>
        <v>11</v>
      </c>
      <c r="D3680">
        <v>6395</v>
      </c>
      <c r="E3680" t="str">
        <f t="shared" si="734"/>
        <v>10</v>
      </c>
      <c r="F3680" t="str">
        <f t="shared" si="737"/>
        <v>001</v>
      </c>
      <c r="G3680">
        <v>9</v>
      </c>
      <c r="H3680" t="str">
        <f t="shared" si="738"/>
        <v>11</v>
      </c>
      <c r="I3680" t="str">
        <f t="shared" si="735"/>
        <v>0</v>
      </c>
      <c r="J3680" t="str">
        <f t="shared" si="739"/>
        <v>01</v>
      </c>
      <c r="K3680">
        <v>20181130</v>
      </c>
      <c r="L3680" t="str">
        <f t="shared" si="740"/>
        <v>074819</v>
      </c>
      <c r="M3680" t="str">
        <f t="shared" si="741"/>
        <v>81303</v>
      </c>
      <c r="N3680" t="s">
        <v>66</v>
      </c>
      <c r="O3680">
        <v>35</v>
      </c>
      <c r="P3680">
        <v>20181129</v>
      </c>
      <c r="Q3680" t="s">
        <v>1929</v>
      </c>
      <c r="R3680" t="s">
        <v>2145</v>
      </c>
      <c r="S3680" t="s">
        <v>1615</v>
      </c>
      <c r="T3680" t="s">
        <v>301</v>
      </c>
    </row>
    <row r="3681" spans="1:20" x14ac:dyDescent="0.25">
      <c r="A3681">
        <v>9</v>
      </c>
      <c r="B3681">
        <v>199</v>
      </c>
      <c r="C3681" t="str">
        <f t="shared" si="736"/>
        <v>11</v>
      </c>
      <c r="D3681">
        <v>6395</v>
      </c>
      <c r="E3681" t="str">
        <f t="shared" si="734"/>
        <v>10</v>
      </c>
      <c r="F3681" t="str">
        <f t="shared" si="737"/>
        <v>001</v>
      </c>
      <c r="G3681">
        <v>9</v>
      </c>
      <c r="H3681" t="str">
        <f t="shared" si="738"/>
        <v>11</v>
      </c>
      <c r="I3681" t="str">
        <f t="shared" si="735"/>
        <v>0</v>
      </c>
      <c r="J3681" t="str">
        <f t="shared" si="739"/>
        <v>01</v>
      </c>
      <c r="K3681">
        <v>20181130</v>
      </c>
      <c r="L3681" t="str">
        <f t="shared" si="740"/>
        <v>074819</v>
      </c>
      <c r="M3681" t="str">
        <f t="shared" si="741"/>
        <v>81303</v>
      </c>
      <c r="N3681" t="s">
        <v>66</v>
      </c>
      <c r="O3681">
        <v>100</v>
      </c>
      <c r="P3681">
        <v>20181129</v>
      </c>
      <c r="Q3681" t="s">
        <v>1929</v>
      </c>
      <c r="R3681" t="s">
        <v>2923</v>
      </c>
      <c r="S3681" t="s">
        <v>1615</v>
      </c>
      <c r="T3681" t="s">
        <v>301</v>
      </c>
    </row>
    <row r="3682" spans="1:20" x14ac:dyDescent="0.25">
      <c r="A3682">
        <v>9</v>
      </c>
      <c r="B3682">
        <v>199</v>
      </c>
      <c r="C3682" t="str">
        <f t="shared" si="736"/>
        <v>11</v>
      </c>
      <c r="D3682">
        <v>6395</v>
      </c>
      <c r="E3682" t="str">
        <f t="shared" si="734"/>
        <v>10</v>
      </c>
      <c r="F3682" t="str">
        <f t="shared" si="737"/>
        <v>001</v>
      </c>
      <c r="G3682">
        <v>9</v>
      </c>
      <c r="H3682" t="str">
        <f t="shared" si="738"/>
        <v>11</v>
      </c>
      <c r="I3682" t="str">
        <f t="shared" si="735"/>
        <v>0</v>
      </c>
      <c r="J3682" t="str">
        <f t="shared" si="739"/>
        <v>01</v>
      </c>
      <c r="K3682">
        <v>20181130</v>
      </c>
      <c r="L3682" t="str">
        <f t="shared" si="740"/>
        <v>074819</v>
      </c>
      <c r="M3682" t="str">
        <f t="shared" si="741"/>
        <v>81303</v>
      </c>
      <c r="N3682" t="s">
        <v>66</v>
      </c>
      <c r="O3682">
        <v>37.5</v>
      </c>
      <c r="P3682">
        <v>20181129</v>
      </c>
      <c r="Q3682" t="s">
        <v>1929</v>
      </c>
      <c r="R3682" t="s">
        <v>2924</v>
      </c>
      <c r="S3682" t="s">
        <v>1615</v>
      </c>
      <c r="T3682" t="s">
        <v>301</v>
      </c>
    </row>
    <row r="3683" spans="1:20" x14ac:dyDescent="0.25">
      <c r="A3683">
        <v>9</v>
      </c>
      <c r="B3683">
        <v>199</v>
      </c>
      <c r="C3683" t="str">
        <f t="shared" si="736"/>
        <v>11</v>
      </c>
      <c r="D3683">
        <v>6395</v>
      </c>
      <c r="E3683" t="str">
        <f t="shared" si="734"/>
        <v>10</v>
      </c>
      <c r="F3683" t="str">
        <f t="shared" si="737"/>
        <v>001</v>
      </c>
      <c r="G3683">
        <v>9</v>
      </c>
      <c r="H3683" t="str">
        <f t="shared" si="738"/>
        <v>11</v>
      </c>
      <c r="I3683" t="str">
        <f t="shared" si="735"/>
        <v>0</v>
      </c>
      <c r="J3683" t="str">
        <f t="shared" si="739"/>
        <v>01</v>
      </c>
      <c r="K3683">
        <v>20181130</v>
      </c>
      <c r="L3683" t="str">
        <f t="shared" si="740"/>
        <v>074819</v>
      </c>
      <c r="M3683" t="str">
        <f t="shared" si="741"/>
        <v>81303</v>
      </c>
      <c r="N3683" t="s">
        <v>66</v>
      </c>
      <c r="O3683">
        <v>75</v>
      </c>
      <c r="P3683">
        <v>20181129</v>
      </c>
      <c r="Q3683" t="s">
        <v>1929</v>
      </c>
      <c r="R3683" t="s">
        <v>2925</v>
      </c>
      <c r="S3683" t="s">
        <v>1615</v>
      </c>
      <c r="T3683" t="s">
        <v>301</v>
      </c>
    </row>
    <row r="3684" spans="1:20" x14ac:dyDescent="0.25">
      <c r="A3684">
        <v>9</v>
      </c>
      <c r="B3684">
        <v>199</v>
      </c>
      <c r="C3684" t="str">
        <f t="shared" si="736"/>
        <v>11</v>
      </c>
      <c r="D3684">
        <v>6395</v>
      </c>
      <c r="E3684" t="str">
        <f t="shared" si="734"/>
        <v>10</v>
      </c>
      <c r="F3684" t="str">
        <f t="shared" si="737"/>
        <v>001</v>
      </c>
      <c r="G3684">
        <v>9</v>
      </c>
      <c r="H3684" t="str">
        <f t="shared" si="738"/>
        <v>11</v>
      </c>
      <c r="I3684" t="str">
        <f t="shared" si="735"/>
        <v>0</v>
      </c>
      <c r="J3684" t="str">
        <f t="shared" si="739"/>
        <v>01</v>
      </c>
      <c r="K3684">
        <v>20181130</v>
      </c>
      <c r="L3684" t="str">
        <f t="shared" si="740"/>
        <v>074819</v>
      </c>
      <c r="M3684" t="str">
        <f t="shared" si="741"/>
        <v>81303</v>
      </c>
      <c r="N3684" t="s">
        <v>66</v>
      </c>
      <c r="O3684">
        <v>312</v>
      </c>
      <c r="P3684">
        <v>20181129</v>
      </c>
      <c r="Q3684" t="s">
        <v>1929</v>
      </c>
      <c r="R3684" t="s">
        <v>2926</v>
      </c>
      <c r="S3684" t="s">
        <v>1615</v>
      </c>
      <c r="T3684" t="s">
        <v>301</v>
      </c>
    </row>
    <row r="3685" spans="1:20" x14ac:dyDescent="0.25">
      <c r="A3685">
        <v>9</v>
      </c>
      <c r="B3685">
        <v>199</v>
      </c>
      <c r="C3685" t="str">
        <f t="shared" si="736"/>
        <v>11</v>
      </c>
      <c r="D3685">
        <v>6395</v>
      </c>
      <c r="E3685" t="str">
        <f t="shared" si="734"/>
        <v>10</v>
      </c>
      <c r="F3685" t="str">
        <f>"041"</f>
        <v>041</v>
      </c>
      <c r="G3685">
        <v>9</v>
      </c>
      <c r="H3685" t="str">
        <f t="shared" si="738"/>
        <v>11</v>
      </c>
      <c r="I3685" t="str">
        <f t="shared" si="735"/>
        <v>0</v>
      </c>
      <c r="J3685" t="str">
        <f>"03"</f>
        <v>03</v>
      </c>
      <c r="K3685">
        <v>20181130</v>
      </c>
      <c r="L3685" t="str">
        <f t="shared" si="740"/>
        <v>074819</v>
      </c>
      <c r="M3685" t="str">
        <f t="shared" si="741"/>
        <v>81303</v>
      </c>
      <c r="N3685" t="s">
        <v>66</v>
      </c>
      <c r="O3685">
        <v>140</v>
      </c>
      <c r="P3685">
        <v>20181129</v>
      </c>
      <c r="Q3685" t="s">
        <v>2927</v>
      </c>
      <c r="R3685" t="s">
        <v>2928</v>
      </c>
      <c r="S3685" t="s">
        <v>1615</v>
      </c>
      <c r="T3685" t="s">
        <v>106</v>
      </c>
    </row>
    <row r="3686" spans="1:20" x14ac:dyDescent="0.25">
      <c r="A3686">
        <v>9</v>
      </c>
      <c r="B3686">
        <v>199</v>
      </c>
      <c r="C3686" t="str">
        <f t="shared" si="736"/>
        <v>11</v>
      </c>
      <c r="D3686">
        <v>6395</v>
      </c>
      <c r="E3686" t="str">
        <f t="shared" si="734"/>
        <v>10</v>
      </c>
      <c r="F3686" t="str">
        <f>"041"</f>
        <v>041</v>
      </c>
      <c r="G3686">
        <v>9</v>
      </c>
      <c r="H3686" t="str">
        <f t="shared" si="738"/>
        <v>11</v>
      </c>
      <c r="I3686" t="str">
        <f t="shared" si="735"/>
        <v>0</v>
      </c>
      <c r="J3686" t="str">
        <f>"03"</f>
        <v>03</v>
      </c>
      <c r="K3686">
        <v>20181130</v>
      </c>
      <c r="L3686" t="str">
        <f t="shared" si="740"/>
        <v>074819</v>
      </c>
      <c r="M3686" t="str">
        <f t="shared" si="741"/>
        <v>81303</v>
      </c>
      <c r="N3686" t="s">
        <v>66</v>
      </c>
      <c r="O3686">
        <v>150</v>
      </c>
      <c r="P3686">
        <v>20181129</v>
      </c>
      <c r="Q3686" t="s">
        <v>2927</v>
      </c>
      <c r="R3686" t="s">
        <v>2929</v>
      </c>
      <c r="S3686" t="s">
        <v>1615</v>
      </c>
      <c r="T3686" t="s">
        <v>106</v>
      </c>
    </row>
    <row r="3687" spans="1:20" x14ac:dyDescent="0.25">
      <c r="A3687">
        <v>9</v>
      </c>
      <c r="B3687">
        <v>199</v>
      </c>
      <c r="C3687" t="str">
        <f t="shared" si="736"/>
        <v>11</v>
      </c>
      <c r="D3687">
        <v>6395</v>
      </c>
      <c r="E3687" t="str">
        <f t="shared" si="734"/>
        <v>10</v>
      </c>
      <c r="F3687" t="str">
        <f>"041"</f>
        <v>041</v>
      </c>
      <c r="G3687">
        <v>9</v>
      </c>
      <c r="H3687" t="str">
        <f t="shared" si="738"/>
        <v>11</v>
      </c>
      <c r="I3687" t="str">
        <f t="shared" si="735"/>
        <v>0</v>
      </c>
      <c r="J3687" t="str">
        <f>"03"</f>
        <v>03</v>
      </c>
      <c r="K3687">
        <v>20181130</v>
      </c>
      <c r="L3687" t="str">
        <f t="shared" si="740"/>
        <v>074819</v>
      </c>
      <c r="M3687" t="str">
        <f t="shared" si="741"/>
        <v>81303</v>
      </c>
      <c r="N3687" t="s">
        <v>66</v>
      </c>
      <c r="O3687">
        <v>118.53</v>
      </c>
      <c r="P3687">
        <v>20181129</v>
      </c>
      <c r="Q3687" t="s">
        <v>2927</v>
      </c>
      <c r="R3687" t="s">
        <v>2930</v>
      </c>
      <c r="S3687" t="s">
        <v>1615</v>
      </c>
      <c r="T3687" t="s">
        <v>106</v>
      </c>
    </row>
    <row r="3688" spans="1:20" x14ac:dyDescent="0.25">
      <c r="A3688">
        <v>9</v>
      </c>
      <c r="B3688">
        <v>199</v>
      </c>
      <c r="C3688" t="str">
        <f t="shared" si="736"/>
        <v>11</v>
      </c>
      <c r="D3688">
        <v>6395</v>
      </c>
      <c r="E3688" t="str">
        <f t="shared" si="734"/>
        <v>10</v>
      </c>
      <c r="F3688" t="str">
        <f>"041"</f>
        <v>041</v>
      </c>
      <c r="G3688">
        <v>9</v>
      </c>
      <c r="H3688" t="str">
        <f t="shared" si="738"/>
        <v>11</v>
      </c>
      <c r="I3688" t="str">
        <f t="shared" si="735"/>
        <v>0</v>
      </c>
      <c r="J3688" t="str">
        <f>"03"</f>
        <v>03</v>
      </c>
      <c r="K3688">
        <v>20181130</v>
      </c>
      <c r="L3688" t="str">
        <f t="shared" si="740"/>
        <v>074819</v>
      </c>
      <c r="M3688" t="str">
        <f t="shared" si="741"/>
        <v>81303</v>
      </c>
      <c r="N3688" t="s">
        <v>66</v>
      </c>
      <c r="O3688">
        <v>350</v>
      </c>
      <c r="P3688">
        <v>20181129</v>
      </c>
      <c r="Q3688" t="s">
        <v>2927</v>
      </c>
      <c r="R3688" t="s">
        <v>2544</v>
      </c>
      <c r="S3688" t="s">
        <v>1615</v>
      </c>
      <c r="T3688" t="s">
        <v>106</v>
      </c>
    </row>
    <row r="3689" spans="1:20" x14ac:dyDescent="0.25">
      <c r="A3689">
        <v>9</v>
      </c>
      <c r="B3689">
        <v>199</v>
      </c>
      <c r="C3689" t="str">
        <f t="shared" si="736"/>
        <v>11</v>
      </c>
      <c r="D3689">
        <v>6395</v>
      </c>
      <c r="E3689" t="str">
        <f>"45"</f>
        <v>45</v>
      </c>
      <c r="F3689" t="str">
        <f>"101"</f>
        <v>101</v>
      </c>
      <c r="G3689">
        <v>9</v>
      </c>
      <c r="H3689" t="str">
        <f t="shared" si="738"/>
        <v>11</v>
      </c>
      <c r="I3689" t="str">
        <f t="shared" si="735"/>
        <v>0</v>
      </c>
      <c r="J3689" t="str">
        <f>"04"</f>
        <v>04</v>
      </c>
      <c r="K3689">
        <v>20181130</v>
      </c>
      <c r="L3689" t="str">
        <f t="shared" si="740"/>
        <v>074819</v>
      </c>
      <c r="M3689" t="str">
        <f t="shared" si="741"/>
        <v>81303</v>
      </c>
      <c r="N3689" t="s">
        <v>66</v>
      </c>
      <c r="O3689">
        <v>75</v>
      </c>
      <c r="P3689">
        <v>20181129</v>
      </c>
      <c r="Q3689" t="s">
        <v>2542</v>
      </c>
      <c r="R3689" t="s">
        <v>2925</v>
      </c>
      <c r="S3689" t="s">
        <v>1615</v>
      </c>
      <c r="T3689" t="s">
        <v>1479</v>
      </c>
    </row>
    <row r="3690" spans="1:20" x14ac:dyDescent="0.25">
      <c r="A3690">
        <v>9</v>
      </c>
      <c r="B3690">
        <v>199</v>
      </c>
      <c r="C3690" t="str">
        <f t="shared" si="736"/>
        <v>11</v>
      </c>
      <c r="D3690">
        <v>6399</v>
      </c>
      <c r="E3690" t="str">
        <f>"10"</f>
        <v>10</v>
      </c>
      <c r="F3690" t="str">
        <f>"001"</f>
        <v>001</v>
      </c>
      <c r="G3690">
        <v>9</v>
      </c>
      <c r="H3690" t="str">
        <f t="shared" si="738"/>
        <v>11</v>
      </c>
      <c r="I3690" t="str">
        <f t="shared" si="735"/>
        <v>0</v>
      </c>
      <c r="J3690" t="str">
        <f>"01"</f>
        <v>01</v>
      </c>
      <c r="K3690">
        <v>20181130</v>
      </c>
      <c r="L3690" t="str">
        <f t="shared" si="740"/>
        <v>074819</v>
      </c>
      <c r="M3690" t="str">
        <f t="shared" si="741"/>
        <v>81303</v>
      </c>
      <c r="N3690" t="s">
        <v>66</v>
      </c>
      <c r="O3690">
        <v>31.5</v>
      </c>
      <c r="P3690">
        <v>20181129</v>
      </c>
      <c r="Q3690" t="s">
        <v>1675</v>
      </c>
      <c r="R3690" t="s">
        <v>2931</v>
      </c>
      <c r="S3690" t="s">
        <v>1615</v>
      </c>
      <c r="T3690" t="s">
        <v>301</v>
      </c>
    </row>
    <row r="3691" spans="1:20" x14ac:dyDescent="0.25">
      <c r="A3691">
        <v>9</v>
      </c>
      <c r="B3691">
        <v>199</v>
      </c>
      <c r="C3691" t="str">
        <f t="shared" si="736"/>
        <v>11</v>
      </c>
      <c r="D3691">
        <v>6399</v>
      </c>
      <c r="E3691" t="str">
        <f>"7E"</f>
        <v>7E</v>
      </c>
      <c r="F3691" t="str">
        <f>"041"</f>
        <v>041</v>
      </c>
      <c r="G3691">
        <v>9</v>
      </c>
      <c r="H3691" t="str">
        <f t="shared" si="738"/>
        <v>11</v>
      </c>
      <c r="I3691" t="str">
        <f t="shared" si="735"/>
        <v>0</v>
      </c>
      <c r="J3691" t="str">
        <f>"35"</f>
        <v>35</v>
      </c>
      <c r="K3691">
        <v>20181130</v>
      </c>
      <c r="L3691" t="str">
        <f t="shared" si="740"/>
        <v>074819</v>
      </c>
      <c r="M3691" t="str">
        <f t="shared" si="741"/>
        <v>81303</v>
      </c>
      <c r="N3691" t="s">
        <v>66</v>
      </c>
      <c r="O3691">
        <v>40</v>
      </c>
      <c r="P3691">
        <v>20181129</v>
      </c>
      <c r="Q3691" t="s">
        <v>2655</v>
      </c>
      <c r="R3691" t="s">
        <v>2932</v>
      </c>
      <c r="S3691" t="s">
        <v>1615</v>
      </c>
      <c r="T3691" t="s">
        <v>106</v>
      </c>
    </row>
    <row r="3692" spans="1:20" x14ac:dyDescent="0.25">
      <c r="A3692">
        <v>9</v>
      </c>
      <c r="B3692">
        <v>199</v>
      </c>
      <c r="C3692" t="str">
        <f t="shared" si="736"/>
        <v>11</v>
      </c>
      <c r="D3692">
        <v>6499</v>
      </c>
      <c r="E3692" t="str">
        <f>"13"</f>
        <v>13</v>
      </c>
      <c r="F3692" t="str">
        <f>"041"</f>
        <v>041</v>
      </c>
      <c r="G3692">
        <v>9</v>
      </c>
      <c r="H3692" t="str">
        <f t="shared" si="738"/>
        <v>11</v>
      </c>
      <c r="I3692" t="str">
        <f t="shared" si="735"/>
        <v>0</v>
      </c>
      <c r="J3692" t="str">
        <f>"03"</f>
        <v>03</v>
      </c>
      <c r="K3692">
        <v>20181130</v>
      </c>
      <c r="L3692" t="str">
        <f t="shared" si="740"/>
        <v>074819</v>
      </c>
      <c r="M3692" t="str">
        <f t="shared" si="741"/>
        <v>81303</v>
      </c>
      <c r="N3692" t="s">
        <v>66</v>
      </c>
      <c r="O3692">
        <v>39.51</v>
      </c>
      <c r="P3692">
        <v>20181129</v>
      </c>
      <c r="Q3692" t="s">
        <v>1739</v>
      </c>
      <c r="R3692" t="s">
        <v>2930</v>
      </c>
      <c r="S3692" t="s">
        <v>1615</v>
      </c>
      <c r="T3692" t="s">
        <v>106</v>
      </c>
    </row>
    <row r="3693" spans="1:20" x14ac:dyDescent="0.25">
      <c r="A3693">
        <v>9</v>
      </c>
      <c r="B3693">
        <v>199</v>
      </c>
      <c r="C3693" t="str">
        <f>"21"</f>
        <v>21</v>
      </c>
      <c r="D3693">
        <v>6394</v>
      </c>
      <c r="E3693" t="str">
        <f>"00"</f>
        <v>00</v>
      </c>
      <c r="F3693" t="str">
        <f>"875"</f>
        <v>875</v>
      </c>
      <c r="G3693">
        <v>9</v>
      </c>
      <c r="H3693" t="str">
        <f>"23"</f>
        <v>23</v>
      </c>
      <c r="I3693" t="str">
        <f t="shared" si="735"/>
        <v>0</v>
      </c>
      <c r="J3693" t="str">
        <f>"23"</f>
        <v>23</v>
      </c>
      <c r="K3693">
        <v>20181130</v>
      </c>
      <c r="L3693" t="str">
        <f t="shared" si="740"/>
        <v>074819</v>
      </c>
      <c r="M3693" t="str">
        <f t="shared" si="741"/>
        <v>81303</v>
      </c>
      <c r="N3693" t="s">
        <v>66</v>
      </c>
      <c r="O3693">
        <v>21</v>
      </c>
      <c r="P3693">
        <v>20181129</v>
      </c>
      <c r="Q3693" t="s">
        <v>2933</v>
      </c>
      <c r="R3693" t="s">
        <v>2934</v>
      </c>
      <c r="S3693" t="s">
        <v>1615</v>
      </c>
      <c r="T3693" t="s">
        <v>2041</v>
      </c>
    </row>
    <row r="3694" spans="1:20" x14ac:dyDescent="0.25">
      <c r="A3694">
        <v>9</v>
      </c>
      <c r="B3694">
        <v>199</v>
      </c>
      <c r="C3694" t="str">
        <f>"21"</f>
        <v>21</v>
      </c>
      <c r="D3694">
        <v>6394</v>
      </c>
      <c r="E3694" t="str">
        <f>"00"</f>
        <v>00</v>
      </c>
      <c r="F3694" t="str">
        <f>"875"</f>
        <v>875</v>
      </c>
      <c r="G3694">
        <v>9</v>
      </c>
      <c r="H3694" t="str">
        <f>"23"</f>
        <v>23</v>
      </c>
      <c r="I3694" t="str">
        <f t="shared" si="735"/>
        <v>0</v>
      </c>
      <c r="J3694" t="str">
        <f>"23"</f>
        <v>23</v>
      </c>
      <c r="K3694">
        <v>20181130</v>
      </c>
      <c r="L3694" t="str">
        <f t="shared" si="740"/>
        <v>074819</v>
      </c>
      <c r="M3694" t="str">
        <f t="shared" si="741"/>
        <v>81303</v>
      </c>
      <c r="N3694" t="s">
        <v>66</v>
      </c>
      <c r="O3694">
        <v>55</v>
      </c>
      <c r="P3694">
        <v>20181129</v>
      </c>
      <c r="Q3694" t="s">
        <v>2933</v>
      </c>
      <c r="R3694" t="s">
        <v>2935</v>
      </c>
      <c r="S3694" t="s">
        <v>1615</v>
      </c>
      <c r="T3694" t="s">
        <v>2041</v>
      </c>
    </row>
    <row r="3695" spans="1:20" x14ac:dyDescent="0.25">
      <c r="A3695">
        <v>9</v>
      </c>
      <c r="B3695">
        <v>199</v>
      </c>
      <c r="C3695" t="str">
        <f>"23"</f>
        <v>23</v>
      </c>
      <c r="D3695">
        <v>6395</v>
      </c>
      <c r="E3695" t="str">
        <f>"10"</f>
        <v>10</v>
      </c>
      <c r="F3695" t="str">
        <f>"104"</f>
        <v>104</v>
      </c>
      <c r="G3695">
        <v>9</v>
      </c>
      <c r="H3695" t="str">
        <f>"99"</f>
        <v>99</v>
      </c>
      <c r="I3695" t="str">
        <f t="shared" si="735"/>
        <v>0</v>
      </c>
      <c r="J3695" t="str">
        <f>"05"</f>
        <v>05</v>
      </c>
      <c r="K3695">
        <v>20181130</v>
      </c>
      <c r="L3695" t="str">
        <f t="shared" si="740"/>
        <v>074819</v>
      </c>
      <c r="M3695" t="str">
        <f t="shared" si="741"/>
        <v>81303</v>
      </c>
      <c r="N3695" t="s">
        <v>66</v>
      </c>
      <c r="O3695">
        <v>112.5</v>
      </c>
      <c r="P3695">
        <v>20181129</v>
      </c>
      <c r="Q3695" t="s">
        <v>1933</v>
      </c>
      <c r="R3695" t="s">
        <v>2936</v>
      </c>
      <c r="S3695" t="s">
        <v>1615</v>
      </c>
      <c r="T3695" t="s">
        <v>46</v>
      </c>
    </row>
    <row r="3696" spans="1:20" x14ac:dyDescent="0.25">
      <c r="A3696">
        <v>9</v>
      </c>
      <c r="B3696">
        <v>199</v>
      </c>
      <c r="C3696" t="str">
        <f>"23"</f>
        <v>23</v>
      </c>
      <c r="D3696">
        <v>6399</v>
      </c>
      <c r="E3696" t="str">
        <f>"10"</f>
        <v>10</v>
      </c>
      <c r="F3696" t="str">
        <f>"002"</f>
        <v>002</v>
      </c>
      <c r="G3696">
        <v>9</v>
      </c>
      <c r="H3696" t="str">
        <f>"99"</f>
        <v>99</v>
      </c>
      <c r="I3696" t="str">
        <f t="shared" si="735"/>
        <v>0</v>
      </c>
      <c r="J3696" t="str">
        <f>"02"</f>
        <v>02</v>
      </c>
      <c r="K3696">
        <v>20181130</v>
      </c>
      <c r="L3696" t="str">
        <f t="shared" si="740"/>
        <v>074819</v>
      </c>
      <c r="M3696" t="str">
        <f t="shared" si="741"/>
        <v>81303</v>
      </c>
      <c r="N3696" t="s">
        <v>66</v>
      </c>
      <c r="O3696">
        <v>15</v>
      </c>
      <c r="P3696">
        <v>20181129</v>
      </c>
      <c r="Q3696" t="s">
        <v>2937</v>
      </c>
      <c r="R3696" t="s">
        <v>2925</v>
      </c>
      <c r="S3696" t="s">
        <v>1615</v>
      </c>
      <c r="T3696" t="s">
        <v>1485</v>
      </c>
    </row>
    <row r="3697" spans="1:20" x14ac:dyDescent="0.25">
      <c r="A3697">
        <v>9</v>
      </c>
      <c r="B3697">
        <v>199</v>
      </c>
      <c r="C3697" t="str">
        <f>"36"</f>
        <v>36</v>
      </c>
      <c r="D3697">
        <v>6399</v>
      </c>
      <c r="E3697" t="str">
        <f>"HC"</f>
        <v>HC</v>
      </c>
      <c r="F3697" t="str">
        <f>"001"</f>
        <v>001</v>
      </c>
      <c r="G3697">
        <v>9</v>
      </c>
      <c r="H3697" t="str">
        <f>"99"</f>
        <v>99</v>
      </c>
      <c r="I3697" t="str">
        <f t="shared" si="735"/>
        <v>0</v>
      </c>
      <c r="J3697" t="str">
        <f>"01"</f>
        <v>01</v>
      </c>
      <c r="K3697">
        <v>20181130</v>
      </c>
      <c r="L3697" t="str">
        <f t="shared" si="740"/>
        <v>074819</v>
      </c>
      <c r="M3697" t="str">
        <f t="shared" si="741"/>
        <v>81303</v>
      </c>
      <c r="N3697" t="s">
        <v>66</v>
      </c>
      <c r="O3697">
        <v>134.19999999999999</v>
      </c>
      <c r="P3697">
        <v>20181129</v>
      </c>
      <c r="Q3697" t="s">
        <v>1770</v>
      </c>
      <c r="R3697" t="s">
        <v>2938</v>
      </c>
      <c r="S3697" t="s">
        <v>1615</v>
      </c>
      <c r="T3697" t="s">
        <v>301</v>
      </c>
    </row>
    <row r="3698" spans="1:20" x14ac:dyDescent="0.25">
      <c r="A3698">
        <v>9</v>
      </c>
      <c r="B3698">
        <v>199</v>
      </c>
      <c r="C3698" t="str">
        <f>"11"</f>
        <v>11</v>
      </c>
      <c r="D3698">
        <v>6499</v>
      </c>
      <c r="E3698" t="str">
        <f>"10"</f>
        <v>10</v>
      </c>
      <c r="F3698" t="str">
        <f>"104"</f>
        <v>104</v>
      </c>
      <c r="G3698">
        <v>9</v>
      </c>
      <c r="H3698" t="str">
        <f>"11"</f>
        <v>11</v>
      </c>
      <c r="I3698" t="str">
        <f t="shared" si="735"/>
        <v>0</v>
      </c>
      <c r="J3698" t="str">
        <f>"05"</f>
        <v>05</v>
      </c>
      <c r="K3698">
        <v>20181130</v>
      </c>
      <c r="L3698" t="str">
        <f>"074822"</f>
        <v>074822</v>
      </c>
      <c r="M3698" t="str">
        <f>"81910"</f>
        <v>81910</v>
      </c>
      <c r="N3698" t="s">
        <v>2939</v>
      </c>
      <c r="O3698">
        <v>548.74</v>
      </c>
      <c r="P3698">
        <v>20181129</v>
      </c>
      <c r="Q3698" t="s">
        <v>2640</v>
      </c>
      <c r="R3698" t="s">
        <v>2940</v>
      </c>
      <c r="S3698" t="s">
        <v>1615</v>
      </c>
      <c r="T3698" t="s">
        <v>46</v>
      </c>
    </row>
    <row r="3699" spans="1:20" x14ac:dyDescent="0.25">
      <c r="A3699">
        <v>9</v>
      </c>
      <c r="B3699">
        <v>199</v>
      </c>
      <c r="C3699" t="str">
        <f>"11"</f>
        <v>11</v>
      </c>
      <c r="D3699">
        <v>6399</v>
      </c>
      <c r="E3699" t="str">
        <f>"11"</f>
        <v>11</v>
      </c>
      <c r="F3699" t="str">
        <f>"041"</f>
        <v>041</v>
      </c>
      <c r="G3699">
        <v>9</v>
      </c>
      <c r="H3699" t="str">
        <f>"11"</f>
        <v>11</v>
      </c>
      <c r="I3699" t="str">
        <f t="shared" si="735"/>
        <v>0</v>
      </c>
      <c r="J3699" t="str">
        <f>"03"</f>
        <v>03</v>
      </c>
      <c r="K3699">
        <v>20181130</v>
      </c>
      <c r="L3699" t="str">
        <f>"074824"</f>
        <v>074824</v>
      </c>
      <c r="M3699" t="str">
        <f>"83022"</f>
        <v>83022</v>
      </c>
      <c r="N3699" t="s">
        <v>691</v>
      </c>
      <c r="O3699">
        <v>199.8</v>
      </c>
      <c r="P3699">
        <v>20181129</v>
      </c>
      <c r="Q3699" t="s">
        <v>2941</v>
      </c>
      <c r="R3699" t="s">
        <v>2942</v>
      </c>
      <c r="S3699" t="s">
        <v>1615</v>
      </c>
      <c r="T3699" t="s">
        <v>106</v>
      </c>
    </row>
    <row r="3700" spans="1:20" x14ac:dyDescent="0.25">
      <c r="A3700">
        <v>9</v>
      </c>
      <c r="B3700">
        <v>199</v>
      </c>
      <c r="C3700" t="str">
        <f>"11"</f>
        <v>11</v>
      </c>
      <c r="D3700">
        <v>6399</v>
      </c>
      <c r="E3700" t="str">
        <f>"45"</f>
        <v>45</v>
      </c>
      <c r="F3700" t="str">
        <f>"101"</f>
        <v>101</v>
      </c>
      <c r="G3700">
        <v>9</v>
      </c>
      <c r="H3700" t="str">
        <f>"11"</f>
        <v>11</v>
      </c>
      <c r="I3700" t="str">
        <f t="shared" si="735"/>
        <v>0</v>
      </c>
      <c r="J3700" t="str">
        <f>"04"</f>
        <v>04</v>
      </c>
      <c r="K3700">
        <v>20181130</v>
      </c>
      <c r="L3700" t="str">
        <f>"074824"</f>
        <v>074824</v>
      </c>
      <c r="M3700" t="str">
        <f>"83022"</f>
        <v>83022</v>
      </c>
      <c r="N3700" t="s">
        <v>691</v>
      </c>
      <c r="O3700">
        <v>465.86</v>
      </c>
      <c r="P3700">
        <v>20181129</v>
      </c>
      <c r="Q3700" t="s">
        <v>1859</v>
      </c>
      <c r="R3700" t="s">
        <v>2943</v>
      </c>
      <c r="S3700" t="s">
        <v>1615</v>
      </c>
      <c r="T3700" t="s">
        <v>1479</v>
      </c>
    </row>
    <row r="3701" spans="1:20" x14ac:dyDescent="0.25">
      <c r="A3701">
        <v>9</v>
      </c>
      <c r="B3701">
        <v>199</v>
      </c>
      <c r="C3701" t="str">
        <f>"23"</f>
        <v>23</v>
      </c>
      <c r="D3701">
        <v>6498</v>
      </c>
      <c r="E3701" t="str">
        <f>"99"</f>
        <v>99</v>
      </c>
      <c r="F3701" t="str">
        <f>"041"</f>
        <v>041</v>
      </c>
      <c r="G3701">
        <v>9</v>
      </c>
      <c r="H3701" t="str">
        <f>"99"</f>
        <v>99</v>
      </c>
      <c r="I3701" t="str">
        <f t="shared" si="735"/>
        <v>0</v>
      </c>
      <c r="J3701" t="str">
        <f>"03"</f>
        <v>03</v>
      </c>
      <c r="K3701">
        <v>20181130</v>
      </c>
      <c r="L3701" t="str">
        <f>"074824"</f>
        <v>074824</v>
      </c>
      <c r="M3701" t="str">
        <f>"83022"</f>
        <v>83022</v>
      </c>
      <c r="N3701" t="s">
        <v>691</v>
      </c>
      <c r="O3701">
        <v>58.58</v>
      </c>
      <c r="P3701">
        <v>20181129</v>
      </c>
      <c r="Q3701" t="s">
        <v>2140</v>
      </c>
      <c r="R3701" t="s">
        <v>2944</v>
      </c>
      <c r="S3701" t="s">
        <v>1615</v>
      </c>
      <c r="T3701" t="s">
        <v>106</v>
      </c>
    </row>
    <row r="3702" spans="1:20" x14ac:dyDescent="0.25">
      <c r="A3702">
        <v>9</v>
      </c>
      <c r="B3702">
        <v>199</v>
      </c>
      <c r="C3702" t="str">
        <f>"11"</f>
        <v>11</v>
      </c>
      <c r="D3702">
        <v>6299</v>
      </c>
      <c r="E3702" t="str">
        <f>"00"</f>
        <v>00</v>
      </c>
      <c r="F3702" t="str">
        <f>"104"</f>
        <v>104</v>
      </c>
      <c r="G3702">
        <v>9</v>
      </c>
      <c r="H3702" t="str">
        <f>"11"</f>
        <v>11</v>
      </c>
      <c r="I3702" t="str">
        <f t="shared" si="735"/>
        <v>0</v>
      </c>
      <c r="J3702" t="str">
        <f>"05"</f>
        <v>05</v>
      </c>
      <c r="K3702">
        <v>20181130</v>
      </c>
      <c r="L3702" t="str">
        <f>"074825"</f>
        <v>074825</v>
      </c>
      <c r="M3702" t="str">
        <f>"83060"</f>
        <v>83060</v>
      </c>
      <c r="N3702" t="s">
        <v>2151</v>
      </c>
      <c r="O3702" s="1">
        <v>1410</v>
      </c>
      <c r="P3702">
        <v>20181129</v>
      </c>
      <c r="Q3702" t="s">
        <v>2152</v>
      </c>
      <c r="R3702" t="s">
        <v>2945</v>
      </c>
      <c r="S3702" t="s">
        <v>1615</v>
      </c>
      <c r="T3702" t="s">
        <v>46</v>
      </c>
    </row>
    <row r="3703" spans="1:20" x14ac:dyDescent="0.25">
      <c r="A3703">
        <v>9</v>
      </c>
      <c r="B3703">
        <v>199</v>
      </c>
      <c r="C3703" t="str">
        <f>"11"</f>
        <v>11</v>
      </c>
      <c r="D3703">
        <v>6396</v>
      </c>
      <c r="E3703" t="str">
        <f>"05"</f>
        <v>05</v>
      </c>
      <c r="F3703" t="str">
        <f>"101"</f>
        <v>101</v>
      </c>
      <c r="G3703">
        <v>9</v>
      </c>
      <c r="H3703" t="str">
        <f>"11"</f>
        <v>11</v>
      </c>
      <c r="I3703" t="str">
        <f t="shared" si="735"/>
        <v>0</v>
      </c>
      <c r="J3703" t="str">
        <f>"23"</f>
        <v>23</v>
      </c>
      <c r="K3703">
        <v>20181130</v>
      </c>
      <c r="L3703" t="str">
        <f>"074826"</f>
        <v>074826</v>
      </c>
      <c r="M3703" t="str">
        <f>"84593"</f>
        <v>84593</v>
      </c>
      <c r="N3703" t="s">
        <v>2946</v>
      </c>
      <c r="O3703">
        <v>483.3</v>
      </c>
      <c r="P3703">
        <v>20181129</v>
      </c>
      <c r="Q3703" t="s">
        <v>2437</v>
      </c>
      <c r="R3703" t="s">
        <v>2947</v>
      </c>
      <c r="S3703" t="s">
        <v>1615</v>
      </c>
      <c r="T3703" t="s">
        <v>1479</v>
      </c>
    </row>
    <row r="3704" spans="1:20" x14ac:dyDescent="0.25">
      <c r="A3704">
        <v>9</v>
      </c>
      <c r="B3704">
        <v>199</v>
      </c>
      <c r="C3704" t="str">
        <f>"11"</f>
        <v>11</v>
      </c>
      <c r="D3704">
        <v>6396</v>
      </c>
      <c r="E3704" t="str">
        <f>"05"</f>
        <v>05</v>
      </c>
      <c r="F3704" t="str">
        <f>"104"</f>
        <v>104</v>
      </c>
      <c r="G3704">
        <v>9</v>
      </c>
      <c r="H3704" t="str">
        <f>"11"</f>
        <v>11</v>
      </c>
      <c r="I3704" t="str">
        <f t="shared" si="735"/>
        <v>0</v>
      </c>
      <c r="J3704" t="str">
        <f>"23"</f>
        <v>23</v>
      </c>
      <c r="K3704">
        <v>20181130</v>
      </c>
      <c r="L3704" t="str">
        <f>"074826"</f>
        <v>074826</v>
      </c>
      <c r="M3704" t="str">
        <f>"84593"</f>
        <v>84593</v>
      </c>
      <c r="N3704" t="s">
        <v>2946</v>
      </c>
      <c r="O3704">
        <v>160.38</v>
      </c>
      <c r="P3704">
        <v>20181129</v>
      </c>
      <c r="Q3704" t="s">
        <v>2438</v>
      </c>
      <c r="R3704" t="s">
        <v>2947</v>
      </c>
      <c r="S3704" t="s">
        <v>1615</v>
      </c>
      <c r="T3704" t="s">
        <v>46</v>
      </c>
    </row>
    <row r="3705" spans="1:20" x14ac:dyDescent="0.25">
      <c r="A3705">
        <v>9</v>
      </c>
      <c r="B3705">
        <v>199</v>
      </c>
      <c r="C3705" t="str">
        <f>"11"</f>
        <v>11</v>
      </c>
      <c r="D3705">
        <v>6396</v>
      </c>
      <c r="E3705" t="str">
        <f>"05"</f>
        <v>05</v>
      </c>
      <c r="F3705" t="str">
        <f>"104"</f>
        <v>104</v>
      </c>
      <c r="G3705">
        <v>9</v>
      </c>
      <c r="H3705" t="str">
        <f>"11"</f>
        <v>11</v>
      </c>
      <c r="I3705" t="str">
        <f t="shared" si="735"/>
        <v>0</v>
      </c>
      <c r="J3705" t="str">
        <f>"23"</f>
        <v>23</v>
      </c>
      <c r="K3705">
        <v>20181130</v>
      </c>
      <c r="L3705" t="str">
        <f>"074826"</f>
        <v>074826</v>
      </c>
      <c r="M3705" t="str">
        <f>"84593"</f>
        <v>84593</v>
      </c>
      <c r="N3705" t="s">
        <v>2946</v>
      </c>
      <c r="O3705">
        <v>322.92</v>
      </c>
      <c r="P3705">
        <v>20181129</v>
      </c>
      <c r="Q3705" t="s">
        <v>2438</v>
      </c>
      <c r="R3705" t="s">
        <v>2948</v>
      </c>
      <c r="S3705" t="s">
        <v>1615</v>
      </c>
      <c r="T3705" t="s">
        <v>46</v>
      </c>
    </row>
    <row r="3706" spans="1:20" x14ac:dyDescent="0.25">
      <c r="A3706">
        <v>9</v>
      </c>
      <c r="B3706">
        <v>199</v>
      </c>
      <c r="C3706" t="str">
        <f>"11"</f>
        <v>11</v>
      </c>
      <c r="D3706">
        <v>6649</v>
      </c>
      <c r="E3706" t="str">
        <f>"7B"</f>
        <v>7B</v>
      </c>
      <c r="F3706" t="str">
        <f>"001"</f>
        <v>001</v>
      </c>
      <c r="G3706">
        <v>9</v>
      </c>
      <c r="H3706" t="str">
        <f>"11"</f>
        <v>11</v>
      </c>
      <c r="I3706" t="str">
        <f t="shared" si="735"/>
        <v>0</v>
      </c>
      <c r="J3706" t="str">
        <f>"32"</f>
        <v>32</v>
      </c>
      <c r="K3706">
        <v>20181130</v>
      </c>
      <c r="L3706" t="str">
        <f>"074827"</f>
        <v>074827</v>
      </c>
      <c r="M3706" t="str">
        <f>"86106"</f>
        <v>86106</v>
      </c>
      <c r="N3706" t="s">
        <v>2949</v>
      </c>
      <c r="O3706">
        <v>870</v>
      </c>
      <c r="P3706">
        <v>20181129</v>
      </c>
      <c r="Q3706" t="s">
        <v>2950</v>
      </c>
      <c r="R3706" t="s">
        <v>2951</v>
      </c>
      <c r="S3706" t="s">
        <v>1615</v>
      </c>
      <c r="T3706" t="s">
        <v>301</v>
      </c>
    </row>
    <row r="3707" spans="1:20" x14ac:dyDescent="0.25">
      <c r="A3707">
        <v>9</v>
      </c>
      <c r="B3707">
        <v>199</v>
      </c>
      <c r="C3707" t="str">
        <f>"41"</f>
        <v>41</v>
      </c>
      <c r="D3707">
        <v>6395</v>
      </c>
      <c r="E3707" t="str">
        <f>"00"</f>
        <v>00</v>
      </c>
      <c r="F3707" t="str">
        <f>"932"</f>
        <v>932</v>
      </c>
      <c r="G3707">
        <v>9</v>
      </c>
      <c r="H3707" t="str">
        <f>"99"</f>
        <v>99</v>
      </c>
      <c r="I3707" t="str">
        <f t="shared" si="735"/>
        <v>0</v>
      </c>
      <c r="J3707" t="str">
        <f>"84"</f>
        <v>84</v>
      </c>
      <c r="K3707">
        <v>20181130</v>
      </c>
      <c r="L3707" t="str">
        <f>"074828"</f>
        <v>074828</v>
      </c>
      <c r="M3707" t="str">
        <f>"86230"</f>
        <v>86230</v>
      </c>
      <c r="N3707" t="s">
        <v>2952</v>
      </c>
      <c r="O3707" s="1">
        <v>2000</v>
      </c>
      <c r="P3707">
        <v>20181129</v>
      </c>
      <c r="Q3707" t="s">
        <v>2953</v>
      </c>
      <c r="R3707" t="s">
        <v>2954</v>
      </c>
      <c r="S3707" t="s">
        <v>1615</v>
      </c>
      <c r="T3707" t="s">
        <v>2900</v>
      </c>
    </row>
    <row r="3708" spans="1:20" x14ac:dyDescent="0.25">
      <c r="A3708">
        <v>9</v>
      </c>
      <c r="B3708">
        <v>199</v>
      </c>
      <c r="C3708" t="str">
        <f>"52"</f>
        <v>52</v>
      </c>
      <c r="D3708">
        <v>6219</v>
      </c>
      <c r="E3708" t="str">
        <f>"00"</f>
        <v>00</v>
      </c>
      <c r="F3708" t="str">
        <f>"101"</f>
        <v>101</v>
      </c>
      <c r="G3708">
        <v>9</v>
      </c>
      <c r="H3708" t="str">
        <f>"99"</f>
        <v>99</v>
      </c>
      <c r="I3708" t="str">
        <f t="shared" si="735"/>
        <v>0</v>
      </c>
      <c r="J3708" t="str">
        <f>"00"</f>
        <v>00</v>
      </c>
      <c r="K3708">
        <v>20181130</v>
      </c>
      <c r="L3708" t="str">
        <f>"074829"</f>
        <v>074829</v>
      </c>
      <c r="M3708" t="str">
        <f>"00242"</f>
        <v>00242</v>
      </c>
      <c r="N3708" t="s">
        <v>1669</v>
      </c>
      <c r="O3708">
        <v>300</v>
      </c>
      <c r="P3708">
        <v>20181129</v>
      </c>
      <c r="Q3708" t="s">
        <v>1854</v>
      </c>
      <c r="R3708" t="s">
        <v>2955</v>
      </c>
      <c r="S3708" t="s">
        <v>1615</v>
      </c>
      <c r="T3708" t="s">
        <v>1479</v>
      </c>
    </row>
    <row r="3709" spans="1:20" x14ac:dyDescent="0.25">
      <c r="A3709">
        <v>9</v>
      </c>
      <c r="B3709">
        <v>199</v>
      </c>
      <c r="C3709" t="str">
        <f>"11"</f>
        <v>11</v>
      </c>
      <c r="D3709">
        <v>6399</v>
      </c>
      <c r="E3709" t="str">
        <f>"10"</f>
        <v>10</v>
      </c>
      <c r="F3709" t="str">
        <f>"041"</f>
        <v>041</v>
      </c>
      <c r="G3709">
        <v>9</v>
      </c>
      <c r="H3709" t="str">
        <f>"11"</f>
        <v>11</v>
      </c>
      <c r="I3709" t="str">
        <f t="shared" ref="I3709:I3730" si="742">"0"</f>
        <v>0</v>
      </c>
      <c r="J3709" t="str">
        <f>"03"</f>
        <v>03</v>
      </c>
      <c r="K3709">
        <v>20181207</v>
      </c>
      <c r="L3709" t="str">
        <f>"074830"</f>
        <v>074830</v>
      </c>
      <c r="M3709" t="str">
        <f>"03710"</f>
        <v>03710</v>
      </c>
      <c r="N3709" t="s">
        <v>1385</v>
      </c>
      <c r="O3709">
        <v>135.52000000000001</v>
      </c>
      <c r="P3709">
        <v>20181206</v>
      </c>
      <c r="Q3709" t="s">
        <v>2956</v>
      </c>
      <c r="R3709" t="s">
        <v>641</v>
      </c>
      <c r="S3709" t="s">
        <v>1615</v>
      </c>
      <c r="T3709" t="s">
        <v>106</v>
      </c>
    </row>
    <row r="3710" spans="1:20" x14ac:dyDescent="0.25">
      <c r="A3710">
        <v>9</v>
      </c>
      <c r="B3710">
        <v>199</v>
      </c>
      <c r="C3710" t="str">
        <f>"11"</f>
        <v>11</v>
      </c>
      <c r="D3710">
        <v>6399</v>
      </c>
      <c r="E3710" t="str">
        <f>"10"</f>
        <v>10</v>
      </c>
      <c r="F3710" t="str">
        <f>"041"</f>
        <v>041</v>
      </c>
      <c r="G3710">
        <v>9</v>
      </c>
      <c r="H3710" t="str">
        <f>"11"</f>
        <v>11</v>
      </c>
      <c r="I3710" t="str">
        <f t="shared" si="742"/>
        <v>0</v>
      </c>
      <c r="J3710" t="str">
        <f>"03"</f>
        <v>03</v>
      </c>
      <c r="K3710">
        <v>20181207</v>
      </c>
      <c r="L3710" t="str">
        <f>"074830"</f>
        <v>074830</v>
      </c>
      <c r="M3710" t="str">
        <f>"03710"</f>
        <v>03710</v>
      </c>
      <c r="N3710" t="s">
        <v>1385</v>
      </c>
      <c r="O3710">
        <v>31.39</v>
      </c>
      <c r="P3710">
        <v>20181206</v>
      </c>
      <c r="Q3710" t="s">
        <v>2956</v>
      </c>
      <c r="R3710" t="s">
        <v>2957</v>
      </c>
      <c r="S3710" t="s">
        <v>1615</v>
      </c>
      <c r="T3710" t="s">
        <v>106</v>
      </c>
    </row>
    <row r="3711" spans="1:20" x14ac:dyDescent="0.25">
      <c r="A3711">
        <v>9</v>
      </c>
      <c r="B3711">
        <v>199</v>
      </c>
      <c r="C3711" t="str">
        <f>"41"</f>
        <v>41</v>
      </c>
      <c r="D3711">
        <v>6299</v>
      </c>
      <c r="E3711" t="str">
        <f>"10"</f>
        <v>10</v>
      </c>
      <c r="F3711" t="str">
        <f>"730"</f>
        <v>730</v>
      </c>
      <c r="G3711">
        <v>9</v>
      </c>
      <c r="H3711" t="str">
        <f>"99"</f>
        <v>99</v>
      </c>
      <c r="I3711" t="str">
        <f t="shared" si="742"/>
        <v>0</v>
      </c>
      <c r="J3711" t="str">
        <f>"95"</f>
        <v>95</v>
      </c>
      <c r="K3711">
        <v>20181207</v>
      </c>
      <c r="L3711" t="str">
        <f>"074832"</f>
        <v>074832</v>
      </c>
      <c r="M3711" t="str">
        <f>"01530"</f>
        <v>01530</v>
      </c>
      <c r="N3711" t="s">
        <v>1672</v>
      </c>
      <c r="O3711">
        <v>131</v>
      </c>
      <c r="P3711">
        <v>20181206</v>
      </c>
      <c r="Q3711" t="s">
        <v>2434</v>
      </c>
      <c r="R3711" t="s">
        <v>2308</v>
      </c>
      <c r="S3711" t="s">
        <v>1615</v>
      </c>
      <c r="T3711" t="s">
        <v>1794</v>
      </c>
    </row>
    <row r="3712" spans="1:20" x14ac:dyDescent="0.25">
      <c r="A3712">
        <v>9</v>
      </c>
      <c r="B3712">
        <v>199</v>
      </c>
      <c r="C3712" t="str">
        <f t="shared" ref="C3712:C3722" si="743">"11"</f>
        <v>11</v>
      </c>
      <c r="D3712">
        <v>6399</v>
      </c>
      <c r="E3712" t="str">
        <f>"10"</f>
        <v>10</v>
      </c>
      <c r="F3712" t="str">
        <f>"001"</f>
        <v>001</v>
      </c>
      <c r="G3712">
        <v>9</v>
      </c>
      <c r="H3712" t="str">
        <f>"11"</f>
        <v>11</v>
      </c>
      <c r="I3712" t="str">
        <f t="shared" si="742"/>
        <v>0</v>
      </c>
      <c r="J3712" t="str">
        <f>"80"</f>
        <v>80</v>
      </c>
      <c r="K3712">
        <v>20181207</v>
      </c>
      <c r="L3712" t="str">
        <f t="shared" ref="L3712:L3724" si="744">"074835"</f>
        <v>074835</v>
      </c>
      <c r="M3712" t="str">
        <f t="shared" ref="M3712:M3724" si="745">"04410"</f>
        <v>04410</v>
      </c>
      <c r="N3712" t="s">
        <v>410</v>
      </c>
      <c r="O3712" s="1">
        <v>1555.62</v>
      </c>
      <c r="P3712">
        <v>20181206</v>
      </c>
      <c r="Q3712" t="s">
        <v>2958</v>
      </c>
      <c r="R3712" t="s">
        <v>1993</v>
      </c>
      <c r="S3712" t="s">
        <v>1615</v>
      </c>
      <c r="T3712" t="s">
        <v>301</v>
      </c>
    </row>
    <row r="3713" spans="1:20" x14ac:dyDescent="0.25">
      <c r="A3713">
        <v>9</v>
      </c>
      <c r="B3713">
        <v>199</v>
      </c>
      <c r="C3713" t="str">
        <f t="shared" si="743"/>
        <v>11</v>
      </c>
      <c r="D3713">
        <v>6399</v>
      </c>
      <c r="E3713" t="str">
        <f>"10"</f>
        <v>10</v>
      </c>
      <c r="F3713" t="str">
        <f>"001"</f>
        <v>001</v>
      </c>
      <c r="G3713">
        <v>9</v>
      </c>
      <c r="H3713" t="str">
        <f>"11"</f>
        <v>11</v>
      </c>
      <c r="I3713" t="str">
        <f t="shared" si="742"/>
        <v>0</v>
      </c>
      <c r="J3713" t="str">
        <f>"80"</f>
        <v>80</v>
      </c>
      <c r="K3713">
        <v>20181207</v>
      </c>
      <c r="L3713" t="str">
        <f t="shared" si="744"/>
        <v>074835</v>
      </c>
      <c r="M3713" t="str">
        <f t="shared" si="745"/>
        <v>04410</v>
      </c>
      <c r="N3713" t="s">
        <v>410</v>
      </c>
      <c r="O3713">
        <v>199.08</v>
      </c>
      <c r="P3713">
        <v>20181206</v>
      </c>
      <c r="Q3713" t="s">
        <v>2958</v>
      </c>
      <c r="R3713" t="s">
        <v>1993</v>
      </c>
      <c r="S3713" t="s">
        <v>1615</v>
      </c>
      <c r="T3713" t="s">
        <v>301</v>
      </c>
    </row>
    <row r="3714" spans="1:20" x14ac:dyDescent="0.25">
      <c r="A3714">
        <v>9</v>
      </c>
      <c r="B3714">
        <v>199</v>
      </c>
      <c r="C3714" t="str">
        <f t="shared" si="743"/>
        <v>11</v>
      </c>
      <c r="D3714">
        <v>6399</v>
      </c>
      <c r="E3714" t="str">
        <f>"74"</f>
        <v>74</v>
      </c>
      <c r="F3714" t="str">
        <f>"041"</f>
        <v>041</v>
      </c>
      <c r="G3714">
        <v>9</v>
      </c>
      <c r="H3714" t="str">
        <f>"11"</f>
        <v>11</v>
      </c>
      <c r="I3714" t="str">
        <f t="shared" si="742"/>
        <v>0</v>
      </c>
      <c r="J3714" t="str">
        <f>"03"</f>
        <v>03</v>
      </c>
      <c r="K3714">
        <v>20181207</v>
      </c>
      <c r="L3714" t="str">
        <f t="shared" si="744"/>
        <v>074835</v>
      </c>
      <c r="M3714" t="str">
        <f t="shared" si="745"/>
        <v>04410</v>
      </c>
      <c r="N3714" t="s">
        <v>410</v>
      </c>
      <c r="O3714">
        <v>59.97</v>
      </c>
      <c r="P3714">
        <v>20181206</v>
      </c>
      <c r="Q3714" t="s">
        <v>2302</v>
      </c>
      <c r="R3714" t="s">
        <v>2959</v>
      </c>
      <c r="S3714" t="s">
        <v>1615</v>
      </c>
      <c r="T3714" t="s">
        <v>106</v>
      </c>
    </row>
    <row r="3715" spans="1:20" x14ac:dyDescent="0.25">
      <c r="A3715">
        <v>9</v>
      </c>
      <c r="B3715">
        <v>199</v>
      </c>
      <c r="C3715" t="str">
        <f t="shared" si="743"/>
        <v>11</v>
      </c>
      <c r="D3715">
        <v>6399</v>
      </c>
      <c r="E3715" t="str">
        <f>"7A"</f>
        <v>7A</v>
      </c>
      <c r="F3715" t="str">
        <f>"001"</f>
        <v>001</v>
      </c>
      <c r="G3715">
        <v>9</v>
      </c>
      <c r="H3715" t="str">
        <f>"11"</f>
        <v>11</v>
      </c>
      <c r="I3715" t="str">
        <f t="shared" si="742"/>
        <v>0</v>
      </c>
      <c r="J3715" t="str">
        <f>"01"</f>
        <v>01</v>
      </c>
      <c r="K3715">
        <v>20181207</v>
      </c>
      <c r="L3715" t="str">
        <f t="shared" si="744"/>
        <v>074835</v>
      </c>
      <c r="M3715" t="str">
        <f t="shared" si="745"/>
        <v>04410</v>
      </c>
      <c r="N3715" t="s">
        <v>410</v>
      </c>
      <c r="O3715">
        <v>623.24</v>
      </c>
      <c r="P3715">
        <v>20181206</v>
      </c>
      <c r="Q3715" t="s">
        <v>2157</v>
      </c>
      <c r="R3715" t="s">
        <v>2158</v>
      </c>
      <c r="S3715" t="s">
        <v>1615</v>
      </c>
      <c r="T3715" t="s">
        <v>301</v>
      </c>
    </row>
    <row r="3716" spans="1:20" x14ac:dyDescent="0.25">
      <c r="A3716">
        <v>9</v>
      </c>
      <c r="B3716">
        <v>199</v>
      </c>
      <c r="C3716" t="str">
        <f t="shared" si="743"/>
        <v>11</v>
      </c>
      <c r="D3716">
        <v>6399</v>
      </c>
      <c r="E3716" t="str">
        <f>"7A"</f>
        <v>7A</v>
      </c>
      <c r="F3716" t="str">
        <f>"001"</f>
        <v>001</v>
      </c>
      <c r="G3716">
        <v>9</v>
      </c>
      <c r="H3716" t="str">
        <f>"11"</f>
        <v>11</v>
      </c>
      <c r="I3716" t="str">
        <f t="shared" si="742"/>
        <v>0</v>
      </c>
      <c r="J3716" t="str">
        <f>"01"</f>
        <v>01</v>
      </c>
      <c r="K3716">
        <v>20181207</v>
      </c>
      <c r="L3716" t="str">
        <f t="shared" si="744"/>
        <v>074835</v>
      </c>
      <c r="M3716" t="str">
        <f t="shared" si="745"/>
        <v>04410</v>
      </c>
      <c r="N3716" t="s">
        <v>410</v>
      </c>
      <c r="O3716">
        <v>9.98</v>
      </c>
      <c r="P3716">
        <v>20181206</v>
      </c>
      <c r="Q3716" t="s">
        <v>2157</v>
      </c>
      <c r="R3716" t="s">
        <v>2960</v>
      </c>
      <c r="S3716" t="s">
        <v>1615</v>
      </c>
      <c r="T3716" t="s">
        <v>301</v>
      </c>
    </row>
    <row r="3717" spans="1:20" x14ac:dyDescent="0.25">
      <c r="A3717">
        <v>9</v>
      </c>
      <c r="B3717">
        <v>199</v>
      </c>
      <c r="C3717" t="str">
        <f t="shared" si="743"/>
        <v>11</v>
      </c>
      <c r="D3717">
        <v>6399</v>
      </c>
      <c r="E3717" t="str">
        <f>"AP"</f>
        <v>AP</v>
      </c>
      <c r="F3717" t="str">
        <f>"001"</f>
        <v>001</v>
      </c>
      <c r="G3717">
        <v>9</v>
      </c>
      <c r="H3717" t="str">
        <f>"31"</f>
        <v>31</v>
      </c>
      <c r="I3717" t="str">
        <f t="shared" si="742"/>
        <v>0</v>
      </c>
      <c r="J3717" t="str">
        <f>"34"</f>
        <v>34</v>
      </c>
      <c r="K3717">
        <v>20181207</v>
      </c>
      <c r="L3717" t="str">
        <f t="shared" si="744"/>
        <v>074835</v>
      </c>
      <c r="M3717" t="str">
        <f t="shared" si="745"/>
        <v>04410</v>
      </c>
      <c r="N3717" t="s">
        <v>410</v>
      </c>
      <c r="O3717">
        <v>103.65</v>
      </c>
      <c r="P3717">
        <v>20181206</v>
      </c>
      <c r="Q3717" t="s">
        <v>1677</v>
      </c>
      <c r="R3717" t="s">
        <v>2961</v>
      </c>
      <c r="S3717" t="s">
        <v>1615</v>
      </c>
      <c r="T3717" t="s">
        <v>301</v>
      </c>
    </row>
    <row r="3718" spans="1:20" x14ac:dyDescent="0.25">
      <c r="A3718">
        <v>9</v>
      </c>
      <c r="B3718">
        <v>199</v>
      </c>
      <c r="C3718" t="str">
        <f t="shared" si="743"/>
        <v>11</v>
      </c>
      <c r="D3718">
        <v>6399</v>
      </c>
      <c r="E3718" t="str">
        <f>"GT"</f>
        <v>GT</v>
      </c>
      <c r="F3718" t="str">
        <f>"001"</f>
        <v>001</v>
      </c>
      <c r="G3718">
        <v>9</v>
      </c>
      <c r="H3718" t="str">
        <f>"21"</f>
        <v>21</v>
      </c>
      <c r="I3718" t="str">
        <f t="shared" si="742"/>
        <v>0</v>
      </c>
      <c r="J3718" t="str">
        <f>"21"</f>
        <v>21</v>
      </c>
      <c r="K3718">
        <v>20181207</v>
      </c>
      <c r="L3718" t="str">
        <f t="shared" si="744"/>
        <v>074835</v>
      </c>
      <c r="M3718" t="str">
        <f t="shared" si="745"/>
        <v>04410</v>
      </c>
      <c r="N3718" t="s">
        <v>410</v>
      </c>
      <c r="O3718">
        <v>684.97</v>
      </c>
      <c r="P3718">
        <v>20181206</v>
      </c>
      <c r="Q3718" t="s">
        <v>2962</v>
      </c>
      <c r="R3718" t="s">
        <v>641</v>
      </c>
      <c r="S3718" t="s">
        <v>1615</v>
      </c>
      <c r="T3718" t="s">
        <v>301</v>
      </c>
    </row>
    <row r="3719" spans="1:20" x14ac:dyDescent="0.25">
      <c r="A3719">
        <v>9</v>
      </c>
      <c r="B3719">
        <v>199</v>
      </c>
      <c r="C3719" t="str">
        <f t="shared" si="743"/>
        <v>11</v>
      </c>
      <c r="D3719">
        <v>6399</v>
      </c>
      <c r="E3719" t="str">
        <f>"PK"</f>
        <v>PK</v>
      </c>
      <c r="F3719" t="str">
        <f>"101"</f>
        <v>101</v>
      </c>
      <c r="G3719">
        <v>9</v>
      </c>
      <c r="H3719" t="str">
        <f>"11"</f>
        <v>11</v>
      </c>
      <c r="I3719" t="str">
        <f t="shared" si="742"/>
        <v>0</v>
      </c>
      <c r="J3719" t="str">
        <f>"04"</f>
        <v>04</v>
      </c>
      <c r="K3719">
        <v>20181207</v>
      </c>
      <c r="L3719" t="str">
        <f t="shared" si="744"/>
        <v>074835</v>
      </c>
      <c r="M3719" t="str">
        <f t="shared" si="745"/>
        <v>04410</v>
      </c>
      <c r="N3719" t="s">
        <v>410</v>
      </c>
      <c r="O3719">
        <v>115.64</v>
      </c>
      <c r="P3719">
        <v>20181206</v>
      </c>
      <c r="Q3719" t="s">
        <v>2823</v>
      </c>
      <c r="R3719" t="s">
        <v>2793</v>
      </c>
      <c r="S3719" t="s">
        <v>1615</v>
      </c>
      <c r="T3719" t="s">
        <v>1479</v>
      </c>
    </row>
    <row r="3720" spans="1:20" x14ac:dyDescent="0.25">
      <c r="A3720">
        <v>9</v>
      </c>
      <c r="B3720">
        <v>199</v>
      </c>
      <c r="C3720" t="str">
        <f t="shared" si="743"/>
        <v>11</v>
      </c>
      <c r="D3720">
        <v>6399</v>
      </c>
      <c r="E3720" t="str">
        <f>"VD"</f>
        <v>VD</v>
      </c>
      <c r="F3720" t="str">
        <f t="shared" ref="F3720:F3728" si="746">"001"</f>
        <v>001</v>
      </c>
      <c r="G3720">
        <v>9</v>
      </c>
      <c r="H3720" t="str">
        <f>"22"</f>
        <v>22</v>
      </c>
      <c r="I3720" t="str">
        <f t="shared" si="742"/>
        <v>0</v>
      </c>
      <c r="J3720" t="str">
        <f>"22"</f>
        <v>22</v>
      </c>
      <c r="K3720">
        <v>20181207</v>
      </c>
      <c r="L3720" t="str">
        <f t="shared" si="744"/>
        <v>074835</v>
      </c>
      <c r="M3720" t="str">
        <f t="shared" si="745"/>
        <v>04410</v>
      </c>
      <c r="N3720" t="s">
        <v>410</v>
      </c>
      <c r="O3720">
        <v>314.39</v>
      </c>
      <c r="P3720">
        <v>20181206</v>
      </c>
      <c r="Q3720" t="s">
        <v>1862</v>
      </c>
      <c r="R3720" t="s">
        <v>2963</v>
      </c>
      <c r="S3720" t="s">
        <v>1615</v>
      </c>
      <c r="T3720" t="s">
        <v>301</v>
      </c>
    </row>
    <row r="3721" spans="1:20" x14ac:dyDescent="0.25">
      <c r="A3721">
        <v>9</v>
      </c>
      <c r="B3721">
        <v>199</v>
      </c>
      <c r="C3721" t="str">
        <f t="shared" si="743"/>
        <v>11</v>
      </c>
      <c r="D3721">
        <v>6399</v>
      </c>
      <c r="E3721" t="str">
        <f>"VD"</f>
        <v>VD</v>
      </c>
      <c r="F3721" t="str">
        <f t="shared" si="746"/>
        <v>001</v>
      </c>
      <c r="G3721">
        <v>9</v>
      </c>
      <c r="H3721" t="str">
        <f>"22"</f>
        <v>22</v>
      </c>
      <c r="I3721" t="str">
        <f t="shared" si="742"/>
        <v>0</v>
      </c>
      <c r="J3721" t="str">
        <f>"22"</f>
        <v>22</v>
      </c>
      <c r="K3721">
        <v>20181207</v>
      </c>
      <c r="L3721" t="str">
        <f t="shared" si="744"/>
        <v>074835</v>
      </c>
      <c r="M3721" t="str">
        <f t="shared" si="745"/>
        <v>04410</v>
      </c>
      <c r="N3721" t="s">
        <v>410</v>
      </c>
      <c r="O3721">
        <v>242.82</v>
      </c>
      <c r="P3721">
        <v>20181206</v>
      </c>
      <c r="Q3721" t="s">
        <v>1862</v>
      </c>
      <c r="R3721" t="s">
        <v>2819</v>
      </c>
      <c r="S3721" t="s">
        <v>1615</v>
      </c>
      <c r="T3721" t="s">
        <v>301</v>
      </c>
    </row>
    <row r="3722" spans="1:20" x14ac:dyDescent="0.25">
      <c r="A3722">
        <v>9</v>
      </c>
      <c r="B3722">
        <v>199</v>
      </c>
      <c r="C3722" t="str">
        <f t="shared" si="743"/>
        <v>11</v>
      </c>
      <c r="D3722">
        <v>6399</v>
      </c>
      <c r="E3722" t="str">
        <f>"VR"</f>
        <v>VR</v>
      </c>
      <c r="F3722" t="str">
        <f t="shared" si="746"/>
        <v>001</v>
      </c>
      <c r="G3722">
        <v>9</v>
      </c>
      <c r="H3722" t="str">
        <f>"22"</f>
        <v>22</v>
      </c>
      <c r="I3722" t="str">
        <f t="shared" si="742"/>
        <v>0</v>
      </c>
      <c r="J3722" t="str">
        <f>"22"</f>
        <v>22</v>
      </c>
      <c r="K3722">
        <v>20181207</v>
      </c>
      <c r="L3722" t="str">
        <f t="shared" si="744"/>
        <v>074835</v>
      </c>
      <c r="M3722" t="str">
        <f t="shared" si="745"/>
        <v>04410</v>
      </c>
      <c r="N3722" t="s">
        <v>410</v>
      </c>
      <c r="O3722">
        <v>29.44</v>
      </c>
      <c r="P3722">
        <v>20181206</v>
      </c>
      <c r="Q3722" t="s">
        <v>1863</v>
      </c>
      <c r="R3722" t="s">
        <v>2964</v>
      </c>
      <c r="S3722" t="s">
        <v>1615</v>
      </c>
      <c r="T3722" t="s">
        <v>301</v>
      </c>
    </row>
    <row r="3723" spans="1:20" x14ac:dyDescent="0.25">
      <c r="A3723">
        <v>9</v>
      </c>
      <c r="B3723">
        <v>199</v>
      </c>
      <c r="C3723" t="str">
        <f>"31"</f>
        <v>31</v>
      </c>
      <c r="D3723">
        <v>6399</v>
      </c>
      <c r="E3723" t="str">
        <f>"7F"</f>
        <v>7F</v>
      </c>
      <c r="F3723" t="str">
        <f t="shared" si="746"/>
        <v>001</v>
      </c>
      <c r="G3723">
        <v>9</v>
      </c>
      <c r="H3723" t="str">
        <f>"99"</f>
        <v>99</v>
      </c>
      <c r="I3723" t="str">
        <f t="shared" si="742"/>
        <v>0</v>
      </c>
      <c r="J3723" t="str">
        <f>"01"</f>
        <v>01</v>
      </c>
      <c r="K3723">
        <v>20181207</v>
      </c>
      <c r="L3723" t="str">
        <f t="shared" si="744"/>
        <v>074835</v>
      </c>
      <c r="M3723" t="str">
        <f t="shared" si="745"/>
        <v>04410</v>
      </c>
      <c r="N3723" t="s">
        <v>410</v>
      </c>
      <c r="O3723">
        <v>209.78</v>
      </c>
      <c r="P3723">
        <v>20181206</v>
      </c>
      <c r="Q3723" t="s">
        <v>2965</v>
      </c>
      <c r="R3723" t="s">
        <v>641</v>
      </c>
      <c r="S3723" t="s">
        <v>1615</v>
      </c>
      <c r="T3723" t="s">
        <v>301</v>
      </c>
    </row>
    <row r="3724" spans="1:20" x14ac:dyDescent="0.25">
      <c r="A3724">
        <v>9</v>
      </c>
      <c r="B3724">
        <v>199</v>
      </c>
      <c r="C3724" t="str">
        <f>"36"</f>
        <v>36</v>
      </c>
      <c r="D3724">
        <v>6399</v>
      </c>
      <c r="E3724" t="str">
        <f>"8T"</f>
        <v>8T</v>
      </c>
      <c r="F3724" t="str">
        <f t="shared" si="746"/>
        <v>001</v>
      </c>
      <c r="G3724">
        <v>9</v>
      </c>
      <c r="H3724" t="str">
        <f>"99"</f>
        <v>99</v>
      </c>
      <c r="I3724" t="str">
        <f t="shared" si="742"/>
        <v>0</v>
      </c>
      <c r="J3724" t="str">
        <f>"01"</f>
        <v>01</v>
      </c>
      <c r="K3724">
        <v>20181207</v>
      </c>
      <c r="L3724" t="str">
        <f t="shared" si="744"/>
        <v>074835</v>
      </c>
      <c r="M3724" t="str">
        <f t="shared" si="745"/>
        <v>04410</v>
      </c>
      <c r="N3724" t="s">
        <v>410</v>
      </c>
      <c r="O3724">
        <v>529.73</v>
      </c>
      <c r="P3724">
        <v>20181206</v>
      </c>
      <c r="Q3724" t="s">
        <v>2966</v>
      </c>
      <c r="R3724" t="s">
        <v>2967</v>
      </c>
      <c r="S3724" t="s">
        <v>1615</v>
      </c>
      <c r="T3724" t="s">
        <v>301</v>
      </c>
    </row>
    <row r="3725" spans="1:20" x14ac:dyDescent="0.25">
      <c r="A3725">
        <v>9</v>
      </c>
      <c r="B3725">
        <v>199</v>
      </c>
      <c r="C3725" t="str">
        <f>"11"</f>
        <v>11</v>
      </c>
      <c r="D3725">
        <v>6399</v>
      </c>
      <c r="E3725" t="str">
        <f>"AP"</f>
        <v>AP</v>
      </c>
      <c r="F3725" t="str">
        <f t="shared" si="746"/>
        <v>001</v>
      </c>
      <c r="G3725">
        <v>9</v>
      </c>
      <c r="H3725" t="str">
        <f>"31"</f>
        <v>31</v>
      </c>
      <c r="I3725" t="str">
        <f t="shared" si="742"/>
        <v>0</v>
      </c>
      <c r="J3725" t="str">
        <f>"34"</f>
        <v>34</v>
      </c>
      <c r="K3725">
        <v>20181207</v>
      </c>
      <c r="L3725" t="str">
        <f>"074836"</f>
        <v>074836</v>
      </c>
      <c r="M3725" t="str">
        <f>"06512"</f>
        <v>06512</v>
      </c>
      <c r="N3725" t="s">
        <v>2968</v>
      </c>
      <c r="O3725">
        <v>128.80000000000001</v>
      </c>
      <c r="P3725">
        <v>20181206</v>
      </c>
      <c r="Q3725" t="s">
        <v>1677</v>
      </c>
      <c r="R3725" t="s">
        <v>2969</v>
      </c>
      <c r="S3725" t="s">
        <v>1615</v>
      </c>
      <c r="T3725" t="s">
        <v>301</v>
      </c>
    </row>
    <row r="3726" spans="1:20" x14ac:dyDescent="0.25">
      <c r="A3726">
        <v>9</v>
      </c>
      <c r="B3726">
        <v>199</v>
      </c>
      <c r="C3726" t="str">
        <f>"11"</f>
        <v>11</v>
      </c>
      <c r="D3726">
        <v>6412</v>
      </c>
      <c r="E3726" t="str">
        <f>"VB"</f>
        <v>VB</v>
      </c>
      <c r="F3726" t="str">
        <f t="shared" si="746"/>
        <v>001</v>
      </c>
      <c r="G3726">
        <v>9</v>
      </c>
      <c r="H3726" t="str">
        <f>"22"</f>
        <v>22</v>
      </c>
      <c r="I3726" t="str">
        <f t="shared" si="742"/>
        <v>0</v>
      </c>
      <c r="J3726" t="str">
        <f>"22"</f>
        <v>22</v>
      </c>
      <c r="K3726">
        <v>20181207</v>
      </c>
      <c r="L3726" t="str">
        <f>"074838"</f>
        <v>074838</v>
      </c>
      <c r="M3726" t="str">
        <f>"08770"</f>
        <v>08770</v>
      </c>
      <c r="N3726" t="s">
        <v>2970</v>
      </c>
      <c r="O3726">
        <v>270</v>
      </c>
      <c r="P3726">
        <v>20181206</v>
      </c>
      <c r="Q3726" t="s">
        <v>2971</v>
      </c>
      <c r="R3726" t="s">
        <v>2972</v>
      </c>
      <c r="S3726" t="s">
        <v>1615</v>
      </c>
      <c r="T3726" t="s">
        <v>301</v>
      </c>
    </row>
    <row r="3727" spans="1:20" x14ac:dyDescent="0.25">
      <c r="A3727">
        <v>9</v>
      </c>
      <c r="B3727">
        <v>199</v>
      </c>
      <c r="C3727" t="str">
        <f>"11"</f>
        <v>11</v>
      </c>
      <c r="D3727">
        <v>6412</v>
      </c>
      <c r="E3727" t="str">
        <f>"VB"</f>
        <v>VB</v>
      </c>
      <c r="F3727" t="str">
        <f t="shared" si="746"/>
        <v>001</v>
      </c>
      <c r="G3727">
        <v>9</v>
      </c>
      <c r="H3727" t="str">
        <f>"22"</f>
        <v>22</v>
      </c>
      <c r="I3727" t="str">
        <f t="shared" si="742"/>
        <v>0</v>
      </c>
      <c r="J3727" t="str">
        <f>"22"</f>
        <v>22</v>
      </c>
      <c r="K3727">
        <v>20181207</v>
      </c>
      <c r="L3727" t="str">
        <f>"074838"</f>
        <v>074838</v>
      </c>
      <c r="M3727" t="str">
        <f>"08770"</f>
        <v>08770</v>
      </c>
      <c r="N3727" t="s">
        <v>2970</v>
      </c>
      <c r="O3727">
        <v>295</v>
      </c>
      <c r="P3727">
        <v>20181206</v>
      </c>
      <c r="Q3727" t="s">
        <v>2971</v>
      </c>
      <c r="R3727" t="s">
        <v>2972</v>
      </c>
      <c r="S3727" t="s">
        <v>1615</v>
      </c>
      <c r="T3727" t="s">
        <v>301</v>
      </c>
    </row>
    <row r="3728" spans="1:20" x14ac:dyDescent="0.25">
      <c r="A3728">
        <v>9</v>
      </c>
      <c r="B3728">
        <v>199</v>
      </c>
      <c r="C3728" t="str">
        <f>"11"</f>
        <v>11</v>
      </c>
      <c r="D3728">
        <v>6412</v>
      </c>
      <c r="E3728" t="str">
        <f>"VB"</f>
        <v>VB</v>
      </c>
      <c r="F3728" t="str">
        <f t="shared" si="746"/>
        <v>001</v>
      </c>
      <c r="G3728">
        <v>9</v>
      </c>
      <c r="H3728" t="str">
        <f>"22"</f>
        <v>22</v>
      </c>
      <c r="I3728" t="str">
        <f t="shared" si="742"/>
        <v>0</v>
      </c>
      <c r="J3728" t="str">
        <f>"22"</f>
        <v>22</v>
      </c>
      <c r="K3728">
        <v>20181207</v>
      </c>
      <c r="L3728" t="str">
        <f>"074838"</f>
        <v>074838</v>
      </c>
      <c r="M3728" t="str">
        <f>"08770"</f>
        <v>08770</v>
      </c>
      <c r="N3728" t="s">
        <v>2970</v>
      </c>
      <c r="O3728">
        <v>325</v>
      </c>
      <c r="P3728">
        <v>20181206</v>
      </c>
      <c r="Q3728" t="s">
        <v>2971</v>
      </c>
      <c r="R3728" t="s">
        <v>2972</v>
      </c>
      <c r="S3728" t="s">
        <v>1615</v>
      </c>
      <c r="T3728" t="s">
        <v>301</v>
      </c>
    </row>
    <row r="3729" spans="1:20" x14ac:dyDescent="0.25">
      <c r="A3729">
        <v>9</v>
      </c>
      <c r="B3729">
        <v>199</v>
      </c>
      <c r="C3729" t="str">
        <f>"51"</f>
        <v>51</v>
      </c>
      <c r="D3729">
        <v>6256</v>
      </c>
      <c r="E3729" t="str">
        <f>"10"</f>
        <v>10</v>
      </c>
      <c r="F3729" t="str">
        <f>"880"</f>
        <v>880</v>
      </c>
      <c r="G3729">
        <v>9</v>
      </c>
      <c r="H3729" t="str">
        <f>"99"</f>
        <v>99</v>
      </c>
      <c r="I3729" t="str">
        <f t="shared" si="742"/>
        <v>0</v>
      </c>
      <c r="J3729" t="str">
        <f>"80"</f>
        <v>80</v>
      </c>
      <c r="K3729">
        <v>20181207</v>
      </c>
      <c r="L3729" t="str">
        <f>"074840"</f>
        <v>074840</v>
      </c>
      <c r="M3729" t="str">
        <f>"00390"</f>
        <v>00390</v>
      </c>
      <c r="N3729" t="s">
        <v>1869</v>
      </c>
      <c r="O3729">
        <v>81.02</v>
      </c>
      <c r="P3729">
        <v>20181206</v>
      </c>
      <c r="Q3729" t="s">
        <v>1870</v>
      </c>
      <c r="R3729" t="s">
        <v>2973</v>
      </c>
      <c r="S3729" t="s">
        <v>1615</v>
      </c>
      <c r="T3729" t="s">
        <v>1866</v>
      </c>
    </row>
    <row r="3730" spans="1:20" x14ac:dyDescent="0.25">
      <c r="A3730">
        <v>9</v>
      </c>
      <c r="B3730">
        <v>199</v>
      </c>
      <c r="C3730" t="str">
        <f>"51"</f>
        <v>51</v>
      </c>
      <c r="D3730">
        <v>6256</v>
      </c>
      <c r="E3730" t="str">
        <f>"10"</f>
        <v>10</v>
      </c>
      <c r="F3730" t="str">
        <f>"880"</f>
        <v>880</v>
      </c>
      <c r="G3730">
        <v>9</v>
      </c>
      <c r="H3730" t="str">
        <f>"99"</f>
        <v>99</v>
      </c>
      <c r="I3730" t="str">
        <f t="shared" si="742"/>
        <v>0</v>
      </c>
      <c r="J3730" t="str">
        <f>"80"</f>
        <v>80</v>
      </c>
      <c r="K3730">
        <v>20181207</v>
      </c>
      <c r="L3730" t="str">
        <f>"074840"</f>
        <v>074840</v>
      </c>
      <c r="M3730" t="str">
        <f>"00390"</f>
        <v>00390</v>
      </c>
      <c r="N3730" t="s">
        <v>1869</v>
      </c>
      <c r="O3730" s="1">
        <v>4358.4799999999996</v>
      </c>
      <c r="P3730">
        <v>20181206</v>
      </c>
      <c r="Q3730" t="s">
        <v>1870</v>
      </c>
      <c r="R3730" t="s">
        <v>2973</v>
      </c>
      <c r="S3730" t="s">
        <v>1615</v>
      </c>
      <c r="T3730" t="s">
        <v>1866</v>
      </c>
    </row>
    <row r="3731" spans="1:20" x14ac:dyDescent="0.25">
      <c r="A3731">
        <v>9</v>
      </c>
      <c r="B3731">
        <v>199</v>
      </c>
      <c r="C3731" t="str">
        <f>"23"</f>
        <v>23</v>
      </c>
      <c r="D3731">
        <v>6411</v>
      </c>
      <c r="E3731" t="str">
        <f>"10"</f>
        <v>10</v>
      </c>
      <c r="F3731" t="str">
        <f t="shared" ref="F3731:F3737" si="747">"001"</f>
        <v>001</v>
      </c>
      <c r="G3731">
        <v>9</v>
      </c>
      <c r="H3731" t="str">
        <f>"99"</f>
        <v>99</v>
      </c>
      <c r="I3731" t="str">
        <f>"1"</f>
        <v>1</v>
      </c>
      <c r="J3731" t="str">
        <f t="shared" ref="J3731:J3737" si="748">"01"</f>
        <v>01</v>
      </c>
      <c r="K3731">
        <v>20181207</v>
      </c>
      <c r="L3731" t="str">
        <f>"074842"</f>
        <v>074842</v>
      </c>
      <c r="M3731" t="str">
        <f>"10063"</f>
        <v>10063</v>
      </c>
      <c r="N3731" t="s">
        <v>1767</v>
      </c>
      <c r="O3731">
        <v>49.48</v>
      </c>
      <c r="P3731">
        <v>20181206</v>
      </c>
      <c r="Q3731" t="s">
        <v>2464</v>
      </c>
      <c r="R3731" t="s">
        <v>2974</v>
      </c>
      <c r="S3731" t="s">
        <v>1615</v>
      </c>
      <c r="T3731" t="s">
        <v>301</v>
      </c>
    </row>
    <row r="3732" spans="1:20" x14ac:dyDescent="0.25">
      <c r="A3732">
        <v>9</v>
      </c>
      <c r="B3732">
        <v>199</v>
      </c>
      <c r="C3732" t="str">
        <f>"23"</f>
        <v>23</v>
      </c>
      <c r="D3732">
        <v>6411</v>
      </c>
      <c r="E3732" t="str">
        <f>"10"</f>
        <v>10</v>
      </c>
      <c r="F3732" t="str">
        <f t="shared" si="747"/>
        <v>001</v>
      </c>
      <c r="G3732">
        <v>9</v>
      </c>
      <c r="H3732" t="str">
        <f>"99"</f>
        <v>99</v>
      </c>
      <c r="I3732" t="str">
        <f>"1"</f>
        <v>1</v>
      </c>
      <c r="J3732" t="str">
        <f t="shared" si="748"/>
        <v>01</v>
      </c>
      <c r="K3732">
        <v>20181207</v>
      </c>
      <c r="L3732" t="str">
        <f>"074846"</f>
        <v>074846</v>
      </c>
      <c r="M3732" t="str">
        <f>"11140"</f>
        <v>11140</v>
      </c>
      <c r="N3732" t="s">
        <v>2463</v>
      </c>
      <c r="O3732">
        <v>445.13</v>
      </c>
      <c r="P3732">
        <v>20181206</v>
      </c>
      <c r="Q3732" t="s">
        <v>2464</v>
      </c>
      <c r="R3732" t="s">
        <v>2975</v>
      </c>
      <c r="S3732" t="s">
        <v>1615</v>
      </c>
      <c r="T3732" t="s">
        <v>301</v>
      </c>
    </row>
    <row r="3733" spans="1:20" x14ac:dyDescent="0.25">
      <c r="A3733">
        <v>9</v>
      </c>
      <c r="B3733">
        <v>199</v>
      </c>
      <c r="C3733" t="str">
        <f>"11"</f>
        <v>11</v>
      </c>
      <c r="D3733">
        <v>6399</v>
      </c>
      <c r="E3733" t="str">
        <f>"7A"</f>
        <v>7A</v>
      </c>
      <c r="F3733" t="str">
        <f t="shared" si="747"/>
        <v>001</v>
      </c>
      <c r="G3733">
        <v>9</v>
      </c>
      <c r="H3733" t="str">
        <f>"11"</f>
        <v>11</v>
      </c>
      <c r="I3733" t="str">
        <f t="shared" ref="I3733:I3740" si="749">"0"</f>
        <v>0</v>
      </c>
      <c r="J3733" t="str">
        <f t="shared" si="748"/>
        <v>01</v>
      </c>
      <c r="K3733">
        <v>20181207</v>
      </c>
      <c r="L3733" t="str">
        <f>"074847"</f>
        <v>074847</v>
      </c>
      <c r="M3733" t="str">
        <f>"11210"</f>
        <v>11210</v>
      </c>
      <c r="N3733" t="s">
        <v>2465</v>
      </c>
      <c r="O3733">
        <v>41.58</v>
      </c>
      <c r="P3733">
        <v>20181206</v>
      </c>
      <c r="Q3733" t="s">
        <v>2157</v>
      </c>
      <c r="R3733" t="s">
        <v>2466</v>
      </c>
      <c r="S3733" t="s">
        <v>1615</v>
      </c>
      <c r="T3733" t="s">
        <v>301</v>
      </c>
    </row>
    <row r="3734" spans="1:20" x14ac:dyDescent="0.25">
      <c r="A3734">
        <v>9</v>
      </c>
      <c r="B3734">
        <v>199</v>
      </c>
      <c r="C3734" t="str">
        <f>"11"</f>
        <v>11</v>
      </c>
      <c r="D3734">
        <v>6399</v>
      </c>
      <c r="E3734" t="str">
        <f>"7A"</f>
        <v>7A</v>
      </c>
      <c r="F3734" t="str">
        <f t="shared" si="747"/>
        <v>001</v>
      </c>
      <c r="G3734">
        <v>9</v>
      </c>
      <c r="H3734" t="str">
        <f>"11"</f>
        <v>11</v>
      </c>
      <c r="I3734" t="str">
        <f t="shared" si="749"/>
        <v>0</v>
      </c>
      <c r="J3734" t="str">
        <f t="shared" si="748"/>
        <v>01</v>
      </c>
      <c r="K3734">
        <v>20181207</v>
      </c>
      <c r="L3734" t="str">
        <f>"074847"</f>
        <v>074847</v>
      </c>
      <c r="M3734" t="str">
        <f>"11210"</f>
        <v>11210</v>
      </c>
      <c r="N3734" t="s">
        <v>2465</v>
      </c>
      <c r="O3734">
        <v>13.68</v>
      </c>
      <c r="P3734">
        <v>20181206</v>
      </c>
      <c r="Q3734" t="s">
        <v>2157</v>
      </c>
      <c r="R3734" t="s">
        <v>2466</v>
      </c>
      <c r="S3734" t="s">
        <v>1615</v>
      </c>
      <c r="T3734" t="s">
        <v>301</v>
      </c>
    </row>
    <row r="3735" spans="1:20" x14ac:dyDescent="0.25">
      <c r="A3735">
        <v>9</v>
      </c>
      <c r="B3735">
        <v>199</v>
      </c>
      <c r="C3735" t="str">
        <f>"11"</f>
        <v>11</v>
      </c>
      <c r="D3735">
        <v>6399</v>
      </c>
      <c r="E3735" t="str">
        <f>"7A"</f>
        <v>7A</v>
      </c>
      <c r="F3735" t="str">
        <f t="shared" si="747"/>
        <v>001</v>
      </c>
      <c r="G3735">
        <v>9</v>
      </c>
      <c r="H3735" t="str">
        <f>"11"</f>
        <v>11</v>
      </c>
      <c r="I3735" t="str">
        <f t="shared" si="749"/>
        <v>0</v>
      </c>
      <c r="J3735" t="str">
        <f t="shared" si="748"/>
        <v>01</v>
      </c>
      <c r="K3735">
        <v>20181207</v>
      </c>
      <c r="L3735" t="str">
        <f>"074847"</f>
        <v>074847</v>
      </c>
      <c r="M3735" t="str">
        <f>"11210"</f>
        <v>11210</v>
      </c>
      <c r="N3735" t="s">
        <v>2465</v>
      </c>
      <c r="O3735">
        <v>289.01</v>
      </c>
      <c r="P3735">
        <v>20181206</v>
      </c>
      <c r="Q3735" t="s">
        <v>2157</v>
      </c>
      <c r="R3735" t="s">
        <v>2466</v>
      </c>
      <c r="S3735" t="s">
        <v>1615</v>
      </c>
      <c r="T3735" t="s">
        <v>301</v>
      </c>
    </row>
    <row r="3736" spans="1:20" x14ac:dyDescent="0.25">
      <c r="A3736">
        <v>9</v>
      </c>
      <c r="B3736">
        <v>199</v>
      </c>
      <c r="C3736" t="str">
        <f>"11"</f>
        <v>11</v>
      </c>
      <c r="D3736">
        <v>6399</v>
      </c>
      <c r="E3736" t="str">
        <f>"7A"</f>
        <v>7A</v>
      </c>
      <c r="F3736" t="str">
        <f t="shared" si="747"/>
        <v>001</v>
      </c>
      <c r="G3736">
        <v>9</v>
      </c>
      <c r="H3736" t="str">
        <f>"11"</f>
        <v>11</v>
      </c>
      <c r="I3736" t="str">
        <f t="shared" si="749"/>
        <v>0</v>
      </c>
      <c r="J3736" t="str">
        <f t="shared" si="748"/>
        <v>01</v>
      </c>
      <c r="K3736">
        <v>20181207</v>
      </c>
      <c r="L3736" t="str">
        <f>"074847"</f>
        <v>074847</v>
      </c>
      <c r="M3736" t="str">
        <f>"11210"</f>
        <v>11210</v>
      </c>
      <c r="N3736" t="s">
        <v>2465</v>
      </c>
      <c r="O3736">
        <v>22.38</v>
      </c>
      <c r="P3736">
        <v>20181206</v>
      </c>
      <c r="Q3736" t="s">
        <v>2157</v>
      </c>
      <c r="R3736" t="s">
        <v>2976</v>
      </c>
      <c r="S3736" t="s">
        <v>1615</v>
      </c>
      <c r="T3736" t="s">
        <v>301</v>
      </c>
    </row>
    <row r="3737" spans="1:20" x14ac:dyDescent="0.25">
      <c r="A3737">
        <v>9</v>
      </c>
      <c r="B3737">
        <v>199</v>
      </c>
      <c r="C3737" t="str">
        <f>"11"</f>
        <v>11</v>
      </c>
      <c r="D3737">
        <v>6399</v>
      </c>
      <c r="E3737" t="str">
        <f>"7A"</f>
        <v>7A</v>
      </c>
      <c r="F3737" t="str">
        <f t="shared" si="747"/>
        <v>001</v>
      </c>
      <c r="G3737">
        <v>9</v>
      </c>
      <c r="H3737" t="str">
        <f>"11"</f>
        <v>11</v>
      </c>
      <c r="I3737" t="str">
        <f t="shared" si="749"/>
        <v>0</v>
      </c>
      <c r="J3737" t="str">
        <f t="shared" si="748"/>
        <v>01</v>
      </c>
      <c r="K3737">
        <v>20181207</v>
      </c>
      <c r="L3737" t="str">
        <f>"074847"</f>
        <v>074847</v>
      </c>
      <c r="M3737" t="str">
        <f>"11210"</f>
        <v>11210</v>
      </c>
      <c r="N3737" t="s">
        <v>2465</v>
      </c>
      <c r="O3737">
        <v>295.5</v>
      </c>
      <c r="P3737">
        <v>20181206</v>
      </c>
      <c r="Q3737" t="s">
        <v>2157</v>
      </c>
      <c r="R3737" t="s">
        <v>2466</v>
      </c>
      <c r="S3737" t="s">
        <v>1615</v>
      </c>
      <c r="T3737" t="s">
        <v>301</v>
      </c>
    </row>
    <row r="3738" spans="1:20" x14ac:dyDescent="0.25">
      <c r="A3738">
        <v>9</v>
      </c>
      <c r="B3738">
        <v>199</v>
      </c>
      <c r="C3738" t="str">
        <f>"31"</f>
        <v>31</v>
      </c>
      <c r="D3738">
        <v>6219</v>
      </c>
      <c r="E3738" t="str">
        <f>"00"</f>
        <v>00</v>
      </c>
      <c r="F3738" t="str">
        <f>"875"</f>
        <v>875</v>
      </c>
      <c r="G3738">
        <v>9</v>
      </c>
      <c r="H3738" t="str">
        <f>"23"</f>
        <v>23</v>
      </c>
      <c r="I3738" t="str">
        <f t="shared" si="749"/>
        <v>0</v>
      </c>
      <c r="J3738" t="str">
        <f>"23"</f>
        <v>23</v>
      </c>
      <c r="K3738">
        <v>20181207</v>
      </c>
      <c r="L3738" t="str">
        <f>"074849"</f>
        <v>074849</v>
      </c>
      <c r="M3738" t="str">
        <f>"00589"</f>
        <v>00589</v>
      </c>
      <c r="N3738" t="s">
        <v>2977</v>
      </c>
      <c r="O3738">
        <v>720</v>
      </c>
      <c r="P3738">
        <v>20181206</v>
      </c>
      <c r="Q3738" t="s">
        <v>2207</v>
      </c>
      <c r="R3738" t="s">
        <v>2978</v>
      </c>
      <c r="S3738" t="s">
        <v>1615</v>
      </c>
      <c r="T3738" t="s">
        <v>2041</v>
      </c>
    </row>
    <row r="3739" spans="1:20" x14ac:dyDescent="0.25">
      <c r="A3739">
        <v>9</v>
      </c>
      <c r="B3739">
        <v>199</v>
      </c>
      <c r="C3739" t="str">
        <f>"11"</f>
        <v>11</v>
      </c>
      <c r="D3739">
        <v>6339</v>
      </c>
      <c r="E3739" t="str">
        <f>"VL"</f>
        <v>VL</v>
      </c>
      <c r="F3739" t="str">
        <f>"001"</f>
        <v>001</v>
      </c>
      <c r="G3739">
        <v>9</v>
      </c>
      <c r="H3739" t="str">
        <f>"22"</f>
        <v>22</v>
      </c>
      <c r="I3739" t="str">
        <f t="shared" si="749"/>
        <v>0</v>
      </c>
      <c r="J3739" t="str">
        <f>"22"</f>
        <v>22</v>
      </c>
      <c r="K3739">
        <v>20181207</v>
      </c>
      <c r="L3739" t="str">
        <f>"074852"</f>
        <v>074852</v>
      </c>
      <c r="M3739" t="str">
        <f>"45705"</f>
        <v>45705</v>
      </c>
      <c r="N3739" t="s">
        <v>2979</v>
      </c>
      <c r="O3739">
        <v>450</v>
      </c>
      <c r="P3739">
        <v>20181206</v>
      </c>
      <c r="Q3739" t="s">
        <v>2980</v>
      </c>
      <c r="R3739" t="s">
        <v>2981</v>
      </c>
      <c r="S3739" t="s">
        <v>1615</v>
      </c>
      <c r="T3739" t="s">
        <v>301</v>
      </c>
    </row>
    <row r="3740" spans="1:20" x14ac:dyDescent="0.25">
      <c r="A3740">
        <v>9</v>
      </c>
      <c r="B3740">
        <v>199</v>
      </c>
      <c r="C3740" t="str">
        <f>"41"</f>
        <v>41</v>
      </c>
      <c r="D3740">
        <v>6411</v>
      </c>
      <c r="E3740" t="str">
        <f>"00"</f>
        <v>00</v>
      </c>
      <c r="F3740" t="str">
        <f>"939"</f>
        <v>939</v>
      </c>
      <c r="G3740">
        <v>9</v>
      </c>
      <c r="H3740" t="str">
        <f t="shared" ref="H3740:H3748" si="750">"99"</f>
        <v>99</v>
      </c>
      <c r="I3740" t="str">
        <f t="shared" si="749"/>
        <v>0</v>
      </c>
      <c r="J3740" t="str">
        <f>"87"</f>
        <v>87</v>
      </c>
      <c r="K3740">
        <v>20181207</v>
      </c>
      <c r="L3740" t="str">
        <f>"074853"</f>
        <v>074853</v>
      </c>
      <c r="M3740" t="str">
        <f>"00531"</f>
        <v>00531</v>
      </c>
      <c r="N3740" t="s">
        <v>2982</v>
      </c>
      <c r="O3740">
        <v>49.6</v>
      </c>
      <c r="P3740">
        <v>20181206</v>
      </c>
      <c r="Q3740" t="s">
        <v>2983</v>
      </c>
      <c r="R3740" t="s">
        <v>2984</v>
      </c>
      <c r="S3740" t="s">
        <v>1615</v>
      </c>
      <c r="T3740" t="s">
        <v>2985</v>
      </c>
    </row>
    <row r="3741" spans="1:20" x14ac:dyDescent="0.25">
      <c r="A3741">
        <v>9</v>
      </c>
      <c r="B3741">
        <v>199</v>
      </c>
      <c r="C3741" t="str">
        <f>"51"</f>
        <v>51</v>
      </c>
      <c r="D3741">
        <v>6254</v>
      </c>
      <c r="E3741" t="str">
        <f>"ME"</f>
        <v>ME</v>
      </c>
      <c r="F3741" t="str">
        <f>"936"</f>
        <v>936</v>
      </c>
      <c r="G3741">
        <v>9</v>
      </c>
      <c r="H3741" t="str">
        <f t="shared" si="750"/>
        <v>99</v>
      </c>
      <c r="I3741" t="str">
        <f>"1"</f>
        <v>1</v>
      </c>
      <c r="J3741" t="str">
        <f>"73"</f>
        <v>73</v>
      </c>
      <c r="K3741">
        <v>20181207</v>
      </c>
      <c r="L3741" t="str">
        <f>"074855"</f>
        <v>074855</v>
      </c>
      <c r="M3741" t="str">
        <f>"19310"</f>
        <v>19310</v>
      </c>
      <c r="N3741" t="s">
        <v>1689</v>
      </c>
      <c r="O3741" s="1">
        <v>3123.6</v>
      </c>
      <c r="P3741">
        <v>20181206</v>
      </c>
      <c r="Q3741" t="s">
        <v>1891</v>
      </c>
      <c r="R3741" t="s">
        <v>2986</v>
      </c>
      <c r="S3741" t="s">
        <v>1615</v>
      </c>
      <c r="T3741" t="s">
        <v>1713</v>
      </c>
    </row>
    <row r="3742" spans="1:20" x14ac:dyDescent="0.25">
      <c r="A3742">
        <v>9</v>
      </c>
      <c r="B3742">
        <v>199</v>
      </c>
      <c r="C3742" t="str">
        <f>"51"</f>
        <v>51</v>
      </c>
      <c r="D3742">
        <v>6254</v>
      </c>
      <c r="E3742" t="str">
        <f>"ME"</f>
        <v>ME</v>
      </c>
      <c r="F3742" t="str">
        <f>"936"</f>
        <v>936</v>
      </c>
      <c r="G3742">
        <v>9</v>
      </c>
      <c r="H3742" t="str">
        <f t="shared" si="750"/>
        <v>99</v>
      </c>
      <c r="I3742" t="str">
        <f>"1"</f>
        <v>1</v>
      </c>
      <c r="J3742" t="str">
        <f>"73"</f>
        <v>73</v>
      </c>
      <c r="K3742">
        <v>20181207</v>
      </c>
      <c r="L3742" t="str">
        <f>"074855"</f>
        <v>074855</v>
      </c>
      <c r="M3742" t="str">
        <f>"19310"</f>
        <v>19310</v>
      </c>
      <c r="N3742" t="s">
        <v>1689</v>
      </c>
      <c r="O3742">
        <v>335.12</v>
      </c>
      <c r="P3742">
        <v>20181206</v>
      </c>
      <c r="Q3742" t="s">
        <v>1891</v>
      </c>
      <c r="R3742" t="s">
        <v>2987</v>
      </c>
      <c r="S3742" t="s">
        <v>1615</v>
      </c>
      <c r="T3742" t="s">
        <v>1713</v>
      </c>
    </row>
    <row r="3743" spans="1:20" x14ac:dyDescent="0.25">
      <c r="A3743">
        <v>9</v>
      </c>
      <c r="B3743">
        <v>199</v>
      </c>
      <c r="C3743" t="str">
        <f>"41"</f>
        <v>41</v>
      </c>
      <c r="D3743">
        <v>6495</v>
      </c>
      <c r="E3743" t="str">
        <f>"10"</f>
        <v>10</v>
      </c>
      <c r="F3743" t="str">
        <f>"726"</f>
        <v>726</v>
      </c>
      <c r="G3743">
        <v>9</v>
      </c>
      <c r="H3743" t="str">
        <f t="shared" si="750"/>
        <v>99</v>
      </c>
      <c r="I3743" t="str">
        <f t="shared" ref="I3743:I3774" si="751">"0"</f>
        <v>0</v>
      </c>
      <c r="J3743" t="str">
        <f>"91"</f>
        <v>91</v>
      </c>
      <c r="K3743">
        <v>20181207</v>
      </c>
      <c r="L3743" t="str">
        <f>"074856"</f>
        <v>074856</v>
      </c>
      <c r="M3743" t="str">
        <f>"14181"</f>
        <v>14181</v>
      </c>
      <c r="N3743" t="s">
        <v>2988</v>
      </c>
      <c r="O3743">
        <v>100</v>
      </c>
      <c r="P3743">
        <v>20181206</v>
      </c>
      <c r="Q3743" t="s">
        <v>2989</v>
      </c>
      <c r="R3743" t="s">
        <v>1816</v>
      </c>
      <c r="S3743" t="s">
        <v>1615</v>
      </c>
      <c r="T3743" t="s">
        <v>2608</v>
      </c>
    </row>
    <row r="3744" spans="1:20" x14ac:dyDescent="0.25">
      <c r="A3744">
        <v>9</v>
      </c>
      <c r="B3744">
        <v>199</v>
      </c>
      <c r="C3744" t="str">
        <f>"34"</f>
        <v>34</v>
      </c>
      <c r="D3744">
        <v>6249</v>
      </c>
      <c r="E3744" t="str">
        <f>"10"</f>
        <v>10</v>
      </c>
      <c r="F3744" t="str">
        <f>"937"</f>
        <v>937</v>
      </c>
      <c r="G3744">
        <v>9</v>
      </c>
      <c r="H3744" t="str">
        <f t="shared" si="750"/>
        <v>99</v>
      </c>
      <c r="I3744" t="str">
        <f t="shared" si="751"/>
        <v>0</v>
      </c>
      <c r="J3744" t="str">
        <f>"82"</f>
        <v>82</v>
      </c>
      <c r="K3744">
        <v>20181207</v>
      </c>
      <c r="L3744" t="str">
        <f>"074857"</f>
        <v>074857</v>
      </c>
      <c r="M3744" t="str">
        <f>"21842"</f>
        <v>21842</v>
      </c>
      <c r="N3744" t="s">
        <v>2576</v>
      </c>
      <c r="O3744">
        <v>580</v>
      </c>
      <c r="P3744">
        <v>20181206</v>
      </c>
      <c r="Q3744" t="s">
        <v>2036</v>
      </c>
      <c r="R3744" t="s">
        <v>2990</v>
      </c>
      <c r="S3744" t="s">
        <v>1615</v>
      </c>
      <c r="T3744" t="s">
        <v>1810</v>
      </c>
    </row>
    <row r="3745" spans="1:20" x14ac:dyDescent="0.25">
      <c r="A3745">
        <v>9</v>
      </c>
      <c r="B3745">
        <v>199</v>
      </c>
      <c r="C3745" t="str">
        <f>"34"</f>
        <v>34</v>
      </c>
      <c r="D3745">
        <v>6249</v>
      </c>
      <c r="E3745" t="str">
        <f>"10"</f>
        <v>10</v>
      </c>
      <c r="F3745" t="str">
        <f>"937"</f>
        <v>937</v>
      </c>
      <c r="G3745">
        <v>9</v>
      </c>
      <c r="H3745" t="str">
        <f t="shared" si="750"/>
        <v>99</v>
      </c>
      <c r="I3745" t="str">
        <f t="shared" si="751"/>
        <v>0</v>
      </c>
      <c r="J3745" t="str">
        <f>"82"</f>
        <v>82</v>
      </c>
      <c r="K3745">
        <v>20181207</v>
      </c>
      <c r="L3745" t="str">
        <f>"074857"</f>
        <v>074857</v>
      </c>
      <c r="M3745" t="str">
        <f>"21842"</f>
        <v>21842</v>
      </c>
      <c r="N3745" t="s">
        <v>2576</v>
      </c>
      <c r="O3745">
        <v>620</v>
      </c>
      <c r="P3745">
        <v>20181206</v>
      </c>
      <c r="Q3745" t="s">
        <v>2036</v>
      </c>
      <c r="R3745" t="s">
        <v>2991</v>
      </c>
      <c r="S3745" t="s">
        <v>1615</v>
      </c>
      <c r="T3745" t="s">
        <v>1810</v>
      </c>
    </row>
    <row r="3746" spans="1:20" x14ac:dyDescent="0.25">
      <c r="A3746">
        <v>9</v>
      </c>
      <c r="B3746">
        <v>199</v>
      </c>
      <c r="C3746" t="str">
        <f>"51"</f>
        <v>51</v>
      </c>
      <c r="D3746">
        <v>6319</v>
      </c>
      <c r="E3746" t="str">
        <f>"M2"</f>
        <v>M2</v>
      </c>
      <c r="F3746" t="str">
        <f>"936"</f>
        <v>936</v>
      </c>
      <c r="G3746">
        <v>9</v>
      </c>
      <c r="H3746" t="str">
        <f t="shared" si="750"/>
        <v>99</v>
      </c>
      <c r="I3746" t="str">
        <f t="shared" si="751"/>
        <v>0</v>
      </c>
      <c r="J3746" t="str">
        <f>"81"</f>
        <v>81</v>
      </c>
      <c r="K3746">
        <v>20181207</v>
      </c>
      <c r="L3746" t="str">
        <f>"074857"</f>
        <v>074857</v>
      </c>
      <c r="M3746" t="str">
        <f>"21842"</f>
        <v>21842</v>
      </c>
      <c r="N3746" t="s">
        <v>2576</v>
      </c>
      <c r="O3746">
        <v>171.8</v>
      </c>
      <c r="P3746">
        <v>20181206</v>
      </c>
      <c r="Q3746" t="s">
        <v>2074</v>
      </c>
      <c r="R3746" t="s">
        <v>2992</v>
      </c>
      <c r="S3746" t="s">
        <v>1615</v>
      </c>
      <c r="T3746" t="s">
        <v>1713</v>
      </c>
    </row>
    <row r="3747" spans="1:20" x14ac:dyDescent="0.25">
      <c r="A3747">
        <v>9</v>
      </c>
      <c r="B3747">
        <v>199</v>
      </c>
      <c r="C3747" t="str">
        <f>"51"</f>
        <v>51</v>
      </c>
      <c r="D3747">
        <v>6399</v>
      </c>
      <c r="E3747" t="str">
        <f>"TR"</f>
        <v>TR</v>
      </c>
      <c r="F3747" t="str">
        <f>"936"</f>
        <v>936</v>
      </c>
      <c r="G3747">
        <v>9</v>
      </c>
      <c r="H3747" t="str">
        <f t="shared" si="750"/>
        <v>99</v>
      </c>
      <c r="I3747" t="str">
        <f t="shared" si="751"/>
        <v>0</v>
      </c>
      <c r="J3747" t="str">
        <f>"82"</f>
        <v>82</v>
      </c>
      <c r="K3747">
        <v>20181207</v>
      </c>
      <c r="L3747" t="str">
        <f>"074857"</f>
        <v>074857</v>
      </c>
      <c r="M3747" t="str">
        <f>"21842"</f>
        <v>21842</v>
      </c>
      <c r="N3747" t="s">
        <v>2576</v>
      </c>
      <c r="O3747">
        <v>138</v>
      </c>
      <c r="P3747">
        <v>20181206</v>
      </c>
      <c r="Q3747" t="s">
        <v>2993</v>
      </c>
      <c r="R3747" t="s">
        <v>2992</v>
      </c>
      <c r="S3747" t="s">
        <v>1615</v>
      </c>
      <c r="T3747" t="s">
        <v>1713</v>
      </c>
    </row>
    <row r="3748" spans="1:20" x14ac:dyDescent="0.25">
      <c r="A3748">
        <v>9</v>
      </c>
      <c r="B3748">
        <v>199</v>
      </c>
      <c r="C3748" t="str">
        <f>"51"</f>
        <v>51</v>
      </c>
      <c r="D3748">
        <v>6399</v>
      </c>
      <c r="E3748" t="str">
        <f>"TR"</f>
        <v>TR</v>
      </c>
      <c r="F3748" t="str">
        <f>"936"</f>
        <v>936</v>
      </c>
      <c r="G3748">
        <v>9</v>
      </c>
      <c r="H3748" t="str">
        <f t="shared" si="750"/>
        <v>99</v>
      </c>
      <c r="I3748" t="str">
        <f t="shared" si="751"/>
        <v>0</v>
      </c>
      <c r="J3748" t="str">
        <f>"82"</f>
        <v>82</v>
      </c>
      <c r="K3748">
        <v>20181207</v>
      </c>
      <c r="L3748" t="str">
        <f>"074857"</f>
        <v>074857</v>
      </c>
      <c r="M3748" t="str">
        <f>"21842"</f>
        <v>21842</v>
      </c>
      <c r="N3748" t="s">
        <v>2576</v>
      </c>
      <c r="O3748">
        <v>220.64</v>
      </c>
      <c r="P3748">
        <v>20181206</v>
      </c>
      <c r="Q3748" t="s">
        <v>2993</v>
      </c>
      <c r="R3748" t="s">
        <v>2992</v>
      </c>
      <c r="S3748" t="s">
        <v>1615</v>
      </c>
      <c r="T3748" t="s">
        <v>1713</v>
      </c>
    </row>
    <row r="3749" spans="1:20" x14ac:dyDescent="0.25">
      <c r="A3749">
        <v>9</v>
      </c>
      <c r="B3749">
        <v>199</v>
      </c>
      <c r="C3749" t="str">
        <f>"11"</f>
        <v>11</v>
      </c>
      <c r="D3749">
        <v>6399</v>
      </c>
      <c r="E3749" t="str">
        <f>"45"</f>
        <v>45</v>
      </c>
      <c r="F3749" t="str">
        <f>"041"</f>
        <v>041</v>
      </c>
      <c r="G3749">
        <v>9</v>
      </c>
      <c r="H3749" t="str">
        <f>"11"</f>
        <v>11</v>
      </c>
      <c r="I3749" t="str">
        <f t="shared" si="751"/>
        <v>0</v>
      </c>
      <c r="J3749" t="str">
        <f>"03"</f>
        <v>03</v>
      </c>
      <c r="K3749">
        <v>20181207</v>
      </c>
      <c r="L3749" t="str">
        <f>"074858"</f>
        <v>074858</v>
      </c>
      <c r="M3749" t="str">
        <f>"14821"</f>
        <v>14821</v>
      </c>
      <c r="N3749" t="s">
        <v>1224</v>
      </c>
      <c r="O3749" s="1">
        <v>1114.4000000000001</v>
      </c>
      <c r="P3749">
        <v>20181206</v>
      </c>
      <c r="Q3749" t="s">
        <v>2204</v>
      </c>
      <c r="R3749" t="s">
        <v>1225</v>
      </c>
      <c r="S3749" t="s">
        <v>1615</v>
      </c>
      <c r="T3749" t="s">
        <v>106</v>
      </c>
    </row>
    <row r="3750" spans="1:20" x14ac:dyDescent="0.25">
      <c r="A3750">
        <v>9</v>
      </c>
      <c r="B3750">
        <v>199</v>
      </c>
      <c r="C3750" t="str">
        <f>"11"</f>
        <v>11</v>
      </c>
      <c r="D3750">
        <v>6399</v>
      </c>
      <c r="E3750" t="str">
        <f>"45"</f>
        <v>45</v>
      </c>
      <c r="F3750" t="str">
        <f>"104"</f>
        <v>104</v>
      </c>
      <c r="G3750">
        <v>9</v>
      </c>
      <c r="H3750" t="str">
        <f>"11"</f>
        <v>11</v>
      </c>
      <c r="I3750" t="str">
        <f t="shared" si="751"/>
        <v>0</v>
      </c>
      <c r="J3750" t="str">
        <f>"05"</f>
        <v>05</v>
      </c>
      <c r="K3750">
        <v>20181207</v>
      </c>
      <c r="L3750" t="str">
        <f>"074858"</f>
        <v>074858</v>
      </c>
      <c r="M3750" t="str">
        <f>"14821"</f>
        <v>14821</v>
      </c>
      <c r="N3750" t="s">
        <v>1224</v>
      </c>
      <c r="O3750" s="1">
        <v>1393</v>
      </c>
      <c r="P3750">
        <v>20181206</v>
      </c>
      <c r="Q3750" t="s">
        <v>2069</v>
      </c>
      <c r="R3750" t="s">
        <v>1225</v>
      </c>
      <c r="S3750" t="s">
        <v>1615</v>
      </c>
      <c r="T3750" t="s">
        <v>46</v>
      </c>
    </row>
    <row r="3751" spans="1:20" x14ac:dyDescent="0.25">
      <c r="A3751">
        <v>9</v>
      </c>
      <c r="B3751">
        <v>199</v>
      </c>
      <c r="C3751" t="str">
        <f>"11"</f>
        <v>11</v>
      </c>
      <c r="D3751">
        <v>6399</v>
      </c>
      <c r="E3751" t="str">
        <f>"8U"</f>
        <v>8U</v>
      </c>
      <c r="F3751" t="str">
        <f>"001"</f>
        <v>001</v>
      </c>
      <c r="G3751">
        <v>9</v>
      </c>
      <c r="H3751" t="str">
        <f>"11"</f>
        <v>11</v>
      </c>
      <c r="I3751" t="str">
        <f t="shared" si="751"/>
        <v>0</v>
      </c>
      <c r="J3751" t="str">
        <f>"01"</f>
        <v>01</v>
      </c>
      <c r="K3751">
        <v>20181207</v>
      </c>
      <c r="L3751" t="str">
        <f>"074858"</f>
        <v>074858</v>
      </c>
      <c r="M3751" t="str">
        <f>"14821"</f>
        <v>14821</v>
      </c>
      <c r="N3751" t="s">
        <v>1224</v>
      </c>
      <c r="O3751" s="1">
        <v>1393</v>
      </c>
      <c r="P3751">
        <v>20181206</v>
      </c>
      <c r="Q3751" t="s">
        <v>2205</v>
      </c>
      <c r="R3751" t="s">
        <v>1225</v>
      </c>
      <c r="S3751" t="s">
        <v>1615</v>
      </c>
      <c r="T3751" t="s">
        <v>301</v>
      </c>
    </row>
    <row r="3752" spans="1:20" x14ac:dyDescent="0.25">
      <c r="A3752">
        <v>9</v>
      </c>
      <c r="B3752">
        <v>199</v>
      </c>
      <c r="C3752" t="str">
        <f>"41"</f>
        <v>41</v>
      </c>
      <c r="D3752">
        <v>6399</v>
      </c>
      <c r="E3752" t="str">
        <f>"10"</f>
        <v>10</v>
      </c>
      <c r="F3752" t="str">
        <f>"720"</f>
        <v>720</v>
      </c>
      <c r="G3752">
        <v>9</v>
      </c>
      <c r="H3752" t="str">
        <f>"99"</f>
        <v>99</v>
      </c>
      <c r="I3752" t="str">
        <f t="shared" si="751"/>
        <v>0</v>
      </c>
      <c r="J3752" t="str">
        <f>"91"</f>
        <v>91</v>
      </c>
      <c r="K3752">
        <v>20181207</v>
      </c>
      <c r="L3752" t="str">
        <f>"074858"</f>
        <v>074858</v>
      </c>
      <c r="M3752" t="str">
        <f>"14821"</f>
        <v>14821</v>
      </c>
      <c r="N3752" t="s">
        <v>1224</v>
      </c>
      <c r="O3752">
        <v>278.60000000000002</v>
      </c>
      <c r="P3752">
        <v>20181206</v>
      </c>
      <c r="Q3752" t="s">
        <v>2132</v>
      </c>
      <c r="R3752" t="s">
        <v>1225</v>
      </c>
      <c r="S3752" t="s">
        <v>1615</v>
      </c>
      <c r="T3752" t="s">
        <v>2045</v>
      </c>
    </row>
    <row r="3753" spans="1:20" x14ac:dyDescent="0.25">
      <c r="A3753">
        <v>9</v>
      </c>
      <c r="B3753">
        <v>199</v>
      </c>
      <c r="C3753" t="str">
        <f>"11"</f>
        <v>11</v>
      </c>
      <c r="D3753">
        <v>6399</v>
      </c>
      <c r="E3753" t="str">
        <f>"72"</f>
        <v>72</v>
      </c>
      <c r="F3753" t="str">
        <f>"041"</f>
        <v>041</v>
      </c>
      <c r="G3753">
        <v>9</v>
      </c>
      <c r="H3753" t="str">
        <f>"11"</f>
        <v>11</v>
      </c>
      <c r="I3753" t="str">
        <f t="shared" si="751"/>
        <v>0</v>
      </c>
      <c r="J3753" t="str">
        <f>"03"</f>
        <v>03</v>
      </c>
      <c r="K3753">
        <v>20181207</v>
      </c>
      <c r="L3753" t="str">
        <f>"074860"</f>
        <v>074860</v>
      </c>
      <c r="M3753" t="str">
        <f>"16807"</f>
        <v>16807</v>
      </c>
      <c r="N3753" t="s">
        <v>1581</v>
      </c>
      <c r="O3753">
        <v>374</v>
      </c>
      <c r="P3753">
        <v>20181206</v>
      </c>
      <c r="Q3753" t="s">
        <v>2054</v>
      </c>
      <c r="R3753" t="s">
        <v>2994</v>
      </c>
      <c r="S3753" t="s">
        <v>1615</v>
      </c>
      <c r="T3753" t="s">
        <v>106</v>
      </c>
    </row>
    <row r="3754" spans="1:20" x14ac:dyDescent="0.25">
      <c r="A3754">
        <v>9</v>
      </c>
      <c r="B3754">
        <v>199</v>
      </c>
      <c r="C3754" t="str">
        <f>"11"</f>
        <v>11</v>
      </c>
      <c r="D3754">
        <v>6649</v>
      </c>
      <c r="E3754" t="str">
        <f>"VA"</f>
        <v>VA</v>
      </c>
      <c r="F3754" t="str">
        <f>"001"</f>
        <v>001</v>
      </c>
      <c r="G3754">
        <v>9</v>
      </c>
      <c r="H3754" t="str">
        <f>"22"</f>
        <v>22</v>
      </c>
      <c r="I3754" t="str">
        <f t="shared" si="751"/>
        <v>0</v>
      </c>
      <c r="J3754" t="str">
        <f>"22"</f>
        <v>22</v>
      </c>
      <c r="K3754">
        <v>20181207</v>
      </c>
      <c r="L3754" t="str">
        <f>"074860"</f>
        <v>074860</v>
      </c>
      <c r="M3754" t="str">
        <f>"16807"</f>
        <v>16807</v>
      </c>
      <c r="N3754" t="s">
        <v>1581</v>
      </c>
      <c r="O3754" s="1">
        <v>4935</v>
      </c>
      <c r="P3754">
        <v>20181206</v>
      </c>
      <c r="Q3754" t="s">
        <v>2995</v>
      </c>
      <c r="R3754" t="s">
        <v>1583</v>
      </c>
      <c r="S3754" t="s">
        <v>1615</v>
      </c>
      <c r="T3754" t="s">
        <v>301</v>
      </c>
    </row>
    <row r="3755" spans="1:20" x14ac:dyDescent="0.25">
      <c r="A3755">
        <v>9</v>
      </c>
      <c r="B3755">
        <v>199</v>
      </c>
      <c r="C3755" t="str">
        <f>"11"</f>
        <v>11</v>
      </c>
      <c r="D3755">
        <v>6649</v>
      </c>
      <c r="E3755" t="str">
        <f>"VA"</f>
        <v>VA</v>
      </c>
      <c r="F3755" t="str">
        <f>"001"</f>
        <v>001</v>
      </c>
      <c r="G3755">
        <v>9</v>
      </c>
      <c r="H3755" t="str">
        <f>"22"</f>
        <v>22</v>
      </c>
      <c r="I3755" t="str">
        <f t="shared" si="751"/>
        <v>0</v>
      </c>
      <c r="J3755" t="str">
        <f>"22"</f>
        <v>22</v>
      </c>
      <c r="K3755">
        <v>20181207</v>
      </c>
      <c r="L3755" t="str">
        <f>"074860"</f>
        <v>074860</v>
      </c>
      <c r="M3755" t="str">
        <f>"16807"</f>
        <v>16807</v>
      </c>
      <c r="N3755" t="s">
        <v>1581</v>
      </c>
      <c r="O3755">
        <v>397.5</v>
      </c>
      <c r="P3755">
        <v>20181206</v>
      </c>
      <c r="Q3755" t="s">
        <v>2995</v>
      </c>
      <c r="R3755" t="s">
        <v>1582</v>
      </c>
      <c r="S3755" t="s">
        <v>1615</v>
      </c>
      <c r="T3755" t="s">
        <v>301</v>
      </c>
    </row>
    <row r="3756" spans="1:20" x14ac:dyDescent="0.25">
      <c r="A3756">
        <v>9</v>
      </c>
      <c r="B3756">
        <v>199</v>
      </c>
      <c r="C3756" t="str">
        <f>"11"</f>
        <v>11</v>
      </c>
      <c r="D3756">
        <v>6299</v>
      </c>
      <c r="E3756" t="str">
        <f>"7E"</f>
        <v>7E</v>
      </c>
      <c r="F3756" t="str">
        <f>"001"</f>
        <v>001</v>
      </c>
      <c r="G3756">
        <v>9</v>
      </c>
      <c r="H3756" t="str">
        <f>"11"</f>
        <v>11</v>
      </c>
      <c r="I3756" t="str">
        <f t="shared" si="751"/>
        <v>0</v>
      </c>
      <c r="J3756" t="str">
        <f>"31"</f>
        <v>31</v>
      </c>
      <c r="K3756">
        <v>20181207</v>
      </c>
      <c r="L3756" t="str">
        <f>"074861"</f>
        <v>074861</v>
      </c>
      <c r="M3756" t="str">
        <f>"46281"</f>
        <v>46281</v>
      </c>
      <c r="N3756" t="s">
        <v>2996</v>
      </c>
      <c r="O3756">
        <v>150</v>
      </c>
      <c r="P3756">
        <v>20181206</v>
      </c>
      <c r="Q3756" t="s">
        <v>1873</v>
      </c>
      <c r="R3756" t="s">
        <v>2997</v>
      </c>
      <c r="S3756" t="s">
        <v>1615</v>
      </c>
      <c r="T3756" t="s">
        <v>301</v>
      </c>
    </row>
    <row r="3757" spans="1:20" x14ac:dyDescent="0.25">
      <c r="A3757">
        <v>9</v>
      </c>
      <c r="B3757">
        <v>199</v>
      </c>
      <c r="C3757" t="str">
        <f>"11"</f>
        <v>11</v>
      </c>
      <c r="D3757">
        <v>6399</v>
      </c>
      <c r="E3757" t="str">
        <f>"7K"</f>
        <v>7K</v>
      </c>
      <c r="F3757" t="str">
        <f>"001"</f>
        <v>001</v>
      </c>
      <c r="G3757">
        <v>9</v>
      </c>
      <c r="H3757" t="str">
        <f>"11"</f>
        <v>11</v>
      </c>
      <c r="I3757" t="str">
        <f t="shared" si="751"/>
        <v>0</v>
      </c>
      <c r="J3757" t="str">
        <f>"01"</f>
        <v>01</v>
      </c>
      <c r="K3757">
        <v>20181207</v>
      </c>
      <c r="L3757" t="str">
        <f>"074861"</f>
        <v>074861</v>
      </c>
      <c r="M3757" t="str">
        <f>"46281"</f>
        <v>46281</v>
      </c>
      <c r="N3757" t="s">
        <v>2996</v>
      </c>
      <c r="O3757" s="1">
        <v>4100</v>
      </c>
      <c r="P3757">
        <v>20181206</v>
      </c>
      <c r="Q3757" t="s">
        <v>1671</v>
      </c>
      <c r="R3757" t="s">
        <v>2998</v>
      </c>
      <c r="S3757" t="s">
        <v>1615</v>
      </c>
      <c r="T3757" t="s">
        <v>301</v>
      </c>
    </row>
    <row r="3758" spans="1:20" x14ac:dyDescent="0.25">
      <c r="A3758">
        <v>9</v>
      </c>
      <c r="B3758">
        <v>199</v>
      </c>
      <c r="C3758" t="str">
        <f t="shared" ref="C3758:C3772" si="752">"51"</f>
        <v>51</v>
      </c>
      <c r="D3758">
        <v>6255</v>
      </c>
      <c r="E3758" t="str">
        <f t="shared" ref="E3758:E3764" si="753">"10"</f>
        <v>10</v>
      </c>
      <c r="F3758" t="str">
        <f>"001"</f>
        <v>001</v>
      </c>
      <c r="G3758">
        <v>9</v>
      </c>
      <c r="H3758" t="str">
        <f t="shared" ref="H3758:H3772" si="754">"99"</f>
        <v>99</v>
      </c>
      <c r="I3758" t="str">
        <f t="shared" si="751"/>
        <v>0</v>
      </c>
      <c r="J3758" t="str">
        <f t="shared" ref="J3758:J3772" si="755">"73"</f>
        <v>73</v>
      </c>
      <c r="K3758">
        <v>20181207</v>
      </c>
      <c r="L3758" t="str">
        <f t="shared" ref="L3758:L3772" si="756">"074864"</f>
        <v>074864</v>
      </c>
      <c r="M3758" t="str">
        <f t="shared" ref="M3758:M3772" si="757">"20706"</f>
        <v>20706</v>
      </c>
      <c r="N3758" t="s">
        <v>2003</v>
      </c>
      <c r="O3758" s="1">
        <v>4391.8999999999996</v>
      </c>
      <c r="P3758">
        <v>20181206</v>
      </c>
      <c r="Q3758" t="s">
        <v>2004</v>
      </c>
      <c r="R3758" t="s">
        <v>2999</v>
      </c>
      <c r="S3758" t="s">
        <v>1615</v>
      </c>
      <c r="T3758" t="s">
        <v>301</v>
      </c>
    </row>
    <row r="3759" spans="1:20" x14ac:dyDescent="0.25">
      <c r="A3759">
        <v>9</v>
      </c>
      <c r="B3759">
        <v>199</v>
      </c>
      <c r="C3759" t="str">
        <f t="shared" si="752"/>
        <v>51</v>
      </c>
      <c r="D3759">
        <v>6255</v>
      </c>
      <c r="E3759" t="str">
        <f t="shared" si="753"/>
        <v>10</v>
      </c>
      <c r="F3759" t="str">
        <f>"002"</f>
        <v>002</v>
      </c>
      <c r="G3759">
        <v>9</v>
      </c>
      <c r="H3759" t="str">
        <f t="shared" si="754"/>
        <v>99</v>
      </c>
      <c r="I3759" t="str">
        <f t="shared" si="751"/>
        <v>0</v>
      </c>
      <c r="J3759" t="str">
        <f t="shared" si="755"/>
        <v>73</v>
      </c>
      <c r="K3759">
        <v>20181207</v>
      </c>
      <c r="L3759" t="str">
        <f t="shared" si="756"/>
        <v>074864</v>
      </c>
      <c r="M3759" t="str">
        <f t="shared" si="757"/>
        <v>20706</v>
      </c>
      <c r="N3759" t="s">
        <v>2003</v>
      </c>
      <c r="O3759">
        <v>62.94</v>
      </c>
      <c r="P3759">
        <v>20181206</v>
      </c>
      <c r="Q3759" t="s">
        <v>2006</v>
      </c>
      <c r="R3759" t="s">
        <v>3000</v>
      </c>
      <c r="S3759" t="s">
        <v>1615</v>
      </c>
      <c r="T3759" t="s">
        <v>1485</v>
      </c>
    </row>
    <row r="3760" spans="1:20" x14ac:dyDescent="0.25">
      <c r="A3760">
        <v>9</v>
      </c>
      <c r="B3760">
        <v>199</v>
      </c>
      <c r="C3760" t="str">
        <f t="shared" si="752"/>
        <v>51</v>
      </c>
      <c r="D3760">
        <v>6255</v>
      </c>
      <c r="E3760" t="str">
        <f t="shared" si="753"/>
        <v>10</v>
      </c>
      <c r="F3760" t="str">
        <f>"041"</f>
        <v>041</v>
      </c>
      <c r="G3760">
        <v>9</v>
      </c>
      <c r="H3760" t="str">
        <f t="shared" si="754"/>
        <v>99</v>
      </c>
      <c r="I3760" t="str">
        <f t="shared" si="751"/>
        <v>0</v>
      </c>
      <c r="J3760" t="str">
        <f t="shared" si="755"/>
        <v>73</v>
      </c>
      <c r="K3760">
        <v>20181207</v>
      </c>
      <c r="L3760" t="str">
        <f t="shared" si="756"/>
        <v>074864</v>
      </c>
      <c r="M3760" t="str">
        <f t="shared" si="757"/>
        <v>20706</v>
      </c>
      <c r="N3760" t="s">
        <v>2003</v>
      </c>
      <c r="O3760">
        <v>925.62</v>
      </c>
      <c r="P3760">
        <v>20181206</v>
      </c>
      <c r="Q3760" t="s">
        <v>2008</v>
      </c>
      <c r="R3760" t="s">
        <v>3001</v>
      </c>
      <c r="S3760" t="s">
        <v>1615</v>
      </c>
      <c r="T3760" t="s">
        <v>106</v>
      </c>
    </row>
    <row r="3761" spans="1:20" x14ac:dyDescent="0.25">
      <c r="A3761">
        <v>9</v>
      </c>
      <c r="B3761">
        <v>199</v>
      </c>
      <c r="C3761" t="str">
        <f t="shared" si="752"/>
        <v>51</v>
      </c>
      <c r="D3761">
        <v>6255</v>
      </c>
      <c r="E3761" t="str">
        <f t="shared" si="753"/>
        <v>10</v>
      </c>
      <c r="F3761" t="str">
        <f>"101"</f>
        <v>101</v>
      </c>
      <c r="G3761">
        <v>9</v>
      </c>
      <c r="H3761" t="str">
        <f t="shared" si="754"/>
        <v>99</v>
      </c>
      <c r="I3761" t="str">
        <f t="shared" si="751"/>
        <v>0</v>
      </c>
      <c r="J3761" t="str">
        <f t="shared" si="755"/>
        <v>73</v>
      </c>
      <c r="K3761">
        <v>20181207</v>
      </c>
      <c r="L3761" t="str">
        <f t="shared" si="756"/>
        <v>074864</v>
      </c>
      <c r="M3761" t="str">
        <f t="shared" si="757"/>
        <v>20706</v>
      </c>
      <c r="N3761" t="s">
        <v>2003</v>
      </c>
      <c r="O3761" s="1">
        <v>1785.32</v>
      </c>
      <c r="P3761">
        <v>20181206</v>
      </c>
      <c r="Q3761" t="s">
        <v>2010</v>
      </c>
      <c r="R3761" t="s">
        <v>3002</v>
      </c>
      <c r="S3761" t="s">
        <v>1615</v>
      </c>
      <c r="T3761" t="s">
        <v>1479</v>
      </c>
    </row>
    <row r="3762" spans="1:20" x14ac:dyDescent="0.25">
      <c r="A3762">
        <v>9</v>
      </c>
      <c r="B3762">
        <v>199</v>
      </c>
      <c r="C3762" t="str">
        <f t="shared" si="752"/>
        <v>51</v>
      </c>
      <c r="D3762">
        <v>6255</v>
      </c>
      <c r="E3762" t="str">
        <f t="shared" si="753"/>
        <v>10</v>
      </c>
      <c r="F3762" t="str">
        <f>"104"</f>
        <v>104</v>
      </c>
      <c r="G3762">
        <v>9</v>
      </c>
      <c r="H3762" t="str">
        <f t="shared" si="754"/>
        <v>99</v>
      </c>
      <c r="I3762" t="str">
        <f t="shared" si="751"/>
        <v>0</v>
      </c>
      <c r="J3762" t="str">
        <f t="shared" si="755"/>
        <v>73</v>
      </c>
      <c r="K3762">
        <v>20181207</v>
      </c>
      <c r="L3762" t="str">
        <f t="shared" si="756"/>
        <v>074864</v>
      </c>
      <c r="M3762" t="str">
        <f t="shared" si="757"/>
        <v>20706</v>
      </c>
      <c r="N3762" t="s">
        <v>2003</v>
      </c>
      <c r="O3762" s="1">
        <v>1328.59</v>
      </c>
      <c r="P3762">
        <v>20181206</v>
      </c>
      <c r="Q3762" t="s">
        <v>2012</v>
      </c>
      <c r="R3762" t="s">
        <v>3003</v>
      </c>
      <c r="S3762" t="s">
        <v>1615</v>
      </c>
      <c r="T3762" t="s">
        <v>46</v>
      </c>
    </row>
    <row r="3763" spans="1:20" x14ac:dyDescent="0.25">
      <c r="A3763">
        <v>9</v>
      </c>
      <c r="B3763">
        <v>199</v>
      </c>
      <c r="C3763" t="str">
        <f t="shared" si="752"/>
        <v>51</v>
      </c>
      <c r="D3763">
        <v>6255</v>
      </c>
      <c r="E3763" t="str">
        <f t="shared" si="753"/>
        <v>10</v>
      </c>
      <c r="F3763" t="str">
        <f>"935"</f>
        <v>935</v>
      </c>
      <c r="G3763">
        <v>9</v>
      </c>
      <c r="H3763" t="str">
        <f t="shared" si="754"/>
        <v>99</v>
      </c>
      <c r="I3763" t="str">
        <f t="shared" si="751"/>
        <v>0</v>
      </c>
      <c r="J3763" t="str">
        <f t="shared" si="755"/>
        <v>73</v>
      </c>
      <c r="K3763">
        <v>20181207</v>
      </c>
      <c r="L3763" t="str">
        <f t="shared" si="756"/>
        <v>074864</v>
      </c>
      <c r="M3763" t="str">
        <f t="shared" si="757"/>
        <v>20706</v>
      </c>
      <c r="N3763" t="s">
        <v>2003</v>
      </c>
      <c r="O3763">
        <v>441.43</v>
      </c>
      <c r="P3763">
        <v>20181206</v>
      </c>
      <c r="Q3763" t="s">
        <v>2014</v>
      </c>
      <c r="R3763" t="s">
        <v>3004</v>
      </c>
      <c r="S3763" t="s">
        <v>1615</v>
      </c>
      <c r="T3763" t="s">
        <v>1876</v>
      </c>
    </row>
    <row r="3764" spans="1:20" x14ac:dyDescent="0.25">
      <c r="A3764">
        <v>9</v>
      </c>
      <c r="B3764">
        <v>199</v>
      </c>
      <c r="C3764" t="str">
        <f t="shared" si="752"/>
        <v>51</v>
      </c>
      <c r="D3764">
        <v>6255</v>
      </c>
      <c r="E3764" t="str">
        <f t="shared" si="753"/>
        <v>10</v>
      </c>
      <c r="F3764" t="str">
        <f>"936"</f>
        <v>936</v>
      </c>
      <c r="G3764">
        <v>9</v>
      </c>
      <c r="H3764" t="str">
        <f t="shared" si="754"/>
        <v>99</v>
      </c>
      <c r="I3764" t="str">
        <f t="shared" si="751"/>
        <v>0</v>
      </c>
      <c r="J3764" t="str">
        <f t="shared" si="755"/>
        <v>73</v>
      </c>
      <c r="K3764">
        <v>20181207</v>
      </c>
      <c r="L3764" t="str">
        <f t="shared" si="756"/>
        <v>074864</v>
      </c>
      <c r="M3764" t="str">
        <f t="shared" si="757"/>
        <v>20706</v>
      </c>
      <c r="N3764" t="s">
        <v>2003</v>
      </c>
      <c r="O3764">
        <v>111.19</v>
      </c>
      <c r="P3764">
        <v>20181206</v>
      </c>
      <c r="Q3764" t="s">
        <v>2016</v>
      </c>
      <c r="R3764" t="s">
        <v>3005</v>
      </c>
      <c r="S3764" t="s">
        <v>1615</v>
      </c>
      <c r="T3764" t="s">
        <v>1713</v>
      </c>
    </row>
    <row r="3765" spans="1:20" x14ac:dyDescent="0.25">
      <c r="A3765">
        <v>9</v>
      </c>
      <c r="B3765">
        <v>199</v>
      </c>
      <c r="C3765" t="str">
        <f t="shared" si="752"/>
        <v>51</v>
      </c>
      <c r="D3765">
        <v>6255</v>
      </c>
      <c r="E3765" t="str">
        <f>"11"</f>
        <v>11</v>
      </c>
      <c r="F3765" t="str">
        <f>"001"</f>
        <v>001</v>
      </c>
      <c r="G3765">
        <v>9</v>
      </c>
      <c r="H3765" t="str">
        <f t="shared" si="754"/>
        <v>99</v>
      </c>
      <c r="I3765" t="str">
        <f t="shared" si="751"/>
        <v>0</v>
      </c>
      <c r="J3765" t="str">
        <f t="shared" si="755"/>
        <v>73</v>
      </c>
      <c r="K3765">
        <v>20181207</v>
      </c>
      <c r="L3765" t="str">
        <f t="shared" si="756"/>
        <v>074864</v>
      </c>
      <c r="M3765" t="str">
        <f t="shared" si="757"/>
        <v>20706</v>
      </c>
      <c r="N3765" t="s">
        <v>2003</v>
      </c>
      <c r="O3765">
        <v>288.61</v>
      </c>
      <c r="P3765">
        <v>20181206</v>
      </c>
      <c r="Q3765" t="s">
        <v>2018</v>
      </c>
      <c r="R3765" t="s">
        <v>3006</v>
      </c>
      <c r="S3765" t="s">
        <v>1615</v>
      </c>
      <c r="T3765" t="s">
        <v>301</v>
      </c>
    </row>
    <row r="3766" spans="1:20" x14ac:dyDescent="0.25">
      <c r="A3766">
        <v>9</v>
      </c>
      <c r="B3766">
        <v>199</v>
      </c>
      <c r="C3766" t="str">
        <f t="shared" si="752"/>
        <v>51</v>
      </c>
      <c r="D3766">
        <v>6255</v>
      </c>
      <c r="E3766" t="str">
        <f>"11"</f>
        <v>11</v>
      </c>
      <c r="F3766" t="str">
        <f>"104"</f>
        <v>104</v>
      </c>
      <c r="G3766">
        <v>9</v>
      </c>
      <c r="H3766" t="str">
        <f t="shared" si="754"/>
        <v>99</v>
      </c>
      <c r="I3766" t="str">
        <f t="shared" si="751"/>
        <v>0</v>
      </c>
      <c r="J3766" t="str">
        <f t="shared" si="755"/>
        <v>73</v>
      </c>
      <c r="K3766">
        <v>20181207</v>
      </c>
      <c r="L3766" t="str">
        <f t="shared" si="756"/>
        <v>074864</v>
      </c>
      <c r="M3766" t="str">
        <f t="shared" si="757"/>
        <v>20706</v>
      </c>
      <c r="N3766" t="s">
        <v>2003</v>
      </c>
      <c r="O3766">
        <v>194.06</v>
      </c>
      <c r="P3766">
        <v>20181206</v>
      </c>
      <c r="Q3766" t="s">
        <v>2020</v>
      </c>
      <c r="R3766" t="s">
        <v>3007</v>
      </c>
      <c r="S3766" t="s">
        <v>1615</v>
      </c>
      <c r="T3766" t="s">
        <v>46</v>
      </c>
    </row>
    <row r="3767" spans="1:20" x14ac:dyDescent="0.25">
      <c r="A3767">
        <v>9</v>
      </c>
      <c r="B3767">
        <v>199</v>
      </c>
      <c r="C3767" t="str">
        <f t="shared" si="752"/>
        <v>51</v>
      </c>
      <c r="D3767">
        <v>6255</v>
      </c>
      <c r="E3767" t="str">
        <f>"3F"</f>
        <v>3F</v>
      </c>
      <c r="F3767" t="str">
        <f>"877"</f>
        <v>877</v>
      </c>
      <c r="G3767">
        <v>9</v>
      </c>
      <c r="H3767" t="str">
        <f t="shared" si="754"/>
        <v>99</v>
      </c>
      <c r="I3767" t="str">
        <f t="shared" si="751"/>
        <v>0</v>
      </c>
      <c r="J3767" t="str">
        <f t="shared" si="755"/>
        <v>73</v>
      </c>
      <c r="K3767">
        <v>20181207</v>
      </c>
      <c r="L3767" t="str">
        <f t="shared" si="756"/>
        <v>074864</v>
      </c>
      <c r="M3767" t="str">
        <f t="shared" si="757"/>
        <v>20706</v>
      </c>
      <c r="N3767" t="s">
        <v>2003</v>
      </c>
      <c r="O3767" s="1">
        <v>1987.42</v>
      </c>
      <c r="P3767">
        <v>20181206</v>
      </c>
      <c r="Q3767" t="s">
        <v>2022</v>
      </c>
      <c r="R3767" t="s">
        <v>3008</v>
      </c>
      <c r="S3767" t="s">
        <v>1615</v>
      </c>
      <c r="T3767" t="s">
        <v>2024</v>
      </c>
    </row>
    <row r="3768" spans="1:20" x14ac:dyDescent="0.25">
      <c r="A3768">
        <v>9</v>
      </c>
      <c r="B3768">
        <v>199</v>
      </c>
      <c r="C3768" t="str">
        <f t="shared" si="752"/>
        <v>51</v>
      </c>
      <c r="D3768">
        <v>6258</v>
      </c>
      <c r="E3768" t="str">
        <f>"10"</f>
        <v>10</v>
      </c>
      <c r="F3768" t="str">
        <f>"001"</f>
        <v>001</v>
      </c>
      <c r="G3768">
        <v>9</v>
      </c>
      <c r="H3768" t="str">
        <f t="shared" si="754"/>
        <v>99</v>
      </c>
      <c r="I3768" t="str">
        <f t="shared" si="751"/>
        <v>0</v>
      </c>
      <c r="J3768" t="str">
        <f t="shared" si="755"/>
        <v>73</v>
      </c>
      <c r="K3768">
        <v>20181207</v>
      </c>
      <c r="L3768" t="str">
        <f t="shared" si="756"/>
        <v>074864</v>
      </c>
      <c r="M3768" t="str">
        <f t="shared" si="757"/>
        <v>20706</v>
      </c>
      <c r="N3768" t="s">
        <v>2003</v>
      </c>
      <c r="O3768" s="1">
        <v>2279.92</v>
      </c>
      <c r="P3768">
        <v>20181206</v>
      </c>
      <c r="Q3768" t="s">
        <v>2025</v>
      </c>
      <c r="R3768" t="s">
        <v>3009</v>
      </c>
      <c r="S3768" t="s">
        <v>1615</v>
      </c>
      <c r="T3768" t="s">
        <v>301</v>
      </c>
    </row>
    <row r="3769" spans="1:20" x14ac:dyDescent="0.25">
      <c r="A3769">
        <v>9</v>
      </c>
      <c r="B3769">
        <v>199</v>
      </c>
      <c r="C3769" t="str">
        <f t="shared" si="752"/>
        <v>51</v>
      </c>
      <c r="D3769">
        <v>6258</v>
      </c>
      <c r="E3769" t="str">
        <f>"10"</f>
        <v>10</v>
      </c>
      <c r="F3769" t="str">
        <f>"041"</f>
        <v>041</v>
      </c>
      <c r="G3769">
        <v>9</v>
      </c>
      <c r="H3769" t="str">
        <f t="shared" si="754"/>
        <v>99</v>
      </c>
      <c r="I3769" t="str">
        <f t="shared" si="751"/>
        <v>0</v>
      </c>
      <c r="J3769" t="str">
        <f t="shared" si="755"/>
        <v>73</v>
      </c>
      <c r="K3769">
        <v>20181207</v>
      </c>
      <c r="L3769" t="str">
        <f t="shared" si="756"/>
        <v>074864</v>
      </c>
      <c r="M3769" t="str">
        <f t="shared" si="757"/>
        <v>20706</v>
      </c>
      <c r="N3769" t="s">
        <v>2003</v>
      </c>
      <c r="O3769">
        <v>423.48</v>
      </c>
      <c r="P3769">
        <v>20181206</v>
      </c>
      <c r="Q3769" t="s">
        <v>2027</v>
      </c>
      <c r="R3769" t="s">
        <v>3010</v>
      </c>
      <c r="S3769" t="s">
        <v>1615</v>
      </c>
      <c r="T3769" t="s">
        <v>106</v>
      </c>
    </row>
    <row r="3770" spans="1:20" x14ac:dyDescent="0.25">
      <c r="A3770">
        <v>9</v>
      </c>
      <c r="B3770">
        <v>199</v>
      </c>
      <c r="C3770" t="str">
        <f t="shared" si="752"/>
        <v>51</v>
      </c>
      <c r="D3770">
        <v>6258</v>
      </c>
      <c r="E3770" t="str">
        <f>"10"</f>
        <v>10</v>
      </c>
      <c r="F3770" t="str">
        <f>"101"</f>
        <v>101</v>
      </c>
      <c r="G3770">
        <v>9</v>
      </c>
      <c r="H3770" t="str">
        <f t="shared" si="754"/>
        <v>99</v>
      </c>
      <c r="I3770" t="str">
        <f t="shared" si="751"/>
        <v>0</v>
      </c>
      <c r="J3770" t="str">
        <f t="shared" si="755"/>
        <v>73</v>
      </c>
      <c r="K3770">
        <v>20181207</v>
      </c>
      <c r="L3770" t="str">
        <f t="shared" si="756"/>
        <v>074864</v>
      </c>
      <c r="M3770" t="str">
        <f t="shared" si="757"/>
        <v>20706</v>
      </c>
      <c r="N3770" t="s">
        <v>2003</v>
      </c>
      <c r="O3770">
        <v>233.21</v>
      </c>
      <c r="P3770">
        <v>20181206</v>
      </c>
      <c r="Q3770" t="s">
        <v>2029</v>
      </c>
      <c r="R3770" t="s">
        <v>3011</v>
      </c>
      <c r="S3770" t="s">
        <v>1615</v>
      </c>
      <c r="T3770" t="s">
        <v>1479</v>
      </c>
    </row>
    <row r="3771" spans="1:20" x14ac:dyDescent="0.25">
      <c r="A3771">
        <v>9</v>
      </c>
      <c r="B3771">
        <v>199</v>
      </c>
      <c r="C3771" t="str">
        <f t="shared" si="752"/>
        <v>51</v>
      </c>
      <c r="D3771">
        <v>6258</v>
      </c>
      <c r="E3771" t="str">
        <f>"10"</f>
        <v>10</v>
      </c>
      <c r="F3771" t="str">
        <f>"104"</f>
        <v>104</v>
      </c>
      <c r="G3771">
        <v>9</v>
      </c>
      <c r="H3771" t="str">
        <f t="shared" si="754"/>
        <v>99</v>
      </c>
      <c r="I3771" t="str">
        <f t="shared" si="751"/>
        <v>0</v>
      </c>
      <c r="J3771" t="str">
        <f t="shared" si="755"/>
        <v>73</v>
      </c>
      <c r="K3771">
        <v>20181207</v>
      </c>
      <c r="L3771" t="str">
        <f t="shared" si="756"/>
        <v>074864</v>
      </c>
      <c r="M3771" t="str">
        <f t="shared" si="757"/>
        <v>20706</v>
      </c>
      <c r="N3771" t="s">
        <v>2003</v>
      </c>
      <c r="O3771">
        <v>58.28</v>
      </c>
      <c r="P3771">
        <v>20181206</v>
      </c>
      <c r="Q3771" t="s">
        <v>2031</v>
      </c>
      <c r="R3771" t="s">
        <v>3012</v>
      </c>
      <c r="S3771" t="s">
        <v>1615</v>
      </c>
      <c r="T3771" t="s">
        <v>46</v>
      </c>
    </row>
    <row r="3772" spans="1:20" x14ac:dyDescent="0.25">
      <c r="A3772">
        <v>9</v>
      </c>
      <c r="B3772">
        <v>199</v>
      </c>
      <c r="C3772" t="str">
        <f t="shared" si="752"/>
        <v>51</v>
      </c>
      <c r="D3772">
        <v>6258</v>
      </c>
      <c r="E3772" t="str">
        <f>"11"</f>
        <v>11</v>
      </c>
      <c r="F3772" t="str">
        <f>"001"</f>
        <v>001</v>
      </c>
      <c r="G3772">
        <v>9</v>
      </c>
      <c r="H3772" t="str">
        <f t="shared" si="754"/>
        <v>99</v>
      </c>
      <c r="I3772" t="str">
        <f t="shared" si="751"/>
        <v>0</v>
      </c>
      <c r="J3772" t="str">
        <f t="shared" si="755"/>
        <v>73</v>
      </c>
      <c r="K3772">
        <v>20181207</v>
      </c>
      <c r="L3772" t="str">
        <f t="shared" si="756"/>
        <v>074864</v>
      </c>
      <c r="M3772" t="str">
        <f t="shared" si="757"/>
        <v>20706</v>
      </c>
      <c r="N3772" t="s">
        <v>2003</v>
      </c>
      <c r="O3772">
        <v>195.58</v>
      </c>
      <c r="P3772">
        <v>20181206</v>
      </c>
      <c r="Q3772" t="s">
        <v>2033</v>
      </c>
      <c r="R3772" t="s">
        <v>3013</v>
      </c>
      <c r="S3772" t="s">
        <v>1615</v>
      </c>
      <c r="T3772" t="s">
        <v>301</v>
      </c>
    </row>
    <row r="3773" spans="1:20" x14ac:dyDescent="0.25">
      <c r="A3773">
        <v>9</v>
      </c>
      <c r="B3773">
        <v>199</v>
      </c>
      <c r="C3773" t="str">
        <f>"21"</f>
        <v>21</v>
      </c>
      <c r="D3773">
        <v>6399</v>
      </c>
      <c r="E3773" t="str">
        <f>"00"</f>
        <v>00</v>
      </c>
      <c r="F3773" t="str">
        <f>"875"</f>
        <v>875</v>
      </c>
      <c r="G3773">
        <v>9</v>
      </c>
      <c r="H3773" t="str">
        <f>"23"</f>
        <v>23</v>
      </c>
      <c r="I3773" t="str">
        <f t="shared" si="751"/>
        <v>0</v>
      </c>
      <c r="J3773" t="str">
        <f>"23"</f>
        <v>23</v>
      </c>
      <c r="K3773">
        <v>20181207</v>
      </c>
      <c r="L3773" t="str">
        <f>"074865"</f>
        <v>074865</v>
      </c>
      <c r="M3773" t="str">
        <f>"21098"</f>
        <v>21098</v>
      </c>
      <c r="N3773" t="s">
        <v>2038</v>
      </c>
      <c r="O3773">
        <v>97.13</v>
      </c>
      <c r="P3773">
        <v>20181206</v>
      </c>
      <c r="Q3773" t="s">
        <v>2039</v>
      </c>
      <c r="R3773" t="s">
        <v>641</v>
      </c>
      <c r="S3773" t="s">
        <v>1615</v>
      </c>
      <c r="T3773" t="s">
        <v>2041</v>
      </c>
    </row>
    <row r="3774" spans="1:20" x14ac:dyDescent="0.25">
      <c r="A3774">
        <v>9</v>
      </c>
      <c r="B3774">
        <v>199</v>
      </c>
      <c r="C3774" t="str">
        <f>"21"</f>
        <v>21</v>
      </c>
      <c r="D3774">
        <v>6399</v>
      </c>
      <c r="E3774" t="str">
        <f>"00"</f>
        <v>00</v>
      </c>
      <c r="F3774" t="str">
        <f>"875"</f>
        <v>875</v>
      </c>
      <c r="G3774">
        <v>9</v>
      </c>
      <c r="H3774" t="str">
        <f>"23"</f>
        <v>23</v>
      </c>
      <c r="I3774" t="str">
        <f t="shared" si="751"/>
        <v>0</v>
      </c>
      <c r="J3774" t="str">
        <f>"23"</f>
        <v>23</v>
      </c>
      <c r="K3774">
        <v>20181207</v>
      </c>
      <c r="L3774" t="str">
        <f>"074865"</f>
        <v>074865</v>
      </c>
      <c r="M3774" t="str">
        <f>"21098"</f>
        <v>21098</v>
      </c>
      <c r="N3774" t="s">
        <v>2038</v>
      </c>
      <c r="O3774">
        <v>8.26</v>
      </c>
      <c r="P3774">
        <v>20181206</v>
      </c>
      <c r="Q3774" t="s">
        <v>2039</v>
      </c>
      <c r="R3774" t="s">
        <v>3014</v>
      </c>
      <c r="S3774" t="s">
        <v>1615</v>
      </c>
      <c r="T3774" t="s">
        <v>2041</v>
      </c>
    </row>
    <row r="3775" spans="1:20" x14ac:dyDescent="0.25">
      <c r="A3775">
        <v>9</v>
      </c>
      <c r="B3775">
        <v>199</v>
      </c>
      <c r="C3775" t="str">
        <f>"21"</f>
        <v>21</v>
      </c>
      <c r="D3775">
        <v>6399</v>
      </c>
      <c r="E3775" t="str">
        <f>"00"</f>
        <v>00</v>
      </c>
      <c r="F3775" t="str">
        <f>"875"</f>
        <v>875</v>
      </c>
      <c r="G3775">
        <v>9</v>
      </c>
      <c r="H3775" t="str">
        <f>"23"</f>
        <v>23</v>
      </c>
      <c r="I3775" t="str">
        <f t="shared" ref="I3775:I3803" si="758">"0"</f>
        <v>0</v>
      </c>
      <c r="J3775" t="str">
        <f>"23"</f>
        <v>23</v>
      </c>
      <c r="K3775">
        <v>20181207</v>
      </c>
      <c r="L3775" t="str">
        <f>"074865"</f>
        <v>074865</v>
      </c>
      <c r="M3775" t="str">
        <f>"21098"</f>
        <v>21098</v>
      </c>
      <c r="N3775" t="s">
        <v>2038</v>
      </c>
      <c r="O3775">
        <v>79.5</v>
      </c>
      <c r="P3775">
        <v>20181207</v>
      </c>
      <c r="Q3775" t="s">
        <v>2039</v>
      </c>
      <c r="R3775" t="s">
        <v>3015</v>
      </c>
      <c r="S3775" t="s">
        <v>1615</v>
      </c>
      <c r="T3775" t="s">
        <v>2041</v>
      </c>
    </row>
    <row r="3776" spans="1:20" x14ac:dyDescent="0.25">
      <c r="A3776">
        <v>9</v>
      </c>
      <c r="B3776">
        <v>199</v>
      </c>
      <c r="C3776" t="str">
        <f>"34"</f>
        <v>34</v>
      </c>
      <c r="D3776">
        <v>6249</v>
      </c>
      <c r="E3776" t="str">
        <f>"10"</f>
        <v>10</v>
      </c>
      <c r="F3776" t="str">
        <f>"937"</f>
        <v>937</v>
      </c>
      <c r="G3776">
        <v>9</v>
      </c>
      <c r="H3776" t="str">
        <f t="shared" ref="H3776:H3781" si="759">"99"</f>
        <v>99</v>
      </c>
      <c r="I3776" t="str">
        <f t="shared" si="758"/>
        <v>0</v>
      </c>
      <c r="J3776" t="str">
        <f>"82"</f>
        <v>82</v>
      </c>
      <c r="K3776">
        <v>20181207</v>
      </c>
      <c r="L3776" t="str">
        <f>"074867"</f>
        <v>074867</v>
      </c>
      <c r="M3776" t="str">
        <f>"21901"</f>
        <v>21901</v>
      </c>
      <c r="N3776" t="s">
        <v>2046</v>
      </c>
      <c r="O3776" s="1">
        <v>2674.14</v>
      </c>
      <c r="P3776">
        <v>20181206</v>
      </c>
      <c r="Q3776" t="s">
        <v>2036</v>
      </c>
      <c r="R3776" t="s">
        <v>3016</v>
      </c>
      <c r="S3776" t="s">
        <v>1615</v>
      </c>
      <c r="T3776" t="s">
        <v>1810</v>
      </c>
    </row>
    <row r="3777" spans="1:20" x14ac:dyDescent="0.25">
      <c r="A3777">
        <v>9</v>
      </c>
      <c r="B3777">
        <v>199</v>
      </c>
      <c r="C3777" t="str">
        <f>"34"</f>
        <v>34</v>
      </c>
      <c r="D3777">
        <v>6249</v>
      </c>
      <c r="E3777" t="str">
        <f>"10"</f>
        <v>10</v>
      </c>
      <c r="F3777" t="str">
        <f>"937"</f>
        <v>937</v>
      </c>
      <c r="G3777">
        <v>9</v>
      </c>
      <c r="H3777" t="str">
        <f t="shared" si="759"/>
        <v>99</v>
      </c>
      <c r="I3777" t="str">
        <f t="shared" si="758"/>
        <v>0</v>
      </c>
      <c r="J3777" t="str">
        <f>"82"</f>
        <v>82</v>
      </c>
      <c r="K3777">
        <v>20181207</v>
      </c>
      <c r="L3777" t="str">
        <f>"074867"</f>
        <v>074867</v>
      </c>
      <c r="M3777" t="str">
        <f>"21901"</f>
        <v>21901</v>
      </c>
      <c r="N3777" t="s">
        <v>2046</v>
      </c>
      <c r="O3777" s="1">
        <v>1519.73</v>
      </c>
      <c r="P3777">
        <v>20181206</v>
      </c>
      <c r="Q3777" t="s">
        <v>2036</v>
      </c>
      <c r="R3777" t="s">
        <v>3017</v>
      </c>
      <c r="S3777" t="s">
        <v>1615</v>
      </c>
      <c r="T3777" t="s">
        <v>1810</v>
      </c>
    </row>
    <row r="3778" spans="1:20" x14ac:dyDescent="0.25">
      <c r="A3778">
        <v>9</v>
      </c>
      <c r="B3778">
        <v>199</v>
      </c>
      <c r="C3778" t="str">
        <f>"23"</f>
        <v>23</v>
      </c>
      <c r="D3778">
        <v>6649</v>
      </c>
      <c r="E3778" t="str">
        <f>"11"</f>
        <v>11</v>
      </c>
      <c r="F3778" t="str">
        <f>"001"</f>
        <v>001</v>
      </c>
      <c r="G3778">
        <v>9</v>
      </c>
      <c r="H3778" t="str">
        <f t="shared" si="759"/>
        <v>99</v>
      </c>
      <c r="I3778" t="str">
        <f t="shared" si="758"/>
        <v>0</v>
      </c>
      <c r="J3778" t="str">
        <f>"01"</f>
        <v>01</v>
      </c>
      <c r="K3778">
        <v>20181207</v>
      </c>
      <c r="L3778" t="str">
        <f>"074871"</f>
        <v>074871</v>
      </c>
      <c r="M3778" t="str">
        <f>"25165"</f>
        <v>25165</v>
      </c>
      <c r="N3778" t="s">
        <v>2860</v>
      </c>
      <c r="O3778" s="1">
        <v>3469.44</v>
      </c>
      <c r="P3778">
        <v>20181206</v>
      </c>
      <c r="Q3778" t="s">
        <v>3018</v>
      </c>
      <c r="R3778" t="s">
        <v>3019</v>
      </c>
      <c r="S3778" t="s">
        <v>1615</v>
      </c>
      <c r="T3778" t="s">
        <v>301</v>
      </c>
    </row>
    <row r="3779" spans="1:20" x14ac:dyDescent="0.25">
      <c r="A3779">
        <v>9</v>
      </c>
      <c r="B3779">
        <v>199</v>
      </c>
      <c r="C3779" t="str">
        <f>"31"</f>
        <v>31</v>
      </c>
      <c r="D3779">
        <v>6649</v>
      </c>
      <c r="E3779" t="str">
        <f>"7F"</f>
        <v>7F</v>
      </c>
      <c r="F3779" t="str">
        <f>"001"</f>
        <v>001</v>
      </c>
      <c r="G3779">
        <v>9</v>
      </c>
      <c r="H3779" t="str">
        <f t="shared" si="759"/>
        <v>99</v>
      </c>
      <c r="I3779" t="str">
        <f t="shared" si="758"/>
        <v>0</v>
      </c>
      <c r="J3779" t="str">
        <f>"01"</f>
        <v>01</v>
      </c>
      <c r="K3779">
        <v>20181207</v>
      </c>
      <c r="L3779" t="str">
        <f>"074871"</f>
        <v>074871</v>
      </c>
      <c r="M3779" t="str">
        <f>"25165"</f>
        <v>25165</v>
      </c>
      <c r="N3779" t="s">
        <v>2860</v>
      </c>
      <c r="O3779" s="1">
        <v>1734.72</v>
      </c>
      <c r="P3779">
        <v>20181206</v>
      </c>
      <c r="Q3779" t="s">
        <v>2861</v>
      </c>
      <c r="R3779" t="s">
        <v>3020</v>
      </c>
      <c r="S3779" t="s">
        <v>1615</v>
      </c>
      <c r="T3779" t="s">
        <v>301</v>
      </c>
    </row>
    <row r="3780" spans="1:20" x14ac:dyDescent="0.25">
      <c r="A3780">
        <v>9</v>
      </c>
      <c r="B3780">
        <v>199</v>
      </c>
      <c r="C3780" t="str">
        <f>"36"</f>
        <v>36</v>
      </c>
      <c r="D3780">
        <v>6412</v>
      </c>
      <c r="E3780" t="str">
        <f>"8S"</f>
        <v>8S</v>
      </c>
      <c r="F3780" t="str">
        <f>"001"</f>
        <v>001</v>
      </c>
      <c r="G3780">
        <v>9</v>
      </c>
      <c r="H3780" t="str">
        <f t="shared" si="759"/>
        <v>99</v>
      </c>
      <c r="I3780" t="str">
        <f t="shared" si="758"/>
        <v>0</v>
      </c>
      <c r="J3780" t="str">
        <f>"01"</f>
        <v>01</v>
      </c>
      <c r="K3780">
        <v>20181207</v>
      </c>
      <c r="L3780" t="str">
        <f>"074873"</f>
        <v>074873</v>
      </c>
      <c r="M3780" t="str">
        <f>"26386"</f>
        <v>26386</v>
      </c>
      <c r="N3780" t="s">
        <v>3021</v>
      </c>
      <c r="O3780">
        <v>565.79999999999995</v>
      </c>
      <c r="P3780">
        <v>20181206</v>
      </c>
      <c r="Q3780" t="s">
        <v>1625</v>
      </c>
      <c r="R3780" t="s">
        <v>3022</v>
      </c>
      <c r="S3780" t="s">
        <v>1615</v>
      </c>
      <c r="T3780" t="s">
        <v>301</v>
      </c>
    </row>
    <row r="3781" spans="1:20" x14ac:dyDescent="0.25">
      <c r="A3781">
        <v>9</v>
      </c>
      <c r="B3781">
        <v>199</v>
      </c>
      <c r="C3781" t="str">
        <f>"41"</f>
        <v>41</v>
      </c>
      <c r="D3781">
        <v>6212</v>
      </c>
      <c r="E3781" t="str">
        <f>"10"</f>
        <v>10</v>
      </c>
      <c r="F3781" t="str">
        <f>"726"</f>
        <v>726</v>
      </c>
      <c r="G3781">
        <v>9</v>
      </c>
      <c r="H3781" t="str">
        <f t="shared" si="759"/>
        <v>99</v>
      </c>
      <c r="I3781" t="str">
        <f t="shared" si="758"/>
        <v>0</v>
      </c>
      <c r="J3781" t="str">
        <f>"91"</f>
        <v>91</v>
      </c>
      <c r="K3781">
        <v>20181207</v>
      </c>
      <c r="L3781" t="str">
        <f>"074876"</f>
        <v>074876</v>
      </c>
      <c r="M3781" t="str">
        <f>"31771"</f>
        <v>31771</v>
      </c>
      <c r="N3781" t="s">
        <v>2612</v>
      </c>
      <c r="O3781" s="1">
        <v>16500</v>
      </c>
      <c r="P3781">
        <v>20181206</v>
      </c>
      <c r="Q3781" t="s">
        <v>2613</v>
      </c>
      <c r="R3781" t="s">
        <v>2614</v>
      </c>
      <c r="S3781" t="s">
        <v>1615</v>
      </c>
      <c r="T3781" t="s">
        <v>2608</v>
      </c>
    </row>
    <row r="3782" spans="1:20" x14ac:dyDescent="0.25">
      <c r="A3782">
        <v>9</v>
      </c>
      <c r="B3782">
        <v>199</v>
      </c>
      <c r="C3782" t="str">
        <f>"11"</f>
        <v>11</v>
      </c>
      <c r="D3782">
        <v>6495</v>
      </c>
      <c r="E3782" t="str">
        <f>"V8"</f>
        <v>V8</v>
      </c>
      <c r="F3782" t="str">
        <f>"041"</f>
        <v>041</v>
      </c>
      <c r="G3782">
        <v>9</v>
      </c>
      <c r="H3782" t="str">
        <f>"11"</f>
        <v>11</v>
      </c>
      <c r="I3782" t="str">
        <f t="shared" si="758"/>
        <v>0</v>
      </c>
      <c r="J3782" t="str">
        <f>"03"</f>
        <v>03</v>
      </c>
      <c r="K3782">
        <v>20181207</v>
      </c>
      <c r="L3782" t="str">
        <f>"074879"</f>
        <v>074879</v>
      </c>
      <c r="M3782" t="str">
        <f>"21049"</f>
        <v>21049</v>
      </c>
      <c r="N3782" t="s">
        <v>1883</v>
      </c>
      <c r="O3782">
        <v>40</v>
      </c>
      <c r="P3782">
        <v>20181206</v>
      </c>
      <c r="Q3782" t="s">
        <v>2058</v>
      </c>
      <c r="R3782" t="s">
        <v>2601</v>
      </c>
      <c r="S3782" t="s">
        <v>1615</v>
      </c>
      <c r="T3782" t="s">
        <v>106</v>
      </c>
    </row>
    <row r="3783" spans="1:20" x14ac:dyDescent="0.25">
      <c r="A3783">
        <v>9</v>
      </c>
      <c r="B3783">
        <v>199</v>
      </c>
      <c r="C3783" t="str">
        <f>"11"</f>
        <v>11</v>
      </c>
      <c r="D3783">
        <v>6495</v>
      </c>
      <c r="E3783" t="str">
        <f>"V8"</f>
        <v>V8</v>
      </c>
      <c r="F3783" t="str">
        <f>"041"</f>
        <v>041</v>
      </c>
      <c r="G3783">
        <v>9</v>
      </c>
      <c r="H3783" t="str">
        <f>"11"</f>
        <v>11</v>
      </c>
      <c r="I3783" t="str">
        <f t="shared" si="758"/>
        <v>0</v>
      </c>
      <c r="J3783" t="str">
        <f>"03"</f>
        <v>03</v>
      </c>
      <c r="K3783">
        <v>20181207</v>
      </c>
      <c r="L3783" t="str">
        <f>"074879"</f>
        <v>074879</v>
      </c>
      <c r="M3783" t="str">
        <f>"21049"</f>
        <v>21049</v>
      </c>
      <c r="N3783" t="s">
        <v>1883</v>
      </c>
      <c r="O3783">
        <v>25</v>
      </c>
      <c r="P3783">
        <v>20181206</v>
      </c>
      <c r="Q3783" t="s">
        <v>2058</v>
      </c>
      <c r="R3783" t="s">
        <v>2871</v>
      </c>
      <c r="S3783" t="s">
        <v>1615</v>
      </c>
      <c r="T3783" t="s">
        <v>106</v>
      </c>
    </row>
    <row r="3784" spans="1:20" x14ac:dyDescent="0.25">
      <c r="A3784">
        <v>9</v>
      </c>
      <c r="B3784">
        <v>199</v>
      </c>
      <c r="C3784" t="str">
        <f>"00"</f>
        <v>00</v>
      </c>
      <c r="D3784">
        <v>1312</v>
      </c>
      <c r="E3784" t="str">
        <f>"00"</f>
        <v>00</v>
      </c>
      <c r="F3784" t="str">
        <f>"000"</f>
        <v>000</v>
      </c>
      <c r="G3784">
        <v>9</v>
      </c>
      <c r="H3784" t="str">
        <f>"00"</f>
        <v>00</v>
      </c>
      <c r="I3784" t="str">
        <f t="shared" si="758"/>
        <v>0</v>
      </c>
      <c r="J3784" t="str">
        <f>"00"</f>
        <v>00</v>
      </c>
      <c r="K3784">
        <v>20181207</v>
      </c>
      <c r="L3784" t="str">
        <f>"074880"</f>
        <v>074880</v>
      </c>
      <c r="M3784" t="str">
        <f>"29610"</f>
        <v>29610</v>
      </c>
      <c r="N3784" t="s">
        <v>2067</v>
      </c>
      <c r="O3784" s="1">
        <v>1920</v>
      </c>
      <c r="P3784">
        <v>20181206</v>
      </c>
      <c r="Q3784" t="s">
        <v>1860</v>
      </c>
      <c r="R3784" t="s">
        <v>3023</v>
      </c>
      <c r="S3784" t="s">
        <v>1615</v>
      </c>
      <c r="T3784" t="s">
        <v>296</v>
      </c>
    </row>
    <row r="3785" spans="1:20" x14ac:dyDescent="0.25">
      <c r="A3785">
        <v>9</v>
      </c>
      <c r="B3785">
        <v>199</v>
      </c>
      <c r="C3785" t="str">
        <f>"00"</f>
        <v>00</v>
      </c>
      <c r="D3785">
        <v>1312</v>
      </c>
      <c r="E3785" t="str">
        <f>"00"</f>
        <v>00</v>
      </c>
      <c r="F3785" t="str">
        <f>"000"</f>
        <v>000</v>
      </c>
      <c r="G3785">
        <v>9</v>
      </c>
      <c r="H3785" t="str">
        <f>"00"</f>
        <v>00</v>
      </c>
      <c r="I3785" t="str">
        <f t="shared" si="758"/>
        <v>0</v>
      </c>
      <c r="J3785" t="str">
        <f>"00"</f>
        <v>00</v>
      </c>
      <c r="K3785">
        <v>20181207</v>
      </c>
      <c r="L3785" t="str">
        <f>"074880"</f>
        <v>074880</v>
      </c>
      <c r="M3785" t="str">
        <f>"29610"</f>
        <v>29610</v>
      </c>
      <c r="N3785" t="s">
        <v>2067</v>
      </c>
      <c r="O3785">
        <v>199.5</v>
      </c>
      <c r="P3785">
        <v>20181206</v>
      </c>
      <c r="Q3785" t="s">
        <v>1860</v>
      </c>
      <c r="R3785" t="s">
        <v>2544</v>
      </c>
      <c r="S3785" t="s">
        <v>1615</v>
      </c>
      <c r="T3785" t="s">
        <v>296</v>
      </c>
    </row>
    <row r="3786" spans="1:20" x14ac:dyDescent="0.25">
      <c r="A3786">
        <v>9</v>
      </c>
      <c r="B3786">
        <v>199</v>
      </c>
      <c r="C3786" t="str">
        <f>"11"</f>
        <v>11</v>
      </c>
      <c r="D3786">
        <v>6399</v>
      </c>
      <c r="E3786" t="str">
        <f>"45"</f>
        <v>45</v>
      </c>
      <c r="F3786" t="str">
        <f>"104"</f>
        <v>104</v>
      </c>
      <c r="G3786">
        <v>9</v>
      </c>
      <c r="H3786" t="str">
        <f>"11"</f>
        <v>11</v>
      </c>
      <c r="I3786" t="str">
        <f t="shared" si="758"/>
        <v>0</v>
      </c>
      <c r="J3786" t="str">
        <f>"05"</f>
        <v>05</v>
      </c>
      <c r="K3786">
        <v>20181207</v>
      </c>
      <c r="L3786" t="str">
        <f>"074880"</f>
        <v>074880</v>
      </c>
      <c r="M3786" t="str">
        <f>"29610"</f>
        <v>29610</v>
      </c>
      <c r="N3786" t="s">
        <v>2067</v>
      </c>
      <c r="O3786">
        <v>443.5</v>
      </c>
      <c r="P3786">
        <v>20181206</v>
      </c>
      <c r="Q3786" t="s">
        <v>2069</v>
      </c>
      <c r="R3786" t="s">
        <v>3024</v>
      </c>
      <c r="S3786" t="s">
        <v>1615</v>
      </c>
      <c r="T3786" t="s">
        <v>46</v>
      </c>
    </row>
    <row r="3787" spans="1:20" x14ac:dyDescent="0.25">
      <c r="A3787">
        <v>9</v>
      </c>
      <c r="B3787">
        <v>199</v>
      </c>
      <c r="C3787" t="str">
        <f>"34"</f>
        <v>34</v>
      </c>
      <c r="D3787">
        <v>6249</v>
      </c>
      <c r="E3787" t="str">
        <f>"10"</f>
        <v>10</v>
      </c>
      <c r="F3787" t="str">
        <f>"937"</f>
        <v>937</v>
      </c>
      <c r="G3787">
        <v>9</v>
      </c>
      <c r="H3787" t="str">
        <f t="shared" ref="H3787:H3792" si="760">"99"</f>
        <v>99</v>
      </c>
      <c r="I3787" t="str">
        <f t="shared" si="758"/>
        <v>0</v>
      </c>
      <c r="J3787" t="str">
        <f>"82"</f>
        <v>82</v>
      </c>
      <c r="K3787">
        <v>20181207</v>
      </c>
      <c r="L3787" t="str">
        <f>"074881"</f>
        <v>074881</v>
      </c>
      <c r="M3787" t="str">
        <f>"30130"</f>
        <v>30130</v>
      </c>
      <c r="N3787" t="s">
        <v>3025</v>
      </c>
      <c r="O3787">
        <v>589.08000000000004</v>
      </c>
      <c r="P3787">
        <v>20181206</v>
      </c>
      <c r="Q3787" t="s">
        <v>2036</v>
      </c>
      <c r="R3787" t="s">
        <v>3026</v>
      </c>
      <c r="S3787" t="s">
        <v>1615</v>
      </c>
      <c r="T3787" t="s">
        <v>1810</v>
      </c>
    </row>
    <row r="3788" spans="1:20" x14ac:dyDescent="0.25">
      <c r="A3788">
        <v>9</v>
      </c>
      <c r="B3788">
        <v>199</v>
      </c>
      <c r="C3788" t="str">
        <f>"34"</f>
        <v>34</v>
      </c>
      <c r="D3788">
        <v>6249</v>
      </c>
      <c r="E3788" t="str">
        <f>"10"</f>
        <v>10</v>
      </c>
      <c r="F3788" t="str">
        <f>"937"</f>
        <v>937</v>
      </c>
      <c r="G3788">
        <v>9</v>
      </c>
      <c r="H3788" t="str">
        <f t="shared" si="760"/>
        <v>99</v>
      </c>
      <c r="I3788" t="str">
        <f t="shared" si="758"/>
        <v>0</v>
      </c>
      <c r="J3788" t="str">
        <f>"82"</f>
        <v>82</v>
      </c>
      <c r="K3788">
        <v>20181207</v>
      </c>
      <c r="L3788" t="str">
        <f>"074881"</f>
        <v>074881</v>
      </c>
      <c r="M3788" t="str">
        <f>"30130"</f>
        <v>30130</v>
      </c>
      <c r="N3788" t="s">
        <v>3025</v>
      </c>
      <c r="O3788" s="1">
        <v>1300.51</v>
      </c>
      <c r="P3788">
        <v>20181206</v>
      </c>
      <c r="Q3788" t="s">
        <v>2036</v>
      </c>
      <c r="R3788" t="s">
        <v>3027</v>
      </c>
      <c r="S3788" t="s">
        <v>1615</v>
      </c>
      <c r="T3788" t="s">
        <v>1810</v>
      </c>
    </row>
    <row r="3789" spans="1:20" x14ac:dyDescent="0.25">
      <c r="A3789">
        <v>9</v>
      </c>
      <c r="B3789">
        <v>199</v>
      </c>
      <c r="C3789" t="str">
        <f>"34"</f>
        <v>34</v>
      </c>
      <c r="D3789">
        <v>6249</v>
      </c>
      <c r="E3789" t="str">
        <f>"10"</f>
        <v>10</v>
      </c>
      <c r="F3789" t="str">
        <f>"937"</f>
        <v>937</v>
      </c>
      <c r="G3789">
        <v>9</v>
      </c>
      <c r="H3789" t="str">
        <f t="shared" si="760"/>
        <v>99</v>
      </c>
      <c r="I3789" t="str">
        <f t="shared" si="758"/>
        <v>0</v>
      </c>
      <c r="J3789" t="str">
        <f>"82"</f>
        <v>82</v>
      </c>
      <c r="K3789">
        <v>20181207</v>
      </c>
      <c r="L3789" t="str">
        <f>"074881"</f>
        <v>074881</v>
      </c>
      <c r="M3789" t="str">
        <f>"30130"</f>
        <v>30130</v>
      </c>
      <c r="N3789" t="s">
        <v>3025</v>
      </c>
      <c r="O3789">
        <v>651.70000000000005</v>
      </c>
      <c r="P3789">
        <v>20181206</v>
      </c>
      <c r="Q3789" t="s">
        <v>2036</v>
      </c>
      <c r="R3789" t="s">
        <v>3028</v>
      </c>
      <c r="S3789" t="s">
        <v>1615</v>
      </c>
      <c r="T3789" t="s">
        <v>1810</v>
      </c>
    </row>
    <row r="3790" spans="1:20" x14ac:dyDescent="0.25">
      <c r="A3790">
        <v>9</v>
      </c>
      <c r="B3790">
        <v>199</v>
      </c>
      <c r="C3790" t="str">
        <f>"34"</f>
        <v>34</v>
      </c>
      <c r="D3790">
        <v>6249</v>
      </c>
      <c r="E3790" t="str">
        <f>"10"</f>
        <v>10</v>
      </c>
      <c r="F3790" t="str">
        <f>"937"</f>
        <v>937</v>
      </c>
      <c r="G3790">
        <v>9</v>
      </c>
      <c r="H3790" t="str">
        <f t="shared" si="760"/>
        <v>99</v>
      </c>
      <c r="I3790" t="str">
        <f t="shared" si="758"/>
        <v>0</v>
      </c>
      <c r="J3790" t="str">
        <f>"82"</f>
        <v>82</v>
      </c>
      <c r="K3790">
        <v>20181207</v>
      </c>
      <c r="L3790" t="str">
        <f>"074881"</f>
        <v>074881</v>
      </c>
      <c r="M3790" t="str">
        <f>"30130"</f>
        <v>30130</v>
      </c>
      <c r="N3790" t="s">
        <v>3025</v>
      </c>
      <c r="O3790">
        <v>785.87</v>
      </c>
      <c r="P3790">
        <v>20181206</v>
      </c>
      <c r="Q3790" t="s">
        <v>2036</v>
      </c>
      <c r="R3790" t="s">
        <v>3029</v>
      </c>
      <c r="S3790" t="s">
        <v>1615</v>
      </c>
      <c r="T3790" t="s">
        <v>1810</v>
      </c>
    </row>
    <row r="3791" spans="1:20" x14ac:dyDescent="0.25">
      <c r="A3791">
        <v>9</v>
      </c>
      <c r="B3791">
        <v>199</v>
      </c>
      <c r="C3791" t="str">
        <f>"36"</f>
        <v>36</v>
      </c>
      <c r="D3791">
        <v>6411</v>
      </c>
      <c r="E3791" t="str">
        <f>"7E"</f>
        <v>7E</v>
      </c>
      <c r="F3791" t="str">
        <f>"001"</f>
        <v>001</v>
      </c>
      <c r="G3791">
        <v>9</v>
      </c>
      <c r="H3791" t="str">
        <f t="shared" si="760"/>
        <v>99</v>
      </c>
      <c r="I3791" t="str">
        <f t="shared" si="758"/>
        <v>0</v>
      </c>
      <c r="J3791" t="str">
        <f>"31"</f>
        <v>31</v>
      </c>
      <c r="K3791">
        <v>20181207</v>
      </c>
      <c r="L3791" t="str">
        <f>"074890"</f>
        <v>074890</v>
      </c>
      <c r="M3791" t="str">
        <f>"79130"</f>
        <v>79130</v>
      </c>
      <c r="N3791" t="s">
        <v>3030</v>
      </c>
      <c r="O3791">
        <v>345.54</v>
      </c>
      <c r="P3791">
        <v>20181206</v>
      </c>
      <c r="Q3791" t="s">
        <v>1843</v>
      </c>
      <c r="R3791" t="s">
        <v>3031</v>
      </c>
      <c r="S3791" t="s">
        <v>1615</v>
      </c>
      <c r="T3791" t="s">
        <v>301</v>
      </c>
    </row>
    <row r="3792" spans="1:20" x14ac:dyDescent="0.25">
      <c r="A3792">
        <v>9</v>
      </c>
      <c r="B3792">
        <v>199</v>
      </c>
      <c r="C3792" t="str">
        <f>"36"</f>
        <v>36</v>
      </c>
      <c r="D3792">
        <v>6412</v>
      </c>
      <c r="E3792" t="str">
        <f>"7E"</f>
        <v>7E</v>
      </c>
      <c r="F3792" t="str">
        <f>"001"</f>
        <v>001</v>
      </c>
      <c r="G3792">
        <v>9</v>
      </c>
      <c r="H3792" t="str">
        <f t="shared" si="760"/>
        <v>99</v>
      </c>
      <c r="I3792" t="str">
        <f t="shared" si="758"/>
        <v>0</v>
      </c>
      <c r="J3792" t="str">
        <f>"31"</f>
        <v>31</v>
      </c>
      <c r="K3792">
        <v>20181207</v>
      </c>
      <c r="L3792" t="str">
        <f>"074890"</f>
        <v>074890</v>
      </c>
      <c r="M3792" t="str">
        <f>"79130"</f>
        <v>79130</v>
      </c>
      <c r="N3792" t="s">
        <v>3030</v>
      </c>
      <c r="O3792" s="1">
        <v>1151.8</v>
      </c>
      <c r="P3792">
        <v>20181206</v>
      </c>
      <c r="Q3792" t="s">
        <v>1655</v>
      </c>
      <c r="R3792" t="s">
        <v>3031</v>
      </c>
      <c r="S3792" t="s">
        <v>1615</v>
      </c>
      <c r="T3792" t="s">
        <v>301</v>
      </c>
    </row>
    <row r="3793" spans="1:20" x14ac:dyDescent="0.25">
      <c r="A3793">
        <v>9</v>
      </c>
      <c r="B3793">
        <v>199</v>
      </c>
      <c r="C3793" t="str">
        <f>"12"</f>
        <v>12</v>
      </c>
      <c r="D3793">
        <v>6328</v>
      </c>
      <c r="E3793" t="str">
        <f>"7U"</f>
        <v>7U</v>
      </c>
      <c r="F3793" t="str">
        <f>"001"</f>
        <v>001</v>
      </c>
      <c r="G3793">
        <v>9</v>
      </c>
      <c r="H3793" t="str">
        <f t="shared" ref="H3793:H3803" si="761">"11"</f>
        <v>11</v>
      </c>
      <c r="I3793" t="str">
        <f t="shared" si="758"/>
        <v>0</v>
      </c>
      <c r="J3793" t="str">
        <f>"01"</f>
        <v>01</v>
      </c>
      <c r="K3793">
        <v>20181207</v>
      </c>
      <c r="L3793" t="str">
        <f>"074892"</f>
        <v>074892</v>
      </c>
      <c r="M3793" t="str">
        <f>"45694"</f>
        <v>45694</v>
      </c>
      <c r="N3793" t="s">
        <v>1893</v>
      </c>
      <c r="O3793">
        <v>196</v>
      </c>
      <c r="P3793">
        <v>20181206</v>
      </c>
      <c r="Q3793" t="s">
        <v>1894</v>
      </c>
      <c r="R3793" t="s">
        <v>1945</v>
      </c>
      <c r="S3793" t="s">
        <v>1615</v>
      </c>
      <c r="T3793" t="s">
        <v>301</v>
      </c>
    </row>
    <row r="3794" spans="1:20" x14ac:dyDescent="0.25">
      <c r="A3794">
        <v>9</v>
      </c>
      <c r="B3794">
        <v>199</v>
      </c>
      <c r="C3794" t="str">
        <f>"12"</f>
        <v>12</v>
      </c>
      <c r="D3794">
        <v>6328</v>
      </c>
      <c r="E3794" t="str">
        <f>"7U"</f>
        <v>7U</v>
      </c>
      <c r="F3794" t="str">
        <f>"041"</f>
        <v>041</v>
      </c>
      <c r="G3794">
        <v>9</v>
      </c>
      <c r="H3794" t="str">
        <f t="shared" si="761"/>
        <v>11</v>
      </c>
      <c r="I3794" t="str">
        <f t="shared" si="758"/>
        <v>0</v>
      </c>
      <c r="J3794" t="str">
        <f>"03"</f>
        <v>03</v>
      </c>
      <c r="K3794">
        <v>20181207</v>
      </c>
      <c r="L3794" t="str">
        <f>"074892"</f>
        <v>074892</v>
      </c>
      <c r="M3794" t="str">
        <f>"45694"</f>
        <v>45694</v>
      </c>
      <c r="N3794" t="s">
        <v>1893</v>
      </c>
      <c r="O3794">
        <v>841.1</v>
      </c>
      <c r="P3794">
        <v>20181206</v>
      </c>
      <c r="Q3794" t="s">
        <v>3032</v>
      </c>
      <c r="R3794" t="s">
        <v>1945</v>
      </c>
      <c r="S3794" t="s">
        <v>1615</v>
      </c>
      <c r="T3794" t="s">
        <v>106</v>
      </c>
    </row>
    <row r="3795" spans="1:20" x14ac:dyDescent="0.25">
      <c r="A3795">
        <v>9</v>
      </c>
      <c r="B3795">
        <v>199</v>
      </c>
      <c r="C3795" t="str">
        <f>"12"</f>
        <v>12</v>
      </c>
      <c r="D3795">
        <v>6328</v>
      </c>
      <c r="E3795" t="str">
        <f>"7U"</f>
        <v>7U</v>
      </c>
      <c r="F3795" t="str">
        <f>"104"</f>
        <v>104</v>
      </c>
      <c r="G3795">
        <v>9</v>
      </c>
      <c r="H3795" t="str">
        <f t="shared" si="761"/>
        <v>11</v>
      </c>
      <c r="I3795" t="str">
        <f t="shared" si="758"/>
        <v>0</v>
      </c>
      <c r="J3795" t="str">
        <f>"05"</f>
        <v>05</v>
      </c>
      <c r="K3795">
        <v>20181207</v>
      </c>
      <c r="L3795" t="str">
        <f>"074892"</f>
        <v>074892</v>
      </c>
      <c r="M3795" t="str">
        <f>"45694"</f>
        <v>45694</v>
      </c>
      <c r="N3795" t="s">
        <v>1893</v>
      </c>
      <c r="O3795" s="1">
        <v>3267.1</v>
      </c>
      <c r="P3795">
        <v>20181206</v>
      </c>
      <c r="Q3795" t="s">
        <v>2846</v>
      </c>
      <c r="R3795" t="s">
        <v>1945</v>
      </c>
      <c r="S3795" t="s">
        <v>1615</v>
      </c>
      <c r="T3795" t="s">
        <v>46</v>
      </c>
    </row>
    <row r="3796" spans="1:20" x14ac:dyDescent="0.25">
      <c r="A3796">
        <v>9</v>
      </c>
      <c r="B3796">
        <v>199</v>
      </c>
      <c r="C3796" t="str">
        <f t="shared" ref="C3796:C3803" si="762">"11"</f>
        <v>11</v>
      </c>
      <c r="D3796">
        <v>6399</v>
      </c>
      <c r="E3796" t="str">
        <f>"7B"</f>
        <v>7B</v>
      </c>
      <c r="F3796" t="str">
        <f>"001"</f>
        <v>001</v>
      </c>
      <c r="G3796">
        <v>9</v>
      </c>
      <c r="H3796" t="str">
        <f t="shared" si="761"/>
        <v>11</v>
      </c>
      <c r="I3796" t="str">
        <f t="shared" si="758"/>
        <v>0</v>
      </c>
      <c r="J3796" t="str">
        <f>"32"</f>
        <v>32</v>
      </c>
      <c r="K3796">
        <v>20181207</v>
      </c>
      <c r="L3796" t="str">
        <f t="shared" ref="L3796:L3803" si="763">"074893"</f>
        <v>074893</v>
      </c>
      <c r="M3796" t="str">
        <f t="shared" ref="M3796:M3803" si="764">"57791"</f>
        <v>57791</v>
      </c>
      <c r="N3796" t="s">
        <v>2381</v>
      </c>
      <c r="O3796" s="1">
        <v>1198.99</v>
      </c>
      <c r="P3796">
        <v>20181206</v>
      </c>
      <c r="Q3796" t="s">
        <v>2239</v>
      </c>
      <c r="R3796" t="s">
        <v>3033</v>
      </c>
      <c r="S3796" t="s">
        <v>1615</v>
      </c>
      <c r="T3796" t="s">
        <v>301</v>
      </c>
    </row>
    <row r="3797" spans="1:20" x14ac:dyDescent="0.25">
      <c r="A3797">
        <v>9</v>
      </c>
      <c r="B3797">
        <v>199</v>
      </c>
      <c r="C3797" t="str">
        <f t="shared" si="762"/>
        <v>11</v>
      </c>
      <c r="D3797">
        <v>6399</v>
      </c>
      <c r="E3797" t="str">
        <f>"7B"</f>
        <v>7B</v>
      </c>
      <c r="F3797" t="str">
        <f>"001"</f>
        <v>001</v>
      </c>
      <c r="G3797">
        <v>9</v>
      </c>
      <c r="H3797" t="str">
        <f t="shared" si="761"/>
        <v>11</v>
      </c>
      <c r="I3797" t="str">
        <f t="shared" si="758"/>
        <v>0</v>
      </c>
      <c r="J3797" t="str">
        <f>"32"</f>
        <v>32</v>
      </c>
      <c r="K3797">
        <v>20181207</v>
      </c>
      <c r="L3797" t="str">
        <f t="shared" si="763"/>
        <v>074893</v>
      </c>
      <c r="M3797" t="str">
        <f t="shared" si="764"/>
        <v>57791</v>
      </c>
      <c r="N3797" t="s">
        <v>2381</v>
      </c>
      <c r="O3797">
        <v>70</v>
      </c>
      <c r="P3797">
        <v>20181206</v>
      </c>
      <c r="Q3797" t="s">
        <v>2239</v>
      </c>
      <c r="R3797" t="s">
        <v>3034</v>
      </c>
      <c r="S3797" t="s">
        <v>1615</v>
      </c>
      <c r="T3797" t="s">
        <v>301</v>
      </c>
    </row>
    <row r="3798" spans="1:20" x14ac:dyDescent="0.25">
      <c r="A3798">
        <v>9</v>
      </c>
      <c r="B3798">
        <v>199</v>
      </c>
      <c r="C3798" t="str">
        <f t="shared" si="762"/>
        <v>11</v>
      </c>
      <c r="D3798">
        <v>6399</v>
      </c>
      <c r="E3798" t="str">
        <f>"7B"</f>
        <v>7B</v>
      </c>
      <c r="F3798" t="str">
        <f>"001"</f>
        <v>001</v>
      </c>
      <c r="G3798">
        <v>9</v>
      </c>
      <c r="H3798" t="str">
        <f t="shared" si="761"/>
        <v>11</v>
      </c>
      <c r="I3798" t="str">
        <f t="shared" si="758"/>
        <v>0</v>
      </c>
      <c r="J3798" t="str">
        <f>"32"</f>
        <v>32</v>
      </c>
      <c r="K3798">
        <v>20181207</v>
      </c>
      <c r="L3798" t="str">
        <f t="shared" si="763"/>
        <v>074893</v>
      </c>
      <c r="M3798" t="str">
        <f t="shared" si="764"/>
        <v>57791</v>
      </c>
      <c r="N3798" t="s">
        <v>2381</v>
      </c>
      <c r="O3798">
        <v>222</v>
      </c>
      <c r="P3798">
        <v>20181206</v>
      </c>
      <c r="Q3798" t="s">
        <v>2239</v>
      </c>
      <c r="R3798" t="s">
        <v>3033</v>
      </c>
      <c r="S3798" t="s">
        <v>1615</v>
      </c>
      <c r="T3798" t="s">
        <v>301</v>
      </c>
    </row>
    <row r="3799" spans="1:20" x14ac:dyDescent="0.25">
      <c r="A3799">
        <v>9</v>
      </c>
      <c r="B3799">
        <v>199</v>
      </c>
      <c r="C3799" t="str">
        <f t="shared" si="762"/>
        <v>11</v>
      </c>
      <c r="D3799">
        <v>6399</v>
      </c>
      <c r="E3799" t="str">
        <f>"7B"</f>
        <v>7B</v>
      </c>
      <c r="F3799" t="str">
        <f>"041"</f>
        <v>041</v>
      </c>
      <c r="G3799">
        <v>9</v>
      </c>
      <c r="H3799" t="str">
        <f t="shared" si="761"/>
        <v>11</v>
      </c>
      <c r="I3799" t="str">
        <f t="shared" si="758"/>
        <v>0</v>
      </c>
      <c r="J3799" t="str">
        <f>"36"</f>
        <v>36</v>
      </c>
      <c r="K3799">
        <v>20181207</v>
      </c>
      <c r="L3799" t="str">
        <f t="shared" si="763"/>
        <v>074893</v>
      </c>
      <c r="M3799" t="str">
        <f t="shared" si="764"/>
        <v>57791</v>
      </c>
      <c r="N3799" t="s">
        <v>2381</v>
      </c>
      <c r="O3799">
        <v>345.99</v>
      </c>
      <c r="P3799">
        <v>20181206</v>
      </c>
      <c r="Q3799" t="s">
        <v>1921</v>
      </c>
      <c r="R3799" t="s">
        <v>3033</v>
      </c>
      <c r="S3799" t="s">
        <v>1615</v>
      </c>
      <c r="T3799" t="s">
        <v>106</v>
      </c>
    </row>
    <row r="3800" spans="1:20" x14ac:dyDescent="0.25">
      <c r="A3800">
        <v>9</v>
      </c>
      <c r="B3800">
        <v>199</v>
      </c>
      <c r="C3800" t="str">
        <f t="shared" si="762"/>
        <v>11</v>
      </c>
      <c r="D3800">
        <v>6399</v>
      </c>
      <c r="E3800" t="str">
        <f>"7B"</f>
        <v>7B</v>
      </c>
      <c r="F3800" t="str">
        <f>"041"</f>
        <v>041</v>
      </c>
      <c r="G3800">
        <v>9</v>
      </c>
      <c r="H3800" t="str">
        <f t="shared" si="761"/>
        <v>11</v>
      </c>
      <c r="I3800" t="str">
        <f t="shared" si="758"/>
        <v>0</v>
      </c>
      <c r="J3800" t="str">
        <f>"36"</f>
        <v>36</v>
      </c>
      <c r="K3800">
        <v>20181207</v>
      </c>
      <c r="L3800" t="str">
        <f t="shared" si="763"/>
        <v>074893</v>
      </c>
      <c r="M3800" t="str">
        <f t="shared" si="764"/>
        <v>57791</v>
      </c>
      <c r="N3800" t="s">
        <v>2381</v>
      </c>
      <c r="O3800">
        <v>68</v>
      </c>
      <c r="P3800">
        <v>20181206</v>
      </c>
      <c r="Q3800" t="s">
        <v>1921</v>
      </c>
      <c r="R3800" t="s">
        <v>3035</v>
      </c>
      <c r="S3800" t="s">
        <v>1615</v>
      </c>
      <c r="T3800" t="s">
        <v>106</v>
      </c>
    </row>
    <row r="3801" spans="1:20" x14ac:dyDescent="0.25">
      <c r="A3801">
        <v>9</v>
      </c>
      <c r="B3801">
        <v>199</v>
      </c>
      <c r="C3801" t="str">
        <f t="shared" si="762"/>
        <v>11</v>
      </c>
      <c r="D3801">
        <v>6399</v>
      </c>
      <c r="E3801" t="str">
        <f>"7E"</f>
        <v>7E</v>
      </c>
      <c r="F3801" t="str">
        <f>"001"</f>
        <v>001</v>
      </c>
      <c r="G3801">
        <v>9</v>
      </c>
      <c r="H3801" t="str">
        <f t="shared" si="761"/>
        <v>11</v>
      </c>
      <c r="I3801" t="str">
        <f t="shared" si="758"/>
        <v>0</v>
      </c>
      <c r="J3801" t="str">
        <f>"31"</f>
        <v>31</v>
      </c>
      <c r="K3801">
        <v>20181207</v>
      </c>
      <c r="L3801" t="str">
        <f t="shared" si="763"/>
        <v>074893</v>
      </c>
      <c r="M3801" t="str">
        <f t="shared" si="764"/>
        <v>57791</v>
      </c>
      <c r="N3801" t="s">
        <v>2381</v>
      </c>
      <c r="O3801" s="1">
        <v>1523.95</v>
      </c>
      <c r="P3801">
        <v>20181206</v>
      </c>
      <c r="Q3801" t="s">
        <v>2382</v>
      </c>
      <c r="R3801" t="s">
        <v>3036</v>
      </c>
      <c r="S3801" t="s">
        <v>1615</v>
      </c>
      <c r="T3801" t="s">
        <v>301</v>
      </c>
    </row>
    <row r="3802" spans="1:20" x14ac:dyDescent="0.25">
      <c r="A3802">
        <v>9</v>
      </c>
      <c r="B3802">
        <v>199</v>
      </c>
      <c r="C3802" t="str">
        <f t="shared" si="762"/>
        <v>11</v>
      </c>
      <c r="D3802">
        <v>6399</v>
      </c>
      <c r="E3802" t="str">
        <f>"7E"</f>
        <v>7E</v>
      </c>
      <c r="F3802" t="str">
        <f>"001"</f>
        <v>001</v>
      </c>
      <c r="G3802">
        <v>9</v>
      </c>
      <c r="H3802" t="str">
        <f t="shared" si="761"/>
        <v>11</v>
      </c>
      <c r="I3802" t="str">
        <f t="shared" si="758"/>
        <v>0</v>
      </c>
      <c r="J3802" t="str">
        <f>"31"</f>
        <v>31</v>
      </c>
      <c r="K3802">
        <v>20181207</v>
      </c>
      <c r="L3802" t="str">
        <f t="shared" si="763"/>
        <v>074893</v>
      </c>
      <c r="M3802" t="str">
        <f t="shared" si="764"/>
        <v>57791</v>
      </c>
      <c r="N3802" t="s">
        <v>2381</v>
      </c>
      <c r="O3802">
        <v>81.75</v>
      </c>
      <c r="P3802">
        <v>20181206</v>
      </c>
      <c r="Q3802" t="s">
        <v>2382</v>
      </c>
      <c r="R3802" t="s">
        <v>3037</v>
      </c>
      <c r="S3802" t="s">
        <v>1615</v>
      </c>
      <c r="T3802" t="s">
        <v>301</v>
      </c>
    </row>
    <row r="3803" spans="1:20" x14ac:dyDescent="0.25">
      <c r="A3803">
        <v>9</v>
      </c>
      <c r="B3803">
        <v>199</v>
      </c>
      <c r="C3803" t="str">
        <f t="shared" si="762"/>
        <v>11</v>
      </c>
      <c r="D3803">
        <v>6399</v>
      </c>
      <c r="E3803" t="str">
        <f>"7E"</f>
        <v>7E</v>
      </c>
      <c r="F3803" t="str">
        <f>"001"</f>
        <v>001</v>
      </c>
      <c r="G3803">
        <v>9</v>
      </c>
      <c r="H3803" t="str">
        <f t="shared" si="761"/>
        <v>11</v>
      </c>
      <c r="I3803" t="str">
        <f t="shared" si="758"/>
        <v>0</v>
      </c>
      <c r="J3803" t="str">
        <f>"31"</f>
        <v>31</v>
      </c>
      <c r="K3803">
        <v>20181207</v>
      </c>
      <c r="L3803" t="str">
        <f t="shared" si="763"/>
        <v>074893</v>
      </c>
      <c r="M3803" t="str">
        <f t="shared" si="764"/>
        <v>57791</v>
      </c>
      <c r="N3803" t="s">
        <v>2381</v>
      </c>
      <c r="O3803">
        <v>174</v>
      </c>
      <c r="P3803">
        <v>20181206</v>
      </c>
      <c r="Q3803" t="s">
        <v>2382</v>
      </c>
      <c r="R3803" t="s">
        <v>3038</v>
      </c>
      <c r="S3803" t="s">
        <v>1615</v>
      </c>
      <c r="T3803" t="s">
        <v>301</v>
      </c>
    </row>
    <row r="3804" spans="1:20" x14ac:dyDescent="0.25">
      <c r="A3804">
        <v>9</v>
      </c>
      <c r="B3804">
        <v>199</v>
      </c>
      <c r="C3804" t="str">
        <f>"36"</f>
        <v>36</v>
      </c>
      <c r="D3804">
        <v>6411</v>
      </c>
      <c r="E3804" t="str">
        <f>"8S"</f>
        <v>8S</v>
      </c>
      <c r="F3804" t="str">
        <f>"001"</f>
        <v>001</v>
      </c>
      <c r="G3804">
        <v>9</v>
      </c>
      <c r="H3804" t="str">
        <f>"99"</f>
        <v>99</v>
      </c>
      <c r="I3804" t="str">
        <f>"1"</f>
        <v>1</v>
      </c>
      <c r="J3804" t="str">
        <f>"01"</f>
        <v>01</v>
      </c>
      <c r="K3804">
        <v>20181207</v>
      </c>
      <c r="L3804" t="str">
        <f>"074897"</f>
        <v>074897</v>
      </c>
      <c r="M3804" t="str">
        <f>"46348"</f>
        <v>46348</v>
      </c>
      <c r="N3804" t="s">
        <v>1631</v>
      </c>
      <c r="O3804">
        <v>75</v>
      </c>
      <c r="P3804">
        <v>20181206</v>
      </c>
      <c r="Q3804" t="s">
        <v>1632</v>
      </c>
      <c r="R3804" t="s">
        <v>3022</v>
      </c>
      <c r="S3804" t="s">
        <v>1615</v>
      </c>
      <c r="T3804" t="s">
        <v>301</v>
      </c>
    </row>
    <row r="3805" spans="1:20" x14ac:dyDescent="0.25">
      <c r="A3805">
        <v>9</v>
      </c>
      <c r="B3805">
        <v>199</v>
      </c>
      <c r="C3805" t="str">
        <f>"36"</f>
        <v>36</v>
      </c>
      <c r="D3805">
        <v>6412</v>
      </c>
      <c r="E3805" t="str">
        <f>"8S"</f>
        <v>8S</v>
      </c>
      <c r="F3805" t="str">
        <f>"001"</f>
        <v>001</v>
      </c>
      <c r="G3805">
        <v>9</v>
      </c>
      <c r="H3805" t="str">
        <f>"99"</f>
        <v>99</v>
      </c>
      <c r="I3805" t="str">
        <f>"1"</f>
        <v>1</v>
      </c>
      <c r="J3805" t="str">
        <f>"01"</f>
        <v>01</v>
      </c>
      <c r="K3805">
        <v>20181207</v>
      </c>
      <c r="L3805" t="str">
        <f>"074897"</f>
        <v>074897</v>
      </c>
      <c r="M3805" t="str">
        <f>"46348"</f>
        <v>46348</v>
      </c>
      <c r="N3805" t="s">
        <v>1631</v>
      </c>
      <c r="O3805">
        <v>90</v>
      </c>
      <c r="P3805">
        <v>20181206</v>
      </c>
      <c r="Q3805" t="s">
        <v>1634</v>
      </c>
      <c r="R3805" t="s">
        <v>3022</v>
      </c>
      <c r="S3805" t="s">
        <v>1615</v>
      </c>
      <c r="T3805" t="s">
        <v>301</v>
      </c>
    </row>
    <row r="3806" spans="1:20" x14ac:dyDescent="0.25">
      <c r="A3806">
        <v>9</v>
      </c>
      <c r="B3806">
        <v>199</v>
      </c>
      <c r="C3806" t="str">
        <f>"00"</f>
        <v>00</v>
      </c>
      <c r="D3806">
        <v>1291</v>
      </c>
      <c r="E3806" t="str">
        <f>"05"</f>
        <v>05</v>
      </c>
      <c r="F3806" t="str">
        <f>"000"</f>
        <v>000</v>
      </c>
      <c r="G3806">
        <v>9</v>
      </c>
      <c r="H3806" t="str">
        <f>"00"</f>
        <v>00</v>
      </c>
      <c r="I3806" t="str">
        <f>"0"</f>
        <v>0</v>
      </c>
      <c r="J3806" t="str">
        <f>"00"</f>
        <v>00</v>
      </c>
      <c r="K3806">
        <v>20181207</v>
      </c>
      <c r="L3806" t="str">
        <f>"074898"</f>
        <v>074898</v>
      </c>
      <c r="M3806" t="str">
        <f>"46398"</f>
        <v>46398</v>
      </c>
      <c r="N3806" t="s">
        <v>1636</v>
      </c>
      <c r="O3806">
        <v>461.72</v>
      </c>
      <c r="P3806">
        <v>20181206</v>
      </c>
      <c r="Q3806" t="s">
        <v>1637</v>
      </c>
      <c r="R3806" t="s">
        <v>3039</v>
      </c>
      <c r="S3806" t="s">
        <v>1615</v>
      </c>
      <c r="T3806" t="s">
        <v>296</v>
      </c>
    </row>
    <row r="3807" spans="1:20" x14ac:dyDescent="0.25">
      <c r="A3807">
        <v>9</v>
      </c>
      <c r="B3807">
        <v>199</v>
      </c>
      <c r="C3807" t="str">
        <f>"00"</f>
        <v>00</v>
      </c>
      <c r="D3807">
        <v>1291</v>
      </c>
      <c r="E3807" t="str">
        <f>"05"</f>
        <v>05</v>
      </c>
      <c r="F3807" t="str">
        <f>"000"</f>
        <v>000</v>
      </c>
      <c r="G3807">
        <v>9</v>
      </c>
      <c r="H3807" t="str">
        <f>"00"</f>
        <v>00</v>
      </c>
      <c r="I3807" t="str">
        <f>"0"</f>
        <v>0</v>
      </c>
      <c r="J3807" t="str">
        <f>"00"</f>
        <v>00</v>
      </c>
      <c r="K3807">
        <v>20181207</v>
      </c>
      <c r="L3807" t="str">
        <f>"074898"</f>
        <v>074898</v>
      </c>
      <c r="M3807" t="str">
        <f>"46398"</f>
        <v>46398</v>
      </c>
      <c r="N3807" t="s">
        <v>1636</v>
      </c>
      <c r="O3807" s="1">
        <v>11794</v>
      </c>
      <c r="P3807">
        <v>20181206</v>
      </c>
      <c r="Q3807" t="s">
        <v>1637</v>
      </c>
      <c r="R3807" t="s">
        <v>3039</v>
      </c>
      <c r="S3807" t="s">
        <v>1615</v>
      </c>
      <c r="T3807" t="s">
        <v>296</v>
      </c>
    </row>
    <row r="3808" spans="1:20" x14ac:dyDescent="0.25">
      <c r="A3808">
        <v>9</v>
      </c>
      <c r="B3808">
        <v>199</v>
      </c>
      <c r="C3808" t="str">
        <f>"41"</f>
        <v>41</v>
      </c>
      <c r="D3808">
        <v>6245</v>
      </c>
      <c r="E3808" t="str">
        <f>"10"</f>
        <v>10</v>
      </c>
      <c r="F3808" t="str">
        <f>"933"</f>
        <v>933</v>
      </c>
      <c r="G3808">
        <v>9</v>
      </c>
      <c r="H3808" t="str">
        <f>"99"</f>
        <v>99</v>
      </c>
      <c r="I3808" t="str">
        <f>"0"</f>
        <v>0</v>
      </c>
      <c r="J3808" t="str">
        <f>"85"</f>
        <v>85</v>
      </c>
      <c r="K3808">
        <v>20181207</v>
      </c>
      <c r="L3808" t="str">
        <f>"074898"</f>
        <v>074898</v>
      </c>
      <c r="M3808" t="str">
        <f>"46398"</f>
        <v>46398</v>
      </c>
      <c r="N3808" t="s">
        <v>1636</v>
      </c>
      <c r="O3808" s="1">
        <v>2562.09</v>
      </c>
      <c r="P3808">
        <v>20181206</v>
      </c>
      <c r="Q3808" t="s">
        <v>2516</v>
      </c>
      <c r="R3808" t="s">
        <v>3039</v>
      </c>
      <c r="S3808" t="s">
        <v>1615</v>
      </c>
      <c r="T3808" t="s">
        <v>1643</v>
      </c>
    </row>
    <row r="3809" spans="1:20" x14ac:dyDescent="0.25">
      <c r="A3809">
        <v>9</v>
      </c>
      <c r="B3809">
        <v>199</v>
      </c>
      <c r="C3809" t="str">
        <f>"11"</f>
        <v>11</v>
      </c>
      <c r="D3809">
        <v>6399</v>
      </c>
      <c r="E3809" t="str">
        <f>"PK"</f>
        <v>PK</v>
      </c>
      <c r="F3809" t="str">
        <f>"101"</f>
        <v>101</v>
      </c>
      <c r="G3809">
        <v>9</v>
      </c>
      <c r="H3809" t="str">
        <f>"11"</f>
        <v>11</v>
      </c>
      <c r="I3809" t="str">
        <f>"0"</f>
        <v>0</v>
      </c>
      <c r="J3809" t="str">
        <f>"04"</f>
        <v>04</v>
      </c>
      <c r="K3809">
        <v>20181207</v>
      </c>
      <c r="L3809" t="str">
        <f>"074901"</f>
        <v>074901</v>
      </c>
      <c r="M3809" t="str">
        <f>"00638"</f>
        <v>00638</v>
      </c>
      <c r="N3809" t="s">
        <v>3040</v>
      </c>
      <c r="O3809">
        <v>235.97</v>
      </c>
      <c r="P3809">
        <v>20181206</v>
      </c>
      <c r="Q3809" t="s">
        <v>2823</v>
      </c>
      <c r="R3809" t="s">
        <v>3041</v>
      </c>
      <c r="S3809" t="s">
        <v>1615</v>
      </c>
      <c r="T3809" t="s">
        <v>1479</v>
      </c>
    </row>
    <row r="3810" spans="1:20" x14ac:dyDescent="0.25">
      <c r="A3810">
        <v>9</v>
      </c>
      <c r="B3810">
        <v>199</v>
      </c>
      <c r="C3810" t="str">
        <f>"11"</f>
        <v>11</v>
      </c>
      <c r="D3810">
        <v>6411</v>
      </c>
      <c r="E3810" t="str">
        <f>"LK"</f>
        <v>LK</v>
      </c>
      <c r="F3810" t="str">
        <f>"041"</f>
        <v>041</v>
      </c>
      <c r="G3810">
        <v>9</v>
      </c>
      <c r="H3810" t="str">
        <f>"11"</f>
        <v>11</v>
      </c>
      <c r="I3810" t="str">
        <f>"0"</f>
        <v>0</v>
      </c>
      <c r="J3810" t="str">
        <f>"03"</f>
        <v>03</v>
      </c>
      <c r="K3810">
        <v>20181207</v>
      </c>
      <c r="L3810" t="str">
        <f>"074903"</f>
        <v>074903</v>
      </c>
      <c r="M3810" t="str">
        <f>"00054"</f>
        <v>00054</v>
      </c>
      <c r="N3810" t="s">
        <v>1746</v>
      </c>
      <c r="O3810">
        <v>57.96</v>
      </c>
      <c r="P3810">
        <v>20181206</v>
      </c>
      <c r="Q3810" t="s">
        <v>3042</v>
      </c>
      <c r="R3810" t="s">
        <v>3043</v>
      </c>
      <c r="S3810" t="s">
        <v>1615</v>
      </c>
      <c r="T3810" t="s">
        <v>106</v>
      </c>
    </row>
    <row r="3811" spans="1:20" x14ac:dyDescent="0.25">
      <c r="A3811">
        <v>9</v>
      </c>
      <c r="B3811">
        <v>199</v>
      </c>
      <c r="C3811" t="str">
        <f>"23"</f>
        <v>23</v>
      </c>
      <c r="D3811">
        <v>6411</v>
      </c>
      <c r="E3811" t="str">
        <f>"10"</f>
        <v>10</v>
      </c>
      <c r="F3811" t="str">
        <f>"001"</f>
        <v>001</v>
      </c>
      <c r="G3811">
        <v>9</v>
      </c>
      <c r="H3811" t="str">
        <f t="shared" ref="H3811:H3819" si="765">"99"</f>
        <v>99</v>
      </c>
      <c r="I3811" t="str">
        <f>"1"</f>
        <v>1</v>
      </c>
      <c r="J3811" t="str">
        <f>"01"</f>
        <v>01</v>
      </c>
      <c r="K3811">
        <v>20181207</v>
      </c>
      <c r="L3811" t="str">
        <f>"074904"</f>
        <v>074904</v>
      </c>
      <c r="M3811" t="str">
        <f>"49748"</f>
        <v>49748</v>
      </c>
      <c r="N3811" t="s">
        <v>3044</v>
      </c>
      <c r="O3811">
        <v>572.32000000000005</v>
      </c>
      <c r="P3811">
        <v>20181206</v>
      </c>
      <c r="Q3811" t="s">
        <v>2464</v>
      </c>
      <c r="R3811" t="s">
        <v>3045</v>
      </c>
      <c r="S3811" t="s">
        <v>1615</v>
      </c>
      <c r="T3811" t="s">
        <v>301</v>
      </c>
    </row>
    <row r="3812" spans="1:20" x14ac:dyDescent="0.25">
      <c r="A3812">
        <v>9</v>
      </c>
      <c r="B3812">
        <v>199</v>
      </c>
      <c r="C3812" t="str">
        <f>"51"</f>
        <v>51</v>
      </c>
      <c r="D3812">
        <v>6249</v>
      </c>
      <c r="E3812" t="str">
        <f>"M8"</f>
        <v>M8</v>
      </c>
      <c r="F3812" t="str">
        <f>"936"</f>
        <v>936</v>
      </c>
      <c r="G3812">
        <v>9</v>
      </c>
      <c r="H3812" t="str">
        <f t="shared" si="765"/>
        <v>99</v>
      </c>
      <c r="I3812" t="str">
        <f t="shared" ref="I3812:I3823" si="766">"0"</f>
        <v>0</v>
      </c>
      <c r="J3812" t="str">
        <f>"81"</f>
        <v>81</v>
      </c>
      <c r="K3812">
        <v>20181207</v>
      </c>
      <c r="L3812" t="str">
        <f>"074908"</f>
        <v>074908</v>
      </c>
      <c r="M3812" t="str">
        <f>"52185"</f>
        <v>52185</v>
      </c>
      <c r="N3812" t="s">
        <v>1748</v>
      </c>
      <c r="O3812" s="1">
        <v>2034</v>
      </c>
      <c r="P3812">
        <v>20181206</v>
      </c>
      <c r="Q3812" t="s">
        <v>2096</v>
      </c>
      <c r="R3812" t="s">
        <v>3046</v>
      </c>
      <c r="S3812" t="s">
        <v>1615</v>
      </c>
      <c r="T3812" t="s">
        <v>1713</v>
      </c>
    </row>
    <row r="3813" spans="1:20" x14ac:dyDescent="0.25">
      <c r="A3813">
        <v>9</v>
      </c>
      <c r="B3813">
        <v>199</v>
      </c>
      <c r="C3813" t="str">
        <f>"41"</f>
        <v>41</v>
      </c>
      <c r="D3813">
        <v>6299</v>
      </c>
      <c r="E3813" t="str">
        <f>"10"</f>
        <v>10</v>
      </c>
      <c r="F3813" t="str">
        <f>"735"</f>
        <v>735</v>
      </c>
      <c r="G3813">
        <v>9</v>
      </c>
      <c r="H3813" t="str">
        <f t="shared" si="765"/>
        <v>99</v>
      </c>
      <c r="I3813" t="str">
        <f t="shared" si="766"/>
        <v>0</v>
      </c>
      <c r="J3813" t="str">
        <f>"96"</f>
        <v>96</v>
      </c>
      <c r="K3813">
        <v>20181207</v>
      </c>
      <c r="L3813" t="str">
        <f>"074913"</f>
        <v>074913</v>
      </c>
      <c r="M3813" t="str">
        <f>"00522"</f>
        <v>00522</v>
      </c>
      <c r="N3813" t="s">
        <v>1647</v>
      </c>
      <c r="O3813" s="1">
        <v>2100</v>
      </c>
      <c r="P3813">
        <v>20181206</v>
      </c>
      <c r="Q3813" t="s">
        <v>2101</v>
      </c>
      <c r="R3813" t="s">
        <v>3047</v>
      </c>
      <c r="S3813" t="s">
        <v>1615</v>
      </c>
      <c r="T3813" t="s">
        <v>151</v>
      </c>
    </row>
    <row r="3814" spans="1:20" x14ac:dyDescent="0.25">
      <c r="A3814">
        <v>9</v>
      </c>
      <c r="B3814">
        <v>199</v>
      </c>
      <c r="C3814" t="str">
        <f>"99"</f>
        <v>99</v>
      </c>
      <c r="D3814">
        <v>6213</v>
      </c>
      <c r="E3814" t="str">
        <f>"10"</f>
        <v>10</v>
      </c>
      <c r="F3814" t="str">
        <f>"703"</f>
        <v>703</v>
      </c>
      <c r="G3814">
        <v>9</v>
      </c>
      <c r="H3814" t="str">
        <f t="shared" si="765"/>
        <v>99</v>
      </c>
      <c r="I3814" t="str">
        <f t="shared" si="766"/>
        <v>0</v>
      </c>
      <c r="J3814" t="str">
        <f>"91"</f>
        <v>91</v>
      </c>
      <c r="K3814">
        <v>20181207</v>
      </c>
      <c r="L3814" t="str">
        <f>"074914"</f>
        <v>074914</v>
      </c>
      <c r="M3814" t="str">
        <f>"56002"</f>
        <v>56002</v>
      </c>
      <c r="N3814" t="s">
        <v>1758</v>
      </c>
      <c r="O3814" s="1">
        <v>109594</v>
      </c>
      <c r="P3814">
        <v>20181206</v>
      </c>
      <c r="Q3814" t="s">
        <v>1759</v>
      </c>
      <c r="R3814" t="s">
        <v>3048</v>
      </c>
      <c r="S3814" t="s">
        <v>1615</v>
      </c>
      <c r="T3814" t="s">
        <v>1761</v>
      </c>
    </row>
    <row r="3815" spans="1:20" x14ac:dyDescent="0.25">
      <c r="A3815">
        <v>9</v>
      </c>
      <c r="B3815">
        <v>199</v>
      </c>
      <c r="C3815" t="str">
        <f>"41"</f>
        <v>41</v>
      </c>
      <c r="D3815">
        <v>6399</v>
      </c>
      <c r="E3815" t="str">
        <f>"10"</f>
        <v>10</v>
      </c>
      <c r="F3815" t="str">
        <f>"735"</f>
        <v>735</v>
      </c>
      <c r="G3815">
        <v>9</v>
      </c>
      <c r="H3815" t="str">
        <f t="shared" si="765"/>
        <v>99</v>
      </c>
      <c r="I3815" t="str">
        <f t="shared" si="766"/>
        <v>0</v>
      </c>
      <c r="J3815" t="str">
        <f>"96"</f>
        <v>96</v>
      </c>
      <c r="K3815">
        <v>20181207</v>
      </c>
      <c r="L3815" t="str">
        <f>"074915"</f>
        <v>074915</v>
      </c>
      <c r="M3815" t="str">
        <f>"57403"</f>
        <v>57403</v>
      </c>
      <c r="N3815" t="s">
        <v>3049</v>
      </c>
      <c r="O3815">
        <v>64.27</v>
      </c>
      <c r="P3815">
        <v>20181206</v>
      </c>
      <c r="Q3815" t="s">
        <v>2839</v>
      </c>
      <c r="R3815" t="s">
        <v>3050</v>
      </c>
      <c r="S3815" t="s">
        <v>1615</v>
      </c>
      <c r="T3815" t="s">
        <v>151</v>
      </c>
    </row>
    <row r="3816" spans="1:20" x14ac:dyDescent="0.25">
      <c r="A3816">
        <v>9</v>
      </c>
      <c r="B3816">
        <v>199</v>
      </c>
      <c r="C3816" t="str">
        <f>"36"</f>
        <v>36</v>
      </c>
      <c r="D3816">
        <v>6269</v>
      </c>
      <c r="E3816" t="str">
        <f>"7B"</f>
        <v>7B</v>
      </c>
      <c r="F3816" t="str">
        <f>"001"</f>
        <v>001</v>
      </c>
      <c r="G3816">
        <v>9</v>
      </c>
      <c r="H3816" t="str">
        <f t="shared" si="765"/>
        <v>99</v>
      </c>
      <c r="I3816" t="str">
        <f t="shared" si="766"/>
        <v>0</v>
      </c>
      <c r="J3816" t="str">
        <f>"32"</f>
        <v>32</v>
      </c>
      <c r="K3816">
        <v>20181207</v>
      </c>
      <c r="L3816" t="str">
        <f>"074917"</f>
        <v>074917</v>
      </c>
      <c r="M3816" t="str">
        <f>"57697"</f>
        <v>57697</v>
      </c>
      <c r="N3816" t="s">
        <v>1902</v>
      </c>
      <c r="O3816">
        <v>481.62</v>
      </c>
      <c r="P3816">
        <v>20181206</v>
      </c>
      <c r="Q3816" t="s">
        <v>1903</v>
      </c>
      <c r="R3816" t="s">
        <v>1695</v>
      </c>
      <c r="S3816" t="s">
        <v>1615</v>
      </c>
      <c r="T3816" t="s">
        <v>301</v>
      </c>
    </row>
    <row r="3817" spans="1:20" x14ac:dyDescent="0.25">
      <c r="A3817">
        <v>9</v>
      </c>
      <c r="B3817">
        <v>199</v>
      </c>
      <c r="C3817" t="str">
        <f>"36"</f>
        <v>36</v>
      </c>
      <c r="D3817">
        <v>6269</v>
      </c>
      <c r="E3817" t="str">
        <f>"7B"</f>
        <v>7B</v>
      </c>
      <c r="F3817" t="str">
        <f>"001"</f>
        <v>001</v>
      </c>
      <c r="G3817">
        <v>9</v>
      </c>
      <c r="H3817" t="str">
        <f t="shared" si="765"/>
        <v>99</v>
      </c>
      <c r="I3817" t="str">
        <f t="shared" si="766"/>
        <v>0</v>
      </c>
      <c r="J3817" t="str">
        <f>"32"</f>
        <v>32</v>
      </c>
      <c r="K3817">
        <v>20181207</v>
      </c>
      <c r="L3817" t="str">
        <f>"074917"</f>
        <v>074917</v>
      </c>
      <c r="M3817" t="str">
        <f>"57697"</f>
        <v>57697</v>
      </c>
      <c r="N3817" t="s">
        <v>1902</v>
      </c>
      <c r="O3817">
        <v>304.89999999999998</v>
      </c>
      <c r="P3817">
        <v>20181206</v>
      </c>
      <c r="Q3817" t="s">
        <v>1903</v>
      </c>
      <c r="R3817" t="s">
        <v>2536</v>
      </c>
      <c r="S3817" t="s">
        <v>1615</v>
      </c>
      <c r="T3817" t="s">
        <v>301</v>
      </c>
    </row>
    <row r="3818" spans="1:20" x14ac:dyDescent="0.25">
      <c r="A3818">
        <v>9</v>
      </c>
      <c r="B3818">
        <v>199</v>
      </c>
      <c r="C3818" t="str">
        <f>"36"</f>
        <v>36</v>
      </c>
      <c r="D3818">
        <v>6269</v>
      </c>
      <c r="E3818" t="str">
        <f>"7B"</f>
        <v>7B</v>
      </c>
      <c r="F3818" t="str">
        <f>"001"</f>
        <v>001</v>
      </c>
      <c r="G3818">
        <v>9</v>
      </c>
      <c r="H3818" t="str">
        <f t="shared" si="765"/>
        <v>99</v>
      </c>
      <c r="I3818" t="str">
        <f t="shared" si="766"/>
        <v>0</v>
      </c>
      <c r="J3818" t="str">
        <f>"32"</f>
        <v>32</v>
      </c>
      <c r="K3818">
        <v>20181207</v>
      </c>
      <c r="L3818" t="str">
        <f>"074917"</f>
        <v>074917</v>
      </c>
      <c r="M3818" t="str">
        <f>"57697"</f>
        <v>57697</v>
      </c>
      <c r="N3818" t="s">
        <v>1902</v>
      </c>
      <c r="O3818">
        <v>240.14</v>
      </c>
      <c r="P3818">
        <v>20181206</v>
      </c>
      <c r="Q3818" t="s">
        <v>1903</v>
      </c>
      <c r="R3818" t="s">
        <v>2536</v>
      </c>
      <c r="S3818" t="s">
        <v>1615</v>
      </c>
      <c r="T3818" t="s">
        <v>301</v>
      </c>
    </row>
    <row r="3819" spans="1:20" x14ac:dyDescent="0.25">
      <c r="A3819">
        <v>9</v>
      </c>
      <c r="B3819">
        <v>199</v>
      </c>
      <c r="C3819" t="str">
        <f>"36"</f>
        <v>36</v>
      </c>
      <c r="D3819">
        <v>6269</v>
      </c>
      <c r="E3819" t="str">
        <f>"7B"</f>
        <v>7B</v>
      </c>
      <c r="F3819" t="str">
        <f>"001"</f>
        <v>001</v>
      </c>
      <c r="G3819">
        <v>9</v>
      </c>
      <c r="H3819" t="str">
        <f t="shared" si="765"/>
        <v>99</v>
      </c>
      <c r="I3819" t="str">
        <f t="shared" si="766"/>
        <v>0</v>
      </c>
      <c r="J3819" t="str">
        <f>"32"</f>
        <v>32</v>
      </c>
      <c r="K3819">
        <v>20181207</v>
      </c>
      <c r="L3819" t="str">
        <f>"074917"</f>
        <v>074917</v>
      </c>
      <c r="M3819" t="str">
        <f>"57697"</f>
        <v>57697</v>
      </c>
      <c r="N3819" t="s">
        <v>1902</v>
      </c>
      <c r="O3819">
        <v>-140.5</v>
      </c>
      <c r="P3819">
        <v>20181206</v>
      </c>
      <c r="Q3819" t="s">
        <v>1903</v>
      </c>
      <c r="R3819" t="s">
        <v>1695</v>
      </c>
      <c r="S3819" t="s">
        <v>1615</v>
      </c>
      <c r="T3819" t="s">
        <v>301</v>
      </c>
    </row>
    <row r="3820" spans="1:20" x14ac:dyDescent="0.25">
      <c r="A3820">
        <v>9</v>
      </c>
      <c r="B3820">
        <v>199</v>
      </c>
      <c r="C3820" t="str">
        <f>"11"</f>
        <v>11</v>
      </c>
      <c r="D3820">
        <v>6399</v>
      </c>
      <c r="E3820" t="str">
        <f>"45"</f>
        <v>45</v>
      </c>
      <c r="F3820" t="str">
        <f>"101"</f>
        <v>101</v>
      </c>
      <c r="G3820">
        <v>9</v>
      </c>
      <c r="H3820" t="str">
        <f>"11"</f>
        <v>11</v>
      </c>
      <c r="I3820" t="str">
        <f t="shared" si="766"/>
        <v>0</v>
      </c>
      <c r="J3820" t="str">
        <f>"04"</f>
        <v>04</v>
      </c>
      <c r="K3820">
        <v>20181207</v>
      </c>
      <c r="L3820" t="str">
        <f>"074921"</f>
        <v>074921</v>
      </c>
      <c r="M3820" t="str">
        <f>"58203"</f>
        <v>58203</v>
      </c>
      <c r="N3820" t="s">
        <v>3051</v>
      </c>
      <c r="O3820">
        <v>75.67</v>
      </c>
      <c r="P3820">
        <v>20181206</v>
      </c>
      <c r="Q3820" t="s">
        <v>1859</v>
      </c>
      <c r="R3820" t="s">
        <v>641</v>
      </c>
      <c r="S3820" t="s">
        <v>1615</v>
      </c>
      <c r="T3820" t="s">
        <v>1479</v>
      </c>
    </row>
    <row r="3821" spans="1:20" x14ac:dyDescent="0.25">
      <c r="A3821">
        <v>9</v>
      </c>
      <c r="B3821">
        <v>199</v>
      </c>
      <c r="C3821" t="str">
        <f>"23"</f>
        <v>23</v>
      </c>
      <c r="D3821">
        <v>6498</v>
      </c>
      <c r="E3821" t="str">
        <f>"10"</f>
        <v>10</v>
      </c>
      <c r="F3821" t="str">
        <f>"101"</f>
        <v>101</v>
      </c>
      <c r="G3821">
        <v>9</v>
      </c>
      <c r="H3821" t="str">
        <f>"99"</f>
        <v>99</v>
      </c>
      <c r="I3821" t="str">
        <f t="shared" si="766"/>
        <v>0</v>
      </c>
      <c r="J3821" t="str">
        <f>"04"</f>
        <v>04</v>
      </c>
      <c r="K3821">
        <v>20181207</v>
      </c>
      <c r="L3821" t="str">
        <f>"074921"</f>
        <v>074921</v>
      </c>
      <c r="M3821" t="str">
        <f>"58203"</f>
        <v>58203</v>
      </c>
      <c r="N3821" t="s">
        <v>3051</v>
      </c>
      <c r="O3821">
        <v>87.5</v>
      </c>
      <c r="P3821">
        <v>20181206</v>
      </c>
      <c r="Q3821" t="s">
        <v>2139</v>
      </c>
      <c r="R3821" t="s">
        <v>3052</v>
      </c>
      <c r="S3821" t="s">
        <v>1615</v>
      </c>
      <c r="T3821" t="s">
        <v>1479</v>
      </c>
    </row>
    <row r="3822" spans="1:20" x14ac:dyDescent="0.25">
      <c r="A3822">
        <v>9</v>
      </c>
      <c r="B3822">
        <v>199</v>
      </c>
      <c r="C3822" t="str">
        <f>"23"</f>
        <v>23</v>
      </c>
      <c r="D3822">
        <v>6498</v>
      </c>
      <c r="E3822" t="str">
        <f>"10"</f>
        <v>10</v>
      </c>
      <c r="F3822" t="str">
        <f>"101"</f>
        <v>101</v>
      </c>
      <c r="G3822">
        <v>9</v>
      </c>
      <c r="H3822" t="str">
        <f>"99"</f>
        <v>99</v>
      </c>
      <c r="I3822" t="str">
        <f t="shared" si="766"/>
        <v>0</v>
      </c>
      <c r="J3822" t="str">
        <f>"04"</f>
        <v>04</v>
      </c>
      <c r="K3822">
        <v>20181207</v>
      </c>
      <c r="L3822" t="str">
        <f>"074921"</f>
        <v>074921</v>
      </c>
      <c r="M3822" t="str">
        <f>"58203"</f>
        <v>58203</v>
      </c>
      <c r="N3822" t="s">
        <v>3051</v>
      </c>
      <c r="O3822">
        <v>44.01</v>
      </c>
      <c r="P3822">
        <v>20181206</v>
      </c>
      <c r="Q3822" t="s">
        <v>2139</v>
      </c>
      <c r="R3822" t="s">
        <v>3053</v>
      </c>
      <c r="S3822" t="s">
        <v>1615</v>
      </c>
      <c r="T3822" t="s">
        <v>1479</v>
      </c>
    </row>
    <row r="3823" spans="1:20" x14ac:dyDescent="0.25">
      <c r="A3823">
        <v>9</v>
      </c>
      <c r="B3823">
        <v>199</v>
      </c>
      <c r="C3823" t="str">
        <f>"23"</f>
        <v>23</v>
      </c>
      <c r="D3823">
        <v>6498</v>
      </c>
      <c r="E3823" t="str">
        <f>"10"</f>
        <v>10</v>
      </c>
      <c r="F3823" t="str">
        <f>"101"</f>
        <v>101</v>
      </c>
      <c r="G3823">
        <v>9</v>
      </c>
      <c r="H3823" t="str">
        <f>"99"</f>
        <v>99</v>
      </c>
      <c r="I3823" t="str">
        <f t="shared" si="766"/>
        <v>0</v>
      </c>
      <c r="J3823" t="str">
        <f>"04"</f>
        <v>04</v>
      </c>
      <c r="K3823">
        <v>20181207</v>
      </c>
      <c r="L3823" t="str">
        <f>"074921"</f>
        <v>074921</v>
      </c>
      <c r="M3823" t="str">
        <f>"58203"</f>
        <v>58203</v>
      </c>
      <c r="N3823" t="s">
        <v>3051</v>
      </c>
      <c r="O3823">
        <v>129.9</v>
      </c>
      <c r="P3823">
        <v>20181206</v>
      </c>
      <c r="Q3823" t="s">
        <v>2139</v>
      </c>
      <c r="R3823" t="s">
        <v>641</v>
      </c>
      <c r="S3823" t="s">
        <v>1615</v>
      </c>
      <c r="T3823" t="s">
        <v>1479</v>
      </c>
    </row>
    <row r="3824" spans="1:20" x14ac:dyDescent="0.25">
      <c r="A3824">
        <v>9</v>
      </c>
      <c r="B3824">
        <v>199</v>
      </c>
      <c r="C3824" t="str">
        <f>"23"</f>
        <v>23</v>
      </c>
      <c r="D3824">
        <v>6411</v>
      </c>
      <c r="E3824" t="str">
        <f>"10"</f>
        <v>10</v>
      </c>
      <c r="F3824" t="str">
        <f>"001"</f>
        <v>001</v>
      </c>
      <c r="G3824">
        <v>9</v>
      </c>
      <c r="H3824" t="str">
        <f>"99"</f>
        <v>99</v>
      </c>
      <c r="I3824" t="str">
        <f>"1"</f>
        <v>1</v>
      </c>
      <c r="J3824" t="str">
        <f>"01"</f>
        <v>01</v>
      </c>
      <c r="K3824">
        <v>20181207</v>
      </c>
      <c r="L3824" t="str">
        <f>"074922"</f>
        <v>074922</v>
      </c>
      <c r="M3824" t="str">
        <f>"59018"</f>
        <v>59018</v>
      </c>
      <c r="N3824" t="s">
        <v>2526</v>
      </c>
      <c r="O3824">
        <v>19.38</v>
      </c>
      <c r="P3824">
        <v>20181206</v>
      </c>
      <c r="Q3824" t="s">
        <v>2464</v>
      </c>
      <c r="R3824" t="s">
        <v>2975</v>
      </c>
      <c r="S3824" t="s">
        <v>1615</v>
      </c>
      <c r="T3824" t="s">
        <v>301</v>
      </c>
    </row>
    <row r="3825" spans="1:20" x14ac:dyDescent="0.25">
      <c r="A3825">
        <v>9</v>
      </c>
      <c r="B3825">
        <v>199</v>
      </c>
      <c r="C3825" t="str">
        <f>"11"</f>
        <v>11</v>
      </c>
      <c r="D3825">
        <v>6396</v>
      </c>
      <c r="E3825" t="str">
        <f>"05"</f>
        <v>05</v>
      </c>
      <c r="F3825" t="str">
        <f>"001"</f>
        <v>001</v>
      </c>
      <c r="G3825">
        <v>9</v>
      </c>
      <c r="H3825" t="str">
        <f>"11"</f>
        <v>11</v>
      </c>
      <c r="I3825" t="str">
        <f>"0"</f>
        <v>0</v>
      </c>
      <c r="J3825" t="str">
        <f>"23"</f>
        <v>23</v>
      </c>
      <c r="K3825">
        <v>20181207</v>
      </c>
      <c r="L3825" t="str">
        <f>"074923"</f>
        <v>074923</v>
      </c>
      <c r="M3825" t="str">
        <f>"60178"</f>
        <v>60178</v>
      </c>
      <c r="N3825" t="s">
        <v>3054</v>
      </c>
      <c r="O3825">
        <v>59.4</v>
      </c>
      <c r="P3825">
        <v>20181206</v>
      </c>
      <c r="Q3825" t="s">
        <v>2435</v>
      </c>
      <c r="R3825" t="s">
        <v>3055</v>
      </c>
      <c r="S3825" t="s">
        <v>1615</v>
      </c>
      <c r="T3825" t="s">
        <v>301</v>
      </c>
    </row>
    <row r="3826" spans="1:20" x14ac:dyDescent="0.25">
      <c r="A3826">
        <v>9</v>
      </c>
      <c r="B3826">
        <v>199</v>
      </c>
      <c r="C3826" t="str">
        <f>"00"</f>
        <v>00</v>
      </c>
      <c r="D3826">
        <v>1415</v>
      </c>
      <c r="E3826" t="str">
        <f>"01"</f>
        <v>01</v>
      </c>
      <c r="F3826" t="str">
        <f>"000"</f>
        <v>000</v>
      </c>
      <c r="G3826">
        <v>9</v>
      </c>
      <c r="H3826" t="str">
        <f>"00"</f>
        <v>00</v>
      </c>
      <c r="I3826" t="str">
        <f>"0"</f>
        <v>0</v>
      </c>
      <c r="J3826" t="str">
        <f>"00"</f>
        <v>00</v>
      </c>
      <c r="K3826">
        <v>20181207</v>
      </c>
      <c r="L3826" t="str">
        <f>"074924"</f>
        <v>074924</v>
      </c>
      <c r="M3826" t="str">
        <f>"60362"</f>
        <v>60362</v>
      </c>
      <c r="N3826" t="s">
        <v>2296</v>
      </c>
      <c r="O3826" s="1">
        <v>4081</v>
      </c>
      <c r="P3826">
        <v>20181206</v>
      </c>
      <c r="Q3826" t="s">
        <v>2297</v>
      </c>
      <c r="R3826" t="s">
        <v>3056</v>
      </c>
      <c r="S3826" t="s">
        <v>1615</v>
      </c>
      <c r="T3826" t="s">
        <v>296</v>
      </c>
    </row>
    <row r="3827" spans="1:20" x14ac:dyDescent="0.25">
      <c r="A3827">
        <v>9</v>
      </c>
      <c r="B3827">
        <v>199</v>
      </c>
      <c r="C3827" t="str">
        <f>"11"</f>
        <v>11</v>
      </c>
      <c r="D3827">
        <v>6399</v>
      </c>
      <c r="E3827" t="str">
        <f>"10"</f>
        <v>10</v>
      </c>
      <c r="F3827" t="str">
        <f>"041"</f>
        <v>041</v>
      </c>
      <c r="G3827">
        <v>9</v>
      </c>
      <c r="H3827" t="str">
        <f>"11"</f>
        <v>11</v>
      </c>
      <c r="I3827" t="str">
        <f>"0"</f>
        <v>0</v>
      </c>
      <c r="J3827" t="str">
        <f>"03"</f>
        <v>03</v>
      </c>
      <c r="K3827">
        <v>20181207</v>
      </c>
      <c r="L3827" t="str">
        <f>"074925"</f>
        <v>074925</v>
      </c>
      <c r="M3827" t="str">
        <f>"61912"</f>
        <v>61912</v>
      </c>
      <c r="N3827" t="s">
        <v>2301</v>
      </c>
      <c r="O3827">
        <v>350.9</v>
      </c>
      <c r="P3827">
        <v>20181206</v>
      </c>
      <c r="Q3827" t="s">
        <v>2956</v>
      </c>
      <c r="R3827" t="s">
        <v>3057</v>
      </c>
      <c r="S3827" t="s">
        <v>1615</v>
      </c>
      <c r="T3827" t="s">
        <v>106</v>
      </c>
    </row>
    <row r="3828" spans="1:20" x14ac:dyDescent="0.25">
      <c r="A3828">
        <v>9</v>
      </c>
      <c r="B3828">
        <v>199</v>
      </c>
      <c r="C3828" t="str">
        <f>"51"</f>
        <v>51</v>
      </c>
      <c r="D3828">
        <v>6259</v>
      </c>
      <c r="E3828" t="str">
        <f>"10"</f>
        <v>10</v>
      </c>
      <c r="F3828" t="str">
        <f>"936"</f>
        <v>936</v>
      </c>
      <c r="G3828">
        <v>9</v>
      </c>
      <c r="H3828" t="str">
        <f>"99"</f>
        <v>99</v>
      </c>
      <c r="I3828" t="str">
        <f>"0"</f>
        <v>0</v>
      </c>
      <c r="J3828" t="str">
        <f>"73"</f>
        <v>73</v>
      </c>
      <c r="K3828">
        <v>20181207</v>
      </c>
      <c r="L3828" t="str">
        <f>"074927"</f>
        <v>074927</v>
      </c>
      <c r="M3828" t="str">
        <f>"62340"</f>
        <v>62340</v>
      </c>
      <c r="N3828" t="s">
        <v>1787</v>
      </c>
      <c r="O3828" s="1">
        <v>5066.6499999999996</v>
      </c>
      <c r="P3828">
        <v>20181206</v>
      </c>
      <c r="Q3828" t="s">
        <v>1789</v>
      </c>
      <c r="R3828" t="s">
        <v>3047</v>
      </c>
      <c r="S3828" t="s">
        <v>1615</v>
      </c>
      <c r="T3828" t="s">
        <v>1713</v>
      </c>
    </row>
    <row r="3829" spans="1:20" x14ac:dyDescent="0.25">
      <c r="A3829">
        <v>9</v>
      </c>
      <c r="B3829">
        <v>199</v>
      </c>
      <c r="C3829" t="str">
        <f>"36"</f>
        <v>36</v>
      </c>
      <c r="D3829">
        <v>6411</v>
      </c>
      <c r="E3829" t="str">
        <f>"7E"</f>
        <v>7E</v>
      </c>
      <c r="F3829" t="str">
        <f>"001"</f>
        <v>001</v>
      </c>
      <c r="G3829">
        <v>9</v>
      </c>
      <c r="H3829" t="str">
        <f>"99"</f>
        <v>99</v>
      </c>
      <c r="I3829" t="str">
        <f>"1"</f>
        <v>1</v>
      </c>
      <c r="J3829" t="str">
        <f>"31"</f>
        <v>31</v>
      </c>
      <c r="K3829">
        <v>20181207</v>
      </c>
      <c r="L3829" t="str">
        <f>"074930"</f>
        <v>074930</v>
      </c>
      <c r="M3829" t="str">
        <f>"63053"</f>
        <v>63053</v>
      </c>
      <c r="N3829" t="s">
        <v>2309</v>
      </c>
      <c r="O3829">
        <v>50</v>
      </c>
      <c r="P3829">
        <v>20181206</v>
      </c>
      <c r="Q3829" t="s">
        <v>2310</v>
      </c>
      <c r="R3829" t="s">
        <v>3031</v>
      </c>
      <c r="S3829" t="s">
        <v>1615</v>
      </c>
      <c r="T3829" t="s">
        <v>301</v>
      </c>
    </row>
    <row r="3830" spans="1:20" x14ac:dyDescent="0.25">
      <c r="A3830">
        <v>9</v>
      </c>
      <c r="B3830">
        <v>199</v>
      </c>
      <c r="C3830" t="str">
        <f>"36"</f>
        <v>36</v>
      </c>
      <c r="D3830">
        <v>6412</v>
      </c>
      <c r="E3830" t="str">
        <f>"7E"</f>
        <v>7E</v>
      </c>
      <c r="F3830" t="str">
        <f>"001"</f>
        <v>001</v>
      </c>
      <c r="G3830">
        <v>9</v>
      </c>
      <c r="H3830" t="str">
        <f>"99"</f>
        <v>99</v>
      </c>
      <c r="I3830" t="str">
        <f>"1"</f>
        <v>1</v>
      </c>
      <c r="J3830" t="str">
        <f>"31"</f>
        <v>31</v>
      </c>
      <c r="K3830">
        <v>20181207</v>
      </c>
      <c r="L3830" t="str">
        <f>"074930"</f>
        <v>074930</v>
      </c>
      <c r="M3830" t="str">
        <f>"63053"</f>
        <v>63053</v>
      </c>
      <c r="N3830" t="s">
        <v>2309</v>
      </c>
      <c r="O3830" s="1">
        <v>1200</v>
      </c>
      <c r="P3830">
        <v>20181206</v>
      </c>
      <c r="Q3830" t="s">
        <v>2312</v>
      </c>
      <c r="R3830" t="s">
        <v>3031</v>
      </c>
      <c r="S3830" t="s">
        <v>1615</v>
      </c>
      <c r="T3830" t="s">
        <v>301</v>
      </c>
    </row>
    <row r="3831" spans="1:20" x14ac:dyDescent="0.25">
      <c r="A3831">
        <v>9</v>
      </c>
      <c r="B3831">
        <v>199</v>
      </c>
      <c r="C3831" t="str">
        <f>"51"</f>
        <v>51</v>
      </c>
      <c r="D3831">
        <v>6319</v>
      </c>
      <c r="E3831" t="str">
        <f>"M2"</f>
        <v>M2</v>
      </c>
      <c r="F3831" t="str">
        <f>"936"</f>
        <v>936</v>
      </c>
      <c r="G3831">
        <v>9</v>
      </c>
      <c r="H3831" t="str">
        <f>"99"</f>
        <v>99</v>
      </c>
      <c r="I3831" t="str">
        <f t="shared" ref="I3831:I3852" si="767">"0"</f>
        <v>0</v>
      </c>
      <c r="J3831" t="str">
        <f>"81"</f>
        <v>81</v>
      </c>
      <c r="K3831">
        <v>20181207</v>
      </c>
      <c r="L3831" t="str">
        <f>"074931"</f>
        <v>074931</v>
      </c>
      <c r="M3831" t="str">
        <f>"63608"</f>
        <v>63608</v>
      </c>
      <c r="N3831" t="s">
        <v>2122</v>
      </c>
      <c r="O3831">
        <v>170.92</v>
      </c>
      <c r="P3831">
        <v>20181206</v>
      </c>
      <c r="Q3831" t="s">
        <v>2074</v>
      </c>
      <c r="R3831" t="s">
        <v>3058</v>
      </c>
      <c r="S3831" t="s">
        <v>1615</v>
      </c>
      <c r="T3831" t="s">
        <v>1713</v>
      </c>
    </row>
    <row r="3832" spans="1:20" x14ac:dyDescent="0.25">
      <c r="A3832">
        <v>9</v>
      </c>
      <c r="B3832">
        <v>199</v>
      </c>
      <c r="C3832" t="str">
        <f>"11"</f>
        <v>11</v>
      </c>
      <c r="D3832">
        <v>6398</v>
      </c>
      <c r="E3832" t="str">
        <f>"7E"</f>
        <v>7E</v>
      </c>
      <c r="F3832" t="str">
        <f>"001"</f>
        <v>001</v>
      </c>
      <c r="G3832">
        <v>9</v>
      </c>
      <c r="H3832" t="str">
        <f>"11"</f>
        <v>11</v>
      </c>
      <c r="I3832" t="str">
        <f t="shared" si="767"/>
        <v>0</v>
      </c>
      <c r="J3832" t="str">
        <f>"31"</f>
        <v>31</v>
      </c>
      <c r="K3832">
        <v>20181207</v>
      </c>
      <c r="L3832" t="str">
        <f>"074942"</f>
        <v>074942</v>
      </c>
      <c r="M3832" t="str">
        <f>"71763"</f>
        <v>71763</v>
      </c>
      <c r="N3832" t="s">
        <v>3059</v>
      </c>
      <c r="O3832">
        <v>679.45</v>
      </c>
      <c r="P3832">
        <v>20181206</v>
      </c>
      <c r="Q3832" t="s">
        <v>2423</v>
      </c>
      <c r="R3832" t="s">
        <v>3060</v>
      </c>
      <c r="S3832" t="s">
        <v>1615</v>
      </c>
      <c r="T3832" t="s">
        <v>301</v>
      </c>
    </row>
    <row r="3833" spans="1:20" x14ac:dyDescent="0.25">
      <c r="A3833">
        <v>9</v>
      </c>
      <c r="B3833">
        <v>199</v>
      </c>
      <c r="C3833" t="str">
        <f>"34"</f>
        <v>34</v>
      </c>
      <c r="D3833">
        <v>6249</v>
      </c>
      <c r="E3833" t="str">
        <f>"10"</f>
        <v>10</v>
      </c>
      <c r="F3833" t="str">
        <f>"937"</f>
        <v>937</v>
      </c>
      <c r="G3833">
        <v>9</v>
      </c>
      <c r="H3833" t="str">
        <f t="shared" ref="H3833:H3841" si="768">"99"</f>
        <v>99</v>
      </c>
      <c r="I3833" t="str">
        <f t="shared" si="767"/>
        <v>0</v>
      </c>
      <c r="J3833" t="str">
        <f>"82"</f>
        <v>82</v>
      </c>
      <c r="K3833">
        <v>20181207</v>
      </c>
      <c r="L3833" t="str">
        <f>"074943"</f>
        <v>074943</v>
      </c>
      <c r="M3833" t="str">
        <f>"71225"</f>
        <v>71225</v>
      </c>
      <c r="N3833" t="s">
        <v>1803</v>
      </c>
      <c r="O3833">
        <v>100</v>
      </c>
      <c r="P3833">
        <v>20181206</v>
      </c>
      <c r="Q3833" t="s">
        <v>2036</v>
      </c>
      <c r="R3833" t="s">
        <v>3061</v>
      </c>
      <c r="S3833" t="s">
        <v>1615</v>
      </c>
      <c r="T3833" t="s">
        <v>1810</v>
      </c>
    </row>
    <row r="3834" spans="1:20" x14ac:dyDescent="0.25">
      <c r="A3834">
        <v>9</v>
      </c>
      <c r="B3834">
        <v>199</v>
      </c>
      <c r="C3834" t="str">
        <f>"34"</f>
        <v>34</v>
      </c>
      <c r="D3834">
        <v>6249</v>
      </c>
      <c r="E3834" t="str">
        <f>"10"</f>
        <v>10</v>
      </c>
      <c r="F3834" t="str">
        <f>"937"</f>
        <v>937</v>
      </c>
      <c r="G3834">
        <v>9</v>
      </c>
      <c r="H3834" t="str">
        <f t="shared" si="768"/>
        <v>99</v>
      </c>
      <c r="I3834" t="str">
        <f t="shared" si="767"/>
        <v>0</v>
      </c>
      <c r="J3834" t="str">
        <f>"82"</f>
        <v>82</v>
      </c>
      <c r="K3834">
        <v>20181207</v>
      </c>
      <c r="L3834" t="str">
        <f>"074943"</f>
        <v>074943</v>
      </c>
      <c r="M3834" t="str">
        <f>"71225"</f>
        <v>71225</v>
      </c>
      <c r="N3834" t="s">
        <v>1803</v>
      </c>
      <c r="O3834">
        <v>35</v>
      </c>
      <c r="P3834">
        <v>20181206</v>
      </c>
      <c r="Q3834" t="s">
        <v>2036</v>
      </c>
      <c r="R3834" t="s">
        <v>3062</v>
      </c>
      <c r="S3834" t="s">
        <v>1615</v>
      </c>
      <c r="T3834" t="s">
        <v>1810</v>
      </c>
    </row>
    <row r="3835" spans="1:20" x14ac:dyDescent="0.25">
      <c r="A3835">
        <v>9</v>
      </c>
      <c r="B3835">
        <v>199</v>
      </c>
      <c r="C3835" t="str">
        <f>"34"</f>
        <v>34</v>
      </c>
      <c r="D3835">
        <v>6249</v>
      </c>
      <c r="E3835" t="str">
        <f>"10"</f>
        <v>10</v>
      </c>
      <c r="F3835" t="str">
        <f>"937"</f>
        <v>937</v>
      </c>
      <c r="G3835">
        <v>9</v>
      </c>
      <c r="H3835" t="str">
        <f t="shared" si="768"/>
        <v>99</v>
      </c>
      <c r="I3835" t="str">
        <f t="shared" si="767"/>
        <v>0</v>
      </c>
      <c r="J3835" t="str">
        <f>"82"</f>
        <v>82</v>
      </c>
      <c r="K3835">
        <v>20181207</v>
      </c>
      <c r="L3835" t="str">
        <f>"074943"</f>
        <v>074943</v>
      </c>
      <c r="M3835" t="str">
        <f>"71225"</f>
        <v>71225</v>
      </c>
      <c r="N3835" t="s">
        <v>1803</v>
      </c>
      <c r="O3835">
        <v>35</v>
      </c>
      <c r="P3835">
        <v>20181206</v>
      </c>
      <c r="Q3835" t="s">
        <v>2036</v>
      </c>
      <c r="R3835" t="s">
        <v>3063</v>
      </c>
      <c r="S3835" t="s">
        <v>1615</v>
      </c>
      <c r="T3835" t="s">
        <v>1810</v>
      </c>
    </row>
    <row r="3836" spans="1:20" x14ac:dyDescent="0.25">
      <c r="A3836">
        <v>9</v>
      </c>
      <c r="B3836">
        <v>199</v>
      </c>
      <c r="C3836" t="str">
        <f>"51"</f>
        <v>51</v>
      </c>
      <c r="D3836">
        <v>6249</v>
      </c>
      <c r="E3836" t="str">
        <f>"WF"</f>
        <v>WF</v>
      </c>
      <c r="F3836" t="str">
        <f>"936"</f>
        <v>936</v>
      </c>
      <c r="G3836">
        <v>9</v>
      </c>
      <c r="H3836" t="str">
        <f t="shared" si="768"/>
        <v>99</v>
      </c>
      <c r="I3836" t="str">
        <f t="shared" si="767"/>
        <v>0</v>
      </c>
      <c r="J3836" t="str">
        <f>"82"</f>
        <v>82</v>
      </c>
      <c r="K3836">
        <v>20181207</v>
      </c>
      <c r="L3836" t="str">
        <f>"074943"</f>
        <v>074943</v>
      </c>
      <c r="M3836" t="str">
        <f>"71225"</f>
        <v>71225</v>
      </c>
      <c r="N3836" t="s">
        <v>1803</v>
      </c>
      <c r="O3836">
        <v>460</v>
      </c>
      <c r="P3836">
        <v>20181206</v>
      </c>
      <c r="Q3836" t="s">
        <v>2127</v>
      </c>
      <c r="R3836" t="s">
        <v>3064</v>
      </c>
      <c r="S3836" t="s">
        <v>1615</v>
      </c>
      <c r="T3836" t="s">
        <v>1713</v>
      </c>
    </row>
    <row r="3837" spans="1:20" x14ac:dyDescent="0.25">
      <c r="A3837">
        <v>9</v>
      </c>
      <c r="B3837">
        <v>199</v>
      </c>
      <c r="C3837" t="str">
        <f>"51"</f>
        <v>51</v>
      </c>
      <c r="D3837">
        <v>6249</v>
      </c>
      <c r="E3837" t="str">
        <f>"WF"</f>
        <v>WF</v>
      </c>
      <c r="F3837" t="str">
        <f>"936"</f>
        <v>936</v>
      </c>
      <c r="G3837">
        <v>9</v>
      </c>
      <c r="H3837" t="str">
        <f t="shared" si="768"/>
        <v>99</v>
      </c>
      <c r="I3837" t="str">
        <f t="shared" si="767"/>
        <v>0</v>
      </c>
      <c r="J3837" t="str">
        <f>"82"</f>
        <v>82</v>
      </c>
      <c r="K3837">
        <v>20181207</v>
      </c>
      <c r="L3837" t="str">
        <f>"074943"</f>
        <v>074943</v>
      </c>
      <c r="M3837" t="str">
        <f>"71225"</f>
        <v>71225</v>
      </c>
      <c r="N3837" t="s">
        <v>1803</v>
      </c>
      <c r="O3837">
        <v>185.47</v>
      </c>
      <c r="P3837">
        <v>20181206</v>
      </c>
      <c r="Q3837" t="s">
        <v>2127</v>
      </c>
      <c r="R3837" t="s">
        <v>3065</v>
      </c>
      <c r="S3837" t="s">
        <v>1615</v>
      </c>
      <c r="T3837" t="s">
        <v>1713</v>
      </c>
    </row>
    <row r="3838" spans="1:20" x14ac:dyDescent="0.25">
      <c r="A3838">
        <v>9</v>
      </c>
      <c r="B3838">
        <v>199</v>
      </c>
      <c r="C3838" t="str">
        <f>"51"</f>
        <v>51</v>
      </c>
      <c r="D3838">
        <v>6256</v>
      </c>
      <c r="E3838" t="str">
        <f>"10"</f>
        <v>10</v>
      </c>
      <c r="F3838" t="str">
        <f>"936"</f>
        <v>936</v>
      </c>
      <c r="G3838">
        <v>9</v>
      </c>
      <c r="H3838" t="str">
        <f t="shared" si="768"/>
        <v>99</v>
      </c>
      <c r="I3838" t="str">
        <f t="shared" si="767"/>
        <v>0</v>
      </c>
      <c r="J3838" t="str">
        <f>"81"</f>
        <v>81</v>
      </c>
      <c r="K3838">
        <v>20181207</v>
      </c>
      <c r="L3838" t="str">
        <f>"074945"</f>
        <v>074945</v>
      </c>
      <c r="M3838" t="str">
        <f>"72340"</f>
        <v>72340</v>
      </c>
      <c r="N3838" t="s">
        <v>1652</v>
      </c>
      <c r="O3838">
        <v>223.12</v>
      </c>
      <c r="P3838">
        <v>20181206</v>
      </c>
      <c r="Q3838" t="s">
        <v>2679</v>
      </c>
      <c r="R3838" t="s">
        <v>3066</v>
      </c>
      <c r="S3838" t="s">
        <v>1615</v>
      </c>
      <c r="T3838" t="s">
        <v>1713</v>
      </c>
    </row>
    <row r="3839" spans="1:20" x14ac:dyDescent="0.25">
      <c r="A3839">
        <v>9</v>
      </c>
      <c r="B3839">
        <v>199</v>
      </c>
      <c r="C3839" t="str">
        <f>"36"</f>
        <v>36</v>
      </c>
      <c r="D3839">
        <v>6412</v>
      </c>
      <c r="E3839" t="str">
        <f>"MT"</f>
        <v>MT</v>
      </c>
      <c r="F3839" t="str">
        <f>"001"</f>
        <v>001</v>
      </c>
      <c r="G3839">
        <v>9</v>
      </c>
      <c r="H3839" t="str">
        <f t="shared" si="768"/>
        <v>99</v>
      </c>
      <c r="I3839" t="str">
        <f t="shared" si="767"/>
        <v>0</v>
      </c>
      <c r="J3839" t="str">
        <f>"01"</f>
        <v>01</v>
      </c>
      <c r="K3839">
        <v>20181207</v>
      </c>
      <c r="L3839" t="str">
        <f>"074948"</f>
        <v>074948</v>
      </c>
      <c r="M3839" t="str">
        <f>"78436"</f>
        <v>78436</v>
      </c>
      <c r="N3839" t="s">
        <v>3067</v>
      </c>
      <c r="O3839">
        <v>175</v>
      </c>
      <c r="P3839">
        <v>20181206</v>
      </c>
      <c r="Q3839" t="s">
        <v>3068</v>
      </c>
      <c r="R3839" t="s">
        <v>3069</v>
      </c>
      <c r="S3839" t="s">
        <v>1615</v>
      </c>
      <c r="T3839" t="s">
        <v>301</v>
      </c>
    </row>
    <row r="3840" spans="1:20" x14ac:dyDescent="0.25">
      <c r="A3840">
        <v>9</v>
      </c>
      <c r="B3840">
        <v>199</v>
      </c>
      <c r="C3840" t="str">
        <f>"36"</f>
        <v>36</v>
      </c>
      <c r="D3840">
        <v>6412</v>
      </c>
      <c r="E3840" t="str">
        <f>"MT"</f>
        <v>MT</v>
      </c>
      <c r="F3840" t="str">
        <f>"001"</f>
        <v>001</v>
      </c>
      <c r="G3840">
        <v>9</v>
      </c>
      <c r="H3840" t="str">
        <f t="shared" si="768"/>
        <v>99</v>
      </c>
      <c r="I3840" t="str">
        <f t="shared" si="767"/>
        <v>0</v>
      </c>
      <c r="J3840" t="str">
        <f>"01"</f>
        <v>01</v>
      </c>
      <c r="K3840">
        <v>20190109</v>
      </c>
      <c r="L3840" t="str">
        <f>"074948"</f>
        <v>074948</v>
      </c>
      <c r="M3840" t="str">
        <f>"78436"</f>
        <v>78436</v>
      </c>
      <c r="N3840" t="s">
        <v>3067</v>
      </c>
      <c r="O3840">
        <v>-175</v>
      </c>
      <c r="P3840">
        <v>20190109</v>
      </c>
      <c r="Q3840" t="s">
        <v>3068</v>
      </c>
      <c r="R3840" t="s">
        <v>3070</v>
      </c>
      <c r="S3840" t="s">
        <v>1615</v>
      </c>
      <c r="T3840" t="s">
        <v>301</v>
      </c>
    </row>
    <row r="3841" spans="1:20" x14ac:dyDescent="0.25">
      <c r="A3841">
        <v>9</v>
      </c>
      <c r="B3841">
        <v>199</v>
      </c>
      <c r="C3841" t="str">
        <f>"51"</f>
        <v>51</v>
      </c>
      <c r="D3841">
        <v>6249</v>
      </c>
      <c r="E3841" t="str">
        <f>"M4"</f>
        <v>M4</v>
      </c>
      <c r="F3841" t="str">
        <f>"877"</f>
        <v>877</v>
      </c>
      <c r="G3841">
        <v>9</v>
      </c>
      <c r="H3841" t="str">
        <f t="shared" si="768"/>
        <v>99</v>
      </c>
      <c r="I3841" t="str">
        <f t="shared" si="767"/>
        <v>0</v>
      </c>
      <c r="J3841" t="str">
        <f>"81"</f>
        <v>81</v>
      </c>
      <c r="K3841">
        <v>20181207</v>
      </c>
      <c r="L3841" t="str">
        <f>"074951"</f>
        <v>074951</v>
      </c>
      <c r="M3841" t="str">
        <f>"78726"</f>
        <v>78726</v>
      </c>
      <c r="N3841" t="s">
        <v>917</v>
      </c>
      <c r="O3841" s="1">
        <v>7991.1</v>
      </c>
      <c r="P3841">
        <v>20181206</v>
      </c>
      <c r="Q3841" t="s">
        <v>3071</v>
      </c>
      <c r="R3841" t="s">
        <v>3072</v>
      </c>
      <c r="S3841" t="s">
        <v>1615</v>
      </c>
      <c r="T3841" t="s">
        <v>2024</v>
      </c>
    </row>
    <row r="3842" spans="1:20" x14ac:dyDescent="0.25">
      <c r="A3842">
        <v>9</v>
      </c>
      <c r="B3842">
        <v>199</v>
      </c>
      <c r="C3842" t="str">
        <f t="shared" ref="C3842:C3850" si="769">"11"</f>
        <v>11</v>
      </c>
      <c r="D3842">
        <v>6264</v>
      </c>
      <c r="E3842" t="str">
        <f>"00"</f>
        <v>00</v>
      </c>
      <c r="F3842" t="str">
        <f>"101"</f>
        <v>101</v>
      </c>
      <c r="G3842">
        <v>9</v>
      </c>
      <c r="H3842" t="str">
        <f t="shared" ref="H3842:H3850" si="770">"11"</f>
        <v>11</v>
      </c>
      <c r="I3842" t="str">
        <f t="shared" si="767"/>
        <v>0</v>
      </c>
      <c r="J3842" t="str">
        <f>"04"</f>
        <v>04</v>
      </c>
      <c r="K3842">
        <v>20181207</v>
      </c>
      <c r="L3842" t="str">
        <f t="shared" ref="L3842:L3849" si="771">"074953"</f>
        <v>074953</v>
      </c>
      <c r="M3842" t="str">
        <f t="shared" ref="M3842:M3849" si="772">"80481"</f>
        <v>80481</v>
      </c>
      <c r="N3842" t="s">
        <v>1849</v>
      </c>
      <c r="O3842">
        <v>74</v>
      </c>
      <c r="P3842">
        <v>20181206</v>
      </c>
      <c r="Q3842" t="s">
        <v>3073</v>
      </c>
      <c r="R3842" t="s">
        <v>1790</v>
      </c>
      <c r="S3842" t="s">
        <v>1615</v>
      </c>
      <c r="T3842" t="s">
        <v>1479</v>
      </c>
    </row>
    <row r="3843" spans="1:20" x14ac:dyDescent="0.25">
      <c r="A3843">
        <v>9</v>
      </c>
      <c r="B3843">
        <v>199</v>
      </c>
      <c r="C3843" t="str">
        <f t="shared" si="769"/>
        <v>11</v>
      </c>
      <c r="D3843">
        <v>6264</v>
      </c>
      <c r="E3843" t="str">
        <f>"00"</f>
        <v>00</v>
      </c>
      <c r="F3843" t="str">
        <f>"101"</f>
        <v>101</v>
      </c>
      <c r="G3843">
        <v>9</v>
      </c>
      <c r="H3843" t="str">
        <f t="shared" si="770"/>
        <v>11</v>
      </c>
      <c r="I3843" t="str">
        <f t="shared" si="767"/>
        <v>0</v>
      </c>
      <c r="J3843" t="str">
        <f>"04"</f>
        <v>04</v>
      </c>
      <c r="K3843">
        <v>20181207</v>
      </c>
      <c r="L3843" t="str">
        <f t="shared" si="771"/>
        <v>074953</v>
      </c>
      <c r="M3843" t="str">
        <f t="shared" si="772"/>
        <v>80481</v>
      </c>
      <c r="N3843" t="s">
        <v>1849</v>
      </c>
      <c r="O3843">
        <v>74</v>
      </c>
      <c r="P3843">
        <v>20181206</v>
      </c>
      <c r="Q3843" t="s">
        <v>3073</v>
      </c>
      <c r="R3843" t="s">
        <v>2308</v>
      </c>
      <c r="S3843" t="s">
        <v>1615</v>
      </c>
      <c r="T3843" t="s">
        <v>1479</v>
      </c>
    </row>
    <row r="3844" spans="1:20" x14ac:dyDescent="0.25">
      <c r="A3844">
        <v>9</v>
      </c>
      <c r="B3844">
        <v>199</v>
      </c>
      <c r="C3844" t="str">
        <f t="shared" si="769"/>
        <v>11</v>
      </c>
      <c r="D3844">
        <v>6264</v>
      </c>
      <c r="E3844" t="str">
        <f>"00"</f>
        <v>00</v>
      </c>
      <c r="F3844" t="str">
        <f>"104"</f>
        <v>104</v>
      </c>
      <c r="G3844">
        <v>9</v>
      </c>
      <c r="H3844" t="str">
        <f t="shared" si="770"/>
        <v>11</v>
      </c>
      <c r="I3844" t="str">
        <f t="shared" si="767"/>
        <v>0</v>
      </c>
      <c r="J3844" t="str">
        <f>"05"</f>
        <v>05</v>
      </c>
      <c r="K3844">
        <v>20181207</v>
      </c>
      <c r="L3844" t="str">
        <f t="shared" si="771"/>
        <v>074953</v>
      </c>
      <c r="M3844" t="str">
        <f t="shared" si="772"/>
        <v>80481</v>
      </c>
      <c r="N3844" t="s">
        <v>1849</v>
      </c>
      <c r="O3844">
        <v>74</v>
      </c>
      <c r="P3844">
        <v>20181206</v>
      </c>
      <c r="Q3844" t="s">
        <v>3074</v>
      </c>
      <c r="R3844" t="s">
        <v>1790</v>
      </c>
      <c r="S3844" t="s">
        <v>1615</v>
      </c>
      <c r="T3844" t="s">
        <v>46</v>
      </c>
    </row>
    <row r="3845" spans="1:20" x14ac:dyDescent="0.25">
      <c r="A3845">
        <v>9</v>
      </c>
      <c r="B3845">
        <v>199</v>
      </c>
      <c r="C3845" t="str">
        <f t="shared" si="769"/>
        <v>11</v>
      </c>
      <c r="D3845">
        <v>6264</v>
      </c>
      <c r="E3845" t="str">
        <f>"00"</f>
        <v>00</v>
      </c>
      <c r="F3845" t="str">
        <f>"104"</f>
        <v>104</v>
      </c>
      <c r="G3845">
        <v>9</v>
      </c>
      <c r="H3845" t="str">
        <f t="shared" si="770"/>
        <v>11</v>
      </c>
      <c r="I3845" t="str">
        <f t="shared" si="767"/>
        <v>0</v>
      </c>
      <c r="J3845" t="str">
        <f>"05"</f>
        <v>05</v>
      </c>
      <c r="K3845">
        <v>20181207</v>
      </c>
      <c r="L3845" t="str">
        <f t="shared" si="771"/>
        <v>074953</v>
      </c>
      <c r="M3845" t="str">
        <f t="shared" si="772"/>
        <v>80481</v>
      </c>
      <c r="N3845" t="s">
        <v>1849</v>
      </c>
      <c r="O3845">
        <v>74</v>
      </c>
      <c r="P3845">
        <v>20181206</v>
      </c>
      <c r="Q3845" t="s">
        <v>3074</v>
      </c>
      <c r="R3845" t="s">
        <v>2308</v>
      </c>
      <c r="S3845" t="s">
        <v>1615</v>
      </c>
      <c r="T3845" t="s">
        <v>46</v>
      </c>
    </row>
    <row r="3846" spans="1:20" x14ac:dyDescent="0.25">
      <c r="A3846">
        <v>9</v>
      </c>
      <c r="B3846">
        <v>199</v>
      </c>
      <c r="C3846" t="str">
        <f t="shared" si="769"/>
        <v>11</v>
      </c>
      <c r="D3846">
        <v>6264</v>
      </c>
      <c r="E3846" t="str">
        <f>"10"</f>
        <v>10</v>
      </c>
      <c r="F3846" t="str">
        <f>"001"</f>
        <v>001</v>
      </c>
      <c r="G3846">
        <v>9</v>
      </c>
      <c r="H3846" t="str">
        <f t="shared" si="770"/>
        <v>11</v>
      </c>
      <c r="I3846" t="str">
        <f t="shared" si="767"/>
        <v>0</v>
      </c>
      <c r="J3846" t="str">
        <f>"01"</f>
        <v>01</v>
      </c>
      <c r="K3846">
        <v>20181207</v>
      </c>
      <c r="L3846" t="str">
        <f t="shared" si="771"/>
        <v>074953</v>
      </c>
      <c r="M3846" t="str">
        <f t="shared" si="772"/>
        <v>80481</v>
      </c>
      <c r="N3846" t="s">
        <v>1849</v>
      </c>
      <c r="O3846">
        <v>74</v>
      </c>
      <c r="P3846">
        <v>20181206</v>
      </c>
      <c r="Q3846" t="s">
        <v>3075</v>
      </c>
      <c r="R3846" t="s">
        <v>1790</v>
      </c>
      <c r="S3846" t="s">
        <v>1615</v>
      </c>
      <c r="T3846" t="s">
        <v>301</v>
      </c>
    </row>
    <row r="3847" spans="1:20" x14ac:dyDescent="0.25">
      <c r="A3847">
        <v>9</v>
      </c>
      <c r="B3847">
        <v>199</v>
      </c>
      <c r="C3847" t="str">
        <f t="shared" si="769"/>
        <v>11</v>
      </c>
      <c r="D3847">
        <v>6264</v>
      </c>
      <c r="E3847" t="str">
        <f>"10"</f>
        <v>10</v>
      </c>
      <c r="F3847" t="str">
        <f>"001"</f>
        <v>001</v>
      </c>
      <c r="G3847">
        <v>9</v>
      </c>
      <c r="H3847" t="str">
        <f t="shared" si="770"/>
        <v>11</v>
      </c>
      <c r="I3847" t="str">
        <f t="shared" si="767"/>
        <v>0</v>
      </c>
      <c r="J3847" t="str">
        <f>"01"</f>
        <v>01</v>
      </c>
      <c r="K3847">
        <v>20181207</v>
      </c>
      <c r="L3847" t="str">
        <f t="shared" si="771"/>
        <v>074953</v>
      </c>
      <c r="M3847" t="str">
        <f t="shared" si="772"/>
        <v>80481</v>
      </c>
      <c r="N3847" t="s">
        <v>1849</v>
      </c>
      <c r="O3847">
        <v>74</v>
      </c>
      <c r="P3847">
        <v>20181206</v>
      </c>
      <c r="Q3847" t="s">
        <v>3075</v>
      </c>
      <c r="R3847" t="s">
        <v>1790</v>
      </c>
      <c r="S3847" t="s">
        <v>1615</v>
      </c>
      <c r="T3847" t="s">
        <v>301</v>
      </c>
    </row>
    <row r="3848" spans="1:20" x14ac:dyDescent="0.25">
      <c r="A3848">
        <v>9</v>
      </c>
      <c r="B3848">
        <v>199</v>
      </c>
      <c r="C3848" t="str">
        <f t="shared" si="769"/>
        <v>11</v>
      </c>
      <c r="D3848">
        <v>6264</v>
      </c>
      <c r="E3848" t="str">
        <f>"10"</f>
        <v>10</v>
      </c>
      <c r="F3848" t="str">
        <f>"001"</f>
        <v>001</v>
      </c>
      <c r="G3848">
        <v>9</v>
      </c>
      <c r="H3848" t="str">
        <f t="shared" si="770"/>
        <v>11</v>
      </c>
      <c r="I3848" t="str">
        <f t="shared" si="767"/>
        <v>0</v>
      </c>
      <c r="J3848" t="str">
        <f>"01"</f>
        <v>01</v>
      </c>
      <c r="K3848">
        <v>20181207</v>
      </c>
      <c r="L3848" t="str">
        <f t="shared" si="771"/>
        <v>074953</v>
      </c>
      <c r="M3848" t="str">
        <f t="shared" si="772"/>
        <v>80481</v>
      </c>
      <c r="N3848" t="s">
        <v>1849</v>
      </c>
      <c r="O3848">
        <v>74</v>
      </c>
      <c r="P3848">
        <v>20181206</v>
      </c>
      <c r="Q3848" t="s">
        <v>3075</v>
      </c>
      <c r="R3848" t="s">
        <v>2308</v>
      </c>
      <c r="S3848" t="s">
        <v>1615</v>
      </c>
      <c r="T3848" t="s">
        <v>301</v>
      </c>
    </row>
    <row r="3849" spans="1:20" x14ac:dyDescent="0.25">
      <c r="A3849">
        <v>9</v>
      </c>
      <c r="B3849">
        <v>199</v>
      </c>
      <c r="C3849" t="str">
        <f t="shared" si="769"/>
        <v>11</v>
      </c>
      <c r="D3849">
        <v>6264</v>
      </c>
      <c r="E3849" t="str">
        <f>"10"</f>
        <v>10</v>
      </c>
      <c r="F3849" t="str">
        <f>"001"</f>
        <v>001</v>
      </c>
      <c r="G3849">
        <v>9</v>
      </c>
      <c r="H3849" t="str">
        <f t="shared" si="770"/>
        <v>11</v>
      </c>
      <c r="I3849" t="str">
        <f t="shared" si="767"/>
        <v>0</v>
      </c>
      <c r="J3849" t="str">
        <f>"01"</f>
        <v>01</v>
      </c>
      <c r="K3849">
        <v>20181207</v>
      </c>
      <c r="L3849" t="str">
        <f t="shared" si="771"/>
        <v>074953</v>
      </c>
      <c r="M3849" t="str">
        <f t="shared" si="772"/>
        <v>80481</v>
      </c>
      <c r="N3849" t="s">
        <v>1849</v>
      </c>
      <c r="O3849">
        <v>74</v>
      </c>
      <c r="P3849">
        <v>20181206</v>
      </c>
      <c r="Q3849" t="s">
        <v>3075</v>
      </c>
      <c r="R3849" t="s">
        <v>2308</v>
      </c>
      <c r="S3849" t="s">
        <v>1615</v>
      </c>
      <c r="T3849" t="s">
        <v>301</v>
      </c>
    </row>
    <row r="3850" spans="1:20" x14ac:dyDescent="0.25">
      <c r="A3850">
        <v>9</v>
      </c>
      <c r="B3850">
        <v>199</v>
      </c>
      <c r="C3850" t="str">
        <f t="shared" si="769"/>
        <v>11</v>
      </c>
      <c r="D3850">
        <v>6398</v>
      </c>
      <c r="E3850" t="str">
        <f>"7E"</f>
        <v>7E</v>
      </c>
      <c r="F3850" t="str">
        <f>"001"</f>
        <v>001</v>
      </c>
      <c r="G3850">
        <v>9</v>
      </c>
      <c r="H3850" t="str">
        <f t="shared" si="770"/>
        <v>11</v>
      </c>
      <c r="I3850" t="str">
        <f t="shared" si="767"/>
        <v>0</v>
      </c>
      <c r="J3850" t="str">
        <f>"31"</f>
        <v>31</v>
      </c>
      <c r="K3850">
        <v>20181207</v>
      </c>
      <c r="L3850" t="str">
        <f>"074957"</f>
        <v>074957</v>
      </c>
      <c r="M3850" t="str">
        <f>"80727"</f>
        <v>80727</v>
      </c>
      <c r="N3850" t="s">
        <v>2422</v>
      </c>
      <c r="O3850">
        <v>146.16</v>
      </c>
      <c r="P3850">
        <v>20181206</v>
      </c>
      <c r="Q3850" t="s">
        <v>2423</v>
      </c>
      <c r="R3850" t="s">
        <v>3076</v>
      </c>
      <c r="S3850" t="s">
        <v>1615</v>
      </c>
      <c r="T3850" t="s">
        <v>301</v>
      </c>
    </row>
    <row r="3851" spans="1:20" x14ac:dyDescent="0.25">
      <c r="A3851">
        <v>9</v>
      </c>
      <c r="B3851">
        <v>199</v>
      </c>
      <c r="C3851" t="str">
        <f>"41"</f>
        <v>41</v>
      </c>
      <c r="D3851">
        <v>6211</v>
      </c>
      <c r="E3851" t="str">
        <f>"10"</f>
        <v>10</v>
      </c>
      <c r="F3851" t="str">
        <f>"730"</f>
        <v>730</v>
      </c>
      <c r="G3851">
        <v>9</v>
      </c>
      <c r="H3851" t="str">
        <f t="shared" ref="H3851:H3856" si="773">"99"</f>
        <v>99</v>
      </c>
      <c r="I3851" t="str">
        <f t="shared" si="767"/>
        <v>0</v>
      </c>
      <c r="J3851" t="str">
        <f>"95"</f>
        <v>95</v>
      </c>
      <c r="K3851">
        <v>20181207</v>
      </c>
      <c r="L3851" t="str">
        <f>"074958"</f>
        <v>074958</v>
      </c>
      <c r="M3851" t="str">
        <f>"83034"</f>
        <v>83034</v>
      </c>
      <c r="N3851" t="s">
        <v>1852</v>
      </c>
      <c r="O3851">
        <v>419.88</v>
      </c>
      <c r="P3851">
        <v>20181206</v>
      </c>
      <c r="Q3851" t="s">
        <v>2350</v>
      </c>
      <c r="R3851" t="s">
        <v>3077</v>
      </c>
      <c r="S3851" t="s">
        <v>1615</v>
      </c>
      <c r="T3851" t="s">
        <v>1794</v>
      </c>
    </row>
    <row r="3852" spans="1:20" x14ac:dyDescent="0.25">
      <c r="A3852">
        <v>9</v>
      </c>
      <c r="B3852">
        <v>199</v>
      </c>
      <c r="C3852" t="str">
        <f>"52"</f>
        <v>52</v>
      </c>
      <c r="D3852">
        <v>6219</v>
      </c>
      <c r="E3852" t="str">
        <f>"00"</f>
        <v>00</v>
      </c>
      <c r="F3852" t="str">
        <f>"101"</f>
        <v>101</v>
      </c>
      <c r="G3852">
        <v>9</v>
      </c>
      <c r="H3852" t="str">
        <f t="shared" si="773"/>
        <v>99</v>
      </c>
      <c r="I3852" t="str">
        <f t="shared" si="767"/>
        <v>0</v>
      </c>
      <c r="J3852" t="str">
        <f>"00"</f>
        <v>00</v>
      </c>
      <c r="K3852">
        <v>20181207</v>
      </c>
      <c r="L3852" t="str">
        <f>"074967"</f>
        <v>074967</v>
      </c>
      <c r="M3852" t="str">
        <f>"00242"</f>
        <v>00242</v>
      </c>
      <c r="N3852" t="s">
        <v>1669</v>
      </c>
      <c r="O3852">
        <v>300</v>
      </c>
      <c r="P3852">
        <v>20181206</v>
      </c>
      <c r="Q3852" t="s">
        <v>1854</v>
      </c>
      <c r="R3852" t="s">
        <v>3078</v>
      </c>
      <c r="S3852" t="s">
        <v>1615</v>
      </c>
      <c r="T3852" t="s">
        <v>1479</v>
      </c>
    </row>
    <row r="3853" spans="1:20" x14ac:dyDescent="0.25">
      <c r="A3853">
        <v>9</v>
      </c>
      <c r="B3853">
        <v>199</v>
      </c>
      <c r="C3853" t="str">
        <f>"51"</f>
        <v>51</v>
      </c>
      <c r="D3853">
        <v>6249</v>
      </c>
      <c r="E3853" t="str">
        <f>"PM"</f>
        <v>PM</v>
      </c>
      <c r="F3853" t="str">
        <f>"936"</f>
        <v>936</v>
      </c>
      <c r="G3853">
        <v>9</v>
      </c>
      <c r="H3853" t="str">
        <f t="shared" si="773"/>
        <v>99</v>
      </c>
      <c r="I3853" t="str">
        <f>"1"</f>
        <v>1</v>
      </c>
      <c r="J3853" t="str">
        <f>"81"</f>
        <v>81</v>
      </c>
      <c r="K3853">
        <v>20181214</v>
      </c>
      <c r="L3853" t="str">
        <f>"074968"</f>
        <v>074968</v>
      </c>
      <c r="M3853" t="str">
        <f>"00306"</f>
        <v>00306</v>
      </c>
      <c r="N3853" t="s">
        <v>2810</v>
      </c>
      <c r="O3853" s="1">
        <v>2465.1999999999998</v>
      </c>
      <c r="P3853">
        <v>20181212</v>
      </c>
      <c r="Q3853" t="s">
        <v>2811</v>
      </c>
      <c r="R3853" t="s">
        <v>3079</v>
      </c>
      <c r="S3853" t="s">
        <v>1615</v>
      </c>
      <c r="T3853" t="s">
        <v>1713</v>
      </c>
    </row>
    <row r="3854" spans="1:20" x14ac:dyDescent="0.25">
      <c r="A3854">
        <v>9</v>
      </c>
      <c r="B3854">
        <v>199</v>
      </c>
      <c r="C3854" t="str">
        <f>"51"</f>
        <v>51</v>
      </c>
      <c r="D3854">
        <v>6249</v>
      </c>
      <c r="E3854" t="str">
        <f>"PM"</f>
        <v>PM</v>
      </c>
      <c r="F3854" t="str">
        <f>"936"</f>
        <v>936</v>
      </c>
      <c r="G3854">
        <v>9</v>
      </c>
      <c r="H3854" t="str">
        <f t="shared" si="773"/>
        <v>99</v>
      </c>
      <c r="I3854" t="str">
        <f>"1"</f>
        <v>1</v>
      </c>
      <c r="J3854" t="str">
        <f>"81"</f>
        <v>81</v>
      </c>
      <c r="K3854">
        <v>20181214</v>
      </c>
      <c r="L3854" t="str">
        <f>"074968"</f>
        <v>074968</v>
      </c>
      <c r="M3854" t="str">
        <f>"00306"</f>
        <v>00306</v>
      </c>
      <c r="N3854" t="s">
        <v>2810</v>
      </c>
      <c r="O3854" s="1">
        <v>1582.16</v>
      </c>
      <c r="P3854">
        <v>20181212</v>
      </c>
      <c r="Q3854" t="s">
        <v>2811</v>
      </c>
      <c r="R3854" t="s">
        <v>3080</v>
      </c>
      <c r="S3854" t="s">
        <v>1615</v>
      </c>
      <c r="T3854" t="s">
        <v>1713</v>
      </c>
    </row>
    <row r="3855" spans="1:20" x14ac:dyDescent="0.25">
      <c r="A3855">
        <v>9</v>
      </c>
      <c r="B3855">
        <v>199</v>
      </c>
      <c r="C3855" t="str">
        <f>"51"</f>
        <v>51</v>
      </c>
      <c r="D3855">
        <v>6249</v>
      </c>
      <c r="E3855" t="str">
        <f>"PM"</f>
        <v>PM</v>
      </c>
      <c r="F3855" t="str">
        <f>"936"</f>
        <v>936</v>
      </c>
      <c r="G3855">
        <v>9</v>
      </c>
      <c r="H3855" t="str">
        <f t="shared" si="773"/>
        <v>99</v>
      </c>
      <c r="I3855" t="str">
        <f>"1"</f>
        <v>1</v>
      </c>
      <c r="J3855" t="str">
        <f>"81"</f>
        <v>81</v>
      </c>
      <c r="K3855">
        <v>20181214</v>
      </c>
      <c r="L3855" t="str">
        <f>"074968"</f>
        <v>074968</v>
      </c>
      <c r="M3855" t="str">
        <f>"00306"</f>
        <v>00306</v>
      </c>
      <c r="N3855" t="s">
        <v>2810</v>
      </c>
      <c r="O3855">
        <v>113.45</v>
      </c>
      <c r="P3855">
        <v>20181212</v>
      </c>
      <c r="Q3855" t="s">
        <v>2811</v>
      </c>
      <c r="R3855" t="s">
        <v>3081</v>
      </c>
      <c r="S3855" t="s">
        <v>1615</v>
      </c>
      <c r="T3855" t="s">
        <v>1713</v>
      </c>
    </row>
    <row r="3856" spans="1:20" x14ac:dyDescent="0.25">
      <c r="A3856">
        <v>9</v>
      </c>
      <c r="B3856">
        <v>199</v>
      </c>
      <c r="C3856" t="str">
        <f>"51"</f>
        <v>51</v>
      </c>
      <c r="D3856">
        <v>6249</v>
      </c>
      <c r="E3856" t="str">
        <f>"PM"</f>
        <v>PM</v>
      </c>
      <c r="F3856" t="str">
        <f>"936"</f>
        <v>936</v>
      </c>
      <c r="G3856">
        <v>9</v>
      </c>
      <c r="H3856" t="str">
        <f t="shared" si="773"/>
        <v>99</v>
      </c>
      <c r="I3856" t="str">
        <f>"1"</f>
        <v>1</v>
      </c>
      <c r="J3856" t="str">
        <f>"81"</f>
        <v>81</v>
      </c>
      <c r="K3856">
        <v>20181214</v>
      </c>
      <c r="L3856" t="str">
        <f>"074968"</f>
        <v>074968</v>
      </c>
      <c r="M3856" t="str">
        <f>"00306"</f>
        <v>00306</v>
      </c>
      <c r="N3856" t="s">
        <v>2810</v>
      </c>
      <c r="O3856" s="1">
        <v>4177.04</v>
      </c>
      <c r="P3856">
        <v>20181212</v>
      </c>
      <c r="Q3856" t="s">
        <v>2811</v>
      </c>
      <c r="R3856" t="s">
        <v>3082</v>
      </c>
      <c r="S3856" t="s">
        <v>1615</v>
      </c>
      <c r="T3856" t="s">
        <v>1713</v>
      </c>
    </row>
    <row r="3857" spans="1:20" x14ac:dyDescent="0.25">
      <c r="A3857">
        <v>9</v>
      </c>
      <c r="B3857">
        <v>199</v>
      </c>
      <c r="C3857" t="str">
        <f t="shared" ref="C3857:C3862" si="774">"11"</f>
        <v>11</v>
      </c>
      <c r="D3857">
        <v>6269</v>
      </c>
      <c r="E3857" t="str">
        <f>"V8"</f>
        <v>V8</v>
      </c>
      <c r="F3857" t="str">
        <f>"001"</f>
        <v>001</v>
      </c>
      <c r="G3857">
        <v>9</v>
      </c>
      <c r="H3857" t="str">
        <f>"22"</f>
        <v>22</v>
      </c>
      <c r="I3857" t="str">
        <f t="shared" ref="I3857:I3870" si="775">"0"</f>
        <v>0</v>
      </c>
      <c r="J3857" t="str">
        <f>"22"</f>
        <v>22</v>
      </c>
      <c r="K3857">
        <v>20181214</v>
      </c>
      <c r="L3857" t="str">
        <f>"074969"</f>
        <v>074969</v>
      </c>
      <c r="M3857" t="str">
        <f>"02230"</f>
        <v>02230</v>
      </c>
      <c r="N3857" t="s">
        <v>1673</v>
      </c>
      <c r="O3857">
        <v>82.82</v>
      </c>
      <c r="P3857">
        <v>20181212</v>
      </c>
      <c r="Q3857" t="s">
        <v>2154</v>
      </c>
      <c r="R3857" t="s">
        <v>2668</v>
      </c>
      <c r="S3857" t="s">
        <v>1615</v>
      </c>
      <c r="T3857" t="s">
        <v>301</v>
      </c>
    </row>
    <row r="3858" spans="1:20" x14ac:dyDescent="0.25">
      <c r="A3858">
        <v>9</v>
      </c>
      <c r="B3858">
        <v>199</v>
      </c>
      <c r="C3858" t="str">
        <f t="shared" si="774"/>
        <v>11</v>
      </c>
      <c r="D3858">
        <v>6329</v>
      </c>
      <c r="E3858" t="str">
        <f>"V8"</f>
        <v>V8</v>
      </c>
      <c r="F3858" t="str">
        <f>"001"</f>
        <v>001</v>
      </c>
      <c r="G3858">
        <v>9</v>
      </c>
      <c r="H3858" t="str">
        <f>"22"</f>
        <v>22</v>
      </c>
      <c r="I3858" t="str">
        <f t="shared" si="775"/>
        <v>0</v>
      </c>
      <c r="J3858" t="str">
        <f>"22"</f>
        <v>22</v>
      </c>
      <c r="K3858">
        <v>20181214</v>
      </c>
      <c r="L3858" t="str">
        <f>"074971"</f>
        <v>074971</v>
      </c>
      <c r="M3858" t="str">
        <f>"04410"</f>
        <v>04410</v>
      </c>
      <c r="N3858" t="s">
        <v>410</v>
      </c>
      <c r="O3858">
        <v>138.6</v>
      </c>
      <c r="P3858">
        <v>20181212</v>
      </c>
      <c r="Q3858" t="s">
        <v>2510</v>
      </c>
      <c r="R3858" t="s">
        <v>3083</v>
      </c>
      <c r="S3858" t="s">
        <v>1615</v>
      </c>
      <c r="T3858" t="s">
        <v>301</v>
      </c>
    </row>
    <row r="3859" spans="1:20" x14ac:dyDescent="0.25">
      <c r="A3859">
        <v>9</v>
      </c>
      <c r="B3859">
        <v>199</v>
      </c>
      <c r="C3859" t="str">
        <f t="shared" si="774"/>
        <v>11</v>
      </c>
      <c r="D3859">
        <v>6399</v>
      </c>
      <c r="E3859" t="str">
        <f>"45"</f>
        <v>45</v>
      </c>
      <c r="F3859" t="str">
        <f>"101"</f>
        <v>101</v>
      </c>
      <c r="G3859">
        <v>9</v>
      </c>
      <c r="H3859" t="str">
        <f>"11"</f>
        <v>11</v>
      </c>
      <c r="I3859" t="str">
        <f t="shared" si="775"/>
        <v>0</v>
      </c>
      <c r="J3859" t="str">
        <f>"04"</f>
        <v>04</v>
      </c>
      <c r="K3859">
        <v>20181214</v>
      </c>
      <c r="L3859" t="str">
        <f>"074971"</f>
        <v>074971</v>
      </c>
      <c r="M3859" t="str">
        <f>"04410"</f>
        <v>04410</v>
      </c>
      <c r="N3859" t="s">
        <v>410</v>
      </c>
      <c r="O3859">
        <v>15.99</v>
      </c>
      <c r="P3859">
        <v>20181212</v>
      </c>
      <c r="Q3859" t="s">
        <v>1859</v>
      </c>
      <c r="R3859" t="s">
        <v>3084</v>
      </c>
      <c r="S3859" t="s">
        <v>1615</v>
      </c>
      <c r="T3859" t="s">
        <v>1479</v>
      </c>
    </row>
    <row r="3860" spans="1:20" x14ac:dyDescent="0.25">
      <c r="A3860">
        <v>9</v>
      </c>
      <c r="B3860">
        <v>199</v>
      </c>
      <c r="C3860" t="str">
        <f t="shared" si="774"/>
        <v>11</v>
      </c>
      <c r="D3860">
        <v>6399</v>
      </c>
      <c r="E3860" t="str">
        <f>"7K"</f>
        <v>7K</v>
      </c>
      <c r="F3860" t="str">
        <f>"001"</f>
        <v>001</v>
      </c>
      <c r="G3860">
        <v>9</v>
      </c>
      <c r="H3860" t="str">
        <f>"11"</f>
        <v>11</v>
      </c>
      <c r="I3860" t="str">
        <f t="shared" si="775"/>
        <v>0</v>
      </c>
      <c r="J3860" t="str">
        <f>"01"</f>
        <v>01</v>
      </c>
      <c r="K3860">
        <v>20181214</v>
      </c>
      <c r="L3860" t="str">
        <f>"074971"</f>
        <v>074971</v>
      </c>
      <c r="M3860" t="str">
        <f>"04410"</f>
        <v>04410</v>
      </c>
      <c r="N3860" t="s">
        <v>410</v>
      </c>
      <c r="O3860">
        <v>35.96</v>
      </c>
      <c r="P3860">
        <v>20181212</v>
      </c>
      <c r="Q3860" t="s">
        <v>1671</v>
      </c>
      <c r="R3860" t="s">
        <v>3085</v>
      </c>
      <c r="S3860" t="s">
        <v>1615</v>
      </c>
      <c r="T3860" t="s">
        <v>301</v>
      </c>
    </row>
    <row r="3861" spans="1:20" x14ac:dyDescent="0.25">
      <c r="A3861">
        <v>9</v>
      </c>
      <c r="B3861">
        <v>199</v>
      </c>
      <c r="C3861" t="str">
        <f t="shared" si="774"/>
        <v>11</v>
      </c>
      <c r="D3861">
        <v>6399</v>
      </c>
      <c r="E3861" t="str">
        <f>"N9"</f>
        <v>N9</v>
      </c>
      <c r="F3861" t="str">
        <f>"001"</f>
        <v>001</v>
      </c>
      <c r="G3861">
        <v>9</v>
      </c>
      <c r="H3861" t="str">
        <f>"11"</f>
        <v>11</v>
      </c>
      <c r="I3861" t="str">
        <f t="shared" si="775"/>
        <v>0</v>
      </c>
      <c r="J3861" t="str">
        <f>"01"</f>
        <v>01</v>
      </c>
      <c r="K3861">
        <v>20181214</v>
      </c>
      <c r="L3861" t="str">
        <f>"074971"</f>
        <v>074971</v>
      </c>
      <c r="M3861" t="str">
        <f>"04410"</f>
        <v>04410</v>
      </c>
      <c r="N3861" t="s">
        <v>410</v>
      </c>
      <c r="O3861">
        <v>103.05</v>
      </c>
      <c r="P3861">
        <v>20181212</v>
      </c>
      <c r="Q3861" t="s">
        <v>2160</v>
      </c>
      <c r="R3861" t="s">
        <v>3086</v>
      </c>
      <c r="S3861" t="s">
        <v>1615</v>
      </c>
      <c r="T3861" t="s">
        <v>301</v>
      </c>
    </row>
    <row r="3862" spans="1:20" x14ac:dyDescent="0.25">
      <c r="A3862">
        <v>9</v>
      </c>
      <c r="B3862">
        <v>199</v>
      </c>
      <c r="C3862" t="str">
        <f t="shared" si="774"/>
        <v>11</v>
      </c>
      <c r="D3862">
        <v>6399</v>
      </c>
      <c r="E3862" t="str">
        <f>"VR"</f>
        <v>VR</v>
      </c>
      <c r="F3862" t="str">
        <f>"001"</f>
        <v>001</v>
      </c>
      <c r="G3862">
        <v>9</v>
      </c>
      <c r="H3862" t="str">
        <f>"22"</f>
        <v>22</v>
      </c>
      <c r="I3862" t="str">
        <f t="shared" si="775"/>
        <v>0</v>
      </c>
      <c r="J3862" t="str">
        <f>"22"</f>
        <v>22</v>
      </c>
      <c r="K3862">
        <v>20181214</v>
      </c>
      <c r="L3862" t="str">
        <f>"074971"</f>
        <v>074971</v>
      </c>
      <c r="M3862" t="str">
        <f>"04410"</f>
        <v>04410</v>
      </c>
      <c r="N3862" t="s">
        <v>410</v>
      </c>
      <c r="O3862">
        <v>44.97</v>
      </c>
      <c r="P3862">
        <v>20181212</v>
      </c>
      <c r="Q3862" t="s">
        <v>1863</v>
      </c>
      <c r="R3862" t="s">
        <v>3087</v>
      </c>
      <c r="S3862" t="s">
        <v>1615</v>
      </c>
      <c r="T3862" t="s">
        <v>301</v>
      </c>
    </row>
    <row r="3863" spans="1:20" x14ac:dyDescent="0.25">
      <c r="A3863">
        <v>9</v>
      </c>
      <c r="B3863">
        <v>199</v>
      </c>
      <c r="C3863" t="str">
        <f>"34"</f>
        <v>34</v>
      </c>
      <c r="D3863">
        <v>6249</v>
      </c>
      <c r="E3863" t="str">
        <f>"10"</f>
        <v>10</v>
      </c>
      <c r="F3863" t="str">
        <f>"937"</f>
        <v>937</v>
      </c>
      <c r="G3863">
        <v>9</v>
      </c>
      <c r="H3863" t="str">
        <f>"99"</f>
        <v>99</v>
      </c>
      <c r="I3863" t="str">
        <f t="shared" si="775"/>
        <v>0</v>
      </c>
      <c r="J3863" t="str">
        <f>"82"</f>
        <v>82</v>
      </c>
      <c r="K3863">
        <v>20181214</v>
      </c>
      <c r="L3863" t="str">
        <f>"074974"</f>
        <v>074974</v>
      </c>
      <c r="M3863" t="str">
        <f>"24208"</f>
        <v>24208</v>
      </c>
      <c r="N3863" t="s">
        <v>2356</v>
      </c>
      <c r="O3863">
        <v>190</v>
      </c>
      <c r="P3863">
        <v>20181212</v>
      </c>
      <c r="Q3863" t="s">
        <v>2036</v>
      </c>
      <c r="R3863" t="s">
        <v>3088</v>
      </c>
      <c r="S3863" t="s">
        <v>1615</v>
      </c>
      <c r="T3863" t="s">
        <v>1810</v>
      </c>
    </row>
    <row r="3864" spans="1:20" x14ac:dyDescent="0.25">
      <c r="A3864">
        <v>9</v>
      </c>
      <c r="B3864">
        <v>199</v>
      </c>
      <c r="C3864" t="str">
        <f t="shared" ref="C3864:C3869" si="776">"11"</f>
        <v>11</v>
      </c>
      <c r="D3864">
        <v>6399</v>
      </c>
      <c r="E3864" t="str">
        <f t="shared" ref="E3864:E3869" si="777">"VA"</f>
        <v>VA</v>
      </c>
      <c r="F3864" t="str">
        <f t="shared" ref="F3864:F3869" si="778">"001"</f>
        <v>001</v>
      </c>
      <c r="G3864">
        <v>9</v>
      </c>
      <c r="H3864" t="str">
        <f t="shared" ref="H3864:H3869" si="779">"22"</f>
        <v>22</v>
      </c>
      <c r="I3864" t="str">
        <f t="shared" si="775"/>
        <v>0</v>
      </c>
      <c r="J3864" t="str">
        <f t="shared" ref="J3864:J3869" si="780">"22"</f>
        <v>22</v>
      </c>
      <c r="K3864">
        <v>20181214</v>
      </c>
      <c r="L3864" t="str">
        <f t="shared" ref="L3864:L3870" si="781">"074976"</f>
        <v>074976</v>
      </c>
      <c r="M3864" t="str">
        <f t="shared" ref="M3864:M3870" si="782">"08196"</f>
        <v>08196</v>
      </c>
      <c r="N3864" t="s">
        <v>2185</v>
      </c>
      <c r="O3864">
        <v>119.97</v>
      </c>
      <c r="P3864">
        <v>20181212</v>
      </c>
      <c r="Q3864" t="s">
        <v>2186</v>
      </c>
      <c r="R3864" t="s">
        <v>3089</v>
      </c>
      <c r="S3864" t="s">
        <v>1615</v>
      </c>
      <c r="T3864" t="s">
        <v>301</v>
      </c>
    </row>
    <row r="3865" spans="1:20" x14ac:dyDescent="0.25">
      <c r="A3865">
        <v>9</v>
      </c>
      <c r="B3865">
        <v>199</v>
      </c>
      <c r="C3865" t="str">
        <f t="shared" si="776"/>
        <v>11</v>
      </c>
      <c r="D3865">
        <v>6399</v>
      </c>
      <c r="E3865" t="str">
        <f t="shared" si="777"/>
        <v>VA</v>
      </c>
      <c r="F3865" t="str">
        <f t="shared" si="778"/>
        <v>001</v>
      </c>
      <c r="G3865">
        <v>9</v>
      </c>
      <c r="H3865" t="str">
        <f t="shared" si="779"/>
        <v>22</v>
      </c>
      <c r="I3865" t="str">
        <f t="shared" si="775"/>
        <v>0</v>
      </c>
      <c r="J3865" t="str">
        <f t="shared" si="780"/>
        <v>22</v>
      </c>
      <c r="K3865">
        <v>20181214</v>
      </c>
      <c r="L3865" t="str">
        <f t="shared" si="781"/>
        <v>074976</v>
      </c>
      <c r="M3865" t="str">
        <f t="shared" si="782"/>
        <v>08196</v>
      </c>
      <c r="N3865" t="s">
        <v>2185</v>
      </c>
      <c r="O3865">
        <v>217.98</v>
      </c>
      <c r="P3865">
        <v>20181212</v>
      </c>
      <c r="Q3865" t="s">
        <v>2186</v>
      </c>
      <c r="R3865" t="s">
        <v>3090</v>
      </c>
      <c r="S3865" t="s">
        <v>1615</v>
      </c>
      <c r="T3865" t="s">
        <v>301</v>
      </c>
    </row>
    <row r="3866" spans="1:20" x14ac:dyDescent="0.25">
      <c r="A3866">
        <v>9</v>
      </c>
      <c r="B3866">
        <v>199</v>
      </c>
      <c r="C3866" t="str">
        <f t="shared" si="776"/>
        <v>11</v>
      </c>
      <c r="D3866">
        <v>6399</v>
      </c>
      <c r="E3866" t="str">
        <f t="shared" si="777"/>
        <v>VA</v>
      </c>
      <c r="F3866" t="str">
        <f t="shared" si="778"/>
        <v>001</v>
      </c>
      <c r="G3866">
        <v>9</v>
      </c>
      <c r="H3866" t="str">
        <f t="shared" si="779"/>
        <v>22</v>
      </c>
      <c r="I3866" t="str">
        <f t="shared" si="775"/>
        <v>0</v>
      </c>
      <c r="J3866" t="str">
        <f t="shared" si="780"/>
        <v>22</v>
      </c>
      <c r="K3866">
        <v>20181214</v>
      </c>
      <c r="L3866" t="str">
        <f t="shared" si="781"/>
        <v>074976</v>
      </c>
      <c r="M3866" t="str">
        <f t="shared" si="782"/>
        <v>08196</v>
      </c>
      <c r="N3866" t="s">
        <v>2185</v>
      </c>
      <c r="O3866">
        <v>14.56</v>
      </c>
      <c r="P3866">
        <v>20181212</v>
      </c>
      <c r="Q3866" t="s">
        <v>2186</v>
      </c>
      <c r="R3866" t="s">
        <v>3091</v>
      </c>
      <c r="S3866" t="s">
        <v>1615</v>
      </c>
      <c r="T3866" t="s">
        <v>301</v>
      </c>
    </row>
    <row r="3867" spans="1:20" x14ac:dyDescent="0.25">
      <c r="A3867">
        <v>9</v>
      </c>
      <c r="B3867">
        <v>199</v>
      </c>
      <c r="C3867" t="str">
        <f t="shared" si="776"/>
        <v>11</v>
      </c>
      <c r="D3867">
        <v>6399</v>
      </c>
      <c r="E3867" t="str">
        <f t="shared" si="777"/>
        <v>VA</v>
      </c>
      <c r="F3867" t="str">
        <f t="shared" si="778"/>
        <v>001</v>
      </c>
      <c r="G3867">
        <v>9</v>
      </c>
      <c r="H3867" t="str">
        <f t="shared" si="779"/>
        <v>22</v>
      </c>
      <c r="I3867" t="str">
        <f t="shared" si="775"/>
        <v>0</v>
      </c>
      <c r="J3867" t="str">
        <f t="shared" si="780"/>
        <v>22</v>
      </c>
      <c r="K3867">
        <v>20181214</v>
      </c>
      <c r="L3867" t="str">
        <f t="shared" si="781"/>
        <v>074976</v>
      </c>
      <c r="M3867" t="str">
        <f t="shared" si="782"/>
        <v>08196</v>
      </c>
      <c r="N3867" t="s">
        <v>2185</v>
      </c>
      <c r="O3867">
        <v>19.12</v>
      </c>
      <c r="P3867">
        <v>20181212</v>
      </c>
      <c r="Q3867" t="s">
        <v>2186</v>
      </c>
      <c r="R3867" t="s">
        <v>3091</v>
      </c>
      <c r="S3867" t="s">
        <v>1615</v>
      </c>
      <c r="T3867" t="s">
        <v>301</v>
      </c>
    </row>
    <row r="3868" spans="1:20" x14ac:dyDescent="0.25">
      <c r="A3868">
        <v>9</v>
      </c>
      <c r="B3868">
        <v>199</v>
      </c>
      <c r="C3868" t="str">
        <f t="shared" si="776"/>
        <v>11</v>
      </c>
      <c r="D3868">
        <v>6399</v>
      </c>
      <c r="E3868" t="str">
        <f t="shared" si="777"/>
        <v>VA</v>
      </c>
      <c r="F3868" t="str">
        <f t="shared" si="778"/>
        <v>001</v>
      </c>
      <c r="G3868">
        <v>9</v>
      </c>
      <c r="H3868" t="str">
        <f t="shared" si="779"/>
        <v>22</v>
      </c>
      <c r="I3868" t="str">
        <f t="shared" si="775"/>
        <v>0</v>
      </c>
      <c r="J3868" t="str">
        <f t="shared" si="780"/>
        <v>22</v>
      </c>
      <c r="K3868">
        <v>20181214</v>
      </c>
      <c r="L3868" t="str">
        <f t="shared" si="781"/>
        <v>074976</v>
      </c>
      <c r="M3868" t="str">
        <f t="shared" si="782"/>
        <v>08196</v>
      </c>
      <c r="N3868" t="s">
        <v>2185</v>
      </c>
      <c r="O3868">
        <v>-1.82</v>
      </c>
      <c r="P3868">
        <v>20181129</v>
      </c>
      <c r="Q3868" t="s">
        <v>2186</v>
      </c>
      <c r="R3868" t="s">
        <v>3092</v>
      </c>
      <c r="S3868" t="s">
        <v>1615</v>
      </c>
      <c r="T3868" t="s">
        <v>301</v>
      </c>
    </row>
    <row r="3869" spans="1:20" x14ac:dyDescent="0.25">
      <c r="A3869">
        <v>9</v>
      </c>
      <c r="B3869">
        <v>199</v>
      </c>
      <c r="C3869" t="str">
        <f t="shared" si="776"/>
        <v>11</v>
      </c>
      <c r="D3869">
        <v>6399</v>
      </c>
      <c r="E3869" t="str">
        <f t="shared" si="777"/>
        <v>VA</v>
      </c>
      <c r="F3869" t="str">
        <f t="shared" si="778"/>
        <v>001</v>
      </c>
      <c r="G3869">
        <v>9</v>
      </c>
      <c r="H3869" t="str">
        <f t="shared" si="779"/>
        <v>22</v>
      </c>
      <c r="I3869" t="str">
        <f t="shared" si="775"/>
        <v>0</v>
      </c>
      <c r="J3869" t="str">
        <f t="shared" si="780"/>
        <v>22</v>
      </c>
      <c r="K3869">
        <v>20181214</v>
      </c>
      <c r="L3869" t="str">
        <f t="shared" si="781"/>
        <v>074976</v>
      </c>
      <c r="M3869" t="str">
        <f t="shared" si="782"/>
        <v>08196</v>
      </c>
      <c r="N3869" t="s">
        <v>2185</v>
      </c>
      <c r="O3869">
        <v>-12.74</v>
      </c>
      <c r="P3869">
        <v>20181129</v>
      </c>
      <c r="Q3869" t="s">
        <v>2186</v>
      </c>
      <c r="R3869" t="s">
        <v>3091</v>
      </c>
      <c r="S3869" t="s">
        <v>1615</v>
      </c>
      <c r="T3869" t="s">
        <v>301</v>
      </c>
    </row>
    <row r="3870" spans="1:20" x14ac:dyDescent="0.25">
      <c r="A3870">
        <v>9</v>
      </c>
      <c r="B3870">
        <v>199</v>
      </c>
      <c r="C3870" t="str">
        <f>"34"</f>
        <v>34</v>
      </c>
      <c r="D3870">
        <v>6399</v>
      </c>
      <c r="E3870" t="str">
        <f>"11"</f>
        <v>11</v>
      </c>
      <c r="F3870" t="str">
        <f>"937"</f>
        <v>937</v>
      </c>
      <c r="G3870">
        <v>9</v>
      </c>
      <c r="H3870" t="str">
        <f>"99"</f>
        <v>99</v>
      </c>
      <c r="I3870" t="str">
        <f t="shared" si="775"/>
        <v>0</v>
      </c>
      <c r="J3870" t="str">
        <f>"82"</f>
        <v>82</v>
      </c>
      <c r="K3870">
        <v>20181214</v>
      </c>
      <c r="L3870" t="str">
        <f t="shared" si="781"/>
        <v>074976</v>
      </c>
      <c r="M3870" t="str">
        <f t="shared" si="782"/>
        <v>08196</v>
      </c>
      <c r="N3870" t="s">
        <v>2185</v>
      </c>
      <c r="O3870">
        <v>70.55</v>
      </c>
      <c r="P3870">
        <v>20181212</v>
      </c>
      <c r="Q3870" t="s">
        <v>2210</v>
      </c>
      <c r="R3870" t="s">
        <v>2211</v>
      </c>
      <c r="S3870" t="s">
        <v>1615</v>
      </c>
      <c r="T3870" t="s">
        <v>1810</v>
      </c>
    </row>
    <row r="3871" spans="1:20" x14ac:dyDescent="0.25">
      <c r="A3871">
        <v>9</v>
      </c>
      <c r="B3871">
        <v>199</v>
      </c>
      <c r="C3871" t="str">
        <f>"11"</f>
        <v>11</v>
      </c>
      <c r="D3871">
        <v>6411</v>
      </c>
      <c r="E3871" t="str">
        <f>"VJ"</f>
        <v>VJ</v>
      </c>
      <c r="F3871" t="str">
        <f>"001"</f>
        <v>001</v>
      </c>
      <c r="G3871">
        <v>9</v>
      </c>
      <c r="H3871" t="str">
        <f>"22"</f>
        <v>22</v>
      </c>
      <c r="I3871" t="str">
        <f>"1"</f>
        <v>1</v>
      </c>
      <c r="J3871" t="str">
        <f>"22"</f>
        <v>22</v>
      </c>
      <c r="K3871">
        <v>20181214</v>
      </c>
      <c r="L3871" t="str">
        <f>"074979"</f>
        <v>074979</v>
      </c>
      <c r="M3871" t="str">
        <f>"00613"</f>
        <v>00613</v>
      </c>
      <c r="N3871" t="s">
        <v>2568</v>
      </c>
      <c r="O3871">
        <v>66.66</v>
      </c>
      <c r="P3871">
        <v>20181212</v>
      </c>
      <c r="Q3871" t="s">
        <v>2569</v>
      </c>
      <c r="R3871" t="s">
        <v>3093</v>
      </c>
      <c r="S3871" t="s">
        <v>1615</v>
      </c>
      <c r="T3871" t="s">
        <v>301</v>
      </c>
    </row>
    <row r="3872" spans="1:20" x14ac:dyDescent="0.25">
      <c r="A3872">
        <v>9</v>
      </c>
      <c r="B3872">
        <v>199</v>
      </c>
      <c r="C3872" t="str">
        <f>"11"</f>
        <v>11</v>
      </c>
      <c r="D3872">
        <v>6412</v>
      </c>
      <c r="E3872" t="str">
        <f>"VJ"</f>
        <v>VJ</v>
      </c>
      <c r="F3872" t="str">
        <f>"001"</f>
        <v>001</v>
      </c>
      <c r="G3872">
        <v>9</v>
      </c>
      <c r="H3872" t="str">
        <f>"22"</f>
        <v>22</v>
      </c>
      <c r="I3872" t="str">
        <f>"1"</f>
        <v>1</v>
      </c>
      <c r="J3872" t="str">
        <f>"22"</f>
        <v>22</v>
      </c>
      <c r="K3872">
        <v>20181214</v>
      </c>
      <c r="L3872" t="str">
        <f>"074979"</f>
        <v>074979</v>
      </c>
      <c r="M3872" t="str">
        <f>"00613"</f>
        <v>00613</v>
      </c>
      <c r="N3872" t="s">
        <v>2568</v>
      </c>
      <c r="O3872">
        <v>320</v>
      </c>
      <c r="P3872">
        <v>20181212</v>
      </c>
      <c r="Q3872" t="s">
        <v>2571</v>
      </c>
      <c r="R3872" t="s">
        <v>3093</v>
      </c>
      <c r="S3872" t="s">
        <v>1615</v>
      </c>
      <c r="T3872" t="s">
        <v>301</v>
      </c>
    </row>
    <row r="3873" spans="1:20" x14ac:dyDescent="0.25">
      <c r="A3873">
        <v>9</v>
      </c>
      <c r="B3873">
        <v>199</v>
      </c>
      <c r="C3873" t="str">
        <f>"51"</f>
        <v>51</v>
      </c>
      <c r="D3873">
        <v>6319</v>
      </c>
      <c r="E3873" t="str">
        <f>"M3"</f>
        <v>M3</v>
      </c>
      <c r="F3873" t="str">
        <f>"936"</f>
        <v>936</v>
      </c>
      <c r="G3873">
        <v>9</v>
      </c>
      <c r="H3873" t="str">
        <f>"99"</f>
        <v>99</v>
      </c>
      <c r="I3873" t="str">
        <f t="shared" ref="I3873:I3878" si="783">"0"</f>
        <v>0</v>
      </c>
      <c r="J3873" t="str">
        <f>"81"</f>
        <v>81</v>
      </c>
      <c r="K3873">
        <v>20181214</v>
      </c>
      <c r="L3873" t="str">
        <f>"074980"</f>
        <v>074980</v>
      </c>
      <c r="M3873" t="str">
        <f>"13268"</f>
        <v>13268</v>
      </c>
      <c r="N3873" t="s">
        <v>2471</v>
      </c>
      <c r="O3873">
        <v>901.92</v>
      </c>
      <c r="P3873">
        <v>20181212</v>
      </c>
      <c r="Q3873" t="s">
        <v>2246</v>
      </c>
      <c r="R3873" t="s">
        <v>2249</v>
      </c>
      <c r="S3873" t="s">
        <v>1615</v>
      </c>
      <c r="T3873" t="s">
        <v>1713</v>
      </c>
    </row>
    <row r="3874" spans="1:20" x14ac:dyDescent="0.25">
      <c r="A3874">
        <v>9</v>
      </c>
      <c r="B3874">
        <v>199</v>
      </c>
      <c r="C3874" t="str">
        <f>"51"</f>
        <v>51</v>
      </c>
      <c r="D3874">
        <v>6319</v>
      </c>
      <c r="E3874" t="str">
        <f>"M3"</f>
        <v>M3</v>
      </c>
      <c r="F3874" t="str">
        <f>"936"</f>
        <v>936</v>
      </c>
      <c r="G3874">
        <v>9</v>
      </c>
      <c r="H3874" t="str">
        <f>"99"</f>
        <v>99</v>
      </c>
      <c r="I3874" t="str">
        <f t="shared" si="783"/>
        <v>0</v>
      </c>
      <c r="J3874" t="str">
        <f>"81"</f>
        <v>81</v>
      </c>
      <c r="K3874">
        <v>20181214</v>
      </c>
      <c r="L3874" t="str">
        <f>"074980"</f>
        <v>074980</v>
      </c>
      <c r="M3874" t="str">
        <f>"13268"</f>
        <v>13268</v>
      </c>
      <c r="N3874" t="s">
        <v>2471</v>
      </c>
      <c r="O3874">
        <v>362.1</v>
      </c>
      <c r="P3874">
        <v>20181212</v>
      </c>
      <c r="Q3874" t="s">
        <v>2246</v>
      </c>
      <c r="R3874" t="s">
        <v>3094</v>
      </c>
      <c r="S3874" t="s">
        <v>1615</v>
      </c>
      <c r="T3874" t="s">
        <v>1713</v>
      </c>
    </row>
    <row r="3875" spans="1:20" x14ac:dyDescent="0.25">
      <c r="A3875">
        <v>9</v>
      </c>
      <c r="B3875">
        <v>199</v>
      </c>
      <c r="C3875" t="str">
        <f>"41"</f>
        <v>41</v>
      </c>
      <c r="D3875">
        <v>6211</v>
      </c>
      <c r="E3875" t="str">
        <f>"01"</f>
        <v>01</v>
      </c>
      <c r="F3875" t="str">
        <f>"702"</f>
        <v>702</v>
      </c>
      <c r="G3875">
        <v>9</v>
      </c>
      <c r="H3875" t="str">
        <f>"99"</f>
        <v>99</v>
      </c>
      <c r="I3875" t="str">
        <f t="shared" si="783"/>
        <v>0</v>
      </c>
      <c r="J3875" t="str">
        <f>"93"</f>
        <v>93</v>
      </c>
      <c r="K3875">
        <v>20181214</v>
      </c>
      <c r="L3875" t="str">
        <f>"074981"</f>
        <v>074981</v>
      </c>
      <c r="M3875" t="str">
        <f>"13281"</f>
        <v>13281</v>
      </c>
      <c r="N3875" t="s">
        <v>1684</v>
      </c>
      <c r="O3875" s="1">
        <v>3208.33</v>
      </c>
      <c r="P3875">
        <v>20181212</v>
      </c>
      <c r="Q3875" t="s">
        <v>1685</v>
      </c>
      <c r="R3875" t="s">
        <v>3095</v>
      </c>
      <c r="S3875" t="s">
        <v>1615</v>
      </c>
      <c r="T3875" t="s">
        <v>1611</v>
      </c>
    </row>
    <row r="3876" spans="1:20" x14ac:dyDescent="0.25">
      <c r="A3876">
        <v>9</v>
      </c>
      <c r="B3876">
        <v>199</v>
      </c>
      <c r="C3876" t="str">
        <f>"11"</f>
        <v>11</v>
      </c>
      <c r="D3876">
        <v>6411</v>
      </c>
      <c r="E3876" t="str">
        <f>"LK"</f>
        <v>LK</v>
      </c>
      <c r="F3876" t="str">
        <f>"041"</f>
        <v>041</v>
      </c>
      <c r="G3876">
        <v>9</v>
      </c>
      <c r="H3876" t="str">
        <f>"11"</f>
        <v>11</v>
      </c>
      <c r="I3876" t="str">
        <f t="shared" si="783"/>
        <v>0</v>
      </c>
      <c r="J3876" t="str">
        <f>"03"</f>
        <v>03</v>
      </c>
      <c r="K3876">
        <v>20181214</v>
      </c>
      <c r="L3876" t="str">
        <f>"074982"</f>
        <v>074982</v>
      </c>
      <c r="M3876" t="str">
        <f>"19094"</f>
        <v>19094</v>
      </c>
      <c r="N3876" t="s">
        <v>1687</v>
      </c>
      <c r="O3876">
        <v>64.400000000000006</v>
      </c>
      <c r="P3876">
        <v>20181212</v>
      </c>
      <c r="Q3876" t="s">
        <v>3042</v>
      </c>
      <c r="R3876" t="s">
        <v>3096</v>
      </c>
      <c r="S3876" t="s">
        <v>1615</v>
      </c>
      <c r="T3876" t="s">
        <v>106</v>
      </c>
    </row>
    <row r="3877" spans="1:20" x14ac:dyDescent="0.25">
      <c r="A3877">
        <v>9</v>
      </c>
      <c r="B3877">
        <v>199</v>
      </c>
      <c r="C3877" t="str">
        <f>"11"</f>
        <v>11</v>
      </c>
      <c r="D3877">
        <v>6399</v>
      </c>
      <c r="E3877" t="str">
        <f>"AY"</f>
        <v>AY</v>
      </c>
      <c r="F3877" t="str">
        <f>"001"</f>
        <v>001</v>
      </c>
      <c r="G3877">
        <v>9</v>
      </c>
      <c r="H3877" t="str">
        <f>"11"</f>
        <v>11</v>
      </c>
      <c r="I3877" t="str">
        <f t="shared" si="783"/>
        <v>0</v>
      </c>
      <c r="J3877" t="str">
        <f>"01"</f>
        <v>01</v>
      </c>
      <c r="K3877">
        <v>20181214</v>
      </c>
      <c r="L3877" t="str">
        <f>"074983"</f>
        <v>074983</v>
      </c>
      <c r="M3877" t="str">
        <f>"19160"</f>
        <v>19160</v>
      </c>
      <c r="N3877" t="s">
        <v>3097</v>
      </c>
      <c r="O3877" s="1">
        <v>1592.65</v>
      </c>
      <c r="P3877">
        <v>20181212</v>
      </c>
      <c r="Q3877" t="s">
        <v>3098</v>
      </c>
      <c r="R3877" t="s">
        <v>3099</v>
      </c>
      <c r="S3877" t="s">
        <v>1615</v>
      </c>
      <c r="T3877" t="s">
        <v>301</v>
      </c>
    </row>
    <row r="3878" spans="1:20" x14ac:dyDescent="0.25">
      <c r="A3878">
        <v>9</v>
      </c>
      <c r="B3878">
        <v>199</v>
      </c>
      <c r="C3878" t="str">
        <f>"41"</f>
        <v>41</v>
      </c>
      <c r="D3878">
        <v>6411</v>
      </c>
      <c r="E3878" t="str">
        <f>"10"</f>
        <v>10</v>
      </c>
      <c r="F3878" t="str">
        <f>"701"</f>
        <v>701</v>
      </c>
      <c r="G3878">
        <v>9</v>
      </c>
      <c r="H3878" t="str">
        <f>"99"</f>
        <v>99</v>
      </c>
      <c r="I3878" t="str">
        <f t="shared" si="783"/>
        <v>0</v>
      </c>
      <c r="J3878" t="str">
        <f>"92"</f>
        <v>92</v>
      </c>
      <c r="K3878">
        <v>20181214</v>
      </c>
      <c r="L3878" t="str">
        <f>"074984"</f>
        <v>074984</v>
      </c>
      <c r="M3878" t="str">
        <f>"00667"</f>
        <v>00667</v>
      </c>
      <c r="N3878" t="s">
        <v>3100</v>
      </c>
      <c r="O3878">
        <v>112.12</v>
      </c>
      <c r="P3878">
        <v>20181212</v>
      </c>
      <c r="Q3878" t="s">
        <v>3101</v>
      </c>
      <c r="R3878" t="s">
        <v>3102</v>
      </c>
      <c r="S3878" t="s">
        <v>1615</v>
      </c>
      <c r="T3878" t="s">
        <v>1841</v>
      </c>
    </row>
    <row r="3879" spans="1:20" x14ac:dyDescent="0.25">
      <c r="A3879">
        <v>9</v>
      </c>
      <c r="B3879">
        <v>199</v>
      </c>
      <c r="C3879" t="str">
        <f>"34"</f>
        <v>34</v>
      </c>
      <c r="D3879">
        <v>6411</v>
      </c>
      <c r="E3879" t="str">
        <f>"11"</f>
        <v>11</v>
      </c>
      <c r="F3879" t="str">
        <f>"937"</f>
        <v>937</v>
      </c>
      <c r="G3879">
        <v>9</v>
      </c>
      <c r="H3879" t="str">
        <f>"99"</f>
        <v>99</v>
      </c>
      <c r="I3879" t="str">
        <f>"1"</f>
        <v>1</v>
      </c>
      <c r="J3879" t="str">
        <f>"82"</f>
        <v>82</v>
      </c>
      <c r="K3879">
        <v>20181214</v>
      </c>
      <c r="L3879" t="str">
        <f>"074985"</f>
        <v>074985</v>
      </c>
      <c r="M3879" t="str">
        <f>"19283"</f>
        <v>19283</v>
      </c>
      <c r="N3879" t="s">
        <v>3103</v>
      </c>
      <c r="O3879">
        <v>27.02</v>
      </c>
      <c r="P3879">
        <v>20181212</v>
      </c>
      <c r="Q3879" t="s">
        <v>2531</v>
      </c>
      <c r="R3879" t="s">
        <v>2744</v>
      </c>
      <c r="S3879" t="s">
        <v>1615</v>
      </c>
      <c r="T3879" t="s">
        <v>1810</v>
      </c>
    </row>
    <row r="3880" spans="1:20" x14ac:dyDescent="0.25">
      <c r="A3880">
        <v>9</v>
      </c>
      <c r="B3880">
        <v>199</v>
      </c>
      <c r="C3880" t="str">
        <f>"11"</f>
        <v>11</v>
      </c>
      <c r="D3880">
        <v>6399</v>
      </c>
      <c r="E3880" t="str">
        <f>"VL"</f>
        <v>VL</v>
      </c>
      <c r="F3880" t="str">
        <f>"001"</f>
        <v>001</v>
      </c>
      <c r="G3880">
        <v>9</v>
      </c>
      <c r="H3880" t="str">
        <f>"22"</f>
        <v>22</v>
      </c>
      <c r="I3880" t="str">
        <f t="shared" ref="I3880:I3885" si="784">"0"</f>
        <v>0</v>
      </c>
      <c r="J3880" t="str">
        <f>"22"</f>
        <v>22</v>
      </c>
      <c r="K3880">
        <v>20181214</v>
      </c>
      <c r="L3880" t="str">
        <f>"074987"</f>
        <v>074987</v>
      </c>
      <c r="M3880" t="str">
        <f>"16807"</f>
        <v>16807</v>
      </c>
      <c r="N3880" t="s">
        <v>1581</v>
      </c>
      <c r="O3880">
        <v>76.63</v>
      </c>
      <c r="P3880">
        <v>20181212</v>
      </c>
      <c r="Q3880" t="s">
        <v>3104</v>
      </c>
      <c r="R3880" t="s">
        <v>1997</v>
      </c>
      <c r="S3880" t="s">
        <v>1615</v>
      </c>
      <c r="T3880" t="s">
        <v>301</v>
      </c>
    </row>
    <row r="3881" spans="1:20" x14ac:dyDescent="0.25">
      <c r="A3881">
        <v>9</v>
      </c>
      <c r="B3881">
        <v>199</v>
      </c>
      <c r="C3881" t="str">
        <f>"31"</f>
        <v>31</v>
      </c>
      <c r="D3881">
        <v>6219</v>
      </c>
      <c r="E3881" t="str">
        <f>"00"</f>
        <v>00</v>
      </c>
      <c r="F3881" t="str">
        <f>"875"</f>
        <v>875</v>
      </c>
      <c r="G3881">
        <v>9</v>
      </c>
      <c r="H3881" t="str">
        <f>"23"</f>
        <v>23</v>
      </c>
      <c r="I3881" t="str">
        <f t="shared" si="784"/>
        <v>0</v>
      </c>
      <c r="J3881" t="str">
        <f>"23"</f>
        <v>23</v>
      </c>
      <c r="K3881">
        <v>20181214</v>
      </c>
      <c r="L3881" t="str">
        <f>"074988"</f>
        <v>074988</v>
      </c>
      <c r="M3881" t="str">
        <f>"74150"</f>
        <v>74150</v>
      </c>
      <c r="N3881" t="s">
        <v>1691</v>
      </c>
      <c r="O3881" s="1">
        <v>1000</v>
      </c>
      <c r="P3881">
        <v>20181212</v>
      </c>
      <c r="Q3881" t="s">
        <v>2207</v>
      </c>
      <c r="R3881" t="s">
        <v>3105</v>
      </c>
      <c r="S3881" t="s">
        <v>1615</v>
      </c>
      <c r="T3881" t="s">
        <v>2041</v>
      </c>
    </row>
    <row r="3882" spans="1:20" x14ac:dyDescent="0.25">
      <c r="A3882">
        <v>9</v>
      </c>
      <c r="B3882">
        <v>199</v>
      </c>
      <c r="C3882" t="str">
        <f>"34"</f>
        <v>34</v>
      </c>
      <c r="D3882">
        <v>6399</v>
      </c>
      <c r="E3882" t="str">
        <f>"11"</f>
        <v>11</v>
      </c>
      <c r="F3882" t="str">
        <f>"937"</f>
        <v>937</v>
      </c>
      <c r="G3882">
        <v>9</v>
      </c>
      <c r="H3882" t="str">
        <f t="shared" ref="H3882:H3887" si="785">"99"</f>
        <v>99</v>
      </c>
      <c r="I3882" t="str">
        <f t="shared" si="784"/>
        <v>0</v>
      </c>
      <c r="J3882" t="str">
        <f>"82"</f>
        <v>82</v>
      </c>
      <c r="K3882">
        <v>20181214</v>
      </c>
      <c r="L3882" t="str">
        <f>"074989"</f>
        <v>074989</v>
      </c>
      <c r="M3882" t="str">
        <f>"19425"</f>
        <v>19425</v>
      </c>
      <c r="N3882" t="s">
        <v>2209</v>
      </c>
      <c r="O3882">
        <v>726.49</v>
      </c>
      <c r="P3882">
        <v>20181212</v>
      </c>
      <c r="Q3882" t="s">
        <v>2210</v>
      </c>
      <c r="R3882" t="s">
        <v>2211</v>
      </c>
      <c r="S3882" t="s">
        <v>1615</v>
      </c>
      <c r="T3882" t="s">
        <v>1810</v>
      </c>
    </row>
    <row r="3883" spans="1:20" x14ac:dyDescent="0.25">
      <c r="A3883">
        <v>9</v>
      </c>
      <c r="B3883">
        <v>199</v>
      </c>
      <c r="C3883" t="str">
        <f>"34"</f>
        <v>34</v>
      </c>
      <c r="D3883">
        <v>6399</v>
      </c>
      <c r="E3883" t="str">
        <f>"11"</f>
        <v>11</v>
      </c>
      <c r="F3883" t="str">
        <f>"937"</f>
        <v>937</v>
      </c>
      <c r="G3883">
        <v>9</v>
      </c>
      <c r="H3883" t="str">
        <f t="shared" si="785"/>
        <v>99</v>
      </c>
      <c r="I3883" t="str">
        <f t="shared" si="784"/>
        <v>0</v>
      </c>
      <c r="J3883" t="str">
        <f>"82"</f>
        <v>82</v>
      </c>
      <c r="K3883">
        <v>20181214</v>
      </c>
      <c r="L3883" t="str">
        <f>"074989"</f>
        <v>074989</v>
      </c>
      <c r="M3883" t="str">
        <f>"19425"</f>
        <v>19425</v>
      </c>
      <c r="N3883" t="s">
        <v>2209</v>
      </c>
      <c r="O3883">
        <v>98.05</v>
      </c>
      <c r="P3883">
        <v>20181212</v>
      </c>
      <c r="Q3883" t="s">
        <v>2210</v>
      </c>
      <c r="R3883" t="s">
        <v>3106</v>
      </c>
      <c r="S3883" t="s">
        <v>1615</v>
      </c>
      <c r="T3883" t="s">
        <v>1810</v>
      </c>
    </row>
    <row r="3884" spans="1:20" x14ac:dyDescent="0.25">
      <c r="A3884">
        <v>9</v>
      </c>
      <c r="B3884">
        <v>199</v>
      </c>
      <c r="C3884" t="str">
        <f>"34"</f>
        <v>34</v>
      </c>
      <c r="D3884">
        <v>6399</v>
      </c>
      <c r="E3884" t="str">
        <f>"11"</f>
        <v>11</v>
      </c>
      <c r="F3884" t="str">
        <f>"937"</f>
        <v>937</v>
      </c>
      <c r="G3884">
        <v>9</v>
      </c>
      <c r="H3884" t="str">
        <f t="shared" si="785"/>
        <v>99</v>
      </c>
      <c r="I3884" t="str">
        <f t="shared" si="784"/>
        <v>0</v>
      </c>
      <c r="J3884" t="str">
        <f>"82"</f>
        <v>82</v>
      </c>
      <c r="K3884">
        <v>20181214</v>
      </c>
      <c r="L3884" t="str">
        <f>"074989"</f>
        <v>074989</v>
      </c>
      <c r="M3884" t="str">
        <f>"19425"</f>
        <v>19425</v>
      </c>
      <c r="N3884" t="s">
        <v>2209</v>
      </c>
      <c r="O3884">
        <v>387.21</v>
      </c>
      <c r="P3884">
        <v>20181212</v>
      </c>
      <c r="Q3884" t="s">
        <v>2210</v>
      </c>
      <c r="R3884" t="s">
        <v>3107</v>
      </c>
      <c r="S3884" t="s">
        <v>1615</v>
      </c>
      <c r="T3884" t="s">
        <v>1810</v>
      </c>
    </row>
    <row r="3885" spans="1:20" x14ac:dyDescent="0.25">
      <c r="A3885">
        <v>9</v>
      </c>
      <c r="B3885">
        <v>199</v>
      </c>
      <c r="C3885" t="str">
        <f>"36"</f>
        <v>36</v>
      </c>
      <c r="D3885">
        <v>6411</v>
      </c>
      <c r="E3885" t="str">
        <f>"7B"</f>
        <v>7B</v>
      </c>
      <c r="F3885" t="str">
        <f t="shared" ref="F3885:F3897" si="786">"001"</f>
        <v>001</v>
      </c>
      <c r="G3885">
        <v>9</v>
      </c>
      <c r="H3885" t="str">
        <f t="shared" si="785"/>
        <v>99</v>
      </c>
      <c r="I3885" t="str">
        <f t="shared" si="784"/>
        <v>0</v>
      </c>
      <c r="J3885" t="str">
        <f>"32"</f>
        <v>32</v>
      </c>
      <c r="K3885">
        <v>20181214</v>
      </c>
      <c r="L3885" t="str">
        <f>"074990"</f>
        <v>074990</v>
      </c>
      <c r="M3885" t="str">
        <f>"20416"</f>
        <v>20416</v>
      </c>
      <c r="N3885" t="s">
        <v>1693</v>
      </c>
      <c r="O3885">
        <v>20</v>
      </c>
      <c r="P3885">
        <v>20181212</v>
      </c>
      <c r="Q3885" t="s">
        <v>1694</v>
      </c>
      <c r="R3885" t="s">
        <v>3108</v>
      </c>
      <c r="S3885" t="s">
        <v>1615</v>
      </c>
      <c r="T3885" t="s">
        <v>301</v>
      </c>
    </row>
    <row r="3886" spans="1:20" x14ac:dyDescent="0.25">
      <c r="A3886">
        <v>9</v>
      </c>
      <c r="B3886">
        <v>199</v>
      </c>
      <c r="C3886" t="str">
        <f>"36"</f>
        <v>36</v>
      </c>
      <c r="D3886">
        <v>6412</v>
      </c>
      <c r="E3886" t="str">
        <f>"7B"</f>
        <v>7B</v>
      </c>
      <c r="F3886" t="str">
        <f t="shared" si="786"/>
        <v>001</v>
      </c>
      <c r="G3886">
        <v>9</v>
      </c>
      <c r="H3886" t="str">
        <f t="shared" si="785"/>
        <v>99</v>
      </c>
      <c r="I3886" t="str">
        <f>"1"</f>
        <v>1</v>
      </c>
      <c r="J3886" t="str">
        <f>"32"</f>
        <v>32</v>
      </c>
      <c r="K3886">
        <v>20181214</v>
      </c>
      <c r="L3886" t="str">
        <f>"074990"</f>
        <v>074990</v>
      </c>
      <c r="M3886" t="str">
        <f>"20416"</f>
        <v>20416</v>
      </c>
      <c r="N3886" t="s">
        <v>1693</v>
      </c>
      <c r="O3886">
        <v>20</v>
      </c>
      <c r="P3886">
        <v>20181212</v>
      </c>
      <c r="Q3886" t="s">
        <v>1696</v>
      </c>
      <c r="R3886" t="s">
        <v>3108</v>
      </c>
      <c r="S3886" t="s">
        <v>1615</v>
      </c>
      <c r="T3886" t="s">
        <v>301</v>
      </c>
    </row>
    <row r="3887" spans="1:20" x14ac:dyDescent="0.25">
      <c r="A3887">
        <v>9</v>
      </c>
      <c r="B3887">
        <v>199</v>
      </c>
      <c r="C3887" t="str">
        <f>"36"</f>
        <v>36</v>
      </c>
      <c r="D3887">
        <v>6399</v>
      </c>
      <c r="E3887" t="str">
        <f>"H2"</f>
        <v>H2</v>
      </c>
      <c r="F3887" t="str">
        <f t="shared" si="786"/>
        <v>001</v>
      </c>
      <c r="G3887">
        <v>9</v>
      </c>
      <c r="H3887" t="str">
        <f t="shared" si="785"/>
        <v>99</v>
      </c>
      <c r="I3887" t="str">
        <f t="shared" ref="I3887:I3897" si="787">"0"</f>
        <v>0</v>
      </c>
      <c r="J3887" t="str">
        <f>"37"</f>
        <v>37</v>
      </c>
      <c r="K3887">
        <v>20181214</v>
      </c>
      <c r="L3887" t="str">
        <f>"074991"</f>
        <v>074991</v>
      </c>
      <c r="M3887" t="str">
        <f>"20447"</f>
        <v>20447</v>
      </c>
      <c r="N3887" t="s">
        <v>3109</v>
      </c>
      <c r="O3887">
        <v>658</v>
      </c>
      <c r="P3887">
        <v>20181212</v>
      </c>
      <c r="Q3887" t="s">
        <v>2779</v>
      </c>
      <c r="R3887" t="s">
        <v>3110</v>
      </c>
      <c r="S3887" t="s">
        <v>1615</v>
      </c>
      <c r="T3887" t="s">
        <v>301</v>
      </c>
    </row>
    <row r="3888" spans="1:20" x14ac:dyDescent="0.25">
      <c r="A3888">
        <v>9</v>
      </c>
      <c r="B3888">
        <v>199</v>
      </c>
      <c r="C3888" t="str">
        <f t="shared" ref="C3888:C3897" si="788">"11"</f>
        <v>11</v>
      </c>
      <c r="D3888">
        <v>6269</v>
      </c>
      <c r="E3888" t="str">
        <f>"VA"</f>
        <v>VA</v>
      </c>
      <c r="F3888" t="str">
        <f t="shared" si="786"/>
        <v>001</v>
      </c>
      <c r="G3888">
        <v>9</v>
      </c>
      <c r="H3888" t="str">
        <f t="shared" ref="H3888:H3897" si="789">"22"</f>
        <v>22</v>
      </c>
      <c r="I3888" t="str">
        <f t="shared" si="787"/>
        <v>0</v>
      </c>
      <c r="J3888" t="str">
        <f t="shared" ref="J3888:J3897" si="790">"22"</f>
        <v>22</v>
      </c>
      <c r="K3888">
        <v>20181214</v>
      </c>
      <c r="L3888" t="str">
        <f t="shared" ref="L3888:L3897" si="791">"074994"</f>
        <v>074994</v>
      </c>
      <c r="M3888" t="str">
        <f t="shared" ref="M3888:M3897" si="792">"20683"</f>
        <v>20683</v>
      </c>
      <c r="N3888" t="s">
        <v>1697</v>
      </c>
      <c r="O3888">
        <v>98.51</v>
      </c>
      <c r="P3888">
        <v>20181212</v>
      </c>
      <c r="Q3888" t="s">
        <v>2213</v>
      </c>
      <c r="R3888" t="s">
        <v>3111</v>
      </c>
      <c r="S3888" t="s">
        <v>1615</v>
      </c>
      <c r="T3888" t="s">
        <v>301</v>
      </c>
    </row>
    <row r="3889" spans="1:20" x14ac:dyDescent="0.25">
      <c r="A3889">
        <v>9</v>
      </c>
      <c r="B3889">
        <v>199</v>
      </c>
      <c r="C3889" t="str">
        <f t="shared" si="788"/>
        <v>11</v>
      </c>
      <c r="D3889">
        <v>6269</v>
      </c>
      <c r="E3889" t="str">
        <f>"VA"</f>
        <v>VA</v>
      </c>
      <c r="F3889" t="str">
        <f t="shared" si="786"/>
        <v>001</v>
      </c>
      <c r="G3889">
        <v>9</v>
      </c>
      <c r="H3889" t="str">
        <f t="shared" si="789"/>
        <v>22</v>
      </c>
      <c r="I3889" t="str">
        <f t="shared" si="787"/>
        <v>0</v>
      </c>
      <c r="J3889" t="str">
        <f t="shared" si="790"/>
        <v>22</v>
      </c>
      <c r="K3889">
        <v>20181214</v>
      </c>
      <c r="L3889" t="str">
        <f t="shared" si="791"/>
        <v>074994</v>
      </c>
      <c r="M3889" t="str">
        <f t="shared" si="792"/>
        <v>20683</v>
      </c>
      <c r="N3889" t="s">
        <v>1697</v>
      </c>
      <c r="O3889">
        <v>48.65</v>
      </c>
      <c r="P3889">
        <v>20181212</v>
      </c>
      <c r="Q3889" t="s">
        <v>2213</v>
      </c>
      <c r="R3889" t="s">
        <v>3112</v>
      </c>
      <c r="S3889" t="s">
        <v>1615</v>
      </c>
      <c r="T3889" t="s">
        <v>301</v>
      </c>
    </row>
    <row r="3890" spans="1:20" x14ac:dyDescent="0.25">
      <c r="A3890">
        <v>9</v>
      </c>
      <c r="B3890">
        <v>199</v>
      </c>
      <c r="C3890" t="str">
        <f t="shared" si="788"/>
        <v>11</v>
      </c>
      <c r="D3890">
        <v>6269</v>
      </c>
      <c r="E3890" t="str">
        <f>"VA"</f>
        <v>VA</v>
      </c>
      <c r="F3890" t="str">
        <f t="shared" si="786"/>
        <v>001</v>
      </c>
      <c r="G3890">
        <v>9</v>
      </c>
      <c r="H3890" t="str">
        <f t="shared" si="789"/>
        <v>22</v>
      </c>
      <c r="I3890" t="str">
        <f t="shared" si="787"/>
        <v>0</v>
      </c>
      <c r="J3890" t="str">
        <f t="shared" si="790"/>
        <v>22</v>
      </c>
      <c r="K3890">
        <v>20181214</v>
      </c>
      <c r="L3890" t="str">
        <f t="shared" si="791"/>
        <v>074994</v>
      </c>
      <c r="M3890" t="str">
        <f t="shared" si="792"/>
        <v>20683</v>
      </c>
      <c r="N3890" t="s">
        <v>1697</v>
      </c>
      <c r="O3890">
        <v>49.76</v>
      </c>
      <c r="P3890">
        <v>20181212</v>
      </c>
      <c r="Q3890" t="s">
        <v>2213</v>
      </c>
      <c r="R3890" t="s">
        <v>3113</v>
      </c>
      <c r="S3890" t="s">
        <v>1615</v>
      </c>
      <c r="T3890" t="s">
        <v>301</v>
      </c>
    </row>
    <row r="3891" spans="1:20" x14ac:dyDescent="0.25">
      <c r="A3891">
        <v>9</v>
      </c>
      <c r="B3891">
        <v>199</v>
      </c>
      <c r="C3891" t="str">
        <f t="shared" si="788"/>
        <v>11</v>
      </c>
      <c r="D3891">
        <v>6269</v>
      </c>
      <c r="E3891" t="str">
        <f>"VA"</f>
        <v>VA</v>
      </c>
      <c r="F3891" t="str">
        <f t="shared" si="786"/>
        <v>001</v>
      </c>
      <c r="G3891">
        <v>9</v>
      </c>
      <c r="H3891" t="str">
        <f t="shared" si="789"/>
        <v>22</v>
      </c>
      <c r="I3891" t="str">
        <f t="shared" si="787"/>
        <v>0</v>
      </c>
      <c r="J3891" t="str">
        <f t="shared" si="790"/>
        <v>22</v>
      </c>
      <c r="K3891">
        <v>20181214</v>
      </c>
      <c r="L3891" t="str">
        <f t="shared" si="791"/>
        <v>074994</v>
      </c>
      <c r="M3891" t="str">
        <f t="shared" si="792"/>
        <v>20683</v>
      </c>
      <c r="N3891" t="s">
        <v>1697</v>
      </c>
      <c r="O3891">
        <v>49.76</v>
      </c>
      <c r="P3891">
        <v>20181212</v>
      </c>
      <c r="Q3891" t="s">
        <v>2213</v>
      </c>
      <c r="R3891" t="s">
        <v>3114</v>
      </c>
      <c r="S3891" t="s">
        <v>1615</v>
      </c>
      <c r="T3891" t="s">
        <v>301</v>
      </c>
    </row>
    <row r="3892" spans="1:20" x14ac:dyDescent="0.25">
      <c r="A3892">
        <v>9</v>
      </c>
      <c r="B3892">
        <v>199</v>
      </c>
      <c r="C3892" t="str">
        <f t="shared" si="788"/>
        <v>11</v>
      </c>
      <c r="D3892">
        <v>6269</v>
      </c>
      <c r="E3892" t="str">
        <f>"VA"</f>
        <v>VA</v>
      </c>
      <c r="F3892" t="str">
        <f t="shared" si="786"/>
        <v>001</v>
      </c>
      <c r="G3892">
        <v>9</v>
      </c>
      <c r="H3892" t="str">
        <f t="shared" si="789"/>
        <v>22</v>
      </c>
      <c r="I3892" t="str">
        <f t="shared" si="787"/>
        <v>0</v>
      </c>
      <c r="J3892" t="str">
        <f t="shared" si="790"/>
        <v>22</v>
      </c>
      <c r="K3892">
        <v>20181214</v>
      </c>
      <c r="L3892" t="str">
        <f t="shared" si="791"/>
        <v>074994</v>
      </c>
      <c r="M3892" t="str">
        <f t="shared" si="792"/>
        <v>20683</v>
      </c>
      <c r="N3892" t="s">
        <v>1697</v>
      </c>
      <c r="O3892">
        <v>96.26</v>
      </c>
      <c r="P3892">
        <v>20181212</v>
      </c>
      <c r="Q3892" t="s">
        <v>2213</v>
      </c>
      <c r="R3892" t="s">
        <v>3115</v>
      </c>
      <c r="S3892" t="s">
        <v>1615</v>
      </c>
      <c r="T3892" t="s">
        <v>301</v>
      </c>
    </row>
    <row r="3893" spans="1:20" x14ac:dyDescent="0.25">
      <c r="A3893">
        <v>9</v>
      </c>
      <c r="B3893">
        <v>199</v>
      </c>
      <c r="C3893" t="str">
        <f t="shared" si="788"/>
        <v>11</v>
      </c>
      <c r="D3893">
        <v>6399</v>
      </c>
      <c r="E3893" t="str">
        <f>"V8"</f>
        <v>V8</v>
      </c>
      <c r="F3893" t="str">
        <f t="shared" si="786"/>
        <v>001</v>
      </c>
      <c r="G3893">
        <v>9</v>
      </c>
      <c r="H3893" t="str">
        <f t="shared" si="789"/>
        <v>22</v>
      </c>
      <c r="I3893" t="str">
        <f t="shared" si="787"/>
        <v>0</v>
      </c>
      <c r="J3893" t="str">
        <f t="shared" si="790"/>
        <v>22</v>
      </c>
      <c r="K3893">
        <v>20181214</v>
      </c>
      <c r="L3893" t="str">
        <f t="shared" si="791"/>
        <v>074994</v>
      </c>
      <c r="M3893" t="str">
        <f t="shared" si="792"/>
        <v>20683</v>
      </c>
      <c r="N3893" t="s">
        <v>1697</v>
      </c>
      <c r="O3893">
        <v>13.69</v>
      </c>
      <c r="P3893">
        <v>20181212</v>
      </c>
      <c r="Q3893" t="s">
        <v>2001</v>
      </c>
      <c r="R3893" t="s">
        <v>3111</v>
      </c>
      <c r="S3893" t="s">
        <v>1615</v>
      </c>
      <c r="T3893" t="s">
        <v>301</v>
      </c>
    </row>
    <row r="3894" spans="1:20" x14ac:dyDescent="0.25">
      <c r="A3894">
        <v>9</v>
      </c>
      <c r="B3894">
        <v>199</v>
      </c>
      <c r="C3894" t="str">
        <f t="shared" si="788"/>
        <v>11</v>
      </c>
      <c r="D3894">
        <v>6399</v>
      </c>
      <c r="E3894" t="str">
        <f>"V8"</f>
        <v>V8</v>
      </c>
      <c r="F3894" t="str">
        <f t="shared" si="786"/>
        <v>001</v>
      </c>
      <c r="G3894">
        <v>9</v>
      </c>
      <c r="H3894" t="str">
        <f t="shared" si="789"/>
        <v>22</v>
      </c>
      <c r="I3894" t="str">
        <f t="shared" si="787"/>
        <v>0</v>
      </c>
      <c r="J3894" t="str">
        <f t="shared" si="790"/>
        <v>22</v>
      </c>
      <c r="K3894">
        <v>20181214</v>
      </c>
      <c r="L3894" t="str">
        <f t="shared" si="791"/>
        <v>074994</v>
      </c>
      <c r="M3894" t="str">
        <f t="shared" si="792"/>
        <v>20683</v>
      </c>
      <c r="N3894" t="s">
        <v>1697</v>
      </c>
      <c r="O3894">
        <v>13.69</v>
      </c>
      <c r="P3894">
        <v>20181212</v>
      </c>
      <c r="Q3894" t="s">
        <v>2001</v>
      </c>
      <c r="R3894" t="s">
        <v>3112</v>
      </c>
      <c r="S3894" t="s">
        <v>1615</v>
      </c>
      <c r="T3894" t="s">
        <v>301</v>
      </c>
    </row>
    <row r="3895" spans="1:20" x14ac:dyDescent="0.25">
      <c r="A3895">
        <v>9</v>
      </c>
      <c r="B3895">
        <v>199</v>
      </c>
      <c r="C3895" t="str">
        <f t="shared" si="788"/>
        <v>11</v>
      </c>
      <c r="D3895">
        <v>6399</v>
      </c>
      <c r="E3895" t="str">
        <f>"V8"</f>
        <v>V8</v>
      </c>
      <c r="F3895" t="str">
        <f t="shared" si="786"/>
        <v>001</v>
      </c>
      <c r="G3895">
        <v>9</v>
      </c>
      <c r="H3895" t="str">
        <f t="shared" si="789"/>
        <v>22</v>
      </c>
      <c r="I3895" t="str">
        <f t="shared" si="787"/>
        <v>0</v>
      </c>
      <c r="J3895" t="str">
        <f t="shared" si="790"/>
        <v>22</v>
      </c>
      <c r="K3895">
        <v>20181214</v>
      </c>
      <c r="L3895" t="str">
        <f t="shared" si="791"/>
        <v>074994</v>
      </c>
      <c r="M3895" t="str">
        <f t="shared" si="792"/>
        <v>20683</v>
      </c>
      <c r="N3895" t="s">
        <v>1697</v>
      </c>
      <c r="O3895">
        <v>13.69</v>
      </c>
      <c r="P3895">
        <v>20181212</v>
      </c>
      <c r="Q3895" t="s">
        <v>2001</v>
      </c>
      <c r="R3895" t="s">
        <v>3113</v>
      </c>
      <c r="S3895" t="s">
        <v>1615</v>
      </c>
      <c r="T3895" t="s">
        <v>301</v>
      </c>
    </row>
    <row r="3896" spans="1:20" x14ac:dyDescent="0.25">
      <c r="A3896">
        <v>9</v>
      </c>
      <c r="B3896">
        <v>199</v>
      </c>
      <c r="C3896" t="str">
        <f t="shared" si="788"/>
        <v>11</v>
      </c>
      <c r="D3896">
        <v>6399</v>
      </c>
      <c r="E3896" t="str">
        <f>"V8"</f>
        <v>V8</v>
      </c>
      <c r="F3896" t="str">
        <f t="shared" si="786"/>
        <v>001</v>
      </c>
      <c r="G3896">
        <v>9</v>
      </c>
      <c r="H3896" t="str">
        <f t="shared" si="789"/>
        <v>22</v>
      </c>
      <c r="I3896" t="str">
        <f t="shared" si="787"/>
        <v>0</v>
      </c>
      <c r="J3896" t="str">
        <f t="shared" si="790"/>
        <v>22</v>
      </c>
      <c r="K3896">
        <v>20181214</v>
      </c>
      <c r="L3896" t="str">
        <f t="shared" si="791"/>
        <v>074994</v>
      </c>
      <c r="M3896" t="str">
        <f t="shared" si="792"/>
        <v>20683</v>
      </c>
      <c r="N3896" t="s">
        <v>1697</v>
      </c>
      <c r="O3896">
        <v>13.69</v>
      </c>
      <c r="P3896">
        <v>20181212</v>
      </c>
      <c r="Q3896" t="s">
        <v>2001</v>
      </c>
      <c r="R3896" t="s">
        <v>3114</v>
      </c>
      <c r="S3896" t="s">
        <v>1615</v>
      </c>
      <c r="T3896" t="s">
        <v>301</v>
      </c>
    </row>
    <row r="3897" spans="1:20" x14ac:dyDescent="0.25">
      <c r="A3897">
        <v>9</v>
      </c>
      <c r="B3897">
        <v>199</v>
      </c>
      <c r="C3897" t="str">
        <f t="shared" si="788"/>
        <v>11</v>
      </c>
      <c r="D3897">
        <v>6399</v>
      </c>
      <c r="E3897" t="str">
        <f>"V8"</f>
        <v>V8</v>
      </c>
      <c r="F3897" t="str">
        <f t="shared" si="786"/>
        <v>001</v>
      </c>
      <c r="G3897">
        <v>9</v>
      </c>
      <c r="H3897" t="str">
        <f t="shared" si="789"/>
        <v>22</v>
      </c>
      <c r="I3897" t="str">
        <f t="shared" si="787"/>
        <v>0</v>
      </c>
      <c r="J3897" t="str">
        <f t="shared" si="790"/>
        <v>22</v>
      </c>
      <c r="K3897">
        <v>20181214</v>
      </c>
      <c r="L3897" t="str">
        <f t="shared" si="791"/>
        <v>074994</v>
      </c>
      <c r="M3897" t="str">
        <f t="shared" si="792"/>
        <v>20683</v>
      </c>
      <c r="N3897" t="s">
        <v>1697</v>
      </c>
      <c r="O3897">
        <v>13.69</v>
      </c>
      <c r="P3897">
        <v>20181212</v>
      </c>
      <c r="Q3897" t="s">
        <v>2001</v>
      </c>
      <c r="R3897" t="s">
        <v>3115</v>
      </c>
      <c r="S3897" t="s">
        <v>1615</v>
      </c>
      <c r="T3897" t="s">
        <v>301</v>
      </c>
    </row>
    <row r="3898" spans="1:20" x14ac:dyDescent="0.25">
      <c r="A3898">
        <v>9</v>
      </c>
      <c r="B3898">
        <v>199</v>
      </c>
      <c r="C3898" t="str">
        <f>"34"</f>
        <v>34</v>
      </c>
      <c r="D3898">
        <v>6411</v>
      </c>
      <c r="E3898" t="str">
        <f>"11"</f>
        <v>11</v>
      </c>
      <c r="F3898" t="str">
        <f>"937"</f>
        <v>937</v>
      </c>
      <c r="G3898">
        <v>9</v>
      </c>
      <c r="H3898" t="str">
        <f>"99"</f>
        <v>99</v>
      </c>
      <c r="I3898" t="str">
        <f>"1"</f>
        <v>1</v>
      </c>
      <c r="J3898" t="str">
        <f>"82"</f>
        <v>82</v>
      </c>
      <c r="K3898">
        <v>20181214</v>
      </c>
      <c r="L3898" t="str">
        <f>"074995"</f>
        <v>074995</v>
      </c>
      <c r="M3898" t="str">
        <f>"00289"</f>
        <v>00289</v>
      </c>
      <c r="N3898" t="s">
        <v>3116</v>
      </c>
      <c r="O3898">
        <v>8.8800000000000008</v>
      </c>
      <c r="P3898">
        <v>20181212</v>
      </c>
      <c r="Q3898" t="s">
        <v>2531</v>
      </c>
      <c r="R3898" t="s">
        <v>2570</v>
      </c>
      <c r="S3898" t="s">
        <v>1615</v>
      </c>
      <c r="T3898" t="s">
        <v>1810</v>
      </c>
    </row>
    <row r="3899" spans="1:20" x14ac:dyDescent="0.25">
      <c r="A3899">
        <v>9</v>
      </c>
      <c r="B3899">
        <v>199</v>
      </c>
      <c r="C3899" t="str">
        <f>"36"</f>
        <v>36</v>
      </c>
      <c r="D3899">
        <v>6299</v>
      </c>
      <c r="E3899" t="str">
        <f>"HC"</f>
        <v>HC</v>
      </c>
      <c r="F3899" t="str">
        <f>"001"</f>
        <v>001</v>
      </c>
      <c r="G3899">
        <v>9</v>
      </c>
      <c r="H3899" t="str">
        <f>"99"</f>
        <v>99</v>
      </c>
      <c r="I3899" t="str">
        <f t="shared" ref="I3899:I3909" si="793">"0"</f>
        <v>0</v>
      </c>
      <c r="J3899" t="str">
        <f>"01"</f>
        <v>01</v>
      </c>
      <c r="K3899">
        <v>20181214</v>
      </c>
      <c r="L3899" t="str">
        <f>"074996"</f>
        <v>074996</v>
      </c>
      <c r="M3899" t="str">
        <f>"20699"</f>
        <v>20699</v>
      </c>
      <c r="N3899" t="s">
        <v>2003</v>
      </c>
      <c r="O3899">
        <v>988.56</v>
      </c>
      <c r="P3899">
        <v>20181212</v>
      </c>
      <c r="Q3899" t="s">
        <v>2574</v>
      </c>
      <c r="R3899" t="s">
        <v>1771</v>
      </c>
      <c r="S3899" t="s">
        <v>1615</v>
      </c>
      <c r="T3899" t="s">
        <v>301</v>
      </c>
    </row>
    <row r="3900" spans="1:20" x14ac:dyDescent="0.25">
      <c r="A3900">
        <v>9</v>
      </c>
      <c r="B3900">
        <v>199</v>
      </c>
      <c r="C3900" t="str">
        <f>"51"</f>
        <v>51</v>
      </c>
      <c r="D3900">
        <v>6319</v>
      </c>
      <c r="E3900" t="str">
        <f>"MC"</f>
        <v>MC</v>
      </c>
      <c r="F3900" t="str">
        <f>"936"</f>
        <v>936</v>
      </c>
      <c r="G3900">
        <v>9</v>
      </c>
      <c r="H3900" t="str">
        <f>"99"</f>
        <v>99</v>
      </c>
      <c r="I3900" t="str">
        <f t="shared" si="793"/>
        <v>0</v>
      </c>
      <c r="J3900" t="str">
        <f>"81"</f>
        <v>81</v>
      </c>
      <c r="K3900">
        <v>20181214</v>
      </c>
      <c r="L3900" t="str">
        <f>"074998"</f>
        <v>074998</v>
      </c>
      <c r="M3900" t="str">
        <f>"21081"</f>
        <v>21081</v>
      </c>
      <c r="N3900" t="s">
        <v>3117</v>
      </c>
      <c r="O3900">
        <v>540</v>
      </c>
      <c r="P3900">
        <v>20181212</v>
      </c>
      <c r="Q3900" t="s">
        <v>2060</v>
      </c>
      <c r="R3900" t="s">
        <v>3118</v>
      </c>
      <c r="S3900" t="s">
        <v>1615</v>
      </c>
      <c r="T3900" t="s">
        <v>1713</v>
      </c>
    </row>
    <row r="3901" spans="1:20" x14ac:dyDescent="0.25">
      <c r="A3901">
        <v>9</v>
      </c>
      <c r="B3901">
        <v>199</v>
      </c>
      <c r="C3901" t="str">
        <f>"11"</f>
        <v>11</v>
      </c>
      <c r="D3901">
        <v>6411</v>
      </c>
      <c r="E3901" t="str">
        <f>"LK"</f>
        <v>LK</v>
      </c>
      <c r="F3901" t="str">
        <f>"041"</f>
        <v>041</v>
      </c>
      <c r="G3901">
        <v>9</v>
      </c>
      <c r="H3901" t="str">
        <f>"11"</f>
        <v>11</v>
      </c>
      <c r="I3901" t="str">
        <f t="shared" si="793"/>
        <v>0</v>
      </c>
      <c r="J3901" t="str">
        <f>"03"</f>
        <v>03</v>
      </c>
      <c r="K3901">
        <v>20181214</v>
      </c>
      <c r="L3901" t="str">
        <f>"075001"</f>
        <v>075001</v>
      </c>
      <c r="M3901" t="str">
        <f>"21358"</f>
        <v>21358</v>
      </c>
      <c r="N3901" t="s">
        <v>420</v>
      </c>
      <c r="O3901">
        <v>56.12</v>
      </c>
      <c r="P3901">
        <v>20181212</v>
      </c>
      <c r="Q3901" t="s">
        <v>3042</v>
      </c>
      <c r="R3901" t="s">
        <v>3096</v>
      </c>
      <c r="S3901" t="s">
        <v>1615</v>
      </c>
      <c r="T3901" t="s">
        <v>106</v>
      </c>
    </row>
    <row r="3902" spans="1:20" x14ac:dyDescent="0.25">
      <c r="A3902">
        <v>9</v>
      </c>
      <c r="B3902">
        <v>199</v>
      </c>
      <c r="C3902" t="str">
        <f>"11"</f>
        <v>11</v>
      </c>
      <c r="D3902">
        <v>6249</v>
      </c>
      <c r="E3902" t="str">
        <f>"57"</f>
        <v>57</v>
      </c>
      <c r="F3902" t="str">
        <f>"001"</f>
        <v>001</v>
      </c>
      <c r="G3902">
        <v>9</v>
      </c>
      <c r="H3902" t="str">
        <f>"11"</f>
        <v>11</v>
      </c>
      <c r="I3902" t="str">
        <f t="shared" si="793"/>
        <v>0</v>
      </c>
      <c r="J3902" t="str">
        <f>"80"</f>
        <v>80</v>
      </c>
      <c r="K3902">
        <v>20181214</v>
      </c>
      <c r="L3902" t="str">
        <f>"075002"</f>
        <v>075002</v>
      </c>
      <c r="M3902" t="str">
        <f>"21468"</f>
        <v>21468</v>
      </c>
      <c r="N3902" t="s">
        <v>2369</v>
      </c>
      <c r="O3902" s="1">
        <v>9283.7000000000007</v>
      </c>
      <c r="P3902">
        <v>20181212</v>
      </c>
      <c r="Q3902" t="s">
        <v>1796</v>
      </c>
      <c r="R3902" t="s">
        <v>3119</v>
      </c>
      <c r="S3902" t="s">
        <v>1615</v>
      </c>
      <c r="T3902" t="s">
        <v>301</v>
      </c>
    </row>
    <row r="3903" spans="1:20" x14ac:dyDescent="0.25">
      <c r="A3903">
        <v>9</v>
      </c>
      <c r="B3903">
        <v>199</v>
      </c>
      <c r="C3903" t="str">
        <f>"11"</f>
        <v>11</v>
      </c>
      <c r="D3903">
        <v>6249</v>
      </c>
      <c r="E3903" t="str">
        <f>"57"</f>
        <v>57</v>
      </c>
      <c r="F3903" t="str">
        <f>"041"</f>
        <v>041</v>
      </c>
      <c r="G3903">
        <v>9</v>
      </c>
      <c r="H3903" t="str">
        <f>"11"</f>
        <v>11</v>
      </c>
      <c r="I3903" t="str">
        <f t="shared" si="793"/>
        <v>0</v>
      </c>
      <c r="J3903" t="str">
        <f>"80"</f>
        <v>80</v>
      </c>
      <c r="K3903">
        <v>20181214</v>
      </c>
      <c r="L3903" t="str">
        <f>"075002"</f>
        <v>075002</v>
      </c>
      <c r="M3903" t="str">
        <f>"21468"</f>
        <v>21468</v>
      </c>
      <c r="N3903" t="s">
        <v>2369</v>
      </c>
      <c r="O3903" s="1">
        <v>9283.7000000000007</v>
      </c>
      <c r="P3903">
        <v>20181212</v>
      </c>
      <c r="Q3903" t="s">
        <v>1798</v>
      </c>
      <c r="R3903" t="s">
        <v>3119</v>
      </c>
      <c r="S3903" t="s">
        <v>1615</v>
      </c>
      <c r="T3903" t="s">
        <v>106</v>
      </c>
    </row>
    <row r="3904" spans="1:20" x14ac:dyDescent="0.25">
      <c r="A3904">
        <v>9</v>
      </c>
      <c r="B3904">
        <v>199</v>
      </c>
      <c r="C3904" t="str">
        <f>"11"</f>
        <v>11</v>
      </c>
      <c r="D3904">
        <v>6249</v>
      </c>
      <c r="E3904" t="str">
        <f>"57"</f>
        <v>57</v>
      </c>
      <c r="F3904" t="str">
        <f>"101"</f>
        <v>101</v>
      </c>
      <c r="G3904">
        <v>9</v>
      </c>
      <c r="H3904" t="str">
        <f>"11"</f>
        <v>11</v>
      </c>
      <c r="I3904" t="str">
        <f t="shared" si="793"/>
        <v>0</v>
      </c>
      <c r="J3904" t="str">
        <f>"80"</f>
        <v>80</v>
      </c>
      <c r="K3904">
        <v>20181214</v>
      </c>
      <c r="L3904" t="str">
        <f>"075002"</f>
        <v>075002</v>
      </c>
      <c r="M3904" t="str">
        <f>"21468"</f>
        <v>21468</v>
      </c>
      <c r="N3904" t="s">
        <v>2369</v>
      </c>
      <c r="O3904" s="1">
        <v>9283.68</v>
      </c>
      <c r="P3904">
        <v>20181212</v>
      </c>
      <c r="Q3904" t="s">
        <v>1799</v>
      </c>
      <c r="R3904" t="s">
        <v>3119</v>
      </c>
      <c r="S3904" t="s">
        <v>1615</v>
      </c>
      <c r="T3904" t="s">
        <v>1479</v>
      </c>
    </row>
    <row r="3905" spans="1:20" x14ac:dyDescent="0.25">
      <c r="A3905">
        <v>9</v>
      </c>
      <c r="B3905">
        <v>199</v>
      </c>
      <c r="C3905" t="str">
        <f>"11"</f>
        <v>11</v>
      </c>
      <c r="D3905">
        <v>6249</v>
      </c>
      <c r="E3905" t="str">
        <f>"57"</f>
        <v>57</v>
      </c>
      <c r="F3905" t="str">
        <f>"104"</f>
        <v>104</v>
      </c>
      <c r="G3905">
        <v>9</v>
      </c>
      <c r="H3905" t="str">
        <f>"11"</f>
        <v>11</v>
      </c>
      <c r="I3905" t="str">
        <f t="shared" si="793"/>
        <v>0</v>
      </c>
      <c r="J3905" t="str">
        <f>"80"</f>
        <v>80</v>
      </c>
      <c r="K3905">
        <v>20181214</v>
      </c>
      <c r="L3905" t="str">
        <f>"075002"</f>
        <v>075002</v>
      </c>
      <c r="M3905" t="str">
        <f>"21468"</f>
        <v>21468</v>
      </c>
      <c r="N3905" t="s">
        <v>2369</v>
      </c>
      <c r="O3905" s="1">
        <v>9283.7000000000007</v>
      </c>
      <c r="P3905">
        <v>20181212</v>
      </c>
      <c r="Q3905" t="s">
        <v>1800</v>
      </c>
      <c r="R3905" t="s">
        <v>3119</v>
      </c>
      <c r="S3905" t="s">
        <v>1615</v>
      </c>
      <c r="T3905" t="s">
        <v>46</v>
      </c>
    </row>
    <row r="3906" spans="1:20" x14ac:dyDescent="0.25">
      <c r="A3906">
        <v>9</v>
      </c>
      <c r="B3906">
        <v>199</v>
      </c>
      <c r="C3906" t="str">
        <f>"31"</f>
        <v>31</v>
      </c>
      <c r="D3906">
        <v>6219</v>
      </c>
      <c r="E3906" t="str">
        <f>"00"</f>
        <v>00</v>
      </c>
      <c r="F3906" t="str">
        <f>"875"</f>
        <v>875</v>
      </c>
      <c r="G3906">
        <v>9</v>
      </c>
      <c r="H3906" t="str">
        <f>"23"</f>
        <v>23</v>
      </c>
      <c r="I3906" t="str">
        <f t="shared" si="793"/>
        <v>0</v>
      </c>
      <c r="J3906" t="str">
        <f>"23"</f>
        <v>23</v>
      </c>
      <c r="K3906">
        <v>20181214</v>
      </c>
      <c r="L3906" t="str">
        <f>"075003"</f>
        <v>075003</v>
      </c>
      <c r="M3906" t="str">
        <f>"21769"</f>
        <v>21769</v>
      </c>
      <c r="N3906" t="s">
        <v>1701</v>
      </c>
      <c r="O3906" s="1">
        <v>5245</v>
      </c>
      <c r="P3906">
        <v>20181212</v>
      </c>
      <c r="Q3906" t="s">
        <v>2207</v>
      </c>
      <c r="R3906" t="s">
        <v>3120</v>
      </c>
      <c r="S3906" t="s">
        <v>1615</v>
      </c>
      <c r="T3906" t="s">
        <v>2041</v>
      </c>
    </row>
    <row r="3907" spans="1:20" x14ac:dyDescent="0.25">
      <c r="A3907">
        <v>9</v>
      </c>
      <c r="B3907">
        <v>199</v>
      </c>
      <c r="C3907" t="str">
        <f>"41"</f>
        <v>41</v>
      </c>
      <c r="D3907">
        <v>6249</v>
      </c>
      <c r="E3907" t="str">
        <f>"11"</f>
        <v>11</v>
      </c>
      <c r="F3907" t="str">
        <f>"726"</f>
        <v>726</v>
      </c>
      <c r="G3907">
        <v>9</v>
      </c>
      <c r="H3907" t="str">
        <f>"99"</f>
        <v>99</v>
      </c>
      <c r="I3907" t="str">
        <f t="shared" si="793"/>
        <v>0</v>
      </c>
      <c r="J3907" t="str">
        <f>"91"</f>
        <v>91</v>
      </c>
      <c r="K3907">
        <v>20181214</v>
      </c>
      <c r="L3907" t="str">
        <f>"075005"</f>
        <v>075005</v>
      </c>
      <c r="M3907" t="str">
        <f>"14850"</f>
        <v>14850</v>
      </c>
      <c r="N3907" t="s">
        <v>3121</v>
      </c>
      <c r="O3907">
        <v>709.95</v>
      </c>
      <c r="P3907">
        <v>20181212</v>
      </c>
      <c r="Q3907" t="s">
        <v>3122</v>
      </c>
      <c r="R3907" t="s">
        <v>3123</v>
      </c>
      <c r="S3907" t="s">
        <v>1615</v>
      </c>
      <c r="T3907" t="s">
        <v>2608</v>
      </c>
    </row>
    <row r="3908" spans="1:20" x14ac:dyDescent="0.25">
      <c r="A3908">
        <v>9</v>
      </c>
      <c r="B3908">
        <v>199</v>
      </c>
      <c r="C3908" t="str">
        <f>"11"</f>
        <v>11</v>
      </c>
      <c r="D3908">
        <v>6412</v>
      </c>
      <c r="E3908" t="str">
        <f>"VL"</f>
        <v>VL</v>
      </c>
      <c r="F3908" t="str">
        <f>"001"</f>
        <v>001</v>
      </c>
      <c r="G3908">
        <v>9</v>
      </c>
      <c r="H3908" t="str">
        <f>"22"</f>
        <v>22</v>
      </c>
      <c r="I3908" t="str">
        <f t="shared" si="793"/>
        <v>0</v>
      </c>
      <c r="J3908" t="str">
        <f>"22"</f>
        <v>22</v>
      </c>
      <c r="K3908">
        <v>20181214</v>
      </c>
      <c r="L3908" t="str">
        <f>"075008"</f>
        <v>075008</v>
      </c>
      <c r="M3908" t="str">
        <f>"25855"</f>
        <v>25855</v>
      </c>
      <c r="N3908" t="s">
        <v>1877</v>
      </c>
      <c r="O3908">
        <v>462</v>
      </c>
      <c r="P3908">
        <v>20181212</v>
      </c>
      <c r="Q3908" t="s">
        <v>1878</v>
      </c>
      <c r="R3908" t="s">
        <v>3124</v>
      </c>
      <c r="S3908" t="s">
        <v>1615</v>
      </c>
      <c r="T3908" t="s">
        <v>301</v>
      </c>
    </row>
    <row r="3909" spans="1:20" x14ac:dyDescent="0.25">
      <c r="A3909">
        <v>9</v>
      </c>
      <c r="B3909">
        <v>199</v>
      </c>
      <c r="C3909" t="str">
        <f>"36"</f>
        <v>36</v>
      </c>
      <c r="D3909">
        <v>6411</v>
      </c>
      <c r="E3909" t="str">
        <f>"VL"</f>
        <v>VL</v>
      </c>
      <c r="F3909" t="str">
        <f>"001"</f>
        <v>001</v>
      </c>
      <c r="G3909">
        <v>9</v>
      </c>
      <c r="H3909" t="str">
        <f>"22"</f>
        <v>22</v>
      </c>
      <c r="I3909" t="str">
        <f t="shared" si="793"/>
        <v>0</v>
      </c>
      <c r="J3909" t="str">
        <f>"22"</f>
        <v>22</v>
      </c>
      <c r="K3909">
        <v>20181214</v>
      </c>
      <c r="L3909" t="str">
        <f>"075008"</f>
        <v>075008</v>
      </c>
      <c r="M3909" t="str">
        <f>"25855"</f>
        <v>25855</v>
      </c>
      <c r="N3909" t="s">
        <v>1877</v>
      </c>
      <c r="O3909">
        <v>42</v>
      </c>
      <c r="P3909">
        <v>20181212</v>
      </c>
      <c r="Q3909" t="s">
        <v>1879</v>
      </c>
      <c r="R3909" t="s">
        <v>3124</v>
      </c>
      <c r="S3909" t="s">
        <v>1615</v>
      </c>
      <c r="T3909" t="s">
        <v>301</v>
      </c>
    </row>
    <row r="3910" spans="1:20" x14ac:dyDescent="0.25">
      <c r="A3910">
        <v>9</v>
      </c>
      <c r="B3910">
        <v>199</v>
      </c>
      <c r="C3910" t="str">
        <f>"34"</f>
        <v>34</v>
      </c>
      <c r="D3910">
        <v>6411</v>
      </c>
      <c r="E3910" t="str">
        <f>"11"</f>
        <v>11</v>
      </c>
      <c r="F3910" t="str">
        <f>"937"</f>
        <v>937</v>
      </c>
      <c r="G3910">
        <v>9</v>
      </c>
      <c r="H3910" t="str">
        <f>"99"</f>
        <v>99</v>
      </c>
      <c r="I3910" t="str">
        <f>"1"</f>
        <v>1</v>
      </c>
      <c r="J3910" t="str">
        <f>"82"</f>
        <v>82</v>
      </c>
      <c r="K3910">
        <v>20181214</v>
      </c>
      <c r="L3910" t="str">
        <f>"075009"</f>
        <v>075009</v>
      </c>
      <c r="M3910" t="str">
        <f>"00657"</f>
        <v>00657</v>
      </c>
      <c r="N3910" t="s">
        <v>3125</v>
      </c>
      <c r="O3910">
        <v>62.26</v>
      </c>
      <c r="P3910">
        <v>20181212</v>
      </c>
      <c r="Q3910" t="s">
        <v>2531</v>
      </c>
      <c r="R3910" t="s">
        <v>2975</v>
      </c>
      <c r="S3910" t="s">
        <v>1615</v>
      </c>
      <c r="T3910" t="s">
        <v>1810</v>
      </c>
    </row>
    <row r="3911" spans="1:20" x14ac:dyDescent="0.25">
      <c r="A3911">
        <v>9</v>
      </c>
      <c r="B3911">
        <v>199</v>
      </c>
      <c r="C3911" t="str">
        <f>"53"</f>
        <v>53</v>
      </c>
      <c r="D3911">
        <v>6299</v>
      </c>
      <c r="E3911" t="str">
        <f>"10"</f>
        <v>10</v>
      </c>
      <c r="F3911" t="str">
        <f>"880"</f>
        <v>880</v>
      </c>
      <c r="G3911">
        <v>9</v>
      </c>
      <c r="H3911" t="str">
        <f>"99"</f>
        <v>99</v>
      </c>
      <c r="I3911" t="str">
        <f>"0"</f>
        <v>0</v>
      </c>
      <c r="J3911" t="str">
        <f>"80"</f>
        <v>80</v>
      </c>
      <c r="K3911">
        <v>20181214</v>
      </c>
      <c r="L3911" t="str">
        <f>"075010"</f>
        <v>075010</v>
      </c>
      <c r="M3911" t="str">
        <f>"25165"</f>
        <v>25165</v>
      </c>
      <c r="N3911" t="s">
        <v>2860</v>
      </c>
      <c r="O3911" s="1">
        <v>12250</v>
      </c>
      <c r="P3911">
        <v>20181212</v>
      </c>
      <c r="Q3911" t="s">
        <v>3126</v>
      </c>
      <c r="R3911" t="s">
        <v>3127</v>
      </c>
      <c r="S3911" t="s">
        <v>1615</v>
      </c>
      <c r="T3911" t="s">
        <v>1866</v>
      </c>
    </row>
    <row r="3912" spans="1:20" x14ac:dyDescent="0.25">
      <c r="A3912">
        <v>9</v>
      </c>
      <c r="B3912">
        <v>199</v>
      </c>
      <c r="C3912" t="str">
        <f>"34"</f>
        <v>34</v>
      </c>
      <c r="D3912">
        <v>6411</v>
      </c>
      <c r="E3912" t="str">
        <f>"11"</f>
        <v>11</v>
      </c>
      <c r="F3912" t="str">
        <f>"937"</f>
        <v>937</v>
      </c>
      <c r="G3912">
        <v>9</v>
      </c>
      <c r="H3912" t="str">
        <f>"99"</f>
        <v>99</v>
      </c>
      <c r="I3912" t="str">
        <f>"1"</f>
        <v>1</v>
      </c>
      <c r="J3912" t="str">
        <f>"82"</f>
        <v>82</v>
      </c>
      <c r="K3912">
        <v>20181214</v>
      </c>
      <c r="L3912" t="str">
        <f>"075011"</f>
        <v>075011</v>
      </c>
      <c r="M3912" t="str">
        <f>"00658"</f>
        <v>00658</v>
      </c>
      <c r="N3912" t="s">
        <v>3128</v>
      </c>
      <c r="O3912">
        <v>60.41</v>
      </c>
      <c r="P3912">
        <v>20181212</v>
      </c>
      <c r="Q3912" t="s">
        <v>2531</v>
      </c>
      <c r="R3912" t="s">
        <v>2975</v>
      </c>
      <c r="S3912" t="s">
        <v>1615</v>
      </c>
      <c r="T3912" t="s">
        <v>1810</v>
      </c>
    </row>
    <row r="3913" spans="1:20" x14ac:dyDescent="0.25">
      <c r="A3913">
        <v>9</v>
      </c>
      <c r="B3913">
        <v>199</v>
      </c>
      <c r="C3913" t="str">
        <f>"12"</f>
        <v>12</v>
      </c>
      <c r="D3913">
        <v>6411</v>
      </c>
      <c r="E3913" t="str">
        <f>"00"</f>
        <v>00</v>
      </c>
      <c r="F3913" t="str">
        <f>"001"</f>
        <v>001</v>
      </c>
      <c r="G3913">
        <v>9</v>
      </c>
      <c r="H3913" t="str">
        <f>"11"</f>
        <v>11</v>
      </c>
      <c r="I3913" t="str">
        <f t="shared" ref="I3913:I3934" si="794">"0"</f>
        <v>0</v>
      </c>
      <c r="J3913" t="str">
        <f>"94"</f>
        <v>94</v>
      </c>
      <c r="K3913">
        <v>20181214</v>
      </c>
      <c r="L3913" t="str">
        <f t="shared" ref="L3913:L3920" si="795">"075012"</f>
        <v>075012</v>
      </c>
      <c r="M3913" t="str">
        <f t="shared" ref="M3913:M3920" si="796">"27900"</f>
        <v>27900</v>
      </c>
      <c r="N3913" t="s">
        <v>1490</v>
      </c>
      <c r="O3913">
        <v>45</v>
      </c>
      <c r="P3913">
        <v>20181212</v>
      </c>
      <c r="Q3913" t="s">
        <v>3129</v>
      </c>
      <c r="R3913" t="s">
        <v>3130</v>
      </c>
      <c r="S3913" t="s">
        <v>1615</v>
      </c>
      <c r="T3913" t="s">
        <v>301</v>
      </c>
    </row>
    <row r="3914" spans="1:20" x14ac:dyDescent="0.25">
      <c r="A3914">
        <v>9</v>
      </c>
      <c r="B3914">
        <v>199</v>
      </c>
      <c r="C3914" t="str">
        <f>"13"</f>
        <v>13</v>
      </c>
      <c r="D3914">
        <v>6239</v>
      </c>
      <c r="E3914" t="str">
        <f>"10"</f>
        <v>10</v>
      </c>
      <c r="F3914" t="str">
        <f>"001"</f>
        <v>001</v>
      </c>
      <c r="G3914">
        <v>9</v>
      </c>
      <c r="H3914" t="str">
        <f>"11"</f>
        <v>11</v>
      </c>
      <c r="I3914" t="str">
        <f t="shared" si="794"/>
        <v>0</v>
      </c>
      <c r="J3914" t="str">
        <f>"94"</f>
        <v>94</v>
      </c>
      <c r="K3914">
        <v>20181214</v>
      </c>
      <c r="L3914" t="str">
        <f t="shared" si="795"/>
        <v>075012</v>
      </c>
      <c r="M3914" t="str">
        <f t="shared" si="796"/>
        <v>27900</v>
      </c>
      <c r="N3914" t="s">
        <v>1490</v>
      </c>
      <c r="O3914" s="1">
        <v>6166.75</v>
      </c>
      <c r="P3914">
        <v>20181212</v>
      </c>
      <c r="Q3914" t="s">
        <v>3131</v>
      </c>
      <c r="R3914" t="s">
        <v>1524</v>
      </c>
      <c r="S3914" t="s">
        <v>1615</v>
      </c>
      <c r="T3914" t="s">
        <v>301</v>
      </c>
    </row>
    <row r="3915" spans="1:20" x14ac:dyDescent="0.25">
      <c r="A3915">
        <v>9</v>
      </c>
      <c r="B3915">
        <v>199</v>
      </c>
      <c r="C3915" t="str">
        <f>"13"</f>
        <v>13</v>
      </c>
      <c r="D3915">
        <v>6239</v>
      </c>
      <c r="E3915" t="str">
        <f>"10"</f>
        <v>10</v>
      </c>
      <c r="F3915" t="str">
        <f>"041"</f>
        <v>041</v>
      </c>
      <c r="G3915">
        <v>9</v>
      </c>
      <c r="H3915" t="str">
        <f>"11"</f>
        <v>11</v>
      </c>
      <c r="I3915" t="str">
        <f t="shared" si="794"/>
        <v>0</v>
      </c>
      <c r="J3915" t="str">
        <f>"94"</f>
        <v>94</v>
      </c>
      <c r="K3915">
        <v>20181214</v>
      </c>
      <c r="L3915" t="str">
        <f t="shared" si="795"/>
        <v>075012</v>
      </c>
      <c r="M3915" t="str">
        <f t="shared" si="796"/>
        <v>27900</v>
      </c>
      <c r="N3915" t="s">
        <v>1490</v>
      </c>
      <c r="O3915" s="1">
        <v>4676.0600000000004</v>
      </c>
      <c r="P3915">
        <v>20181212</v>
      </c>
      <c r="Q3915" t="s">
        <v>3132</v>
      </c>
      <c r="R3915" t="s">
        <v>1524</v>
      </c>
      <c r="S3915" t="s">
        <v>1615</v>
      </c>
      <c r="T3915" t="s">
        <v>106</v>
      </c>
    </row>
    <row r="3916" spans="1:20" x14ac:dyDescent="0.25">
      <c r="A3916">
        <v>9</v>
      </c>
      <c r="B3916">
        <v>199</v>
      </c>
      <c r="C3916" t="str">
        <f>"13"</f>
        <v>13</v>
      </c>
      <c r="D3916">
        <v>6411</v>
      </c>
      <c r="E3916" t="str">
        <f>"11"</f>
        <v>11</v>
      </c>
      <c r="F3916" t="str">
        <f>"101"</f>
        <v>101</v>
      </c>
      <c r="G3916">
        <v>9</v>
      </c>
      <c r="H3916" t="str">
        <f>"11"</f>
        <v>11</v>
      </c>
      <c r="I3916" t="str">
        <f t="shared" si="794"/>
        <v>0</v>
      </c>
      <c r="J3916" t="str">
        <f>"04"</f>
        <v>04</v>
      </c>
      <c r="K3916">
        <v>20181214</v>
      </c>
      <c r="L3916" t="str">
        <f t="shared" si="795"/>
        <v>075012</v>
      </c>
      <c r="M3916" t="str">
        <f t="shared" si="796"/>
        <v>27900</v>
      </c>
      <c r="N3916" t="s">
        <v>1490</v>
      </c>
      <c r="O3916">
        <v>75</v>
      </c>
      <c r="P3916">
        <v>20181212</v>
      </c>
      <c r="Q3916" t="s">
        <v>3133</v>
      </c>
      <c r="R3916" t="s">
        <v>3134</v>
      </c>
      <c r="S3916" t="s">
        <v>1615</v>
      </c>
      <c r="T3916" t="s">
        <v>1479</v>
      </c>
    </row>
    <row r="3917" spans="1:20" x14ac:dyDescent="0.25">
      <c r="A3917">
        <v>9</v>
      </c>
      <c r="B3917">
        <v>199</v>
      </c>
      <c r="C3917" t="str">
        <f>"13"</f>
        <v>13</v>
      </c>
      <c r="D3917">
        <v>6411</v>
      </c>
      <c r="E3917" t="str">
        <f>"VB"</f>
        <v>VB</v>
      </c>
      <c r="F3917" t="str">
        <f>"001"</f>
        <v>001</v>
      </c>
      <c r="G3917">
        <v>9</v>
      </c>
      <c r="H3917" t="str">
        <f>"22"</f>
        <v>22</v>
      </c>
      <c r="I3917" t="str">
        <f t="shared" si="794"/>
        <v>0</v>
      </c>
      <c r="J3917" t="str">
        <f>"22"</f>
        <v>22</v>
      </c>
      <c r="K3917">
        <v>20181214</v>
      </c>
      <c r="L3917" t="str">
        <f t="shared" si="795"/>
        <v>075012</v>
      </c>
      <c r="M3917" t="str">
        <f t="shared" si="796"/>
        <v>27900</v>
      </c>
      <c r="N3917" t="s">
        <v>1490</v>
      </c>
      <c r="O3917">
        <v>45</v>
      </c>
      <c r="P3917">
        <v>20181212</v>
      </c>
      <c r="Q3917" t="s">
        <v>3135</v>
      </c>
      <c r="R3917" t="s">
        <v>3130</v>
      </c>
      <c r="S3917" t="s">
        <v>1615</v>
      </c>
      <c r="T3917" t="s">
        <v>301</v>
      </c>
    </row>
    <row r="3918" spans="1:20" x14ac:dyDescent="0.25">
      <c r="A3918">
        <v>9</v>
      </c>
      <c r="B3918">
        <v>199</v>
      </c>
      <c r="C3918" t="str">
        <f>"13"</f>
        <v>13</v>
      </c>
      <c r="D3918">
        <v>6411</v>
      </c>
      <c r="E3918" t="str">
        <f>"VB"</f>
        <v>VB</v>
      </c>
      <c r="F3918" t="str">
        <f>"001"</f>
        <v>001</v>
      </c>
      <c r="G3918">
        <v>9</v>
      </c>
      <c r="H3918" t="str">
        <f>"22"</f>
        <v>22</v>
      </c>
      <c r="I3918" t="str">
        <f t="shared" si="794"/>
        <v>0</v>
      </c>
      <c r="J3918" t="str">
        <f>"22"</f>
        <v>22</v>
      </c>
      <c r="K3918">
        <v>20181214</v>
      </c>
      <c r="L3918" t="str">
        <f t="shared" si="795"/>
        <v>075012</v>
      </c>
      <c r="M3918" t="str">
        <f t="shared" si="796"/>
        <v>27900</v>
      </c>
      <c r="N3918" t="s">
        <v>1490</v>
      </c>
      <c r="O3918">
        <v>45</v>
      </c>
      <c r="P3918">
        <v>20181212</v>
      </c>
      <c r="Q3918" t="s">
        <v>3135</v>
      </c>
      <c r="R3918" t="s">
        <v>3130</v>
      </c>
      <c r="S3918" t="s">
        <v>1615</v>
      </c>
      <c r="T3918" t="s">
        <v>301</v>
      </c>
    </row>
    <row r="3919" spans="1:20" x14ac:dyDescent="0.25">
      <c r="A3919">
        <v>9</v>
      </c>
      <c r="B3919">
        <v>199</v>
      </c>
      <c r="C3919" t="str">
        <f>"34"</f>
        <v>34</v>
      </c>
      <c r="D3919">
        <v>6411</v>
      </c>
      <c r="E3919" t="str">
        <f>"10"</f>
        <v>10</v>
      </c>
      <c r="F3919" t="str">
        <f>"937"</f>
        <v>937</v>
      </c>
      <c r="G3919">
        <v>9</v>
      </c>
      <c r="H3919" t="str">
        <f>"99"</f>
        <v>99</v>
      </c>
      <c r="I3919" t="str">
        <f t="shared" si="794"/>
        <v>0</v>
      </c>
      <c r="J3919" t="str">
        <f>"82"</f>
        <v>82</v>
      </c>
      <c r="K3919">
        <v>20181214</v>
      </c>
      <c r="L3919" t="str">
        <f t="shared" si="795"/>
        <v>075012</v>
      </c>
      <c r="M3919" t="str">
        <f t="shared" si="796"/>
        <v>27900</v>
      </c>
      <c r="N3919" t="s">
        <v>1490</v>
      </c>
      <c r="O3919">
        <v>60</v>
      </c>
      <c r="P3919">
        <v>20181212</v>
      </c>
      <c r="Q3919" t="s">
        <v>2604</v>
      </c>
      <c r="R3919" t="s">
        <v>3136</v>
      </c>
      <c r="S3919" t="s">
        <v>1615</v>
      </c>
      <c r="T3919" t="s">
        <v>1810</v>
      </c>
    </row>
    <row r="3920" spans="1:20" x14ac:dyDescent="0.25">
      <c r="A3920">
        <v>9</v>
      </c>
      <c r="B3920">
        <v>199</v>
      </c>
      <c r="C3920" t="str">
        <f>"41"</f>
        <v>41</v>
      </c>
      <c r="D3920">
        <v>6239</v>
      </c>
      <c r="E3920" t="str">
        <f>"11"</f>
        <v>11</v>
      </c>
      <c r="F3920" t="str">
        <f>"701"</f>
        <v>701</v>
      </c>
      <c r="G3920">
        <v>9</v>
      </c>
      <c r="H3920" t="str">
        <f>"99"</f>
        <v>99</v>
      </c>
      <c r="I3920" t="str">
        <f t="shared" si="794"/>
        <v>0</v>
      </c>
      <c r="J3920" t="str">
        <f>"92"</f>
        <v>92</v>
      </c>
      <c r="K3920">
        <v>20181214</v>
      </c>
      <c r="L3920" t="str">
        <f t="shared" si="795"/>
        <v>075012</v>
      </c>
      <c r="M3920" t="str">
        <f t="shared" si="796"/>
        <v>27900</v>
      </c>
      <c r="N3920" t="s">
        <v>1490</v>
      </c>
      <c r="O3920" s="1">
        <v>7495</v>
      </c>
      <c r="P3920">
        <v>20181212</v>
      </c>
      <c r="Q3920" t="s">
        <v>3137</v>
      </c>
      <c r="R3920" t="s">
        <v>3138</v>
      </c>
      <c r="S3920" t="s">
        <v>1615</v>
      </c>
      <c r="T3920" t="s">
        <v>1841</v>
      </c>
    </row>
    <row r="3921" spans="1:20" x14ac:dyDescent="0.25">
      <c r="A3921">
        <v>9</v>
      </c>
      <c r="B3921">
        <v>199</v>
      </c>
      <c r="C3921" t="str">
        <f>"13"</f>
        <v>13</v>
      </c>
      <c r="D3921">
        <v>6411</v>
      </c>
      <c r="E3921" t="str">
        <f>"PD"</f>
        <v>PD</v>
      </c>
      <c r="F3921" t="str">
        <f>"001"</f>
        <v>001</v>
      </c>
      <c r="G3921">
        <v>9</v>
      </c>
      <c r="H3921" t="str">
        <f>"31"</f>
        <v>31</v>
      </c>
      <c r="I3921" t="str">
        <f t="shared" si="794"/>
        <v>0</v>
      </c>
      <c r="J3921" t="str">
        <f>"34"</f>
        <v>34</v>
      </c>
      <c r="K3921">
        <v>20181214</v>
      </c>
      <c r="L3921" t="str">
        <f>"075013"</f>
        <v>075013</v>
      </c>
      <c r="M3921" t="str">
        <f>"28680"</f>
        <v>28680</v>
      </c>
      <c r="N3921" t="s">
        <v>482</v>
      </c>
      <c r="O3921">
        <v>124.55</v>
      </c>
      <c r="P3921">
        <v>20181212</v>
      </c>
      <c r="Q3921" t="s">
        <v>2220</v>
      </c>
      <c r="R3921" t="s">
        <v>2221</v>
      </c>
      <c r="S3921" t="s">
        <v>1615</v>
      </c>
      <c r="T3921" t="s">
        <v>301</v>
      </c>
    </row>
    <row r="3922" spans="1:20" x14ac:dyDescent="0.25">
      <c r="A3922">
        <v>9</v>
      </c>
      <c r="B3922">
        <v>199</v>
      </c>
      <c r="C3922" t="str">
        <f>"36"</f>
        <v>36</v>
      </c>
      <c r="D3922">
        <v>6412</v>
      </c>
      <c r="E3922" t="str">
        <f>"09"</f>
        <v>09</v>
      </c>
      <c r="F3922" t="str">
        <f>"001"</f>
        <v>001</v>
      </c>
      <c r="G3922">
        <v>9</v>
      </c>
      <c r="H3922" t="str">
        <f t="shared" ref="H3922:H3931" si="797">"99"</f>
        <v>99</v>
      </c>
      <c r="I3922" t="str">
        <f t="shared" si="794"/>
        <v>0</v>
      </c>
      <c r="J3922" t="str">
        <f>"01"</f>
        <v>01</v>
      </c>
      <c r="K3922">
        <v>20181214</v>
      </c>
      <c r="L3922" t="str">
        <f>"075013"</f>
        <v>075013</v>
      </c>
      <c r="M3922" t="str">
        <f>"28680"</f>
        <v>28680</v>
      </c>
      <c r="N3922" t="s">
        <v>482</v>
      </c>
      <c r="O3922">
        <v>87.87</v>
      </c>
      <c r="P3922">
        <v>20181212</v>
      </c>
      <c r="Q3922" t="s">
        <v>2427</v>
      </c>
      <c r="R3922" t="s">
        <v>2428</v>
      </c>
      <c r="S3922" t="s">
        <v>1615</v>
      </c>
      <c r="T3922" t="s">
        <v>301</v>
      </c>
    </row>
    <row r="3923" spans="1:20" x14ac:dyDescent="0.25">
      <c r="A3923">
        <v>9</v>
      </c>
      <c r="B3923">
        <v>199</v>
      </c>
      <c r="C3923" t="str">
        <f>"41"</f>
        <v>41</v>
      </c>
      <c r="D3923">
        <v>6499</v>
      </c>
      <c r="E3923" t="str">
        <f>"12"</f>
        <v>12</v>
      </c>
      <c r="F3923" t="str">
        <f>"720"</f>
        <v>720</v>
      </c>
      <c r="G3923">
        <v>9</v>
      </c>
      <c r="H3923" t="str">
        <f t="shared" si="797"/>
        <v>99</v>
      </c>
      <c r="I3923" t="str">
        <f t="shared" si="794"/>
        <v>0</v>
      </c>
      <c r="J3923" t="str">
        <f>"91"</f>
        <v>91</v>
      </c>
      <c r="K3923">
        <v>20181214</v>
      </c>
      <c r="L3923" t="str">
        <f>"075014"</f>
        <v>075014</v>
      </c>
      <c r="M3923" t="str">
        <f>"28820"</f>
        <v>28820</v>
      </c>
      <c r="N3923" t="s">
        <v>2224</v>
      </c>
      <c r="O3923">
        <v>32.450000000000003</v>
      </c>
      <c r="P3923">
        <v>20181212</v>
      </c>
      <c r="Q3923" t="s">
        <v>2225</v>
      </c>
      <c r="R3923" t="s">
        <v>3139</v>
      </c>
      <c r="S3923" t="s">
        <v>1615</v>
      </c>
      <c r="T3923" t="s">
        <v>2045</v>
      </c>
    </row>
    <row r="3924" spans="1:20" x14ac:dyDescent="0.25">
      <c r="A3924">
        <v>9</v>
      </c>
      <c r="B3924">
        <v>199</v>
      </c>
      <c r="C3924" t="str">
        <f>"41"</f>
        <v>41</v>
      </c>
      <c r="D3924">
        <v>6499</v>
      </c>
      <c r="E3924" t="str">
        <f>"12"</f>
        <v>12</v>
      </c>
      <c r="F3924" t="str">
        <f>"720"</f>
        <v>720</v>
      </c>
      <c r="G3924">
        <v>9</v>
      </c>
      <c r="H3924" t="str">
        <f t="shared" si="797"/>
        <v>99</v>
      </c>
      <c r="I3924" t="str">
        <f t="shared" si="794"/>
        <v>0</v>
      </c>
      <c r="J3924" t="str">
        <f>"91"</f>
        <v>91</v>
      </c>
      <c r="K3924">
        <v>20181214</v>
      </c>
      <c r="L3924" t="str">
        <f>"075014"</f>
        <v>075014</v>
      </c>
      <c r="M3924" t="str">
        <f>"28820"</f>
        <v>28820</v>
      </c>
      <c r="N3924" t="s">
        <v>2224</v>
      </c>
      <c r="O3924">
        <v>36.75</v>
      </c>
      <c r="P3924">
        <v>20181212</v>
      </c>
      <c r="Q3924" t="s">
        <v>2225</v>
      </c>
      <c r="R3924" t="s">
        <v>2227</v>
      </c>
      <c r="S3924" t="s">
        <v>1615</v>
      </c>
      <c r="T3924" t="s">
        <v>2045</v>
      </c>
    </row>
    <row r="3925" spans="1:20" x14ac:dyDescent="0.25">
      <c r="A3925">
        <v>9</v>
      </c>
      <c r="B3925">
        <v>199</v>
      </c>
      <c r="C3925" t="str">
        <f t="shared" ref="C3925:C3930" si="798">"51"</f>
        <v>51</v>
      </c>
      <c r="D3925">
        <v>6319</v>
      </c>
      <c r="E3925" t="str">
        <f>"MC"</f>
        <v>MC</v>
      </c>
      <c r="F3925" t="str">
        <f t="shared" ref="F3925:F3930" si="799">"936"</f>
        <v>936</v>
      </c>
      <c r="G3925">
        <v>9</v>
      </c>
      <c r="H3925" t="str">
        <f t="shared" si="797"/>
        <v>99</v>
      </c>
      <c r="I3925" t="str">
        <f t="shared" si="794"/>
        <v>0</v>
      </c>
      <c r="J3925" t="str">
        <f>"81"</f>
        <v>81</v>
      </c>
      <c r="K3925">
        <v>20181214</v>
      </c>
      <c r="L3925" t="str">
        <f>"075015"</f>
        <v>075015</v>
      </c>
      <c r="M3925" t="str">
        <f>"29548"</f>
        <v>29548</v>
      </c>
      <c r="N3925" t="s">
        <v>2064</v>
      </c>
      <c r="O3925">
        <v>63.12</v>
      </c>
      <c r="P3925">
        <v>20181212</v>
      </c>
      <c r="Q3925" t="s">
        <v>2060</v>
      </c>
      <c r="R3925" t="s">
        <v>3140</v>
      </c>
      <c r="S3925" t="s">
        <v>1615</v>
      </c>
      <c r="T3925" t="s">
        <v>1713</v>
      </c>
    </row>
    <row r="3926" spans="1:20" x14ac:dyDescent="0.25">
      <c r="A3926">
        <v>9</v>
      </c>
      <c r="B3926">
        <v>199</v>
      </c>
      <c r="C3926" t="str">
        <f t="shared" si="798"/>
        <v>51</v>
      </c>
      <c r="D3926">
        <v>6319</v>
      </c>
      <c r="E3926" t="str">
        <f>"MC"</f>
        <v>MC</v>
      </c>
      <c r="F3926" t="str">
        <f t="shared" si="799"/>
        <v>936</v>
      </c>
      <c r="G3926">
        <v>9</v>
      </c>
      <c r="H3926" t="str">
        <f t="shared" si="797"/>
        <v>99</v>
      </c>
      <c r="I3926" t="str">
        <f t="shared" si="794"/>
        <v>0</v>
      </c>
      <c r="J3926" t="str">
        <f>"81"</f>
        <v>81</v>
      </c>
      <c r="K3926">
        <v>20181214</v>
      </c>
      <c r="L3926" t="str">
        <f>"075015"</f>
        <v>075015</v>
      </c>
      <c r="M3926" t="str">
        <f>"29548"</f>
        <v>29548</v>
      </c>
      <c r="N3926" t="s">
        <v>2064</v>
      </c>
      <c r="O3926">
        <v>36</v>
      </c>
      <c r="P3926">
        <v>20181212</v>
      </c>
      <c r="Q3926" t="s">
        <v>2060</v>
      </c>
      <c r="R3926" t="s">
        <v>3141</v>
      </c>
      <c r="S3926" t="s">
        <v>1615</v>
      </c>
      <c r="T3926" t="s">
        <v>1713</v>
      </c>
    </row>
    <row r="3927" spans="1:20" x14ac:dyDescent="0.25">
      <c r="A3927">
        <v>9</v>
      </c>
      <c r="B3927">
        <v>199</v>
      </c>
      <c r="C3927" t="str">
        <f t="shared" si="798"/>
        <v>51</v>
      </c>
      <c r="D3927">
        <v>6319</v>
      </c>
      <c r="E3927" t="str">
        <f>"MC"</f>
        <v>MC</v>
      </c>
      <c r="F3927" t="str">
        <f t="shared" si="799"/>
        <v>936</v>
      </c>
      <c r="G3927">
        <v>9</v>
      </c>
      <c r="H3927" t="str">
        <f t="shared" si="797"/>
        <v>99</v>
      </c>
      <c r="I3927" t="str">
        <f t="shared" si="794"/>
        <v>0</v>
      </c>
      <c r="J3927" t="str">
        <f>"81"</f>
        <v>81</v>
      </c>
      <c r="K3927">
        <v>20181214</v>
      </c>
      <c r="L3927" t="str">
        <f>"075017"</f>
        <v>075017</v>
      </c>
      <c r="M3927" t="str">
        <f>"29609"</f>
        <v>29609</v>
      </c>
      <c r="N3927" t="s">
        <v>2491</v>
      </c>
      <c r="O3927">
        <v>258.17</v>
      </c>
      <c r="P3927">
        <v>20181212</v>
      </c>
      <c r="Q3927" t="s">
        <v>2060</v>
      </c>
      <c r="R3927" t="s">
        <v>2492</v>
      </c>
      <c r="S3927" t="s">
        <v>1615</v>
      </c>
      <c r="T3927" t="s">
        <v>1713</v>
      </c>
    </row>
    <row r="3928" spans="1:20" x14ac:dyDescent="0.25">
      <c r="A3928">
        <v>9</v>
      </c>
      <c r="B3928">
        <v>199</v>
      </c>
      <c r="C3928" t="str">
        <f t="shared" si="798"/>
        <v>51</v>
      </c>
      <c r="D3928">
        <v>6319</v>
      </c>
      <c r="E3928" t="str">
        <f>"MC"</f>
        <v>MC</v>
      </c>
      <c r="F3928" t="str">
        <f t="shared" si="799"/>
        <v>936</v>
      </c>
      <c r="G3928">
        <v>9</v>
      </c>
      <c r="H3928" t="str">
        <f t="shared" si="797"/>
        <v>99</v>
      </c>
      <c r="I3928" t="str">
        <f t="shared" si="794"/>
        <v>0</v>
      </c>
      <c r="J3928" t="str">
        <f>"81"</f>
        <v>81</v>
      </c>
      <c r="K3928">
        <v>20181214</v>
      </c>
      <c r="L3928" t="str">
        <f>"075017"</f>
        <v>075017</v>
      </c>
      <c r="M3928" t="str">
        <f>"29609"</f>
        <v>29609</v>
      </c>
      <c r="N3928" t="s">
        <v>2491</v>
      </c>
      <c r="O3928">
        <v>148.66</v>
      </c>
      <c r="P3928">
        <v>20181212</v>
      </c>
      <c r="Q3928" t="s">
        <v>2060</v>
      </c>
      <c r="R3928" t="s">
        <v>3142</v>
      </c>
      <c r="S3928" t="s">
        <v>1615</v>
      </c>
      <c r="T3928" t="s">
        <v>1713</v>
      </c>
    </row>
    <row r="3929" spans="1:20" x14ac:dyDescent="0.25">
      <c r="A3929">
        <v>9</v>
      </c>
      <c r="B3929">
        <v>199</v>
      </c>
      <c r="C3929" t="str">
        <f t="shared" si="798"/>
        <v>51</v>
      </c>
      <c r="D3929">
        <v>6319</v>
      </c>
      <c r="E3929" t="str">
        <f>"MC"</f>
        <v>MC</v>
      </c>
      <c r="F3929" t="str">
        <f t="shared" si="799"/>
        <v>936</v>
      </c>
      <c r="G3929">
        <v>9</v>
      </c>
      <c r="H3929" t="str">
        <f t="shared" si="797"/>
        <v>99</v>
      </c>
      <c r="I3929" t="str">
        <f t="shared" si="794"/>
        <v>0</v>
      </c>
      <c r="J3929" t="str">
        <f>"81"</f>
        <v>81</v>
      </c>
      <c r="K3929">
        <v>20181214</v>
      </c>
      <c r="L3929" t="str">
        <f>"075017"</f>
        <v>075017</v>
      </c>
      <c r="M3929" t="str">
        <f>"29609"</f>
        <v>29609</v>
      </c>
      <c r="N3929" t="s">
        <v>2491</v>
      </c>
      <c r="O3929">
        <v>8.6300000000000008</v>
      </c>
      <c r="P3929">
        <v>20181212</v>
      </c>
      <c r="Q3929" t="s">
        <v>2060</v>
      </c>
      <c r="R3929" t="s">
        <v>3143</v>
      </c>
      <c r="S3929" t="s">
        <v>1615</v>
      </c>
      <c r="T3929" t="s">
        <v>1713</v>
      </c>
    </row>
    <row r="3930" spans="1:20" x14ac:dyDescent="0.25">
      <c r="A3930">
        <v>9</v>
      </c>
      <c r="B3930">
        <v>199</v>
      </c>
      <c r="C3930" t="str">
        <f t="shared" si="798"/>
        <v>51</v>
      </c>
      <c r="D3930">
        <v>6249</v>
      </c>
      <c r="E3930" t="str">
        <f>"WF"</f>
        <v>WF</v>
      </c>
      <c r="F3930" t="str">
        <f t="shared" si="799"/>
        <v>936</v>
      </c>
      <c r="G3930">
        <v>9</v>
      </c>
      <c r="H3930" t="str">
        <f t="shared" si="797"/>
        <v>99</v>
      </c>
      <c r="I3930" t="str">
        <f t="shared" si="794"/>
        <v>0</v>
      </c>
      <c r="J3930" t="str">
        <f>"82"</f>
        <v>82</v>
      </c>
      <c r="K3930">
        <v>20181214</v>
      </c>
      <c r="L3930" t="str">
        <f>"075019"</f>
        <v>075019</v>
      </c>
      <c r="M3930" t="str">
        <f>"06470"</f>
        <v>06470</v>
      </c>
      <c r="N3930" t="s">
        <v>3144</v>
      </c>
      <c r="O3930">
        <v>157.27000000000001</v>
      </c>
      <c r="P3930">
        <v>20181212</v>
      </c>
      <c r="Q3930" t="s">
        <v>2127</v>
      </c>
      <c r="R3930" t="s">
        <v>3145</v>
      </c>
      <c r="S3930" t="s">
        <v>1615</v>
      </c>
      <c r="T3930" t="s">
        <v>1713</v>
      </c>
    </row>
    <row r="3931" spans="1:20" x14ac:dyDescent="0.25">
      <c r="A3931">
        <v>9</v>
      </c>
      <c r="B3931">
        <v>199</v>
      </c>
      <c r="C3931" t="str">
        <f>"41"</f>
        <v>41</v>
      </c>
      <c r="D3931">
        <v>6399</v>
      </c>
      <c r="E3931" t="str">
        <f>"10"</f>
        <v>10</v>
      </c>
      <c r="F3931" t="str">
        <f>"726"</f>
        <v>726</v>
      </c>
      <c r="G3931">
        <v>9</v>
      </c>
      <c r="H3931" t="str">
        <f t="shared" si="797"/>
        <v>99</v>
      </c>
      <c r="I3931" t="str">
        <f t="shared" si="794"/>
        <v>0</v>
      </c>
      <c r="J3931" t="str">
        <f>"91"</f>
        <v>91</v>
      </c>
      <c r="K3931">
        <v>20181214</v>
      </c>
      <c r="L3931" t="str">
        <f>"075026"</f>
        <v>075026</v>
      </c>
      <c r="M3931" t="str">
        <f>"00637"</f>
        <v>00637</v>
      </c>
      <c r="N3931" t="s">
        <v>3146</v>
      </c>
      <c r="O3931">
        <v>28.44</v>
      </c>
      <c r="P3931">
        <v>20181212</v>
      </c>
      <c r="Q3931" t="s">
        <v>2702</v>
      </c>
      <c r="R3931" t="s">
        <v>3147</v>
      </c>
      <c r="S3931" t="s">
        <v>1615</v>
      </c>
      <c r="T3931" t="s">
        <v>2608</v>
      </c>
    </row>
    <row r="3932" spans="1:20" x14ac:dyDescent="0.25">
      <c r="A3932">
        <v>9</v>
      </c>
      <c r="B3932">
        <v>199</v>
      </c>
      <c r="C3932" t="str">
        <f>"11"</f>
        <v>11</v>
      </c>
      <c r="D3932">
        <v>6399</v>
      </c>
      <c r="E3932" t="str">
        <f>"45"</f>
        <v>45</v>
      </c>
      <c r="F3932" t="str">
        <f>"101"</f>
        <v>101</v>
      </c>
      <c r="G3932">
        <v>9</v>
      </c>
      <c r="H3932" t="str">
        <f>"11"</f>
        <v>11</v>
      </c>
      <c r="I3932" t="str">
        <f t="shared" si="794"/>
        <v>0</v>
      </c>
      <c r="J3932" t="str">
        <f>"04"</f>
        <v>04</v>
      </c>
      <c r="K3932">
        <v>20181214</v>
      </c>
      <c r="L3932" t="str">
        <f>"075027"</f>
        <v>075027</v>
      </c>
      <c r="M3932" t="str">
        <f>"34680"</f>
        <v>34680</v>
      </c>
      <c r="N3932" t="s">
        <v>2228</v>
      </c>
      <c r="O3932">
        <v>532.32000000000005</v>
      </c>
      <c r="P3932">
        <v>20181212</v>
      </c>
      <c r="Q3932" t="s">
        <v>1859</v>
      </c>
      <c r="R3932" t="s">
        <v>3148</v>
      </c>
      <c r="S3932" t="s">
        <v>1615</v>
      </c>
      <c r="T3932" t="s">
        <v>1479</v>
      </c>
    </row>
    <row r="3933" spans="1:20" x14ac:dyDescent="0.25">
      <c r="A3933">
        <v>9</v>
      </c>
      <c r="B3933">
        <v>199</v>
      </c>
      <c r="C3933" t="str">
        <f>"11"</f>
        <v>11</v>
      </c>
      <c r="D3933">
        <v>6399</v>
      </c>
      <c r="E3933" t="str">
        <f>"45"</f>
        <v>45</v>
      </c>
      <c r="F3933" t="str">
        <f>"101"</f>
        <v>101</v>
      </c>
      <c r="G3933">
        <v>9</v>
      </c>
      <c r="H3933" t="str">
        <f>"11"</f>
        <v>11</v>
      </c>
      <c r="I3933" t="str">
        <f t="shared" si="794"/>
        <v>0</v>
      </c>
      <c r="J3933" t="str">
        <f>"04"</f>
        <v>04</v>
      </c>
      <c r="K3933">
        <v>20181214</v>
      </c>
      <c r="L3933" t="str">
        <f>"075027"</f>
        <v>075027</v>
      </c>
      <c r="M3933" t="str">
        <f>"34680"</f>
        <v>34680</v>
      </c>
      <c r="N3933" t="s">
        <v>2228</v>
      </c>
      <c r="O3933">
        <v>31.88</v>
      </c>
      <c r="P3933">
        <v>20181212</v>
      </c>
      <c r="Q3933" t="s">
        <v>1859</v>
      </c>
      <c r="R3933" t="s">
        <v>3149</v>
      </c>
      <c r="S3933" t="s">
        <v>1615</v>
      </c>
      <c r="T3933" t="s">
        <v>1479</v>
      </c>
    </row>
    <row r="3934" spans="1:20" x14ac:dyDescent="0.25">
      <c r="A3934">
        <v>9</v>
      </c>
      <c r="B3934">
        <v>199</v>
      </c>
      <c r="C3934" t="str">
        <f>"11"</f>
        <v>11</v>
      </c>
      <c r="D3934">
        <v>6399</v>
      </c>
      <c r="E3934" t="str">
        <f>"45"</f>
        <v>45</v>
      </c>
      <c r="F3934" t="str">
        <f>"101"</f>
        <v>101</v>
      </c>
      <c r="G3934">
        <v>9</v>
      </c>
      <c r="H3934" t="str">
        <f>"11"</f>
        <v>11</v>
      </c>
      <c r="I3934" t="str">
        <f t="shared" si="794"/>
        <v>0</v>
      </c>
      <c r="J3934" t="str">
        <f>"04"</f>
        <v>04</v>
      </c>
      <c r="K3934">
        <v>20181214</v>
      </c>
      <c r="L3934" t="str">
        <f>"075027"</f>
        <v>075027</v>
      </c>
      <c r="M3934" t="str">
        <f>"34680"</f>
        <v>34680</v>
      </c>
      <c r="N3934" t="s">
        <v>2228</v>
      </c>
      <c r="O3934">
        <v>720</v>
      </c>
      <c r="P3934">
        <v>20181212</v>
      </c>
      <c r="Q3934" t="s">
        <v>1859</v>
      </c>
      <c r="R3934" t="s">
        <v>3148</v>
      </c>
      <c r="S3934" t="s">
        <v>1615</v>
      </c>
      <c r="T3934" t="s">
        <v>1479</v>
      </c>
    </row>
    <row r="3935" spans="1:20" x14ac:dyDescent="0.25">
      <c r="A3935">
        <v>9</v>
      </c>
      <c r="B3935">
        <v>199</v>
      </c>
      <c r="C3935" t="str">
        <f>"36"</f>
        <v>36</v>
      </c>
      <c r="D3935">
        <v>6411</v>
      </c>
      <c r="E3935" t="str">
        <f>"8M"</f>
        <v>8M</v>
      </c>
      <c r="F3935" t="str">
        <f>"001"</f>
        <v>001</v>
      </c>
      <c r="G3935">
        <v>9</v>
      </c>
      <c r="H3935" t="str">
        <f>"99"</f>
        <v>99</v>
      </c>
      <c r="I3935" t="str">
        <f>"1"</f>
        <v>1</v>
      </c>
      <c r="J3935" t="str">
        <f>"33"</f>
        <v>33</v>
      </c>
      <c r="K3935">
        <v>20181214</v>
      </c>
      <c r="L3935" t="str">
        <f>"075028"</f>
        <v>075028</v>
      </c>
      <c r="M3935" t="str">
        <f>"37805"</f>
        <v>37805</v>
      </c>
      <c r="N3935" t="s">
        <v>1627</v>
      </c>
      <c r="O3935">
        <v>16.66</v>
      </c>
      <c r="P3935">
        <v>20181212</v>
      </c>
      <c r="Q3935" t="s">
        <v>1628</v>
      </c>
      <c r="R3935" t="s">
        <v>3150</v>
      </c>
      <c r="S3935" t="s">
        <v>1615</v>
      </c>
      <c r="T3935" t="s">
        <v>301</v>
      </c>
    </row>
    <row r="3936" spans="1:20" x14ac:dyDescent="0.25">
      <c r="A3936">
        <v>9</v>
      </c>
      <c r="B3936">
        <v>199</v>
      </c>
      <c r="C3936" t="str">
        <f>"36"</f>
        <v>36</v>
      </c>
      <c r="D3936">
        <v>6412</v>
      </c>
      <c r="E3936" t="str">
        <f>"8M"</f>
        <v>8M</v>
      </c>
      <c r="F3936" t="str">
        <f>"001"</f>
        <v>001</v>
      </c>
      <c r="G3936">
        <v>9</v>
      </c>
      <c r="H3936" t="str">
        <f>"99"</f>
        <v>99</v>
      </c>
      <c r="I3936" t="str">
        <f>"1"</f>
        <v>1</v>
      </c>
      <c r="J3936" t="str">
        <f>"33"</f>
        <v>33</v>
      </c>
      <c r="K3936">
        <v>20181214</v>
      </c>
      <c r="L3936" t="str">
        <f>"075028"</f>
        <v>075028</v>
      </c>
      <c r="M3936" t="str">
        <f>"37805"</f>
        <v>37805</v>
      </c>
      <c r="N3936" t="s">
        <v>1627</v>
      </c>
      <c r="O3936">
        <v>60</v>
      </c>
      <c r="P3936">
        <v>20181212</v>
      </c>
      <c r="Q3936" t="s">
        <v>1629</v>
      </c>
      <c r="R3936" t="s">
        <v>3150</v>
      </c>
      <c r="S3936" t="s">
        <v>1615</v>
      </c>
      <c r="T3936" t="s">
        <v>301</v>
      </c>
    </row>
    <row r="3937" spans="1:20" x14ac:dyDescent="0.25">
      <c r="A3937">
        <v>9</v>
      </c>
      <c r="B3937">
        <v>199</v>
      </c>
      <c r="C3937" t="str">
        <f t="shared" ref="C3937:C3949" si="800">"11"</f>
        <v>11</v>
      </c>
      <c r="D3937">
        <v>6399</v>
      </c>
      <c r="E3937" t="str">
        <f>"74"</f>
        <v>74</v>
      </c>
      <c r="F3937" t="str">
        <f>"041"</f>
        <v>041</v>
      </c>
      <c r="G3937">
        <v>9</v>
      </c>
      <c r="H3937" t="str">
        <f>"11"</f>
        <v>11</v>
      </c>
      <c r="I3937" t="str">
        <f t="shared" ref="I3937:I3962" si="801">"0"</f>
        <v>0</v>
      </c>
      <c r="J3937" t="str">
        <f>"03"</f>
        <v>03</v>
      </c>
      <c r="K3937">
        <v>20181214</v>
      </c>
      <c r="L3937" t="str">
        <f t="shared" ref="L3937:L3952" si="802">"075030"</f>
        <v>075030</v>
      </c>
      <c r="M3937" t="str">
        <f t="shared" ref="M3937:M3952" si="803">"37500"</f>
        <v>37500</v>
      </c>
      <c r="N3937" t="s">
        <v>2077</v>
      </c>
      <c r="O3937">
        <v>121.76</v>
      </c>
      <c r="P3937">
        <v>20181212</v>
      </c>
      <c r="Q3937" t="s">
        <v>2302</v>
      </c>
      <c r="R3937" t="s">
        <v>3151</v>
      </c>
      <c r="S3937" t="s">
        <v>1615</v>
      </c>
      <c r="T3937" t="s">
        <v>106</v>
      </c>
    </row>
    <row r="3938" spans="1:20" x14ac:dyDescent="0.25">
      <c r="A3938">
        <v>9</v>
      </c>
      <c r="B3938">
        <v>199</v>
      </c>
      <c r="C3938" t="str">
        <f t="shared" si="800"/>
        <v>11</v>
      </c>
      <c r="D3938">
        <v>6399</v>
      </c>
      <c r="E3938" t="str">
        <f>"V8"</f>
        <v>V8</v>
      </c>
      <c r="F3938" t="str">
        <f t="shared" ref="F3938:F3945" si="804">"001"</f>
        <v>001</v>
      </c>
      <c r="G3938">
        <v>9</v>
      </c>
      <c r="H3938" t="str">
        <f t="shared" ref="H3938:H3945" si="805">"22"</f>
        <v>22</v>
      </c>
      <c r="I3938" t="str">
        <f t="shared" si="801"/>
        <v>0</v>
      </c>
      <c r="J3938" t="str">
        <f t="shared" ref="J3938:J3945" si="806">"22"</f>
        <v>22</v>
      </c>
      <c r="K3938">
        <v>20181214</v>
      </c>
      <c r="L3938" t="str">
        <f t="shared" si="802"/>
        <v>075030</v>
      </c>
      <c r="M3938" t="str">
        <f t="shared" si="803"/>
        <v>37500</v>
      </c>
      <c r="N3938" t="s">
        <v>2077</v>
      </c>
      <c r="O3938">
        <v>91.36</v>
      </c>
      <c r="P3938">
        <v>20181212</v>
      </c>
      <c r="Q3938" t="s">
        <v>2001</v>
      </c>
      <c r="R3938" t="s">
        <v>3152</v>
      </c>
      <c r="S3938" t="s">
        <v>1615</v>
      </c>
      <c r="T3938" t="s">
        <v>301</v>
      </c>
    </row>
    <row r="3939" spans="1:20" x14ac:dyDescent="0.25">
      <c r="A3939">
        <v>9</v>
      </c>
      <c r="B3939">
        <v>199</v>
      </c>
      <c r="C3939" t="str">
        <f t="shared" si="800"/>
        <v>11</v>
      </c>
      <c r="D3939">
        <v>6399</v>
      </c>
      <c r="E3939" t="str">
        <f>"V8"</f>
        <v>V8</v>
      </c>
      <c r="F3939" t="str">
        <f t="shared" si="804"/>
        <v>001</v>
      </c>
      <c r="G3939">
        <v>9</v>
      </c>
      <c r="H3939" t="str">
        <f t="shared" si="805"/>
        <v>22</v>
      </c>
      <c r="I3939" t="str">
        <f t="shared" si="801"/>
        <v>0</v>
      </c>
      <c r="J3939" t="str">
        <f t="shared" si="806"/>
        <v>22</v>
      </c>
      <c r="K3939">
        <v>20181214</v>
      </c>
      <c r="L3939" t="str">
        <f t="shared" si="802"/>
        <v>075030</v>
      </c>
      <c r="M3939" t="str">
        <f t="shared" si="803"/>
        <v>37500</v>
      </c>
      <c r="N3939" t="s">
        <v>2077</v>
      </c>
      <c r="O3939">
        <v>27.82</v>
      </c>
      <c r="P3939">
        <v>20181212</v>
      </c>
      <c r="Q3939" t="s">
        <v>2001</v>
      </c>
      <c r="R3939" t="s">
        <v>3152</v>
      </c>
      <c r="S3939" t="s">
        <v>1615</v>
      </c>
      <c r="T3939" t="s">
        <v>301</v>
      </c>
    </row>
    <row r="3940" spans="1:20" x14ac:dyDescent="0.25">
      <c r="A3940">
        <v>9</v>
      </c>
      <c r="B3940">
        <v>199</v>
      </c>
      <c r="C3940" t="str">
        <f t="shared" si="800"/>
        <v>11</v>
      </c>
      <c r="D3940">
        <v>6399</v>
      </c>
      <c r="E3940" t="str">
        <f>"VH"</f>
        <v>VH</v>
      </c>
      <c r="F3940" t="str">
        <f t="shared" si="804"/>
        <v>001</v>
      </c>
      <c r="G3940">
        <v>9</v>
      </c>
      <c r="H3940" t="str">
        <f t="shared" si="805"/>
        <v>22</v>
      </c>
      <c r="I3940" t="str">
        <f t="shared" si="801"/>
        <v>0</v>
      </c>
      <c r="J3940" t="str">
        <f t="shared" si="806"/>
        <v>22</v>
      </c>
      <c r="K3940">
        <v>20181214</v>
      </c>
      <c r="L3940" t="str">
        <f t="shared" si="802"/>
        <v>075030</v>
      </c>
      <c r="M3940" t="str">
        <f t="shared" si="803"/>
        <v>37500</v>
      </c>
      <c r="N3940" t="s">
        <v>2077</v>
      </c>
      <c r="O3940">
        <v>209.06</v>
      </c>
      <c r="P3940">
        <v>20181212</v>
      </c>
      <c r="Q3940" t="s">
        <v>2206</v>
      </c>
      <c r="R3940" t="s">
        <v>2636</v>
      </c>
      <c r="S3940" t="s">
        <v>1615</v>
      </c>
      <c r="T3940" t="s">
        <v>301</v>
      </c>
    </row>
    <row r="3941" spans="1:20" x14ac:dyDescent="0.25">
      <c r="A3941">
        <v>9</v>
      </c>
      <c r="B3941">
        <v>199</v>
      </c>
      <c r="C3941" t="str">
        <f t="shared" si="800"/>
        <v>11</v>
      </c>
      <c r="D3941">
        <v>6399</v>
      </c>
      <c r="E3941" t="str">
        <f>"VH"</f>
        <v>VH</v>
      </c>
      <c r="F3941" t="str">
        <f t="shared" si="804"/>
        <v>001</v>
      </c>
      <c r="G3941">
        <v>9</v>
      </c>
      <c r="H3941" t="str">
        <f t="shared" si="805"/>
        <v>22</v>
      </c>
      <c r="I3941" t="str">
        <f t="shared" si="801"/>
        <v>0</v>
      </c>
      <c r="J3941" t="str">
        <f t="shared" si="806"/>
        <v>22</v>
      </c>
      <c r="K3941">
        <v>20181214</v>
      </c>
      <c r="L3941" t="str">
        <f t="shared" si="802"/>
        <v>075030</v>
      </c>
      <c r="M3941" t="str">
        <f t="shared" si="803"/>
        <v>37500</v>
      </c>
      <c r="N3941" t="s">
        <v>2077</v>
      </c>
      <c r="O3941">
        <v>188.07</v>
      </c>
      <c r="P3941">
        <v>20181212</v>
      </c>
      <c r="Q3941" t="s">
        <v>2206</v>
      </c>
      <c r="R3941" t="s">
        <v>2636</v>
      </c>
      <c r="S3941" t="s">
        <v>1615</v>
      </c>
      <c r="T3941" t="s">
        <v>301</v>
      </c>
    </row>
    <row r="3942" spans="1:20" x14ac:dyDescent="0.25">
      <c r="A3942">
        <v>9</v>
      </c>
      <c r="B3942">
        <v>199</v>
      </c>
      <c r="C3942" t="str">
        <f t="shared" si="800"/>
        <v>11</v>
      </c>
      <c r="D3942">
        <v>6399</v>
      </c>
      <c r="E3942" t="str">
        <f>"VH"</f>
        <v>VH</v>
      </c>
      <c r="F3942" t="str">
        <f t="shared" si="804"/>
        <v>001</v>
      </c>
      <c r="G3942">
        <v>9</v>
      </c>
      <c r="H3942" t="str">
        <f t="shared" si="805"/>
        <v>22</v>
      </c>
      <c r="I3942" t="str">
        <f t="shared" si="801"/>
        <v>0</v>
      </c>
      <c r="J3942" t="str">
        <f t="shared" si="806"/>
        <v>22</v>
      </c>
      <c r="K3942">
        <v>20181214</v>
      </c>
      <c r="L3942" t="str">
        <f t="shared" si="802"/>
        <v>075030</v>
      </c>
      <c r="M3942" t="str">
        <f t="shared" si="803"/>
        <v>37500</v>
      </c>
      <c r="N3942" t="s">
        <v>2077</v>
      </c>
      <c r="O3942">
        <v>276.77999999999997</v>
      </c>
      <c r="P3942">
        <v>20181212</v>
      </c>
      <c r="Q3942" t="s">
        <v>2206</v>
      </c>
      <c r="R3942" t="s">
        <v>2636</v>
      </c>
      <c r="S3942" t="s">
        <v>1615</v>
      </c>
      <c r="T3942" t="s">
        <v>301</v>
      </c>
    </row>
    <row r="3943" spans="1:20" x14ac:dyDescent="0.25">
      <c r="A3943">
        <v>9</v>
      </c>
      <c r="B3943">
        <v>199</v>
      </c>
      <c r="C3943" t="str">
        <f t="shared" si="800"/>
        <v>11</v>
      </c>
      <c r="D3943">
        <v>6412</v>
      </c>
      <c r="E3943" t="str">
        <f>"VD"</f>
        <v>VD</v>
      </c>
      <c r="F3943" t="str">
        <f t="shared" si="804"/>
        <v>001</v>
      </c>
      <c r="G3943">
        <v>9</v>
      </c>
      <c r="H3943" t="str">
        <f t="shared" si="805"/>
        <v>22</v>
      </c>
      <c r="I3943" t="str">
        <f t="shared" si="801"/>
        <v>0</v>
      </c>
      <c r="J3943" t="str">
        <f t="shared" si="806"/>
        <v>22</v>
      </c>
      <c r="K3943">
        <v>20181214</v>
      </c>
      <c r="L3943" t="str">
        <f t="shared" si="802"/>
        <v>075030</v>
      </c>
      <c r="M3943" t="str">
        <f t="shared" si="803"/>
        <v>37500</v>
      </c>
      <c r="N3943" t="s">
        <v>2077</v>
      </c>
      <c r="O3943">
        <v>25.02</v>
      </c>
      <c r="P3943">
        <v>20181212</v>
      </c>
      <c r="Q3943" t="s">
        <v>2120</v>
      </c>
      <c r="R3943" t="s">
        <v>2364</v>
      </c>
      <c r="S3943" t="s">
        <v>1615</v>
      </c>
      <c r="T3943" t="s">
        <v>301</v>
      </c>
    </row>
    <row r="3944" spans="1:20" x14ac:dyDescent="0.25">
      <c r="A3944">
        <v>9</v>
      </c>
      <c r="B3944">
        <v>199</v>
      </c>
      <c r="C3944" t="str">
        <f t="shared" si="800"/>
        <v>11</v>
      </c>
      <c r="D3944">
        <v>6498</v>
      </c>
      <c r="E3944" t="str">
        <f>"V1"</f>
        <v>V1</v>
      </c>
      <c r="F3944" t="str">
        <f t="shared" si="804"/>
        <v>001</v>
      </c>
      <c r="G3944">
        <v>9</v>
      </c>
      <c r="H3944" t="str">
        <f t="shared" si="805"/>
        <v>22</v>
      </c>
      <c r="I3944" t="str">
        <f t="shared" si="801"/>
        <v>0</v>
      </c>
      <c r="J3944" t="str">
        <f t="shared" si="806"/>
        <v>22</v>
      </c>
      <c r="K3944">
        <v>20181214</v>
      </c>
      <c r="L3944" t="str">
        <f t="shared" si="802"/>
        <v>075030</v>
      </c>
      <c r="M3944" t="str">
        <f t="shared" si="803"/>
        <v>37500</v>
      </c>
      <c r="N3944" t="s">
        <v>2077</v>
      </c>
      <c r="O3944">
        <v>65.819999999999993</v>
      </c>
      <c r="P3944">
        <v>20181212</v>
      </c>
      <c r="Q3944" t="s">
        <v>3153</v>
      </c>
      <c r="R3944" t="s">
        <v>3154</v>
      </c>
      <c r="S3944" t="s">
        <v>1615</v>
      </c>
      <c r="T3944" t="s">
        <v>301</v>
      </c>
    </row>
    <row r="3945" spans="1:20" x14ac:dyDescent="0.25">
      <c r="A3945">
        <v>9</v>
      </c>
      <c r="B3945">
        <v>199</v>
      </c>
      <c r="C3945" t="str">
        <f t="shared" si="800"/>
        <v>11</v>
      </c>
      <c r="D3945">
        <v>6498</v>
      </c>
      <c r="E3945" t="str">
        <f>"V1"</f>
        <v>V1</v>
      </c>
      <c r="F3945" t="str">
        <f t="shared" si="804"/>
        <v>001</v>
      </c>
      <c r="G3945">
        <v>9</v>
      </c>
      <c r="H3945" t="str">
        <f t="shared" si="805"/>
        <v>22</v>
      </c>
      <c r="I3945" t="str">
        <f t="shared" si="801"/>
        <v>0</v>
      </c>
      <c r="J3945" t="str">
        <f t="shared" si="806"/>
        <v>22</v>
      </c>
      <c r="K3945">
        <v>20181214</v>
      </c>
      <c r="L3945" t="str">
        <f t="shared" si="802"/>
        <v>075030</v>
      </c>
      <c r="M3945" t="str">
        <f t="shared" si="803"/>
        <v>37500</v>
      </c>
      <c r="N3945" t="s">
        <v>2077</v>
      </c>
      <c r="O3945">
        <v>86.95</v>
      </c>
      <c r="P3945">
        <v>20181212</v>
      </c>
      <c r="Q3945" t="s">
        <v>3153</v>
      </c>
      <c r="R3945" t="s">
        <v>3154</v>
      </c>
      <c r="S3945" t="s">
        <v>1615</v>
      </c>
      <c r="T3945" t="s">
        <v>301</v>
      </c>
    </row>
    <row r="3946" spans="1:20" x14ac:dyDescent="0.25">
      <c r="A3946">
        <v>9</v>
      </c>
      <c r="B3946">
        <v>199</v>
      </c>
      <c r="C3946" t="str">
        <f t="shared" si="800"/>
        <v>11</v>
      </c>
      <c r="D3946">
        <v>6499</v>
      </c>
      <c r="E3946" t="str">
        <f>"10"</f>
        <v>10</v>
      </c>
      <c r="F3946" t="str">
        <f>"104"</f>
        <v>104</v>
      </c>
      <c r="G3946">
        <v>9</v>
      </c>
      <c r="H3946" t="str">
        <f>"11"</f>
        <v>11</v>
      </c>
      <c r="I3946" t="str">
        <f t="shared" si="801"/>
        <v>0</v>
      </c>
      <c r="J3946" t="str">
        <f>"05"</f>
        <v>05</v>
      </c>
      <c r="K3946">
        <v>20181214</v>
      </c>
      <c r="L3946" t="str">
        <f t="shared" si="802"/>
        <v>075030</v>
      </c>
      <c r="M3946" t="str">
        <f t="shared" si="803"/>
        <v>37500</v>
      </c>
      <c r="N3946" t="s">
        <v>2077</v>
      </c>
      <c r="O3946">
        <v>94.62</v>
      </c>
      <c r="P3946">
        <v>20181212</v>
      </c>
      <c r="Q3946" t="s">
        <v>2640</v>
      </c>
      <c r="R3946" t="s">
        <v>2641</v>
      </c>
      <c r="S3946" t="s">
        <v>1615</v>
      </c>
      <c r="T3946" t="s">
        <v>46</v>
      </c>
    </row>
    <row r="3947" spans="1:20" x14ac:dyDescent="0.25">
      <c r="A3947">
        <v>9</v>
      </c>
      <c r="B3947">
        <v>199</v>
      </c>
      <c r="C3947" t="str">
        <f t="shared" si="800"/>
        <v>11</v>
      </c>
      <c r="D3947">
        <v>6499</v>
      </c>
      <c r="E3947" t="str">
        <f>"11"</f>
        <v>11</v>
      </c>
      <c r="F3947" t="str">
        <f>"001"</f>
        <v>001</v>
      </c>
      <c r="G3947">
        <v>9</v>
      </c>
      <c r="H3947" t="str">
        <f>"11"</f>
        <v>11</v>
      </c>
      <c r="I3947" t="str">
        <f t="shared" si="801"/>
        <v>0</v>
      </c>
      <c r="J3947" t="str">
        <f>"01"</f>
        <v>01</v>
      </c>
      <c r="K3947">
        <v>20181214</v>
      </c>
      <c r="L3947" t="str">
        <f t="shared" si="802"/>
        <v>075030</v>
      </c>
      <c r="M3947" t="str">
        <f t="shared" si="803"/>
        <v>37500</v>
      </c>
      <c r="N3947" t="s">
        <v>2077</v>
      </c>
      <c r="O3947">
        <v>395.8</v>
      </c>
      <c r="P3947">
        <v>20181212</v>
      </c>
      <c r="Q3947" t="s">
        <v>3155</v>
      </c>
      <c r="R3947" t="s">
        <v>2641</v>
      </c>
      <c r="S3947" t="s">
        <v>1615</v>
      </c>
      <c r="T3947" t="s">
        <v>301</v>
      </c>
    </row>
    <row r="3948" spans="1:20" x14ac:dyDescent="0.25">
      <c r="A3948">
        <v>9</v>
      </c>
      <c r="B3948">
        <v>199</v>
      </c>
      <c r="C3948" t="str">
        <f t="shared" si="800"/>
        <v>11</v>
      </c>
      <c r="D3948">
        <v>6499</v>
      </c>
      <c r="E3948" t="str">
        <f>"11"</f>
        <v>11</v>
      </c>
      <c r="F3948" t="str">
        <f>"001"</f>
        <v>001</v>
      </c>
      <c r="G3948">
        <v>9</v>
      </c>
      <c r="H3948" t="str">
        <f>"11"</f>
        <v>11</v>
      </c>
      <c r="I3948" t="str">
        <f t="shared" si="801"/>
        <v>0</v>
      </c>
      <c r="J3948" t="str">
        <f>"01"</f>
        <v>01</v>
      </c>
      <c r="K3948">
        <v>20181214</v>
      </c>
      <c r="L3948" t="str">
        <f t="shared" si="802"/>
        <v>075030</v>
      </c>
      <c r="M3948" t="str">
        <f t="shared" si="803"/>
        <v>37500</v>
      </c>
      <c r="N3948" t="s">
        <v>2077</v>
      </c>
      <c r="O3948">
        <v>90</v>
      </c>
      <c r="P3948">
        <v>20181212</v>
      </c>
      <c r="Q3948" t="s">
        <v>3155</v>
      </c>
      <c r="R3948" t="s">
        <v>2641</v>
      </c>
      <c r="S3948" t="s">
        <v>1615</v>
      </c>
      <c r="T3948" t="s">
        <v>301</v>
      </c>
    </row>
    <row r="3949" spans="1:20" x14ac:dyDescent="0.25">
      <c r="A3949">
        <v>9</v>
      </c>
      <c r="B3949">
        <v>199</v>
      </c>
      <c r="C3949" t="str">
        <f t="shared" si="800"/>
        <v>11</v>
      </c>
      <c r="D3949">
        <v>6499</v>
      </c>
      <c r="E3949" t="str">
        <f>"11"</f>
        <v>11</v>
      </c>
      <c r="F3949" t="str">
        <f>"001"</f>
        <v>001</v>
      </c>
      <c r="G3949">
        <v>9</v>
      </c>
      <c r="H3949" t="str">
        <f>"11"</f>
        <v>11</v>
      </c>
      <c r="I3949" t="str">
        <f t="shared" si="801"/>
        <v>0</v>
      </c>
      <c r="J3949" t="str">
        <f>"01"</f>
        <v>01</v>
      </c>
      <c r="K3949">
        <v>20181214</v>
      </c>
      <c r="L3949" t="str">
        <f t="shared" si="802"/>
        <v>075030</v>
      </c>
      <c r="M3949" t="str">
        <f t="shared" si="803"/>
        <v>37500</v>
      </c>
      <c r="N3949" t="s">
        <v>2077</v>
      </c>
      <c r="O3949">
        <v>390</v>
      </c>
      <c r="P3949">
        <v>20181212</v>
      </c>
      <c r="Q3949" t="s">
        <v>3155</v>
      </c>
      <c r="R3949" t="s">
        <v>2641</v>
      </c>
      <c r="S3949" t="s">
        <v>1615</v>
      </c>
      <c r="T3949" t="s">
        <v>301</v>
      </c>
    </row>
    <row r="3950" spans="1:20" x14ac:dyDescent="0.25">
      <c r="A3950">
        <v>9</v>
      </c>
      <c r="B3950">
        <v>199</v>
      </c>
      <c r="C3950" t="str">
        <f>"41"</f>
        <v>41</v>
      </c>
      <c r="D3950">
        <v>6498</v>
      </c>
      <c r="E3950" t="str">
        <f>"10"</f>
        <v>10</v>
      </c>
      <c r="F3950" t="str">
        <f>"701"</f>
        <v>701</v>
      </c>
      <c r="G3950">
        <v>9</v>
      </c>
      <c r="H3950" t="str">
        <f>"99"</f>
        <v>99</v>
      </c>
      <c r="I3950" t="str">
        <f t="shared" si="801"/>
        <v>0</v>
      </c>
      <c r="J3950" t="str">
        <f>"92"</f>
        <v>92</v>
      </c>
      <c r="K3950">
        <v>20181214</v>
      </c>
      <c r="L3950" t="str">
        <f t="shared" si="802"/>
        <v>075030</v>
      </c>
      <c r="M3950" t="str">
        <f t="shared" si="803"/>
        <v>37500</v>
      </c>
      <c r="N3950" t="s">
        <v>2077</v>
      </c>
      <c r="O3950">
        <v>123.15</v>
      </c>
      <c r="P3950">
        <v>20181212</v>
      </c>
      <c r="Q3950" t="s">
        <v>2202</v>
      </c>
      <c r="R3950" t="s">
        <v>3156</v>
      </c>
      <c r="S3950" t="s">
        <v>1615</v>
      </c>
      <c r="T3950" t="s">
        <v>1841</v>
      </c>
    </row>
    <row r="3951" spans="1:20" x14ac:dyDescent="0.25">
      <c r="A3951">
        <v>9</v>
      </c>
      <c r="B3951">
        <v>199</v>
      </c>
      <c r="C3951" t="str">
        <f>"41"</f>
        <v>41</v>
      </c>
      <c r="D3951">
        <v>6498</v>
      </c>
      <c r="E3951" t="str">
        <f>"10"</f>
        <v>10</v>
      </c>
      <c r="F3951" t="str">
        <f>"701"</f>
        <v>701</v>
      </c>
      <c r="G3951">
        <v>9</v>
      </c>
      <c r="H3951" t="str">
        <f>"99"</f>
        <v>99</v>
      </c>
      <c r="I3951" t="str">
        <f t="shared" si="801"/>
        <v>0</v>
      </c>
      <c r="J3951" t="str">
        <f>"92"</f>
        <v>92</v>
      </c>
      <c r="K3951">
        <v>20181214</v>
      </c>
      <c r="L3951" t="str">
        <f t="shared" si="802"/>
        <v>075030</v>
      </c>
      <c r="M3951" t="str">
        <f t="shared" si="803"/>
        <v>37500</v>
      </c>
      <c r="N3951" t="s">
        <v>2077</v>
      </c>
      <c r="O3951">
        <v>30.29</v>
      </c>
      <c r="P3951">
        <v>20181212</v>
      </c>
      <c r="Q3951" t="s">
        <v>2202</v>
      </c>
      <c r="R3951" t="s">
        <v>3156</v>
      </c>
      <c r="S3951" t="s">
        <v>1615</v>
      </c>
      <c r="T3951" t="s">
        <v>1841</v>
      </c>
    </row>
    <row r="3952" spans="1:20" x14ac:dyDescent="0.25">
      <c r="A3952">
        <v>9</v>
      </c>
      <c r="B3952">
        <v>199</v>
      </c>
      <c r="C3952" t="str">
        <f>"53"</f>
        <v>53</v>
      </c>
      <c r="D3952">
        <v>6399</v>
      </c>
      <c r="E3952" t="str">
        <f>"10"</f>
        <v>10</v>
      </c>
      <c r="F3952" t="str">
        <f>"880"</f>
        <v>880</v>
      </c>
      <c r="G3952">
        <v>9</v>
      </c>
      <c r="H3952" t="str">
        <f>"99"</f>
        <v>99</v>
      </c>
      <c r="I3952" t="str">
        <f t="shared" si="801"/>
        <v>0</v>
      </c>
      <c r="J3952" t="str">
        <f>"80"</f>
        <v>80</v>
      </c>
      <c r="K3952">
        <v>20181214</v>
      </c>
      <c r="L3952" t="str">
        <f t="shared" si="802"/>
        <v>075030</v>
      </c>
      <c r="M3952" t="str">
        <f t="shared" si="803"/>
        <v>37500</v>
      </c>
      <c r="N3952" t="s">
        <v>2077</v>
      </c>
      <c r="O3952">
        <v>68.989999999999995</v>
      </c>
      <c r="P3952">
        <v>20181212</v>
      </c>
      <c r="Q3952" t="s">
        <v>1865</v>
      </c>
      <c r="R3952" t="s">
        <v>2081</v>
      </c>
      <c r="S3952" t="s">
        <v>1615</v>
      </c>
      <c r="T3952" t="s">
        <v>1866</v>
      </c>
    </row>
    <row r="3953" spans="1:20" x14ac:dyDescent="0.25">
      <c r="A3953">
        <v>9</v>
      </c>
      <c r="B3953">
        <v>199</v>
      </c>
      <c r="C3953" t="str">
        <f>"41"</f>
        <v>41</v>
      </c>
      <c r="D3953">
        <v>6399</v>
      </c>
      <c r="E3953" t="str">
        <f>"10"</f>
        <v>10</v>
      </c>
      <c r="F3953" t="str">
        <f>"730"</f>
        <v>730</v>
      </c>
      <c r="G3953">
        <v>9</v>
      </c>
      <c r="H3953" t="str">
        <f>"99"</f>
        <v>99</v>
      </c>
      <c r="I3953" t="str">
        <f t="shared" si="801"/>
        <v>0</v>
      </c>
      <c r="J3953" t="str">
        <f>"95"</f>
        <v>95</v>
      </c>
      <c r="K3953">
        <v>20181214</v>
      </c>
      <c r="L3953" t="str">
        <f>"075031"</f>
        <v>075031</v>
      </c>
      <c r="M3953" t="str">
        <f>"39264"</f>
        <v>39264</v>
      </c>
      <c r="N3953" t="s">
        <v>3157</v>
      </c>
      <c r="O3953">
        <v>209.49</v>
      </c>
      <c r="P3953">
        <v>20181212</v>
      </c>
      <c r="Q3953" t="s">
        <v>1987</v>
      </c>
      <c r="R3953" t="s">
        <v>3158</v>
      </c>
      <c r="S3953" t="s">
        <v>1615</v>
      </c>
      <c r="T3953" t="s">
        <v>1794</v>
      </c>
    </row>
    <row r="3954" spans="1:20" x14ac:dyDescent="0.25">
      <c r="A3954">
        <v>9</v>
      </c>
      <c r="B3954">
        <v>199</v>
      </c>
      <c r="C3954" t="str">
        <f t="shared" ref="C3954:C3964" si="807">"11"</f>
        <v>11</v>
      </c>
      <c r="D3954">
        <v>6249</v>
      </c>
      <c r="E3954" t="str">
        <f t="shared" ref="E3954:E3962" si="808">"7B"</f>
        <v>7B</v>
      </c>
      <c r="F3954" t="str">
        <f>"001"</f>
        <v>001</v>
      </c>
      <c r="G3954">
        <v>9</v>
      </c>
      <c r="H3954" t="str">
        <f t="shared" ref="H3954:H3962" si="809">"11"</f>
        <v>11</v>
      </c>
      <c r="I3954" t="str">
        <f t="shared" si="801"/>
        <v>0</v>
      </c>
      <c r="J3954" t="str">
        <f>"32"</f>
        <v>32</v>
      </c>
      <c r="K3954">
        <v>20181214</v>
      </c>
      <c r="L3954" t="str">
        <f t="shared" ref="L3954:L3962" si="810">"075032"</f>
        <v>075032</v>
      </c>
      <c r="M3954" t="str">
        <f t="shared" ref="M3954:M3962" si="811">"39572"</f>
        <v>39572</v>
      </c>
      <c r="N3954" t="s">
        <v>2233</v>
      </c>
      <c r="O3954">
        <v>65</v>
      </c>
      <c r="P3954">
        <v>20181212</v>
      </c>
      <c r="Q3954" t="s">
        <v>2234</v>
      </c>
      <c r="R3954" t="s">
        <v>3159</v>
      </c>
      <c r="S3954" t="s">
        <v>1615</v>
      </c>
      <c r="T3954" t="s">
        <v>301</v>
      </c>
    </row>
    <row r="3955" spans="1:20" x14ac:dyDescent="0.25">
      <c r="A3955">
        <v>9</v>
      </c>
      <c r="B3955">
        <v>199</v>
      </c>
      <c r="C3955" t="str">
        <f t="shared" si="807"/>
        <v>11</v>
      </c>
      <c r="D3955">
        <v>6249</v>
      </c>
      <c r="E3955" t="str">
        <f t="shared" si="808"/>
        <v>7B</v>
      </c>
      <c r="F3955" t="str">
        <f>"001"</f>
        <v>001</v>
      </c>
      <c r="G3955">
        <v>9</v>
      </c>
      <c r="H3955" t="str">
        <f t="shared" si="809"/>
        <v>11</v>
      </c>
      <c r="I3955" t="str">
        <f t="shared" si="801"/>
        <v>0</v>
      </c>
      <c r="J3955" t="str">
        <f>"32"</f>
        <v>32</v>
      </c>
      <c r="K3955">
        <v>20181214</v>
      </c>
      <c r="L3955" t="str">
        <f t="shared" si="810"/>
        <v>075032</v>
      </c>
      <c r="M3955" t="str">
        <f t="shared" si="811"/>
        <v>39572</v>
      </c>
      <c r="N3955" t="s">
        <v>2233</v>
      </c>
      <c r="O3955">
        <v>65</v>
      </c>
      <c r="P3955">
        <v>20181212</v>
      </c>
      <c r="Q3955" t="s">
        <v>2234</v>
      </c>
      <c r="R3955" t="s">
        <v>3160</v>
      </c>
      <c r="S3955" t="s">
        <v>1615</v>
      </c>
      <c r="T3955" t="s">
        <v>301</v>
      </c>
    </row>
    <row r="3956" spans="1:20" x14ac:dyDescent="0.25">
      <c r="A3956">
        <v>9</v>
      </c>
      <c r="B3956">
        <v>199</v>
      </c>
      <c r="C3956" t="str">
        <f t="shared" si="807"/>
        <v>11</v>
      </c>
      <c r="D3956">
        <v>6249</v>
      </c>
      <c r="E3956" t="str">
        <f t="shared" si="808"/>
        <v>7B</v>
      </c>
      <c r="F3956" t="str">
        <f>"001"</f>
        <v>001</v>
      </c>
      <c r="G3956">
        <v>9</v>
      </c>
      <c r="H3956" t="str">
        <f t="shared" si="809"/>
        <v>11</v>
      </c>
      <c r="I3956" t="str">
        <f t="shared" si="801"/>
        <v>0</v>
      </c>
      <c r="J3956" t="str">
        <f>"32"</f>
        <v>32</v>
      </c>
      <c r="K3956">
        <v>20181214</v>
      </c>
      <c r="L3956" t="str">
        <f t="shared" si="810"/>
        <v>075032</v>
      </c>
      <c r="M3956" t="str">
        <f t="shared" si="811"/>
        <v>39572</v>
      </c>
      <c r="N3956" t="s">
        <v>2233</v>
      </c>
      <c r="O3956">
        <v>75</v>
      </c>
      <c r="P3956">
        <v>20181212</v>
      </c>
      <c r="Q3956" t="s">
        <v>2234</v>
      </c>
      <c r="R3956" t="s">
        <v>3161</v>
      </c>
      <c r="S3956" t="s">
        <v>1615</v>
      </c>
      <c r="T3956" t="s">
        <v>301</v>
      </c>
    </row>
    <row r="3957" spans="1:20" x14ac:dyDescent="0.25">
      <c r="A3957">
        <v>9</v>
      </c>
      <c r="B3957">
        <v>199</v>
      </c>
      <c r="C3957" t="str">
        <f t="shared" si="807"/>
        <v>11</v>
      </c>
      <c r="D3957">
        <v>6249</v>
      </c>
      <c r="E3957" t="str">
        <f t="shared" si="808"/>
        <v>7B</v>
      </c>
      <c r="F3957" t="str">
        <f>"041"</f>
        <v>041</v>
      </c>
      <c r="G3957">
        <v>9</v>
      </c>
      <c r="H3957" t="str">
        <f t="shared" si="809"/>
        <v>11</v>
      </c>
      <c r="I3957" t="str">
        <f t="shared" si="801"/>
        <v>0</v>
      </c>
      <c r="J3957" t="str">
        <f>"36"</f>
        <v>36</v>
      </c>
      <c r="K3957">
        <v>20181214</v>
      </c>
      <c r="L3957" t="str">
        <f t="shared" si="810"/>
        <v>075032</v>
      </c>
      <c r="M3957" t="str">
        <f t="shared" si="811"/>
        <v>39572</v>
      </c>
      <c r="N3957" t="s">
        <v>2233</v>
      </c>
      <c r="O3957">
        <v>215</v>
      </c>
      <c r="P3957">
        <v>20181212</v>
      </c>
      <c r="Q3957" t="s">
        <v>2672</v>
      </c>
      <c r="R3957" t="s">
        <v>3162</v>
      </c>
      <c r="S3957" t="s">
        <v>1615</v>
      </c>
      <c r="T3957" t="s">
        <v>106</v>
      </c>
    </row>
    <row r="3958" spans="1:20" x14ac:dyDescent="0.25">
      <c r="A3958">
        <v>9</v>
      </c>
      <c r="B3958">
        <v>199</v>
      </c>
      <c r="C3958" t="str">
        <f t="shared" si="807"/>
        <v>11</v>
      </c>
      <c r="D3958">
        <v>6249</v>
      </c>
      <c r="E3958" t="str">
        <f t="shared" si="808"/>
        <v>7B</v>
      </c>
      <c r="F3958" t="str">
        <f>"041"</f>
        <v>041</v>
      </c>
      <c r="G3958">
        <v>9</v>
      </c>
      <c r="H3958" t="str">
        <f t="shared" si="809"/>
        <v>11</v>
      </c>
      <c r="I3958" t="str">
        <f t="shared" si="801"/>
        <v>0</v>
      </c>
      <c r="J3958" t="str">
        <f>"36"</f>
        <v>36</v>
      </c>
      <c r="K3958">
        <v>20181214</v>
      </c>
      <c r="L3958" t="str">
        <f t="shared" si="810"/>
        <v>075032</v>
      </c>
      <c r="M3958" t="str">
        <f t="shared" si="811"/>
        <v>39572</v>
      </c>
      <c r="N3958" t="s">
        <v>2233</v>
      </c>
      <c r="O3958">
        <v>30</v>
      </c>
      <c r="P3958">
        <v>20181212</v>
      </c>
      <c r="Q3958" t="s">
        <v>2672</v>
      </c>
      <c r="R3958" t="s">
        <v>3163</v>
      </c>
      <c r="S3958" t="s">
        <v>1615</v>
      </c>
      <c r="T3958" t="s">
        <v>106</v>
      </c>
    </row>
    <row r="3959" spans="1:20" x14ac:dyDescent="0.25">
      <c r="A3959">
        <v>9</v>
      </c>
      <c r="B3959">
        <v>199</v>
      </c>
      <c r="C3959" t="str">
        <f t="shared" si="807"/>
        <v>11</v>
      </c>
      <c r="D3959">
        <v>6249</v>
      </c>
      <c r="E3959" t="str">
        <f t="shared" si="808"/>
        <v>7B</v>
      </c>
      <c r="F3959" t="str">
        <f>"041"</f>
        <v>041</v>
      </c>
      <c r="G3959">
        <v>9</v>
      </c>
      <c r="H3959" t="str">
        <f t="shared" si="809"/>
        <v>11</v>
      </c>
      <c r="I3959" t="str">
        <f t="shared" si="801"/>
        <v>0</v>
      </c>
      <c r="J3959" t="str">
        <f>"36"</f>
        <v>36</v>
      </c>
      <c r="K3959">
        <v>20181214</v>
      </c>
      <c r="L3959" t="str">
        <f t="shared" si="810"/>
        <v>075032</v>
      </c>
      <c r="M3959" t="str">
        <f t="shared" si="811"/>
        <v>39572</v>
      </c>
      <c r="N3959" t="s">
        <v>2233</v>
      </c>
      <c r="O3959">
        <v>30</v>
      </c>
      <c r="P3959">
        <v>20181212</v>
      </c>
      <c r="Q3959" t="s">
        <v>2672</v>
      </c>
      <c r="R3959" t="s">
        <v>3164</v>
      </c>
      <c r="S3959" t="s">
        <v>1615</v>
      </c>
      <c r="T3959" t="s">
        <v>106</v>
      </c>
    </row>
    <row r="3960" spans="1:20" x14ac:dyDescent="0.25">
      <c r="A3960">
        <v>9</v>
      </c>
      <c r="B3960">
        <v>199</v>
      </c>
      <c r="C3960" t="str">
        <f t="shared" si="807"/>
        <v>11</v>
      </c>
      <c r="D3960">
        <v>6249</v>
      </c>
      <c r="E3960" t="str">
        <f t="shared" si="808"/>
        <v>7B</v>
      </c>
      <c r="F3960" t="str">
        <f>"041"</f>
        <v>041</v>
      </c>
      <c r="G3960">
        <v>9</v>
      </c>
      <c r="H3960" t="str">
        <f t="shared" si="809"/>
        <v>11</v>
      </c>
      <c r="I3960" t="str">
        <f t="shared" si="801"/>
        <v>0</v>
      </c>
      <c r="J3960" t="str">
        <f>"36"</f>
        <v>36</v>
      </c>
      <c r="K3960">
        <v>20181214</v>
      </c>
      <c r="L3960" t="str">
        <f t="shared" si="810"/>
        <v>075032</v>
      </c>
      <c r="M3960" t="str">
        <f t="shared" si="811"/>
        <v>39572</v>
      </c>
      <c r="N3960" t="s">
        <v>2233</v>
      </c>
      <c r="O3960">
        <v>105</v>
      </c>
      <c r="P3960">
        <v>20181212</v>
      </c>
      <c r="Q3960" t="s">
        <v>2672</v>
      </c>
      <c r="R3960" t="s">
        <v>3165</v>
      </c>
      <c r="S3960" t="s">
        <v>1615</v>
      </c>
      <c r="T3960" t="s">
        <v>106</v>
      </c>
    </row>
    <row r="3961" spans="1:20" x14ac:dyDescent="0.25">
      <c r="A3961">
        <v>9</v>
      </c>
      <c r="B3961">
        <v>199</v>
      </c>
      <c r="C3961" t="str">
        <f t="shared" si="807"/>
        <v>11</v>
      </c>
      <c r="D3961">
        <v>6249</v>
      </c>
      <c r="E3961" t="str">
        <f t="shared" si="808"/>
        <v>7B</v>
      </c>
      <c r="F3961" t="str">
        <f>"041"</f>
        <v>041</v>
      </c>
      <c r="G3961">
        <v>9</v>
      </c>
      <c r="H3961" t="str">
        <f t="shared" si="809"/>
        <v>11</v>
      </c>
      <c r="I3961" t="str">
        <f t="shared" si="801"/>
        <v>0</v>
      </c>
      <c r="J3961" t="str">
        <f>"36"</f>
        <v>36</v>
      </c>
      <c r="K3961">
        <v>20181214</v>
      </c>
      <c r="L3961" t="str">
        <f t="shared" si="810"/>
        <v>075032</v>
      </c>
      <c r="M3961" t="str">
        <f t="shared" si="811"/>
        <v>39572</v>
      </c>
      <c r="N3961" t="s">
        <v>2233</v>
      </c>
      <c r="O3961">
        <v>15</v>
      </c>
      <c r="P3961">
        <v>20181212</v>
      </c>
      <c r="Q3961" t="s">
        <v>2672</v>
      </c>
      <c r="R3961" t="s">
        <v>3166</v>
      </c>
      <c r="S3961" t="s">
        <v>1615</v>
      </c>
      <c r="T3961" t="s">
        <v>106</v>
      </c>
    </row>
    <row r="3962" spans="1:20" x14ac:dyDescent="0.25">
      <c r="A3962">
        <v>9</v>
      </c>
      <c r="B3962">
        <v>199</v>
      </c>
      <c r="C3962" t="str">
        <f t="shared" si="807"/>
        <v>11</v>
      </c>
      <c r="D3962">
        <v>6399</v>
      </c>
      <c r="E3962" t="str">
        <f t="shared" si="808"/>
        <v>7B</v>
      </c>
      <c r="F3962" t="str">
        <f>"001"</f>
        <v>001</v>
      </c>
      <c r="G3962">
        <v>9</v>
      </c>
      <c r="H3962" t="str">
        <f t="shared" si="809"/>
        <v>11</v>
      </c>
      <c r="I3962" t="str">
        <f t="shared" si="801"/>
        <v>0</v>
      </c>
      <c r="J3962" t="str">
        <f>"32"</f>
        <v>32</v>
      </c>
      <c r="K3962">
        <v>20181214</v>
      </c>
      <c r="L3962" t="str">
        <f t="shared" si="810"/>
        <v>075032</v>
      </c>
      <c r="M3962" t="str">
        <f t="shared" si="811"/>
        <v>39572</v>
      </c>
      <c r="N3962" t="s">
        <v>2233</v>
      </c>
      <c r="O3962">
        <v>96</v>
      </c>
      <c r="P3962">
        <v>20181212</v>
      </c>
      <c r="Q3962" t="s">
        <v>2239</v>
      </c>
      <c r="R3962" t="s">
        <v>3167</v>
      </c>
      <c r="S3962" t="s">
        <v>1615</v>
      </c>
      <c r="T3962" t="s">
        <v>301</v>
      </c>
    </row>
    <row r="3963" spans="1:20" x14ac:dyDescent="0.25">
      <c r="A3963">
        <v>9</v>
      </c>
      <c r="B3963">
        <v>199</v>
      </c>
      <c r="C3963" t="str">
        <f t="shared" si="807"/>
        <v>11</v>
      </c>
      <c r="D3963">
        <v>6411</v>
      </c>
      <c r="E3963" t="str">
        <f>"VJ"</f>
        <v>VJ</v>
      </c>
      <c r="F3963" t="str">
        <f>"001"</f>
        <v>001</v>
      </c>
      <c r="G3963">
        <v>9</v>
      </c>
      <c r="H3963" t="str">
        <f>"22"</f>
        <v>22</v>
      </c>
      <c r="I3963" t="str">
        <f>"1"</f>
        <v>1</v>
      </c>
      <c r="J3963" t="str">
        <f>"22"</f>
        <v>22</v>
      </c>
      <c r="K3963">
        <v>20181214</v>
      </c>
      <c r="L3963" t="str">
        <f>"075035"</f>
        <v>075035</v>
      </c>
      <c r="M3963" t="str">
        <f>"03849"</f>
        <v>03849</v>
      </c>
      <c r="N3963" t="s">
        <v>592</v>
      </c>
      <c r="O3963">
        <v>317.79000000000002</v>
      </c>
      <c r="P3963">
        <v>20181212</v>
      </c>
      <c r="Q3963" t="s">
        <v>2569</v>
      </c>
      <c r="R3963" t="s">
        <v>3093</v>
      </c>
      <c r="S3963" t="s">
        <v>1615</v>
      </c>
      <c r="T3963" t="s">
        <v>301</v>
      </c>
    </row>
    <row r="3964" spans="1:20" x14ac:dyDescent="0.25">
      <c r="A3964">
        <v>9</v>
      </c>
      <c r="B3964">
        <v>199</v>
      </c>
      <c r="C3964" t="str">
        <f t="shared" si="807"/>
        <v>11</v>
      </c>
      <c r="D3964">
        <v>6412</v>
      </c>
      <c r="E3964" t="str">
        <f>"VJ"</f>
        <v>VJ</v>
      </c>
      <c r="F3964" t="str">
        <f>"001"</f>
        <v>001</v>
      </c>
      <c r="G3964">
        <v>9</v>
      </c>
      <c r="H3964" t="str">
        <f>"22"</f>
        <v>22</v>
      </c>
      <c r="I3964" t="str">
        <f>"1"</f>
        <v>1</v>
      </c>
      <c r="J3964" t="str">
        <f>"22"</f>
        <v>22</v>
      </c>
      <c r="K3964">
        <v>20181214</v>
      </c>
      <c r="L3964" t="str">
        <f>"075035"</f>
        <v>075035</v>
      </c>
      <c r="M3964" t="str">
        <f>"03849"</f>
        <v>03849</v>
      </c>
      <c r="N3964" t="s">
        <v>592</v>
      </c>
      <c r="O3964">
        <v>423.72</v>
      </c>
      <c r="P3964">
        <v>20181212</v>
      </c>
      <c r="Q3964" t="s">
        <v>2571</v>
      </c>
      <c r="R3964" t="s">
        <v>3093</v>
      </c>
      <c r="S3964" t="s">
        <v>1615</v>
      </c>
      <c r="T3964" t="s">
        <v>301</v>
      </c>
    </row>
    <row r="3965" spans="1:20" x14ac:dyDescent="0.25">
      <c r="A3965">
        <v>9</v>
      </c>
      <c r="B3965">
        <v>199</v>
      </c>
      <c r="C3965" t="str">
        <f>"51"</f>
        <v>51</v>
      </c>
      <c r="D3965">
        <v>6319</v>
      </c>
      <c r="E3965" t="str">
        <f>"MC"</f>
        <v>MC</v>
      </c>
      <c r="F3965" t="str">
        <f>"936"</f>
        <v>936</v>
      </c>
      <c r="G3965">
        <v>9</v>
      </c>
      <c r="H3965" t="str">
        <f>"99"</f>
        <v>99</v>
      </c>
      <c r="I3965" t="str">
        <f>"0"</f>
        <v>0</v>
      </c>
      <c r="J3965" t="str">
        <f>"81"</f>
        <v>81</v>
      </c>
      <c r="K3965">
        <v>20181214</v>
      </c>
      <c r="L3965" t="str">
        <f>"075037"</f>
        <v>075037</v>
      </c>
      <c r="M3965" t="str">
        <f>"41230"</f>
        <v>41230</v>
      </c>
      <c r="N3965" t="s">
        <v>1350</v>
      </c>
      <c r="O3965">
        <v>503.94</v>
      </c>
      <c r="P3965">
        <v>20181212</v>
      </c>
      <c r="Q3965" t="s">
        <v>2060</v>
      </c>
      <c r="R3965" t="s">
        <v>2188</v>
      </c>
      <c r="S3965" t="s">
        <v>1615</v>
      </c>
      <c r="T3965" t="s">
        <v>1713</v>
      </c>
    </row>
    <row r="3966" spans="1:20" x14ac:dyDescent="0.25">
      <c r="A3966">
        <v>9</v>
      </c>
      <c r="B3966">
        <v>199</v>
      </c>
      <c r="C3966" t="str">
        <f>"51"</f>
        <v>51</v>
      </c>
      <c r="D3966">
        <v>6319</v>
      </c>
      <c r="E3966" t="str">
        <f>"MC"</f>
        <v>MC</v>
      </c>
      <c r="F3966" t="str">
        <f>"936"</f>
        <v>936</v>
      </c>
      <c r="G3966">
        <v>9</v>
      </c>
      <c r="H3966" t="str">
        <f>"99"</f>
        <v>99</v>
      </c>
      <c r="I3966" t="str">
        <f>"0"</f>
        <v>0</v>
      </c>
      <c r="J3966" t="str">
        <f>"81"</f>
        <v>81</v>
      </c>
      <c r="K3966">
        <v>20181214</v>
      </c>
      <c r="L3966" t="str">
        <f>"075037"</f>
        <v>075037</v>
      </c>
      <c r="M3966" t="str">
        <f>"41230"</f>
        <v>41230</v>
      </c>
      <c r="N3966" t="s">
        <v>1350</v>
      </c>
      <c r="O3966">
        <v>261.27</v>
      </c>
      <c r="P3966">
        <v>20181212</v>
      </c>
      <c r="Q3966" t="s">
        <v>2060</v>
      </c>
      <c r="R3966" t="s">
        <v>2188</v>
      </c>
      <c r="S3966" t="s">
        <v>1615</v>
      </c>
      <c r="T3966" t="s">
        <v>1713</v>
      </c>
    </row>
    <row r="3967" spans="1:20" x14ac:dyDescent="0.25">
      <c r="A3967">
        <v>9</v>
      </c>
      <c r="B3967">
        <v>199</v>
      </c>
      <c r="C3967" t="str">
        <f>"51"</f>
        <v>51</v>
      </c>
      <c r="D3967">
        <v>6319</v>
      </c>
      <c r="E3967" t="str">
        <f>"MC"</f>
        <v>MC</v>
      </c>
      <c r="F3967" t="str">
        <f>"936"</f>
        <v>936</v>
      </c>
      <c r="G3967">
        <v>9</v>
      </c>
      <c r="H3967" t="str">
        <f>"99"</f>
        <v>99</v>
      </c>
      <c r="I3967" t="str">
        <f>"0"</f>
        <v>0</v>
      </c>
      <c r="J3967" t="str">
        <f>"81"</f>
        <v>81</v>
      </c>
      <c r="K3967">
        <v>20181214</v>
      </c>
      <c r="L3967" t="str">
        <f>"075037"</f>
        <v>075037</v>
      </c>
      <c r="M3967" t="str">
        <f>"41230"</f>
        <v>41230</v>
      </c>
      <c r="N3967" t="s">
        <v>1350</v>
      </c>
      <c r="O3967">
        <v>215.55</v>
      </c>
      <c r="P3967">
        <v>20181212</v>
      </c>
      <c r="Q3967" t="s">
        <v>2060</v>
      </c>
      <c r="R3967" t="s">
        <v>2188</v>
      </c>
      <c r="S3967" t="s">
        <v>1615</v>
      </c>
      <c r="T3967" t="s">
        <v>1713</v>
      </c>
    </row>
    <row r="3968" spans="1:20" x14ac:dyDescent="0.25">
      <c r="A3968">
        <v>9</v>
      </c>
      <c r="B3968">
        <v>199</v>
      </c>
      <c r="C3968" t="str">
        <f>"36"</f>
        <v>36</v>
      </c>
      <c r="D3968">
        <v>6412</v>
      </c>
      <c r="E3968" t="str">
        <f>"8S"</f>
        <v>8S</v>
      </c>
      <c r="F3968" t="str">
        <f>"001"</f>
        <v>001</v>
      </c>
      <c r="G3968">
        <v>9</v>
      </c>
      <c r="H3968" t="str">
        <f>"99"</f>
        <v>99</v>
      </c>
      <c r="I3968" t="str">
        <f>"0"</f>
        <v>0</v>
      </c>
      <c r="J3968" t="str">
        <f>"01"</f>
        <v>01</v>
      </c>
      <c r="K3968">
        <v>20181214</v>
      </c>
      <c r="L3968" t="str">
        <f>"075038"</f>
        <v>075038</v>
      </c>
      <c r="M3968" t="str">
        <f>"00662"</f>
        <v>00662</v>
      </c>
      <c r="N3968" t="s">
        <v>3168</v>
      </c>
      <c r="O3968">
        <v>809.06</v>
      </c>
      <c r="P3968">
        <v>20181212</v>
      </c>
      <c r="Q3968" t="s">
        <v>1625</v>
      </c>
      <c r="R3968" t="s">
        <v>3169</v>
      </c>
      <c r="S3968" t="s">
        <v>1615</v>
      </c>
      <c r="T3968" t="s">
        <v>301</v>
      </c>
    </row>
    <row r="3969" spans="1:20" x14ac:dyDescent="0.25">
      <c r="A3969">
        <v>9</v>
      </c>
      <c r="B3969">
        <v>199</v>
      </c>
      <c r="C3969" t="str">
        <f>"51"</f>
        <v>51</v>
      </c>
      <c r="D3969">
        <v>6254</v>
      </c>
      <c r="E3969" t="str">
        <f>"ME"</f>
        <v>ME</v>
      </c>
      <c r="F3969" t="str">
        <f>"936"</f>
        <v>936</v>
      </c>
      <c r="G3969">
        <v>9</v>
      </c>
      <c r="H3969" t="str">
        <f>"99"</f>
        <v>99</v>
      </c>
      <c r="I3969" t="str">
        <f>"1"</f>
        <v>1</v>
      </c>
      <c r="J3969" t="str">
        <f>"73"</f>
        <v>73</v>
      </c>
      <c r="K3969">
        <v>20181214</v>
      </c>
      <c r="L3969" t="str">
        <f>"075039"</f>
        <v>075039</v>
      </c>
      <c r="M3969" t="str">
        <f>"42194"</f>
        <v>42194</v>
      </c>
      <c r="N3969" t="s">
        <v>1736</v>
      </c>
      <c r="O3969" s="1">
        <v>65356.83</v>
      </c>
      <c r="P3969">
        <v>20181212</v>
      </c>
      <c r="Q3969" t="s">
        <v>1891</v>
      </c>
      <c r="R3969" t="s">
        <v>3170</v>
      </c>
      <c r="S3969" t="s">
        <v>1615</v>
      </c>
      <c r="T3969" t="s">
        <v>1713</v>
      </c>
    </row>
    <row r="3970" spans="1:20" x14ac:dyDescent="0.25">
      <c r="A3970">
        <v>9</v>
      </c>
      <c r="B3970">
        <v>199</v>
      </c>
      <c r="C3970" t="str">
        <f>"11"</f>
        <v>11</v>
      </c>
      <c r="D3970">
        <v>6329</v>
      </c>
      <c r="E3970" t="str">
        <f>"VA"</f>
        <v>VA</v>
      </c>
      <c r="F3970" t="str">
        <f>"001"</f>
        <v>001</v>
      </c>
      <c r="G3970">
        <v>9</v>
      </c>
      <c r="H3970" t="str">
        <f>"22"</f>
        <v>22</v>
      </c>
      <c r="I3970" t="str">
        <f t="shared" ref="I3970:I3977" si="812">"0"</f>
        <v>0</v>
      </c>
      <c r="J3970" t="str">
        <f>"22"</f>
        <v>22</v>
      </c>
      <c r="K3970">
        <v>20181214</v>
      </c>
      <c r="L3970" t="str">
        <f>"075044"</f>
        <v>075044</v>
      </c>
      <c r="M3970" t="str">
        <f>"14186"</f>
        <v>14186</v>
      </c>
      <c r="N3970" t="s">
        <v>3171</v>
      </c>
      <c r="O3970">
        <v>645</v>
      </c>
      <c r="P3970">
        <v>20181212</v>
      </c>
      <c r="Q3970" t="s">
        <v>3172</v>
      </c>
      <c r="R3970" t="s">
        <v>3173</v>
      </c>
      <c r="S3970" t="s">
        <v>1615</v>
      </c>
      <c r="T3970" t="s">
        <v>301</v>
      </c>
    </row>
    <row r="3971" spans="1:20" x14ac:dyDescent="0.25">
      <c r="A3971">
        <v>9</v>
      </c>
      <c r="B3971">
        <v>199</v>
      </c>
      <c r="C3971" t="str">
        <f>"11"</f>
        <v>11</v>
      </c>
      <c r="D3971">
        <v>6329</v>
      </c>
      <c r="E3971" t="str">
        <f>"VA"</f>
        <v>VA</v>
      </c>
      <c r="F3971" t="str">
        <f>"001"</f>
        <v>001</v>
      </c>
      <c r="G3971">
        <v>9</v>
      </c>
      <c r="H3971" t="str">
        <f>"22"</f>
        <v>22</v>
      </c>
      <c r="I3971" t="str">
        <f t="shared" si="812"/>
        <v>0</v>
      </c>
      <c r="J3971" t="str">
        <f>"22"</f>
        <v>22</v>
      </c>
      <c r="K3971">
        <v>20181214</v>
      </c>
      <c r="L3971" t="str">
        <f>"075044"</f>
        <v>075044</v>
      </c>
      <c r="M3971" t="str">
        <f>"14186"</f>
        <v>14186</v>
      </c>
      <c r="N3971" t="s">
        <v>3171</v>
      </c>
      <c r="O3971" s="1">
        <v>1995</v>
      </c>
      <c r="P3971">
        <v>20181212</v>
      </c>
      <c r="Q3971" t="s">
        <v>3172</v>
      </c>
      <c r="R3971" t="s">
        <v>3174</v>
      </c>
      <c r="S3971" t="s">
        <v>1615</v>
      </c>
      <c r="T3971" t="s">
        <v>301</v>
      </c>
    </row>
    <row r="3972" spans="1:20" x14ac:dyDescent="0.25">
      <c r="A3972">
        <v>9</v>
      </c>
      <c r="B3972">
        <v>199</v>
      </c>
      <c r="C3972" t="str">
        <f>"11"</f>
        <v>11</v>
      </c>
      <c r="D3972">
        <v>6399</v>
      </c>
      <c r="E3972" t="str">
        <f>"7E"</f>
        <v>7E</v>
      </c>
      <c r="F3972" t="str">
        <f>"041"</f>
        <v>041</v>
      </c>
      <c r="G3972">
        <v>9</v>
      </c>
      <c r="H3972" t="str">
        <f>"11"</f>
        <v>11</v>
      </c>
      <c r="I3972" t="str">
        <f t="shared" si="812"/>
        <v>0</v>
      </c>
      <c r="J3972" t="str">
        <f>"35"</f>
        <v>35</v>
      </c>
      <c r="K3972">
        <v>20181214</v>
      </c>
      <c r="L3972" t="str">
        <f t="shared" ref="L3972:L3977" si="813">"075045"</f>
        <v>075045</v>
      </c>
      <c r="M3972" t="str">
        <f t="shared" ref="M3972:M3977" si="814">"45496"</f>
        <v>45496</v>
      </c>
      <c r="N3972" t="s">
        <v>3175</v>
      </c>
      <c r="O3972">
        <v>194</v>
      </c>
      <c r="P3972">
        <v>20181212</v>
      </c>
      <c r="Q3972" t="s">
        <v>2655</v>
      </c>
      <c r="R3972" t="s">
        <v>2692</v>
      </c>
      <c r="S3972" t="s">
        <v>1615</v>
      </c>
      <c r="T3972" t="s">
        <v>106</v>
      </c>
    </row>
    <row r="3973" spans="1:20" x14ac:dyDescent="0.25">
      <c r="A3973">
        <v>9</v>
      </c>
      <c r="B3973">
        <v>199</v>
      </c>
      <c r="C3973" t="str">
        <f>"21"</f>
        <v>21</v>
      </c>
      <c r="D3973">
        <v>6399</v>
      </c>
      <c r="E3973" t="str">
        <f>"10"</f>
        <v>10</v>
      </c>
      <c r="F3973" t="str">
        <f>"871"</f>
        <v>871</v>
      </c>
      <c r="G3973">
        <v>9</v>
      </c>
      <c r="H3973" t="str">
        <f t="shared" ref="H3973:H3979" si="815">"99"</f>
        <v>99</v>
      </c>
      <c r="I3973" t="str">
        <f t="shared" si="812"/>
        <v>0</v>
      </c>
      <c r="J3973" t="str">
        <f>"94"</f>
        <v>94</v>
      </c>
      <c r="K3973">
        <v>20181214</v>
      </c>
      <c r="L3973" t="str">
        <f t="shared" si="813"/>
        <v>075045</v>
      </c>
      <c r="M3973" t="str">
        <f t="shared" si="814"/>
        <v>45496</v>
      </c>
      <c r="N3973" t="s">
        <v>3175</v>
      </c>
      <c r="O3973">
        <v>339.19</v>
      </c>
      <c r="P3973">
        <v>20181212</v>
      </c>
      <c r="Q3973" t="s">
        <v>3176</v>
      </c>
      <c r="R3973" t="s">
        <v>641</v>
      </c>
      <c r="S3973" t="s">
        <v>1615</v>
      </c>
      <c r="T3973" t="s">
        <v>1932</v>
      </c>
    </row>
    <row r="3974" spans="1:20" x14ac:dyDescent="0.25">
      <c r="A3974">
        <v>9</v>
      </c>
      <c r="B3974">
        <v>199</v>
      </c>
      <c r="C3974" t="str">
        <f>"41"</f>
        <v>41</v>
      </c>
      <c r="D3974">
        <v>6399</v>
      </c>
      <c r="E3974" t="str">
        <f>"10"</f>
        <v>10</v>
      </c>
      <c r="F3974" t="str">
        <f>"701"</f>
        <v>701</v>
      </c>
      <c r="G3974">
        <v>9</v>
      </c>
      <c r="H3974" t="str">
        <f t="shared" si="815"/>
        <v>99</v>
      </c>
      <c r="I3974" t="str">
        <f t="shared" si="812"/>
        <v>0</v>
      </c>
      <c r="J3974" t="str">
        <f>"92"</f>
        <v>92</v>
      </c>
      <c r="K3974">
        <v>20181214</v>
      </c>
      <c r="L3974" t="str">
        <f t="shared" si="813"/>
        <v>075045</v>
      </c>
      <c r="M3974" t="str">
        <f t="shared" si="814"/>
        <v>45496</v>
      </c>
      <c r="N3974" t="s">
        <v>3175</v>
      </c>
      <c r="O3974">
        <v>259.56</v>
      </c>
      <c r="P3974">
        <v>20181212</v>
      </c>
      <c r="Q3974" t="s">
        <v>3177</v>
      </c>
      <c r="R3974" t="s">
        <v>641</v>
      </c>
      <c r="S3974" t="s">
        <v>1615</v>
      </c>
      <c r="T3974" t="s">
        <v>1841</v>
      </c>
    </row>
    <row r="3975" spans="1:20" x14ac:dyDescent="0.25">
      <c r="A3975">
        <v>9</v>
      </c>
      <c r="B3975">
        <v>199</v>
      </c>
      <c r="C3975" t="str">
        <f>"41"</f>
        <v>41</v>
      </c>
      <c r="D3975">
        <v>6399</v>
      </c>
      <c r="E3975" t="str">
        <f>"10"</f>
        <v>10</v>
      </c>
      <c r="F3975" t="str">
        <f>"701"</f>
        <v>701</v>
      </c>
      <c r="G3975">
        <v>9</v>
      </c>
      <c r="H3975" t="str">
        <f t="shared" si="815"/>
        <v>99</v>
      </c>
      <c r="I3975" t="str">
        <f t="shared" si="812"/>
        <v>0</v>
      </c>
      <c r="J3975" t="str">
        <f>"92"</f>
        <v>92</v>
      </c>
      <c r="K3975">
        <v>20181214</v>
      </c>
      <c r="L3975" t="str">
        <f t="shared" si="813"/>
        <v>075045</v>
      </c>
      <c r="M3975" t="str">
        <f t="shared" si="814"/>
        <v>45496</v>
      </c>
      <c r="N3975" t="s">
        <v>3175</v>
      </c>
      <c r="O3975">
        <v>71.69</v>
      </c>
      <c r="P3975">
        <v>20181212</v>
      </c>
      <c r="Q3975" t="s">
        <v>3177</v>
      </c>
      <c r="R3975" t="s">
        <v>3178</v>
      </c>
      <c r="S3975" t="s">
        <v>1615</v>
      </c>
      <c r="T3975" t="s">
        <v>1841</v>
      </c>
    </row>
    <row r="3976" spans="1:20" x14ac:dyDescent="0.25">
      <c r="A3976">
        <v>9</v>
      </c>
      <c r="B3976">
        <v>199</v>
      </c>
      <c r="C3976" t="str">
        <f>"41"</f>
        <v>41</v>
      </c>
      <c r="D3976">
        <v>6399</v>
      </c>
      <c r="E3976" t="str">
        <f>"10"</f>
        <v>10</v>
      </c>
      <c r="F3976" t="str">
        <f>"730"</f>
        <v>730</v>
      </c>
      <c r="G3976">
        <v>9</v>
      </c>
      <c r="H3976" t="str">
        <f t="shared" si="815"/>
        <v>99</v>
      </c>
      <c r="I3976" t="str">
        <f t="shared" si="812"/>
        <v>0</v>
      </c>
      <c r="J3976" t="str">
        <f>"95"</f>
        <v>95</v>
      </c>
      <c r="K3976">
        <v>20181214</v>
      </c>
      <c r="L3976" t="str">
        <f t="shared" si="813"/>
        <v>075045</v>
      </c>
      <c r="M3976" t="str">
        <f t="shared" si="814"/>
        <v>45496</v>
      </c>
      <c r="N3976" t="s">
        <v>3175</v>
      </c>
      <c r="O3976">
        <v>117.83</v>
      </c>
      <c r="P3976">
        <v>20181212</v>
      </c>
      <c r="Q3976" t="s">
        <v>1987</v>
      </c>
      <c r="R3976" t="s">
        <v>3179</v>
      </c>
      <c r="S3976" t="s">
        <v>1615</v>
      </c>
      <c r="T3976" t="s">
        <v>1794</v>
      </c>
    </row>
    <row r="3977" spans="1:20" x14ac:dyDescent="0.25">
      <c r="A3977">
        <v>9</v>
      </c>
      <c r="B3977">
        <v>199</v>
      </c>
      <c r="C3977" t="str">
        <f>"41"</f>
        <v>41</v>
      </c>
      <c r="D3977">
        <v>6399</v>
      </c>
      <c r="E3977" t="str">
        <f>"10"</f>
        <v>10</v>
      </c>
      <c r="F3977" t="str">
        <f>"730"</f>
        <v>730</v>
      </c>
      <c r="G3977">
        <v>9</v>
      </c>
      <c r="H3977" t="str">
        <f t="shared" si="815"/>
        <v>99</v>
      </c>
      <c r="I3977" t="str">
        <f t="shared" si="812"/>
        <v>0</v>
      </c>
      <c r="J3977" t="str">
        <f>"95"</f>
        <v>95</v>
      </c>
      <c r="K3977">
        <v>20181214</v>
      </c>
      <c r="L3977" t="str">
        <f t="shared" si="813"/>
        <v>075045</v>
      </c>
      <c r="M3977" t="str">
        <f t="shared" si="814"/>
        <v>45496</v>
      </c>
      <c r="N3977" t="s">
        <v>3175</v>
      </c>
      <c r="O3977">
        <v>290.68</v>
      </c>
      <c r="P3977">
        <v>20181212</v>
      </c>
      <c r="Q3977" t="s">
        <v>1987</v>
      </c>
      <c r="R3977" t="s">
        <v>641</v>
      </c>
      <c r="S3977" t="s">
        <v>1615</v>
      </c>
      <c r="T3977" t="s">
        <v>1794</v>
      </c>
    </row>
    <row r="3978" spans="1:20" x14ac:dyDescent="0.25">
      <c r="A3978">
        <v>9</v>
      </c>
      <c r="B3978">
        <v>199</v>
      </c>
      <c r="C3978" t="str">
        <f>"36"</f>
        <v>36</v>
      </c>
      <c r="D3978">
        <v>6411</v>
      </c>
      <c r="E3978" t="str">
        <f>"8S"</f>
        <v>8S</v>
      </c>
      <c r="F3978" t="str">
        <f>"001"</f>
        <v>001</v>
      </c>
      <c r="G3978">
        <v>9</v>
      </c>
      <c r="H3978" t="str">
        <f t="shared" si="815"/>
        <v>99</v>
      </c>
      <c r="I3978" t="str">
        <f>"1"</f>
        <v>1</v>
      </c>
      <c r="J3978" t="str">
        <f>"01"</f>
        <v>01</v>
      </c>
      <c r="K3978">
        <v>20181214</v>
      </c>
      <c r="L3978" t="str">
        <f>"075046"</f>
        <v>075046</v>
      </c>
      <c r="M3978" t="str">
        <f>"46348"</f>
        <v>46348</v>
      </c>
      <c r="N3978" t="s">
        <v>1631</v>
      </c>
      <c r="O3978">
        <v>100</v>
      </c>
      <c r="P3978">
        <v>20181212</v>
      </c>
      <c r="Q3978" t="s">
        <v>1632</v>
      </c>
      <c r="R3978" t="s">
        <v>3169</v>
      </c>
      <c r="S3978" t="s">
        <v>1615</v>
      </c>
      <c r="T3978" t="s">
        <v>301</v>
      </c>
    </row>
    <row r="3979" spans="1:20" x14ac:dyDescent="0.25">
      <c r="A3979">
        <v>9</v>
      </c>
      <c r="B3979">
        <v>199</v>
      </c>
      <c r="C3979" t="str">
        <f>"36"</f>
        <v>36</v>
      </c>
      <c r="D3979">
        <v>6412</v>
      </c>
      <c r="E3979" t="str">
        <f>"8S"</f>
        <v>8S</v>
      </c>
      <c r="F3979" t="str">
        <f>"001"</f>
        <v>001</v>
      </c>
      <c r="G3979">
        <v>9</v>
      </c>
      <c r="H3979" t="str">
        <f t="shared" si="815"/>
        <v>99</v>
      </c>
      <c r="I3979" t="str">
        <f>"1"</f>
        <v>1</v>
      </c>
      <c r="J3979" t="str">
        <f>"01"</f>
        <v>01</v>
      </c>
      <c r="K3979">
        <v>20181214</v>
      </c>
      <c r="L3979" t="str">
        <f>"075046"</f>
        <v>075046</v>
      </c>
      <c r="M3979" t="str">
        <f>"46348"</f>
        <v>46348</v>
      </c>
      <c r="N3979" t="s">
        <v>1631</v>
      </c>
      <c r="O3979">
        <v>750</v>
      </c>
      <c r="P3979">
        <v>20181212</v>
      </c>
      <c r="Q3979" t="s">
        <v>1634</v>
      </c>
      <c r="R3979" t="s">
        <v>3169</v>
      </c>
      <c r="S3979" t="s">
        <v>1615</v>
      </c>
      <c r="T3979" t="s">
        <v>301</v>
      </c>
    </row>
    <row r="3980" spans="1:20" x14ac:dyDescent="0.25">
      <c r="A3980">
        <v>9</v>
      </c>
      <c r="B3980">
        <v>199</v>
      </c>
      <c r="C3980" t="str">
        <f>"00"</f>
        <v>00</v>
      </c>
      <c r="D3980">
        <v>1291</v>
      </c>
      <c r="E3980" t="str">
        <f>"05"</f>
        <v>05</v>
      </c>
      <c r="F3980" t="str">
        <f>"000"</f>
        <v>000</v>
      </c>
      <c r="G3980">
        <v>9</v>
      </c>
      <c r="H3980" t="str">
        <f>"00"</f>
        <v>00</v>
      </c>
      <c r="I3980" t="str">
        <f t="shared" ref="I3980:I4011" si="816">"0"</f>
        <v>0</v>
      </c>
      <c r="J3980" t="str">
        <f>"00"</f>
        <v>00</v>
      </c>
      <c r="K3980">
        <v>20181214</v>
      </c>
      <c r="L3980" t="str">
        <f>"075047"</f>
        <v>075047</v>
      </c>
      <c r="M3980" t="str">
        <f>"46398"</f>
        <v>46398</v>
      </c>
      <c r="N3980" t="s">
        <v>1636</v>
      </c>
      <c r="O3980" s="1">
        <v>1820</v>
      </c>
      <c r="P3980">
        <v>20181212</v>
      </c>
      <c r="Q3980" t="s">
        <v>1637</v>
      </c>
      <c r="R3980" t="s">
        <v>3180</v>
      </c>
      <c r="S3980" t="s">
        <v>1615</v>
      </c>
      <c r="T3980" t="s">
        <v>296</v>
      </c>
    </row>
    <row r="3981" spans="1:20" x14ac:dyDescent="0.25">
      <c r="A3981">
        <v>9</v>
      </c>
      <c r="B3981">
        <v>199</v>
      </c>
      <c r="C3981" t="str">
        <f>"00"</f>
        <v>00</v>
      </c>
      <c r="D3981">
        <v>1291</v>
      </c>
      <c r="E3981" t="str">
        <f>"05"</f>
        <v>05</v>
      </c>
      <c r="F3981" t="str">
        <f>"000"</f>
        <v>000</v>
      </c>
      <c r="G3981">
        <v>9</v>
      </c>
      <c r="H3981" t="str">
        <f>"00"</f>
        <v>00</v>
      </c>
      <c r="I3981" t="str">
        <f t="shared" si="816"/>
        <v>0</v>
      </c>
      <c r="J3981" t="str">
        <f>"00"</f>
        <v>00</v>
      </c>
      <c r="K3981">
        <v>20181214</v>
      </c>
      <c r="L3981" t="str">
        <f>"075047"</f>
        <v>075047</v>
      </c>
      <c r="M3981" t="str">
        <f>"46398"</f>
        <v>46398</v>
      </c>
      <c r="N3981" t="s">
        <v>1636</v>
      </c>
      <c r="O3981">
        <v>210.13</v>
      </c>
      <c r="P3981">
        <v>20181213</v>
      </c>
      <c r="Q3981" t="s">
        <v>1637</v>
      </c>
      <c r="R3981" t="s">
        <v>3181</v>
      </c>
      <c r="S3981" t="s">
        <v>1615</v>
      </c>
      <c r="T3981" t="s">
        <v>296</v>
      </c>
    </row>
    <row r="3982" spans="1:20" x14ac:dyDescent="0.25">
      <c r="A3982">
        <v>9</v>
      </c>
      <c r="B3982">
        <v>199</v>
      </c>
      <c r="C3982" t="str">
        <f>"00"</f>
        <v>00</v>
      </c>
      <c r="D3982">
        <v>1291</v>
      </c>
      <c r="E3982" t="str">
        <f>"05"</f>
        <v>05</v>
      </c>
      <c r="F3982" t="str">
        <f>"000"</f>
        <v>000</v>
      </c>
      <c r="G3982">
        <v>9</v>
      </c>
      <c r="H3982" t="str">
        <f>"00"</f>
        <v>00</v>
      </c>
      <c r="I3982" t="str">
        <f t="shared" si="816"/>
        <v>0</v>
      </c>
      <c r="J3982" t="str">
        <f>"00"</f>
        <v>00</v>
      </c>
      <c r="K3982">
        <v>20181214</v>
      </c>
      <c r="L3982" t="str">
        <f>"075047"</f>
        <v>075047</v>
      </c>
      <c r="M3982" t="str">
        <f>"46398"</f>
        <v>46398</v>
      </c>
      <c r="N3982" t="s">
        <v>1636</v>
      </c>
      <c r="O3982" s="1">
        <v>10151.59</v>
      </c>
      <c r="P3982">
        <v>20181213</v>
      </c>
      <c r="Q3982" t="s">
        <v>1637</v>
      </c>
      <c r="R3982" t="s">
        <v>3181</v>
      </c>
      <c r="S3982" t="s">
        <v>1615</v>
      </c>
      <c r="T3982" t="s">
        <v>296</v>
      </c>
    </row>
    <row r="3983" spans="1:20" x14ac:dyDescent="0.25">
      <c r="A3983">
        <v>9</v>
      </c>
      <c r="B3983">
        <v>199</v>
      </c>
      <c r="C3983" t="str">
        <f>"41"</f>
        <v>41</v>
      </c>
      <c r="D3983">
        <v>6245</v>
      </c>
      <c r="E3983" t="str">
        <f>"10"</f>
        <v>10</v>
      </c>
      <c r="F3983" t="str">
        <f>"933"</f>
        <v>933</v>
      </c>
      <c r="G3983">
        <v>9</v>
      </c>
      <c r="H3983" t="str">
        <f>"99"</f>
        <v>99</v>
      </c>
      <c r="I3983" t="str">
        <f t="shared" si="816"/>
        <v>0</v>
      </c>
      <c r="J3983" t="str">
        <f>"85"</f>
        <v>85</v>
      </c>
      <c r="K3983">
        <v>20181214</v>
      </c>
      <c r="L3983" t="str">
        <f>"075047"</f>
        <v>075047</v>
      </c>
      <c r="M3983" t="str">
        <f>"46398"</f>
        <v>46398</v>
      </c>
      <c r="N3983" t="s">
        <v>1636</v>
      </c>
      <c r="O3983" s="1">
        <v>1439.2</v>
      </c>
      <c r="P3983">
        <v>20181213</v>
      </c>
      <c r="Q3983" t="s">
        <v>2516</v>
      </c>
      <c r="R3983" t="s">
        <v>3181</v>
      </c>
      <c r="S3983" t="s">
        <v>1615</v>
      </c>
      <c r="T3983" t="s">
        <v>1643</v>
      </c>
    </row>
    <row r="3984" spans="1:20" x14ac:dyDescent="0.25">
      <c r="A3984">
        <v>9</v>
      </c>
      <c r="B3984">
        <v>199</v>
      </c>
      <c r="C3984" t="str">
        <f>"00"</f>
        <v>00</v>
      </c>
      <c r="D3984">
        <v>1291</v>
      </c>
      <c r="E3984" t="str">
        <f>"05"</f>
        <v>05</v>
      </c>
      <c r="F3984" t="str">
        <f>"000"</f>
        <v>000</v>
      </c>
      <c r="G3984">
        <v>9</v>
      </c>
      <c r="H3984" t="str">
        <f>"00"</f>
        <v>00</v>
      </c>
      <c r="I3984" t="str">
        <f t="shared" si="816"/>
        <v>0</v>
      </c>
      <c r="J3984" t="str">
        <f>"00"</f>
        <v>00</v>
      </c>
      <c r="K3984">
        <v>20181214</v>
      </c>
      <c r="L3984" t="str">
        <f>"075048"</f>
        <v>075048</v>
      </c>
      <c r="M3984" t="str">
        <f>"46351"</f>
        <v>46351</v>
      </c>
      <c r="N3984" t="s">
        <v>1639</v>
      </c>
      <c r="O3984" s="1">
        <v>11074.01</v>
      </c>
      <c r="P3984">
        <v>20181212</v>
      </c>
      <c r="Q3984" t="s">
        <v>1637</v>
      </c>
      <c r="R3984" t="s">
        <v>3182</v>
      </c>
      <c r="S3984" t="s">
        <v>1615</v>
      </c>
      <c r="T3984" t="s">
        <v>296</v>
      </c>
    </row>
    <row r="3985" spans="1:20" x14ac:dyDescent="0.25">
      <c r="A3985">
        <v>9</v>
      </c>
      <c r="B3985">
        <v>199</v>
      </c>
      <c r="C3985" t="str">
        <f>"41"</f>
        <v>41</v>
      </c>
      <c r="D3985">
        <v>6269</v>
      </c>
      <c r="E3985" t="str">
        <f>"10"</f>
        <v>10</v>
      </c>
      <c r="F3985" t="str">
        <f>"933"</f>
        <v>933</v>
      </c>
      <c r="G3985">
        <v>9</v>
      </c>
      <c r="H3985" t="str">
        <f>"99"</f>
        <v>99</v>
      </c>
      <c r="I3985" t="str">
        <f t="shared" si="816"/>
        <v>0</v>
      </c>
      <c r="J3985" t="str">
        <f>"85"</f>
        <v>85</v>
      </c>
      <c r="K3985">
        <v>20181214</v>
      </c>
      <c r="L3985" t="str">
        <f>"075048"</f>
        <v>075048</v>
      </c>
      <c r="M3985" t="str">
        <f>"46351"</f>
        <v>46351</v>
      </c>
      <c r="N3985" t="s">
        <v>1639</v>
      </c>
      <c r="O3985" s="1">
        <v>4248.04</v>
      </c>
      <c r="P3985">
        <v>20181212</v>
      </c>
      <c r="Q3985" t="s">
        <v>1642</v>
      </c>
      <c r="R3985" t="s">
        <v>3182</v>
      </c>
      <c r="S3985" t="s">
        <v>1615</v>
      </c>
      <c r="T3985" t="s">
        <v>1643</v>
      </c>
    </row>
    <row r="3986" spans="1:20" x14ac:dyDescent="0.25">
      <c r="A3986">
        <v>9</v>
      </c>
      <c r="B3986">
        <v>199</v>
      </c>
      <c r="C3986" t="str">
        <f>"11"</f>
        <v>11</v>
      </c>
      <c r="D3986">
        <v>6339</v>
      </c>
      <c r="E3986" t="str">
        <f>"NL"</f>
        <v>NL</v>
      </c>
      <c r="F3986" t="str">
        <f>"001"</f>
        <v>001</v>
      </c>
      <c r="G3986">
        <v>9</v>
      </c>
      <c r="H3986" t="str">
        <f>"22"</f>
        <v>22</v>
      </c>
      <c r="I3986" t="str">
        <f t="shared" si="816"/>
        <v>0</v>
      </c>
      <c r="J3986" t="str">
        <f>"22"</f>
        <v>22</v>
      </c>
      <c r="K3986">
        <v>20181214</v>
      </c>
      <c r="L3986" t="str">
        <f>"075049"</f>
        <v>075049</v>
      </c>
      <c r="M3986" t="str">
        <f>"46779"</f>
        <v>46779</v>
      </c>
      <c r="N3986" t="s">
        <v>1895</v>
      </c>
      <c r="O3986">
        <v>28</v>
      </c>
      <c r="P3986">
        <v>20181212</v>
      </c>
      <c r="Q3986" t="s">
        <v>3183</v>
      </c>
      <c r="R3986" t="s">
        <v>3184</v>
      </c>
      <c r="S3986" t="s">
        <v>1615</v>
      </c>
      <c r="T3986" t="s">
        <v>301</v>
      </c>
    </row>
    <row r="3987" spans="1:20" x14ac:dyDescent="0.25">
      <c r="A3987">
        <v>9</v>
      </c>
      <c r="B3987">
        <v>199</v>
      </c>
      <c r="C3987" t="str">
        <f>"11"</f>
        <v>11</v>
      </c>
      <c r="D3987">
        <v>6339</v>
      </c>
      <c r="E3987" t="str">
        <f>"NL"</f>
        <v>NL</v>
      </c>
      <c r="F3987" t="str">
        <f>"001"</f>
        <v>001</v>
      </c>
      <c r="G3987">
        <v>9</v>
      </c>
      <c r="H3987" t="str">
        <f>"22"</f>
        <v>22</v>
      </c>
      <c r="I3987" t="str">
        <f t="shared" si="816"/>
        <v>0</v>
      </c>
      <c r="J3987" t="str">
        <f>"22"</f>
        <v>22</v>
      </c>
      <c r="K3987">
        <v>20181214</v>
      </c>
      <c r="L3987" t="str">
        <f>"075049"</f>
        <v>075049</v>
      </c>
      <c r="M3987" t="str">
        <f>"46779"</f>
        <v>46779</v>
      </c>
      <c r="N3987" t="s">
        <v>1895</v>
      </c>
      <c r="O3987">
        <v>125.05</v>
      </c>
      <c r="P3987">
        <v>20181212</v>
      </c>
      <c r="Q3987" t="s">
        <v>3183</v>
      </c>
      <c r="R3987" t="s">
        <v>3185</v>
      </c>
      <c r="S3987" t="s">
        <v>1615</v>
      </c>
      <c r="T3987" t="s">
        <v>301</v>
      </c>
    </row>
    <row r="3988" spans="1:20" x14ac:dyDescent="0.25">
      <c r="A3988">
        <v>9</v>
      </c>
      <c r="B3988">
        <v>199</v>
      </c>
      <c r="C3988" t="str">
        <f>"11"</f>
        <v>11</v>
      </c>
      <c r="D3988">
        <v>6399</v>
      </c>
      <c r="E3988" t="str">
        <f>"NL"</f>
        <v>NL</v>
      </c>
      <c r="F3988" t="str">
        <f>"001"</f>
        <v>001</v>
      </c>
      <c r="G3988">
        <v>9</v>
      </c>
      <c r="H3988" t="str">
        <f>"22"</f>
        <v>22</v>
      </c>
      <c r="I3988" t="str">
        <f t="shared" si="816"/>
        <v>0</v>
      </c>
      <c r="J3988" t="str">
        <f>"22"</f>
        <v>22</v>
      </c>
      <c r="K3988">
        <v>20181214</v>
      </c>
      <c r="L3988" t="str">
        <f>"075049"</f>
        <v>075049</v>
      </c>
      <c r="M3988" t="str">
        <f>"46779"</f>
        <v>46779</v>
      </c>
      <c r="N3988" t="s">
        <v>1895</v>
      </c>
      <c r="O3988">
        <v>603.96</v>
      </c>
      <c r="P3988">
        <v>20181212</v>
      </c>
      <c r="Q3988" t="s">
        <v>1896</v>
      </c>
      <c r="R3988" t="s">
        <v>3186</v>
      </c>
      <c r="S3988" t="s">
        <v>1615</v>
      </c>
      <c r="T3988" t="s">
        <v>301</v>
      </c>
    </row>
    <row r="3989" spans="1:20" x14ac:dyDescent="0.25">
      <c r="A3989">
        <v>9</v>
      </c>
      <c r="B3989">
        <v>199</v>
      </c>
      <c r="C3989" t="str">
        <f t="shared" ref="C3989:C3998" si="817">"51"</f>
        <v>51</v>
      </c>
      <c r="D3989">
        <v>6319</v>
      </c>
      <c r="E3989" t="str">
        <f t="shared" ref="E3989:E3998" si="818">"MC"</f>
        <v>MC</v>
      </c>
      <c r="F3989" t="str">
        <f t="shared" ref="F3989:F3996" si="819">"936"</f>
        <v>936</v>
      </c>
      <c r="G3989">
        <v>9</v>
      </c>
      <c r="H3989" t="str">
        <f t="shared" ref="H3989:H3998" si="820">"99"</f>
        <v>99</v>
      </c>
      <c r="I3989" t="str">
        <f t="shared" si="816"/>
        <v>0</v>
      </c>
      <c r="J3989" t="str">
        <f t="shared" ref="J3989:J3998" si="821">"81"</f>
        <v>81</v>
      </c>
      <c r="K3989">
        <v>20181214</v>
      </c>
      <c r="L3989" t="str">
        <f t="shared" ref="L3989:L3996" si="822">"075051"</f>
        <v>075051</v>
      </c>
      <c r="M3989" t="str">
        <f t="shared" ref="M3989:M3996" si="823">"47725"</f>
        <v>47725</v>
      </c>
      <c r="N3989" t="s">
        <v>2095</v>
      </c>
      <c r="O3989">
        <v>492</v>
      </c>
      <c r="P3989">
        <v>20181212</v>
      </c>
      <c r="Q3989" t="s">
        <v>2060</v>
      </c>
      <c r="R3989" t="s">
        <v>3187</v>
      </c>
      <c r="S3989" t="s">
        <v>1615</v>
      </c>
      <c r="T3989" t="s">
        <v>1713</v>
      </c>
    </row>
    <row r="3990" spans="1:20" x14ac:dyDescent="0.25">
      <c r="A3990">
        <v>9</v>
      </c>
      <c r="B3990">
        <v>199</v>
      </c>
      <c r="C3990" t="str">
        <f t="shared" si="817"/>
        <v>51</v>
      </c>
      <c r="D3990">
        <v>6319</v>
      </c>
      <c r="E3990" t="str">
        <f t="shared" si="818"/>
        <v>MC</v>
      </c>
      <c r="F3990" t="str">
        <f t="shared" si="819"/>
        <v>936</v>
      </c>
      <c r="G3990">
        <v>9</v>
      </c>
      <c r="H3990" t="str">
        <f t="shared" si="820"/>
        <v>99</v>
      </c>
      <c r="I3990" t="str">
        <f t="shared" si="816"/>
        <v>0</v>
      </c>
      <c r="J3990" t="str">
        <f t="shared" si="821"/>
        <v>81</v>
      </c>
      <c r="K3990">
        <v>20181214</v>
      </c>
      <c r="L3990" t="str">
        <f t="shared" si="822"/>
        <v>075051</v>
      </c>
      <c r="M3990" t="str">
        <f t="shared" si="823"/>
        <v>47725</v>
      </c>
      <c r="N3990" t="s">
        <v>2095</v>
      </c>
      <c r="O3990">
        <v>214.21</v>
      </c>
      <c r="P3990">
        <v>20181212</v>
      </c>
      <c r="Q3990" t="s">
        <v>2060</v>
      </c>
      <c r="R3990" t="s">
        <v>3188</v>
      </c>
      <c r="S3990" t="s">
        <v>1615</v>
      </c>
      <c r="T3990" t="s">
        <v>1713</v>
      </c>
    </row>
    <row r="3991" spans="1:20" x14ac:dyDescent="0.25">
      <c r="A3991">
        <v>9</v>
      </c>
      <c r="B3991">
        <v>199</v>
      </c>
      <c r="C3991" t="str">
        <f t="shared" si="817"/>
        <v>51</v>
      </c>
      <c r="D3991">
        <v>6319</v>
      </c>
      <c r="E3991" t="str">
        <f t="shared" si="818"/>
        <v>MC</v>
      </c>
      <c r="F3991" t="str">
        <f t="shared" si="819"/>
        <v>936</v>
      </c>
      <c r="G3991">
        <v>9</v>
      </c>
      <c r="H3991" t="str">
        <f t="shared" si="820"/>
        <v>99</v>
      </c>
      <c r="I3991" t="str">
        <f t="shared" si="816"/>
        <v>0</v>
      </c>
      <c r="J3991" t="str">
        <f t="shared" si="821"/>
        <v>81</v>
      </c>
      <c r="K3991">
        <v>20181214</v>
      </c>
      <c r="L3991" t="str">
        <f t="shared" si="822"/>
        <v>075051</v>
      </c>
      <c r="M3991" t="str">
        <f t="shared" si="823"/>
        <v>47725</v>
      </c>
      <c r="N3991" t="s">
        <v>2095</v>
      </c>
      <c r="O3991">
        <v>286</v>
      </c>
      <c r="P3991">
        <v>20181212</v>
      </c>
      <c r="Q3991" t="s">
        <v>2060</v>
      </c>
      <c r="R3991" t="s">
        <v>3189</v>
      </c>
      <c r="S3991" t="s">
        <v>1615</v>
      </c>
      <c r="T3991" t="s">
        <v>1713</v>
      </c>
    </row>
    <row r="3992" spans="1:20" x14ac:dyDescent="0.25">
      <c r="A3992">
        <v>9</v>
      </c>
      <c r="B3992">
        <v>199</v>
      </c>
      <c r="C3992" t="str">
        <f t="shared" si="817"/>
        <v>51</v>
      </c>
      <c r="D3992">
        <v>6319</v>
      </c>
      <c r="E3992" t="str">
        <f t="shared" si="818"/>
        <v>MC</v>
      </c>
      <c r="F3992" t="str">
        <f t="shared" si="819"/>
        <v>936</v>
      </c>
      <c r="G3992">
        <v>9</v>
      </c>
      <c r="H3992" t="str">
        <f t="shared" si="820"/>
        <v>99</v>
      </c>
      <c r="I3992" t="str">
        <f t="shared" si="816"/>
        <v>0</v>
      </c>
      <c r="J3992" t="str">
        <f t="shared" si="821"/>
        <v>81</v>
      </c>
      <c r="K3992">
        <v>20181214</v>
      </c>
      <c r="L3992" t="str">
        <f t="shared" si="822"/>
        <v>075051</v>
      </c>
      <c r="M3992" t="str">
        <f t="shared" si="823"/>
        <v>47725</v>
      </c>
      <c r="N3992" t="s">
        <v>2095</v>
      </c>
      <c r="O3992">
        <v>198.9</v>
      </c>
      <c r="P3992">
        <v>20181212</v>
      </c>
      <c r="Q3992" t="s">
        <v>2060</v>
      </c>
      <c r="R3992" t="s">
        <v>3190</v>
      </c>
      <c r="S3992" t="s">
        <v>1615</v>
      </c>
      <c r="T3992" t="s">
        <v>1713</v>
      </c>
    </row>
    <row r="3993" spans="1:20" x14ac:dyDescent="0.25">
      <c r="A3993">
        <v>9</v>
      </c>
      <c r="B3993">
        <v>199</v>
      </c>
      <c r="C3993" t="str">
        <f t="shared" si="817"/>
        <v>51</v>
      </c>
      <c r="D3993">
        <v>6319</v>
      </c>
      <c r="E3993" t="str">
        <f t="shared" si="818"/>
        <v>MC</v>
      </c>
      <c r="F3993" t="str">
        <f t="shared" si="819"/>
        <v>936</v>
      </c>
      <c r="G3993">
        <v>9</v>
      </c>
      <c r="H3993" t="str">
        <f t="shared" si="820"/>
        <v>99</v>
      </c>
      <c r="I3993" t="str">
        <f t="shared" si="816"/>
        <v>0</v>
      </c>
      <c r="J3993" t="str">
        <f t="shared" si="821"/>
        <v>81</v>
      </c>
      <c r="K3993">
        <v>20181214</v>
      </c>
      <c r="L3993" t="str">
        <f t="shared" si="822"/>
        <v>075051</v>
      </c>
      <c r="M3993" t="str">
        <f t="shared" si="823"/>
        <v>47725</v>
      </c>
      <c r="N3993" t="s">
        <v>2095</v>
      </c>
      <c r="O3993">
        <v>396</v>
      </c>
      <c r="P3993">
        <v>20181212</v>
      </c>
      <c r="Q3993" t="s">
        <v>2060</v>
      </c>
      <c r="R3993" t="s">
        <v>3187</v>
      </c>
      <c r="S3993" t="s">
        <v>1615</v>
      </c>
      <c r="T3993" t="s">
        <v>1713</v>
      </c>
    </row>
    <row r="3994" spans="1:20" x14ac:dyDescent="0.25">
      <c r="A3994">
        <v>9</v>
      </c>
      <c r="B3994">
        <v>199</v>
      </c>
      <c r="C3994" t="str">
        <f t="shared" si="817"/>
        <v>51</v>
      </c>
      <c r="D3994">
        <v>6319</v>
      </c>
      <c r="E3994" t="str">
        <f t="shared" si="818"/>
        <v>MC</v>
      </c>
      <c r="F3994" t="str">
        <f t="shared" si="819"/>
        <v>936</v>
      </c>
      <c r="G3994">
        <v>9</v>
      </c>
      <c r="H3994" t="str">
        <f t="shared" si="820"/>
        <v>99</v>
      </c>
      <c r="I3994" t="str">
        <f t="shared" si="816"/>
        <v>0</v>
      </c>
      <c r="J3994" t="str">
        <f t="shared" si="821"/>
        <v>81</v>
      </c>
      <c r="K3994">
        <v>20181214</v>
      </c>
      <c r="L3994" t="str">
        <f t="shared" si="822"/>
        <v>075051</v>
      </c>
      <c r="M3994" t="str">
        <f t="shared" si="823"/>
        <v>47725</v>
      </c>
      <c r="N3994" t="s">
        <v>2095</v>
      </c>
      <c r="O3994">
        <v>80.739999999999995</v>
      </c>
      <c r="P3994">
        <v>20181212</v>
      </c>
      <c r="Q3994" t="s">
        <v>2060</v>
      </c>
      <c r="R3994" t="s">
        <v>3191</v>
      </c>
      <c r="S3994" t="s">
        <v>1615</v>
      </c>
      <c r="T3994" t="s">
        <v>1713</v>
      </c>
    </row>
    <row r="3995" spans="1:20" x14ac:dyDescent="0.25">
      <c r="A3995">
        <v>9</v>
      </c>
      <c r="B3995">
        <v>199</v>
      </c>
      <c r="C3995" t="str">
        <f t="shared" si="817"/>
        <v>51</v>
      </c>
      <c r="D3995">
        <v>6319</v>
      </c>
      <c r="E3995" t="str">
        <f t="shared" si="818"/>
        <v>MC</v>
      </c>
      <c r="F3995" t="str">
        <f t="shared" si="819"/>
        <v>936</v>
      </c>
      <c r="G3995">
        <v>9</v>
      </c>
      <c r="H3995" t="str">
        <f t="shared" si="820"/>
        <v>99</v>
      </c>
      <c r="I3995" t="str">
        <f t="shared" si="816"/>
        <v>0</v>
      </c>
      <c r="J3995" t="str">
        <f t="shared" si="821"/>
        <v>81</v>
      </c>
      <c r="K3995">
        <v>20181214</v>
      </c>
      <c r="L3995" t="str">
        <f t="shared" si="822"/>
        <v>075051</v>
      </c>
      <c r="M3995" t="str">
        <f t="shared" si="823"/>
        <v>47725</v>
      </c>
      <c r="N3995" t="s">
        <v>2095</v>
      </c>
      <c r="O3995">
        <v>118.48</v>
      </c>
      <c r="P3995">
        <v>20181212</v>
      </c>
      <c r="Q3995" t="s">
        <v>2060</v>
      </c>
      <c r="R3995" t="s">
        <v>3192</v>
      </c>
      <c r="S3995" t="s">
        <v>1615</v>
      </c>
      <c r="T3995" t="s">
        <v>1713</v>
      </c>
    </row>
    <row r="3996" spans="1:20" x14ac:dyDescent="0.25">
      <c r="A3996">
        <v>9</v>
      </c>
      <c r="B3996">
        <v>199</v>
      </c>
      <c r="C3996" t="str">
        <f t="shared" si="817"/>
        <v>51</v>
      </c>
      <c r="D3996">
        <v>6319</v>
      </c>
      <c r="E3996" t="str">
        <f t="shared" si="818"/>
        <v>MC</v>
      </c>
      <c r="F3996" t="str">
        <f t="shared" si="819"/>
        <v>936</v>
      </c>
      <c r="G3996">
        <v>9</v>
      </c>
      <c r="H3996" t="str">
        <f t="shared" si="820"/>
        <v>99</v>
      </c>
      <c r="I3996" t="str">
        <f t="shared" si="816"/>
        <v>0</v>
      </c>
      <c r="J3996" t="str">
        <f t="shared" si="821"/>
        <v>81</v>
      </c>
      <c r="K3996">
        <v>20181214</v>
      </c>
      <c r="L3996" t="str">
        <f t="shared" si="822"/>
        <v>075051</v>
      </c>
      <c r="M3996" t="str">
        <f t="shared" si="823"/>
        <v>47725</v>
      </c>
      <c r="N3996" t="s">
        <v>2095</v>
      </c>
      <c r="O3996">
        <v>42.48</v>
      </c>
      <c r="P3996">
        <v>20181212</v>
      </c>
      <c r="Q3996" t="s">
        <v>2060</v>
      </c>
      <c r="R3996" t="s">
        <v>3193</v>
      </c>
      <c r="S3996" t="s">
        <v>1615</v>
      </c>
      <c r="T3996" t="s">
        <v>1713</v>
      </c>
    </row>
    <row r="3997" spans="1:20" x14ac:dyDescent="0.25">
      <c r="A3997">
        <v>9</v>
      </c>
      <c r="B3997">
        <v>199</v>
      </c>
      <c r="C3997" t="str">
        <f t="shared" si="817"/>
        <v>51</v>
      </c>
      <c r="D3997">
        <v>6249</v>
      </c>
      <c r="E3997" t="str">
        <f t="shared" si="818"/>
        <v>MC</v>
      </c>
      <c r="F3997" t="str">
        <f>"001"</f>
        <v>001</v>
      </c>
      <c r="G3997">
        <v>9</v>
      </c>
      <c r="H3997" t="str">
        <f t="shared" si="820"/>
        <v>99</v>
      </c>
      <c r="I3997" t="str">
        <f t="shared" si="816"/>
        <v>0</v>
      </c>
      <c r="J3997" t="str">
        <f t="shared" si="821"/>
        <v>81</v>
      </c>
      <c r="K3997">
        <v>20181214</v>
      </c>
      <c r="L3997" t="str">
        <f>"075052"</f>
        <v>075052</v>
      </c>
      <c r="M3997" t="str">
        <f>"00518"</f>
        <v>00518</v>
      </c>
      <c r="N3997" t="s">
        <v>1742</v>
      </c>
      <c r="O3997">
        <v>225</v>
      </c>
      <c r="P3997">
        <v>20181212</v>
      </c>
      <c r="Q3997" t="s">
        <v>2386</v>
      </c>
      <c r="R3997" t="s">
        <v>3194</v>
      </c>
      <c r="S3997" t="s">
        <v>1615</v>
      </c>
      <c r="T3997" t="s">
        <v>301</v>
      </c>
    </row>
    <row r="3998" spans="1:20" x14ac:dyDescent="0.25">
      <c r="A3998">
        <v>9</v>
      </c>
      <c r="B3998">
        <v>199</v>
      </c>
      <c r="C3998" t="str">
        <f t="shared" si="817"/>
        <v>51</v>
      </c>
      <c r="D3998">
        <v>6249</v>
      </c>
      <c r="E3998" t="str">
        <f t="shared" si="818"/>
        <v>MC</v>
      </c>
      <c r="F3998" t="str">
        <f>"104"</f>
        <v>104</v>
      </c>
      <c r="G3998">
        <v>9</v>
      </c>
      <c r="H3998" t="str">
        <f t="shared" si="820"/>
        <v>99</v>
      </c>
      <c r="I3998" t="str">
        <f t="shared" si="816"/>
        <v>0</v>
      </c>
      <c r="J3998" t="str">
        <f t="shared" si="821"/>
        <v>81</v>
      </c>
      <c r="K3998">
        <v>20181214</v>
      </c>
      <c r="L3998" t="str">
        <f>"075052"</f>
        <v>075052</v>
      </c>
      <c r="M3998" t="str">
        <f>"00518"</f>
        <v>00518</v>
      </c>
      <c r="N3998" t="s">
        <v>1742</v>
      </c>
      <c r="O3998">
        <v>225</v>
      </c>
      <c r="P3998">
        <v>20181212</v>
      </c>
      <c r="Q3998" t="s">
        <v>1744</v>
      </c>
      <c r="R3998" t="s">
        <v>3194</v>
      </c>
      <c r="S3998" t="s">
        <v>1615</v>
      </c>
      <c r="T3998" t="s">
        <v>46</v>
      </c>
    </row>
    <row r="3999" spans="1:20" x14ac:dyDescent="0.25">
      <c r="A3999">
        <v>9</v>
      </c>
      <c r="B3999">
        <v>199</v>
      </c>
      <c r="C3999" t="str">
        <f>"21"</f>
        <v>21</v>
      </c>
      <c r="D3999">
        <v>6216</v>
      </c>
      <c r="E3999" t="str">
        <f>"00"</f>
        <v>00</v>
      </c>
      <c r="F3999" t="str">
        <f>"875"</f>
        <v>875</v>
      </c>
      <c r="G3999">
        <v>9</v>
      </c>
      <c r="H3999" t="str">
        <f>"23"</f>
        <v>23</v>
      </c>
      <c r="I3999" t="str">
        <f t="shared" si="816"/>
        <v>0</v>
      </c>
      <c r="J3999" t="str">
        <f>"23"</f>
        <v>23</v>
      </c>
      <c r="K3999">
        <v>20181214</v>
      </c>
      <c r="L3999" t="str">
        <f>"075055"</f>
        <v>075055</v>
      </c>
      <c r="M3999" t="str">
        <f>"51475"</f>
        <v>51475</v>
      </c>
      <c r="N3999" t="s">
        <v>3195</v>
      </c>
      <c r="O3999" s="1">
        <v>3775.57</v>
      </c>
      <c r="P3999">
        <v>20181212</v>
      </c>
      <c r="Q3999" t="s">
        <v>3196</v>
      </c>
      <c r="R3999" t="s">
        <v>3197</v>
      </c>
      <c r="S3999" t="s">
        <v>1615</v>
      </c>
      <c r="T3999" t="s">
        <v>2041</v>
      </c>
    </row>
    <row r="4000" spans="1:20" x14ac:dyDescent="0.25">
      <c r="A4000">
        <v>9</v>
      </c>
      <c r="B4000">
        <v>199</v>
      </c>
      <c r="C4000" t="str">
        <f>"21"</f>
        <v>21</v>
      </c>
      <c r="D4000">
        <v>6216</v>
      </c>
      <c r="E4000" t="str">
        <f>"00"</f>
        <v>00</v>
      </c>
      <c r="F4000" t="str">
        <f>"875"</f>
        <v>875</v>
      </c>
      <c r="G4000">
        <v>9</v>
      </c>
      <c r="H4000" t="str">
        <f>"23"</f>
        <v>23</v>
      </c>
      <c r="I4000" t="str">
        <f t="shared" si="816"/>
        <v>0</v>
      </c>
      <c r="J4000" t="str">
        <f>"23"</f>
        <v>23</v>
      </c>
      <c r="K4000">
        <v>20181214</v>
      </c>
      <c r="L4000" t="str">
        <f>"075055"</f>
        <v>075055</v>
      </c>
      <c r="M4000" t="str">
        <f>"51475"</f>
        <v>51475</v>
      </c>
      <c r="N4000" t="s">
        <v>3195</v>
      </c>
      <c r="O4000">
        <v>128.66</v>
      </c>
      <c r="P4000">
        <v>20181212</v>
      </c>
      <c r="Q4000" t="s">
        <v>3196</v>
      </c>
      <c r="R4000" t="s">
        <v>3198</v>
      </c>
      <c r="S4000" t="s">
        <v>1615</v>
      </c>
      <c r="T4000" t="s">
        <v>2041</v>
      </c>
    </row>
    <row r="4001" spans="1:20" x14ac:dyDescent="0.25">
      <c r="A4001">
        <v>9</v>
      </c>
      <c r="B4001">
        <v>199</v>
      </c>
      <c r="C4001" t="str">
        <f>"21"</f>
        <v>21</v>
      </c>
      <c r="D4001">
        <v>6216</v>
      </c>
      <c r="E4001" t="str">
        <f>"00"</f>
        <v>00</v>
      </c>
      <c r="F4001" t="str">
        <f>"875"</f>
        <v>875</v>
      </c>
      <c r="G4001">
        <v>9</v>
      </c>
      <c r="H4001" t="str">
        <f>"23"</f>
        <v>23</v>
      </c>
      <c r="I4001" t="str">
        <f t="shared" si="816"/>
        <v>0</v>
      </c>
      <c r="J4001" t="str">
        <f>"23"</f>
        <v>23</v>
      </c>
      <c r="K4001">
        <v>20181214</v>
      </c>
      <c r="L4001" t="str">
        <f>"075055"</f>
        <v>075055</v>
      </c>
      <c r="M4001" t="str">
        <f>"51475"</f>
        <v>51475</v>
      </c>
      <c r="N4001" t="s">
        <v>3195</v>
      </c>
      <c r="O4001">
        <v>10.050000000000001</v>
      </c>
      <c r="P4001">
        <v>20181212</v>
      </c>
      <c r="Q4001" t="s">
        <v>3196</v>
      </c>
      <c r="R4001" t="s">
        <v>3199</v>
      </c>
      <c r="S4001" t="s">
        <v>1615</v>
      </c>
      <c r="T4001" t="s">
        <v>2041</v>
      </c>
    </row>
    <row r="4002" spans="1:20" x14ac:dyDescent="0.25">
      <c r="A4002">
        <v>9</v>
      </c>
      <c r="B4002">
        <v>199</v>
      </c>
      <c r="C4002" t="str">
        <f>"31"</f>
        <v>31</v>
      </c>
      <c r="D4002">
        <v>6499</v>
      </c>
      <c r="E4002" t="str">
        <f>"7F"</f>
        <v>7F</v>
      </c>
      <c r="F4002" t="str">
        <f>"001"</f>
        <v>001</v>
      </c>
      <c r="G4002">
        <v>9</v>
      </c>
      <c r="H4002" t="str">
        <f>"31"</f>
        <v>31</v>
      </c>
      <c r="I4002" t="str">
        <f t="shared" si="816"/>
        <v>0</v>
      </c>
      <c r="J4002" t="str">
        <f>"34"</f>
        <v>34</v>
      </c>
      <c r="K4002">
        <v>20181214</v>
      </c>
      <c r="L4002" t="str">
        <f>"075058"</f>
        <v>075058</v>
      </c>
      <c r="M4002" t="str">
        <f>"54236"</f>
        <v>54236</v>
      </c>
      <c r="N4002" t="s">
        <v>3200</v>
      </c>
      <c r="O4002">
        <v>215.15</v>
      </c>
      <c r="P4002">
        <v>20181212</v>
      </c>
      <c r="Q4002" t="s">
        <v>2880</v>
      </c>
      <c r="R4002" t="s">
        <v>3201</v>
      </c>
      <c r="S4002" t="s">
        <v>1615</v>
      </c>
      <c r="T4002" t="s">
        <v>301</v>
      </c>
    </row>
    <row r="4003" spans="1:20" x14ac:dyDescent="0.25">
      <c r="A4003">
        <v>9</v>
      </c>
      <c r="B4003">
        <v>199</v>
      </c>
      <c r="C4003" t="str">
        <f>"31"</f>
        <v>31</v>
      </c>
      <c r="D4003">
        <v>6499</v>
      </c>
      <c r="E4003" t="str">
        <f>"7F"</f>
        <v>7F</v>
      </c>
      <c r="F4003" t="str">
        <f>"001"</f>
        <v>001</v>
      </c>
      <c r="G4003">
        <v>9</v>
      </c>
      <c r="H4003" t="str">
        <f>"31"</f>
        <v>31</v>
      </c>
      <c r="I4003" t="str">
        <f t="shared" si="816"/>
        <v>0</v>
      </c>
      <c r="J4003" t="str">
        <f>"34"</f>
        <v>34</v>
      </c>
      <c r="K4003">
        <v>20181214</v>
      </c>
      <c r="L4003" t="str">
        <f>"075058"</f>
        <v>075058</v>
      </c>
      <c r="M4003" t="str">
        <f>"54236"</f>
        <v>54236</v>
      </c>
      <c r="N4003" t="s">
        <v>3200</v>
      </c>
      <c r="O4003">
        <v>312.10000000000002</v>
      </c>
      <c r="P4003">
        <v>20181212</v>
      </c>
      <c r="Q4003" t="s">
        <v>2880</v>
      </c>
      <c r="R4003" t="s">
        <v>3202</v>
      </c>
      <c r="S4003" t="s">
        <v>1615</v>
      </c>
      <c r="T4003" t="s">
        <v>301</v>
      </c>
    </row>
    <row r="4004" spans="1:20" x14ac:dyDescent="0.25">
      <c r="A4004">
        <v>9</v>
      </c>
      <c r="B4004">
        <v>199</v>
      </c>
      <c r="C4004" t="str">
        <f>"36"</f>
        <v>36</v>
      </c>
      <c r="D4004">
        <v>6412</v>
      </c>
      <c r="E4004" t="str">
        <f>"8S"</f>
        <v>8S</v>
      </c>
      <c r="F4004" t="str">
        <f>"001"</f>
        <v>001</v>
      </c>
      <c r="G4004">
        <v>9</v>
      </c>
      <c r="H4004" t="str">
        <f>"99"</f>
        <v>99</v>
      </c>
      <c r="I4004" t="str">
        <f t="shared" si="816"/>
        <v>0</v>
      </c>
      <c r="J4004" t="str">
        <f>"01"</f>
        <v>01</v>
      </c>
      <c r="K4004">
        <v>20181214</v>
      </c>
      <c r="L4004" t="str">
        <f>"075060"</f>
        <v>075060</v>
      </c>
      <c r="M4004" t="str">
        <f>"55846"</f>
        <v>55846</v>
      </c>
      <c r="N4004" t="s">
        <v>2889</v>
      </c>
      <c r="O4004" s="1">
        <v>1320</v>
      </c>
      <c r="P4004">
        <v>20181212</v>
      </c>
      <c r="Q4004" t="s">
        <v>1625</v>
      </c>
      <c r="R4004" t="s">
        <v>3169</v>
      </c>
      <c r="S4004" t="s">
        <v>1615</v>
      </c>
      <c r="T4004" t="s">
        <v>301</v>
      </c>
    </row>
    <row r="4005" spans="1:20" x14ac:dyDescent="0.25">
      <c r="A4005">
        <v>9</v>
      </c>
      <c r="B4005">
        <v>199</v>
      </c>
      <c r="C4005" t="str">
        <f>"41"</f>
        <v>41</v>
      </c>
      <c r="D4005">
        <v>6249</v>
      </c>
      <c r="E4005" t="str">
        <f>"10"</f>
        <v>10</v>
      </c>
      <c r="F4005" t="str">
        <f>"934"</f>
        <v>934</v>
      </c>
      <c r="G4005">
        <v>9</v>
      </c>
      <c r="H4005" t="str">
        <f>"99"</f>
        <v>99</v>
      </c>
      <c r="I4005" t="str">
        <f t="shared" si="816"/>
        <v>0</v>
      </c>
      <c r="J4005" t="str">
        <f>"91"</f>
        <v>91</v>
      </c>
      <c r="K4005">
        <v>20181214</v>
      </c>
      <c r="L4005" t="str">
        <f>"075062"</f>
        <v>075062</v>
      </c>
      <c r="M4005" t="str">
        <f>"56226"</f>
        <v>56226</v>
      </c>
      <c r="N4005" t="s">
        <v>3203</v>
      </c>
      <c r="O4005" s="1">
        <v>1284</v>
      </c>
      <c r="P4005">
        <v>20181212</v>
      </c>
      <c r="Q4005" t="s">
        <v>3204</v>
      </c>
      <c r="R4005" t="s">
        <v>3205</v>
      </c>
      <c r="S4005" t="s">
        <v>1615</v>
      </c>
      <c r="T4005" t="s">
        <v>1778</v>
      </c>
    </row>
    <row r="4006" spans="1:20" x14ac:dyDescent="0.25">
      <c r="A4006">
        <v>9</v>
      </c>
      <c r="B4006">
        <v>199</v>
      </c>
      <c r="C4006" t="str">
        <f>"11"</f>
        <v>11</v>
      </c>
      <c r="D4006">
        <v>6249</v>
      </c>
      <c r="E4006" t="str">
        <f>"8M"</f>
        <v>8M</v>
      </c>
      <c r="F4006" t="str">
        <f>"001"</f>
        <v>001</v>
      </c>
      <c r="G4006">
        <v>9</v>
      </c>
      <c r="H4006" t="str">
        <f>"11"</f>
        <v>11</v>
      </c>
      <c r="I4006" t="str">
        <f t="shared" si="816"/>
        <v>0</v>
      </c>
      <c r="J4006" t="str">
        <f>"33"</f>
        <v>33</v>
      </c>
      <c r="K4006">
        <v>20181214</v>
      </c>
      <c r="L4006" t="str">
        <f>"075065"</f>
        <v>075065</v>
      </c>
      <c r="M4006" t="str">
        <f>"57662"</f>
        <v>57662</v>
      </c>
      <c r="N4006" t="s">
        <v>2519</v>
      </c>
      <c r="O4006">
        <v>472.5</v>
      </c>
      <c r="P4006">
        <v>20181212</v>
      </c>
      <c r="Q4006" t="s">
        <v>3206</v>
      </c>
      <c r="R4006" t="s">
        <v>3207</v>
      </c>
      <c r="S4006" t="s">
        <v>1615</v>
      </c>
      <c r="T4006" t="s">
        <v>301</v>
      </c>
    </row>
    <row r="4007" spans="1:20" x14ac:dyDescent="0.25">
      <c r="A4007">
        <v>9</v>
      </c>
      <c r="B4007">
        <v>199</v>
      </c>
      <c r="C4007" t="str">
        <f>"11"</f>
        <v>11</v>
      </c>
      <c r="D4007">
        <v>6399</v>
      </c>
      <c r="E4007" t="str">
        <f>"10"</f>
        <v>10</v>
      </c>
      <c r="F4007" t="str">
        <f>"002"</f>
        <v>002</v>
      </c>
      <c r="G4007">
        <v>9</v>
      </c>
      <c r="H4007" t="str">
        <f>"11"</f>
        <v>11</v>
      </c>
      <c r="I4007" t="str">
        <f t="shared" si="816"/>
        <v>0</v>
      </c>
      <c r="J4007" t="str">
        <f>"02"</f>
        <v>02</v>
      </c>
      <c r="K4007">
        <v>20181214</v>
      </c>
      <c r="L4007" t="str">
        <f t="shared" ref="L4007:L4013" si="824">"075070"</f>
        <v>075070</v>
      </c>
      <c r="M4007" t="str">
        <f t="shared" ref="M4007:M4013" si="825">"58211"</f>
        <v>58211</v>
      </c>
      <c r="N4007" t="s">
        <v>1472</v>
      </c>
      <c r="O4007">
        <v>6</v>
      </c>
      <c r="P4007">
        <v>20181213</v>
      </c>
      <c r="Q4007" t="s">
        <v>3208</v>
      </c>
      <c r="R4007" t="s">
        <v>3209</v>
      </c>
      <c r="S4007" t="s">
        <v>1615</v>
      </c>
      <c r="T4007" t="s">
        <v>1485</v>
      </c>
    </row>
    <row r="4008" spans="1:20" x14ac:dyDescent="0.25">
      <c r="A4008">
        <v>9</v>
      </c>
      <c r="B4008">
        <v>199</v>
      </c>
      <c r="C4008" t="str">
        <f>"11"</f>
        <v>11</v>
      </c>
      <c r="D4008">
        <v>6399</v>
      </c>
      <c r="E4008" t="str">
        <f>"V8"</f>
        <v>V8</v>
      </c>
      <c r="F4008" t="str">
        <f>"002"</f>
        <v>002</v>
      </c>
      <c r="G4008">
        <v>9</v>
      </c>
      <c r="H4008" t="str">
        <f>"22"</f>
        <v>22</v>
      </c>
      <c r="I4008" t="str">
        <f t="shared" si="816"/>
        <v>0</v>
      </c>
      <c r="J4008" t="str">
        <f>"22"</f>
        <v>22</v>
      </c>
      <c r="K4008">
        <v>20181214</v>
      </c>
      <c r="L4008" t="str">
        <f t="shared" si="824"/>
        <v>075070</v>
      </c>
      <c r="M4008" t="str">
        <f t="shared" si="825"/>
        <v>58211</v>
      </c>
      <c r="N4008" t="s">
        <v>1472</v>
      </c>
      <c r="O4008">
        <v>12.99</v>
      </c>
      <c r="P4008">
        <v>20181213</v>
      </c>
      <c r="Q4008" t="s">
        <v>3210</v>
      </c>
      <c r="R4008" t="s">
        <v>3211</v>
      </c>
      <c r="S4008" t="s">
        <v>1615</v>
      </c>
      <c r="T4008" t="s">
        <v>1485</v>
      </c>
    </row>
    <row r="4009" spans="1:20" x14ac:dyDescent="0.25">
      <c r="A4009">
        <v>9</v>
      </c>
      <c r="B4009">
        <v>199</v>
      </c>
      <c r="C4009" t="str">
        <f>"11"</f>
        <v>11</v>
      </c>
      <c r="D4009">
        <v>6399</v>
      </c>
      <c r="E4009" t="str">
        <f>"VH"</f>
        <v>VH</v>
      </c>
      <c r="F4009" t="str">
        <f>"002"</f>
        <v>002</v>
      </c>
      <c r="G4009">
        <v>9</v>
      </c>
      <c r="H4009" t="str">
        <f>"22"</f>
        <v>22</v>
      </c>
      <c r="I4009" t="str">
        <f t="shared" si="816"/>
        <v>0</v>
      </c>
      <c r="J4009" t="str">
        <f>"22"</f>
        <v>22</v>
      </c>
      <c r="K4009">
        <v>20181214</v>
      </c>
      <c r="L4009" t="str">
        <f t="shared" si="824"/>
        <v>075070</v>
      </c>
      <c r="M4009" t="str">
        <f t="shared" si="825"/>
        <v>58211</v>
      </c>
      <c r="N4009" t="s">
        <v>1472</v>
      </c>
      <c r="O4009">
        <v>13.66</v>
      </c>
      <c r="P4009">
        <v>20181213</v>
      </c>
      <c r="Q4009" t="s">
        <v>1912</v>
      </c>
      <c r="R4009" t="s">
        <v>3212</v>
      </c>
      <c r="S4009" t="s">
        <v>1615</v>
      </c>
      <c r="T4009" t="s">
        <v>1485</v>
      </c>
    </row>
    <row r="4010" spans="1:20" x14ac:dyDescent="0.25">
      <c r="A4010">
        <v>9</v>
      </c>
      <c r="B4010">
        <v>199</v>
      </c>
      <c r="C4010" t="str">
        <f>"23"</f>
        <v>23</v>
      </c>
      <c r="D4010">
        <v>6498</v>
      </c>
      <c r="E4010" t="str">
        <f>"10"</f>
        <v>10</v>
      </c>
      <c r="F4010" t="str">
        <f>"002"</f>
        <v>002</v>
      </c>
      <c r="G4010">
        <v>9</v>
      </c>
      <c r="H4010" t="str">
        <f>"99"</f>
        <v>99</v>
      </c>
      <c r="I4010" t="str">
        <f t="shared" si="816"/>
        <v>0</v>
      </c>
      <c r="J4010" t="str">
        <f>"02"</f>
        <v>02</v>
      </c>
      <c r="K4010">
        <v>20181214</v>
      </c>
      <c r="L4010" t="str">
        <f t="shared" si="824"/>
        <v>075070</v>
      </c>
      <c r="M4010" t="str">
        <f t="shared" si="825"/>
        <v>58211</v>
      </c>
      <c r="N4010" t="s">
        <v>1472</v>
      </c>
      <c r="O4010">
        <v>53.97</v>
      </c>
      <c r="P4010">
        <v>20181213</v>
      </c>
      <c r="Q4010" t="s">
        <v>3213</v>
      </c>
      <c r="R4010" t="s">
        <v>3214</v>
      </c>
      <c r="S4010" t="s">
        <v>1615</v>
      </c>
      <c r="T4010" t="s">
        <v>1485</v>
      </c>
    </row>
    <row r="4011" spans="1:20" x14ac:dyDescent="0.25">
      <c r="A4011">
        <v>9</v>
      </c>
      <c r="B4011">
        <v>199</v>
      </c>
      <c r="C4011" t="str">
        <f>"41"</f>
        <v>41</v>
      </c>
      <c r="D4011">
        <v>6498</v>
      </c>
      <c r="E4011" t="str">
        <f>"00"</f>
        <v>00</v>
      </c>
      <c r="F4011" t="str">
        <f>"709"</f>
        <v>709</v>
      </c>
      <c r="G4011">
        <v>9</v>
      </c>
      <c r="H4011" t="str">
        <f>"99"</f>
        <v>99</v>
      </c>
      <c r="I4011" t="str">
        <f t="shared" si="816"/>
        <v>0</v>
      </c>
      <c r="J4011" t="str">
        <f>"83"</f>
        <v>83</v>
      </c>
      <c r="K4011">
        <v>20181214</v>
      </c>
      <c r="L4011" t="str">
        <f t="shared" si="824"/>
        <v>075070</v>
      </c>
      <c r="M4011" t="str">
        <f t="shared" si="825"/>
        <v>58211</v>
      </c>
      <c r="N4011" t="s">
        <v>1472</v>
      </c>
      <c r="O4011">
        <v>40.75</v>
      </c>
      <c r="P4011">
        <v>20181213</v>
      </c>
      <c r="Q4011" t="s">
        <v>2314</v>
      </c>
      <c r="R4011" t="s">
        <v>3215</v>
      </c>
      <c r="S4011" t="s">
        <v>1615</v>
      </c>
      <c r="T4011" t="s">
        <v>1820</v>
      </c>
    </row>
    <row r="4012" spans="1:20" x14ac:dyDescent="0.25">
      <c r="A4012">
        <v>9</v>
      </c>
      <c r="B4012">
        <v>199</v>
      </c>
      <c r="C4012" t="str">
        <f>"41"</f>
        <v>41</v>
      </c>
      <c r="D4012">
        <v>6498</v>
      </c>
      <c r="E4012" t="str">
        <f>"00"</f>
        <v>00</v>
      </c>
      <c r="F4012" t="str">
        <f>"709"</f>
        <v>709</v>
      </c>
      <c r="G4012">
        <v>9</v>
      </c>
      <c r="H4012" t="str">
        <f>"99"</f>
        <v>99</v>
      </c>
      <c r="I4012" t="str">
        <f t="shared" ref="I4012:I4043" si="826">"0"</f>
        <v>0</v>
      </c>
      <c r="J4012" t="str">
        <f>"83"</f>
        <v>83</v>
      </c>
      <c r="K4012">
        <v>20181214</v>
      </c>
      <c r="L4012" t="str">
        <f t="shared" si="824"/>
        <v>075070</v>
      </c>
      <c r="M4012" t="str">
        <f t="shared" si="825"/>
        <v>58211</v>
      </c>
      <c r="N4012" t="s">
        <v>1472</v>
      </c>
      <c r="O4012">
        <v>32.979999999999997</v>
      </c>
      <c r="P4012">
        <v>20181213</v>
      </c>
      <c r="Q4012" t="s">
        <v>2314</v>
      </c>
      <c r="R4012" t="s">
        <v>3216</v>
      </c>
      <c r="S4012" t="s">
        <v>1615</v>
      </c>
      <c r="T4012" t="s">
        <v>1820</v>
      </c>
    </row>
    <row r="4013" spans="1:20" x14ac:dyDescent="0.25">
      <c r="A4013">
        <v>9</v>
      </c>
      <c r="B4013">
        <v>199</v>
      </c>
      <c r="C4013" t="str">
        <f>"41"</f>
        <v>41</v>
      </c>
      <c r="D4013">
        <v>6498</v>
      </c>
      <c r="E4013" t="str">
        <f>"00"</f>
        <v>00</v>
      </c>
      <c r="F4013" t="str">
        <f>"709"</f>
        <v>709</v>
      </c>
      <c r="G4013">
        <v>9</v>
      </c>
      <c r="H4013" t="str">
        <f>"99"</f>
        <v>99</v>
      </c>
      <c r="I4013" t="str">
        <f t="shared" si="826"/>
        <v>0</v>
      </c>
      <c r="J4013" t="str">
        <f>"83"</f>
        <v>83</v>
      </c>
      <c r="K4013">
        <v>20181214</v>
      </c>
      <c r="L4013" t="str">
        <f t="shared" si="824"/>
        <v>075070</v>
      </c>
      <c r="M4013" t="str">
        <f t="shared" si="825"/>
        <v>58211</v>
      </c>
      <c r="N4013" t="s">
        <v>1472</v>
      </c>
      <c r="O4013">
        <v>17.5</v>
      </c>
      <c r="P4013">
        <v>20181213</v>
      </c>
      <c r="Q4013" t="s">
        <v>2314</v>
      </c>
      <c r="R4013" t="s">
        <v>3217</v>
      </c>
      <c r="S4013" t="s">
        <v>1615</v>
      </c>
      <c r="T4013" t="s">
        <v>1820</v>
      </c>
    </row>
    <row r="4014" spans="1:20" x14ac:dyDescent="0.25">
      <c r="A4014">
        <v>9</v>
      </c>
      <c r="B4014">
        <v>199</v>
      </c>
      <c r="C4014" t="str">
        <f>"23"</f>
        <v>23</v>
      </c>
      <c r="D4014">
        <v>6397</v>
      </c>
      <c r="E4014" t="str">
        <f>"99"</f>
        <v>99</v>
      </c>
      <c r="F4014" t="str">
        <f>"104"</f>
        <v>104</v>
      </c>
      <c r="G4014">
        <v>9</v>
      </c>
      <c r="H4014" t="str">
        <f>"99"</f>
        <v>99</v>
      </c>
      <c r="I4014" t="str">
        <f t="shared" si="826"/>
        <v>0</v>
      </c>
      <c r="J4014" t="str">
        <f>"05"</f>
        <v>05</v>
      </c>
      <c r="K4014">
        <v>20181214</v>
      </c>
      <c r="L4014" t="str">
        <f>"075071"</f>
        <v>075071</v>
      </c>
      <c r="M4014" t="str">
        <f>"58201"</f>
        <v>58201</v>
      </c>
      <c r="N4014" t="s">
        <v>2662</v>
      </c>
      <c r="O4014">
        <v>21.06</v>
      </c>
      <c r="P4014">
        <v>20181213</v>
      </c>
      <c r="Q4014" t="s">
        <v>3218</v>
      </c>
      <c r="R4014" t="s">
        <v>3219</v>
      </c>
      <c r="S4014" t="s">
        <v>1615</v>
      </c>
      <c r="T4014" t="s">
        <v>46</v>
      </c>
    </row>
    <row r="4015" spans="1:20" x14ac:dyDescent="0.25">
      <c r="A4015">
        <v>9</v>
      </c>
      <c r="B4015">
        <v>199</v>
      </c>
      <c r="C4015" t="str">
        <f>"11"</f>
        <v>11</v>
      </c>
      <c r="D4015">
        <v>6399</v>
      </c>
      <c r="E4015" t="str">
        <f>"10"</f>
        <v>10</v>
      </c>
      <c r="F4015" t="str">
        <f>"041"</f>
        <v>041</v>
      </c>
      <c r="G4015">
        <v>9</v>
      </c>
      <c r="H4015" t="str">
        <f>"11"</f>
        <v>11</v>
      </c>
      <c r="I4015" t="str">
        <f t="shared" si="826"/>
        <v>0</v>
      </c>
      <c r="J4015" t="str">
        <f>"03"</f>
        <v>03</v>
      </c>
      <c r="K4015">
        <v>20181214</v>
      </c>
      <c r="L4015" t="str">
        <f>"075072"</f>
        <v>075072</v>
      </c>
      <c r="M4015" t="str">
        <f>"58202"</f>
        <v>58202</v>
      </c>
      <c r="N4015" t="s">
        <v>2781</v>
      </c>
      <c r="O4015">
        <v>10.94</v>
      </c>
      <c r="P4015">
        <v>20181213</v>
      </c>
      <c r="Q4015" t="s">
        <v>2956</v>
      </c>
      <c r="R4015" t="s">
        <v>3220</v>
      </c>
      <c r="S4015" t="s">
        <v>1615</v>
      </c>
      <c r="T4015" t="s">
        <v>106</v>
      </c>
    </row>
    <row r="4016" spans="1:20" x14ac:dyDescent="0.25">
      <c r="A4016">
        <v>9</v>
      </c>
      <c r="B4016">
        <v>199</v>
      </c>
      <c r="C4016" t="str">
        <f>"23"</f>
        <v>23</v>
      </c>
      <c r="D4016">
        <v>6498</v>
      </c>
      <c r="E4016" t="str">
        <f>"99"</f>
        <v>99</v>
      </c>
      <c r="F4016" t="str">
        <f>"041"</f>
        <v>041</v>
      </c>
      <c r="G4016">
        <v>9</v>
      </c>
      <c r="H4016" t="str">
        <f t="shared" ref="H4016:H4024" si="827">"99"</f>
        <v>99</v>
      </c>
      <c r="I4016" t="str">
        <f t="shared" si="826"/>
        <v>0</v>
      </c>
      <c r="J4016" t="str">
        <f>"03"</f>
        <v>03</v>
      </c>
      <c r="K4016">
        <v>20181214</v>
      </c>
      <c r="L4016" t="str">
        <f>"075072"</f>
        <v>075072</v>
      </c>
      <c r="M4016" t="str">
        <f>"58202"</f>
        <v>58202</v>
      </c>
      <c r="N4016" t="s">
        <v>2781</v>
      </c>
      <c r="O4016">
        <v>41.94</v>
      </c>
      <c r="P4016">
        <v>20181213</v>
      </c>
      <c r="Q4016" t="s">
        <v>2140</v>
      </c>
      <c r="R4016" t="s">
        <v>3221</v>
      </c>
      <c r="S4016" t="s">
        <v>1615</v>
      </c>
      <c r="T4016" t="s">
        <v>106</v>
      </c>
    </row>
    <row r="4017" spans="1:20" x14ac:dyDescent="0.25">
      <c r="A4017">
        <v>9</v>
      </c>
      <c r="B4017">
        <v>199</v>
      </c>
      <c r="C4017" t="str">
        <f>"23"</f>
        <v>23</v>
      </c>
      <c r="D4017">
        <v>6498</v>
      </c>
      <c r="E4017" t="str">
        <f>"99"</f>
        <v>99</v>
      </c>
      <c r="F4017" t="str">
        <f>"041"</f>
        <v>041</v>
      </c>
      <c r="G4017">
        <v>9</v>
      </c>
      <c r="H4017" t="str">
        <f t="shared" si="827"/>
        <v>99</v>
      </c>
      <c r="I4017" t="str">
        <f t="shared" si="826"/>
        <v>0</v>
      </c>
      <c r="J4017" t="str">
        <f>"03"</f>
        <v>03</v>
      </c>
      <c r="K4017">
        <v>20181214</v>
      </c>
      <c r="L4017" t="str">
        <f>"075072"</f>
        <v>075072</v>
      </c>
      <c r="M4017" t="str">
        <f>"58202"</f>
        <v>58202</v>
      </c>
      <c r="N4017" t="s">
        <v>2781</v>
      </c>
      <c r="O4017">
        <v>55.78</v>
      </c>
      <c r="P4017">
        <v>20181213</v>
      </c>
      <c r="Q4017" t="s">
        <v>2140</v>
      </c>
      <c r="R4017" t="s">
        <v>3222</v>
      </c>
      <c r="S4017" t="s">
        <v>1615</v>
      </c>
      <c r="T4017" t="s">
        <v>106</v>
      </c>
    </row>
    <row r="4018" spans="1:20" x14ac:dyDescent="0.25">
      <c r="A4018">
        <v>9</v>
      </c>
      <c r="B4018">
        <v>199</v>
      </c>
      <c r="C4018" t="str">
        <f>"23"</f>
        <v>23</v>
      </c>
      <c r="D4018">
        <v>6498</v>
      </c>
      <c r="E4018" t="str">
        <f>"99"</f>
        <v>99</v>
      </c>
      <c r="F4018" t="str">
        <f>"041"</f>
        <v>041</v>
      </c>
      <c r="G4018">
        <v>9</v>
      </c>
      <c r="H4018" t="str">
        <f t="shared" si="827"/>
        <v>99</v>
      </c>
      <c r="I4018" t="str">
        <f t="shared" si="826"/>
        <v>0</v>
      </c>
      <c r="J4018" t="str">
        <f>"03"</f>
        <v>03</v>
      </c>
      <c r="K4018">
        <v>20181214</v>
      </c>
      <c r="L4018" t="str">
        <f>"075072"</f>
        <v>075072</v>
      </c>
      <c r="M4018" t="str">
        <f>"58202"</f>
        <v>58202</v>
      </c>
      <c r="N4018" t="s">
        <v>2781</v>
      </c>
      <c r="O4018">
        <v>102.89</v>
      </c>
      <c r="P4018">
        <v>20181213</v>
      </c>
      <c r="Q4018" t="s">
        <v>2140</v>
      </c>
      <c r="R4018" t="s">
        <v>3223</v>
      </c>
      <c r="S4018" t="s">
        <v>1615</v>
      </c>
      <c r="T4018" t="s">
        <v>106</v>
      </c>
    </row>
    <row r="4019" spans="1:20" x14ac:dyDescent="0.25">
      <c r="A4019">
        <v>9</v>
      </c>
      <c r="B4019">
        <v>199</v>
      </c>
      <c r="C4019" t="str">
        <f>"34"</f>
        <v>34</v>
      </c>
      <c r="D4019">
        <v>6299</v>
      </c>
      <c r="E4019" t="str">
        <f t="shared" ref="E4019:E4024" si="828">"10"</f>
        <v>10</v>
      </c>
      <c r="F4019" t="str">
        <f>"937"</f>
        <v>937</v>
      </c>
      <c r="G4019">
        <v>9</v>
      </c>
      <c r="H4019" t="str">
        <f t="shared" si="827"/>
        <v>99</v>
      </c>
      <c r="I4019" t="str">
        <f t="shared" si="826"/>
        <v>0</v>
      </c>
      <c r="J4019" t="str">
        <f>"82"</f>
        <v>82</v>
      </c>
      <c r="K4019">
        <v>20181214</v>
      </c>
      <c r="L4019" t="str">
        <f>"075073"</f>
        <v>075073</v>
      </c>
      <c r="M4019" t="str">
        <f>"58927"</f>
        <v>58927</v>
      </c>
      <c r="N4019" t="s">
        <v>1772</v>
      </c>
      <c r="O4019">
        <v>150</v>
      </c>
      <c r="P4019">
        <v>20181213</v>
      </c>
      <c r="Q4019" t="s">
        <v>2292</v>
      </c>
      <c r="R4019" t="s">
        <v>2293</v>
      </c>
      <c r="S4019" t="s">
        <v>1615</v>
      </c>
      <c r="T4019" t="s">
        <v>1810</v>
      </c>
    </row>
    <row r="4020" spans="1:20" x14ac:dyDescent="0.25">
      <c r="A4020">
        <v>9</v>
      </c>
      <c r="B4020">
        <v>199</v>
      </c>
      <c r="C4020" t="str">
        <f>"34"</f>
        <v>34</v>
      </c>
      <c r="D4020">
        <v>6299</v>
      </c>
      <c r="E4020" t="str">
        <f t="shared" si="828"/>
        <v>10</v>
      </c>
      <c r="F4020" t="str">
        <f>"937"</f>
        <v>937</v>
      </c>
      <c r="G4020">
        <v>9</v>
      </c>
      <c r="H4020" t="str">
        <f t="shared" si="827"/>
        <v>99</v>
      </c>
      <c r="I4020" t="str">
        <f t="shared" si="826"/>
        <v>0</v>
      </c>
      <c r="J4020" t="str">
        <f>"82"</f>
        <v>82</v>
      </c>
      <c r="K4020">
        <v>20181214</v>
      </c>
      <c r="L4020" t="str">
        <f>"075073"</f>
        <v>075073</v>
      </c>
      <c r="M4020" t="str">
        <f>"58927"</f>
        <v>58927</v>
      </c>
      <c r="N4020" t="s">
        <v>1772</v>
      </c>
      <c r="O4020">
        <v>120</v>
      </c>
      <c r="P4020">
        <v>20181213</v>
      </c>
      <c r="Q4020" t="s">
        <v>2292</v>
      </c>
      <c r="R4020" t="s">
        <v>1774</v>
      </c>
      <c r="S4020" t="s">
        <v>1615</v>
      </c>
      <c r="T4020" t="s">
        <v>1810</v>
      </c>
    </row>
    <row r="4021" spans="1:20" x14ac:dyDescent="0.25">
      <c r="A4021">
        <v>9</v>
      </c>
      <c r="B4021">
        <v>199</v>
      </c>
      <c r="C4021" t="str">
        <f>"34"</f>
        <v>34</v>
      </c>
      <c r="D4021">
        <v>6299</v>
      </c>
      <c r="E4021" t="str">
        <f t="shared" si="828"/>
        <v>10</v>
      </c>
      <c r="F4021" t="str">
        <f>"937"</f>
        <v>937</v>
      </c>
      <c r="G4021">
        <v>9</v>
      </c>
      <c r="H4021" t="str">
        <f t="shared" si="827"/>
        <v>99</v>
      </c>
      <c r="I4021" t="str">
        <f t="shared" si="826"/>
        <v>0</v>
      </c>
      <c r="J4021" t="str">
        <f>"82"</f>
        <v>82</v>
      </c>
      <c r="K4021">
        <v>20181214</v>
      </c>
      <c r="L4021" t="str">
        <f>"075073"</f>
        <v>075073</v>
      </c>
      <c r="M4021" t="str">
        <f>"58927"</f>
        <v>58927</v>
      </c>
      <c r="N4021" t="s">
        <v>1772</v>
      </c>
      <c r="O4021">
        <v>260</v>
      </c>
      <c r="P4021">
        <v>20181213</v>
      </c>
      <c r="Q4021" t="s">
        <v>2292</v>
      </c>
      <c r="R4021" t="s">
        <v>3224</v>
      </c>
      <c r="S4021" t="s">
        <v>1615</v>
      </c>
      <c r="T4021" t="s">
        <v>1810</v>
      </c>
    </row>
    <row r="4022" spans="1:20" x14ac:dyDescent="0.25">
      <c r="A4022">
        <v>9</v>
      </c>
      <c r="B4022">
        <v>199</v>
      </c>
      <c r="C4022" t="str">
        <f>"34"</f>
        <v>34</v>
      </c>
      <c r="D4022">
        <v>6299</v>
      </c>
      <c r="E4022" t="str">
        <f t="shared" si="828"/>
        <v>10</v>
      </c>
      <c r="F4022" t="str">
        <f>"937"</f>
        <v>937</v>
      </c>
      <c r="G4022">
        <v>9</v>
      </c>
      <c r="H4022" t="str">
        <f t="shared" si="827"/>
        <v>99</v>
      </c>
      <c r="I4022" t="str">
        <f t="shared" si="826"/>
        <v>0</v>
      </c>
      <c r="J4022" t="str">
        <f>"82"</f>
        <v>82</v>
      </c>
      <c r="K4022">
        <v>20181214</v>
      </c>
      <c r="L4022" t="str">
        <f>"075073"</f>
        <v>075073</v>
      </c>
      <c r="M4022" t="str">
        <f>"58927"</f>
        <v>58927</v>
      </c>
      <c r="N4022" t="s">
        <v>1772</v>
      </c>
      <c r="O4022">
        <v>120</v>
      </c>
      <c r="P4022">
        <v>20181213</v>
      </c>
      <c r="Q4022" t="s">
        <v>2292</v>
      </c>
      <c r="R4022" t="s">
        <v>1774</v>
      </c>
      <c r="S4022" t="s">
        <v>1615</v>
      </c>
      <c r="T4022" t="s">
        <v>1810</v>
      </c>
    </row>
    <row r="4023" spans="1:20" x14ac:dyDescent="0.25">
      <c r="A4023">
        <v>9</v>
      </c>
      <c r="B4023">
        <v>199</v>
      </c>
      <c r="C4023" t="str">
        <f>"34"</f>
        <v>34</v>
      </c>
      <c r="D4023">
        <v>6429</v>
      </c>
      <c r="E4023" t="str">
        <f t="shared" si="828"/>
        <v>10</v>
      </c>
      <c r="F4023" t="str">
        <f>"937"</f>
        <v>937</v>
      </c>
      <c r="G4023">
        <v>9</v>
      </c>
      <c r="H4023" t="str">
        <f t="shared" si="827"/>
        <v>99</v>
      </c>
      <c r="I4023" t="str">
        <f t="shared" si="826"/>
        <v>0</v>
      </c>
      <c r="J4023" t="str">
        <f>"72"</f>
        <v>72</v>
      </c>
      <c r="K4023">
        <v>20181214</v>
      </c>
      <c r="L4023" t="str">
        <f>"075074"</f>
        <v>075074</v>
      </c>
      <c r="M4023" t="str">
        <f>"57304"</f>
        <v>57304</v>
      </c>
      <c r="N4023" t="s">
        <v>3225</v>
      </c>
      <c r="O4023" s="1">
        <v>1000</v>
      </c>
      <c r="P4023">
        <v>20181213</v>
      </c>
      <c r="Q4023" t="s">
        <v>3226</v>
      </c>
      <c r="R4023" t="s">
        <v>3227</v>
      </c>
      <c r="S4023" t="s">
        <v>1615</v>
      </c>
      <c r="T4023" t="s">
        <v>1810</v>
      </c>
    </row>
    <row r="4024" spans="1:20" x14ac:dyDescent="0.25">
      <c r="A4024">
        <v>9</v>
      </c>
      <c r="B4024">
        <v>199</v>
      </c>
      <c r="C4024" t="str">
        <f>"41"</f>
        <v>41</v>
      </c>
      <c r="D4024">
        <v>6399</v>
      </c>
      <c r="E4024" t="str">
        <f t="shared" si="828"/>
        <v>10</v>
      </c>
      <c r="F4024" t="str">
        <f>"726"</f>
        <v>726</v>
      </c>
      <c r="G4024">
        <v>9</v>
      </c>
      <c r="H4024" t="str">
        <f t="shared" si="827"/>
        <v>99</v>
      </c>
      <c r="I4024" t="str">
        <f t="shared" si="826"/>
        <v>0</v>
      </c>
      <c r="J4024" t="str">
        <f>"91"</f>
        <v>91</v>
      </c>
      <c r="K4024">
        <v>20181214</v>
      </c>
      <c r="L4024" t="str">
        <f>"075075"</f>
        <v>075075</v>
      </c>
      <c r="M4024" t="str">
        <f>"60603"</f>
        <v>60603</v>
      </c>
      <c r="N4024" t="s">
        <v>1909</v>
      </c>
      <c r="O4024">
        <v>268.11</v>
      </c>
      <c r="P4024">
        <v>20181213</v>
      </c>
      <c r="Q4024" t="s">
        <v>2702</v>
      </c>
      <c r="R4024" t="s">
        <v>3228</v>
      </c>
      <c r="S4024" t="s">
        <v>1615</v>
      </c>
      <c r="T4024" t="s">
        <v>2608</v>
      </c>
    </row>
    <row r="4025" spans="1:20" x14ac:dyDescent="0.25">
      <c r="A4025">
        <v>9</v>
      </c>
      <c r="B4025">
        <v>199</v>
      </c>
      <c r="C4025" t="str">
        <f>"11"</f>
        <v>11</v>
      </c>
      <c r="D4025">
        <v>6249</v>
      </c>
      <c r="E4025" t="str">
        <f>"01"</f>
        <v>01</v>
      </c>
      <c r="F4025" t="str">
        <f>"104"</f>
        <v>104</v>
      </c>
      <c r="G4025">
        <v>9</v>
      </c>
      <c r="H4025" t="str">
        <f>"11"</f>
        <v>11</v>
      </c>
      <c r="I4025" t="str">
        <f t="shared" si="826"/>
        <v>0</v>
      </c>
      <c r="J4025" t="str">
        <f>"05"</f>
        <v>05</v>
      </c>
      <c r="K4025">
        <v>20181214</v>
      </c>
      <c r="L4025" t="str">
        <f>"075076"</f>
        <v>075076</v>
      </c>
      <c r="M4025" t="str">
        <f>"62325"</f>
        <v>62325</v>
      </c>
      <c r="N4025" t="s">
        <v>3229</v>
      </c>
      <c r="O4025" s="1">
        <v>10998.23</v>
      </c>
      <c r="P4025">
        <v>20181213</v>
      </c>
      <c r="Q4025" t="s">
        <v>3230</v>
      </c>
      <c r="R4025" t="s">
        <v>3231</v>
      </c>
      <c r="S4025" t="s">
        <v>1615</v>
      </c>
      <c r="T4025" t="s">
        <v>46</v>
      </c>
    </row>
    <row r="4026" spans="1:20" x14ac:dyDescent="0.25">
      <c r="A4026">
        <v>9</v>
      </c>
      <c r="B4026">
        <v>199</v>
      </c>
      <c r="C4026" t="str">
        <f>"12"</f>
        <v>12</v>
      </c>
      <c r="D4026">
        <v>6299</v>
      </c>
      <c r="E4026" t="str">
        <f>"7U"</f>
        <v>7U</v>
      </c>
      <c r="F4026" t="str">
        <f>"101"</f>
        <v>101</v>
      </c>
      <c r="G4026">
        <v>9</v>
      </c>
      <c r="H4026" t="str">
        <f>"11"</f>
        <v>11</v>
      </c>
      <c r="I4026" t="str">
        <f t="shared" si="826"/>
        <v>0</v>
      </c>
      <c r="J4026" t="str">
        <f>"04"</f>
        <v>04</v>
      </c>
      <c r="K4026">
        <v>20181214</v>
      </c>
      <c r="L4026" t="str">
        <f>"075076"</f>
        <v>075076</v>
      </c>
      <c r="M4026" t="str">
        <f>"62325"</f>
        <v>62325</v>
      </c>
      <c r="N4026" t="s">
        <v>3229</v>
      </c>
      <c r="O4026" s="1">
        <v>8669.75</v>
      </c>
      <c r="P4026">
        <v>20181213</v>
      </c>
      <c r="Q4026" t="s">
        <v>3232</v>
      </c>
      <c r="R4026" t="s">
        <v>3231</v>
      </c>
      <c r="S4026" t="s">
        <v>1615</v>
      </c>
      <c r="T4026" t="s">
        <v>1479</v>
      </c>
    </row>
    <row r="4027" spans="1:20" x14ac:dyDescent="0.25">
      <c r="A4027">
        <v>9</v>
      </c>
      <c r="B4027">
        <v>199</v>
      </c>
      <c r="C4027" t="str">
        <f>"11"</f>
        <v>11</v>
      </c>
      <c r="D4027">
        <v>6411</v>
      </c>
      <c r="E4027" t="str">
        <f>"LK"</f>
        <v>LK</v>
      </c>
      <c r="F4027" t="str">
        <f>"002"</f>
        <v>002</v>
      </c>
      <c r="G4027">
        <v>9</v>
      </c>
      <c r="H4027" t="str">
        <f>"11"</f>
        <v>11</v>
      </c>
      <c r="I4027" t="str">
        <f t="shared" si="826"/>
        <v>0</v>
      </c>
      <c r="J4027" t="str">
        <f>"02"</f>
        <v>02</v>
      </c>
      <c r="K4027">
        <v>20181214</v>
      </c>
      <c r="L4027" t="str">
        <f>"075077"</f>
        <v>075077</v>
      </c>
      <c r="M4027" t="str">
        <f>"62686"</f>
        <v>62686</v>
      </c>
      <c r="N4027" t="s">
        <v>3233</v>
      </c>
      <c r="O4027">
        <v>150.88999999999999</v>
      </c>
      <c r="P4027">
        <v>20181213</v>
      </c>
      <c r="Q4027" t="s">
        <v>3234</v>
      </c>
      <c r="R4027" t="s">
        <v>3043</v>
      </c>
      <c r="S4027" t="s">
        <v>1615</v>
      </c>
      <c r="T4027" t="s">
        <v>1485</v>
      </c>
    </row>
    <row r="4028" spans="1:20" x14ac:dyDescent="0.25">
      <c r="A4028">
        <v>9</v>
      </c>
      <c r="B4028">
        <v>199</v>
      </c>
      <c r="C4028" t="str">
        <f>"51"</f>
        <v>51</v>
      </c>
      <c r="D4028">
        <v>6319</v>
      </c>
      <c r="E4028" t="str">
        <f>"M2"</f>
        <v>M2</v>
      </c>
      <c r="F4028" t="str">
        <f>"936"</f>
        <v>936</v>
      </c>
      <c r="G4028">
        <v>9</v>
      </c>
      <c r="H4028" t="str">
        <f>"99"</f>
        <v>99</v>
      </c>
      <c r="I4028" t="str">
        <f t="shared" si="826"/>
        <v>0</v>
      </c>
      <c r="J4028" t="str">
        <f>"81"</f>
        <v>81</v>
      </c>
      <c r="K4028">
        <v>20181214</v>
      </c>
      <c r="L4028" t="str">
        <f>"075078"</f>
        <v>075078</v>
      </c>
      <c r="M4028" t="str">
        <f>"63608"</f>
        <v>63608</v>
      </c>
      <c r="N4028" t="s">
        <v>2122</v>
      </c>
      <c r="O4028">
        <v>304.12</v>
      </c>
      <c r="P4028">
        <v>20181213</v>
      </c>
      <c r="Q4028" t="s">
        <v>2074</v>
      </c>
      <c r="R4028" t="s">
        <v>2618</v>
      </c>
      <c r="S4028" t="s">
        <v>1615</v>
      </c>
      <c r="T4028" t="s">
        <v>1713</v>
      </c>
    </row>
    <row r="4029" spans="1:20" x14ac:dyDescent="0.25">
      <c r="A4029">
        <v>9</v>
      </c>
      <c r="B4029">
        <v>199</v>
      </c>
      <c r="C4029" t="str">
        <f>"36"</f>
        <v>36</v>
      </c>
      <c r="D4029">
        <v>6412</v>
      </c>
      <c r="E4029" t="str">
        <f>"8M"</f>
        <v>8M</v>
      </c>
      <c r="F4029" t="str">
        <f t="shared" ref="F4029:F4045" si="829">"001"</f>
        <v>001</v>
      </c>
      <c r="G4029">
        <v>9</v>
      </c>
      <c r="H4029" t="str">
        <f>"99"</f>
        <v>99</v>
      </c>
      <c r="I4029" t="str">
        <f t="shared" si="826"/>
        <v>0</v>
      </c>
      <c r="J4029" t="str">
        <f>"33"</f>
        <v>33</v>
      </c>
      <c r="K4029">
        <v>20181214</v>
      </c>
      <c r="L4029" t="str">
        <f>"075079"</f>
        <v>075079</v>
      </c>
      <c r="M4029" t="str">
        <f>"64004"</f>
        <v>64004</v>
      </c>
      <c r="N4029" t="s">
        <v>488</v>
      </c>
      <c r="O4029">
        <v>160</v>
      </c>
      <c r="P4029">
        <v>20181213</v>
      </c>
      <c r="Q4029" t="s">
        <v>1617</v>
      </c>
      <c r="R4029" t="s">
        <v>3235</v>
      </c>
      <c r="S4029" t="s">
        <v>1615</v>
      </c>
      <c r="T4029" t="s">
        <v>301</v>
      </c>
    </row>
    <row r="4030" spans="1:20" x14ac:dyDescent="0.25">
      <c r="A4030">
        <v>9</v>
      </c>
      <c r="B4030">
        <v>199</v>
      </c>
      <c r="C4030" t="str">
        <f>"36"</f>
        <v>36</v>
      </c>
      <c r="D4030">
        <v>6412</v>
      </c>
      <c r="E4030" t="str">
        <f>"8M"</f>
        <v>8M</v>
      </c>
      <c r="F4030" t="str">
        <f t="shared" si="829"/>
        <v>001</v>
      </c>
      <c r="G4030">
        <v>9</v>
      </c>
      <c r="H4030" t="str">
        <f>"99"</f>
        <v>99</v>
      </c>
      <c r="I4030" t="str">
        <f t="shared" si="826"/>
        <v>0</v>
      </c>
      <c r="J4030" t="str">
        <f>"33"</f>
        <v>33</v>
      </c>
      <c r="K4030">
        <v>20181214</v>
      </c>
      <c r="L4030" t="str">
        <f>"075079"</f>
        <v>075079</v>
      </c>
      <c r="M4030" t="str">
        <f>"64004"</f>
        <v>64004</v>
      </c>
      <c r="N4030" t="s">
        <v>488</v>
      </c>
      <c r="O4030">
        <v>100</v>
      </c>
      <c r="P4030">
        <v>20181213</v>
      </c>
      <c r="Q4030" t="s">
        <v>1617</v>
      </c>
      <c r="R4030" t="s">
        <v>3236</v>
      </c>
      <c r="S4030" t="s">
        <v>1615</v>
      </c>
      <c r="T4030" t="s">
        <v>301</v>
      </c>
    </row>
    <row r="4031" spans="1:20" x14ac:dyDescent="0.25">
      <c r="A4031">
        <v>9</v>
      </c>
      <c r="B4031">
        <v>199</v>
      </c>
      <c r="C4031" t="str">
        <f t="shared" ref="C4031:C4039" si="830">"11"</f>
        <v>11</v>
      </c>
      <c r="D4031">
        <v>6399</v>
      </c>
      <c r="E4031" t="str">
        <f>"10"</f>
        <v>10</v>
      </c>
      <c r="F4031" t="str">
        <f t="shared" si="829"/>
        <v>001</v>
      </c>
      <c r="G4031">
        <v>9</v>
      </c>
      <c r="H4031" t="str">
        <f t="shared" ref="H4031:H4039" si="831">"11"</f>
        <v>11</v>
      </c>
      <c r="I4031" t="str">
        <f t="shared" si="826"/>
        <v>0</v>
      </c>
      <c r="J4031" t="str">
        <f t="shared" ref="J4031:J4045" si="832">"01"</f>
        <v>01</v>
      </c>
      <c r="K4031">
        <v>20181214</v>
      </c>
      <c r="L4031" t="str">
        <f t="shared" ref="L4031:L4046" si="833">"075081"</f>
        <v>075081</v>
      </c>
      <c r="M4031" t="str">
        <f t="shared" ref="M4031:M4046" si="834">"65106"</f>
        <v>65106</v>
      </c>
      <c r="N4031" t="s">
        <v>1175</v>
      </c>
      <c r="O4031" s="1">
        <v>1060.54</v>
      </c>
      <c r="P4031">
        <v>20181213</v>
      </c>
      <c r="Q4031" t="s">
        <v>1675</v>
      </c>
      <c r="R4031" t="s">
        <v>2793</v>
      </c>
      <c r="S4031" t="s">
        <v>1615</v>
      </c>
      <c r="T4031" t="s">
        <v>301</v>
      </c>
    </row>
    <row r="4032" spans="1:20" x14ac:dyDescent="0.25">
      <c r="A4032">
        <v>9</v>
      </c>
      <c r="B4032">
        <v>199</v>
      </c>
      <c r="C4032" t="str">
        <f t="shared" si="830"/>
        <v>11</v>
      </c>
      <c r="D4032">
        <v>6399</v>
      </c>
      <c r="E4032" t="str">
        <f>"10"</f>
        <v>10</v>
      </c>
      <c r="F4032" t="str">
        <f t="shared" si="829"/>
        <v>001</v>
      </c>
      <c r="G4032">
        <v>9</v>
      </c>
      <c r="H4032" t="str">
        <f t="shared" si="831"/>
        <v>11</v>
      </c>
      <c r="I4032" t="str">
        <f t="shared" si="826"/>
        <v>0</v>
      </c>
      <c r="J4032" t="str">
        <f t="shared" si="832"/>
        <v>01</v>
      </c>
      <c r="K4032">
        <v>20181214</v>
      </c>
      <c r="L4032" t="str">
        <f t="shared" si="833"/>
        <v>075081</v>
      </c>
      <c r="M4032" t="str">
        <f t="shared" si="834"/>
        <v>65106</v>
      </c>
      <c r="N4032" t="s">
        <v>1175</v>
      </c>
      <c r="O4032">
        <v>299.81</v>
      </c>
      <c r="P4032">
        <v>20181213</v>
      </c>
      <c r="Q4032" t="s">
        <v>1675</v>
      </c>
      <c r="R4032" t="s">
        <v>2992</v>
      </c>
      <c r="S4032" t="s">
        <v>1615</v>
      </c>
      <c r="T4032" t="s">
        <v>301</v>
      </c>
    </row>
    <row r="4033" spans="1:20" x14ac:dyDescent="0.25">
      <c r="A4033">
        <v>9</v>
      </c>
      <c r="B4033">
        <v>199</v>
      </c>
      <c r="C4033" t="str">
        <f t="shared" si="830"/>
        <v>11</v>
      </c>
      <c r="D4033">
        <v>6399</v>
      </c>
      <c r="E4033" t="str">
        <f>"10"</f>
        <v>10</v>
      </c>
      <c r="F4033" t="str">
        <f t="shared" si="829"/>
        <v>001</v>
      </c>
      <c r="G4033">
        <v>9</v>
      </c>
      <c r="H4033" t="str">
        <f t="shared" si="831"/>
        <v>11</v>
      </c>
      <c r="I4033" t="str">
        <f t="shared" si="826"/>
        <v>0</v>
      </c>
      <c r="J4033" t="str">
        <f t="shared" si="832"/>
        <v>01</v>
      </c>
      <c r="K4033">
        <v>20181214</v>
      </c>
      <c r="L4033" t="str">
        <f t="shared" si="833"/>
        <v>075081</v>
      </c>
      <c r="M4033" t="str">
        <f t="shared" si="834"/>
        <v>65106</v>
      </c>
      <c r="N4033" t="s">
        <v>1175</v>
      </c>
      <c r="O4033">
        <v>65.64</v>
      </c>
      <c r="P4033">
        <v>20181213</v>
      </c>
      <c r="Q4033" t="s">
        <v>1675</v>
      </c>
      <c r="R4033" t="s">
        <v>3237</v>
      </c>
      <c r="S4033" t="s">
        <v>1615</v>
      </c>
      <c r="T4033" t="s">
        <v>301</v>
      </c>
    </row>
    <row r="4034" spans="1:20" x14ac:dyDescent="0.25">
      <c r="A4034">
        <v>9</v>
      </c>
      <c r="B4034">
        <v>199</v>
      </c>
      <c r="C4034" t="str">
        <f t="shared" si="830"/>
        <v>11</v>
      </c>
      <c r="D4034">
        <v>6399</v>
      </c>
      <c r="E4034" t="str">
        <f>"10"</f>
        <v>10</v>
      </c>
      <c r="F4034" t="str">
        <f t="shared" si="829"/>
        <v>001</v>
      </c>
      <c r="G4034">
        <v>9</v>
      </c>
      <c r="H4034" t="str">
        <f t="shared" si="831"/>
        <v>11</v>
      </c>
      <c r="I4034" t="str">
        <f t="shared" si="826"/>
        <v>0</v>
      </c>
      <c r="J4034" t="str">
        <f t="shared" si="832"/>
        <v>01</v>
      </c>
      <c r="K4034">
        <v>20181214</v>
      </c>
      <c r="L4034" t="str">
        <f t="shared" si="833"/>
        <v>075081</v>
      </c>
      <c r="M4034" t="str">
        <f t="shared" si="834"/>
        <v>65106</v>
      </c>
      <c r="N4034" t="s">
        <v>1175</v>
      </c>
      <c r="O4034">
        <v>452.68</v>
      </c>
      <c r="P4034">
        <v>20181213</v>
      </c>
      <c r="Q4034" t="s">
        <v>1675</v>
      </c>
      <c r="R4034" t="s">
        <v>3238</v>
      </c>
      <c r="S4034" t="s">
        <v>1615</v>
      </c>
      <c r="T4034" t="s">
        <v>301</v>
      </c>
    </row>
    <row r="4035" spans="1:20" x14ac:dyDescent="0.25">
      <c r="A4035">
        <v>9</v>
      </c>
      <c r="B4035">
        <v>199</v>
      </c>
      <c r="C4035" t="str">
        <f t="shared" si="830"/>
        <v>11</v>
      </c>
      <c r="D4035">
        <v>6399</v>
      </c>
      <c r="E4035" t="str">
        <f>"7K"</f>
        <v>7K</v>
      </c>
      <c r="F4035" t="str">
        <f t="shared" si="829"/>
        <v>001</v>
      </c>
      <c r="G4035">
        <v>9</v>
      </c>
      <c r="H4035" t="str">
        <f t="shared" si="831"/>
        <v>11</v>
      </c>
      <c r="I4035" t="str">
        <f t="shared" si="826"/>
        <v>0</v>
      </c>
      <c r="J4035" t="str">
        <f t="shared" si="832"/>
        <v>01</v>
      </c>
      <c r="K4035">
        <v>20181214</v>
      </c>
      <c r="L4035" t="str">
        <f t="shared" si="833"/>
        <v>075081</v>
      </c>
      <c r="M4035" t="str">
        <f t="shared" si="834"/>
        <v>65106</v>
      </c>
      <c r="N4035" t="s">
        <v>1175</v>
      </c>
      <c r="O4035">
        <v>423.9</v>
      </c>
      <c r="P4035">
        <v>20181213</v>
      </c>
      <c r="Q4035" t="s">
        <v>1671</v>
      </c>
      <c r="R4035" t="s">
        <v>3239</v>
      </c>
      <c r="S4035" t="s">
        <v>1615</v>
      </c>
      <c r="T4035" t="s">
        <v>301</v>
      </c>
    </row>
    <row r="4036" spans="1:20" x14ac:dyDescent="0.25">
      <c r="A4036">
        <v>9</v>
      </c>
      <c r="B4036">
        <v>199</v>
      </c>
      <c r="C4036" t="str">
        <f t="shared" si="830"/>
        <v>11</v>
      </c>
      <c r="D4036">
        <v>6399</v>
      </c>
      <c r="E4036" t="str">
        <f>"8U"</f>
        <v>8U</v>
      </c>
      <c r="F4036" t="str">
        <f t="shared" si="829"/>
        <v>001</v>
      </c>
      <c r="G4036">
        <v>9</v>
      </c>
      <c r="H4036" t="str">
        <f t="shared" si="831"/>
        <v>11</v>
      </c>
      <c r="I4036" t="str">
        <f t="shared" si="826"/>
        <v>0</v>
      </c>
      <c r="J4036" t="str">
        <f t="shared" si="832"/>
        <v>01</v>
      </c>
      <c r="K4036">
        <v>20181214</v>
      </c>
      <c r="L4036" t="str">
        <f t="shared" si="833"/>
        <v>075081</v>
      </c>
      <c r="M4036" t="str">
        <f t="shared" si="834"/>
        <v>65106</v>
      </c>
      <c r="N4036" t="s">
        <v>1175</v>
      </c>
      <c r="O4036">
        <v>558.4</v>
      </c>
      <c r="P4036">
        <v>20181213</v>
      </c>
      <c r="Q4036" t="s">
        <v>2205</v>
      </c>
      <c r="R4036" t="s">
        <v>3240</v>
      </c>
      <c r="S4036" t="s">
        <v>1615</v>
      </c>
      <c r="T4036" t="s">
        <v>301</v>
      </c>
    </row>
    <row r="4037" spans="1:20" x14ac:dyDescent="0.25">
      <c r="A4037">
        <v>9</v>
      </c>
      <c r="B4037">
        <v>199</v>
      </c>
      <c r="C4037" t="str">
        <f t="shared" si="830"/>
        <v>11</v>
      </c>
      <c r="D4037">
        <v>6399</v>
      </c>
      <c r="E4037" t="str">
        <f>"LS"</f>
        <v>LS</v>
      </c>
      <c r="F4037" t="str">
        <f t="shared" si="829"/>
        <v>001</v>
      </c>
      <c r="G4037">
        <v>9</v>
      </c>
      <c r="H4037" t="str">
        <f t="shared" si="831"/>
        <v>11</v>
      </c>
      <c r="I4037" t="str">
        <f t="shared" si="826"/>
        <v>0</v>
      </c>
      <c r="J4037" t="str">
        <f t="shared" si="832"/>
        <v>01</v>
      </c>
      <c r="K4037">
        <v>20181214</v>
      </c>
      <c r="L4037" t="str">
        <f t="shared" si="833"/>
        <v>075081</v>
      </c>
      <c r="M4037" t="str">
        <f t="shared" si="834"/>
        <v>65106</v>
      </c>
      <c r="N4037" t="s">
        <v>1175</v>
      </c>
      <c r="O4037">
        <v>21.88</v>
      </c>
      <c r="P4037">
        <v>20181213</v>
      </c>
      <c r="Q4037" t="s">
        <v>2820</v>
      </c>
      <c r="R4037" t="s">
        <v>3237</v>
      </c>
      <c r="S4037" t="s">
        <v>1615</v>
      </c>
      <c r="T4037" t="s">
        <v>301</v>
      </c>
    </row>
    <row r="4038" spans="1:20" x14ac:dyDescent="0.25">
      <c r="A4038">
        <v>9</v>
      </c>
      <c r="B4038">
        <v>199</v>
      </c>
      <c r="C4038" t="str">
        <f t="shared" si="830"/>
        <v>11</v>
      </c>
      <c r="D4038">
        <v>6399</v>
      </c>
      <c r="E4038" t="str">
        <f>"N1"</f>
        <v>N1</v>
      </c>
      <c r="F4038" t="str">
        <f t="shared" si="829"/>
        <v>001</v>
      </c>
      <c r="G4038">
        <v>9</v>
      </c>
      <c r="H4038" t="str">
        <f t="shared" si="831"/>
        <v>11</v>
      </c>
      <c r="I4038" t="str">
        <f t="shared" si="826"/>
        <v>0</v>
      </c>
      <c r="J4038" t="str">
        <f t="shared" si="832"/>
        <v>01</v>
      </c>
      <c r="K4038">
        <v>20181214</v>
      </c>
      <c r="L4038" t="str">
        <f t="shared" si="833"/>
        <v>075081</v>
      </c>
      <c r="M4038" t="str">
        <f t="shared" si="834"/>
        <v>65106</v>
      </c>
      <c r="N4038" t="s">
        <v>1175</v>
      </c>
      <c r="O4038">
        <v>116.76</v>
      </c>
      <c r="P4038">
        <v>20181213</v>
      </c>
      <c r="Q4038" t="s">
        <v>2637</v>
      </c>
      <c r="R4038" t="s">
        <v>3241</v>
      </c>
      <c r="S4038" t="s">
        <v>1615</v>
      </c>
      <c r="T4038" t="s">
        <v>301</v>
      </c>
    </row>
    <row r="4039" spans="1:20" x14ac:dyDescent="0.25">
      <c r="A4039">
        <v>9</v>
      </c>
      <c r="B4039">
        <v>199</v>
      </c>
      <c r="C4039" t="str">
        <f t="shared" si="830"/>
        <v>11</v>
      </c>
      <c r="D4039">
        <v>6399</v>
      </c>
      <c r="E4039" t="str">
        <f>"SE"</f>
        <v>SE</v>
      </c>
      <c r="F4039" t="str">
        <f t="shared" si="829"/>
        <v>001</v>
      </c>
      <c r="G4039">
        <v>9</v>
      </c>
      <c r="H4039" t="str">
        <f t="shared" si="831"/>
        <v>11</v>
      </c>
      <c r="I4039" t="str">
        <f t="shared" si="826"/>
        <v>0</v>
      </c>
      <c r="J4039" t="str">
        <f t="shared" si="832"/>
        <v>01</v>
      </c>
      <c r="K4039">
        <v>20181214</v>
      </c>
      <c r="L4039" t="str">
        <f t="shared" si="833"/>
        <v>075081</v>
      </c>
      <c r="M4039" t="str">
        <f t="shared" si="834"/>
        <v>65106</v>
      </c>
      <c r="N4039" t="s">
        <v>1175</v>
      </c>
      <c r="O4039">
        <v>108.54</v>
      </c>
      <c r="P4039">
        <v>20181213</v>
      </c>
      <c r="Q4039" t="s">
        <v>3242</v>
      </c>
      <c r="R4039" t="s">
        <v>3243</v>
      </c>
      <c r="S4039" t="s">
        <v>1615</v>
      </c>
      <c r="T4039" t="s">
        <v>301</v>
      </c>
    </row>
    <row r="4040" spans="1:20" x14ac:dyDescent="0.25">
      <c r="A4040">
        <v>9</v>
      </c>
      <c r="B4040">
        <v>199</v>
      </c>
      <c r="C4040" t="str">
        <f>"23"</f>
        <v>23</v>
      </c>
      <c r="D4040">
        <v>6399</v>
      </c>
      <c r="E4040" t="str">
        <f>"10"</f>
        <v>10</v>
      </c>
      <c r="F4040" t="str">
        <f t="shared" si="829"/>
        <v>001</v>
      </c>
      <c r="G4040">
        <v>9</v>
      </c>
      <c r="H4040" t="str">
        <f t="shared" ref="H4040:H4050" si="835">"99"</f>
        <v>99</v>
      </c>
      <c r="I4040" t="str">
        <f t="shared" si="826"/>
        <v>0</v>
      </c>
      <c r="J4040" t="str">
        <f t="shared" si="832"/>
        <v>01</v>
      </c>
      <c r="K4040">
        <v>20181214</v>
      </c>
      <c r="L4040" t="str">
        <f t="shared" si="833"/>
        <v>075081</v>
      </c>
      <c r="M4040" t="str">
        <f t="shared" si="834"/>
        <v>65106</v>
      </c>
      <c r="N4040" t="s">
        <v>1175</v>
      </c>
      <c r="O4040">
        <v>159.97999999999999</v>
      </c>
      <c r="P4040">
        <v>20181213</v>
      </c>
      <c r="Q4040" t="s">
        <v>1785</v>
      </c>
      <c r="R4040" t="s">
        <v>3244</v>
      </c>
      <c r="S4040" t="s">
        <v>1615</v>
      </c>
      <c r="T4040" t="s">
        <v>301</v>
      </c>
    </row>
    <row r="4041" spans="1:20" x14ac:dyDescent="0.25">
      <c r="A4041">
        <v>9</v>
      </c>
      <c r="B4041">
        <v>199</v>
      </c>
      <c r="C4041" t="str">
        <f>"23"</f>
        <v>23</v>
      </c>
      <c r="D4041">
        <v>6399</v>
      </c>
      <c r="E4041" t="str">
        <f>"10"</f>
        <v>10</v>
      </c>
      <c r="F4041" t="str">
        <f t="shared" si="829"/>
        <v>001</v>
      </c>
      <c r="G4041">
        <v>9</v>
      </c>
      <c r="H4041" t="str">
        <f t="shared" si="835"/>
        <v>99</v>
      </c>
      <c r="I4041" t="str">
        <f t="shared" si="826"/>
        <v>0</v>
      </c>
      <c r="J4041" t="str">
        <f t="shared" si="832"/>
        <v>01</v>
      </c>
      <c r="K4041">
        <v>20181214</v>
      </c>
      <c r="L4041" t="str">
        <f t="shared" si="833"/>
        <v>075081</v>
      </c>
      <c r="M4041" t="str">
        <f t="shared" si="834"/>
        <v>65106</v>
      </c>
      <c r="N4041" t="s">
        <v>1175</v>
      </c>
      <c r="O4041">
        <v>196</v>
      </c>
      <c r="P4041">
        <v>20181213</v>
      </c>
      <c r="Q4041" t="s">
        <v>1785</v>
      </c>
      <c r="R4041" t="s">
        <v>3245</v>
      </c>
      <c r="S4041" t="s">
        <v>1615</v>
      </c>
      <c r="T4041" t="s">
        <v>301</v>
      </c>
    </row>
    <row r="4042" spans="1:20" x14ac:dyDescent="0.25">
      <c r="A4042">
        <v>9</v>
      </c>
      <c r="B4042">
        <v>199</v>
      </c>
      <c r="C4042" t="str">
        <f>"23"</f>
        <v>23</v>
      </c>
      <c r="D4042">
        <v>6498</v>
      </c>
      <c r="E4042" t="str">
        <f>"10"</f>
        <v>10</v>
      </c>
      <c r="F4042" t="str">
        <f t="shared" si="829"/>
        <v>001</v>
      </c>
      <c r="G4042">
        <v>9</v>
      </c>
      <c r="H4042" t="str">
        <f t="shared" si="835"/>
        <v>99</v>
      </c>
      <c r="I4042" t="str">
        <f t="shared" si="826"/>
        <v>0</v>
      </c>
      <c r="J4042" t="str">
        <f t="shared" si="832"/>
        <v>01</v>
      </c>
      <c r="K4042">
        <v>20181214</v>
      </c>
      <c r="L4042" t="str">
        <f t="shared" si="833"/>
        <v>075081</v>
      </c>
      <c r="M4042" t="str">
        <f t="shared" si="834"/>
        <v>65106</v>
      </c>
      <c r="N4042" t="s">
        <v>1175</v>
      </c>
      <c r="O4042">
        <v>131.56</v>
      </c>
      <c r="P4042">
        <v>20181213</v>
      </c>
      <c r="Q4042" t="s">
        <v>2108</v>
      </c>
      <c r="R4042" t="s">
        <v>3246</v>
      </c>
      <c r="S4042" t="s">
        <v>1615</v>
      </c>
      <c r="T4042" t="s">
        <v>301</v>
      </c>
    </row>
    <row r="4043" spans="1:20" x14ac:dyDescent="0.25">
      <c r="A4043">
        <v>9</v>
      </c>
      <c r="B4043">
        <v>199</v>
      </c>
      <c r="C4043" t="str">
        <f>"23"</f>
        <v>23</v>
      </c>
      <c r="D4043">
        <v>6498</v>
      </c>
      <c r="E4043" t="str">
        <f>"10"</f>
        <v>10</v>
      </c>
      <c r="F4043" t="str">
        <f t="shared" si="829"/>
        <v>001</v>
      </c>
      <c r="G4043">
        <v>9</v>
      </c>
      <c r="H4043" t="str">
        <f t="shared" si="835"/>
        <v>99</v>
      </c>
      <c r="I4043" t="str">
        <f t="shared" si="826"/>
        <v>0</v>
      </c>
      <c r="J4043" t="str">
        <f t="shared" si="832"/>
        <v>01</v>
      </c>
      <c r="K4043">
        <v>20181214</v>
      </c>
      <c r="L4043" t="str">
        <f t="shared" si="833"/>
        <v>075081</v>
      </c>
      <c r="M4043" t="str">
        <f t="shared" si="834"/>
        <v>65106</v>
      </c>
      <c r="N4043" t="s">
        <v>1175</v>
      </c>
      <c r="O4043">
        <v>162.80000000000001</v>
      </c>
      <c r="P4043">
        <v>20181213</v>
      </c>
      <c r="Q4043" t="s">
        <v>2108</v>
      </c>
      <c r="R4043" t="s">
        <v>3247</v>
      </c>
      <c r="S4043" t="s">
        <v>1615</v>
      </c>
      <c r="T4043" t="s">
        <v>301</v>
      </c>
    </row>
    <row r="4044" spans="1:20" x14ac:dyDescent="0.25">
      <c r="A4044">
        <v>9</v>
      </c>
      <c r="B4044">
        <v>199</v>
      </c>
      <c r="C4044" t="str">
        <f>"31"</f>
        <v>31</v>
      </c>
      <c r="D4044">
        <v>6399</v>
      </c>
      <c r="E4044" t="str">
        <f>"7F"</f>
        <v>7F</v>
      </c>
      <c r="F4044" t="str">
        <f t="shared" si="829"/>
        <v>001</v>
      </c>
      <c r="G4044">
        <v>9</v>
      </c>
      <c r="H4044" t="str">
        <f t="shared" si="835"/>
        <v>99</v>
      </c>
      <c r="I4044" t="str">
        <f t="shared" ref="I4044:I4075" si="836">"0"</f>
        <v>0</v>
      </c>
      <c r="J4044" t="str">
        <f t="shared" si="832"/>
        <v>01</v>
      </c>
      <c r="K4044">
        <v>20181214</v>
      </c>
      <c r="L4044" t="str">
        <f t="shared" si="833"/>
        <v>075081</v>
      </c>
      <c r="M4044" t="str">
        <f t="shared" si="834"/>
        <v>65106</v>
      </c>
      <c r="N4044" t="s">
        <v>1175</v>
      </c>
      <c r="O4044">
        <v>155.52000000000001</v>
      </c>
      <c r="P4044">
        <v>20181213</v>
      </c>
      <c r="Q4044" t="s">
        <v>2965</v>
      </c>
      <c r="R4044" t="s">
        <v>3248</v>
      </c>
      <c r="S4044" t="s">
        <v>1615</v>
      </c>
      <c r="T4044" t="s">
        <v>301</v>
      </c>
    </row>
    <row r="4045" spans="1:20" x14ac:dyDescent="0.25">
      <c r="A4045">
        <v>9</v>
      </c>
      <c r="B4045">
        <v>199</v>
      </c>
      <c r="C4045" t="str">
        <f>"33"</f>
        <v>33</v>
      </c>
      <c r="D4045">
        <v>6399</v>
      </c>
      <c r="E4045" t="str">
        <f>"8F"</f>
        <v>8F</v>
      </c>
      <c r="F4045" t="str">
        <f t="shared" si="829"/>
        <v>001</v>
      </c>
      <c r="G4045">
        <v>9</v>
      </c>
      <c r="H4045" t="str">
        <f t="shared" si="835"/>
        <v>99</v>
      </c>
      <c r="I4045" t="str">
        <f t="shared" si="836"/>
        <v>0</v>
      </c>
      <c r="J4045" t="str">
        <f t="shared" si="832"/>
        <v>01</v>
      </c>
      <c r="K4045">
        <v>20181214</v>
      </c>
      <c r="L4045" t="str">
        <f t="shared" si="833"/>
        <v>075081</v>
      </c>
      <c r="M4045" t="str">
        <f t="shared" si="834"/>
        <v>65106</v>
      </c>
      <c r="N4045" t="s">
        <v>1175</v>
      </c>
      <c r="O4045">
        <v>39.9</v>
      </c>
      <c r="P4045">
        <v>20181213</v>
      </c>
      <c r="Q4045" t="s">
        <v>2405</v>
      </c>
      <c r="R4045" t="s">
        <v>3249</v>
      </c>
      <c r="S4045" t="s">
        <v>1615</v>
      </c>
      <c r="T4045" t="s">
        <v>301</v>
      </c>
    </row>
    <row r="4046" spans="1:20" x14ac:dyDescent="0.25">
      <c r="A4046">
        <v>9</v>
      </c>
      <c r="B4046">
        <v>199</v>
      </c>
      <c r="C4046" t="str">
        <f>"53"</f>
        <v>53</v>
      </c>
      <c r="D4046">
        <v>6399</v>
      </c>
      <c r="E4046" t="str">
        <f>"10"</f>
        <v>10</v>
      </c>
      <c r="F4046" t="str">
        <f>"880"</f>
        <v>880</v>
      </c>
      <c r="G4046">
        <v>9</v>
      </c>
      <c r="H4046" t="str">
        <f t="shared" si="835"/>
        <v>99</v>
      </c>
      <c r="I4046" t="str">
        <f t="shared" si="836"/>
        <v>0</v>
      </c>
      <c r="J4046" t="str">
        <f>"80"</f>
        <v>80</v>
      </c>
      <c r="K4046">
        <v>20181214</v>
      </c>
      <c r="L4046" t="str">
        <f t="shared" si="833"/>
        <v>075081</v>
      </c>
      <c r="M4046" t="str">
        <f t="shared" si="834"/>
        <v>65106</v>
      </c>
      <c r="N4046" t="s">
        <v>1175</v>
      </c>
      <c r="O4046">
        <v>191.42</v>
      </c>
      <c r="P4046">
        <v>20181213</v>
      </c>
      <c r="Q4046" t="s">
        <v>1865</v>
      </c>
      <c r="R4046" t="s">
        <v>641</v>
      </c>
      <c r="S4046" t="s">
        <v>1615</v>
      </c>
      <c r="T4046" t="s">
        <v>1866</v>
      </c>
    </row>
    <row r="4047" spans="1:20" x14ac:dyDescent="0.25">
      <c r="A4047">
        <v>9</v>
      </c>
      <c r="B4047">
        <v>199</v>
      </c>
      <c r="C4047" t="str">
        <f>"23"</f>
        <v>23</v>
      </c>
      <c r="D4047">
        <v>6411</v>
      </c>
      <c r="E4047" t="str">
        <f>"10"</f>
        <v>10</v>
      </c>
      <c r="F4047" t="str">
        <f>"041"</f>
        <v>041</v>
      </c>
      <c r="G4047">
        <v>9</v>
      </c>
      <c r="H4047" t="str">
        <f t="shared" si="835"/>
        <v>99</v>
      </c>
      <c r="I4047" t="str">
        <f t="shared" si="836"/>
        <v>0</v>
      </c>
      <c r="J4047" t="str">
        <f>"03"</f>
        <v>03</v>
      </c>
      <c r="K4047">
        <v>20181214</v>
      </c>
      <c r="L4047" t="str">
        <f>"075082"</f>
        <v>075082</v>
      </c>
      <c r="M4047" t="str">
        <f>"65235"</f>
        <v>65235</v>
      </c>
      <c r="N4047" t="s">
        <v>3250</v>
      </c>
      <c r="O4047">
        <v>163</v>
      </c>
      <c r="P4047">
        <v>20181213</v>
      </c>
      <c r="Q4047" t="s">
        <v>3251</v>
      </c>
      <c r="R4047" t="s">
        <v>3252</v>
      </c>
      <c r="S4047" t="s">
        <v>1615</v>
      </c>
      <c r="T4047" t="s">
        <v>106</v>
      </c>
    </row>
    <row r="4048" spans="1:20" x14ac:dyDescent="0.25">
      <c r="A4048">
        <v>9</v>
      </c>
      <c r="B4048">
        <v>199</v>
      </c>
      <c r="C4048" t="str">
        <f>"34"</f>
        <v>34</v>
      </c>
      <c r="D4048">
        <v>6311</v>
      </c>
      <c r="E4048" t="str">
        <f>"10"</f>
        <v>10</v>
      </c>
      <c r="F4048" t="str">
        <f>"937"</f>
        <v>937</v>
      </c>
      <c r="G4048">
        <v>9</v>
      </c>
      <c r="H4048" t="str">
        <f t="shared" si="835"/>
        <v>99</v>
      </c>
      <c r="I4048" t="str">
        <f t="shared" si="836"/>
        <v>0</v>
      </c>
      <c r="J4048" t="str">
        <f>"82"</f>
        <v>82</v>
      </c>
      <c r="K4048">
        <v>20181214</v>
      </c>
      <c r="L4048" t="str">
        <f>"075083"</f>
        <v>075083</v>
      </c>
      <c r="M4048" t="str">
        <f>"65212"</f>
        <v>65212</v>
      </c>
      <c r="N4048" t="s">
        <v>1913</v>
      </c>
      <c r="O4048" s="1">
        <v>12501.59</v>
      </c>
      <c r="P4048">
        <v>20181213</v>
      </c>
      <c r="Q4048" t="s">
        <v>1914</v>
      </c>
      <c r="R4048" t="s">
        <v>3253</v>
      </c>
      <c r="S4048" t="s">
        <v>1615</v>
      </c>
      <c r="T4048" t="s">
        <v>1810</v>
      </c>
    </row>
    <row r="4049" spans="1:20" x14ac:dyDescent="0.25">
      <c r="A4049">
        <v>9</v>
      </c>
      <c r="B4049">
        <v>199</v>
      </c>
      <c r="C4049" t="str">
        <f>"34"</f>
        <v>34</v>
      </c>
      <c r="D4049">
        <v>6399</v>
      </c>
      <c r="E4049" t="str">
        <f>"11"</f>
        <v>11</v>
      </c>
      <c r="F4049" t="str">
        <f>"937"</f>
        <v>937</v>
      </c>
      <c r="G4049">
        <v>9</v>
      </c>
      <c r="H4049" t="str">
        <f t="shared" si="835"/>
        <v>99</v>
      </c>
      <c r="I4049" t="str">
        <f t="shared" si="836"/>
        <v>0</v>
      </c>
      <c r="J4049" t="str">
        <f>"82"</f>
        <v>82</v>
      </c>
      <c r="K4049">
        <v>20181214</v>
      </c>
      <c r="L4049" t="str">
        <f>"075087"</f>
        <v>075087</v>
      </c>
      <c r="M4049" t="str">
        <f>"67740"</f>
        <v>67740</v>
      </c>
      <c r="N4049" t="s">
        <v>3254</v>
      </c>
      <c r="O4049">
        <v>307.61</v>
      </c>
      <c r="P4049">
        <v>20181213</v>
      </c>
      <c r="Q4049" t="s">
        <v>2210</v>
      </c>
      <c r="R4049" t="s">
        <v>3255</v>
      </c>
      <c r="S4049" t="s">
        <v>1615</v>
      </c>
      <c r="T4049" t="s">
        <v>1810</v>
      </c>
    </row>
    <row r="4050" spans="1:20" x14ac:dyDescent="0.25">
      <c r="A4050">
        <v>9</v>
      </c>
      <c r="B4050">
        <v>199</v>
      </c>
      <c r="C4050" t="str">
        <f>"34"</f>
        <v>34</v>
      </c>
      <c r="D4050">
        <v>6399</v>
      </c>
      <c r="E4050" t="str">
        <f>"11"</f>
        <v>11</v>
      </c>
      <c r="F4050" t="str">
        <f>"937"</f>
        <v>937</v>
      </c>
      <c r="G4050">
        <v>9</v>
      </c>
      <c r="H4050" t="str">
        <f t="shared" si="835"/>
        <v>99</v>
      </c>
      <c r="I4050" t="str">
        <f t="shared" si="836"/>
        <v>0</v>
      </c>
      <c r="J4050" t="str">
        <f>"82"</f>
        <v>82</v>
      </c>
      <c r="K4050">
        <v>20181214</v>
      </c>
      <c r="L4050" t="str">
        <f>"075087"</f>
        <v>075087</v>
      </c>
      <c r="M4050" t="str">
        <f>"67740"</f>
        <v>67740</v>
      </c>
      <c r="N4050" t="s">
        <v>3254</v>
      </c>
      <c r="O4050">
        <v>60.3</v>
      </c>
      <c r="P4050">
        <v>20181213</v>
      </c>
      <c r="Q4050" t="s">
        <v>2210</v>
      </c>
      <c r="R4050" t="s">
        <v>3256</v>
      </c>
      <c r="S4050" t="s">
        <v>1615</v>
      </c>
      <c r="T4050" t="s">
        <v>1810</v>
      </c>
    </row>
    <row r="4051" spans="1:20" x14ac:dyDescent="0.25">
      <c r="A4051">
        <v>9</v>
      </c>
      <c r="B4051">
        <v>199</v>
      </c>
      <c r="C4051" t="str">
        <f>"11"</f>
        <v>11</v>
      </c>
      <c r="D4051">
        <v>6399</v>
      </c>
      <c r="E4051" t="str">
        <f>"V8"</f>
        <v>V8</v>
      </c>
      <c r="F4051" t="str">
        <f>"001"</f>
        <v>001</v>
      </c>
      <c r="G4051">
        <v>9</v>
      </c>
      <c r="H4051" t="str">
        <f>"22"</f>
        <v>22</v>
      </c>
      <c r="I4051" t="str">
        <f t="shared" si="836"/>
        <v>0</v>
      </c>
      <c r="J4051" t="str">
        <f>"22"</f>
        <v>22</v>
      </c>
      <c r="K4051">
        <v>20181214</v>
      </c>
      <c r="L4051" t="str">
        <f>"075089"</f>
        <v>075089</v>
      </c>
      <c r="M4051" t="str">
        <f>"71250"</f>
        <v>71250</v>
      </c>
      <c r="N4051" t="s">
        <v>1389</v>
      </c>
      <c r="O4051">
        <v>486.8</v>
      </c>
      <c r="P4051">
        <v>20181213</v>
      </c>
      <c r="Q4051" t="s">
        <v>2001</v>
      </c>
      <c r="R4051" t="s">
        <v>2646</v>
      </c>
      <c r="S4051" t="s">
        <v>1615</v>
      </c>
      <c r="T4051" t="s">
        <v>301</v>
      </c>
    </row>
    <row r="4052" spans="1:20" x14ac:dyDescent="0.25">
      <c r="A4052">
        <v>9</v>
      </c>
      <c r="B4052">
        <v>199</v>
      </c>
      <c r="C4052" t="str">
        <f>"11"</f>
        <v>11</v>
      </c>
      <c r="D4052">
        <v>6399</v>
      </c>
      <c r="E4052" t="str">
        <f>"V8"</f>
        <v>V8</v>
      </c>
      <c r="F4052" t="str">
        <f>"001"</f>
        <v>001</v>
      </c>
      <c r="G4052">
        <v>9</v>
      </c>
      <c r="H4052" t="str">
        <f>"22"</f>
        <v>22</v>
      </c>
      <c r="I4052" t="str">
        <f t="shared" si="836"/>
        <v>0</v>
      </c>
      <c r="J4052" t="str">
        <f>"22"</f>
        <v>22</v>
      </c>
      <c r="K4052">
        <v>20181214</v>
      </c>
      <c r="L4052" t="str">
        <f>"075089"</f>
        <v>075089</v>
      </c>
      <c r="M4052" t="str">
        <f>"71250"</f>
        <v>71250</v>
      </c>
      <c r="N4052" t="s">
        <v>1389</v>
      </c>
      <c r="O4052">
        <v>138.77000000000001</v>
      </c>
      <c r="P4052">
        <v>20181213</v>
      </c>
      <c r="Q4052" t="s">
        <v>2001</v>
      </c>
      <c r="R4052" t="s">
        <v>2646</v>
      </c>
      <c r="S4052" t="s">
        <v>1615</v>
      </c>
      <c r="T4052" t="s">
        <v>301</v>
      </c>
    </row>
    <row r="4053" spans="1:20" x14ac:dyDescent="0.25">
      <c r="A4053">
        <v>9</v>
      </c>
      <c r="B4053">
        <v>199</v>
      </c>
      <c r="C4053" t="str">
        <f>"36"</f>
        <v>36</v>
      </c>
      <c r="D4053">
        <v>6412</v>
      </c>
      <c r="E4053" t="str">
        <f>"7E"</f>
        <v>7E</v>
      </c>
      <c r="F4053" t="str">
        <f>"001"</f>
        <v>001</v>
      </c>
      <c r="G4053">
        <v>9</v>
      </c>
      <c r="H4053" t="str">
        <f>"99"</f>
        <v>99</v>
      </c>
      <c r="I4053" t="str">
        <f t="shared" si="836"/>
        <v>0</v>
      </c>
      <c r="J4053" t="str">
        <f>"31"</f>
        <v>31</v>
      </c>
      <c r="K4053">
        <v>20181214</v>
      </c>
      <c r="L4053" t="str">
        <f>"075091"</f>
        <v>075091</v>
      </c>
      <c r="M4053" t="str">
        <f>"00168"</f>
        <v>00168</v>
      </c>
      <c r="N4053" t="s">
        <v>1283</v>
      </c>
      <c r="O4053">
        <v>864.8</v>
      </c>
      <c r="P4053">
        <v>20181213</v>
      </c>
      <c r="Q4053" t="s">
        <v>1655</v>
      </c>
      <c r="R4053" t="s">
        <v>3257</v>
      </c>
      <c r="S4053" t="s">
        <v>1615</v>
      </c>
      <c r="T4053" t="s">
        <v>301</v>
      </c>
    </row>
    <row r="4054" spans="1:20" x14ac:dyDescent="0.25">
      <c r="A4054">
        <v>9</v>
      </c>
      <c r="B4054">
        <v>199</v>
      </c>
      <c r="C4054" t="str">
        <f t="shared" ref="C4054:C4060" si="837">"11"</f>
        <v>11</v>
      </c>
      <c r="D4054">
        <v>6399</v>
      </c>
      <c r="E4054" t="str">
        <f t="shared" ref="E4054:E4060" si="838">"45"</f>
        <v>45</v>
      </c>
      <c r="F4054" t="str">
        <f>"101"</f>
        <v>101</v>
      </c>
      <c r="G4054">
        <v>9</v>
      </c>
      <c r="H4054" t="str">
        <f t="shared" ref="H4054:H4060" si="839">"11"</f>
        <v>11</v>
      </c>
      <c r="I4054" t="str">
        <f t="shared" si="836"/>
        <v>0</v>
      </c>
      <c r="J4054" t="str">
        <f>"04"</f>
        <v>04</v>
      </c>
      <c r="K4054">
        <v>20181214</v>
      </c>
      <c r="L4054" t="str">
        <f t="shared" ref="L4054:L4065" si="840">"075092"</f>
        <v>075092</v>
      </c>
      <c r="M4054" t="str">
        <f t="shared" ref="M4054:M4065" si="841">"72730"</f>
        <v>72730</v>
      </c>
      <c r="N4054" t="s">
        <v>639</v>
      </c>
      <c r="O4054">
        <v>425.11</v>
      </c>
      <c r="P4054">
        <v>20181213</v>
      </c>
      <c r="Q4054" t="s">
        <v>1859</v>
      </c>
      <c r="R4054" t="s">
        <v>641</v>
      </c>
      <c r="S4054" t="s">
        <v>1615</v>
      </c>
      <c r="T4054" t="s">
        <v>1479</v>
      </c>
    </row>
    <row r="4055" spans="1:20" x14ac:dyDescent="0.25">
      <c r="A4055">
        <v>9</v>
      </c>
      <c r="B4055">
        <v>199</v>
      </c>
      <c r="C4055" t="str">
        <f t="shared" si="837"/>
        <v>11</v>
      </c>
      <c r="D4055">
        <v>6399</v>
      </c>
      <c r="E4055" t="str">
        <f t="shared" si="838"/>
        <v>45</v>
      </c>
      <c r="F4055" t="str">
        <f>"101"</f>
        <v>101</v>
      </c>
      <c r="G4055">
        <v>9</v>
      </c>
      <c r="H4055" t="str">
        <f t="shared" si="839"/>
        <v>11</v>
      </c>
      <c r="I4055" t="str">
        <f t="shared" si="836"/>
        <v>0</v>
      </c>
      <c r="J4055" t="str">
        <f>"04"</f>
        <v>04</v>
      </c>
      <c r="K4055">
        <v>20181214</v>
      </c>
      <c r="L4055" t="str">
        <f t="shared" si="840"/>
        <v>075092</v>
      </c>
      <c r="M4055" t="str">
        <f t="shared" si="841"/>
        <v>72730</v>
      </c>
      <c r="N4055" t="s">
        <v>639</v>
      </c>
      <c r="O4055">
        <v>162.53</v>
      </c>
      <c r="P4055">
        <v>20181213</v>
      </c>
      <c r="Q4055" t="s">
        <v>1859</v>
      </c>
      <c r="R4055" t="s">
        <v>3258</v>
      </c>
      <c r="S4055" t="s">
        <v>1615</v>
      </c>
      <c r="T4055" t="s">
        <v>1479</v>
      </c>
    </row>
    <row r="4056" spans="1:20" x14ac:dyDescent="0.25">
      <c r="A4056">
        <v>9</v>
      </c>
      <c r="B4056">
        <v>199</v>
      </c>
      <c r="C4056" t="str">
        <f t="shared" si="837"/>
        <v>11</v>
      </c>
      <c r="D4056">
        <v>6399</v>
      </c>
      <c r="E4056" t="str">
        <f t="shared" si="838"/>
        <v>45</v>
      </c>
      <c r="F4056" t="str">
        <f t="shared" ref="F4056:F4064" si="842">"104"</f>
        <v>104</v>
      </c>
      <c r="G4056">
        <v>9</v>
      </c>
      <c r="H4056" t="str">
        <f t="shared" si="839"/>
        <v>11</v>
      </c>
      <c r="I4056" t="str">
        <f t="shared" si="836"/>
        <v>0</v>
      </c>
      <c r="J4056" t="str">
        <f t="shared" ref="J4056:J4064" si="843">"05"</f>
        <v>05</v>
      </c>
      <c r="K4056">
        <v>20181214</v>
      </c>
      <c r="L4056" t="str">
        <f t="shared" si="840"/>
        <v>075092</v>
      </c>
      <c r="M4056" t="str">
        <f t="shared" si="841"/>
        <v>72730</v>
      </c>
      <c r="N4056" t="s">
        <v>639</v>
      </c>
      <c r="O4056">
        <v>457.23</v>
      </c>
      <c r="P4056">
        <v>20181213</v>
      </c>
      <c r="Q4056" t="s">
        <v>2069</v>
      </c>
      <c r="R4056" t="s">
        <v>641</v>
      </c>
      <c r="S4056" t="s">
        <v>1615</v>
      </c>
      <c r="T4056" t="s">
        <v>46</v>
      </c>
    </row>
    <row r="4057" spans="1:20" x14ac:dyDescent="0.25">
      <c r="A4057">
        <v>9</v>
      </c>
      <c r="B4057">
        <v>199</v>
      </c>
      <c r="C4057" t="str">
        <f t="shared" si="837"/>
        <v>11</v>
      </c>
      <c r="D4057">
        <v>6399</v>
      </c>
      <c r="E4057" t="str">
        <f t="shared" si="838"/>
        <v>45</v>
      </c>
      <c r="F4057" t="str">
        <f t="shared" si="842"/>
        <v>104</v>
      </c>
      <c r="G4057">
        <v>9</v>
      </c>
      <c r="H4057" t="str">
        <f t="shared" si="839"/>
        <v>11</v>
      </c>
      <c r="I4057" t="str">
        <f t="shared" si="836"/>
        <v>0</v>
      </c>
      <c r="J4057" t="str">
        <f t="shared" si="843"/>
        <v>05</v>
      </c>
      <c r="K4057">
        <v>20181214</v>
      </c>
      <c r="L4057" t="str">
        <f t="shared" si="840"/>
        <v>075092</v>
      </c>
      <c r="M4057" t="str">
        <f t="shared" si="841"/>
        <v>72730</v>
      </c>
      <c r="N4057" t="s">
        <v>639</v>
      </c>
      <c r="O4057">
        <v>29.09</v>
      </c>
      <c r="P4057">
        <v>20181213</v>
      </c>
      <c r="Q4057" t="s">
        <v>2069</v>
      </c>
      <c r="R4057" t="s">
        <v>3259</v>
      </c>
      <c r="S4057" t="s">
        <v>1615</v>
      </c>
      <c r="T4057" t="s">
        <v>46</v>
      </c>
    </row>
    <row r="4058" spans="1:20" x14ac:dyDescent="0.25">
      <c r="A4058">
        <v>9</v>
      </c>
      <c r="B4058">
        <v>199</v>
      </c>
      <c r="C4058" t="str">
        <f t="shared" si="837"/>
        <v>11</v>
      </c>
      <c r="D4058">
        <v>6399</v>
      </c>
      <c r="E4058" t="str">
        <f t="shared" si="838"/>
        <v>45</v>
      </c>
      <c r="F4058" t="str">
        <f t="shared" si="842"/>
        <v>104</v>
      </c>
      <c r="G4058">
        <v>9</v>
      </c>
      <c r="H4058" t="str">
        <f t="shared" si="839"/>
        <v>11</v>
      </c>
      <c r="I4058" t="str">
        <f t="shared" si="836"/>
        <v>0</v>
      </c>
      <c r="J4058" t="str">
        <f t="shared" si="843"/>
        <v>05</v>
      </c>
      <c r="K4058">
        <v>20181214</v>
      </c>
      <c r="L4058" t="str">
        <f t="shared" si="840"/>
        <v>075092</v>
      </c>
      <c r="M4058" t="str">
        <f t="shared" si="841"/>
        <v>72730</v>
      </c>
      <c r="N4058" t="s">
        <v>639</v>
      </c>
      <c r="O4058" s="1">
        <v>1141.3699999999999</v>
      </c>
      <c r="P4058">
        <v>20181213</v>
      </c>
      <c r="Q4058" t="s">
        <v>2069</v>
      </c>
      <c r="R4058" t="s">
        <v>641</v>
      </c>
      <c r="S4058" t="s">
        <v>1615</v>
      </c>
      <c r="T4058" t="s">
        <v>46</v>
      </c>
    </row>
    <row r="4059" spans="1:20" x14ac:dyDescent="0.25">
      <c r="A4059">
        <v>9</v>
      </c>
      <c r="B4059">
        <v>199</v>
      </c>
      <c r="C4059" t="str">
        <f t="shared" si="837"/>
        <v>11</v>
      </c>
      <c r="D4059">
        <v>6399</v>
      </c>
      <c r="E4059" t="str">
        <f t="shared" si="838"/>
        <v>45</v>
      </c>
      <c r="F4059" t="str">
        <f t="shared" si="842"/>
        <v>104</v>
      </c>
      <c r="G4059">
        <v>9</v>
      </c>
      <c r="H4059" t="str">
        <f t="shared" si="839"/>
        <v>11</v>
      </c>
      <c r="I4059" t="str">
        <f t="shared" si="836"/>
        <v>0</v>
      </c>
      <c r="J4059" t="str">
        <f t="shared" si="843"/>
        <v>05</v>
      </c>
      <c r="K4059">
        <v>20181214</v>
      </c>
      <c r="L4059" t="str">
        <f t="shared" si="840"/>
        <v>075092</v>
      </c>
      <c r="M4059" t="str">
        <f t="shared" si="841"/>
        <v>72730</v>
      </c>
      <c r="N4059" t="s">
        <v>639</v>
      </c>
      <c r="O4059">
        <v>19.52</v>
      </c>
      <c r="P4059">
        <v>20181213</v>
      </c>
      <c r="Q4059" t="s">
        <v>2069</v>
      </c>
      <c r="R4059" t="s">
        <v>3260</v>
      </c>
      <c r="S4059" t="s">
        <v>1615</v>
      </c>
      <c r="T4059" t="s">
        <v>46</v>
      </c>
    </row>
    <row r="4060" spans="1:20" x14ac:dyDescent="0.25">
      <c r="A4060">
        <v>9</v>
      </c>
      <c r="B4060">
        <v>199</v>
      </c>
      <c r="C4060" t="str">
        <f t="shared" si="837"/>
        <v>11</v>
      </c>
      <c r="D4060">
        <v>6399</v>
      </c>
      <c r="E4060" t="str">
        <f t="shared" si="838"/>
        <v>45</v>
      </c>
      <c r="F4060" t="str">
        <f t="shared" si="842"/>
        <v>104</v>
      </c>
      <c r="G4060">
        <v>9</v>
      </c>
      <c r="H4060" t="str">
        <f t="shared" si="839"/>
        <v>11</v>
      </c>
      <c r="I4060" t="str">
        <f t="shared" si="836"/>
        <v>0</v>
      </c>
      <c r="J4060" t="str">
        <f t="shared" si="843"/>
        <v>05</v>
      </c>
      <c r="K4060">
        <v>20181214</v>
      </c>
      <c r="L4060" t="str">
        <f t="shared" si="840"/>
        <v>075092</v>
      </c>
      <c r="M4060" t="str">
        <f t="shared" si="841"/>
        <v>72730</v>
      </c>
      <c r="N4060" t="s">
        <v>639</v>
      </c>
      <c r="O4060">
        <v>15.99</v>
      </c>
      <c r="P4060">
        <v>20181213</v>
      </c>
      <c r="Q4060" t="s">
        <v>2069</v>
      </c>
      <c r="R4060" t="s">
        <v>3261</v>
      </c>
      <c r="S4060" t="s">
        <v>1615</v>
      </c>
      <c r="T4060" t="s">
        <v>46</v>
      </c>
    </row>
    <row r="4061" spans="1:20" x14ac:dyDescent="0.25">
      <c r="A4061">
        <v>9</v>
      </c>
      <c r="B4061">
        <v>199</v>
      </c>
      <c r="C4061" t="str">
        <f>"23"</f>
        <v>23</v>
      </c>
      <c r="D4061">
        <v>6399</v>
      </c>
      <c r="E4061" t="str">
        <f>"8K"</f>
        <v>8K</v>
      </c>
      <c r="F4061" t="str">
        <f t="shared" si="842"/>
        <v>104</v>
      </c>
      <c r="G4061">
        <v>9</v>
      </c>
      <c r="H4061" t="str">
        <f t="shared" ref="H4061:H4074" si="844">"99"</f>
        <v>99</v>
      </c>
      <c r="I4061" t="str">
        <f t="shared" si="836"/>
        <v>0</v>
      </c>
      <c r="J4061" t="str">
        <f t="shared" si="843"/>
        <v>05</v>
      </c>
      <c r="K4061">
        <v>20181214</v>
      </c>
      <c r="L4061" t="str">
        <f t="shared" si="840"/>
        <v>075092</v>
      </c>
      <c r="M4061" t="str">
        <f t="shared" si="841"/>
        <v>72730</v>
      </c>
      <c r="N4061" t="s">
        <v>639</v>
      </c>
      <c r="O4061">
        <v>280.79000000000002</v>
      </c>
      <c r="P4061">
        <v>20181213</v>
      </c>
      <c r="Q4061" t="s">
        <v>2326</v>
      </c>
      <c r="R4061" t="s">
        <v>641</v>
      </c>
      <c r="S4061" t="s">
        <v>1615</v>
      </c>
      <c r="T4061" t="s">
        <v>46</v>
      </c>
    </row>
    <row r="4062" spans="1:20" x14ac:dyDescent="0.25">
      <c r="A4062">
        <v>9</v>
      </c>
      <c r="B4062">
        <v>199</v>
      </c>
      <c r="C4062" t="str">
        <f>"23"</f>
        <v>23</v>
      </c>
      <c r="D4062">
        <v>6399</v>
      </c>
      <c r="E4062" t="str">
        <f>"8K"</f>
        <v>8K</v>
      </c>
      <c r="F4062" t="str">
        <f t="shared" si="842"/>
        <v>104</v>
      </c>
      <c r="G4062">
        <v>9</v>
      </c>
      <c r="H4062" t="str">
        <f t="shared" si="844"/>
        <v>99</v>
      </c>
      <c r="I4062" t="str">
        <f t="shared" si="836"/>
        <v>0</v>
      </c>
      <c r="J4062" t="str">
        <f t="shared" si="843"/>
        <v>05</v>
      </c>
      <c r="K4062">
        <v>20181214</v>
      </c>
      <c r="L4062" t="str">
        <f t="shared" si="840"/>
        <v>075092</v>
      </c>
      <c r="M4062" t="str">
        <f t="shared" si="841"/>
        <v>72730</v>
      </c>
      <c r="N4062" t="s">
        <v>639</v>
      </c>
      <c r="O4062">
        <v>70.09</v>
      </c>
      <c r="P4062">
        <v>20181213</v>
      </c>
      <c r="Q4062" t="s">
        <v>2326</v>
      </c>
      <c r="R4062" t="s">
        <v>3262</v>
      </c>
      <c r="S4062" t="s">
        <v>1615</v>
      </c>
      <c r="T4062" t="s">
        <v>46</v>
      </c>
    </row>
    <row r="4063" spans="1:20" x14ac:dyDescent="0.25">
      <c r="A4063">
        <v>9</v>
      </c>
      <c r="B4063">
        <v>199</v>
      </c>
      <c r="C4063" t="str">
        <f>"23"</f>
        <v>23</v>
      </c>
      <c r="D4063">
        <v>6399</v>
      </c>
      <c r="E4063" t="str">
        <f>"8K"</f>
        <v>8K</v>
      </c>
      <c r="F4063" t="str">
        <f t="shared" si="842"/>
        <v>104</v>
      </c>
      <c r="G4063">
        <v>9</v>
      </c>
      <c r="H4063" t="str">
        <f t="shared" si="844"/>
        <v>99</v>
      </c>
      <c r="I4063" t="str">
        <f t="shared" si="836"/>
        <v>0</v>
      </c>
      <c r="J4063" t="str">
        <f t="shared" si="843"/>
        <v>05</v>
      </c>
      <c r="K4063">
        <v>20181214</v>
      </c>
      <c r="L4063" t="str">
        <f t="shared" si="840"/>
        <v>075092</v>
      </c>
      <c r="M4063" t="str">
        <f t="shared" si="841"/>
        <v>72730</v>
      </c>
      <c r="N4063" t="s">
        <v>639</v>
      </c>
      <c r="O4063">
        <v>218.72</v>
      </c>
      <c r="P4063">
        <v>20181213</v>
      </c>
      <c r="Q4063" t="s">
        <v>2326</v>
      </c>
      <c r="R4063" t="s">
        <v>641</v>
      </c>
      <c r="S4063" t="s">
        <v>1615</v>
      </c>
      <c r="T4063" t="s">
        <v>46</v>
      </c>
    </row>
    <row r="4064" spans="1:20" x14ac:dyDescent="0.25">
      <c r="A4064">
        <v>9</v>
      </c>
      <c r="B4064">
        <v>199</v>
      </c>
      <c r="C4064" t="str">
        <f>"23"</f>
        <v>23</v>
      </c>
      <c r="D4064">
        <v>6399</v>
      </c>
      <c r="E4064" t="str">
        <f>"8K"</f>
        <v>8K</v>
      </c>
      <c r="F4064" t="str">
        <f t="shared" si="842"/>
        <v>104</v>
      </c>
      <c r="G4064">
        <v>9</v>
      </c>
      <c r="H4064" t="str">
        <f t="shared" si="844"/>
        <v>99</v>
      </c>
      <c r="I4064" t="str">
        <f t="shared" si="836"/>
        <v>0</v>
      </c>
      <c r="J4064" t="str">
        <f t="shared" si="843"/>
        <v>05</v>
      </c>
      <c r="K4064">
        <v>20181214</v>
      </c>
      <c r="L4064" t="str">
        <f t="shared" si="840"/>
        <v>075092</v>
      </c>
      <c r="M4064" t="str">
        <f t="shared" si="841"/>
        <v>72730</v>
      </c>
      <c r="N4064" t="s">
        <v>639</v>
      </c>
      <c r="O4064">
        <v>96.09</v>
      </c>
      <c r="P4064">
        <v>20181213</v>
      </c>
      <c r="Q4064" t="s">
        <v>2326</v>
      </c>
      <c r="R4064" t="s">
        <v>3263</v>
      </c>
      <c r="S4064" t="s">
        <v>1615</v>
      </c>
      <c r="T4064" t="s">
        <v>46</v>
      </c>
    </row>
    <row r="4065" spans="1:20" x14ac:dyDescent="0.25">
      <c r="A4065">
        <v>9</v>
      </c>
      <c r="B4065">
        <v>199</v>
      </c>
      <c r="C4065" t="str">
        <f>"51"</f>
        <v>51</v>
      </c>
      <c r="D4065">
        <v>6399</v>
      </c>
      <c r="E4065" t="str">
        <f t="shared" ref="E4065:E4073" si="845">"10"</f>
        <v>10</v>
      </c>
      <c r="F4065" t="str">
        <f>"936"</f>
        <v>936</v>
      </c>
      <c r="G4065">
        <v>9</v>
      </c>
      <c r="H4065" t="str">
        <f t="shared" si="844"/>
        <v>99</v>
      </c>
      <c r="I4065" t="str">
        <f t="shared" si="836"/>
        <v>0</v>
      </c>
      <c r="J4065" t="str">
        <f>"81"</f>
        <v>81</v>
      </c>
      <c r="K4065">
        <v>20181214</v>
      </c>
      <c r="L4065" t="str">
        <f t="shared" si="840"/>
        <v>075092</v>
      </c>
      <c r="M4065" t="str">
        <f t="shared" si="841"/>
        <v>72730</v>
      </c>
      <c r="N4065" t="s">
        <v>639</v>
      </c>
      <c r="O4065">
        <v>268.58</v>
      </c>
      <c r="P4065">
        <v>20181213</v>
      </c>
      <c r="Q4065" t="s">
        <v>3264</v>
      </c>
      <c r="R4065" t="s">
        <v>641</v>
      </c>
      <c r="S4065" t="s">
        <v>1615</v>
      </c>
      <c r="T4065" t="s">
        <v>1713</v>
      </c>
    </row>
    <row r="4066" spans="1:20" x14ac:dyDescent="0.25">
      <c r="A4066">
        <v>9</v>
      </c>
      <c r="B4066">
        <v>199</v>
      </c>
      <c r="C4066" t="str">
        <f>"41"</f>
        <v>41</v>
      </c>
      <c r="D4066">
        <v>6411</v>
      </c>
      <c r="E4066" t="str">
        <f t="shared" si="845"/>
        <v>10</v>
      </c>
      <c r="F4066" t="str">
        <f>"701"</f>
        <v>701</v>
      </c>
      <c r="G4066">
        <v>9</v>
      </c>
      <c r="H4066" t="str">
        <f t="shared" si="844"/>
        <v>99</v>
      </c>
      <c r="I4066" t="str">
        <f t="shared" si="836"/>
        <v>0</v>
      </c>
      <c r="J4066" t="str">
        <f>"92"</f>
        <v>92</v>
      </c>
      <c r="K4066">
        <v>20181214</v>
      </c>
      <c r="L4066" t="str">
        <f>"075093"</f>
        <v>075093</v>
      </c>
      <c r="M4066" t="str">
        <f>"74060"</f>
        <v>74060</v>
      </c>
      <c r="N4066" t="s">
        <v>3265</v>
      </c>
      <c r="O4066">
        <v>813.1</v>
      </c>
      <c r="P4066">
        <v>20181213</v>
      </c>
      <c r="Q4066" t="s">
        <v>3101</v>
      </c>
      <c r="R4066" t="s">
        <v>3266</v>
      </c>
      <c r="S4066" t="s">
        <v>1615</v>
      </c>
      <c r="T4066" t="s">
        <v>1841</v>
      </c>
    </row>
    <row r="4067" spans="1:20" x14ac:dyDescent="0.25">
      <c r="A4067">
        <v>9</v>
      </c>
      <c r="B4067">
        <v>199</v>
      </c>
      <c r="C4067" t="str">
        <f>"41"</f>
        <v>41</v>
      </c>
      <c r="D4067">
        <v>6495</v>
      </c>
      <c r="E4067" t="str">
        <f t="shared" si="845"/>
        <v>10</v>
      </c>
      <c r="F4067" t="str">
        <f>"726"</f>
        <v>726</v>
      </c>
      <c r="G4067">
        <v>9</v>
      </c>
      <c r="H4067" t="str">
        <f t="shared" si="844"/>
        <v>99</v>
      </c>
      <c r="I4067" t="str">
        <f t="shared" si="836"/>
        <v>0</v>
      </c>
      <c r="J4067" t="str">
        <f>"91"</f>
        <v>91</v>
      </c>
      <c r="K4067">
        <v>20181214</v>
      </c>
      <c r="L4067" t="str">
        <f>"075094"</f>
        <v>075094</v>
      </c>
      <c r="M4067" t="str">
        <f>"76548"</f>
        <v>76548</v>
      </c>
      <c r="N4067" t="s">
        <v>1817</v>
      </c>
      <c r="O4067">
        <v>135</v>
      </c>
      <c r="P4067">
        <v>20181213</v>
      </c>
      <c r="Q4067" t="s">
        <v>2989</v>
      </c>
      <c r="R4067" t="s">
        <v>3267</v>
      </c>
      <c r="S4067" t="s">
        <v>1615</v>
      </c>
      <c r="T4067" t="s">
        <v>2608</v>
      </c>
    </row>
    <row r="4068" spans="1:20" x14ac:dyDescent="0.25">
      <c r="A4068">
        <v>9</v>
      </c>
      <c r="B4068">
        <v>199</v>
      </c>
      <c r="C4068" t="str">
        <f t="shared" ref="C4068:C4073" si="846">"23"</f>
        <v>23</v>
      </c>
      <c r="D4068">
        <v>6495</v>
      </c>
      <c r="E4068" t="str">
        <f t="shared" si="845"/>
        <v>10</v>
      </c>
      <c r="F4068" t="str">
        <f>"101"</f>
        <v>101</v>
      </c>
      <c r="G4068">
        <v>9</v>
      </c>
      <c r="H4068" t="str">
        <f t="shared" si="844"/>
        <v>99</v>
      </c>
      <c r="I4068" t="str">
        <f t="shared" si="836"/>
        <v>0</v>
      </c>
      <c r="J4068" t="str">
        <f>"04"</f>
        <v>04</v>
      </c>
      <c r="K4068">
        <v>20181214</v>
      </c>
      <c r="L4068" t="str">
        <f t="shared" ref="L4068:L4073" si="847">"075095"</f>
        <v>075095</v>
      </c>
      <c r="M4068" t="str">
        <f t="shared" ref="M4068:M4073" si="848">"78309"</f>
        <v>78309</v>
      </c>
      <c r="N4068" t="s">
        <v>3268</v>
      </c>
      <c r="O4068">
        <v>386</v>
      </c>
      <c r="P4068">
        <v>20181213</v>
      </c>
      <c r="Q4068" t="s">
        <v>3269</v>
      </c>
      <c r="R4068" t="s">
        <v>3270</v>
      </c>
      <c r="S4068" t="s">
        <v>1615</v>
      </c>
      <c r="T4068" t="s">
        <v>1479</v>
      </c>
    </row>
    <row r="4069" spans="1:20" x14ac:dyDescent="0.25">
      <c r="A4069">
        <v>9</v>
      </c>
      <c r="B4069">
        <v>199</v>
      </c>
      <c r="C4069" t="str">
        <f t="shared" si="846"/>
        <v>23</v>
      </c>
      <c r="D4069">
        <v>6495</v>
      </c>
      <c r="E4069" t="str">
        <f t="shared" si="845"/>
        <v>10</v>
      </c>
      <c r="F4069" t="str">
        <f>"101"</f>
        <v>101</v>
      </c>
      <c r="G4069">
        <v>9</v>
      </c>
      <c r="H4069" t="str">
        <f t="shared" si="844"/>
        <v>99</v>
      </c>
      <c r="I4069" t="str">
        <f t="shared" si="836"/>
        <v>0</v>
      </c>
      <c r="J4069" t="str">
        <f>"04"</f>
        <v>04</v>
      </c>
      <c r="K4069">
        <v>20181214</v>
      </c>
      <c r="L4069" t="str">
        <f t="shared" si="847"/>
        <v>075095</v>
      </c>
      <c r="M4069" t="str">
        <f t="shared" si="848"/>
        <v>78309</v>
      </c>
      <c r="N4069" t="s">
        <v>3268</v>
      </c>
      <c r="O4069">
        <v>386</v>
      </c>
      <c r="P4069">
        <v>20181213</v>
      </c>
      <c r="Q4069" t="s">
        <v>3269</v>
      </c>
      <c r="R4069" t="s">
        <v>3271</v>
      </c>
      <c r="S4069" t="s">
        <v>1615</v>
      </c>
      <c r="T4069" t="s">
        <v>1479</v>
      </c>
    </row>
    <row r="4070" spans="1:20" x14ac:dyDescent="0.25">
      <c r="A4070">
        <v>9</v>
      </c>
      <c r="B4070">
        <v>199</v>
      </c>
      <c r="C4070" t="str">
        <f t="shared" si="846"/>
        <v>23</v>
      </c>
      <c r="D4070">
        <v>6495</v>
      </c>
      <c r="E4070" t="str">
        <f t="shared" si="845"/>
        <v>10</v>
      </c>
      <c r="F4070" t="str">
        <f>"101"</f>
        <v>101</v>
      </c>
      <c r="G4070">
        <v>9</v>
      </c>
      <c r="H4070" t="str">
        <f t="shared" si="844"/>
        <v>99</v>
      </c>
      <c r="I4070" t="str">
        <f t="shared" si="836"/>
        <v>0</v>
      </c>
      <c r="J4070" t="str">
        <f>"04"</f>
        <v>04</v>
      </c>
      <c r="K4070">
        <v>20181214</v>
      </c>
      <c r="L4070" t="str">
        <f t="shared" si="847"/>
        <v>075095</v>
      </c>
      <c r="M4070" t="str">
        <f t="shared" si="848"/>
        <v>78309</v>
      </c>
      <c r="N4070" t="s">
        <v>3268</v>
      </c>
      <c r="O4070">
        <v>386</v>
      </c>
      <c r="P4070">
        <v>20181213</v>
      </c>
      <c r="Q4070" t="s">
        <v>3269</v>
      </c>
      <c r="R4070" t="s">
        <v>3272</v>
      </c>
      <c r="S4070" t="s">
        <v>1615</v>
      </c>
      <c r="T4070" t="s">
        <v>1479</v>
      </c>
    </row>
    <row r="4071" spans="1:20" x14ac:dyDescent="0.25">
      <c r="A4071">
        <v>9</v>
      </c>
      <c r="B4071">
        <v>199</v>
      </c>
      <c r="C4071" t="str">
        <f t="shared" si="846"/>
        <v>23</v>
      </c>
      <c r="D4071">
        <v>6495</v>
      </c>
      <c r="E4071" t="str">
        <f t="shared" si="845"/>
        <v>10</v>
      </c>
      <c r="F4071" t="str">
        <f>"104"</f>
        <v>104</v>
      </c>
      <c r="G4071">
        <v>9</v>
      </c>
      <c r="H4071" t="str">
        <f t="shared" si="844"/>
        <v>99</v>
      </c>
      <c r="I4071" t="str">
        <f t="shared" si="836"/>
        <v>0</v>
      </c>
      <c r="J4071" t="str">
        <f>"05"</f>
        <v>05</v>
      </c>
      <c r="K4071">
        <v>20181214</v>
      </c>
      <c r="L4071" t="str">
        <f t="shared" si="847"/>
        <v>075095</v>
      </c>
      <c r="M4071" t="str">
        <f t="shared" si="848"/>
        <v>78309</v>
      </c>
      <c r="N4071" t="s">
        <v>3268</v>
      </c>
      <c r="O4071">
        <v>386</v>
      </c>
      <c r="P4071">
        <v>20181213</v>
      </c>
      <c r="Q4071" t="s">
        <v>3273</v>
      </c>
      <c r="R4071" t="s">
        <v>3274</v>
      </c>
      <c r="S4071" t="s">
        <v>1615</v>
      </c>
      <c r="T4071" t="s">
        <v>46</v>
      </c>
    </row>
    <row r="4072" spans="1:20" x14ac:dyDescent="0.25">
      <c r="A4072">
        <v>9</v>
      </c>
      <c r="B4072">
        <v>199</v>
      </c>
      <c r="C4072" t="str">
        <f t="shared" si="846"/>
        <v>23</v>
      </c>
      <c r="D4072">
        <v>6495</v>
      </c>
      <c r="E4072" t="str">
        <f t="shared" si="845"/>
        <v>10</v>
      </c>
      <c r="F4072" t="str">
        <f>"104"</f>
        <v>104</v>
      </c>
      <c r="G4072">
        <v>9</v>
      </c>
      <c r="H4072" t="str">
        <f t="shared" si="844"/>
        <v>99</v>
      </c>
      <c r="I4072" t="str">
        <f t="shared" si="836"/>
        <v>0</v>
      </c>
      <c r="J4072" t="str">
        <f>"05"</f>
        <v>05</v>
      </c>
      <c r="K4072">
        <v>20181214</v>
      </c>
      <c r="L4072" t="str">
        <f t="shared" si="847"/>
        <v>075095</v>
      </c>
      <c r="M4072" t="str">
        <f t="shared" si="848"/>
        <v>78309</v>
      </c>
      <c r="N4072" t="s">
        <v>3268</v>
      </c>
      <c r="O4072">
        <v>386</v>
      </c>
      <c r="P4072">
        <v>20181213</v>
      </c>
      <c r="Q4072" t="s">
        <v>3273</v>
      </c>
      <c r="R4072" t="s">
        <v>3275</v>
      </c>
      <c r="S4072" t="s">
        <v>1615</v>
      </c>
      <c r="T4072" t="s">
        <v>46</v>
      </c>
    </row>
    <row r="4073" spans="1:20" x14ac:dyDescent="0.25">
      <c r="A4073">
        <v>9</v>
      </c>
      <c r="B4073">
        <v>199</v>
      </c>
      <c r="C4073" t="str">
        <f t="shared" si="846"/>
        <v>23</v>
      </c>
      <c r="D4073">
        <v>6495</v>
      </c>
      <c r="E4073" t="str">
        <f t="shared" si="845"/>
        <v>10</v>
      </c>
      <c r="F4073" t="str">
        <f>"104"</f>
        <v>104</v>
      </c>
      <c r="G4073">
        <v>9</v>
      </c>
      <c r="H4073" t="str">
        <f t="shared" si="844"/>
        <v>99</v>
      </c>
      <c r="I4073" t="str">
        <f t="shared" si="836"/>
        <v>0</v>
      </c>
      <c r="J4073" t="str">
        <f>"05"</f>
        <v>05</v>
      </c>
      <c r="K4073">
        <v>20181214</v>
      </c>
      <c r="L4073" t="str">
        <f t="shared" si="847"/>
        <v>075095</v>
      </c>
      <c r="M4073" t="str">
        <f t="shared" si="848"/>
        <v>78309</v>
      </c>
      <c r="N4073" t="s">
        <v>3268</v>
      </c>
      <c r="O4073">
        <v>386</v>
      </c>
      <c r="P4073">
        <v>20181213</v>
      </c>
      <c r="Q4073" t="s">
        <v>3273</v>
      </c>
      <c r="R4073" t="s">
        <v>3276</v>
      </c>
      <c r="S4073" t="s">
        <v>1615</v>
      </c>
      <c r="T4073" t="s">
        <v>46</v>
      </c>
    </row>
    <row r="4074" spans="1:20" x14ac:dyDescent="0.25">
      <c r="A4074">
        <v>9</v>
      </c>
      <c r="B4074">
        <v>199</v>
      </c>
      <c r="C4074" t="str">
        <f>"41"</f>
        <v>41</v>
      </c>
      <c r="D4074">
        <v>6495</v>
      </c>
      <c r="E4074" t="str">
        <f>"11"</f>
        <v>11</v>
      </c>
      <c r="F4074" t="str">
        <f>"701"</f>
        <v>701</v>
      </c>
      <c r="G4074">
        <v>9</v>
      </c>
      <c r="H4074" t="str">
        <f t="shared" si="844"/>
        <v>99</v>
      </c>
      <c r="I4074" t="str">
        <f t="shared" si="836"/>
        <v>0</v>
      </c>
      <c r="J4074" t="str">
        <f>"92"</f>
        <v>92</v>
      </c>
      <c r="K4074">
        <v>20181214</v>
      </c>
      <c r="L4074" t="str">
        <f>"075096"</f>
        <v>075096</v>
      </c>
      <c r="M4074" t="str">
        <f>"76540"</f>
        <v>76540</v>
      </c>
      <c r="N4074" t="s">
        <v>3277</v>
      </c>
      <c r="O4074">
        <v>500</v>
      </c>
      <c r="P4074">
        <v>20181213</v>
      </c>
      <c r="Q4074" t="s">
        <v>1839</v>
      </c>
      <c r="R4074" t="s">
        <v>3278</v>
      </c>
      <c r="S4074" t="s">
        <v>1615</v>
      </c>
      <c r="T4074" t="s">
        <v>1841</v>
      </c>
    </row>
    <row r="4075" spans="1:20" x14ac:dyDescent="0.25">
      <c r="A4075">
        <v>9</v>
      </c>
      <c r="B4075">
        <v>199</v>
      </c>
      <c r="C4075" t="str">
        <f>"11"</f>
        <v>11</v>
      </c>
      <c r="D4075">
        <v>6412</v>
      </c>
      <c r="E4075" t="str">
        <f>"VH"</f>
        <v>VH</v>
      </c>
      <c r="F4075" t="str">
        <f>"001"</f>
        <v>001</v>
      </c>
      <c r="G4075">
        <v>9</v>
      </c>
      <c r="H4075" t="str">
        <f>"22"</f>
        <v>22</v>
      </c>
      <c r="I4075" t="str">
        <f t="shared" si="836"/>
        <v>0</v>
      </c>
      <c r="J4075" t="str">
        <f>"22"</f>
        <v>22</v>
      </c>
      <c r="K4075">
        <v>20181214</v>
      </c>
      <c r="L4075" t="str">
        <f>"075097"</f>
        <v>075097</v>
      </c>
      <c r="M4075" t="str">
        <f>"00156"</f>
        <v>00156</v>
      </c>
      <c r="N4075" t="s">
        <v>3279</v>
      </c>
      <c r="O4075">
        <v>752</v>
      </c>
      <c r="P4075">
        <v>20181213</v>
      </c>
      <c r="Q4075" t="s">
        <v>2375</v>
      </c>
      <c r="R4075" t="s">
        <v>3280</v>
      </c>
      <c r="S4075" t="s">
        <v>1615</v>
      </c>
      <c r="T4075" t="s">
        <v>301</v>
      </c>
    </row>
    <row r="4076" spans="1:20" x14ac:dyDescent="0.25">
      <c r="A4076">
        <v>9</v>
      </c>
      <c r="B4076">
        <v>199</v>
      </c>
      <c r="C4076" t="str">
        <f>"36"</f>
        <v>36</v>
      </c>
      <c r="D4076">
        <v>6411</v>
      </c>
      <c r="E4076" t="str">
        <f>"VH"</f>
        <v>VH</v>
      </c>
      <c r="F4076" t="str">
        <f>"001"</f>
        <v>001</v>
      </c>
      <c r="G4076">
        <v>9</v>
      </c>
      <c r="H4076" t="str">
        <f>"22"</f>
        <v>22</v>
      </c>
      <c r="I4076" t="str">
        <f t="shared" ref="I4076:I4091" si="849">"0"</f>
        <v>0</v>
      </c>
      <c r="J4076" t="str">
        <f>"22"</f>
        <v>22</v>
      </c>
      <c r="K4076">
        <v>20181214</v>
      </c>
      <c r="L4076" t="str">
        <f>"075097"</f>
        <v>075097</v>
      </c>
      <c r="M4076" t="str">
        <f>"00156"</f>
        <v>00156</v>
      </c>
      <c r="N4076" t="s">
        <v>3279</v>
      </c>
      <c r="O4076">
        <v>17</v>
      </c>
      <c r="P4076">
        <v>20181213</v>
      </c>
      <c r="Q4076" t="s">
        <v>2377</v>
      </c>
      <c r="R4076" t="s">
        <v>3280</v>
      </c>
      <c r="S4076" t="s">
        <v>1615</v>
      </c>
      <c r="T4076" t="s">
        <v>301</v>
      </c>
    </row>
    <row r="4077" spans="1:20" x14ac:dyDescent="0.25">
      <c r="A4077">
        <v>9</v>
      </c>
      <c r="B4077">
        <v>199</v>
      </c>
      <c r="C4077" t="str">
        <f>"00"</f>
        <v>00</v>
      </c>
      <c r="D4077">
        <v>1411</v>
      </c>
      <c r="E4077" t="str">
        <f>"15"</f>
        <v>15</v>
      </c>
      <c r="F4077" t="str">
        <f>"000"</f>
        <v>000</v>
      </c>
      <c r="G4077">
        <v>9</v>
      </c>
      <c r="H4077" t="str">
        <f>"00"</f>
        <v>00</v>
      </c>
      <c r="I4077" t="str">
        <f t="shared" si="849"/>
        <v>0</v>
      </c>
      <c r="J4077" t="str">
        <f>"00"</f>
        <v>00</v>
      </c>
      <c r="K4077">
        <v>20181214</v>
      </c>
      <c r="L4077" t="str">
        <f>"075099"</f>
        <v>075099</v>
      </c>
      <c r="M4077" t="str">
        <f>"24705"</f>
        <v>24705</v>
      </c>
      <c r="N4077" t="s">
        <v>3281</v>
      </c>
      <c r="O4077" s="1">
        <v>9600</v>
      </c>
      <c r="P4077">
        <v>20181213</v>
      </c>
      <c r="Q4077" t="s">
        <v>3282</v>
      </c>
      <c r="R4077" t="s">
        <v>3283</v>
      </c>
      <c r="S4077" t="s">
        <v>1615</v>
      </c>
      <c r="T4077" t="s">
        <v>296</v>
      </c>
    </row>
    <row r="4078" spans="1:20" x14ac:dyDescent="0.25">
      <c r="A4078">
        <v>9</v>
      </c>
      <c r="B4078">
        <v>199</v>
      </c>
      <c r="C4078" t="str">
        <f>"41"</f>
        <v>41</v>
      </c>
      <c r="D4078">
        <v>6396</v>
      </c>
      <c r="E4078" t="str">
        <f>"10"</f>
        <v>10</v>
      </c>
      <c r="F4078" t="str">
        <f>"726"</f>
        <v>726</v>
      </c>
      <c r="G4078">
        <v>9</v>
      </c>
      <c r="H4078" t="str">
        <f>"99"</f>
        <v>99</v>
      </c>
      <c r="I4078" t="str">
        <f t="shared" si="849"/>
        <v>0</v>
      </c>
      <c r="J4078" t="str">
        <f>"91"</f>
        <v>91</v>
      </c>
      <c r="K4078">
        <v>20181214</v>
      </c>
      <c r="L4078" t="str">
        <f>"075099"</f>
        <v>075099</v>
      </c>
      <c r="M4078" t="str">
        <f>"24705"</f>
        <v>24705</v>
      </c>
      <c r="N4078" t="s">
        <v>3281</v>
      </c>
      <c r="O4078" s="1">
        <v>9600</v>
      </c>
      <c r="P4078">
        <v>20181213</v>
      </c>
      <c r="Q4078" t="s">
        <v>3284</v>
      </c>
      <c r="R4078" t="s">
        <v>3285</v>
      </c>
      <c r="S4078" t="s">
        <v>1615</v>
      </c>
      <c r="T4078" t="s">
        <v>2608</v>
      </c>
    </row>
    <row r="4079" spans="1:20" x14ac:dyDescent="0.25">
      <c r="A4079">
        <v>9</v>
      </c>
      <c r="B4079">
        <v>199</v>
      </c>
      <c r="C4079" t="str">
        <f>"11"</f>
        <v>11</v>
      </c>
      <c r="D4079">
        <v>6264</v>
      </c>
      <c r="E4079" t="str">
        <f>"00"</f>
        <v>00</v>
      </c>
      <c r="F4079" t="str">
        <f>"101"</f>
        <v>101</v>
      </c>
      <c r="G4079">
        <v>9</v>
      </c>
      <c r="H4079" t="str">
        <f>"11"</f>
        <v>11</v>
      </c>
      <c r="I4079" t="str">
        <f t="shared" si="849"/>
        <v>0</v>
      </c>
      <c r="J4079" t="str">
        <f>"04"</f>
        <v>04</v>
      </c>
      <c r="K4079">
        <v>20181214</v>
      </c>
      <c r="L4079" t="str">
        <f>"075100"</f>
        <v>075100</v>
      </c>
      <c r="M4079" t="str">
        <f>"80481"</f>
        <v>80481</v>
      </c>
      <c r="N4079" t="s">
        <v>1849</v>
      </c>
      <c r="O4079">
        <v>74</v>
      </c>
      <c r="P4079">
        <v>20181213</v>
      </c>
      <c r="Q4079" t="s">
        <v>3073</v>
      </c>
      <c r="R4079" t="s">
        <v>2668</v>
      </c>
      <c r="S4079" t="s">
        <v>1615</v>
      </c>
      <c r="T4079" t="s">
        <v>1479</v>
      </c>
    </row>
    <row r="4080" spans="1:20" x14ac:dyDescent="0.25">
      <c r="A4080">
        <v>9</v>
      </c>
      <c r="B4080">
        <v>199</v>
      </c>
      <c r="C4080" t="str">
        <f>"11"</f>
        <v>11</v>
      </c>
      <c r="D4080">
        <v>6264</v>
      </c>
      <c r="E4080" t="str">
        <f>"00"</f>
        <v>00</v>
      </c>
      <c r="F4080" t="str">
        <f>"104"</f>
        <v>104</v>
      </c>
      <c r="G4080">
        <v>9</v>
      </c>
      <c r="H4080" t="str">
        <f>"11"</f>
        <v>11</v>
      </c>
      <c r="I4080" t="str">
        <f t="shared" si="849"/>
        <v>0</v>
      </c>
      <c r="J4080" t="str">
        <f>"05"</f>
        <v>05</v>
      </c>
      <c r="K4080">
        <v>20181214</v>
      </c>
      <c r="L4080" t="str">
        <f>"075100"</f>
        <v>075100</v>
      </c>
      <c r="M4080" t="str">
        <f>"80481"</f>
        <v>80481</v>
      </c>
      <c r="N4080" t="s">
        <v>1849</v>
      </c>
      <c r="O4080">
        <v>74</v>
      </c>
      <c r="P4080">
        <v>20181213</v>
      </c>
      <c r="Q4080" t="s">
        <v>3074</v>
      </c>
      <c r="R4080" t="s">
        <v>2668</v>
      </c>
      <c r="S4080" t="s">
        <v>1615</v>
      </c>
      <c r="T4080" t="s">
        <v>46</v>
      </c>
    </row>
    <row r="4081" spans="1:20" x14ac:dyDescent="0.25">
      <c r="A4081">
        <v>9</v>
      </c>
      <c r="B4081">
        <v>199</v>
      </c>
      <c r="C4081" t="str">
        <f>"11"</f>
        <v>11</v>
      </c>
      <c r="D4081">
        <v>6264</v>
      </c>
      <c r="E4081" t="str">
        <f>"10"</f>
        <v>10</v>
      </c>
      <c r="F4081" t="str">
        <f>"001"</f>
        <v>001</v>
      </c>
      <c r="G4081">
        <v>9</v>
      </c>
      <c r="H4081" t="str">
        <f>"11"</f>
        <v>11</v>
      </c>
      <c r="I4081" t="str">
        <f t="shared" si="849"/>
        <v>0</v>
      </c>
      <c r="J4081" t="str">
        <f>"01"</f>
        <v>01</v>
      </c>
      <c r="K4081">
        <v>20181214</v>
      </c>
      <c r="L4081" t="str">
        <f>"075100"</f>
        <v>075100</v>
      </c>
      <c r="M4081" t="str">
        <f>"80481"</f>
        <v>80481</v>
      </c>
      <c r="N4081" t="s">
        <v>1849</v>
      </c>
      <c r="O4081">
        <v>74</v>
      </c>
      <c r="P4081">
        <v>20181213</v>
      </c>
      <c r="Q4081" t="s">
        <v>3075</v>
      </c>
      <c r="R4081" t="s">
        <v>2668</v>
      </c>
      <c r="S4081" t="s">
        <v>1615</v>
      </c>
      <c r="T4081" t="s">
        <v>301</v>
      </c>
    </row>
    <row r="4082" spans="1:20" x14ac:dyDescent="0.25">
      <c r="A4082">
        <v>9</v>
      </c>
      <c r="B4082">
        <v>199</v>
      </c>
      <c r="C4082" t="str">
        <f>"11"</f>
        <v>11</v>
      </c>
      <c r="D4082">
        <v>6264</v>
      </c>
      <c r="E4082" t="str">
        <f>"10"</f>
        <v>10</v>
      </c>
      <c r="F4082" t="str">
        <f>"001"</f>
        <v>001</v>
      </c>
      <c r="G4082">
        <v>9</v>
      </c>
      <c r="H4082" t="str">
        <f>"11"</f>
        <v>11</v>
      </c>
      <c r="I4082" t="str">
        <f t="shared" si="849"/>
        <v>0</v>
      </c>
      <c r="J4082" t="str">
        <f>"01"</f>
        <v>01</v>
      </c>
      <c r="K4082">
        <v>20181214</v>
      </c>
      <c r="L4082" t="str">
        <f>"075100"</f>
        <v>075100</v>
      </c>
      <c r="M4082" t="str">
        <f>"80481"</f>
        <v>80481</v>
      </c>
      <c r="N4082" t="s">
        <v>1849</v>
      </c>
      <c r="O4082">
        <v>74</v>
      </c>
      <c r="P4082">
        <v>20181213</v>
      </c>
      <c r="Q4082" t="s">
        <v>3075</v>
      </c>
      <c r="R4082" t="s">
        <v>2668</v>
      </c>
      <c r="S4082" t="s">
        <v>1615</v>
      </c>
      <c r="T4082" t="s">
        <v>301</v>
      </c>
    </row>
    <row r="4083" spans="1:20" x14ac:dyDescent="0.25">
      <c r="A4083">
        <v>9</v>
      </c>
      <c r="B4083">
        <v>199</v>
      </c>
      <c r="C4083" t="str">
        <f>"51"</f>
        <v>51</v>
      </c>
      <c r="D4083">
        <v>6248</v>
      </c>
      <c r="E4083" t="str">
        <f>"MC"</f>
        <v>MC</v>
      </c>
      <c r="F4083" t="str">
        <f>"936"</f>
        <v>936</v>
      </c>
      <c r="G4083">
        <v>9</v>
      </c>
      <c r="H4083" t="str">
        <f>"99"</f>
        <v>99</v>
      </c>
      <c r="I4083" t="str">
        <f t="shared" si="849"/>
        <v>0</v>
      </c>
      <c r="J4083" t="str">
        <f>"81"</f>
        <v>81</v>
      </c>
      <c r="K4083">
        <v>20181214</v>
      </c>
      <c r="L4083" t="str">
        <f>"075101"</f>
        <v>075101</v>
      </c>
      <c r="M4083" t="str">
        <f>"80497"</f>
        <v>80497</v>
      </c>
      <c r="N4083" t="s">
        <v>3286</v>
      </c>
      <c r="O4083">
        <v>567.6</v>
      </c>
      <c r="P4083">
        <v>20181213</v>
      </c>
      <c r="Q4083" t="s">
        <v>3287</v>
      </c>
      <c r="R4083" t="s">
        <v>3288</v>
      </c>
      <c r="S4083" t="s">
        <v>1615</v>
      </c>
      <c r="T4083" t="s">
        <v>1713</v>
      </c>
    </row>
    <row r="4084" spans="1:20" x14ac:dyDescent="0.25">
      <c r="A4084">
        <v>9</v>
      </c>
      <c r="B4084">
        <v>199</v>
      </c>
      <c r="C4084" t="str">
        <f>"11"</f>
        <v>11</v>
      </c>
      <c r="D4084">
        <v>6399</v>
      </c>
      <c r="E4084" t="str">
        <f>"V8"</f>
        <v>V8</v>
      </c>
      <c r="F4084" t="str">
        <f>"001"</f>
        <v>001</v>
      </c>
      <c r="G4084">
        <v>9</v>
      </c>
      <c r="H4084" t="str">
        <f>"22"</f>
        <v>22</v>
      </c>
      <c r="I4084" t="str">
        <f t="shared" si="849"/>
        <v>0</v>
      </c>
      <c r="J4084" t="str">
        <f>"22"</f>
        <v>22</v>
      </c>
      <c r="K4084">
        <v>20181214</v>
      </c>
      <c r="L4084" t="str">
        <f>"075102"</f>
        <v>075102</v>
      </c>
      <c r="M4084" t="str">
        <f>"80500"</f>
        <v>80500</v>
      </c>
      <c r="N4084" t="s">
        <v>2340</v>
      </c>
      <c r="O4084">
        <v>557.70000000000005</v>
      </c>
      <c r="P4084">
        <v>20181213</v>
      </c>
      <c r="Q4084" t="s">
        <v>2001</v>
      </c>
      <c r="R4084" t="s">
        <v>2443</v>
      </c>
      <c r="S4084" t="s">
        <v>1615</v>
      </c>
      <c r="T4084" t="s">
        <v>301</v>
      </c>
    </row>
    <row r="4085" spans="1:20" x14ac:dyDescent="0.25">
      <c r="A4085">
        <v>9</v>
      </c>
      <c r="B4085">
        <v>199</v>
      </c>
      <c r="C4085" t="str">
        <f>"11"</f>
        <v>11</v>
      </c>
      <c r="D4085">
        <v>6399</v>
      </c>
      <c r="E4085" t="str">
        <f>"7B"</f>
        <v>7B</v>
      </c>
      <c r="F4085" t="str">
        <f>"001"</f>
        <v>001</v>
      </c>
      <c r="G4085">
        <v>9</v>
      </c>
      <c r="H4085" t="str">
        <f>"11"</f>
        <v>11</v>
      </c>
      <c r="I4085" t="str">
        <f t="shared" si="849"/>
        <v>0</v>
      </c>
      <c r="J4085" t="str">
        <f>"32"</f>
        <v>32</v>
      </c>
      <c r="K4085">
        <v>20181214</v>
      </c>
      <c r="L4085" t="str">
        <f>"075105"</f>
        <v>075105</v>
      </c>
      <c r="M4085" t="str">
        <f>"75052"</f>
        <v>75052</v>
      </c>
      <c r="N4085" t="s">
        <v>3289</v>
      </c>
      <c r="O4085" s="1">
        <v>1300</v>
      </c>
      <c r="P4085">
        <v>20181213</v>
      </c>
      <c r="Q4085" t="s">
        <v>2239</v>
      </c>
      <c r="R4085" t="s">
        <v>3290</v>
      </c>
      <c r="S4085" t="s">
        <v>1615</v>
      </c>
      <c r="T4085" t="s">
        <v>301</v>
      </c>
    </row>
    <row r="4086" spans="1:20" x14ac:dyDescent="0.25">
      <c r="A4086">
        <v>9</v>
      </c>
      <c r="B4086">
        <v>199</v>
      </c>
      <c r="C4086" t="str">
        <f>"11"</f>
        <v>11</v>
      </c>
      <c r="D4086">
        <v>6399</v>
      </c>
      <c r="E4086" t="str">
        <f>"VD"</f>
        <v>VD</v>
      </c>
      <c r="F4086" t="str">
        <f>"001"</f>
        <v>001</v>
      </c>
      <c r="G4086">
        <v>9</v>
      </c>
      <c r="H4086" t="str">
        <f>"22"</f>
        <v>22</v>
      </c>
      <c r="I4086" t="str">
        <f t="shared" si="849"/>
        <v>0</v>
      </c>
      <c r="J4086" t="str">
        <f>"22"</f>
        <v>22</v>
      </c>
      <c r="K4086">
        <v>20181214</v>
      </c>
      <c r="L4086" t="str">
        <f>"075106"</f>
        <v>075106</v>
      </c>
      <c r="M4086" t="str">
        <f>"82494"</f>
        <v>82494</v>
      </c>
      <c r="N4086" t="s">
        <v>2687</v>
      </c>
      <c r="O4086">
        <v>299.8</v>
      </c>
      <c r="P4086">
        <v>20181213</v>
      </c>
      <c r="Q4086" t="s">
        <v>1862</v>
      </c>
      <c r="R4086" t="s">
        <v>3291</v>
      </c>
      <c r="S4086" t="s">
        <v>1615</v>
      </c>
      <c r="T4086" t="s">
        <v>301</v>
      </c>
    </row>
    <row r="4087" spans="1:20" x14ac:dyDescent="0.25">
      <c r="A4087">
        <v>9</v>
      </c>
      <c r="B4087">
        <v>199</v>
      </c>
      <c r="C4087" t="str">
        <f>"11"</f>
        <v>11</v>
      </c>
      <c r="D4087">
        <v>6299</v>
      </c>
      <c r="E4087" t="str">
        <f>"00"</f>
        <v>00</v>
      </c>
      <c r="F4087" t="str">
        <f>"104"</f>
        <v>104</v>
      </c>
      <c r="G4087">
        <v>9</v>
      </c>
      <c r="H4087" t="str">
        <f>"11"</f>
        <v>11</v>
      </c>
      <c r="I4087" t="str">
        <f t="shared" si="849"/>
        <v>0</v>
      </c>
      <c r="J4087" t="str">
        <f>"05"</f>
        <v>05</v>
      </c>
      <c r="K4087">
        <v>20181214</v>
      </c>
      <c r="L4087" t="str">
        <f>"075107"</f>
        <v>075107</v>
      </c>
      <c r="M4087" t="str">
        <f>"83060"</f>
        <v>83060</v>
      </c>
      <c r="N4087" t="s">
        <v>2151</v>
      </c>
      <c r="O4087" s="1">
        <v>1540</v>
      </c>
      <c r="P4087">
        <v>20181213</v>
      </c>
      <c r="Q4087" t="s">
        <v>2152</v>
      </c>
      <c r="R4087" t="s">
        <v>3292</v>
      </c>
      <c r="S4087" t="s">
        <v>1615</v>
      </c>
      <c r="T4087" t="s">
        <v>46</v>
      </c>
    </row>
    <row r="4088" spans="1:20" x14ac:dyDescent="0.25">
      <c r="A4088">
        <v>9</v>
      </c>
      <c r="B4088">
        <v>199</v>
      </c>
      <c r="C4088" t="str">
        <f>"53"</f>
        <v>53</v>
      </c>
      <c r="D4088">
        <v>6411</v>
      </c>
      <c r="E4088" t="str">
        <f>"10"</f>
        <v>10</v>
      </c>
      <c r="F4088" t="str">
        <f>"880"</f>
        <v>880</v>
      </c>
      <c r="G4088">
        <v>9</v>
      </c>
      <c r="H4088" t="str">
        <f t="shared" ref="H4088:H4112" si="850">"99"</f>
        <v>99</v>
      </c>
      <c r="I4088" t="str">
        <f t="shared" si="849"/>
        <v>0</v>
      </c>
      <c r="J4088" t="str">
        <f>"80"</f>
        <v>80</v>
      </c>
      <c r="K4088">
        <v>20181214</v>
      </c>
      <c r="L4088" t="str">
        <f>"075110"</f>
        <v>075110</v>
      </c>
      <c r="M4088" t="str">
        <f>"84607"</f>
        <v>84607</v>
      </c>
      <c r="N4088" t="s">
        <v>2802</v>
      </c>
      <c r="O4088">
        <v>71.45</v>
      </c>
      <c r="P4088">
        <v>20181213</v>
      </c>
      <c r="Q4088" t="s">
        <v>1901</v>
      </c>
      <c r="R4088" t="s">
        <v>3293</v>
      </c>
      <c r="S4088" t="s">
        <v>1615</v>
      </c>
      <c r="T4088" t="s">
        <v>1866</v>
      </c>
    </row>
    <row r="4089" spans="1:20" x14ac:dyDescent="0.25">
      <c r="A4089">
        <v>9</v>
      </c>
      <c r="B4089">
        <v>199</v>
      </c>
      <c r="C4089" t="str">
        <f t="shared" ref="C4089:C4107" si="851">"51"</f>
        <v>51</v>
      </c>
      <c r="D4089">
        <v>6256</v>
      </c>
      <c r="E4089" t="str">
        <f>"10"</f>
        <v>10</v>
      </c>
      <c r="F4089" t="str">
        <f>"880"</f>
        <v>880</v>
      </c>
      <c r="G4089">
        <v>9</v>
      </c>
      <c r="H4089" t="str">
        <f t="shared" si="850"/>
        <v>99</v>
      </c>
      <c r="I4089" t="str">
        <f t="shared" si="849"/>
        <v>0</v>
      </c>
      <c r="J4089" t="str">
        <f>"80"</f>
        <v>80</v>
      </c>
      <c r="K4089">
        <v>20190104</v>
      </c>
      <c r="L4089" t="str">
        <f>"075113"</f>
        <v>075113</v>
      </c>
      <c r="M4089" t="str">
        <f>"00390"</f>
        <v>00390</v>
      </c>
      <c r="N4089" t="s">
        <v>1869</v>
      </c>
      <c r="O4089">
        <v>87.1</v>
      </c>
      <c r="P4089">
        <v>20190104</v>
      </c>
      <c r="Q4089" t="s">
        <v>1870</v>
      </c>
      <c r="R4089" t="s">
        <v>3294</v>
      </c>
      <c r="S4089" t="s">
        <v>1615</v>
      </c>
      <c r="T4089" t="s">
        <v>1866</v>
      </c>
    </row>
    <row r="4090" spans="1:20" x14ac:dyDescent="0.25">
      <c r="A4090">
        <v>9</v>
      </c>
      <c r="B4090">
        <v>199</v>
      </c>
      <c r="C4090" t="str">
        <f t="shared" si="851"/>
        <v>51</v>
      </c>
      <c r="D4090">
        <v>6256</v>
      </c>
      <c r="E4090" t="str">
        <f>"10"</f>
        <v>10</v>
      </c>
      <c r="F4090" t="str">
        <f>"880"</f>
        <v>880</v>
      </c>
      <c r="G4090">
        <v>9</v>
      </c>
      <c r="H4090" t="str">
        <f t="shared" si="850"/>
        <v>99</v>
      </c>
      <c r="I4090" t="str">
        <f t="shared" si="849"/>
        <v>0</v>
      </c>
      <c r="J4090" t="str">
        <f>"80"</f>
        <v>80</v>
      </c>
      <c r="K4090">
        <v>20190104</v>
      </c>
      <c r="L4090" t="str">
        <f>"075113"</f>
        <v>075113</v>
      </c>
      <c r="M4090" t="str">
        <f>"00390"</f>
        <v>00390</v>
      </c>
      <c r="N4090" t="s">
        <v>1869</v>
      </c>
      <c r="O4090" s="1">
        <v>4358.4799999999996</v>
      </c>
      <c r="P4090">
        <v>20190104</v>
      </c>
      <c r="Q4090" t="s">
        <v>1870</v>
      </c>
      <c r="R4090" t="s">
        <v>3294</v>
      </c>
      <c r="S4090" t="s">
        <v>1615</v>
      </c>
      <c r="T4090" t="s">
        <v>1866</v>
      </c>
    </row>
    <row r="4091" spans="1:20" x14ac:dyDescent="0.25">
      <c r="A4091">
        <v>9</v>
      </c>
      <c r="B4091">
        <v>199</v>
      </c>
      <c r="C4091" t="str">
        <f t="shared" si="851"/>
        <v>51</v>
      </c>
      <c r="D4091">
        <v>6256</v>
      </c>
      <c r="E4091" t="str">
        <f>"11"</f>
        <v>11</v>
      </c>
      <c r="F4091" t="str">
        <f>"880"</f>
        <v>880</v>
      </c>
      <c r="G4091">
        <v>9</v>
      </c>
      <c r="H4091" t="str">
        <f t="shared" si="850"/>
        <v>99</v>
      </c>
      <c r="I4091" t="str">
        <f t="shared" si="849"/>
        <v>0</v>
      </c>
      <c r="J4091" t="str">
        <f>"80"</f>
        <v>80</v>
      </c>
      <c r="K4091">
        <v>20190104</v>
      </c>
      <c r="L4091" t="str">
        <f>"075114"</f>
        <v>075114</v>
      </c>
      <c r="M4091" t="str">
        <f>"00392"</f>
        <v>00392</v>
      </c>
      <c r="N4091" t="s">
        <v>1869</v>
      </c>
      <c r="O4091">
        <v>48.51</v>
      </c>
      <c r="P4091">
        <v>20190104</v>
      </c>
      <c r="Q4091" t="s">
        <v>1871</v>
      </c>
      <c r="R4091" t="s">
        <v>3295</v>
      </c>
      <c r="S4091" t="s">
        <v>1615</v>
      </c>
      <c r="T4091" t="s">
        <v>1866</v>
      </c>
    </row>
    <row r="4092" spans="1:20" x14ac:dyDescent="0.25">
      <c r="A4092">
        <v>9</v>
      </c>
      <c r="B4092">
        <v>199</v>
      </c>
      <c r="C4092" t="str">
        <f t="shared" si="851"/>
        <v>51</v>
      </c>
      <c r="D4092">
        <v>6254</v>
      </c>
      <c r="E4092" t="str">
        <f>"ME"</f>
        <v>ME</v>
      </c>
      <c r="F4092" t="str">
        <f>"936"</f>
        <v>936</v>
      </c>
      <c r="G4092">
        <v>9</v>
      </c>
      <c r="H4092" t="str">
        <f t="shared" si="850"/>
        <v>99</v>
      </c>
      <c r="I4092" t="str">
        <f>"1"</f>
        <v>1</v>
      </c>
      <c r="J4092" t="str">
        <f t="shared" ref="J4092:J4107" si="852">"73"</f>
        <v>73</v>
      </c>
      <c r="K4092">
        <v>20190104</v>
      </c>
      <c r="L4092" t="str">
        <f>"075115"</f>
        <v>075115</v>
      </c>
      <c r="M4092" t="str">
        <f>"19310"</f>
        <v>19310</v>
      </c>
      <c r="N4092" t="s">
        <v>1689</v>
      </c>
      <c r="O4092" s="1">
        <v>3196.86</v>
      </c>
      <c r="P4092">
        <v>20190104</v>
      </c>
      <c r="Q4092" t="s">
        <v>1891</v>
      </c>
      <c r="R4092" t="s">
        <v>3296</v>
      </c>
      <c r="S4092" t="s">
        <v>1615</v>
      </c>
      <c r="T4092" t="s">
        <v>1713</v>
      </c>
    </row>
    <row r="4093" spans="1:20" x14ac:dyDescent="0.25">
      <c r="A4093">
        <v>9</v>
      </c>
      <c r="B4093">
        <v>199</v>
      </c>
      <c r="C4093" t="str">
        <f t="shared" si="851"/>
        <v>51</v>
      </c>
      <c r="D4093">
        <v>6255</v>
      </c>
      <c r="E4093" t="str">
        <f t="shared" ref="E4093:E4099" si="853">"10"</f>
        <v>10</v>
      </c>
      <c r="F4093" t="str">
        <f>"001"</f>
        <v>001</v>
      </c>
      <c r="G4093">
        <v>9</v>
      </c>
      <c r="H4093" t="str">
        <f t="shared" si="850"/>
        <v>99</v>
      </c>
      <c r="I4093" t="str">
        <f t="shared" ref="I4093:I4110" si="854">"0"</f>
        <v>0</v>
      </c>
      <c r="J4093" t="str">
        <f t="shared" si="852"/>
        <v>73</v>
      </c>
      <c r="K4093">
        <v>20190104</v>
      </c>
      <c r="L4093" t="str">
        <f t="shared" ref="L4093:L4107" si="855">"075116"</f>
        <v>075116</v>
      </c>
      <c r="M4093" t="str">
        <f t="shared" ref="M4093:M4107" si="856">"20706"</f>
        <v>20706</v>
      </c>
      <c r="N4093" t="s">
        <v>2003</v>
      </c>
      <c r="O4093" s="1">
        <v>5325.98</v>
      </c>
      <c r="P4093">
        <v>20190104</v>
      </c>
      <c r="Q4093" t="s">
        <v>2004</v>
      </c>
      <c r="R4093" t="s">
        <v>3297</v>
      </c>
      <c r="S4093" t="s">
        <v>1615</v>
      </c>
      <c r="T4093" t="s">
        <v>301</v>
      </c>
    </row>
    <row r="4094" spans="1:20" x14ac:dyDescent="0.25">
      <c r="A4094">
        <v>9</v>
      </c>
      <c r="B4094">
        <v>199</v>
      </c>
      <c r="C4094" t="str">
        <f t="shared" si="851"/>
        <v>51</v>
      </c>
      <c r="D4094">
        <v>6255</v>
      </c>
      <c r="E4094" t="str">
        <f t="shared" si="853"/>
        <v>10</v>
      </c>
      <c r="F4094" t="str">
        <f>"002"</f>
        <v>002</v>
      </c>
      <c r="G4094">
        <v>9</v>
      </c>
      <c r="H4094" t="str">
        <f t="shared" si="850"/>
        <v>99</v>
      </c>
      <c r="I4094" t="str">
        <f t="shared" si="854"/>
        <v>0</v>
      </c>
      <c r="J4094" t="str">
        <f t="shared" si="852"/>
        <v>73</v>
      </c>
      <c r="K4094">
        <v>20190104</v>
      </c>
      <c r="L4094" t="str">
        <f t="shared" si="855"/>
        <v>075116</v>
      </c>
      <c r="M4094" t="str">
        <f t="shared" si="856"/>
        <v>20706</v>
      </c>
      <c r="N4094" t="s">
        <v>2003</v>
      </c>
      <c r="O4094">
        <v>38.81</v>
      </c>
      <c r="P4094">
        <v>20190104</v>
      </c>
      <c r="Q4094" t="s">
        <v>2006</v>
      </c>
      <c r="R4094" t="s">
        <v>3298</v>
      </c>
      <c r="S4094" t="s">
        <v>1615</v>
      </c>
      <c r="T4094" t="s">
        <v>1485</v>
      </c>
    </row>
    <row r="4095" spans="1:20" x14ac:dyDescent="0.25">
      <c r="A4095">
        <v>9</v>
      </c>
      <c r="B4095">
        <v>199</v>
      </c>
      <c r="C4095" t="str">
        <f t="shared" si="851"/>
        <v>51</v>
      </c>
      <c r="D4095">
        <v>6255</v>
      </c>
      <c r="E4095" t="str">
        <f t="shared" si="853"/>
        <v>10</v>
      </c>
      <c r="F4095" t="str">
        <f>"041"</f>
        <v>041</v>
      </c>
      <c r="G4095">
        <v>9</v>
      </c>
      <c r="H4095" t="str">
        <f t="shared" si="850"/>
        <v>99</v>
      </c>
      <c r="I4095" t="str">
        <f t="shared" si="854"/>
        <v>0</v>
      </c>
      <c r="J4095" t="str">
        <f t="shared" si="852"/>
        <v>73</v>
      </c>
      <c r="K4095">
        <v>20190104</v>
      </c>
      <c r="L4095" t="str">
        <f t="shared" si="855"/>
        <v>075116</v>
      </c>
      <c r="M4095" t="str">
        <f t="shared" si="856"/>
        <v>20706</v>
      </c>
      <c r="N4095" t="s">
        <v>2003</v>
      </c>
      <c r="O4095">
        <v>734.49</v>
      </c>
      <c r="P4095">
        <v>20190104</v>
      </c>
      <c r="Q4095" t="s">
        <v>2008</v>
      </c>
      <c r="R4095" t="s">
        <v>3299</v>
      </c>
      <c r="S4095" t="s">
        <v>1615</v>
      </c>
      <c r="T4095" t="s">
        <v>106</v>
      </c>
    </row>
    <row r="4096" spans="1:20" x14ac:dyDescent="0.25">
      <c r="A4096">
        <v>9</v>
      </c>
      <c r="B4096">
        <v>199</v>
      </c>
      <c r="C4096" t="str">
        <f t="shared" si="851"/>
        <v>51</v>
      </c>
      <c r="D4096">
        <v>6255</v>
      </c>
      <c r="E4096" t="str">
        <f t="shared" si="853"/>
        <v>10</v>
      </c>
      <c r="F4096" t="str">
        <f>"101"</f>
        <v>101</v>
      </c>
      <c r="G4096">
        <v>9</v>
      </c>
      <c r="H4096" t="str">
        <f t="shared" si="850"/>
        <v>99</v>
      </c>
      <c r="I4096" t="str">
        <f t="shared" si="854"/>
        <v>0</v>
      </c>
      <c r="J4096" t="str">
        <f t="shared" si="852"/>
        <v>73</v>
      </c>
      <c r="K4096">
        <v>20190104</v>
      </c>
      <c r="L4096" t="str">
        <f t="shared" si="855"/>
        <v>075116</v>
      </c>
      <c r="M4096" t="str">
        <f t="shared" si="856"/>
        <v>20706</v>
      </c>
      <c r="N4096" t="s">
        <v>2003</v>
      </c>
      <c r="O4096" s="1">
        <v>1670.65</v>
      </c>
      <c r="P4096">
        <v>20190104</v>
      </c>
      <c r="Q4096" t="s">
        <v>2010</v>
      </c>
      <c r="R4096" t="s">
        <v>3300</v>
      </c>
      <c r="S4096" t="s">
        <v>1615</v>
      </c>
      <c r="T4096" t="s">
        <v>1479</v>
      </c>
    </row>
    <row r="4097" spans="1:20" x14ac:dyDescent="0.25">
      <c r="A4097">
        <v>9</v>
      </c>
      <c r="B4097">
        <v>199</v>
      </c>
      <c r="C4097" t="str">
        <f t="shared" si="851"/>
        <v>51</v>
      </c>
      <c r="D4097">
        <v>6255</v>
      </c>
      <c r="E4097" t="str">
        <f t="shared" si="853"/>
        <v>10</v>
      </c>
      <c r="F4097" t="str">
        <f>"104"</f>
        <v>104</v>
      </c>
      <c r="G4097">
        <v>9</v>
      </c>
      <c r="H4097" t="str">
        <f t="shared" si="850"/>
        <v>99</v>
      </c>
      <c r="I4097" t="str">
        <f t="shared" si="854"/>
        <v>0</v>
      </c>
      <c r="J4097" t="str">
        <f t="shared" si="852"/>
        <v>73</v>
      </c>
      <c r="K4097">
        <v>20190104</v>
      </c>
      <c r="L4097" t="str">
        <f t="shared" si="855"/>
        <v>075116</v>
      </c>
      <c r="M4097" t="str">
        <f t="shared" si="856"/>
        <v>20706</v>
      </c>
      <c r="N4097" t="s">
        <v>2003</v>
      </c>
      <c r="O4097" s="1">
        <v>1239.4000000000001</v>
      </c>
      <c r="P4097">
        <v>20190104</v>
      </c>
      <c r="Q4097" t="s">
        <v>2012</v>
      </c>
      <c r="R4097" t="s">
        <v>3301</v>
      </c>
      <c r="S4097" t="s">
        <v>1615</v>
      </c>
      <c r="T4097" t="s">
        <v>46</v>
      </c>
    </row>
    <row r="4098" spans="1:20" x14ac:dyDescent="0.25">
      <c r="A4098">
        <v>9</v>
      </c>
      <c r="B4098">
        <v>199</v>
      </c>
      <c r="C4098" t="str">
        <f t="shared" si="851"/>
        <v>51</v>
      </c>
      <c r="D4098">
        <v>6255</v>
      </c>
      <c r="E4098" t="str">
        <f t="shared" si="853"/>
        <v>10</v>
      </c>
      <c r="F4098" t="str">
        <f>"935"</f>
        <v>935</v>
      </c>
      <c r="G4098">
        <v>9</v>
      </c>
      <c r="H4098" t="str">
        <f t="shared" si="850"/>
        <v>99</v>
      </c>
      <c r="I4098" t="str">
        <f t="shared" si="854"/>
        <v>0</v>
      </c>
      <c r="J4098" t="str">
        <f t="shared" si="852"/>
        <v>73</v>
      </c>
      <c r="K4098">
        <v>20190104</v>
      </c>
      <c r="L4098" t="str">
        <f t="shared" si="855"/>
        <v>075116</v>
      </c>
      <c r="M4098" t="str">
        <f t="shared" si="856"/>
        <v>20706</v>
      </c>
      <c r="N4098" t="s">
        <v>2003</v>
      </c>
      <c r="O4098">
        <v>428.68</v>
      </c>
      <c r="P4098">
        <v>20190104</v>
      </c>
      <c r="Q4098" t="s">
        <v>2014</v>
      </c>
      <c r="R4098" t="s">
        <v>3302</v>
      </c>
      <c r="S4098" t="s">
        <v>1615</v>
      </c>
      <c r="T4098" t="s">
        <v>1876</v>
      </c>
    </row>
    <row r="4099" spans="1:20" x14ac:dyDescent="0.25">
      <c r="A4099">
        <v>9</v>
      </c>
      <c r="B4099">
        <v>199</v>
      </c>
      <c r="C4099" t="str">
        <f t="shared" si="851"/>
        <v>51</v>
      </c>
      <c r="D4099">
        <v>6255</v>
      </c>
      <c r="E4099" t="str">
        <f t="shared" si="853"/>
        <v>10</v>
      </c>
      <c r="F4099" t="str">
        <f>"936"</f>
        <v>936</v>
      </c>
      <c r="G4099">
        <v>9</v>
      </c>
      <c r="H4099" t="str">
        <f t="shared" si="850"/>
        <v>99</v>
      </c>
      <c r="I4099" t="str">
        <f t="shared" si="854"/>
        <v>0</v>
      </c>
      <c r="J4099" t="str">
        <f t="shared" si="852"/>
        <v>73</v>
      </c>
      <c r="K4099">
        <v>20190104</v>
      </c>
      <c r="L4099" t="str">
        <f t="shared" si="855"/>
        <v>075116</v>
      </c>
      <c r="M4099" t="str">
        <f t="shared" si="856"/>
        <v>20706</v>
      </c>
      <c r="N4099" t="s">
        <v>2003</v>
      </c>
      <c r="O4099">
        <v>111.19</v>
      </c>
      <c r="P4099">
        <v>20190104</v>
      </c>
      <c r="Q4099" t="s">
        <v>2016</v>
      </c>
      <c r="R4099" t="s">
        <v>3303</v>
      </c>
      <c r="S4099" t="s">
        <v>1615</v>
      </c>
      <c r="T4099" t="s">
        <v>1713</v>
      </c>
    </row>
    <row r="4100" spans="1:20" x14ac:dyDescent="0.25">
      <c r="A4100">
        <v>9</v>
      </c>
      <c r="B4100">
        <v>199</v>
      </c>
      <c r="C4100" t="str">
        <f t="shared" si="851"/>
        <v>51</v>
      </c>
      <c r="D4100">
        <v>6255</v>
      </c>
      <c r="E4100" t="str">
        <f>"11"</f>
        <v>11</v>
      </c>
      <c r="F4100" t="str">
        <f>"001"</f>
        <v>001</v>
      </c>
      <c r="G4100">
        <v>9</v>
      </c>
      <c r="H4100" t="str">
        <f t="shared" si="850"/>
        <v>99</v>
      </c>
      <c r="I4100" t="str">
        <f t="shared" si="854"/>
        <v>0</v>
      </c>
      <c r="J4100" t="str">
        <f t="shared" si="852"/>
        <v>73</v>
      </c>
      <c r="K4100">
        <v>20190104</v>
      </c>
      <c r="L4100" t="str">
        <f t="shared" si="855"/>
        <v>075116</v>
      </c>
      <c r="M4100" t="str">
        <f t="shared" si="856"/>
        <v>20706</v>
      </c>
      <c r="N4100" t="s">
        <v>2003</v>
      </c>
      <c r="O4100">
        <v>301.36</v>
      </c>
      <c r="P4100">
        <v>20190104</v>
      </c>
      <c r="Q4100" t="s">
        <v>2018</v>
      </c>
      <c r="R4100" t="s">
        <v>3304</v>
      </c>
      <c r="S4100" t="s">
        <v>1615</v>
      </c>
      <c r="T4100" t="s">
        <v>301</v>
      </c>
    </row>
    <row r="4101" spans="1:20" x14ac:dyDescent="0.25">
      <c r="A4101">
        <v>9</v>
      </c>
      <c r="B4101">
        <v>199</v>
      </c>
      <c r="C4101" t="str">
        <f t="shared" si="851"/>
        <v>51</v>
      </c>
      <c r="D4101">
        <v>6255</v>
      </c>
      <c r="E4101" t="str">
        <f>"11"</f>
        <v>11</v>
      </c>
      <c r="F4101" t="str">
        <f>"104"</f>
        <v>104</v>
      </c>
      <c r="G4101">
        <v>9</v>
      </c>
      <c r="H4101" t="str">
        <f t="shared" si="850"/>
        <v>99</v>
      </c>
      <c r="I4101" t="str">
        <f t="shared" si="854"/>
        <v>0</v>
      </c>
      <c r="J4101" t="str">
        <f t="shared" si="852"/>
        <v>73</v>
      </c>
      <c r="K4101">
        <v>20190104</v>
      </c>
      <c r="L4101" t="str">
        <f t="shared" si="855"/>
        <v>075116</v>
      </c>
      <c r="M4101" t="str">
        <f t="shared" si="856"/>
        <v>20706</v>
      </c>
      <c r="N4101" t="s">
        <v>2003</v>
      </c>
      <c r="O4101">
        <v>63.4</v>
      </c>
      <c r="P4101">
        <v>20190104</v>
      </c>
      <c r="Q4101" t="s">
        <v>2020</v>
      </c>
      <c r="R4101" t="s">
        <v>3305</v>
      </c>
      <c r="S4101" t="s">
        <v>1615</v>
      </c>
      <c r="T4101" t="s">
        <v>46</v>
      </c>
    </row>
    <row r="4102" spans="1:20" x14ac:dyDescent="0.25">
      <c r="A4102">
        <v>9</v>
      </c>
      <c r="B4102">
        <v>199</v>
      </c>
      <c r="C4102" t="str">
        <f t="shared" si="851"/>
        <v>51</v>
      </c>
      <c r="D4102">
        <v>6255</v>
      </c>
      <c r="E4102" t="str">
        <f>"3F"</f>
        <v>3F</v>
      </c>
      <c r="F4102" t="str">
        <f>"877"</f>
        <v>877</v>
      </c>
      <c r="G4102">
        <v>9</v>
      </c>
      <c r="H4102" t="str">
        <f t="shared" si="850"/>
        <v>99</v>
      </c>
      <c r="I4102" t="str">
        <f t="shared" si="854"/>
        <v>0</v>
      </c>
      <c r="J4102" t="str">
        <f t="shared" si="852"/>
        <v>73</v>
      </c>
      <c r="K4102">
        <v>20190104</v>
      </c>
      <c r="L4102" t="str">
        <f t="shared" si="855"/>
        <v>075116</v>
      </c>
      <c r="M4102" t="str">
        <f t="shared" si="856"/>
        <v>20706</v>
      </c>
      <c r="N4102" t="s">
        <v>2003</v>
      </c>
      <c r="O4102" s="1">
        <v>4536.74</v>
      </c>
      <c r="P4102">
        <v>20190104</v>
      </c>
      <c r="Q4102" t="s">
        <v>2022</v>
      </c>
      <c r="R4102" t="s">
        <v>3306</v>
      </c>
      <c r="S4102" t="s">
        <v>1615</v>
      </c>
      <c r="T4102" t="s">
        <v>2024</v>
      </c>
    </row>
    <row r="4103" spans="1:20" x14ac:dyDescent="0.25">
      <c r="A4103">
        <v>9</v>
      </c>
      <c r="B4103">
        <v>199</v>
      </c>
      <c r="C4103" t="str">
        <f t="shared" si="851"/>
        <v>51</v>
      </c>
      <c r="D4103">
        <v>6258</v>
      </c>
      <c r="E4103" t="str">
        <f>"10"</f>
        <v>10</v>
      </c>
      <c r="F4103" t="str">
        <f>"001"</f>
        <v>001</v>
      </c>
      <c r="G4103">
        <v>9</v>
      </c>
      <c r="H4103" t="str">
        <f t="shared" si="850"/>
        <v>99</v>
      </c>
      <c r="I4103" t="str">
        <f t="shared" si="854"/>
        <v>0</v>
      </c>
      <c r="J4103" t="str">
        <f t="shared" si="852"/>
        <v>73</v>
      </c>
      <c r="K4103">
        <v>20190104</v>
      </c>
      <c r="L4103" t="str">
        <f t="shared" si="855"/>
        <v>075116</v>
      </c>
      <c r="M4103" t="str">
        <f t="shared" si="856"/>
        <v>20706</v>
      </c>
      <c r="N4103" t="s">
        <v>2003</v>
      </c>
      <c r="O4103" s="1">
        <v>3496.18</v>
      </c>
      <c r="P4103">
        <v>20190104</v>
      </c>
      <c r="Q4103" t="s">
        <v>2025</v>
      </c>
      <c r="R4103" t="s">
        <v>3307</v>
      </c>
      <c r="S4103" t="s">
        <v>1615</v>
      </c>
      <c r="T4103" t="s">
        <v>301</v>
      </c>
    </row>
    <row r="4104" spans="1:20" x14ac:dyDescent="0.25">
      <c r="A4104">
        <v>9</v>
      </c>
      <c r="B4104">
        <v>199</v>
      </c>
      <c r="C4104" t="str">
        <f t="shared" si="851"/>
        <v>51</v>
      </c>
      <c r="D4104">
        <v>6258</v>
      </c>
      <c r="E4104" t="str">
        <f>"10"</f>
        <v>10</v>
      </c>
      <c r="F4104" t="str">
        <f>"041"</f>
        <v>041</v>
      </c>
      <c r="G4104">
        <v>9</v>
      </c>
      <c r="H4104" t="str">
        <f t="shared" si="850"/>
        <v>99</v>
      </c>
      <c r="I4104" t="str">
        <f t="shared" si="854"/>
        <v>0</v>
      </c>
      <c r="J4104" t="str">
        <f t="shared" si="852"/>
        <v>73</v>
      </c>
      <c r="K4104">
        <v>20190104</v>
      </c>
      <c r="L4104" t="str">
        <f t="shared" si="855"/>
        <v>075116</v>
      </c>
      <c r="M4104" t="str">
        <f t="shared" si="856"/>
        <v>20706</v>
      </c>
      <c r="N4104" t="s">
        <v>2003</v>
      </c>
      <c r="O4104" s="1">
        <v>1013.9</v>
      </c>
      <c r="P4104">
        <v>20190104</v>
      </c>
      <c r="Q4104" t="s">
        <v>2027</v>
      </c>
      <c r="R4104" t="s">
        <v>3308</v>
      </c>
      <c r="S4104" t="s">
        <v>1615</v>
      </c>
      <c r="T4104" t="s">
        <v>106</v>
      </c>
    </row>
    <row r="4105" spans="1:20" x14ac:dyDescent="0.25">
      <c r="A4105">
        <v>9</v>
      </c>
      <c r="B4105">
        <v>199</v>
      </c>
      <c r="C4105" t="str">
        <f t="shared" si="851"/>
        <v>51</v>
      </c>
      <c r="D4105">
        <v>6258</v>
      </c>
      <c r="E4105" t="str">
        <f>"10"</f>
        <v>10</v>
      </c>
      <c r="F4105" t="str">
        <f>"101"</f>
        <v>101</v>
      </c>
      <c r="G4105">
        <v>9</v>
      </c>
      <c r="H4105" t="str">
        <f t="shared" si="850"/>
        <v>99</v>
      </c>
      <c r="I4105" t="str">
        <f t="shared" si="854"/>
        <v>0</v>
      </c>
      <c r="J4105" t="str">
        <f t="shared" si="852"/>
        <v>73</v>
      </c>
      <c r="K4105">
        <v>20190104</v>
      </c>
      <c r="L4105" t="str">
        <f t="shared" si="855"/>
        <v>075116</v>
      </c>
      <c r="M4105" t="str">
        <f t="shared" si="856"/>
        <v>20706</v>
      </c>
      <c r="N4105" t="s">
        <v>2003</v>
      </c>
      <c r="O4105">
        <v>253.45</v>
      </c>
      <c r="P4105">
        <v>20190104</v>
      </c>
      <c r="Q4105" t="s">
        <v>2029</v>
      </c>
      <c r="R4105" t="s">
        <v>3309</v>
      </c>
      <c r="S4105" t="s">
        <v>1615</v>
      </c>
      <c r="T4105" t="s">
        <v>1479</v>
      </c>
    </row>
    <row r="4106" spans="1:20" x14ac:dyDescent="0.25">
      <c r="A4106">
        <v>9</v>
      </c>
      <c r="B4106">
        <v>199</v>
      </c>
      <c r="C4106" t="str">
        <f t="shared" si="851"/>
        <v>51</v>
      </c>
      <c r="D4106">
        <v>6258</v>
      </c>
      <c r="E4106" t="str">
        <f>"10"</f>
        <v>10</v>
      </c>
      <c r="F4106" t="str">
        <f>"104"</f>
        <v>104</v>
      </c>
      <c r="G4106">
        <v>9</v>
      </c>
      <c r="H4106" t="str">
        <f t="shared" si="850"/>
        <v>99</v>
      </c>
      <c r="I4106" t="str">
        <f t="shared" si="854"/>
        <v>0</v>
      </c>
      <c r="J4106" t="str">
        <f t="shared" si="852"/>
        <v>73</v>
      </c>
      <c r="K4106">
        <v>20190104</v>
      </c>
      <c r="L4106" t="str">
        <f t="shared" si="855"/>
        <v>075116</v>
      </c>
      <c r="M4106" t="str">
        <f t="shared" si="856"/>
        <v>20706</v>
      </c>
      <c r="N4106" t="s">
        <v>2003</v>
      </c>
      <c r="O4106">
        <v>197.02</v>
      </c>
      <c r="P4106">
        <v>20190104</v>
      </c>
      <c r="Q4106" t="s">
        <v>2031</v>
      </c>
      <c r="R4106" t="s">
        <v>3310</v>
      </c>
      <c r="S4106" t="s">
        <v>1615</v>
      </c>
      <c r="T4106" t="s">
        <v>46</v>
      </c>
    </row>
    <row r="4107" spans="1:20" x14ac:dyDescent="0.25">
      <c r="A4107">
        <v>9</v>
      </c>
      <c r="B4107">
        <v>199</v>
      </c>
      <c r="C4107" t="str">
        <f t="shared" si="851"/>
        <v>51</v>
      </c>
      <c r="D4107">
        <v>6258</v>
      </c>
      <c r="E4107" t="str">
        <f>"11"</f>
        <v>11</v>
      </c>
      <c r="F4107" t="str">
        <f>"001"</f>
        <v>001</v>
      </c>
      <c r="G4107">
        <v>9</v>
      </c>
      <c r="H4107" t="str">
        <f t="shared" si="850"/>
        <v>99</v>
      </c>
      <c r="I4107" t="str">
        <f t="shared" si="854"/>
        <v>0</v>
      </c>
      <c r="J4107" t="str">
        <f t="shared" si="852"/>
        <v>73</v>
      </c>
      <c r="K4107">
        <v>20190104</v>
      </c>
      <c r="L4107" t="str">
        <f t="shared" si="855"/>
        <v>075116</v>
      </c>
      <c r="M4107" t="str">
        <f t="shared" si="856"/>
        <v>20706</v>
      </c>
      <c r="N4107" t="s">
        <v>2003</v>
      </c>
      <c r="O4107">
        <v>242.52</v>
      </c>
      <c r="P4107">
        <v>20190104</v>
      </c>
      <c r="Q4107" t="s">
        <v>2033</v>
      </c>
      <c r="R4107" t="s">
        <v>3311</v>
      </c>
      <c r="S4107" t="s">
        <v>1615</v>
      </c>
      <c r="T4107" t="s">
        <v>301</v>
      </c>
    </row>
    <row r="4108" spans="1:20" x14ac:dyDescent="0.25">
      <c r="A4108">
        <v>9</v>
      </c>
      <c r="B4108">
        <v>199</v>
      </c>
      <c r="C4108" t="str">
        <f>"41"</f>
        <v>41</v>
      </c>
      <c r="D4108">
        <v>6411</v>
      </c>
      <c r="E4108" t="str">
        <f>"10"</f>
        <v>10</v>
      </c>
      <c r="F4108" t="str">
        <f>"726"</f>
        <v>726</v>
      </c>
      <c r="G4108">
        <v>9</v>
      </c>
      <c r="H4108" t="str">
        <f t="shared" si="850"/>
        <v>99</v>
      </c>
      <c r="I4108" t="str">
        <f t="shared" si="854"/>
        <v>0</v>
      </c>
      <c r="J4108" t="str">
        <f>"91"</f>
        <v>91</v>
      </c>
      <c r="K4108">
        <v>20190104</v>
      </c>
      <c r="L4108" t="str">
        <f>"075117"</f>
        <v>075117</v>
      </c>
      <c r="M4108" t="str">
        <f>"00668"</f>
        <v>00668</v>
      </c>
      <c r="N4108" t="s">
        <v>3312</v>
      </c>
      <c r="O4108">
        <v>294.25</v>
      </c>
      <c r="P4108">
        <v>20190104</v>
      </c>
      <c r="Q4108" t="s">
        <v>3313</v>
      </c>
      <c r="R4108" t="s">
        <v>3314</v>
      </c>
      <c r="S4108" t="s">
        <v>1615</v>
      </c>
      <c r="T4108" t="s">
        <v>2608</v>
      </c>
    </row>
    <row r="4109" spans="1:20" x14ac:dyDescent="0.25">
      <c r="A4109">
        <v>9</v>
      </c>
      <c r="B4109">
        <v>199</v>
      </c>
      <c r="C4109" t="str">
        <f>"41"</f>
        <v>41</v>
      </c>
      <c r="D4109">
        <v>6411</v>
      </c>
      <c r="E4109" t="str">
        <f>"10"</f>
        <v>10</v>
      </c>
      <c r="F4109" t="str">
        <f>"726"</f>
        <v>726</v>
      </c>
      <c r="G4109">
        <v>9</v>
      </c>
      <c r="H4109" t="str">
        <f t="shared" si="850"/>
        <v>99</v>
      </c>
      <c r="I4109" t="str">
        <f t="shared" si="854"/>
        <v>0</v>
      </c>
      <c r="J4109" t="str">
        <f>"91"</f>
        <v>91</v>
      </c>
      <c r="K4109">
        <v>20190104</v>
      </c>
      <c r="L4109" t="str">
        <f>"075118"</f>
        <v>075118</v>
      </c>
      <c r="M4109" t="str">
        <f>"00668"</f>
        <v>00668</v>
      </c>
      <c r="N4109" t="s">
        <v>3312</v>
      </c>
      <c r="O4109">
        <v>294.25</v>
      </c>
      <c r="P4109">
        <v>20190104</v>
      </c>
      <c r="Q4109" t="s">
        <v>3313</v>
      </c>
      <c r="R4109" t="s">
        <v>3314</v>
      </c>
      <c r="S4109" t="s">
        <v>1615</v>
      </c>
      <c r="T4109" t="s">
        <v>2608</v>
      </c>
    </row>
    <row r="4110" spans="1:20" x14ac:dyDescent="0.25">
      <c r="A4110">
        <v>9</v>
      </c>
      <c r="B4110">
        <v>199</v>
      </c>
      <c r="C4110" t="str">
        <f>"51"</f>
        <v>51</v>
      </c>
      <c r="D4110">
        <v>6256</v>
      </c>
      <c r="E4110" t="str">
        <f>"15"</f>
        <v>15</v>
      </c>
      <c r="F4110" t="str">
        <f>"880"</f>
        <v>880</v>
      </c>
      <c r="G4110">
        <v>9</v>
      </c>
      <c r="H4110" t="str">
        <f t="shared" si="850"/>
        <v>99</v>
      </c>
      <c r="I4110" t="str">
        <f t="shared" si="854"/>
        <v>0</v>
      </c>
      <c r="J4110" t="str">
        <f>"80"</f>
        <v>80</v>
      </c>
      <c r="K4110">
        <v>20190104</v>
      </c>
      <c r="L4110" t="str">
        <f>"075119"</f>
        <v>075119</v>
      </c>
      <c r="M4110" t="str">
        <f>"77113"</f>
        <v>77113</v>
      </c>
      <c r="N4110" t="s">
        <v>1880</v>
      </c>
      <c r="O4110">
        <v>103.43</v>
      </c>
      <c r="P4110">
        <v>20190104</v>
      </c>
      <c r="Q4110" t="s">
        <v>2487</v>
      </c>
      <c r="R4110" t="s">
        <v>2668</v>
      </c>
      <c r="S4110" t="s">
        <v>1615</v>
      </c>
      <c r="T4110" t="s">
        <v>1866</v>
      </c>
    </row>
    <row r="4111" spans="1:20" x14ac:dyDescent="0.25">
      <c r="A4111">
        <v>9</v>
      </c>
      <c r="B4111">
        <v>199</v>
      </c>
      <c r="C4111" t="str">
        <f>"36"</f>
        <v>36</v>
      </c>
      <c r="D4111">
        <v>6411</v>
      </c>
      <c r="E4111" t="str">
        <f>"8M"</f>
        <v>8M</v>
      </c>
      <c r="F4111" t="str">
        <f>"001"</f>
        <v>001</v>
      </c>
      <c r="G4111">
        <v>9</v>
      </c>
      <c r="H4111" t="str">
        <f t="shared" si="850"/>
        <v>99</v>
      </c>
      <c r="I4111" t="str">
        <f>"1"</f>
        <v>1</v>
      </c>
      <c r="J4111" t="str">
        <f>"33"</f>
        <v>33</v>
      </c>
      <c r="K4111">
        <v>20190104</v>
      </c>
      <c r="L4111" t="str">
        <f>"075121"</f>
        <v>075121</v>
      </c>
      <c r="M4111" t="str">
        <f>"37805"</f>
        <v>37805</v>
      </c>
      <c r="N4111" t="s">
        <v>1627</v>
      </c>
      <c r="O4111">
        <v>16.66</v>
      </c>
      <c r="P4111">
        <v>20190104</v>
      </c>
      <c r="Q4111" t="s">
        <v>1628</v>
      </c>
      <c r="R4111" t="s">
        <v>3315</v>
      </c>
      <c r="S4111" t="s">
        <v>1615</v>
      </c>
      <c r="T4111" t="s">
        <v>301</v>
      </c>
    </row>
    <row r="4112" spans="1:20" x14ac:dyDescent="0.25">
      <c r="A4112">
        <v>9</v>
      </c>
      <c r="B4112">
        <v>199</v>
      </c>
      <c r="C4112" t="str">
        <f>"36"</f>
        <v>36</v>
      </c>
      <c r="D4112">
        <v>6412</v>
      </c>
      <c r="E4112" t="str">
        <f>"8M"</f>
        <v>8M</v>
      </c>
      <c r="F4112" t="str">
        <f>"001"</f>
        <v>001</v>
      </c>
      <c r="G4112">
        <v>9</v>
      </c>
      <c r="H4112" t="str">
        <f t="shared" si="850"/>
        <v>99</v>
      </c>
      <c r="I4112" t="str">
        <f>"1"</f>
        <v>1</v>
      </c>
      <c r="J4112" t="str">
        <f>"33"</f>
        <v>33</v>
      </c>
      <c r="K4112">
        <v>20190104</v>
      </c>
      <c r="L4112" t="str">
        <f>"075121"</f>
        <v>075121</v>
      </c>
      <c r="M4112" t="str">
        <f>"37805"</f>
        <v>37805</v>
      </c>
      <c r="N4112" t="s">
        <v>1627</v>
      </c>
      <c r="O4112">
        <v>100</v>
      </c>
      <c r="P4112">
        <v>20190104</v>
      </c>
      <c r="Q4112" t="s">
        <v>1629</v>
      </c>
      <c r="R4112" t="s">
        <v>3315</v>
      </c>
      <c r="S4112" t="s">
        <v>1615</v>
      </c>
      <c r="T4112" t="s">
        <v>301</v>
      </c>
    </row>
    <row r="4113" spans="1:20" x14ac:dyDescent="0.25">
      <c r="A4113">
        <v>9</v>
      </c>
      <c r="B4113">
        <v>199</v>
      </c>
      <c r="C4113" t="str">
        <f>"11"</f>
        <v>11</v>
      </c>
      <c r="D4113">
        <v>6399</v>
      </c>
      <c r="E4113" t="str">
        <f>"VH"</f>
        <v>VH</v>
      </c>
      <c r="F4113" t="str">
        <f>"001"</f>
        <v>001</v>
      </c>
      <c r="G4113">
        <v>9</v>
      </c>
      <c r="H4113" t="str">
        <f>"22"</f>
        <v>22</v>
      </c>
      <c r="I4113" t="str">
        <f>"0"</f>
        <v>0</v>
      </c>
      <c r="J4113" t="str">
        <f>"22"</f>
        <v>22</v>
      </c>
      <c r="K4113">
        <v>20190104</v>
      </c>
      <c r="L4113" t="str">
        <f>"075122"</f>
        <v>075122</v>
      </c>
      <c r="M4113" t="str">
        <f>"37500"</f>
        <v>37500</v>
      </c>
      <c r="N4113" t="s">
        <v>2077</v>
      </c>
      <c r="O4113">
        <v>295.63</v>
      </c>
      <c r="P4113">
        <v>20190104</v>
      </c>
      <c r="Q4113" t="s">
        <v>2206</v>
      </c>
      <c r="R4113" t="s">
        <v>2636</v>
      </c>
      <c r="S4113" t="s">
        <v>1615</v>
      </c>
      <c r="T4113" t="s">
        <v>301</v>
      </c>
    </row>
    <row r="4114" spans="1:20" x14ac:dyDescent="0.25">
      <c r="A4114">
        <v>9</v>
      </c>
      <c r="B4114">
        <v>199</v>
      </c>
      <c r="C4114" t="str">
        <f>"51"</f>
        <v>51</v>
      </c>
      <c r="D4114">
        <v>6498</v>
      </c>
      <c r="E4114" t="str">
        <f>"10"</f>
        <v>10</v>
      </c>
      <c r="F4114" t="str">
        <f>"936"</f>
        <v>936</v>
      </c>
      <c r="G4114">
        <v>9</v>
      </c>
      <c r="H4114" t="str">
        <f>"99"</f>
        <v>99</v>
      </c>
      <c r="I4114" t="str">
        <f>"0"</f>
        <v>0</v>
      </c>
      <c r="J4114" t="str">
        <f>"81"</f>
        <v>81</v>
      </c>
      <c r="K4114">
        <v>20190104</v>
      </c>
      <c r="L4114" t="str">
        <f>"075123"</f>
        <v>075123</v>
      </c>
      <c r="M4114" t="str">
        <f>"39425"</f>
        <v>39425</v>
      </c>
      <c r="N4114" t="s">
        <v>2495</v>
      </c>
      <c r="O4114">
        <v>57.84</v>
      </c>
      <c r="P4114">
        <v>20190104</v>
      </c>
      <c r="Q4114" t="s">
        <v>3316</v>
      </c>
      <c r="R4114" t="s">
        <v>3317</v>
      </c>
      <c r="S4114" t="s">
        <v>1615</v>
      </c>
      <c r="T4114" t="s">
        <v>1713</v>
      </c>
    </row>
    <row r="4115" spans="1:20" x14ac:dyDescent="0.25">
      <c r="A4115">
        <v>9</v>
      </c>
      <c r="B4115">
        <v>199</v>
      </c>
      <c r="C4115" t="str">
        <f>"11"</f>
        <v>11</v>
      </c>
      <c r="D4115">
        <v>6412</v>
      </c>
      <c r="E4115" t="str">
        <f>"VL"</f>
        <v>VL</v>
      </c>
      <c r="F4115" t="str">
        <f>"001"</f>
        <v>001</v>
      </c>
      <c r="G4115">
        <v>9</v>
      </c>
      <c r="H4115" t="str">
        <f>"22"</f>
        <v>22</v>
      </c>
      <c r="I4115" t="str">
        <f>"0"</f>
        <v>0</v>
      </c>
      <c r="J4115" t="str">
        <f>"22"</f>
        <v>22</v>
      </c>
      <c r="K4115">
        <v>20190104</v>
      </c>
      <c r="L4115" t="str">
        <f>"075124"</f>
        <v>075124</v>
      </c>
      <c r="M4115" t="str">
        <f>"42212"</f>
        <v>42212</v>
      </c>
      <c r="N4115" t="s">
        <v>1892</v>
      </c>
      <c r="O4115">
        <v>165</v>
      </c>
      <c r="P4115">
        <v>20190104</v>
      </c>
      <c r="Q4115" t="s">
        <v>1878</v>
      </c>
      <c r="R4115" t="s">
        <v>3124</v>
      </c>
      <c r="S4115" t="s">
        <v>1615</v>
      </c>
      <c r="T4115" t="s">
        <v>301</v>
      </c>
    </row>
    <row r="4116" spans="1:20" x14ac:dyDescent="0.25">
      <c r="A4116">
        <v>9</v>
      </c>
      <c r="B4116">
        <v>199</v>
      </c>
      <c r="C4116" t="str">
        <f>"36"</f>
        <v>36</v>
      </c>
      <c r="D4116">
        <v>6411</v>
      </c>
      <c r="E4116" t="str">
        <f>"VL"</f>
        <v>VL</v>
      </c>
      <c r="F4116" t="str">
        <f>"001"</f>
        <v>001</v>
      </c>
      <c r="G4116">
        <v>9</v>
      </c>
      <c r="H4116" t="str">
        <f>"22"</f>
        <v>22</v>
      </c>
      <c r="I4116" t="str">
        <f>"0"</f>
        <v>0</v>
      </c>
      <c r="J4116" t="str">
        <f>"22"</f>
        <v>22</v>
      </c>
      <c r="K4116">
        <v>20190104</v>
      </c>
      <c r="L4116" t="str">
        <f>"075124"</f>
        <v>075124</v>
      </c>
      <c r="M4116" t="str">
        <f>"42212"</f>
        <v>42212</v>
      </c>
      <c r="N4116" t="s">
        <v>1892</v>
      </c>
      <c r="O4116">
        <v>50</v>
      </c>
      <c r="P4116">
        <v>20190104</v>
      </c>
      <c r="Q4116" t="s">
        <v>1879</v>
      </c>
      <c r="R4116" t="s">
        <v>3124</v>
      </c>
      <c r="S4116" t="s">
        <v>1615</v>
      </c>
      <c r="T4116" t="s">
        <v>301</v>
      </c>
    </row>
    <row r="4117" spans="1:20" x14ac:dyDescent="0.25">
      <c r="A4117">
        <v>9</v>
      </c>
      <c r="B4117">
        <v>199</v>
      </c>
      <c r="C4117" t="str">
        <f>"36"</f>
        <v>36</v>
      </c>
      <c r="D4117">
        <v>6411</v>
      </c>
      <c r="E4117" t="str">
        <f>"8S"</f>
        <v>8S</v>
      </c>
      <c r="F4117" t="str">
        <f>"001"</f>
        <v>001</v>
      </c>
      <c r="G4117">
        <v>9</v>
      </c>
      <c r="H4117" t="str">
        <f>"99"</f>
        <v>99</v>
      </c>
      <c r="I4117" t="str">
        <f>"1"</f>
        <v>1</v>
      </c>
      <c r="J4117" t="str">
        <f>"01"</f>
        <v>01</v>
      </c>
      <c r="K4117">
        <v>20190104</v>
      </c>
      <c r="L4117" t="str">
        <f>"075127"</f>
        <v>075127</v>
      </c>
      <c r="M4117" t="str">
        <f>"46348"</f>
        <v>46348</v>
      </c>
      <c r="N4117" t="s">
        <v>1631</v>
      </c>
      <c r="O4117">
        <v>25</v>
      </c>
      <c r="P4117">
        <v>20190104</v>
      </c>
      <c r="Q4117" t="s">
        <v>1632</v>
      </c>
      <c r="R4117" t="s">
        <v>3318</v>
      </c>
      <c r="S4117" t="s">
        <v>1615</v>
      </c>
      <c r="T4117" t="s">
        <v>301</v>
      </c>
    </row>
    <row r="4118" spans="1:20" x14ac:dyDescent="0.25">
      <c r="A4118">
        <v>9</v>
      </c>
      <c r="B4118">
        <v>199</v>
      </c>
      <c r="C4118" t="str">
        <f>"36"</f>
        <v>36</v>
      </c>
      <c r="D4118">
        <v>6412</v>
      </c>
      <c r="E4118" t="str">
        <f>"8S"</f>
        <v>8S</v>
      </c>
      <c r="F4118" t="str">
        <f>"001"</f>
        <v>001</v>
      </c>
      <c r="G4118">
        <v>9</v>
      </c>
      <c r="H4118" t="str">
        <f>"99"</f>
        <v>99</v>
      </c>
      <c r="I4118" t="str">
        <f>"1"</f>
        <v>1</v>
      </c>
      <c r="J4118" t="str">
        <f>"01"</f>
        <v>01</v>
      </c>
      <c r="K4118">
        <v>20190104</v>
      </c>
      <c r="L4118" t="str">
        <f>"075127"</f>
        <v>075127</v>
      </c>
      <c r="M4118" t="str">
        <f>"46348"</f>
        <v>46348</v>
      </c>
      <c r="N4118" t="s">
        <v>1631</v>
      </c>
      <c r="O4118">
        <v>150</v>
      </c>
      <c r="P4118">
        <v>20190104</v>
      </c>
      <c r="Q4118" t="s">
        <v>1634</v>
      </c>
      <c r="R4118" t="s">
        <v>3318</v>
      </c>
      <c r="S4118" t="s">
        <v>1615</v>
      </c>
      <c r="T4118" t="s">
        <v>301</v>
      </c>
    </row>
    <row r="4119" spans="1:20" x14ac:dyDescent="0.25">
      <c r="A4119">
        <v>9</v>
      </c>
      <c r="B4119">
        <v>199</v>
      </c>
      <c r="C4119" t="str">
        <f>"36"</f>
        <v>36</v>
      </c>
      <c r="D4119">
        <v>6412</v>
      </c>
      <c r="E4119" t="str">
        <f>"8S"</f>
        <v>8S</v>
      </c>
      <c r="F4119" t="str">
        <f>"001"</f>
        <v>001</v>
      </c>
      <c r="G4119">
        <v>9</v>
      </c>
      <c r="H4119" t="str">
        <f>"99"</f>
        <v>99</v>
      </c>
      <c r="I4119" t="str">
        <f t="shared" ref="I4119:I4150" si="857">"0"</f>
        <v>0</v>
      </c>
      <c r="J4119" t="str">
        <f>"01"</f>
        <v>01</v>
      </c>
      <c r="K4119">
        <v>20190104</v>
      </c>
      <c r="L4119" t="str">
        <f>"075128"</f>
        <v>075128</v>
      </c>
      <c r="M4119" t="str">
        <f>"46348"</f>
        <v>46348</v>
      </c>
      <c r="N4119" t="s">
        <v>1631</v>
      </c>
      <c r="O4119">
        <v>80</v>
      </c>
      <c r="P4119">
        <v>20190104</v>
      </c>
      <c r="Q4119" t="s">
        <v>1625</v>
      </c>
      <c r="R4119" t="s">
        <v>3319</v>
      </c>
      <c r="S4119" t="s">
        <v>1615</v>
      </c>
      <c r="T4119" t="s">
        <v>301</v>
      </c>
    </row>
    <row r="4120" spans="1:20" x14ac:dyDescent="0.25">
      <c r="A4120">
        <v>9</v>
      </c>
      <c r="B4120">
        <v>199</v>
      </c>
      <c r="C4120" t="str">
        <f>"00"</f>
        <v>00</v>
      </c>
      <c r="D4120">
        <v>1291</v>
      </c>
      <c r="E4120" t="str">
        <f>"05"</f>
        <v>05</v>
      </c>
      <c r="F4120" t="str">
        <f>"000"</f>
        <v>000</v>
      </c>
      <c r="G4120">
        <v>9</v>
      </c>
      <c r="H4120" t="str">
        <f>"00"</f>
        <v>00</v>
      </c>
      <c r="I4120" t="str">
        <f t="shared" si="857"/>
        <v>0</v>
      </c>
      <c r="J4120" t="str">
        <f>"00"</f>
        <v>00</v>
      </c>
      <c r="K4120">
        <v>20190104</v>
      </c>
      <c r="L4120" t="str">
        <f>"075129"</f>
        <v>075129</v>
      </c>
      <c r="M4120" t="str">
        <f>"46351"</f>
        <v>46351</v>
      </c>
      <c r="N4120" t="s">
        <v>1639</v>
      </c>
      <c r="O4120">
        <v>633.32000000000005</v>
      </c>
      <c r="P4120">
        <v>20190104</v>
      </c>
      <c r="Q4120" t="s">
        <v>1637</v>
      </c>
      <c r="R4120" t="s">
        <v>3320</v>
      </c>
      <c r="S4120" t="s">
        <v>1615</v>
      </c>
      <c r="T4120" t="s">
        <v>296</v>
      </c>
    </row>
    <row r="4121" spans="1:20" x14ac:dyDescent="0.25">
      <c r="A4121">
        <v>9</v>
      </c>
      <c r="B4121">
        <v>199</v>
      </c>
      <c r="C4121" t="str">
        <f>"41"</f>
        <v>41</v>
      </c>
      <c r="D4121">
        <v>6213</v>
      </c>
      <c r="E4121" t="str">
        <f>"11"</f>
        <v>11</v>
      </c>
      <c r="F4121" t="str">
        <f>"703"</f>
        <v>703</v>
      </c>
      <c r="G4121">
        <v>9</v>
      </c>
      <c r="H4121" t="str">
        <f>"99"</f>
        <v>99</v>
      </c>
      <c r="I4121" t="str">
        <f t="shared" si="857"/>
        <v>0</v>
      </c>
      <c r="J4121" t="str">
        <f>"91"</f>
        <v>91</v>
      </c>
      <c r="K4121">
        <v>20190104</v>
      </c>
      <c r="L4121" t="str">
        <f>"075130"</f>
        <v>075130</v>
      </c>
      <c r="M4121" t="str">
        <f>"61166"</f>
        <v>61166</v>
      </c>
      <c r="N4121" t="s">
        <v>2892</v>
      </c>
      <c r="O4121">
        <v>616.44000000000005</v>
      </c>
      <c r="P4121">
        <v>20190104</v>
      </c>
      <c r="Q4121" t="s">
        <v>2893</v>
      </c>
      <c r="R4121" t="s">
        <v>2894</v>
      </c>
      <c r="S4121" t="s">
        <v>1615</v>
      </c>
      <c r="T4121" t="s">
        <v>1761</v>
      </c>
    </row>
    <row r="4122" spans="1:20" x14ac:dyDescent="0.25">
      <c r="A4122">
        <v>9</v>
      </c>
      <c r="B4122">
        <v>199</v>
      </c>
      <c r="C4122" t="str">
        <f>"11"</f>
        <v>11</v>
      </c>
      <c r="D4122">
        <v>6399</v>
      </c>
      <c r="E4122" t="str">
        <f>"N9"</f>
        <v>N9</v>
      </c>
      <c r="F4122" t="str">
        <f>"001"</f>
        <v>001</v>
      </c>
      <c r="G4122">
        <v>9</v>
      </c>
      <c r="H4122" t="str">
        <f>"11"</f>
        <v>11</v>
      </c>
      <c r="I4122" t="str">
        <f t="shared" si="857"/>
        <v>0</v>
      </c>
      <c r="J4122" t="str">
        <f>"01"</f>
        <v>01</v>
      </c>
      <c r="K4122">
        <v>20190104</v>
      </c>
      <c r="L4122" t="str">
        <f>"075132"</f>
        <v>075132</v>
      </c>
      <c r="M4122" t="str">
        <f>"58204"</f>
        <v>58204</v>
      </c>
      <c r="N4122" t="s">
        <v>1767</v>
      </c>
      <c r="O4122">
        <v>11.41</v>
      </c>
      <c r="P4122">
        <v>20190104</v>
      </c>
      <c r="Q4122" t="s">
        <v>2160</v>
      </c>
      <c r="R4122" t="s">
        <v>2638</v>
      </c>
      <c r="S4122" t="s">
        <v>1615</v>
      </c>
      <c r="T4122" t="s">
        <v>301</v>
      </c>
    </row>
    <row r="4123" spans="1:20" x14ac:dyDescent="0.25">
      <c r="A4123">
        <v>9</v>
      </c>
      <c r="B4123">
        <v>199</v>
      </c>
      <c r="C4123" t="str">
        <f>"23"</f>
        <v>23</v>
      </c>
      <c r="D4123">
        <v>6498</v>
      </c>
      <c r="E4123" t="str">
        <f>"10"</f>
        <v>10</v>
      </c>
      <c r="F4123" t="str">
        <f>"001"</f>
        <v>001</v>
      </c>
      <c r="G4123">
        <v>9</v>
      </c>
      <c r="H4123" t="str">
        <f>"99"</f>
        <v>99</v>
      </c>
      <c r="I4123" t="str">
        <f t="shared" si="857"/>
        <v>0</v>
      </c>
      <c r="J4123" t="str">
        <f>"01"</f>
        <v>01</v>
      </c>
      <c r="K4123">
        <v>20190104</v>
      </c>
      <c r="L4123" t="str">
        <f>"075132"</f>
        <v>075132</v>
      </c>
      <c r="M4123" t="str">
        <f>"58204"</f>
        <v>58204</v>
      </c>
      <c r="N4123" t="s">
        <v>1767</v>
      </c>
      <c r="O4123">
        <v>215.92</v>
      </c>
      <c r="P4123">
        <v>20190104</v>
      </c>
      <c r="Q4123" t="s">
        <v>2108</v>
      </c>
      <c r="R4123" t="s">
        <v>2081</v>
      </c>
      <c r="S4123" t="s">
        <v>1615</v>
      </c>
      <c r="T4123" t="s">
        <v>301</v>
      </c>
    </row>
    <row r="4124" spans="1:20" x14ac:dyDescent="0.25">
      <c r="A4124">
        <v>9</v>
      </c>
      <c r="B4124">
        <v>199</v>
      </c>
      <c r="C4124" t="str">
        <f>"41"</f>
        <v>41</v>
      </c>
      <c r="D4124">
        <v>6264</v>
      </c>
      <c r="E4124" t="str">
        <f>"10"</f>
        <v>10</v>
      </c>
      <c r="F4124" t="str">
        <f>"934"</f>
        <v>934</v>
      </c>
      <c r="G4124">
        <v>9</v>
      </c>
      <c r="H4124" t="str">
        <f>"99"</f>
        <v>99</v>
      </c>
      <c r="I4124" t="str">
        <f t="shared" si="857"/>
        <v>0</v>
      </c>
      <c r="J4124" t="str">
        <f>"91"</f>
        <v>91</v>
      </c>
      <c r="K4124">
        <v>20190104</v>
      </c>
      <c r="L4124" t="str">
        <f>"075133"</f>
        <v>075133</v>
      </c>
      <c r="M4124" t="str">
        <f>"58936"</f>
        <v>58936</v>
      </c>
      <c r="N4124" t="s">
        <v>1775</v>
      </c>
      <c r="O4124">
        <v>180</v>
      </c>
      <c r="P4124">
        <v>20190104</v>
      </c>
      <c r="Q4124" t="s">
        <v>1776</v>
      </c>
      <c r="R4124" t="s">
        <v>3321</v>
      </c>
      <c r="S4124" t="s">
        <v>1615</v>
      </c>
      <c r="T4124" t="s">
        <v>1778</v>
      </c>
    </row>
    <row r="4125" spans="1:20" x14ac:dyDescent="0.25">
      <c r="A4125">
        <v>9</v>
      </c>
      <c r="B4125">
        <v>199</v>
      </c>
      <c r="C4125" t="str">
        <f>"23"</f>
        <v>23</v>
      </c>
      <c r="D4125">
        <v>6498</v>
      </c>
      <c r="E4125" t="str">
        <f>"10"</f>
        <v>10</v>
      </c>
      <c r="F4125" t="str">
        <f>"002"</f>
        <v>002</v>
      </c>
      <c r="G4125">
        <v>9</v>
      </c>
      <c r="H4125" t="str">
        <f>"99"</f>
        <v>99</v>
      </c>
      <c r="I4125" t="str">
        <f t="shared" si="857"/>
        <v>0</v>
      </c>
      <c r="J4125" t="str">
        <f>"02"</f>
        <v>02</v>
      </c>
      <c r="K4125">
        <v>20190104</v>
      </c>
      <c r="L4125" t="str">
        <f>"075134"</f>
        <v>075134</v>
      </c>
      <c r="M4125" t="str">
        <f>"57311"</f>
        <v>57311</v>
      </c>
      <c r="N4125" t="s">
        <v>3322</v>
      </c>
      <c r="O4125">
        <v>254.4</v>
      </c>
      <c r="P4125">
        <v>20190104</v>
      </c>
      <c r="Q4125" t="s">
        <v>3213</v>
      </c>
      <c r="R4125" t="s">
        <v>3323</v>
      </c>
      <c r="S4125" t="s">
        <v>1615</v>
      </c>
      <c r="T4125" t="s">
        <v>1485</v>
      </c>
    </row>
    <row r="4126" spans="1:20" x14ac:dyDescent="0.25">
      <c r="A4126">
        <v>9</v>
      </c>
      <c r="B4126">
        <v>199</v>
      </c>
      <c r="C4126" t="str">
        <f>"51"</f>
        <v>51</v>
      </c>
      <c r="D4126">
        <v>6259</v>
      </c>
      <c r="E4126" t="str">
        <f>"10"</f>
        <v>10</v>
      </c>
      <c r="F4126" t="str">
        <f>"936"</f>
        <v>936</v>
      </c>
      <c r="G4126">
        <v>9</v>
      </c>
      <c r="H4126" t="str">
        <f>"99"</f>
        <v>99</v>
      </c>
      <c r="I4126" t="str">
        <f t="shared" si="857"/>
        <v>0</v>
      </c>
      <c r="J4126" t="str">
        <f>"73"</f>
        <v>73</v>
      </c>
      <c r="K4126">
        <v>20190104</v>
      </c>
      <c r="L4126" t="str">
        <f>"075136"</f>
        <v>075136</v>
      </c>
      <c r="M4126" t="str">
        <f>"62340"</f>
        <v>62340</v>
      </c>
      <c r="N4126" t="s">
        <v>1787</v>
      </c>
      <c r="O4126" s="1">
        <v>5066.6499999999996</v>
      </c>
      <c r="P4126">
        <v>20190104</v>
      </c>
      <c r="Q4126" t="s">
        <v>1789</v>
      </c>
      <c r="R4126" t="s">
        <v>3324</v>
      </c>
      <c r="S4126" t="s">
        <v>1615</v>
      </c>
      <c r="T4126" t="s">
        <v>1713</v>
      </c>
    </row>
    <row r="4127" spans="1:20" x14ac:dyDescent="0.25">
      <c r="A4127">
        <v>9</v>
      </c>
      <c r="B4127">
        <v>199</v>
      </c>
      <c r="C4127" t="str">
        <f>"51"</f>
        <v>51</v>
      </c>
      <c r="D4127">
        <v>6256</v>
      </c>
      <c r="E4127" t="str">
        <f>"10"</f>
        <v>10</v>
      </c>
      <c r="F4127" t="str">
        <f>"936"</f>
        <v>936</v>
      </c>
      <c r="G4127">
        <v>9</v>
      </c>
      <c r="H4127" t="str">
        <f>"99"</f>
        <v>99</v>
      </c>
      <c r="I4127" t="str">
        <f t="shared" si="857"/>
        <v>0</v>
      </c>
      <c r="J4127" t="str">
        <f>"81"</f>
        <v>81</v>
      </c>
      <c r="K4127">
        <v>20190104</v>
      </c>
      <c r="L4127" t="str">
        <f>"075139"</f>
        <v>075139</v>
      </c>
      <c r="M4127" t="str">
        <f>"72340"</f>
        <v>72340</v>
      </c>
      <c r="N4127" t="s">
        <v>1652</v>
      </c>
      <c r="O4127">
        <v>223.12</v>
      </c>
      <c r="P4127">
        <v>20190104</v>
      </c>
      <c r="Q4127" t="s">
        <v>2679</v>
      </c>
      <c r="R4127" t="s">
        <v>3325</v>
      </c>
      <c r="S4127" t="s">
        <v>1615</v>
      </c>
      <c r="T4127" t="s">
        <v>1713</v>
      </c>
    </row>
    <row r="4128" spans="1:20" x14ac:dyDescent="0.25">
      <c r="A4128">
        <v>9</v>
      </c>
      <c r="B4128">
        <v>199</v>
      </c>
      <c r="C4128" t="str">
        <f>"13"</f>
        <v>13</v>
      </c>
      <c r="D4128">
        <v>6411</v>
      </c>
      <c r="E4128" t="str">
        <f>"7B"</f>
        <v>7B</v>
      </c>
      <c r="F4128" t="str">
        <f>"001"</f>
        <v>001</v>
      </c>
      <c r="G4128">
        <v>9</v>
      </c>
      <c r="H4128" t="str">
        <f>"11"</f>
        <v>11</v>
      </c>
      <c r="I4128" t="str">
        <f t="shared" si="857"/>
        <v>0</v>
      </c>
      <c r="J4128" t="str">
        <f>"32"</f>
        <v>32</v>
      </c>
      <c r="K4128">
        <v>20190104</v>
      </c>
      <c r="L4128" t="str">
        <f>"075140"</f>
        <v>075140</v>
      </c>
      <c r="M4128" t="str">
        <f>"78727"</f>
        <v>78727</v>
      </c>
      <c r="N4128" t="s">
        <v>1842</v>
      </c>
      <c r="O4128">
        <v>60</v>
      </c>
      <c r="P4128">
        <v>20190104</v>
      </c>
      <c r="Q4128" t="s">
        <v>2911</v>
      </c>
      <c r="R4128" t="s">
        <v>2912</v>
      </c>
      <c r="S4128" t="s">
        <v>1615</v>
      </c>
      <c r="T4128" t="s">
        <v>301</v>
      </c>
    </row>
    <row r="4129" spans="1:20" x14ac:dyDescent="0.25">
      <c r="A4129">
        <v>9</v>
      </c>
      <c r="B4129">
        <v>199</v>
      </c>
      <c r="C4129" t="str">
        <f>"36"</f>
        <v>36</v>
      </c>
      <c r="D4129">
        <v>6411</v>
      </c>
      <c r="E4129" t="str">
        <f>"7E"</f>
        <v>7E</v>
      </c>
      <c r="F4129" t="str">
        <f>"041"</f>
        <v>041</v>
      </c>
      <c r="G4129">
        <v>9</v>
      </c>
      <c r="H4129" t="str">
        <f t="shared" ref="H4129:H4135" si="858">"99"</f>
        <v>99</v>
      </c>
      <c r="I4129" t="str">
        <f t="shared" si="857"/>
        <v>0</v>
      </c>
      <c r="J4129" t="str">
        <f>"35"</f>
        <v>35</v>
      </c>
      <c r="K4129">
        <v>20190104</v>
      </c>
      <c r="L4129" t="str">
        <f>"075140"</f>
        <v>075140</v>
      </c>
      <c r="M4129" t="str">
        <f>"78727"</f>
        <v>78727</v>
      </c>
      <c r="N4129" t="s">
        <v>1842</v>
      </c>
      <c r="O4129">
        <v>60</v>
      </c>
      <c r="P4129">
        <v>20190104</v>
      </c>
      <c r="Q4129" t="s">
        <v>3326</v>
      </c>
      <c r="R4129" t="s">
        <v>2912</v>
      </c>
      <c r="S4129" t="s">
        <v>1615</v>
      </c>
      <c r="T4129" t="s">
        <v>106</v>
      </c>
    </row>
    <row r="4130" spans="1:20" x14ac:dyDescent="0.25">
      <c r="A4130">
        <v>9</v>
      </c>
      <c r="B4130">
        <v>199</v>
      </c>
      <c r="C4130" t="str">
        <f>"36"</f>
        <v>36</v>
      </c>
      <c r="D4130">
        <v>6412</v>
      </c>
      <c r="E4130" t="str">
        <f>"7E"</f>
        <v>7E</v>
      </c>
      <c r="F4130" t="str">
        <f>"001"</f>
        <v>001</v>
      </c>
      <c r="G4130">
        <v>9</v>
      </c>
      <c r="H4130" t="str">
        <f t="shared" si="858"/>
        <v>99</v>
      </c>
      <c r="I4130" t="str">
        <f t="shared" si="857"/>
        <v>0</v>
      </c>
      <c r="J4130" t="str">
        <f>"31"</f>
        <v>31</v>
      </c>
      <c r="K4130">
        <v>20190104</v>
      </c>
      <c r="L4130" t="str">
        <f>"075141"</f>
        <v>075141</v>
      </c>
      <c r="M4130" t="str">
        <f>"82126"</f>
        <v>82126</v>
      </c>
      <c r="N4130" t="s">
        <v>1850</v>
      </c>
      <c r="O4130">
        <v>640</v>
      </c>
      <c r="P4130">
        <v>20190104</v>
      </c>
      <c r="Q4130" t="s">
        <v>1655</v>
      </c>
      <c r="R4130" t="s">
        <v>3327</v>
      </c>
      <c r="S4130" t="s">
        <v>1615</v>
      </c>
      <c r="T4130" t="s">
        <v>301</v>
      </c>
    </row>
    <row r="4131" spans="1:20" x14ac:dyDescent="0.25">
      <c r="A4131">
        <v>9</v>
      </c>
      <c r="B4131">
        <v>199</v>
      </c>
      <c r="C4131" t="str">
        <f>"36"</f>
        <v>36</v>
      </c>
      <c r="D4131">
        <v>6412</v>
      </c>
      <c r="E4131" t="str">
        <f>"7B"</f>
        <v>7B</v>
      </c>
      <c r="F4131" t="str">
        <f>"001"</f>
        <v>001</v>
      </c>
      <c r="G4131">
        <v>9</v>
      </c>
      <c r="H4131" t="str">
        <f t="shared" si="858"/>
        <v>99</v>
      </c>
      <c r="I4131" t="str">
        <f t="shared" si="857"/>
        <v>0</v>
      </c>
      <c r="J4131" t="str">
        <f>"32"</f>
        <v>32</v>
      </c>
      <c r="K4131">
        <v>20190104</v>
      </c>
      <c r="L4131" t="str">
        <f>"075142"</f>
        <v>075142</v>
      </c>
      <c r="M4131" t="str">
        <f>"82126"</f>
        <v>82126</v>
      </c>
      <c r="N4131" t="s">
        <v>1850</v>
      </c>
      <c r="O4131">
        <v>352</v>
      </c>
      <c r="P4131">
        <v>20190104</v>
      </c>
      <c r="Q4131" t="s">
        <v>1658</v>
      </c>
      <c r="R4131" t="s">
        <v>3328</v>
      </c>
      <c r="S4131" t="s">
        <v>1615</v>
      </c>
      <c r="T4131" t="s">
        <v>301</v>
      </c>
    </row>
    <row r="4132" spans="1:20" x14ac:dyDescent="0.25">
      <c r="A4132">
        <v>9</v>
      </c>
      <c r="B4132">
        <v>199</v>
      </c>
      <c r="C4132" t="str">
        <f>"36"</f>
        <v>36</v>
      </c>
      <c r="D4132">
        <v>6412</v>
      </c>
      <c r="E4132" t="str">
        <f>"8M"</f>
        <v>8M</v>
      </c>
      <c r="F4132" t="str">
        <f>"001"</f>
        <v>001</v>
      </c>
      <c r="G4132">
        <v>9</v>
      </c>
      <c r="H4132" t="str">
        <f t="shared" si="858"/>
        <v>99</v>
      </c>
      <c r="I4132" t="str">
        <f t="shared" si="857"/>
        <v>0</v>
      </c>
      <c r="J4132" t="str">
        <f>"33"</f>
        <v>33</v>
      </c>
      <c r="K4132">
        <v>20190104</v>
      </c>
      <c r="L4132" t="str">
        <f>"075143"</f>
        <v>075143</v>
      </c>
      <c r="M4132" t="str">
        <f>"82970"</f>
        <v>82970</v>
      </c>
      <c r="N4132" t="s">
        <v>1041</v>
      </c>
      <c r="O4132">
        <v>250</v>
      </c>
      <c r="P4132">
        <v>20190104</v>
      </c>
      <c r="Q4132" t="s">
        <v>1617</v>
      </c>
      <c r="R4132" t="s">
        <v>3315</v>
      </c>
      <c r="S4132" t="s">
        <v>1615</v>
      </c>
      <c r="T4132" t="s">
        <v>301</v>
      </c>
    </row>
    <row r="4133" spans="1:20" x14ac:dyDescent="0.25">
      <c r="A4133">
        <v>9</v>
      </c>
      <c r="B4133">
        <v>199</v>
      </c>
      <c r="C4133" t="str">
        <f>"52"</f>
        <v>52</v>
      </c>
      <c r="D4133">
        <v>6219</v>
      </c>
      <c r="E4133" t="str">
        <f>"00"</f>
        <v>00</v>
      </c>
      <c r="F4133" t="str">
        <f>"101"</f>
        <v>101</v>
      </c>
      <c r="G4133">
        <v>9</v>
      </c>
      <c r="H4133" t="str">
        <f t="shared" si="858"/>
        <v>99</v>
      </c>
      <c r="I4133" t="str">
        <f t="shared" si="857"/>
        <v>0</v>
      </c>
      <c r="J4133" t="str">
        <f>"00"</f>
        <v>00</v>
      </c>
      <c r="K4133">
        <v>20190104</v>
      </c>
      <c r="L4133" t="str">
        <f>"075145"</f>
        <v>075145</v>
      </c>
      <c r="M4133" t="str">
        <f>"00242"</f>
        <v>00242</v>
      </c>
      <c r="N4133" t="s">
        <v>1669</v>
      </c>
      <c r="O4133">
        <v>300</v>
      </c>
      <c r="P4133">
        <v>20190104</v>
      </c>
      <c r="Q4133" t="s">
        <v>1854</v>
      </c>
      <c r="R4133" t="s">
        <v>3329</v>
      </c>
      <c r="S4133" t="s">
        <v>1615</v>
      </c>
      <c r="T4133" t="s">
        <v>1479</v>
      </c>
    </row>
    <row r="4134" spans="1:20" x14ac:dyDescent="0.25">
      <c r="A4134">
        <v>9</v>
      </c>
      <c r="B4134">
        <v>199</v>
      </c>
      <c r="C4134" t="str">
        <f>"52"</f>
        <v>52</v>
      </c>
      <c r="D4134">
        <v>6219</v>
      </c>
      <c r="E4134" t="str">
        <f>"00"</f>
        <v>00</v>
      </c>
      <c r="F4134" t="str">
        <f>"101"</f>
        <v>101</v>
      </c>
      <c r="G4134">
        <v>9</v>
      </c>
      <c r="H4134" t="str">
        <f t="shared" si="858"/>
        <v>99</v>
      </c>
      <c r="I4134" t="str">
        <f t="shared" si="857"/>
        <v>0</v>
      </c>
      <c r="J4134" t="str">
        <f>"00"</f>
        <v>00</v>
      </c>
      <c r="K4134">
        <v>20190104</v>
      </c>
      <c r="L4134" t="str">
        <f>"075145"</f>
        <v>075145</v>
      </c>
      <c r="M4134" t="str">
        <f>"00242"</f>
        <v>00242</v>
      </c>
      <c r="N4134" t="s">
        <v>1669</v>
      </c>
      <c r="O4134">
        <v>300</v>
      </c>
      <c r="P4134">
        <v>20190104</v>
      </c>
      <c r="Q4134" t="s">
        <v>1854</v>
      </c>
      <c r="R4134" t="s">
        <v>3330</v>
      </c>
      <c r="S4134" t="s">
        <v>1615</v>
      </c>
      <c r="T4134" t="s">
        <v>1479</v>
      </c>
    </row>
    <row r="4135" spans="1:20" x14ac:dyDescent="0.25">
      <c r="A4135">
        <v>9</v>
      </c>
      <c r="B4135">
        <v>199</v>
      </c>
      <c r="C4135" t="str">
        <f>"34"</f>
        <v>34</v>
      </c>
      <c r="D4135">
        <v>6249</v>
      </c>
      <c r="E4135" t="str">
        <f>"10"</f>
        <v>10</v>
      </c>
      <c r="F4135" t="str">
        <f>"937"</f>
        <v>937</v>
      </c>
      <c r="G4135">
        <v>9</v>
      </c>
      <c r="H4135" t="str">
        <f t="shared" si="858"/>
        <v>99</v>
      </c>
      <c r="I4135" t="str">
        <f t="shared" si="857"/>
        <v>0</v>
      </c>
      <c r="J4135" t="str">
        <f>"82"</f>
        <v>82</v>
      </c>
      <c r="K4135">
        <v>20190111</v>
      </c>
      <c r="L4135" t="str">
        <f>"075146"</f>
        <v>075146</v>
      </c>
      <c r="M4135" t="str">
        <f>"00280"</f>
        <v>00280</v>
      </c>
      <c r="N4135" t="s">
        <v>1857</v>
      </c>
      <c r="O4135">
        <v>769</v>
      </c>
      <c r="P4135">
        <v>20190109</v>
      </c>
      <c r="Q4135" t="s">
        <v>2036</v>
      </c>
      <c r="R4135" t="s">
        <v>3331</v>
      </c>
      <c r="S4135" t="s">
        <v>1615</v>
      </c>
      <c r="T4135" t="s">
        <v>1810</v>
      </c>
    </row>
    <row r="4136" spans="1:20" x14ac:dyDescent="0.25">
      <c r="A4136">
        <v>9</v>
      </c>
      <c r="B4136">
        <v>199</v>
      </c>
      <c r="C4136" t="str">
        <f>"12"</f>
        <v>12</v>
      </c>
      <c r="D4136">
        <v>6249</v>
      </c>
      <c r="E4136" t="str">
        <f>"7U"</f>
        <v>7U</v>
      </c>
      <c r="F4136" t="str">
        <f>"001"</f>
        <v>001</v>
      </c>
      <c r="G4136">
        <v>9</v>
      </c>
      <c r="H4136" t="str">
        <f>"11"</f>
        <v>11</v>
      </c>
      <c r="I4136" t="str">
        <f t="shared" si="857"/>
        <v>0</v>
      </c>
      <c r="J4136" t="str">
        <f>"01"</f>
        <v>01</v>
      </c>
      <c r="K4136">
        <v>20190111</v>
      </c>
      <c r="L4136" t="str">
        <f>"075147"</f>
        <v>075147</v>
      </c>
      <c r="M4136" t="str">
        <f>"00230"</f>
        <v>00230</v>
      </c>
      <c r="N4136" t="s">
        <v>3332</v>
      </c>
      <c r="O4136">
        <v>649.26</v>
      </c>
      <c r="P4136">
        <v>20190109</v>
      </c>
      <c r="Q4136" t="s">
        <v>1752</v>
      </c>
      <c r="R4136" t="s">
        <v>3333</v>
      </c>
      <c r="S4136" t="s">
        <v>1615</v>
      </c>
      <c r="T4136" t="s">
        <v>301</v>
      </c>
    </row>
    <row r="4137" spans="1:20" x14ac:dyDescent="0.25">
      <c r="A4137">
        <v>9</v>
      </c>
      <c r="B4137">
        <v>199</v>
      </c>
      <c r="C4137" t="str">
        <f>"11"</f>
        <v>11</v>
      </c>
      <c r="D4137">
        <v>6399</v>
      </c>
      <c r="E4137" t="str">
        <f>"VR"</f>
        <v>VR</v>
      </c>
      <c r="F4137" t="str">
        <f>"001"</f>
        <v>001</v>
      </c>
      <c r="G4137">
        <v>9</v>
      </c>
      <c r="H4137" t="str">
        <f>"22"</f>
        <v>22</v>
      </c>
      <c r="I4137" t="str">
        <f t="shared" si="857"/>
        <v>0</v>
      </c>
      <c r="J4137" t="str">
        <f>"22"</f>
        <v>22</v>
      </c>
      <c r="K4137">
        <v>20190111</v>
      </c>
      <c r="L4137" t="str">
        <f>"075148"</f>
        <v>075148</v>
      </c>
      <c r="M4137" t="str">
        <f>"00594"</f>
        <v>00594</v>
      </c>
      <c r="N4137" t="s">
        <v>3334</v>
      </c>
      <c r="O4137">
        <v>322.89999999999998</v>
      </c>
      <c r="P4137">
        <v>20190109</v>
      </c>
      <c r="Q4137" t="s">
        <v>1863</v>
      </c>
      <c r="R4137" t="s">
        <v>3335</v>
      </c>
      <c r="S4137" t="s">
        <v>1615</v>
      </c>
      <c r="T4137" t="s">
        <v>301</v>
      </c>
    </row>
    <row r="4138" spans="1:20" x14ac:dyDescent="0.25">
      <c r="A4138">
        <v>9</v>
      </c>
      <c r="B4138">
        <v>199</v>
      </c>
      <c r="C4138" t="str">
        <f>"41"</f>
        <v>41</v>
      </c>
      <c r="D4138">
        <v>6299</v>
      </c>
      <c r="E4138" t="str">
        <f>"10"</f>
        <v>10</v>
      </c>
      <c r="F4138" t="str">
        <f>"730"</f>
        <v>730</v>
      </c>
      <c r="G4138">
        <v>9</v>
      </c>
      <c r="H4138" t="str">
        <f>"99"</f>
        <v>99</v>
      </c>
      <c r="I4138" t="str">
        <f t="shared" si="857"/>
        <v>0</v>
      </c>
      <c r="J4138" t="str">
        <f>"95"</f>
        <v>95</v>
      </c>
      <c r="K4138">
        <v>20190111</v>
      </c>
      <c r="L4138" t="str">
        <f>"075149"</f>
        <v>075149</v>
      </c>
      <c r="M4138" t="str">
        <f>"01530"</f>
        <v>01530</v>
      </c>
      <c r="N4138" t="s">
        <v>1672</v>
      </c>
      <c r="O4138">
        <v>78</v>
      </c>
      <c r="P4138">
        <v>20190109</v>
      </c>
      <c r="Q4138" t="s">
        <v>2434</v>
      </c>
      <c r="R4138" t="s">
        <v>2668</v>
      </c>
      <c r="S4138" t="s">
        <v>1615</v>
      </c>
      <c r="T4138" t="s">
        <v>1794</v>
      </c>
    </row>
    <row r="4139" spans="1:20" x14ac:dyDescent="0.25">
      <c r="A4139">
        <v>9</v>
      </c>
      <c r="B4139">
        <v>199</v>
      </c>
      <c r="C4139" t="str">
        <f t="shared" ref="C4139:C4152" si="859">"11"</f>
        <v>11</v>
      </c>
      <c r="D4139">
        <v>6269</v>
      </c>
      <c r="E4139" t="str">
        <f>"V8"</f>
        <v>V8</v>
      </c>
      <c r="F4139" t="str">
        <f t="shared" ref="F4139:F4144" si="860">"001"</f>
        <v>001</v>
      </c>
      <c r="G4139">
        <v>9</v>
      </c>
      <c r="H4139" t="str">
        <f>"22"</f>
        <v>22</v>
      </c>
      <c r="I4139" t="str">
        <f t="shared" si="857"/>
        <v>0</v>
      </c>
      <c r="J4139" t="str">
        <f>"22"</f>
        <v>22</v>
      </c>
      <c r="K4139">
        <v>20190111</v>
      </c>
      <c r="L4139" t="str">
        <f>"075150"</f>
        <v>075150</v>
      </c>
      <c r="M4139" t="str">
        <f>"02230"</f>
        <v>02230</v>
      </c>
      <c r="N4139" t="s">
        <v>1673</v>
      </c>
      <c r="O4139">
        <v>88.37</v>
      </c>
      <c r="P4139">
        <v>20190109</v>
      </c>
      <c r="Q4139" t="s">
        <v>2154</v>
      </c>
      <c r="R4139" t="s">
        <v>3047</v>
      </c>
      <c r="S4139" t="s">
        <v>1615</v>
      </c>
      <c r="T4139" t="s">
        <v>301</v>
      </c>
    </row>
    <row r="4140" spans="1:20" x14ac:dyDescent="0.25">
      <c r="A4140">
        <v>9</v>
      </c>
      <c r="B4140">
        <v>199</v>
      </c>
      <c r="C4140" t="str">
        <f t="shared" si="859"/>
        <v>11</v>
      </c>
      <c r="D4140">
        <v>6339</v>
      </c>
      <c r="E4140" t="str">
        <f>"11"</f>
        <v>11</v>
      </c>
      <c r="F4140" t="str">
        <f t="shared" si="860"/>
        <v>001</v>
      </c>
      <c r="G4140">
        <v>9</v>
      </c>
      <c r="H4140" t="str">
        <f t="shared" ref="H4140:H4147" si="861">"11"</f>
        <v>11</v>
      </c>
      <c r="I4140" t="str">
        <f t="shared" si="857"/>
        <v>0</v>
      </c>
      <c r="J4140" t="str">
        <f>"01"</f>
        <v>01</v>
      </c>
      <c r="K4140">
        <v>20190111</v>
      </c>
      <c r="L4140" t="str">
        <f t="shared" ref="L4140:L4149" si="862">"075151"</f>
        <v>075151</v>
      </c>
      <c r="M4140" t="str">
        <f t="shared" ref="M4140:M4149" si="863">"04410"</f>
        <v>04410</v>
      </c>
      <c r="N4140" t="s">
        <v>410</v>
      </c>
      <c r="O4140">
        <v>178.75</v>
      </c>
      <c r="P4140">
        <v>20190109</v>
      </c>
      <c r="Q4140" t="s">
        <v>3336</v>
      </c>
      <c r="R4140" t="s">
        <v>3337</v>
      </c>
      <c r="S4140" t="s">
        <v>1615</v>
      </c>
      <c r="T4140" t="s">
        <v>301</v>
      </c>
    </row>
    <row r="4141" spans="1:20" x14ac:dyDescent="0.25">
      <c r="A4141">
        <v>9</v>
      </c>
      <c r="B4141">
        <v>199</v>
      </c>
      <c r="C4141" t="str">
        <f t="shared" si="859"/>
        <v>11</v>
      </c>
      <c r="D4141">
        <v>6399</v>
      </c>
      <c r="E4141" t="str">
        <f>"7E"</f>
        <v>7E</v>
      </c>
      <c r="F4141" t="str">
        <f t="shared" si="860"/>
        <v>001</v>
      </c>
      <c r="G4141">
        <v>9</v>
      </c>
      <c r="H4141" t="str">
        <f t="shared" si="861"/>
        <v>11</v>
      </c>
      <c r="I4141" t="str">
        <f t="shared" si="857"/>
        <v>0</v>
      </c>
      <c r="J4141" t="str">
        <f>"31"</f>
        <v>31</v>
      </c>
      <c r="K4141">
        <v>20190111</v>
      </c>
      <c r="L4141" t="str">
        <f t="shared" si="862"/>
        <v>075151</v>
      </c>
      <c r="M4141" t="str">
        <f t="shared" si="863"/>
        <v>04410</v>
      </c>
      <c r="N4141" t="s">
        <v>410</v>
      </c>
      <c r="O4141">
        <v>107.72</v>
      </c>
      <c r="P4141">
        <v>20190109</v>
      </c>
      <c r="Q4141" t="s">
        <v>2382</v>
      </c>
      <c r="R4141" t="s">
        <v>3338</v>
      </c>
      <c r="S4141" t="s">
        <v>1615</v>
      </c>
      <c r="T4141" t="s">
        <v>301</v>
      </c>
    </row>
    <row r="4142" spans="1:20" x14ac:dyDescent="0.25">
      <c r="A4142">
        <v>9</v>
      </c>
      <c r="B4142">
        <v>199</v>
      </c>
      <c r="C4142" t="str">
        <f t="shared" si="859"/>
        <v>11</v>
      </c>
      <c r="D4142">
        <v>6399</v>
      </c>
      <c r="E4142" t="str">
        <f>"7P"</f>
        <v>7P</v>
      </c>
      <c r="F4142" t="str">
        <f t="shared" si="860"/>
        <v>001</v>
      </c>
      <c r="G4142">
        <v>9</v>
      </c>
      <c r="H4142" t="str">
        <f t="shared" si="861"/>
        <v>11</v>
      </c>
      <c r="I4142" t="str">
        <f t="shared" si="857"/>
        <v>0</v>
      </c>
      <c r="J4142" t="str">
        <f>"01"</f>
        <v>01</v>
      </c>
      <c r="K4142">
        <v>20190111</v>
      </c>
      <c r="L4142" t="str">
        <f t="shared" si="862"/>
        <v>075151</v>
      </c>
      <c r="M4142" t="str">
        <f t="shared" si="863"/>
        <v>04410</v>
      </c>
      <c r="N4142" t="s">
        <v>410</v>
      </c>
      <c r="O4142">
        <v>71.56</v>
      </c>
      <c r="P4142">
        <v>20190109</v>
      </c>
      <c r="Q4142" t="s">
        <v>3339</v>
      </c>
      <c r="R4142" t="s">
        <v>3340</v>
      </c>
      <c r="S4142" t="s">
        <v>1615</v>
      </c>
      <c r="T4142" t="s">
        <v>301</v>
      </c>
    </row>
    <row r="4143" spans="1:20" x14ac:dyDescent="0.25">
      <c r="A4143">
        <v>9</v>
      </c>
      <c r="B4143">
        <v>199</v>
      </c>
      <c r="C4143" t="str">
        <f t="shared" si="859"/>
        <v>11</v>
      </c>
      <c r="D4143">
        <v>6399</v>
      </c>
      <c r="E4143" t="str">
        <f>"N1"</f>
        <v>N1</v>
      </c>
      <c r="F4143" t="str">
        <f t="shared" si="860"/>
        <v>001</v>
      </c>
      <c r="G4143">
        <v>9</v>
      </c>
      <c r="H4143" t="str">
        <f t="shared" si="861"/>
        <v>11</v>
      </c>
      <c r="I4143" t="str">
        <f t="shared" si="857"/>
        <v>0</v>
      </c>
      <c r="J4143" t="str">
        <f>"01"</f>
        <v>01</v>
      </c>
      <c r="K4143">
        <v>20190111</v>
      </c>
      <c r="L4143" t="str">
        <f t="shared" si="862"/>
        <v>075151</v>
      </c>
      <c r="M4143" t="str">
        <f t="shared" si="863"/>
        <v>04410</v>
      </c>
      <c r="N4143" t="s">
        <v>410</v>
      </c>
      <c r="O4143">
        <v>278.02999999999997</v>
      </c>
      <c r="P4143">
        <v>20190109</v>
      </c>
      <c r="Q4143" t="s">
        <v>2637</v>
      </c>
      <c r="R4143" t="s">
        <v>3341</v>
      </c>
      <c r="S4143" t="s">
        <v>1615</v>
      </c>
      <c r="T4143" t="s">
        <v>301</v>
      </c>
    </row>
    <row r="4144" spans="1:20" x14ac:dyDescent="0.25">
      <c r="A4144">
        <v>9</v>
      </c>
      <c r="B4144">
        <v>199</v>
      </c>
      <c r="C4144" t="str">
        <f t="shared" si="859"/>
        <v>11</v>
      </c>
      <c r="D4144">
        <v>6399</v>
      </c>
      <c r="E4144" t="str">
        <f>"N9"</f>
        <v>N9</v>
      </c>
      <c r="F4144" t="str">
        <f t="shared" si="860"/>
        <v>001</v>
      </c>
      <c r="G4144">
        <v>9</v>
      </c>
      <c r="H4144" t="str">
        <f t="shared" si="861"/>
        <v>11</v>
      </c>
      <c r="I4144" t="str">
        <f t="shared" si="857"/>
        <v>0</v>
      </c>
      <c r="J4144" t="str">
        <f>"01"</f>
        <v>01</v>
      </c>
      <c r="K4144">
        <v>20190111</v>
      </c>
      <c r="L4144" t="str">
        <f t="shared" si="862"/>
        <v>075151</v>
      </c>
      <c r="M4144" t="str">
        <f t="shared" si="863"/>
        <v>04410</v>
      </c>
      <c r="N4144" t="s">
        <v>410</v>
      </c>
      <c r="O4144">
        <v>30.62</v>
      </c>
      <c r="P4144">
        <v>20190109</v>
      </c>
      <c r="Q4144" t="s">
        <v>2160</v>
      </c>
      <c r="R4144" t="s">
        <v>3342</v>
      </c>
      <c r="S4144" t="s">
        <v>1615</v>
      </c>
      <c r="T4144" t="s">
        <v>301</v>
      </c>
    </row>
    <row r="4145" spans="1:20" x14ac:dyDescent="0.25">
      <c r="A4145">
        <v>9</v>
      </c>
      <c r="B4145">
        <v>199</v>
      </c>
      <c r="C4145" t="str">
        <f t="shared" si="859"/>
        <v>11</v>
      </c>
      <c r="D4145">
        <v>6399</v>
      </c>
      <c r="E4145" t="str">
        <f>"PK"</f>
        <v>PK</v>
      </c>
      <c r="F4145" t="str">
        <f>"101"</f>
        <v>101</v>
      </c>
      <c r="G4145">
        <v>9</v>
      </c>
      <c r="H4145" t="str">
        <f t="shared" si="861"/>
        <v>11</v>
      </c>
      <c r="I4145" t="str">
        <f t="shared" si="857"/>
        <v>0</v>
      </c>
      <c r="J4145" t="str">
        <f>"04"</f>
        <v>04</v>
      </c>
      <c r="K4145">
        <v>20190111</v>
      </c>
      <c r="L4145" t="str">
        <f t="shared" si="862"/>
        <v>075151</v>
      </c>
      <c r="M4145" t="str">
        <f t="shared" si="863"/>
        <v>04410</v>
      </c>
      <c r="N4145" t="s">
        <v>410</v>
      </c>
      <c r="O4145">
        <v>288.08999999999997</v>
      </c>
      <c r="P4145">
        <v>20190109</v>
      </c>
      <c r="Q4145" t="s">
        <v>2823</v>
      </c>
      <c r="R4145" t="s">
        <v>2793</v>
      </c>
      <c r="S4145" t="s">
        <v>1615</v>
      </c>
      <c r="T4145" t="s">
        <v>1479</v>
      </c>
    </row>
    <row r="4146" spans="1:20" x14ac:dyDescent="0.25">
      <c r="A4146">
        <v>9</v>
      </c>
      <c r="B4146">
        <v>199</v>
      </c>
      <c r="C4146" t="str">
        <f t="shared" si="859"/>
        <v>11</v>
      </c>
      <c r="D4146">
        <v>6399</v>
      </c>
      <c r="E4146" t="str">
        <f>"R1"</f>
        <v>R1</v>
      </c>
      <c r="F4146" t="str">
        <f>"001"</f>
        <v>001</v>
      </c>
      <c r="G4146">
        <v>9</v>
      </c>
      <c r="H4146" t="str">
        <f t="shared" si="861"/>
        <v>11</v>
      </c>
      <c r="I4146" t="str">
        <f t="shared" si="857"/>
        <v>0</v>
      </c>
      <c r="J4146" t="str">
        <f>"01"</f>
        <v>01</v>
      </c>
      <c r="K4146">
        <v>20190111</v>
      </c>
      <c r="L4146" t="str">
        <f t="shared" si="862"/>
        <v>075151</v>
      </c>
      <c r="M4146" t="str">
        <f t="shared" si="863"/>
        <v>04410</v>
      </c>
      <c r="N4146" t="s">
        <v>410</v>
      </c>
      <c r="O4146">
        <v>180.16</v>
      </c>
      <c r="P4146">
        <v>20190109</v>
      </c>
      <c r="Q4146" t="s">
        <v>2441</v>
      </c>
      <c r="R4146" t="s">
        <v>3343</v>
      </c>
      <c r="S4146" t="s">
        <v>1615</v>
      </c>
      <c r="T4146" t="s">
        <v>301</v>
      </c>
    </row>
    <row r="4147" spans="1:20" x14ac:dyDescent="0.25">
      <c r="A4147">
        <v>9</v>
      </c>
      <c r="B4147">
        <v>199</v>
      </c>
      <c r="C4147" t="str">
        <f t="shared" si="859"/>
        <v>11</v>
      </c>
      <c r="D4147">
        <v>6399</v>
      </c>
      <c r="E4147" t="str">
        <f>"R1"</f>
        <v>R1</v>
      </c>
      <c r="F4147" t="str">
        <f>"001"</f>
        <v>001</v>
      </c>
      <c r="G4147">
        <v>9</v>
      </c>
      <c r="H4147" t="str">
        <f t="shared" si="861"/>
        <v>11</v>
      </c>
      <c r="I4147" t="str">
        <f t="shared" si="857"/>
        <v>0</v>
      </c>
      <c r="J4147" t="str">
        <f>"01"</f>
        <v>01</v>
      </c>
      <c r="K4147">
        <v>20190111</v>
      </c>
      <c r="L4147" t="str">
        <f t="shared" si="862"/>
        <v>075151</v>
      </c>
      <c r="M4147" t="str">
        <f t="shared" si="863"/>
        <v>04410</v>
      </c>
      <c r="N4147" t="s">
        <v>410</v>
      </c>
      <c r="O4147">
        <v>149.25</v>
      </c>
      <c r="P4147">
        <v>20190109</v>
      </c>
      <c r="Q4147" t="s">
        <v>2441</v>
      </c>
      <c r="R4147" t="s">
        <v>3344</v>
      </c>
      <c r="S4147" t="s">
        <v>1615</v>
      </c>
      <c r="T4147" t="s">
        <v>301</v>
      </c>
    </row>
    <row r="4148" spans="1:20" x14ac:dyDescent="0.25">
      <c r="A4148">
        <v>9</v>
      </c>
      <c r="B4148">
        <v>199</v>
      </c>
      <c r="C4148" t="str">
        <f t="shared" si="859"/>
        <v>11</v>
      </c>
      <c r="D4148">
        <v>6399</v>
      </c>
      <c r="E4148" t="str">
        <f>"V8"</f>
        <v>V8</v>
      </c>
      <c r="F4148" t="str">
        <f>"001"</f>
        <v>001</v>
      </c>
      <c r="G4148">
        <v>9</v>
      </c>
      <c r="H4148" t="str">
        <f>"22"</f>
        <v>22</v>
      </c>
      <c r="I4148" t="str">
        <f t="shared" si="857"/>
        <v>0</v>
      </c>
      <c r="J4148" t="str">
        <f>"22"</f>
        <v>22</v>
      </c>
      <c r="K4148">
        <v>20190111</v>
      </c>
      <c r="L4148" t="str">
        <f t="shared" si="862"/>
        <v>075151</v>
      </c>
      <c r="M4148" t="str">
        <f t="shared" si="863"/>
        <v>04410</v>
      </c>
      <c r="N4148" t="s">
        <v>410</v>
      </c>
      <c r="O4148">
        <v>482.88</v>
      </c>
      <c r="P4148">
        <v>20190109</v>
      </c>
      <c r="Q4148" t="s">
        <v>2001</v>
      </c>
      <c r="R4148" t="s">
        <v>2443</v>
      </c>
      <c r="S4148" t="s">
        <v>1615</v>
      </c>
      <c r="T4148" t="s">
        <v>301</v>
      </c>
    </row>
    <row r="4149" spans="1:20" x14ac:dyDescent="0.25">
      <c r="A4149">
        <v>9</v>
      </c>
      <c r="B4149">
        <v>199</v>
      </c>
      <c r="C4149" t="str">
        <f t="shared" si="859"/>
        <v>11</v>
      </c>
      <c r="D4149">
        <v>6399</v>
      </c>
      <c r="E4149" t="str">
        <f>"V8"</f>
        <v>V8</v>
      </c>
      <c r="F4149" t="str">
        <f>"001"</f>
        <v>001</v>
      </c>
      <c r="G4149">
        <v>9</v>
      </c>
      <c r="H4149" t="str">
        <f>"22"</f>
        <v>22</v>
      </c>
      <c r="I4149" t="str">
        <f t="shared" si="857"/>
        <v>0</v>
      </c>
      <c r="J4149" t="str">
        <f>"22"</f>
        <v>22</v>
      </c>
      <c r="K4149">
        <v>20190111</v>
      </c>
      <c r="L4149" t="str">
        <f t="shared" si="862"/>
        <v>075151</v>
      </c>
      <c r="M4149" t="str">
        <f t="shared" si="863"/>
        <v>04410</v>
      </c>
      <c r="N4149" t="s">
        <v>410</v>
      </c>
      <c r="O4149">
        <v>180.98</v>
      </c>
      <c r="P4149">
        <v>20190109</v>
      </c>
      <c r="Q4149" t="s">
        <v>2001</v>
      </c>
      <c r="R4149" t="s">
        <v>3345</v>
      </c>
      <c r="S4149" t="s">
        <v>1615</v>
      </c>
      <c r="T4149" t="s">
        <v>301</v>
      </c>
    </row>
    <row r="4150" spans="1:20" x14ac:dyDescent="0.25">
      <c r="A4150">
        <v>9</v>
      </c>
      <c r="B4150">
        <v>199</v>
      </c>
      <c r="C4150" t="str">
        <f t="shared" si="859"/>
        <v>11</v>
      </c>
      <c r="D4150">
        <v>6649</v>
      </c>
      <c r="E4150" t="str">
        <f>"7M"</f>
        <v>7M</v>
      </c>
      <c r="F4150" t="str">
        <f>"041"</f>
        <v>041</v>
      </c>
      <c r="G4150">
        <v>9</v>
      </c>
      <c r="H4150" t="str">
        <f>"11"</f>
        <v>11</v>
      </c>
      <c r="I4150" t="str">
        <f t="shared" si="857"/>
        <v>0</v>
      </c>
      <c r="J4150" t="str">
        <f>"36"</f>
        <v>36</v>
      </c>
      <c r="K4150">
        <v>20190111</v>
      </c>
      <c r="L4150" t="str">
        <f>"075152"</f>
        <v>075152</v>
      </c>
      <c r="M4150" t="str">
        <f>"00554"</f>
        <v>00554</v>
      </c>
      <c r="N4150" t="s">
        <v>2183</v>
      </c>
      <c r="O4150" s="1">
        <v>3150</v>
      </c>
      <c r="P4150">
        <v>20190109</v>
      </c>
      <c r="Q4150" t="s">
        <v>1899</v>
      </c>
      <c r="R4150" t="s">
        <v>3346</v>
      </c>
      <c r="S4150" t="s">
        <v>1615</v>
      </c>
      <c r="T4150" t="s">
        <v>106</v>
      </c>
    </row>
    <row r="4151" spans="1:20" x14ac:dyDescent="0.25">
      <c r="A4151">
        <v>9</v>
      </c>
      <c r="B4151">
        <v>199</v>
      </c>
      <c r="C4151" t="str">
        <f t="shared" si="859"/>
        <v>11</v>
      </c>
      <c r="D4151">
        <v>6399</v>
      </c>
      <c r="E4151" t="str">
        <f>"AP"</f>
        <v>AP</v>
      </c>
      <c r="F4151" t="str">
        <f>"001"</f>
        <v>001</v>
      </c>
      <c r="G4151">
        <v>9</v>
      </c>
      <c r="H4151" t="str">
        <f>"31"</f>
        <v>31</v>
      </c>
      <c r="I4151" t="str">
        <f t="shared" ref="I4151:I4167" si="864">"0"</f>
        <v>0</v>
      </c>
      <c r="J4151" t="str">
        <f>"34"</f>
        <v>34</v>
      </c>
      <c r="K4151">
        <v>20190111</v>
      </c>
      <c r="L4151" t="str">
        <f>"075154"</f>
        <v>075154</v>
      </c>
      <c r="M4151" t="str">
        <f>"00382"</f>
        <v>00382</v>
      </c>
      <c r="N4151" t="s">
        <v>3347</v>
      </c>
      <c r="O4151">
        <v>763.6</v>
      </c>
      <c r="P4151">
        <v>20190109</v>
      </c>
      <c r="Q4151" t="s">
        <v>1677</v>
      </c>
      <c r="R4151" t="s">
        <v>3348</v>
      </c>
      <c r="S4151" t="s">
        <v>1615</v>
      </c>
      <c r="T4151" t="s">
        <v>301</v>
      </c>
    </row>
    <row r="4152" spans="1:20" x14ac:dyDescent="0.25">
      <c r="A4152">
        <v>9</v>
      </c>
      <c r="B4152">
        <v>199</v>
      </c>
      <c r="C4152" t="str">
        <f t="shared" si="859"/>
        <v>11</v>
      </c>
      <c r="D4152">
        <v>6399</v>
      </c>
      <c r="E4152" t="str">
        <f>"N9"</f>
        <v>N9</v>
      </c>
      <c r="F4152" t="str">
        <f>"001"</f>
        <v>001</v>
      </c>
      <c r="G4152">
        <v>9</v>
      </c>
      <c r="H4152" t="str">
        <f>"11"</f>
        <v>11</v>
      </c>
      <c r="I4152" t="str">
        <f t="shared" si="864"/>
        <v>0</v>
      </c>
      <c r="J4152" t="str">
        <f>"01"</f>
        <v>01</v>
      </c>
      <c r="K4152">
        <v>20190111</v>
      </c>
      <c r="L4152" t="str">
        <f>"075154"</f>
        <v>075154</v>
      </c>
      <c r="M4152" t="str">
        <f>"00382"</f>
        <v>00382</v>
      </c>
      <c r="N4152" t="s">
        <v>3347</v>
      </c>
      <c r="O4152" s="1">
        <v>1038.8</v>
      </c>
      <c r="P4152">
        <v>20190109</v>
      </c>
      <c r="Q4152" t="s">
        <v>2160</v>
      </c>
      <c r="R4152" t="s">
        <v>3349</v>
      </c>
      <c r="S4152" t="s">
        <v>1615</v>
      </c>
      <c r="T4152" t="s">
        <v>301</v>
      </c>
    </row>
    <row r="4153" spans="1:20" x14ac:dyDescent="0.25">
      <c r="A4153">
        <v>9</v>
      </c>
      <c r="B4153">
        <v>199</v>
      </c>
      <c r="C4153" t="str">
        <f>"51"</f>
        <v>51</v>
      </c>
      <c r="D4153">
        <v>6319</v>
      </c>
      <c r="E4153" t="str">
        <f>"M2"</f>
        <v>M2</v>
      </c>
      <c r="F4153" t="str">
        <f>"936"</f>
        <v>936</v>
      </c>
      <c r="G4153">
        <v>9</v>
      </c>
      <c r="H4153" t="str">
        <f>"99"</f>
        <v>99</v>
      </c>
      <c r="I4153" t="str">
        <f t="shared" si="864"/>
        <v>0</v>
      </c>
      <c r="J4153" t="str">
        <f>"81"</f>
        <v>81</v>
      </c>
      <c r="K4153">
        <v>20190111</v>
      </c>
      <c r="L4153" t="str">
        <f>"075155"</f>
        <v>075155</v>
      </c>
      <c r="M4153" t="str">
        <f>"08132"</f>
        <v>08132</v>
      </c>
      <c r="N4153" t="s">
        <v>2449</v>
      </c>
      <c r="O4153" s="1">
        <v>1580.58</v>
      </c>
      <c r="P4153">
        <v>20190110</v>
      </c>
      <c r="Q4153" t="s">
        <v>2074</v>
      </c>
      <c r="R4153" t="s">
        <v>3350</v>
      </c>
      <c r="S4153" t="s">
        <v>1615</v>
      </c>
      <c r="T4153" t="s">
        <v>1713</v>
      </c>
    </row>
    <row r="4154" spans="1:20" x14ac:dyDescent="0.25">
      <c r="A4154">
        <v>9</v>
      </c>
      <c r="B4154">
        <v>199</v>
      </c>
      <c r="C4154" t="str">
        <f>"11"</f>
        <v>11</v>
      </c>
      <c r="D4154">
        <v>6339</v>
      </c>
      <c r="E4154" t="str">
        <f>"NL"</f>
        <v>NL</v>
      </c>
      <c r="F4154" t="str">
        <f>"001"</f>
        <v>001</v>
      </c>
      <c r="G4154">
        <v>9</v>
      </c>
      <c r="H4154" t="str">
        <f>"22"</f>
        <v>22</v>
      </c>
      <c r="I4154" t="str">
        <f t="shared" si="864"/>
        <v>0</v>
      </c>
      <c r="J4154" t="str">
        <f>"22"</f>
        <v>22</v>
      </c>
      <c r="K4154">
        <v>20190111</v>
      </c>
      <c r="L4154" t="str">
        <f t="shared" ref="L4154:L4159" si="865">"075156"</f>
        <v>075156</v>
      </c>
      <c r="M4154" t="str">
        <f t="shared" ref="M4154:M4159" si="866">"09170"</f>
        <v>09170</v>
      </c>
      <c r="N4154" t="s">
        <v>679</v>
      </c>
      <c r="O4154">
        <v>940.5</v>
      </c>
      <c r="P4154">
        <v>20190109</v>
      </c>
      <c r="Q4154" t="s">
        <v>3183</v>
      </c>
      <c r="R4154" t="s">
        <v>3351</v>
      </c>
      <c r="S4154" t="s">
        <v>1615</v>
      </c>
      <c r="T4154" t="s">
        <v>301</v>
      </c>
    </row>
    <row r="4155" spans="1:20" x14ac:dyDescent="0.25">
      <c r="A4155">
        <v>9</v>
      </c>
      <c r="B4155">
        <v>199</v>
      </c>
      <c r="C4155" t="str">
        <f>"11"</f>
        <v>11</v>
      </c>
      <c r="D4155">
        <v>6396</v>
      </c>
      <c r="E4155" t="str">
        <f>"50"</f>
        <v>50</v>
      </c>
      <c r="F4155" t="str">
        <f>"041"</f>
        <v>041</v>
      </c>
      <c r="G4155">
        <v>9</v>
      </c>
      <c r="H4155" t="str">
        <f>"11"</f>
        <v>11</v>
      </c>
      <c r="I4155" t="str">
        <f t="shared" si="864"/>
        <v>0</v>
      </c>
      <c r="J4155" t="str">
        <f>"80"</f>
        <v>80</v>
      </c>
      <c r="K4155">
        <v>20190111</v>
      </c>
      <c r="L4155" t="str">
        <f t="shared" si="865"/>
        <v>075156</v>
      </c>
      <c r="M4155" t="str">
        <f t="shared" si="866"/>
        <v>09170</v>
      </c>
      <c r="N4155" t="s">
        <v>679</v>
      </c>
      <c r="O4155">
        <v>149.97999999999999</v>
      </c>
      <c r="P4155">
        <v>20190109</v>
      </c>
      <c r="Q4155" t="s">
        <v>2283</v>
      </c>
      <c r="R4155" t="s">
        <v>3352</v>
      </c>
      <c r="S4155" t="s">
        <v>1615</v>
      </c>
      <c r="T4155" t="s">
        <v>106</v>
      </c>
    </row>
    <row r="4156" spans="1:20" x14ac:dyDescent="0.25">
      <c r="A4156">
        <v>9</v>
      </c>
      <c r="B4156">
        <v>199</v>
      </c>
      <c r="C4156" t="str">
        <f>"11"</f>
        <v>11</v>
      </c>
      <c r="D4156">
        <v>6399</v>
      </c>
      <c r="E4156" t="str">
        <f>"V8"</f>
        <v>V8</v>
      </c>
      <c r="F4156" t="str">
        <f>"001"</f>
        <v>001</v>
      </c>
      <c r="G4156">
        <v>9</v>
      </c>
      <c r="H4156" t="str">
        <f>"22"</f>
        <v>22</v>
      </c>
      <c r="I4156" t="str">
        <f t="shared" si="864"/>
        <v>0</v>
      </c>
      <c r="J4156" t="str">
        <f>"22"</f>
        <v>22</v>
      </c>
      <c r="K4156">
        <v>20190111</v>
      </c>
      <c r="L4156" t="str">
        <f t="shared" si="865"/>
        <v>075156</v>
      </c>
      <c r="M4156" t="str">
        <f t="shared" si="866"/>
        <v>09170</v>
      </c>
      <c r="N4156" t="s">
        <v>679</v>
      </c>
      <c r="O4156">
        <v>161.24</v>
      </c>
      <c r="P4156">
        <v>20190109</v>
      </c>
      <c r="Q4156" t="s">
        <v>2001</v>
      </c>
      <c r="R4156" t="s">
        <v>3353</v>
      </c>
      <c r="S4156" t="s">
        <v>1615</v>
      </c>
      <c r="T4156" t="s">
        <v>301</v>
      </c>
    </row>
    <row r="4157" spans="1:20" x14ac:dyDescent="0.25">
      <c r="A4157">
        <v>9</v>
      </c>
      <c r="B4157">
        <v>199</v>
      </c>
      <c r="C4157" t="str">
        <f>"23"</f>
        <v>23</v>
      </c>
      <c r="D4157">
        <v>6411</v>
      </c>
      <c r="E4157" t="str">
        <f>"10"</f>
        <v>10</v>
      </c>
      <c r="F4157" t="str">
        <f>"001"</f>
        <v>001</v>
      </c>
      <c r="G4157">
        <v>9</v>
      </c>
      <c r="H4157" t="str">
        <f>"99"</f>
        <v>99</v>
      </c>
      <c r="I4157" t="str">
        <f t="shared" si="864"/>
        <v>0</v>
      </c>
      <c r="J4157" t="str">
        <f>"01"</f>
        <v>01</v>
      </c>
      <c r="K4157">
        <v>20190111</v>
      </c>
      <c r="L4157" t="str">
        <f t="shared" si="865"/>
        <v>075156</v>
      </c>
      <c r="M4157" t="str">
        <f t="shared" si="866"/>
        <v>09170</v>
      </c>
      <c r="N4157" t="s">
        <v>679</v>
      </c>
      <c r="O4157">
        <v>350.96</v>
      </c>
      <c r="P4157">
        <v>20190109</v>
      </c>
      <c r="Q4157" t="s">
        <v>2389</v>
      </c>
      <c r="R4157" t="s">
        <v>2975</v>
      </c>
      <c r="S4157" t="s">
        <v>1615</v>
      </c>
      <c r="T4157" t="s">
        <v>301</v>
      </c>
    </row>
    <row r="4158" spans="1:20" x14ac:dyDescent="0.25">
      <c r="A4158">
        <v>9</v>
      </c>
      <c r="B4158">
        <v>199</v>
      </c>
      <c r="C4158" t="str">
        <f>"41"</f>
        <v>41</v>
      </c>
      <c r="D4158">
        <v>6299</v>
      </c>
      <c r="E4158" t="str">
        <f>"10"</f>
        <v>10</v>
      </c>
      <c r="F4158" t="str">
        <f>"730"</f>
        <v>730</v>
      </c>
      <c r="G4158">
        <v>9</v>
      </c>
      <c r="H4158" t="str">
        <f>"99"</f>
        <v>99</v>
      </c>
      <c r="I4158" t="str">
        <f t="shared" si="864"/>
        <v>0</v>
      </c>
      <c r="J4158" t="str">
        <f>"95"</f>
        <v>95</v>
      </c>
      <c r="K4158">
        <v>20190111</v>
      </c>
      <c r="L4158" t="str">
        <f t="shared" si="865"/>
        <v>075156</v>
      </c>
      <c r="M4158" t="str">
        <f t="shared" si="866"/>
        <v>09170</v>
      </c>
      <c r="N4158" t="s">
        <v>679</v>
      </c>
      <c r="O4158">
        <v>96</v>
      </c>
      <c r="P4158">
        <v>20190109</v>
      </c>
      <c r="Q4158" t="s">
        <v>2434</v>
      </c>
      <c r="R4158" t="s">
        <v>3354</v>
      </c>
      <c r="S4158" t="s">
        <v>1615</v>
      </c>
      <c r="T4158" t="s">
        <v>1794</v>
      </c>
    </row>
    <row r="4159" spans="1:20" x14ac:dyDescent="0.25">
      <c r="A4159">
        <v>9</v>
      </c>
      <c r="B4159">
        <v>199</v>
      </c>
      <c r="C4159" t="str">
        <f>"41"</f>
        <v>41</v>
      </c>
      <c r="D4159">
        <v>6411</v>
      </c>
      <c r="E4159" t="str">
        <f>"10"</f>
        <v>10</v>
      </c>
      <c r="F4159" t="str">
        <f>"701"</f>
        <v>701</v>
      </c>
      <c r="G4159">
        <v>9</v>
      </c>
      <c r="H4159" t="str">
        <f>"99"</f>
        <v>99</v>
      </c>
      <c r="I4159" t="str">
        <f t="shared" si="864"/>
        <v>0</v>
      </c>
      <c r="J4159" t="str">
        <f>"92"</f>
        <v>92</v>
      </c>
      <c r="K4159">
        <v>20190111</v>
      </c>
      <c r="L4159" t="str">
        <f t="shared" si="865"/>
        <v>075156</v>
      </c>
      <c r="M4159" t="str">
        <f t="shared" si="866"/>
        <v>09170</v>
      </c>
      <c r="N4159" t="s">
        <v>679</v>
      </c>
      <c r="O4159">
        <v>138.52000000000001</v>
      </c>
      <c r="P4159">
        <v>20190109</v>
      </c>
      <c r="Q4159" t="s">
        <v>3101</v>
      </c>
      <c r="R4159" t="s">
        <v>2975</v>
      </c>
      <c r="S4159" t="s">
        <v>1615</v>
      </c>
      <c r="T4159" t="s">
        <v>1841</v>
      </c>
    </row>
    <row r="4160" spans="1:20" x14ac:dyDescent="0.25">
      <c r="A4160">
        <v>9</v>
      </c>
      <c r="B4160">
        <v>199</v>
      </c>
      <c r="C4160" t="str">
        <f>"36"</f>
        <v>36</v>
      </c>
      <c r="D4160">
        <v>6412</v>
      </c>
      <c r="E4160" t="str">
        <f>"8S"</f>
        <v>8S</v>
      </c>
      <c r="F4160" t="str">
        <f>"001"</f>
        <v>001</v>
      </c>
      <c r="G4160">
        <v>9</v>
      </c>
      <c r="H4160" t="str">
        <f>"99"</f>
        <v>99</v>
      </c>
      <c r="I4160" t="str">
        <f t="shared" si="864"/>
        <v>0</v>
      </c>
      <c r="J4160" t="str">
        <f>"01"</f>
        <v>01</v>
      </c>
      <c r="K4160">
        <v>20190111</v>
      </c>
      <c r="L4160" t="str">
        <f>"075157"</f>
        <v>075157</v>
      </c>
      <c r="M4160" t="str">
        <f>"09210"</f>
        <v>09210</v>
      </c>
      <c r="N4160" t="s">
        <v>1010</v>
      </c>
      <c r="O4160" s="1">
        <v>1289</v>
      </c>
      <c r="P4160">
        <v>20190109</v>
      </c>
      <c r="Q4160" t="s">
        <v>1625</v>
      </c>
      <c r="R4160" t="s">
        <v>3355</v>
      </c>
      <c r="S4160" t="s">
        <v>1615</v>
      </c>
      <c r="T4160" t="s">
        <v>301</v>
      </c>
    </row>
    <row r="4161" spans="1:20" x14ac:dyDescent="0.25">
      <c r="A4161">
        <v>9</v>
      </c>
      <c r="B4161">
        <v>199</v>
      </c>
      <c r="C4161" t="str">
        <f>"11"</f>
        <v>11</v>
      </c>
      <c r="D4161">
        <v>6399</v>
      </c>
      <c r="E4161" t="str">
        <f>"10"</f>
        <v>10</v>
      </c>
      <c r="F4161" t="str">
        <f>"001"</f>
        <v>001</v>
      </c>
      <c r="G4161">
        <v>9</v>
      </c>
      <c r="H4161" t="str">
        <f>"11"</f>
        <v>11</v>
      </c>
      <c r="I4161" t="str">
        <f t="shared" si="864"/>
        <v>0</v>
      </c>
      <c r="J4161" t="str">
        <f>"01"</f>
        <v>01</v>
      </c>
      <c r="K4161">
        <v>20190111</v>
      </c>
      <c r="L4161" t="str">
        <f>"075161"</f>
        <v>075161</v>
      </c>
      <c r="M4161" t="str">
        <f>"11210"</f>
        <v>11210</v>
      </c>
      <c r="N4161" t="s">
        <v>2465</v>
      </c>
      <c r="O4161">
        <v>86.71</v>
      </c>
      <c r="P4161">
        <v>20190109</v>
      </c>
      <c r="Q4161" t="s">
        <v>1675</v>
      </c>
      <c r="R4161" t="s">
        <v>2466</v>
      </c>
      <c r="S4161" t="s">
        <v>1615</v>
      </c>
      <c r="T4161" t="s">
        <v>301</v>
      </c>
    </row>
    <row r="4162" spans="1:20" x14ac:dyDescent="0.25">
      <c r="A4162">
        <v>9</v>
      </c>
      <c r="B4162">
        <v>199</v>
      </c>
      <c r="C4162" t="str">
        <f>"11"</f>
        <v>11</v>
      </c>
      <c r="D4162">
        <v>6399</v>
      </c>
      <c r="E4162" t="str">
        <f>"7A"</f>
        <v>7A</v>
      </c>
      <c r="F4162" t="str">
        <f>"001"</f>
        <v>001</v>
      </c>
      <c r="G4162">
        <v>9</v>
      </c>
      <c r="H4162" t="str">
        <f>"11"</f>
        <v>11</v>
      </c>
      <c r="I4162" t="str">
        <f t="shared" si="864"/>
        <v>0</v>
      </c>
      <c r="J4162" t="str">
        <f>"01"</f>
        <v>01</v>
      </c>
      <c r="K4162">
        <v>20190111</v>
      </c>
      <c r="L4162" t="str">
        <f>"075161"</f>
        <v>075161</v>
      </c>
      <c r="M4162" t="str">
        <f>"11210"</f>
        <v>11210</v>
      </c>
      <c r="N4162" t="s">
        <v>2465</v>
      </c>
      <c r="O4162">
        <v>127.2</v>
      </c>
      <c r="P4162">
        <v>20190109</v>
      </c>
      <c r="Q4162" t="s">
        <v>2157</v>
      </c>
      <c r="R4162" t="s">
        <v>2466</v>
      </c>
      <c r="S4162" t="s">
        <v>1615</v>
      </c>
      <c r="T4162" t="s">
        <v>301</v>
      </c>
    </row>
    <row r="4163" spans="1:20" x14ac:dyDescent="0.25">
      <c r="A4163">
        <v>9</v>
      </c>
      <c r="B4163">
        <v>199</v>
      </c>
      <c r="C4163" t="str">
        <f>"11"</f>
        <v>11</v>
      </c>
      <c r="D4163">
        <v>6299</v>
      </c>
      <c r="E4163" t="str">
        <f>"7E"</f>
        <v>7E</v>
      </c>
      <c r="F4163" t="str">
        <f>"001"</f>
        <v>001</v>
      </c>
      <c r="G4163">
        <v>9</v>
      </c>
      <c r="H4163" t="str">
        <f>"11"</f>
        <v>11</v>
      </c>
      <c r="I4163" t="str">
        <f t="shared" si="864"/>
        <v>0</v>
      </c>
      <c r="J4163" t="str">
        <f>"31"</f>
        <v>31</v>
      </c>
      <c r="K4163">
        <v>20190111</v>
      </c>
      <c r="L4163" t="str">
        <f>"075162"</f>
        <v>075162</v>
      </c>
      <c r="M4163" t="str">
        <f>"13165"</f>
        <v>13165</v>
      </c>
      <c r="N4163" t="s">
        <v>1872</v>
      </c>
      <c r="O4163">
        <v>150</v>
      </c>
      <c r="P4163">
        <v>20190109</v>
      </c>
      <c r="Q4163" t="s">
        <v>1873</v>
      </c>
      <c r="R4163" t="s">
        <v>3356</v>
      </c>
      <c r="S4163" t="s">
        <v>1615</v>
      </c>
      <c r="T4163" t="s">
        <v>301</v>
      </c>
    </row>
    <row r="4164" spans="1:20" x14ac:dyDescent="0.25">
      <c r="A4164">
        <v>9</v>
      </c>
      <c r="B4164">
        <v>199</v>
      </c>
      <c r="C4164" t="str">
        <f>"11"</f>
        <v>11</v>
      </c>
      <c r="D4164">
        <v>6399</v>
      </c>
      <c r="E4164" t="str">
        <f>"8J"</f>
        <v>8J</v>
      </c>
      <c r="F4164" t="str">
        <f>"001"</f>
        <v>001</v>
      </c>
      <c r="G4164">
        <v>9</v>
      </c>
      <c r="H4164" t="str">
        <f>"11"</f>
        <v>11</v>
      </c>
      <c r="I4164" t="str">
        <f t="shared" si="864"/>
        <v>0</v>
      </c>
      <c r="J4164" t="str">
        <f>"01"</f>
        <v>01</v>
      </c>
      <c r="K4164">
        <v>20190111</v>
      </c>
      <c r="L4164" t="str">
        <f>"075164"</f>
        <v>075164</v>
      </c>
      <c r="M4164" t="str">
        <f>"08788"</f>
        <v>08788</v>
      </c>
      <c r="N4164" t="s">
        <v>473</v>
      </c>
      <c r="O4164">
        <v>456.65</v>
      </c>
      <c r="P4164">
        <v>20190109</v>
      </c>
      <c r="Q4164" t="s">
        <v>3357</v>
      </c>
      <c r="R4164" t="s">
        <v>3358</v>
      </c>
      <c r="S4164" t="s">
        <v>1615</v>
      </c>
      <c r="T4164" t="s">
        <v>301</v>
      </c>
    </row>
    <row r="4165" spans="1:20" x14ac:dyDescent="0.25">
      <c r="A4165">
        <v>9</v>
      </c>
      <c r="B4165">
        <v>199</v>
      </c>
      <c r="C4165" t="str">
        <f>"51"</f>
        <v>51</v>
      </c>
      <c r="D4165">
        <v>6319</v>
      </c>
      <c r="E4165" t="str">
        <f>"M3"</f>
        <v>M3</v>
      </c>
      <c r="F4165" t="str">
        <f>"936"</f>
        <v>936</v>
      </c>
      <c r="G4165">
        <v>9</v>
      </c>
      <c r="H4165" t="str">
        <f>"99"</f>
        <v>99</v>
      </c>
      <c r="I4165" t="str">
        <f t="shared" si="864"/>
        <v>0</v>
      </c>
      <c r="J4165" t="str">
        <f>"81"</f>
        <v>81</v>
      </c>
      <c r="K4165">
        <v>20190111</v>
      </c>
      <c r="L4165" t="str">
        <f>"075165"</f>
        <v>075165</v>
      </c>
      <c r="M4165" t="str">
        <f>"13268"</f>
        <v>13268</v>
      </c>
      <c r="N4165" t="s">
        <v>2471</v>
      </c>
      <c r="O4165">
        <v>464.16</v>
      </c>
      <c r="P4165">
        <v>20190109</v>
      </c>
      <c r="Q4165" t="s">
        <v>2246</v>
      </c>
      <c r="R4165" t="s">
        <v>3359</v>
      </c>
      <c r="S4165" t="s">
        <v>1615</v>
      </c>
      <c r="T4165" t="s">
        <v>1713</v>
      </c>
    </row>
    <row r="4166" spans="1:20" x14ac:dyDescent="0.25">
      <c r="A4166">
        <v>9</v>
      </c>
      <c r="B4166">
        <v>199</v>
      </c>
      <c r="C4166" t="str">
        <f>"41"</f>
        <v>41</v>
      </c>
      <c r="D4166">
        <v>6211</v>
      </c>
      <c r="E4166" t="str">
        <f>"01"</f>
        <v>01</v>
      </c>
      <c r="F4166" t="str">
        <f>"702"</f>
        <v>702</v>
      </c>
      <c r="G4166">
        <v>9</v>
      </c>
      <c r="H4166" t="str">
        <f>"99"</f>
        <v>99</v>
      </c>
      <c r="I4166" t="str">
        <f t="shared" si="864"/>
        <v>0</v>
      </c>
      <c r="J4166" t="str">
        <f>"93"</f>
        <v>93</v>
      </c>
      <c r="K4166">
        <v>20190111</v>
      </c>
      <c r="L4166" t="str">
        <f>"075166"</f>
        <v>075166</v>
      </c>
      <c r="M4166" t="str">
        <f>"13281"</f>
        <v>13281</v>
      </c>
      <c r="N4166" t="s">
        <v>1684</v>
      </c>
      <c r="O4166" s="1">
        <v>3208.33</v>
      </c>
      <c r="P4166">
        <v>20190109</v>
      </c>
      <c r="Q4166" t="s">
        <v>1685</v>
      </c>
      <c r="R4166" t="s">
        <v>3360</v>
      </c>
      <c r="S4166" t="s">
        <v>1615</v>
      </c>
      <c r="T4166" t="s">
        <v>1611</v>
      </c>
    </row>
    <row r="4167" spans="1:20" x14ac:dyDescent="0.25">
      <c r="A4167">
        <v>9</v>
      </c>
      <c r="B4167">
        <v>199</v>
      </c>
      <c r="C4167" t="str">
        <f>"11"</f>
        <v>11</v>
      </c>
      <c r="D4167">
        <v>6399</v>
      </c>
      <c r="E4167" t="str">
        <f>"N9"</f>
        <v>N9</v>
      </c>
      <c r="F4167" t="str">
        <f>"001"</f>
        <v>001</v>
      </c>
      <c r="G4167">
        <v>9</v>
      </c>
      <c r="H4167" t="str">
        <f>"11"</f>
        <v>11</v>
      </c>
      <c r="I4167" t="str">
        <f t="shared" si="864"/>
        <v>0</v>
      </c>
      <c r="J4167" t="str">
        <f>"01"</f>
        <v>01</v>
      </c>
      <c r="K4167">
        <v>20190111</v>
      </c>
      <c r="L4167" t="str">
        <f>"075169"</f>
        <v>075169</v>
      </c>
      <c r="M4167" t="str">
        <f>"19160"</f>
        <v>19160</v>
      </c>
      <c r="N4167" t="s">
        <v>3097</v>
      </c>
      <c r="O4167">
        <v>66.84</v>
      </c>
      <c r="P4167">
        <v>20190109</v>
      </c>
      <c r="Q4167" t="s">
        <v>2160</v>
      </c>
      <c r="R4167" t="s">
        <v>3361</v>
      </c>
      <c r="S4167" t="s">
        <v>1615</v>
      </c>
      <c r="T4167" t="s">
        <v>301</v>
      </c>
    </row>
    <row r="4168" spans="1:20" x14ac:dyDescent="0.25">
      <c r="A4168">
        <v>9</v>
      </c>
      <c r="B4168">
        <v>199</v>
      </c>
      <c r="C4168" t="str">
        <f>"51"</f>
        <v>51</v>
      </c>
      <c r="D4168">
        <v>6254</v>
      </c>
      <c r="E4168" t="str">
        <f>"ME"</f>
        <v>ME</v>
      </c>
      <c r="F4168" t="str">
        <f>"936"</f>
        <v>936</v>
      </c>
      <c r="G4168">
        <v>9</v>
      </c>
      <c r="H4168" t="str">
        <f>"99"</f>
        <v>99</v>
      </c>
      <c r="I4168" t="str">
        <f>"1"</f>
        <v>1</v>
      </c>
      <c r="J4168" t="str">
        <f>"73"</f>
        <v>73</v>
      </c>
      <c r="K4168">
        <v>20190111</v>
      </c>
      <c r="L4168" t="str">
        <f>"075170"</f>
        <v>075170</v>
      </c>
      <c r="M4168" t="str">
        <f>"19310"</f>
        <v>19310</v>
      </c>
      <c r="N4168" t="s">
        <v>1689</v>
      </c>
      <c r="O4168">
        <v>336.21</v>
      </c>
      <c r="P4168">
        <v>20190109</v>
      </c>
      <c r="Q4168" t="s">
        <v>1891</v>
      </c>
      <c r="R4168" t="s">
        <v>3362</v>
      </c>
      <c r="S4168" t="s">
        <v>1615</v>
      </c>
      <c r="T4168" t="s">
        <v>1713</v>
      </c>
    </row>
    <row r="4169" spans="1:20" x14ac:dyDescent="0.25">
      <c r="A4169">
        <v>9</v>
      </c>
      <c r="B4169">
        <v>199</v>
      </c>
      <c r="C4169" t="str">
        <f>"34"</f>
        <v>34</v>
      </c>
      <c r="D4169">
        <v>6249</v>
      </c>
      <c r="E4169" t="str">
        <f>"10"</f>
        <v>10</v>
      </c>
      <c r="F4169" t="str">
        <f>"937"</f>
        <v>937</v>
      </c>
      <c r="G4169">
        <v>9</v>
      </c>
      <c r="H4169" t="str">
        <f>"99"</f>
        <v>99</v>
      </c>
      <c r="I4169" t="str">
        <f t="shared" ref="I4169:I4175" si="867">"0"</f>
        <v>0</v>
      </c>
      <c r="J4169" t="str">
        <f>"82"</f>
        <v>82</v>
      </c>
      <c r="K4169">
        <v>20190111</v>
      </c>
      <c r="L4169" t="str">
        <f>"075172"</f>
        <v>075172</v>
      </c>
      <c r="M4169" t="str">
        <f>"21842"</f>
        <v>21842</v>
      </c>
      <c r="N4169" t="s">
        <v>2576</v>
      </c>
      <c r="O4169">
        <v>278.85000000000002</v>
      </c>
      <c r="P4169">
        <v>20190109</v>
      </c>
      <c r="Q4169" t="s">
        <v>2036</v>
      </c>
      <c r="R4169" t="s">
        <v>3363</v>
      </c>
      <c r="S4169" t="s">
        <v>1615</v>
      </c>
      <c r="T4169" t="s">
        <v>1810</v>
      </c>
    </row>
    <row r="4170" spans="1:20" x14ac:dyDescent="0.25">
      <c r="A4170">
        <v>9</v>
      </c>
      <c r="B4170">
        <v>199</v>
      </c>
      <c r="C4170" t="str">
        <f>"51"</f>
        <v>51</v>
      </c>
      <c r="D4170">
        <v>6319</v>
      </c>
      <c r="E4170" t="str">
        <f>"M2"</f>
        <v>M2</v>
      </c>
      <c r="F4170" t="str">
        <f>"936"</f>
        <v>936</v>
      </c>
      <c r="G4170">
        <v>9</v>
      </c>
      <c r="H4170" t="str">
        <f>"99"</f>
        <v>99</v>
      </c>
      <c r="I4170" t="str">
        <f t="shared" si="867"/>
        <v>0</v>
      </c>
      <c r="J4170" t="str">
        <f>"81"</f>
        <v>81</v>
      </c>
      <c r="K4170">
        <v>20190111</v>
      </c>
      <c r="L4170" t="str">
        <f>"075172"</f>
        <v>075172</v>
      </c>
      <c r="M4170" t="str">
        <f>"21842"</f>
        <v>21842</v>
      </c>
      <c r="N4170" t="s">
        <v>2576</v>
      </c>
      <c r="O4170">
        <v>65.25</v>
      </c>
      <c r="P4170">
        <v>20190109</v>
      </c>
      <c r="Q4170" t="s">
        <v>2074</v>
      </c>
      <c r="R4170" t="s">
        <v>3364</v>
      </c>
      <c r="S4170" t="s">
        <v>1615</v>
      </c>
      <c r="T4170" t="s">
        <v>1713</v>
      </c>
    </row>
    <row r="4171" spans="1:20" x14ac:dyDescent="0.25">
      <c r="A4171">
        <v>9</v>
      </c>
      <c r="B4171">
        <v>199</v>
      </c>
      <c r="C4171" t="str">
        <f>"11"</f>
        <v>11</v>
      </c>
      <c r="D4171">
        <v>6399</v>
      </c>
      <c r="E4171" t="str">
        <f>"10"</f>
        <v>10</v>
      </c>
      <c r="F4171" t="str">
        <f>"101"</f>
        <v>101</v>
      </c>
      <c r="G4171">
        <v>9</v>
      </c>
      <c r="H4171" t="str">
        <f>"11"</f>
        <v>11</v>
      </c>
      <c r="I4171" t="str">
        <f t="shared" si="867"/>
        <v>0</v>
      </c>
      <c r="J4171" t="str">
        <f>"80"</f>
        <v>80</v>
      </c>
      <c r="K4171">
        <v>20190111</v>
      </c>
      <c r="L4171" t="str">
        <f>"075173"</f>
        <v>075173</v>
      </c>
      <c r="M4171" t="str">
        <f>"16807"</f>
        <v>16807</v>
      </c>
      <c r="N4171" t="s">
        <v>1581</v>
      </c>
      <c r="O4171">
        <v>129.63999999999999</v>
      </c>
      <c r="P4171">
        <v>20190109</v>
      </c>
      <c r="Q4171" t="s">
        <v>1981</v>
      </c>
      <c r="R4171" t="s">
        <v>3365</v>
      </c>
      <c r="S4171" t="s">
        <v>1615</v>
      </c>
      <c r="T4171" t="s">
        <v>1479</v>
      </c>
    </row>
    <row r="4172" spans="1:20" x14ac:dyDescent="0.25">
      <c r="A4172">
        <v>9</v>
      </c>
      <c r="B4172">
        <v>199</v>
      </c>
      <c r="C4172" t="str">
        <f>"11"</f>
        <v>11</v>
      </c>
      <c r="D4172">
        <v>6399</v>
      </c>
      <c r="E4172" t="str">
        <f>"10"</f>
        <v>10</v>
      </c>
      <c r="F4172" t="str">
        <f>"101"</f>
        <v>101</v>
      </c>
      <c r="G4172">
        <v>9</v>
      </c>
      <c r="H4172" t="str">
        <f>"11"</f>
        <v>11</v>
      </c>
      <c r="I4172" t="str">
        <f t="shared" si="867"/>
        <v>0</v>
      </c>
      <c r="J4172" t="str">
        <f>"80"</f>
        <v>80</v>
      </c>
      <c r="K4172">
        <v>20190111</v>
      </c>
      <c r="L4172" t="str">
        <f>"075173"</f>
        <v>075173</v>
      </c>
      <c r="M4172" t="str">
        <f>"16807"</f>
        <v>16807</v>
      </c>
      <c r="N4172" t="s">
        <v>1581</v>
      </c>
      <c r="O4172">
        <v>49.16</v>
      </c>
      <c r="P4172">
        <v>20190109</v>
      </c>
      <c r="Q4172" t="s">
        <v>1981</v>
      </c>
      <c r="R4172" t="s">
        <v>3366</v>
      </c>
      <c r="S4172" t="s">
        <v>1615</v>
      </c>
      <c r="T4172" t="s">
        <v>1479</v>
      </c>
    </row>
    <row r="4173" spans="1:20" x14ac:dyDescent="0.25">
      <c r="A4173">
        <v>9</v>
      </c>
      <c r="B4173">
        <v>199</v>
      </c>
      <c r="C4173" t="str">
        <f>"11"</f>
        <v>11</v>
      </c>
      <c r="D4173">
        <v>6399</v>
      </c>
      <c r="E4173" t="str">
        <f>"45"</f>
        <v>45</v>
      </c>
      <c r="F4173" t="str">
        <f>"101"</f>
        <v>101</v>
      </c>
      <c r="G4173">
        <v>9</v>
      </c>
      <c r="H4173" t="str">
        <f>"11"</f>
        <v>11</v>
      </c>
      <c r="I4173" t="str">
        <f t="shared" si="867"/>
        <v>0</v>
      </c>
      <c r="J4173" t="str">
        <f>"04"</f>
        <v>04</v>
      </c>
      <c r="K4173">
        <v>20190111</v>
      </c>
      <c r="L4173" t="str">
        <f>"075173"</f>
        <v>075173</v>
      </c>
      <c r="M4173" t="str">
        <f>"16807"</f>
        <v>16807</v>
      </c>
      <c r="N4173" t="s">
        <v>1581</v>
      </c>
      <c r="O4173">
        <v>306.52</v>
      </c>
      <c r="P4173">
        <v>20190109</v>
      </c>
      <c r="Q4173" t="s">
        <v>1859</v>
      </c>
      <c r="R4173" t="s">
        <v>1997</v>
      </c>
      <c r="S4173" t="s">
        <v>1615</v>
      </c>
      <c r="T4173" t="s">
        <v>1479</v>
      </c>
    </row>
    <row r="4174" spans="1:20" x14ac:dyDescent="0.25">
      <c r="A4174">
        <v>9</v>
      </c>
      <c r="B4174">
        <v>199</v>
      </c>
      <c r="C4174" t="str">
        <f>"11"</f>
        <v>11</v>
      </c>
      <c r="D4174">
        <v>6399</v>
      </c>
      <c r="E4174" t="str">
        <f>"P1"</f>
        <v>P1</v>
      </c>
      <c r="F4174" t="str">
        <f t="shared" ref="F4174:F4184" si="868">"001"</f>
        <v>001</v>
      </c>
      <c r="G4174">
        <v>9</v>
      </c>
      <c r="H4174" t="str">
        <f>"11"</f>
        <v>11</v>
      </c>
      <c r="I4174" t="str">
        <f t="shared" si="867"/>
        <v>0</v>
      </c>
      <c r="J4174" t="str">
        <f>"01"</f>
        <v>01</v>
      </c>
      <c r="K4174">
        <v>20190111</v>
      </c>
      <c r="L4174" t="str">
        <f>"075173"</f>
        <v>075173</v>
      </c>
      <c r="M4174" t="str">
        <f>"16807"</f>
        <v>16807</v>
      </c>
      <c r="N4174" t="s">
        <v>1581</v>
      </c>
      <c r="O4174">
        <v>135.65</v>
      </c>
      <c r="P4174">
        <v>20190109</v>
      </c>
      <c r="Q4174" t="s">
        <v>2698</v>
      </c>
      <c r="R4174" t="s">
        <v>3367</v>
      </c>
      <c r="S4174" t="s">
        <v>1615</v>
      </c>
      <c r="T4174" t="s">
        <v>301</v>
      </c>
    </row>
    <row r="4175" spans="1:20" x14ac:dyDescent="0.25">
      <c r="A4175">
        <v>9</v>
      </c>
      <c r="B4175">
        <v>199</v>
      </c>
      <c r="C4175" t="str">
        <f>"11"</f>
        <v>11</v>
      </c>
      <c r="D4175">
        <v>6649</v>
      </c>
      <c r="E4175" t="str">
        <f>"VA"</f>
        <v>VA</v>
      </c>
      <c r="F4175" t="str">
        <f t="shared" si="868"/>
        <v>001</v>
      </c>
      <c r="G4175">
        <v>9</v>
      </c>
      <c r="H4175" t="str">
        <f>"22"</f>
        <v>22</v>
      </c>
      <c r="I4175" t="str">
        <f t="shared" si="867"/>
        <v>0</v>
      </c>
      <c r="J4175" t="str">
        <f>"22"</f>
        <v>22</v>
      </c>
      <c r="K4175">
        <v>20190111</v>
      </c>
      <c r="L4175" t="str">
        <f>"075173"</f>
        <v>075173</v>
      </c>
      <c r="M4175" t="str">
        <f>"16807"</f>
        <v>16807</v>
      </c>
      <c r="N4175" t="s">
        <v>1581</v>
      </c>
      <c r="O4175" s="1">
        <v>3769.95</v>
      </c>
      <c r="P4175">
        <v>20190109</v>
      </c>
      <c r="Q4175" t="s">
        <v>2995</v>
      </c>
      <c r="R4175" t="s">
        <v>1583</v>
      </c>
      <c r="S4175" t="s">
        <v>1615</v>
      </c>
      <c r="T4175" t="s">
        <v>301</v>
      </c>
    </row>
    <row r="4176" spans="1:20" x14ac:dyDescent="0.25">
      <c r="A4176">
        <v>9</v>
      </c>
      <c r="B4176">
        <v>199</v>
      </c>
      <c r="C4176" t="str">
        <f>"36"</f>
        <v>36</v>
      </c>
      <c r="D4176">
        <v>6412</v>
      </c>
      <c r="E4176" t="str">
        <f>"7B"</f>
        <v>7B</v>
      </c>
      <c r="F4176" t="str">
        <f t="shared" si="868"/>
        <v>001</v>
      </c>
      <c r="G4176">
        <v>9</v>
      </c>
      <c r="H4176" t="str">
        <f>"99"</f>
        <v>99</v>
      </c>
      <c r="I4176" t="str">
        <f>"1"</f>
        <v>1</v>
      </c>
      <c r="J4176" t="str">
        <f>"32"</f>
        <v>32</v>
      </c>
      <c r="K4176">
        <v>20190111</v>
      </c>
      <c r="L4176" t="str">
        <f>"075174"</f>
        <v>075174</v>
      </c>
      <c r="M4176" t="str">
        <f>"20416"</f>
        <v>20416</v>
      </c>
      <c r="N4176" t="s">
        <v>1693</v>
      </c>
      <c r="O4176">
        <v>50</v>
      </c>
      <c r="P4176">
        <v>20190109</v>
      </c>
      <c r="Q4176" t="s">
        <v>1696</v>
      </c>
      <c r="R4176" t="s">
        <v>1659</v>
      </c>
      <c r="S4176" t="s">
        <v>1615</v>
      </c>
      <c r="T4176" t="s">
        <v>301</v>
      </c>
    </row>
    <row r="4177" spans="1:20" x14ac:dyDescent="0.25">
      <c r="A4177">
        <v>9</v>
      </c>
      <c r="B4177">
        <v>199</v>
      </c>
      <c r="C4177" t="str">
        <f t="shared" ref="C4177:C4184" si="869">"11"</f>
        <v>11</v>
      </c>
      <c r="D4177">
        <v>6269</v>
      </c>
      <c r="E4177" t="str">
        <f>"VA"</f>
        <v>VA</v>
      </c>
      <c r="F4177" t="str">
        <f t="shared" si="868"/>
        <v>001</v>
      </c>
      <c r="G4177">
        <v>9</v>
      </c>
      <c r="H4177" t="str">
        <f t="shared" ref="H4177:H4184" si="870">"22"</f>
        <v>22</v>
      </c>
      <c r="I4177" t="str">
        <f t="shared" ref="I4177:I4203" si="871">"0"</f>
        <v>0</v>
      </c>
      <c r="J4177" t="str">
        <f t="shared" ref="J4177:J4184" si="872">"22"</f>
        <v>22</v>
      </c>
      <c r="K4177">
        <v>20190111</v>
      </c>
      <c r="L4177" t="str">
        <f t="shared" ref="L4177:L4184" si="873">"075175"</f>
        <v>075175</v>
      </c>
      <c r="M4177" t="str">
        <f t="shared" ref="M4177:M4184" si="874">"20683"</f>
        <v>20683</v>
      </c>
      <c r="N4177" t="s">
        <v>1697</v>
      </c>
      <c r="O4177">
        <v>50.88</v>
      </c>
      <c r="P4177">
        <v>20190109</v>
      </c>
      <c r="Q4177" t="s">
        <v>2213</v>
      </c>
      <c r="R4177" t="s">
        <v>3368</v>
      </c>
      <c r="S4177" t="s">
        <v>1615</v>
      </c>
      <c r="T4177" t="s">
        <v>301</v>
      </c>
    </row>
    <row r="4178" spans="1:20" x14ac:dyDescent="0.25">
      <c r="A4178">
        <v>9</v>
      </c>
      <c r="B4178">
        <v>199</v>
      </c>
      <c r="C4178" t="str">
        <f t="shared" si="869"/>
        <v>11</v>
      </c>
      <c r="D4178">
        <v>6269</v>
      </c>
      <c r="E4178" t="str">
        <f>"VA"</f>
        <v>VA</v>
      </c>
      <c r="F4178" t="str">
        <f t="shared" si="868"/>
        <v>001</v>
      </c>
      <c r="G4178">
        <v>9</v>
      </c>
      <c r="H4178" t="str">
        <f t="shared" si="870"/>
        <v>22</v>
      </c>
      <c r="I4178" t="str">
        <f t="shared" si="871"/>
        <v>0</v>
      </c>
      <c r="J4178" t="str">
        <f t="shared" si="872"/>
        <v>22</v>
      </c>
      <c r="K4178">
        <v>20190111</v>
      </c>
      <c r="L4178" t="str">
        <f t="shared" si="873"/>
        <v>075175</v>
      </c>
      <c r="M4178" t="str">
        <f t="shared" si="874"/>
        <v>20683</v>
      </c>
      <c r="N4178" t="s">
        <v>1697</v>
      </c>
      <c r="O4178">
        <v>49.76</v>
      </c>
      <c r="P4178">
        <v>20190109</v>
      </c>
      <c r="Q4178" t="s">
        <v>2213</v>
      </c>
      <c r="R4178" t="s">
        <v>3369</v>
      </c>
      <c r="S4178" t="s">
        <v>1615</v>
      </c>
      <c r="T4178" t="s">
        <v>301</v>
      </c>
    </row>
    <row r="4179" spans="1:20" x14ac:dyDescent="0.25">
      <c r="A4179">
        <v>9</v>
      </c>
      <c r="B4179">
        <v>199</v>
      </c>
      <c r="C4179" t="str">
        <f t="shared" si="869"/>
        <v>11</v>
      </c>
      <c r="D4179">
        <v>6269</v>
      </c>
      <c r="E4179" t="str">
        <f>"VA"</f>
        <v>VA</v>
      </c>
      <c r="F4179" t="str">
        <f t="shared" si="868"/>
        <v>001</v>
      </c>
      <c r="G4179">
        <v>9</v>
      </c>
      <c r="H4179" t="str">
        <f t="shared" si="870"/>
        <v>22</v>
      </c>
      <c r="I4179" t="str">
        <f t="shared" si="871"/>
        <v>0</v>
      </c>
      <c r="J4179" t="str">
        <f t="shared" si="872"/>
        <v>22</v>
      </c>
      <c r="K4179">
        <v>20190111</v>
      </c>
      <c r="L4179" t="str">
        <f t="shared" si="873"/>
        <v>075175</v>
      </c>
      <c r="M4179" t="str">
        <f t="shared" si="874"/>
        <v>20683</v>
      </c>
      <c r="N4179" t="s">
        <v>1697</v>
      </c>
      <c r="O4179">
        <v>49.76</v>
      </c>
      <c r="P4179">
        <v>20190109</v>
      </c>
      <c r="Q4179" t="s">
        <v>2213</v>
      </c>
      <c r="R4179" t="s">
        <v>3370</v>
      </c>
      <c r="S4179" t="s">
        <v>1615</v>
      </c>
      <c r="T4179" t="s">
        <v>301</v>
      </c>
    </row>
    <row r="4180" spans="1:20" x14ac:dyDescent="0.25">
      <c r="A4180">
        <v>9</v>
      </c>
      <c r="B4180">
        <v>199</v>
      </c>
      <c r="C4180" t="str">
        <f t="shared" si="869"/>
        <v>11</v>
      </c>
      <c r="D4180">
        <v>6269</v>
      </c>
      <c r="E4180" t="str">
        <f>"VA"</f>
        <v>VA</v>
      </c>
      <c r="F4180" t="str">
        <f t="shared" si="868"/>
        <v>001</v>
      </c>
      <c r="G4180">
        <v>9</v>
      </c>
      <c r="H4180" t="str">
        <f t="shared" si="870"/>
        <v>22</v>
      </c>
      <c r="I4180" t="str">
        <f t="shared" si="871"/>
        <v>0</v>
      </c>
      <c r="J4180" t="str">
        <f t="shared" si="872"/>
        <v>22</v>
      </c>
      <c r="K4180">
        <v>20190111</v>
      </c>
      <c r="L4180" t="str">
        <f t="shared" si="873"/>
        <v>075175</v>
      </c>
      <c r="M4180" t="str">
        <f t="shared" si="874"/>
        <v>20683</v>
      </c>
      <c r="N4180" t="s">
        <v>1697</v>
      </c>
      <c r="O4180">
        <v>96.26</v>
      </c>
      <c r="P4180">
        <v>20190109</v>
      </c>
      <c r="Q4180" t="s">
        <v>2213</v>
      </c>
      <c r="R4180" t="s">
        <v>3371</v>
      </c>
      <c r="S4180" t="s">
        <v>1615</v>
      </c>
      <c r="T4180" t="s">
        <v>301</v>
      </c>
    </row>
    <row r="4181" spans="1:20" x14ac:dyDescent="0.25">
      <c r="A4181">
        <v>9</v>
      </c>
      <c r="B4181">
        <v>199</v>
      </c>
      <c r="C4181" t="str">
        <f t="shared" si="869"/>
        <v>11</v>
      </c>
      <c r="D4181">
        <v>6399</v>
      </c>
      <c r="E4181" t="str">
        <f>"V8"</f>
        <v>V8</v>
      </c>
      <c r="F4181" t="str">
        <f t="shared" si="868"/>
        <v>001</v>
      </c>
      <c r="G4181">
        <v>9</v>
      </c>
      <c r="H4181" t="str">
        <f t="shared" si="870"/>
        <v>22</v>
      </c>
      <c r="I4181" t="str">
        <f t="shared" si="871"/>
        <v>0</v>
      </c>
      <c r="J4181" t="str">
        <f t="shared" si="872"/>
        <v>22</v>
      </c>
      <c r="K4181">
        <v>20190111</v>
      </c>
      <c r="L4181" t="str">
        <f t="shared" si="873"/>
        <v>075175</v>
      </c>
      <c r="M4181" t="str">
        <f t="shared" si="874"/>
        <v>20683</v>
      </c>
      <c r="N4181" t="s">
        <v>1697</v>
      </c>
      <c r="O4181">
        <v>13.69</v>
      </c>
      <c r="P4181">
        <v>20190109</v>
      </c>
      <c r="Q4181" t="s">
        <v>2001</v>
      </c>
      <c r="R4181" t="s">
        <v>3368</v>
      </c>
      <c r="S4181" t="s">
        <v>1615</v>
      </c>
      <c r="T4181" t="s">
        <v>301</v>
      </c>
    </row>
    <row r="4182" spans="1:20" x14ac:dyDescent="0.25">
      <c r="A4182">
        <v>9</v>
      </c>
      <c r="B4182">
        <v>199</v>
      </c>
      <c r="C4182" t="str">
        <f t="shared" si="869"/>
        <v>11</v>
      </c>
      <c r="D4182">
        <v>6399</v>
      </c>
      <c r="E4182" t="str">
        <f>"V8"</f>
        <v>V8</v>
      </c>
      <c r="F4182" t="str">
        <f t="shared" si="868"/>
        <v>001</v>
      </c>
      <c r="G4182">
        <v>9</v>
      </c>
      <c r="H4182" t="str">
        <f t="shared" si="870"/>
        <v>22</v>
      </c>
      <c r="I4182" t="str">
        <f t="shared" si="871"/>
        <v>0</v>
      </c>
      <c r="J4182" t="str">
        <f t="shared" si="872"/>
        <v>22</v>
      </c>
      <c r="K4182">
        <v>20190111</v>
      </c>
      <c r="L4182" t="str">
        <f t="shared" si="873"/>
        <v>075175</v>
      </c>
      <c r="M4182" t="str">
        <f t="shared" si="874"/>
        <v>20683</v>
      </c>
      <c r="N4182" t="s">
        <v>1697</v>
      </c>
      <c r="O4182">
        <v>13.69</v>
      </c>
      <c r="P4182">
        <v>20190109</v>
      </c>
      <c r="Q4182" t="s">
        <v>2001</v>
      </c>
      <c r="R4182" t="s">
        <v>3369</v>
      </c>
      <c r="S4182" t="s">
        <v>1615</v>
      </c>
      <c r="T4182" t="s">
        <v>301</v>
      </c>
    </row>
    <row r="4183" spans="1:20" x14ac:dyDescent="0.25">
      <c r="A4183">
        <v>9</v>
      </c>
      <c r="B4183">
        <v>199</v>
      </c>
      <c r="C4183" t="str">
        <f t="shared" si="869"/>
        <v>11</v>
      </c>
      <c r="D4183">
        <v>6399</v>
      </c>
      <c r="E4183" t="str">
        <f>"V8"</f>
        <v>V8</v>
      </c>
      <c r="F4183" t="str">
        <f t="shared" si="868"/>
        <v>001</v>
      </c>
      <c r="G4183">
        <v>9</v>
      </c>
      <c r="H4183" t="str">
        <f t="shared" si="870"/>
        <v>22</v>
      </c>
      <c r="I4183" t="str">
        <f t="shared" si="871"/>
        <v>0</v>
      </c>
      <c r="J4183" t="str">
        <f t="shared" si="872"/>
        <v>22</v>
      </c>
      <c r="K4183">
        <v>20190111</v>
      </c>
      <c r="L4183" t="str">
        <f t="shared" si="873"/>
        <v>075175</v>
      </c>
      <c r="M4183" t="str">
        <f t="shared" si="874"/>
        <v>20683</v>
      </c>
      <c r="N4183" t="s">
        <v>1697</v>
      </c>
      <c r="O4183">
        <v>13.69</v>
      </c>
      <c r="P4183">
        <v>20190109</v>
      </c>
      <c r="Q4183" t="s">
        <v>2001</v>
      </c>
      <c r="R4183" t="s">
        <v>3370</v>
      </c>
      <c r="S4183" t="s">
        <v>1615</v>
      </c>
      <c r="T4183" t="s">
        <v>301</v>
      </c>
    </row>
    <row r="4184" spans="1:20" x14ac:dyDescent="0.25">
      <c r="A4184">
        <v>9</v>
      </c>
      <c r="B4184">
        <v>199</v>
      </c>
      <c r="C4184" t="str">
        <f t="shared" si="869"/>
        <v>11</v>
      </c>
      <c r="D4184">
        <v>6399</v>
      </c>
      <c r="E4184" t="str">
        <f>"V8"</f>
        <v>V8</v>
      </c>
      <c r="F4184" t="str">
        <f t="shared" si="868"/>
        <v>001</v>
      </c>
      <c r="G4184">
        <v>9</v>
      </c>
      <c r="H4184" t="str">
        <f t="shared" si="870"/>
        <v>22</v>
      </c>
      <c r="I4184" t="str">
        <f t="shared" si="871"/>
        <v>0</v>
      </c>
      <c r="J4184" t="str">
        <f t="shared" si="872"/>
        <v>22</v>
      </c>
      <c r="K4184">
        <v>20190111</v>
      </c>
      <c r="L4184" t="str">
        <f t="shared" si="873"/>
        <v>075175</v>
      </c>
      <c r="M4184" t="str">
        <f t="shared" si="874"/>
        <v>20683</v>
      </c>
      <c r="N4184" t="s">
        <v>1697</v>
      </c>
      <c r="O4184">
        <v>13.69</v>
      </c>
      <c r="P4184">
        <v>20190109</v>
      </c>
      <c r="Q4184" t="s">
        <v>2001</v>
      </c>
      <c r="R4184" t="s">
        <v>3371</v>
      </c>
      <c r="S4184" t="s">
        <v>1615</v>
      </c>
      <c r="T4184" t="s">
        <v>301</v>
      </c>
    </row>
    <row r="4185" spans="1:20" x14ac:dyDescent="0.25">
      <c r="A4185">
        <v>9</v>
      </c>
      <c r="B4185">
        <v>199</v>
      </c>
      <c r="C4185" t="str">
        <f>"21"</f>
        <v>21</v>
      </c>
      <c r="D4185">
        <v>6399</v>
      </c>
      <c r="E4185" t="str">
        <f>"00"</f>
        <v>00</v>
      </c>
      <c r="F4185" t="str">
        <f>"875"</f>
        <v>875</v>
      </c>
      <c r="G4185">
        <v>9</v>
      </c>
      <c r="H4185" t="str">
        <f>"23"</f>
        <v>23</v>
      </c>
      <c r="I4185" t="str">
        <f t="shared" si="871"/>
        <v>0</v>
      </c>
      <c r="J4185" t="str">
        <f>"23"</f>
        <v>23</v>
      </c>
      <c r="K4185">
        <v>20190111</v>
      </c>
      <c r="L4185" t="str">
        <f>"075176"</f>
        <v>075176</v>
      </c>
      <c r="M4185" t="str">
        <f>"21098"</f>
        <v>21098</v>
      </c>
      <c r="N4185" t="s">
        <v>2038</v>
      </c>
      <c r="O4185">
        <v>283.8</v>
      </c>
      <c r="P4185">
        <v>20190109</v>
      </c>
      <c r="Q4185" t="s">
        <v>2039</v>
      </c>
      <c r="R4185" t="s">
        <v>3372</v>
      </c>
      <c r="S4185" t="s">
        <v>1615</v>
      </c>
      <c r="T4185" t="s">
        <v>2041</v>
      </c>
    </row>
    <row r="4186" spans="1:20" x14ac:dyDescent="0.25">
      <c r="A4186">
        <v>9</v>
      </c>
      <c r="B4186">
        <v>199</v>
      </c>
      <c r="C4186" t="str">
        <f>"34"</f>
        <v>34</v>
      </c>
      <c r="D4186">
        <v>6249</v>
      </c>
      <c r="E4186" t="str">
        <f>"10"</f>
        <v>10</v>
      </c>
      <c r="F4186" t="str">
        <f>"937"</f>
        <v>937</v>
      </c>
      <c r="G4186">
        <v>9</v>
      </c>
      <c r="H4186" t="str">
        <f>"99"</f>
        <v>99</v>
      </c>
      <c r="I4186" t="str">
        <f t="shared" si="871"/>
        <v>0</v>
      </c>
      <c r="J4186" t="str">
        <f>"82"</f>
        <v>82</v>
      </c>
      <c r="K4186">
        <v>20190111</v>
      </c>
      <c r="L4186" t="str">
        <f>"075177"</f>
        <v>075177</v>
      </c>
      <c r="M4186" t="str">
        <f>"21901"</f>
        <v>21901</v>
      </c>
      <c r="N4186" t="s">
        <v>2046</v>
      </c>
      <c r="O4186">
        <v>829.67</v>
      </c>
      <c r="P4186">
        <v>20190109</v>
      </c>
      <c r="Q4186" t="s">
        <v>2036</v>
      </c>
      <c r="R4186" t="s">
        <v>3373</v>
      </c>
      <c r="S4186" t="s">
        <v>1615</v>
      </c>
      <c r="T4186" t="s">
        <v>1810</v>
      </c>
    </row>
    <row r="4187" spans="1:20" x14ac:dyDescent="0.25">
      <c r="A4187">
        <v>9</v>
      </c>
      <c r="B4187">
        <v>199</v>
      </c>
      <c r="C4187" t="str">
        <f>"34"</f>
        <v>34</v>
      </c>
      <c r="D4187">
        <v>6249</v>
      </c>
      <c r="E4187" t="str">
        <f>"10"</f>
        <v>10</v>
      </c>
      <c r="F4187" t="str">
        <f>"937"</f>
        <v>937</v>
      </c>
      <c r="G4187">
        <v>9</v>
      </c>
      <c r="H4187" t="str">
        <f>"99"</f>
        <v>99</v>
      </c>
      <c r="I4187" t="str">
        <f t="shared" si="871"/>
        <v>0</v>
      </c>
      <c r="J4187" t="str">
        <f>"82"</f>
        <v>82</v>
      </c>
      <c r="K4187">
        <v>20190111</v>
      </c>
      <c r="L4187" t="str">
        <f>"075177"</f>
        <v>075177</v>
      </c>
      <c r="M4187" t="str">
        <f>"21901"</f>
        <v>21901</v>
      </c>
      <c r="N4187" t="s">
        <v>2046</v>
      </c>
      <c r="O4187" s="1">
        <v>5164.22</v>
      </c>
      <c r="P4187">
        <v>20190109</v>
      </c>
      <c r="Q4187" t="s">
        <v>2036</v>
      </c>
      <c r="R4187" t="s">
        <v>3374</v>
      </c>
      <c r="S4187" t="s">
        <v>1615</v>
      </c>
      <c r="T4187" t="s">
        <v>1810</v>
      </c>
    </row>
    <row r="4188" spans="1:20" x14ac:dyDescent="0.25">
      <c r="A4188">
        <v>9</v>
      </c>
      <c r="B4188">
        <v>199</v>
      </c>
      <c r="C4188" t="str">
        <f>"34"</f>
        <v>34</v>
      </c>
      <c r="D4188">
        <v>6399</v>
      </c>
      <c r="E4188" t="str">
        <f>"11"</f>
        <v>11</v>
      </c>
      <c r="F4188" t="str">
        <f>"937"</f>
        <v>937</v>
      </c>
      <c r="G4188">
        <v>9</v>
      </c>
      <c r="H4188" t="str">
        <f>"99"</f>
        <v>99</v>
      </c>
      <c r="I4188" t="str">
        <f t="shared" si="871"/>
        <v>0</v>
      </c>
      <c r="J4188" t="str">
        <f>"82"</f>
        <v>82</v>
      </c>
      <c r="K4188">
        <v>20190111</v>
      </c>
      <c r="L4188" t="str">
        <f>"075177"</f>
        <v>075177</v>
      </c>
      <c r="M4188" t="str">
        <f>"21901"</f>
        <v>21901</v>
      </c>
      <c r="N4188" t="s">
        <v>2046</v>
      </c>
      <c r="O4188">
        <v>43.3</v>
      </c>
      <c r="P4188">
        <v>20190109</v>
      </c>
      <c r="Q4188" t="s">
        <v>2210</v>
      </c>
      <c r="R4188" t="s">
        <v>3375</v>
      </c>
      <c r="S4188" t="s">
        <v>1615</v>
      </c>
      <c r="T4188" t="s">
        <v>1810</v>
      </c>
    </row>
    <row r="4189" spans="1:20" x14ac:dyDescent="0.25">
      <c r="A4189">
        <v>9</v>
      </c>
      <c r="B4189">
        <v>199</v>
      </c>
      <c r="C4189" t="str">
        <f>"51"</f>
        <v>51</v>
      </c>
      <c r="D4189">
        <v>6249</v>
      </c>
      <c r="E4189" t="str">
        <f>"WF"</f>
        <v>WF</v>
      </c>
      <c r="F4189" t="str">
        <f>"936"</f>
        <v>936</v>
      </c>
      <c r="G4189">
        <v>9</v>
      </c>
      <c r="H4189" t="str">
        <f>"99"</f>
        <v>99</v>
      </c>
      <c r="I4189" t="str">
        <f t="shared" si="871"/>
        <v>0</v>
      </c>
      <c r="J4189" t="str">
        <f>"82"</f>
        <v>82</v>
      </c>
      <c r="K4189">
        <v>20190111</v>
      </c>
      <c r="L4189" t="str">
        <f>"075177"</f>
        <v>075177</v>
      </c>
      <c r="M4189" t="str">
        <f>"21901"</f>
        <v>21901</v>
      </c>
      <c r="N4189" t="s">
        <v>2046</v>
      </c>
      <c r="O4189">
        <v>518.13</v>
      </c>
      <c r="P4189">
        <v>20190109</v>
      </c>
      <c r="Q4189" t="s">
        <v>2127</v>
      </c>
      <c r="R4189" t="s">
        <v>3376</v>
      </c>
      <c r="S4189" t="s">
        <v>1615</v>
      </c>
      <c r="T4189" t="s">
        <v>1713</v>
      </c>
    </row>
    <row r="4190" spans="1:20" x14ac:dyDescent="0.25">
      <c r="A4190">
        <v>9</v>
      </c>
      <c r="B4190">
        <v>199</v>
      </c>
      <c r="C4190" t="str">
        <f>"11"</f>
        <v>11</v>
      </c>
      <c r="D4190">
        <v>6299</v>
      </c>
      <c r="E4190" t="str">
        <f>"7E"</f>
        <v>7E</v>
      </c>
      <c r="F4190" t="str">
        <f t="shared" ref="F4190:F4195" si="875">"001"</f>
        <v>001</v>
      </c>
      <c r="G4190">
        <v>9</v>
      </c>
      <c r="H4190" t="str">
        <f>"11"</f>
        <v>11</v>
      </c>
      <c r="I4190" t="str">
        <f t="shared" si="871"/>
        <v>0</v>
      </c>
      <c r="J4190" t="str">
        <f>"31"</f>
        <v>31</v>
      </c>
      <c r="K4190">
        <v>20190111</v>
      </c>
      <c r="L4190" t="str">
        <f>"075181"</f>
        <v>075181</v>
      </c>
      <c r="M4190" t="str">
        <f>"25875"</f>
        <v>25875</v>
      </c>
      <c r="N4190" t="s">
        <v>1881</v>
      </c>
      <c r="O4190">
        <v>150</v>
      </c>
      <c r="P4190">
        <v>20190109</v>
      </c>
      <c r="Q4190" t="s">
        <v>1873</v>
      </c>
      <c r="R4190" t="s">
        <v>3356</v>
      </c>
      <c r="S4190" t="s">
        <v>1615</v>
      </c>
      <c r="T4190" t="s">
        <v>301</v>
      </c>
    </row>
    <row r="4191" spans="1:20" x14ac:dyDescent="0.25">
      <c r="A4191">
        <v>9</v>
      </c>
      <c r="B4191">
        <v>199</v>
      </c>
      <c r="C4191" t="str">
        <f>"36"</f>
        <v>36</v>
      </c>
      <c r="D4191">
        <v>6412</v>
      </c>
      <c r="E4191" t="str">
        <f>"7B"</f>
        <v>7B</v>
      </c>
      <c r="F4191" t="str">
        <f t="shared" si="875"/>
        <v>001</v>
      </c>
      <c r="G4191">
        <v>9</v>
      </c>
      <c r="H4191" t="str">
        <f>"99"</f>
        <v>99</v>
      </c>
      <c r="I4191" t="str">
        <f t="shared" si="871"/>
        <v>0</v>
      </c>
      <c r="J4191" t="str">
        <f>"32"</f>
        <v>32</v>
      </c>
      <c r="K4191">
        <v>20190111</v>
      </c>
      <c r="L4191" t="str">
        <f>"075184"</f>
        <v>075184</v>
      </c>
      <c r="M4191" t="str">
        <f>"28680"</f>
        <v>28680</v>
      </c>
      <c r="N4191" t="s">
        <v>482</v>
      </c>
      <c r="O4191">
        <v>124.55</v>
      </c>
      <c r="P4191">
        <v>20190109</v>
      </c>
      <c r="Q4191" t="s">
        <v>1658</v>
      </c>
      <c r="R4191" t="s">
        <v>3377</v>
      </c>
      <c r="S4191" t="s">
        <v>1615</v>
      </c>
      <c r="T4191" t="s">
        <v>301</v>
      </c>
    </row>
    <row r="4192" spans="1:20" x14ac:dyDescent="0.25">
      <c r="A4192">
        <v>9</v>
      </c>
      <c r="B4192">
        <v>199</v>
      </c>
      <c r="C4192" t="str">
        <f>"36"</f>
        <v>36</v>
      </c>
      <c r="D4192">
        <v>6412</v>
      </c>
      <c r="E4192" t="str">
        <f>"H1"</f>
        <v>H1</v>
      </c>
      <c r="F4192" t="str">
        <f t="shared" si="875"/>
        <v>001</v>
      </c>
      <c r="G4192">
        <v>9</v>
      </c>
      <c r="H4192" t="str">
        <f>"31"</f>
        <v>31</v>
      </c>
      <c r="I4192" t="str">
        <f t="shared" si="871"/>
        <v>0</v>
      </c>
      <c r="J4192" t="str">
        <f>"34"</f>
        <v>34</v>
      </c>
      <c r="K4192">
        <v>20190111</v>
      </c>
      <c r="L4192" t="str">
        <f>"075184"</f>
        <v>075184</v>
      </c>
      <c r="M4192" t="str">
        <f>"28680"</f>
        <v>28680</v>
      </c>
      <c r="N4192" t="s">
        <v>482</v>
      </c>
      <c r="O4192">
        <v>124.55</v>
      </c>
      <c r="P4192">
        <v>20190109</v>
      </c>
      <c r="Q4192" t="s">
        <v>2410</v>
      </c>
      <c r="R4192" t="s">
        <v>2717</v>
      </c>
      <c r="S4192" t="s">
        <v>1615</v>
      </c>
      <c r="T4192" t="s">
        <v>301</v>
      </c>
    </row>
    <row r="4193" spans="1:20" x14ac:dyDescent="0.25">
      <c r="A4193">
        <v>9</v>
      </c>
      <c r="B4193">
        <v>199</v>
      </c>
      <c r="C4193" t="str">
        <f>"36"</f>
        <v>36</v>
      </c>
      <c r="D4193">
        <v>6412</v>
      </c>
      <c r="E4193" t="str">
        <f>"H1"</f>
        <v>H1</v>
      </c>
      <c r="F4193" t="str">
        <f t="shared" si="875"/>
        <v>001</v>
      </c>
      <c r="G4193">
        <v>9</v>
      </c>
      <c r="H4193" t="str">
        <f>"31"</f>
        <v>31</v>
      </c>
      <c r="I4193" t="str">
        <f t="shared" si="871"/>
        <v>0</v>
      </c>
      <c r="J4193" t="str">
        <f>"34"</f>
        <v>34</v>
      </c>
      <c r="K4193">
        <v>20190111</v>
      </c>
      <c r="L4193" t="str">
        <f>"075184"</f>
        <v>075184</v>
      </c>
      <c r="M4193" t="str">
        <f>"28680"</f>
        <v>28680</v>
      </c>
      <c r="N4193" t="s">
        <v>482</v>
      </c>
      <c r="O4193">
        <v>124.55</v>
      </c>
      <c r="P4193">
        <v>20190109</v>
      </c>
      <c r="Q4193" t="s">
        <v>2410</v>
      </c>
      <c r="R4193" t="s">
        <v>2717</v>
      </c>
      <c r="S4193" t="s">
        <v>1615</v>
      </c>
      <c r="T4193" t="s">
        <v>301</v>
      </c>
    </row>
    <row r="4194" spans="1:20" x14ac:dyDescent="0.25">
      <c r="A4194">
        <v>9</v>
      </c>
      <c r="B4194">
        <v>199</v>
      </c>
      <c r="C4194" t="str">
        <f>"51"</f>
        <v>51</v>
      </c>
      <c r="D4194">
        <v>6249</v>
      </c>
      <c r="E4194" t="str">
        <f>"MC"</f>
        <v>MC</v>
      </c>
      <c r="F4194" t="str">
        <f t="shared" si="875"/>
        <v>001</v>
      </c>
      <c r="G4194">
        <v>9</v>
      </c>
      <c r="H4194" t="str">
        <f>"99"</f>
        <v>99</v>
      </c>
      <c r="I4194" t="str">
        <f t="shared" si="871"/>
        <v>0</v>
      </c>
      <c r="J4194" t="str">
        <f>"81"</f>
        <v>81</v>
      </c>
      <c r="K4194">
        <v>20190111</v>
      </c>
      <c r="L4194" t="str">
        <f>"075186"</f>
        <v>075186</v>
      </c>
      <c r="M4194" t="str">
        <f>"28825"</f>
        <v>28825</v>
      </c>
      <c r="N4194" t="s">
        <v>1722</v>
      </c>
      <c r="O4194" s="1">
        <v>1274.3699999999999</v>
      </c>
      <c r="P4194">
        <v>20190109</v>
      </c>
      <c r="Q4194" t="s">
        <v>2386</v>
      </c>
      <c r="R4194" t="s">
        <v>3378</v>
      </c>
      <c r="S4194" t="s">
        <v>1615</v>
      </c>
      <c r="T4194" t="s">
        <v>301</v>
      </c>
    </row>
    <row r="4195" spans="1:20" x14ac:dyDescent="0.25">
      <c r="A4195">
        <v>9</v>
      </c>
      <c r="B4195">
        <v>199</v>
      </c>
      <c r="C4195" t="str">
        <f>"11"</f>
        <v>11</v>
      </c>
      <c r="D4195">
        <v>6412</v>
      </c>
      <c r="E4195" t="str">
        <f>"V8"</f>
        <v>V8</v>
      </c>
      <c r="F4195" t="str">
        <f t="shared" si="875"/>
        <v>001</v>
      </c>
      <c r="G4195">
        <v>9</v>
      </c>
      <c r="H4195" t="str">
        <f>"22"</f>
        <v>22</v>
      </c>
      <c r="I4195" t="str">
        <f t="shared" si="871"/>
        <v>0</v>
      </c>
      <c r="J4195" t="str">
        <f>"22"</f>
        <v>22</v>
      </c>
      <c r="K4195">
        <v>20190111</v>
      </c>
      <c r="L4195" t="str">
        <f>"075187"</f>
        <v>075187</v>
      </c>
      <c r="M4195" t="str">
        <f>"21049"</f>
        <v>21049</v>
      </c>
      <c r="N4195" t="s">
        <v>1883</v>
      </c>
      <c r="O4195">
        <v>50</v>
      </c>
      <c r="P4195">
        <v>20190109</v>
      </c>
      <c r="Q4195" t="s">
        <v>1884</v>
      </c>
      <c r="R4195" t="s">
        <v>3379</v>
      </c>
      <c r="S4195" t="s">
        <v>1615</v>
      </c>
      <c r="T4195" t="s">
        <v>301</v>
      </c>
    </row>
    <row r="4196" spans="1:20" x14ac:dyDescent="0.25">
      <c r="A4196">
        <v>9</v>
      </c>
      <c r="B4196">
        <v>199</v>
      </c>
      <c r="C4196" t="str">
        <f>"51"</f>
        <v>51</v>
      </c>
      <c r="D4196">
        <v>6319</v>
      </c>
      <c r="E4196" t="str">
        <f>"MC"</f>
        <v>MC</v>
      </c>
      <c r="F4196" t="str">
        <f>"936"</f>
        <v>936</v>
      </c>
      <c r="G4196">
        <v>9</v>
      </c>
      <c r="H4196" t="str">
        <f>"99"</f>
        <v>99</v>
      </c>
      <c r="I4196" t="str">
        <f t="shared" si="871"/>
        <v>0</v>
      </c>
      <c r="J4196" t="str">
        <f>"81"</f>
        <v>81</v>
      </c>
      <c r="K4196">
        <v>20190111</v>
      </c>
      <c r="L4196" t="str">
        <f>"075188"</f>
        <v>075188</v>
      </c>
      <c r="M4196" t="str">
        <f>"29500"</f>
        <v>29500</v>
      </c>
      <c r="N4196" t="s">
        <v>2059</v>
      </c>
      <c r="O4196">
        <v>595.76</v>
      </c>
      <c r="P4196">
        <v>20190109</v>
      </c>
      <c r="Q4196" t="s">
        <v>2060</v>
      </c>
      <c r="R4196" t="s">
        <v>3380</v>
      </c>
      <c r="S4196" t="s">
        <v>1615</v>
      </c>
      <c r="T4196" t="s">
        <v>1713</v>
      </c>
    </row>
    <row r="4197" spans="1:20" x14ac:dyDescent="0.25">
      <c r="A4197">
        <v>9</v>
      </c>
      <c r="B4197">
        <v>199</v>
      </c>
      <c r="C4197" t="str">
        <f>"51"</f>
        <v>51</v>
      </c>
      <c r="D4197">
        <v>6319</v>
      </c>
      <c r="E4197" t="str">
        <f>"MC"</f>
        <v>MC</v>
      </c>
      <c r="F4197" t="str">
        <f>"936"</f>
        <v>936</v>
      </c>
      <c r="G4197">
        <v>9</v>
      </c>
      <c r="H4197" t="str">
        <f>"99"</f>
        <v>99</v>
      </c>
      <c r="I4197" t="str">
        <f t="shared" si="871"/>
        <v>0</v>
      </c>
      <c r="J4197" t="str">
        <f>"81"</f>
        <v>81</v>
      </c>
      <c r="K4197">
        <v>20190111</v>
      </c>
      <c r="L4197" t="str">
        <f>"075189"</f>
        <v>075189</v>
      </c>
      <c r="M4197" t="str">
        <f>"29609"</f>
        <v>29609</v>
      </c>
      <c r="N4197" t="s">
        <v>2491</v>
      </c>
      <c r="O4197">
        <v>81.09</v>
      </c>
      <c r="P4197">
        <v>20190109</v>
      </c>
      <c r="Q4197" t="s">
        <v>2060</v>
      </c>
      <c r="R4197" t="s">
        <v>2188</v>
      </c>
      <c r="S4197" t="s">
        <v>1615</v>
      </c>
      <c r="T4197" t="s">
        <v>1713</v>
      </c>
    </row>
    <row r="4198" spans="1:20" x14ac:dyDescent="0.25">
      <c r="A4198">
        <v>9</v>
      </c>
      <c r="B4198">
        <v>199</v>
      </c>
      <c r="C4198" t="str">
        <f>"51"</f>
        <v>51</v>
      </c>
      <c r="D4198">
        <v>6319</v>
      </c>
      <c r="E4198" t="str">
        <f>"MC"</f>
        <v>MC</v>
      </c>
      <c r="F4198" t="str">
        <f>"936"</f>
        <v>936</v>
      </c>
      <c r="G4198">
        <v>9</v>
      </c>
      <c r="H4198" t="str">
        <f>"99"</f>
        <v>99</v>
      </c>
      <c r="I4198" t="str">
        <f t="shared" si="871"/>
        <v>0</v>
      </c>
      <c r="J4198" t="str">
        <f>"81"</f>
        <v>81</v>
      </c>
      <c r="K4198">
        <v>20190111</v>
      </c>
      <c r="L4198" t="str">
        <f>"075189"</f>
        <v>075189</v>
      </c>
      <c r="M4198" t="str">
        <f>"29609"</f>
        <v>29609</v>
      </c>
      <c r="N4198" t="s">
        <v>2491</v>
      </c>
      <c r="O4198">
        <v>241.52</v>
      </c>
      <c r="P4198">
        <v>20190109</v>
      </c>
      <c r="Q4198" t="s">
        <v>2060</v>
      </c>
      <c r="R4198" t="s">
        <v>2188</v>
      </c>
      <c r="S4198" t="s">
        <v>1615</v>
      </c>
      <c r="T4198" t="s">
        <v>1713</v>
      </c>
    </row>
    <row r="4199" spans="1:20" x14ac:dyDescent="0.25">
      <c r="A4199">
        <v>9</v>
      </c>
      <c r="B4199">
        <v>199</v>
      </c>
      <c r="C4199" t="str">
        <f>"11"</f>
        <v>11</v>
      </c>
      <c r="D4199">
        <v>6399</v>
      </c>
      <c r="E4199" t="str">
        <f>"V8"</f>
        <v>V8</v>
      </c>
      <c r="F4199" t="str">
        <f>"001"</f>
        <v>001</v>
      </c>
      <c r="G4199">
        <v>9</v>
      </c>
      <c r="H4199" t="str">
        <f>"22"</f>
        <v>22</v>
      </c>
      <c r="I4199" t="str">
        <f t="shared" si="871"/>
        <v>0</v>
      </c>
      <c r="J4199" t="str">
        <f>"22"</f>
        <v>22</v>
      </c>
      <c r="K4199">
        <v>20190111</v>
      </c>
      <c r="L4199" t="str">
        <f>"075190"</f>
        <v>075190</v>
      </c>
      <c r="M4199" t="str">
        <f>"29624"</f>
        <v>29624</v>
      </c>
      <c r="N4199" t="s">
        <v>2753</v>
      </c>
      <c r="O4199">
        <v>87</v>
      </c>
      <c r="P4199">
        <v>20190109</v>
      </c>
      <c r="Q4199" t="s">
        <v>2001</v>
      </c>
      <c r="R4199" t="s">
        <v>3381</v>
      </c>
      <c r="S4199" t="s">
        <v>1615</v>
      </c>
      <c r="T4199" t="s">
        <v>301</v>
      </c>
    </row>
    <row r="4200" spans="1:20" x14ac:dyDescent="0.25">
      <c r="A4200">
        <v>9</v>
      </c>
      <c r="B4200">
        <v>199</v>
      </c>
      <c r="C4200" t="str">
        <f>"34"</f>
        <v>34</v>
      </c>
      <c r="D4200">
        <v>6311</v>
      </c>
      <c r="E4200" t="str">
        <f>"10"</f>
        <v>10</v>
      </c>
      <c r="F4200" t="str">
        <f>"937"</f>
        <v>937</v>
      </c>
      <c r="G4200">
        <v>9</v>
      </c>
      <c r="H4200" t="str">
        <f>"99"</f>
        <v>99</v>
      </c>
      <c r="I4200" t="str">
        <f t="shared" si="871"/>
        <v>0</v>
      </c>
      <c r="J4200" t="str">
        <f>"82"</f>
        <v>82</v>
      </c>
      <c r="K4200">
        <v>20190111</v>
      </c>
      <c r="L4200" t="str">
        <f>"075194"</f>
        <v>075194</v>
      </c>
      <c r="M4200" t="str">
        <f>"30744"</f>
        <v>30744</v>
      </c>
      <c r="N4200" t="s">
        <v>422</v>
      </c>
      <c r="O4200">
        <v>35.22</v>
      </c>
      <c r="P4200">
        <v>20190109</v>
      </c>
      <c r="Q4200" t="s">
        <v>1914</v>
      </c>
      <c r="R4200" t="s">
        <v>2570</v>
      </c>
      <c r="S4200" t="s">
        <v>1615</v>
      </c>
      <c r="T4200" t="s">
        <v>1810</v>
      </c>
    </row>
    <row r="4201" spans="1:20" x14ac:dyDescent="0.25">
      <c r="A4201">
        <v>9</v>
      </c>
      <c r="B4201">
        <v>199</v>
      </c>
      <c r="C4201" t="str">
        <f>"34"</f>
        <v>34</v>
      </c>
      <c r="D4201">
        <v>6311</v>
      </c>
      <c r="E4201" t="str">
        <f>"10"</f>
        <v>10</v>
      </c>
      <c r="F4201" t="str">
        <f>"937"</f>
        <v>937</v>
      </c>
      <c r="G4201">
        <v>9</v>
      </c>
      <c r="H4201" t="str">
        <f>"99"</f>
        <v>99</v>
      </c>
      <c r="I4201" t="str">
        <f t="shared" si="871"/>
        <v>0</v>
      </c>
      <c r="J4201" t="str">
        <f>"82"</f>
        <v>82</v>
      </c>
      <c r="K4201">
        <v>20190111</v>
      </c>
      <c r="L4201" t="str">
        <f>"075194"</f>
        <v>075194</v>
      </c>
      <c r="M4201" t="str">
        <f>"30744"</f>
        <v>30744</v>
      </c>
      <c r="N4201" t="s">
        <v>422</v>
      </c>
      <c r="O4201">
        <v>104.08</v>
      </c>
      <c r="P4201">
        <v>20190109</v>
      </c>
      <c r="Q4201" t="s">
        <v>1914</v>
      </c>
      <c r="R4201" t="s">
        <v>2744</v>
      </c>
      <c r="S4201" t="s">
        <v>1615</v>
      </c>
      <c r="T4201" t="s">
        <v>1810</v>
      </c>
    </row>
    <row r="4202" spans="1:20" x14ac:dyDescent="0.25">
      <c r="A4202">
        <v>9</v>
      </c>
      <c r="B4202">
        <v>199</v>
      </c>
      <c r="C4202" t="str">
        <f>"11"</f>
        <v>11</v>
      </c>
      <c r="D4202">
        <v>6299</v>
      </c>
      <c r="E4202" t="str">
        <f>"7E"</f>
        <v>7E</v>
      </c>
      <c r="F4202" t="str">
        <f>"001"</f>
        <v>001</v>
      </c>
      <c r="G4202">
        <v>9</v>
      </c>
      <c r="H4202" t="str">
        <f>"11"</f>
        <v>11</v>
      </c>
      <c r="I4202" t="str">
        <f t="shared" si="871"/>
        <v>0</v>
      </c>
      <c r="J4202" t="str">
        <f>"31"</f>
        <v>31</v>
      </c>
      <c r="K4202">
        <v>20190111</v>
      </c>
      <c r="L4202" t="str">
        <f>"075195"</f>
        <v>075195</v>
      </c>
      <c r="M4202" t="str">
        <f>"31113"</f>
        <v>31113</v>
      </c>
      <c r="N4202" t="s">
        <v>3382</v>
      </c>
      <c r="O4202">
        <v>150</v>
      </c>
      <c r="P4202">
        <v>20190109</v>
      </c>
      <c r="Q4202" t="s">
        <v>1873</v>
      </c>
      <c r="R4202" t="s">
        <v>3356</v>
      </c>
      <c r="S4202" t="s">
        <v>1615</v>
      </c>
      <c r="T4202" t="s">
        <v>301</v>
      </c>
    </row>
    <row r="4203" spans="1:20" x14ac:dyDescent="0.25">
      <c r="A4203">
        <v>9</v>
      </c>
      <c r="B4203">
        <v>199</v>
      </c>
      <c r="C4203" t="str">
        <f>"11"</f>
        <v>11</v>
      </c>
      <c r="D4203">
        <v>6399</v>
      </c>
      <c r="E4203" t="str">
        <f>"VJ"</f>
        <v>VJ</v>
      </c>
      <c r="F4203" t="str">
        <f>"001"</f>
        <v>001</v>
      </c>
      <c r="G4203">
        <v>9</v>
      </c>
      <c r="H4203" t="str">
        <f>"22"</f>
        <v>22</v>
      </c>
      <c r="I4203" t="str">
        <f t="shared" si="871"/>
        <v>0</v>
      </c>
      <c r="J4203" t="str">
        <f>"22"</f>
        <v>22</v>
      </c>
      <c r="K4203">
        <v>20190111</v>
      </c>
      <c r="L4203" t="str">
        <f>"075196"</f>
        <v>075196</v>
      </c>
      <c r="M4203" t="str">
        <f>"00544"</f>
        <v>00544</v>
      </c>
      <c r="N4203" t="s">
        <v>2758</v>
      </c>
      <c r="O4203">
        <v>35.43</v>
      </c>
      <c r="P4203">
        <v>20190109</v>
      </c>
      <c r="Q4203" t="s">
        <v>2759</v>
      </c>
      <c r="R4203" t="s">
        <v>3383</v>
      </c>
      <c r="S4203" t="s">
        <v>1615</v>
      </c>
      <c r="T4203" t="s">
        <v>301</v>
      </c>
    </row>
    <row r="4204" spans="1:20" x14ac:dyDescent="0.25">
      <c r="A4204">
        <v>9</v>
      </c>
      <c r="B4204">
        <v>199</v>
      </c>
      <c r="C4204" t="str">
        <f>"36"</f>
        <v>36</v>
      </c>
      <c r="D4204">
        <v>6412</v>
      </c>
      <c r="E4204" t="str">
        <f>"09"</f>
        <v>09</v>
      </c>
      <c r="F4204" t="str">
        <f>"001"</f>
        <v>001</v>
      </c>
      <c r="G4204">
        <v>9</v>
      </c>
      <c r="H4204" t="str">
        <f>"23"</f>
        <v>23</v>
      </c>
      <c r="I4204" t="str">
        <f>"5"</f>
        <v>5</v>
      </c>
      <c r="J4204" t="str">
        <f>"74"</f>
        <v>74</v>
      </c>
      <c r="K4204">
        <v>20190111</v>
      </c>
      <c r="L4204" t="str">
        <f>"075199"</f>
        <v>075199</v>
      </c>
      <c r="M4204" t="str">
        <f>"31361"</f>
        <v>31361</v>
      </c>
      <c r="N4204" t="s">
        <v>1885</v>
      </c>
      <c r="O4204">
        <v>375</v>
      </c>
      <c r="P4204">
        <v>20190109</v>
      </c>
      <c r="Q4204" t="s">
        <v>3384</v>
      </c>
      <c r="R4204" t="s">
        <v>3385</v>
      </c>
      <c r="S4204" t="s">
        <v>1615</v>
      </c>
      <c r="T4204" t="s">
        <v>301</v>
      </c>
    </row>
    <row r="4205" spans="1:20" x14ac:dyDescent="0.25">
      <c r="A4205">
        <v>9</v>
      </c>
      <c r="B4205">
        <v>199</v>
      </c>
      <c r="C4205" t="str">
        <f>"36"</f>
        <v>36</v>
      </c>
      <c r="D4205">
        <v>6412</v>
      </c>
      <c r="E4205" t="str">
        <f>"09"</f>
        <v>09</v>
      </c>
      <c r="F4205" t="str">
        <f>"001"</f>
        <v>001</v>
      </c>
      <c r="G4205">
        <v>9</v>
      </c>
      <c r="H4205" t="str">
        <f>"23"</f>
        <v>23</v>
      </c>
      <c r="I4205" t="str">
        <f>"5"</f>
        <v>5</v>
      </c>
      <c r="J4205" t="str">
        <f>"74"</f>
        <v>74</v>
      </c>
      <c r="K4205">
        <v>20190111</v>
      </c>
      <c r="L4205" t="str">
        <f>"075199"</f>
        <v>075199</v>
      </c>
      <c r="M4205" t="str">
        <f>"31361"</f>
        <v>31361</v>
      </c>
      <c r="N4205" t="s">
        <v>1885</v>
      </c>
      <c r="O4205">
        <v>486</v>
      </c>
      <c r="P4205">
        <v>20190109</v>
      </c>
      <c r="Q4205" t="s">
        <v>3384</v>
      </c>
      <c r="R4205" t="s">
        <v>3385</v>
      </c>
      <c r="S4205" t="s">
        <v>1615</v>
      </c>
      <c r="T4205" t="s">
        <v>301</v>
      </c>
    </row>
    <row r="4206" spans="1:20" x14ac:dyDescent="0.25">
      <c r="A4206">
        <v>9</v>
      </c>
      <c r="B4206">
        <v>199</v>
      </c>
      <c r="C4206" t="str">
        <f>"11"</f>
        <v>11</v>
      </c>
      <c r="D4206">
        <v>6299</v>
      </c>
      <c r="E4206" t="str">
        <f>"7E"</f>
        <v>7E</v>
      </c>
      <c r="F4206" t="str">
        <f>"001"</f>
        <v>001</v>
      </c>
      <c r="G4206">
        <v>9</v>
      </c>
      <c r="H4206" t="str">
        <f>"11"</f>
        <v>11</v>
      </c>
      <c r="I4206" t="str">
        <f t="shared" ref="I4206:I4226" si="876">"0"</f>
        <v>0</v>
      </c>
      <c r="J4206" t="str">
        <f>"31"</f>
        <v>31</v>
      </c>
      <c r="K4206">
        <v>20190111</v>
      </c>
      <c r="L4206" t="str">
        <f>"075200"</f>
        <v>075200</v>
      </c>
      <c r="M4206" t="str">
        <f>"00656"</f>
        <v>00656</v>
      </c>
      <c r="N4206" t="s">
        <v>3386</v>
      </c>
      <c r="O4206">
        <v>150</v>
      </c>
      <c r="P4206">
        <v>20190109</v>
      </c>
      <c r="Q4206" t="s">
        <v>1873</v>
      </c>
      <c r="R4206" t="s">
        <v>3356</v>
      </c>
      <c r="S4206" t="s">
        <v>1615</v>
      </c>
      <c r="T4206" t="s">
        <v>301</v>
      </c>
    </row>
    <row r="4207" spans="1:20" x14ac:dyDescent="0.25">
      <c r="A4207">
        <v>9</v>
      </c>
      <c r="B4207">
        <v>199</v>
      </c>
      <c r="C4207" t="str">
        <f>"11"</f>
        <v>11</v>
      </c>
      <c r="D4207">
        <v>6399</v>
      </c>
      <c r="E4207" t="str">
        <f>"10"</f>
        <v>10</v>
      </c>
      <c r="F4207" t="str">
        <f>"041"</f>
        <v>041</v>
      </c>
      <c r="G4207">
        <v>9</v>
      </c>
      <c r="H4207" t="str">
        <f>"11"</f>
        <v>11</v>
      </c>
      <c r="I4207" t="str">
        <f t="shared" si="876"/>
        <v>0</v>
      </c>
      <c r="J4207" t="str">
        <f>"03"</f>
        <v>03</v>
      </c>
      <c r="K4207">
        <v>20190111</v>
      </c>
      <c r="L4207" t="str">
        <f>"075202"</f>
        <v>075202</v>
      </c>
      <c r="M4207" t="str">
        <f>"34226"</f>
        <v>34226</v>
      </c>
      <c r="N4207" t="s">
        <v>3387</v>
      </c>
      <c r="O4207" s="1">
        <v>1837.13</v>
      </c>
      <c r="P4207">
        <v>20190109</v>
      </c>
      <c r="Q4207" t="s">
        <v>2956</v>
      </c>
      <c r="R4207" t="s">
        <v>3388</v>
      </c>
      <c r="S4207" t="s">
        <v>1615</v>
      </c>
      <c r="T4207" t="s">
        <v>106</v>
      </c>
    </row>
    <row r="4208" spans="1:20" x14ac:dyDescent="0.25">
      <c r="A4208">
        <v>9</v>
      </c>
      <c r="B4208">
        <v>199</v>
      </c>
      <c r="C4208" t="str">
        <f>"11"</f>
        <v>11</v>
      </c>
      <c r="D4208">
        <v>6299</v>
      </c>
      <c r="E4208" t="str">
        <f>"7E"</f>
        <v>7E</v>
      </c>
      <c r="F4208" t="str">
        <f>"001"</f>
        <v>001</v>
      </c>
      <c r="G4208">
        <v>9</v>
      </c>
      <c r="H4208" t="str">
        <f>"11"</f>
        <v>11</v>
      </c>
      <c r="I4208" t="str">
        <f t="shared" si="876"/>
        <v>0</v>
      </c>
      <c r="J4208" t="str">
        <f>"31"</f>
        <v>31</v>
      </c>
      <c r="K4208">
        <v>20190111</v>
      </c>
      <c r="L4208" t="str">
        <f>"075203"</f>
        <v>075203</v>
      </c>
      <c r="M4208" t="str">
        <f>"34525"</f>
        <v>34525</v>
      </c>
      <c r="N4208" t="s">
        <v>3389</v>
      </c>
      <c r="O4208">
        <v>345</v>
      </c>
      <c r="P4208">
        <v>20190109</v>
      </c>
      <c r="Q4208" t="s">
        <v>1873</v>
      </c>
      <c r="R4208" t="s">
        <v>3356</v>
      </c>
      <c r="S4208" t="s">
        <v>1615</v>
      </c>
      <c r="T4208" t="s">
        <v>301</v>
      </c>
    </row>
    <row r="4209" spans="1:20" x14ac:dyDescent="0.25">
      <c r="A4209">
        <v>9</v>
      </c>
      <c r="B4209">
        <v>199</v>
      </c>
      <c r="C4209" t="str">
        <f>"11"</f>
        <v>11</v>
      </c>
      <c r="D4209">
        <v>6412</v>
      </c>
      <c r="E4209" t="str">
        <f>"VH"</f>
        <v>VH</v>
      </c>
      <c r="F4209" t="str">
        <f>"001"</f>
        <v>001</v>
      </c>
      <c r="G4209">
        <v>9</v>
      </c>
      <c r="H4209" t="str">
        <f>"22"</f>
        <v>22</v>
      </c>
      <c r="I4209" t="str">
        <f t="shared" si="876"/>
        <v>0</v>
      </c>
      <c r="J4209" t="str">
        <f>"22"</f>
        <v>22</v>
      </c>
      <c r="K4209">
        <v>20190111</v>
      </c>
      <c r="L4209" t="str">
        <f>"075205"</f>
        <v>075205</v>
      </c>
      <c r="M4209" t="str">
        <f>"36780"</f>
        <v>36780</v>
      </c>
      <c r="N4209" t="s">
        <v>3390</v>
      </c>
      <c r="O4209">
        <v>780</v>
      </c>
      <c r="P4209">
        <v>20190109</v>
      </c>
      <c r="Q4209" t="s">
        <v>2375</v>
      </c>
      <c r="R4209" t="s">
        <v>3280</v>
      </c>
      <c r="S4209" t="s">
        <v>1615</v>
      </c>
      <c r="T4209" t="s">
        <v>301</v>
      </c>
    </row>
    <row r="4210" spans="1:20" x14ac:dyDescent="0.25">
      <c r="A4210">
        <v>9</v>
      </c>
      <c r="B4210">
        <v>199</v>
      </c>
      <c r="C4210" t="str">
        <f>"36"</f>
        <v>36</v>
      </c>
      <c r="D4210">
        <v>6411</v>
      </c>
      <c r="E4210" t="str">
        <f>"VH"</f>
        <v>VH</v>
      </c>
      <c r="F4210" t="str">
        <f>"001"</f>
        <v>001</v>
      </c>
      <c r="G4210">
        <v>9</v>
      </c>
      <c r="H4210" t="str">
        <f>"22"</f>
        <v>22</v>
      </c>
      <c r="I4210" t="str">
        <f t="shared" si="876"/>
        <v>0</v>
      </c>
      <c r="J4210" t="str">
        <f>"22"</f>
        <v>22</v>
      </c>
      <c r="K4210">
        <v>20190111</v>
      </c>
      <c r="L4210" t="str">
        <f>"075205"</f>
        <v>075205</v>
      </c>
      <c r="M4210" t="str">
        <f>"36780"</f>
        <v>36780</v>
      </c>
      <c r="N4210" t="s">
        <v>3390</v>
      </c>
      <c r="O4210">
        <v>100</v>
      </c>
      <c r="P4210">
        <v>20190109</v>
      </c>
      <c r="Q4210" t="s">
        <v>2377</v>
      </c>
      <c r="R4210" t="s">
        <v>3280</v>
      </c>
      <c r="S4210" t="s">
        <v>1615</v>
      </c>
      <c r="T4210" t="s">
        <v>301</v>
      </c>
    </row>
    <row r="4211" spans="1:20" x14ac:dyDescent="0.25">
      <c r="A4211">
        <v>9</v>
      </c>
      <c r="B4211">
        <v>199</v>
      </c>
      <c r="C4211" t="str">
        <f>"11"</f>
        <v>11</v>
      </c>
      <c r="D4211">
        <v>6299</v>
      </c>
      <c r="E4211" t="str">
        <f>"7E"</f>
        <v>7E</v>
      </c>
      <c r="F4211" t="str">
        <f>"001"</f>
        <v>001</v>
      </c>
      <c r="G4211">
        <v>9</v>
      </c>
      <c r="H4211" t="str">
        <f>"11"</f>
        <v>11</v>
      </c>
      <c r="I4211" t="str">
        <f t="shared" si="876"/>
        <v>0</v>
      </c>
      <c r="J4211" t="str">
        <f>"31"</f>
        <v>31</v>
      </c>
      <c r="K4211">
        <v>20190111</v>
      </c>
      <c r="L4211" t="str">
        <f>"075206"</f>
        <v>075206</v>
      </c>
      <c r="M4211" t="str">
        <f>"37531"</f>
        <v>37531</v>
      </c>
      <c r="N4211" t="s">
        <v>3391</v>
      </c>
      <c r="O4211">
        <v>150</v>
      </c>
      <c r="P4211">
        <v>20190109</v>
      </c>
      <c r="Q4211" t="s">
        <v>1873</v>
      </c>
      <c r="R4211" t="s">
        <v>3356</v>
      </c>
      <c r="S4211" t="s">
        <v>1615</v>
      </c>
      <c r="T4211" t="s">
        <v>301</v>
      </c>
    </row>
    <row r="4212" spans="1:20" x14ac:dyDescent="0.25">
      <c r="A4212">
        <v>9</v>
      </c>
      <c r="B4212">
        <v>199</v>
      </c>
      <c r="C4212" t="str">
        <f>"11"</f>
        <v>11</v>
      </c>
      <c r="D4212">
        <v>6249</v>
      </c>
      <c r="E4212" t="str">
        <f>"7E"</f>
        <v>7E</v>
      </c>
      <c r="F4212" t="str">
        <f>"001"</f>
        <v>001</v>
      </c>
      <c r="G4212">
        <v>9</v>
      </c>
      <c r="H4212" t="str">
        <f>"11"</f>
        <v>11</v>
      </c>
      <c r="I4212" t="str">
        <f t="shared" si="876"/>
        <v>0</v>
      </c>
      <c r="J4212" t="str">
        <f>"31"</f>
        <v>31</v>
      </c>
      <c r="K4212">
        <v>20190111</v>
      </c>
      <c r="L4212" t="str">
        <f>"075207"</f>
        <v>075207</v>
      </c>
      <c r="M4212" t="str">
        <f>"37897"</f>
        <v>37897</v>
      </c>
      <c r="N4212" t="s">
        <v>3392</v>
      </c>
      <c r="O4212">
        <v>100</v>
      </c>
      <c r="P4212">
        <v>20190109</v>
      </c>
      <c r="Q4212" t="s">
        <v>3393</v>
      </c>
      <c r="R4212" t="s">
        <v>3394</v>
      </c>
      <c r="S4212" t="s">
        <v>1615</v>
      </c>
      <c r="T4212" t="s">
        <v>301</v>
      </c>
    </row>
    <row r="4213" spans="1:20" x14ac:dyDescent="0.25">
      <c r="A4213">
        <v>9</v>
      </c>
      <c r="B4213">
        <v>199</v>
      </c>
      <c r="C4213" t="str">
        <f t="shared" ref="C4213:C4219" si="877">"51"</f>
        <v>51</v>
      </c>
      <c r="D4213">
        <v>6319</v>
      </c>
      <c r="E4213" t="str">
        <f t="shared" ref="E4213:E4219" si="878">"M3"</f>
        <v>M3</v>
      </c>
      <c r="F4213" t="str">
        <f t="shared" ref="F4213:F4219" si="879">"936"</f>
        <v>936</v>
      </c>
      <c r="G4213">
        <v>9</v>
      </c>
      <c r="H4213" t="str">
        <f t="shared" ref="H4213:H4219" si="880">"99"</f>
        <v>99</v>
      </c>
      <c r="I4213" t="str">
        <f t="shared" si="876"/>
        <v>0</v>
      </c>
      <c r="J4213" t="str">
        <f t="shared" ref="J4213:J4219" si="881">"81"</f>
        <v>81</v>
      </c>
      <c r="K4213">
        <v>20190111</v>
      </c>
      <c r="L4213" t="str">
        <f t="shared" ref="L4213:L4219" si="882">"075209"</f>
        <v>075209</v>
      </c>
      <c r="M4213" t="str">
        <f t="shared" ref="M4213:M4219" si="883">"00125"</f>
        <v>00125</v>
      </c>
      <c r="N4213" t="s">
        <v>2245</v>
      </c>
      <c r="O4213" s="1">
        <v>16147.19</v>
      </c>
      <c r="P4213">
        <v>20190109</v>
      </c>
      <c r="Q4213" t="s">
        <v>2246</v>
      </c>
      <c r="R4213" t="s">
        <v>2249</v>
      </c>
      <c r="S4213" t="s">
        <v>1615</v>
      </c>
      <c r="T4213" t="s">
        <v>1713</v>
      </c>
    </row>
    <row r="4214" spans="1:20" x14ac:dyDescent="0.25">
      <c r="A4214">
        <v>9</v>
      </c>
      <c r="B4214">
        <v>199</v>
      </c>
      <c r="C4214" t="str">
        <f t="shared" si="877"/>
        <v>51</v>
      </c>
      <c r="D4214">
        <v>6319</v>
      </c>
      <c r="E4214" t="str">
        <f t="shared" si="878"/>
        <v>M3</v>
      </c>
      <c r="F4214" t="str">
        <f t="shared" si="879"/>
        <v>936</v>
      </c>
      <c r="G4214">
        <v>9</v>
      </c>
      <c r="H4214" t="str">
        <f t="shared" si="880"/>
        <v>99</v>
      </c>
      <c r="I4214" t="str">
        <f t="shared" si="876"/>
        <v>0</v>
      </c>
      <c r="J4214" t="str">
        <f t="shared" si="881"/>
        <v>81</v>
      </c>
      <c r="K4214">
        <v>20190111</v>
      </c>
      <c r="L4214" t="str">
        <f t="shared" si="882"/>
        <v>075209</v>
      </c>
      <c r="M4214" t="str">
        <f t="shared" si="883"/>
        <v>00125</v>
      </c>
      <c r="N4214" t="s">
        <v>2245</v>
      </c>
      <c r="O4214" s="1">
        <v>1271.9100000000001</v>
      </c>
      <c r="P4214">
        <v>20190109</v>
      </c>
      <c r="Q4214" t="s">
        <v>2246</v>
      </c>
      <c r="R4214" t="s">
        <v>2249</v>
      </c>
      <c r="S4214" t="s">
        <v>1615</v>
      </c>
      <c r="T4214" t="s">
        <v>1713</v>
      </c>
    </row>
    <row r="4215" spans="1:20" x14ac:dyDescent="0.25">
      <c r="A4215">
        <v>9</v>
      </c>
      <c r="B4215">
        <v>199</v>
      </c>
      <c r="C4215" t="str">
        <f t="shared" si="877"/>
        <v>51</v>
      </c>
      <c r="D4215">
        <v>6319</v>
      </c>
      <c r="E4215" t="str">
        <f t="shared" si="878"/>
        <v>M3</v>
      </c>
      <c r="F4215" t="str">
        <f t="shared" si="879"/>
        <v>936</v>
      </c>
      <c r="G4215">
        <v>9</v>
      </c>
      <c r="H4215" t="str">
        <f t="shared" si="880"/>
        <v>99</v>
      </c>
      <c r="I4215" t="str">
        <f t="shared" si="876"/>
        <v>0</v>
      </c>
      <c r="J4215" t="str">
        <f t="shared" si="881"/>
        <v>81</v>
      </c>
      <c r="K4215">
        <v>20190111</v>
      </c>
      <c r="L4215" t="str">
        <f t="shared" si="882"/>
        <v>075209</v>
      </c>
      <c r="M4215" t="str">
        <f t="shared" si="883"/>
        <v>00125</v>
      </c>
      <c r="N4215" t="s">
        <v>2245</v>
      </c>
      <c r="O4215">
        <v>775.04</v>
      </c>
      <c r="P4215">
        <v>20190109</v>
      </c>
      <c r="Q4215" t="s">
        <v>2246</v>
      </c>
      <c r="R4215" t="s">
        <v>2770</v>
      </c>
      <c r="S4215" t="s">
        <v>1615</v>
      </c>
      <c r="T4215" t="s">
        <v>1713</v>
      </c>
    </row>
    <row r="4216" spans="1:20" x14ac:dyDescent="0.25">
      <c r="A4216">
        <v>9</v>
      </c>
      <c r="B4216">
        <v>199</v>
      </c>
      <c r="C4216" t="str">
        <f t="shared" si="877"/>
        <v>51</v>
      </c>
      <c r="D4216">
        <v>6319</v>
      </c>
      <c r="E4216" t="str">
        <f t="shared" si="878"/>
        <v>M3</v>
      </c>
      <c r="F4216" t="str">
        <f t="shared" si="879"/>
        <v>936</v>
      </c>
      <c r="G4216">
        <v>9</v>
      </c>
      <c r="H4216" t="str">
        <f t="shared" si="880"/>
        <v>99</v>
      </c>
      <c r="I4216" t="str">
        <f t="shared" si="876"/>
        <v>0</v>
      </c>
      <c r="J4216" t="str">
        <f t="shared" si="881"/>
        <v>81</v>
      </c>
      <c r="K4216">
        <v>20190111</v>
      </c>
      <c r="L4216" t="str">
        <f t="shared" si="882"/>
        <v>075209</v>
      </c>
      <c r="M4216" t="str">
        <f t="shared" si="883"/>
        <v>00125</v>
      </c>
      <c r="N4216" t="s">
        <v>2245</v>
      </c>
      <c r="O4216">
        <v>385.92</v>
      </c>
      <c r="P4216">
        <v>20190109</v>
      </c>
      <c r="Q4216" t="s">
        <v>2246</v>
      </c>
      <c r="R4216" t="s">
        <v>3395</v>
      </c>
      <c r="S4216" t="s">
        <v>1615</v>
      </c>
      <c r="T4216" t="s">
        <v>1713</v>
      </c>
    </row>
    <row r="4217" spans="1:20" x14ac:dyDescent="0.25">
      <c r="A4217">
        <v>9</v>
      </c>
      <c r="B4217">
        <v>199</v>
      </c>
      <c r="C4217" t="str">
        <f t="shared" si="877"/>
        <v>51</v>
      </c>
      <c r="D4217">
        <v>6319</v>
      </c>
      <c r="E4217" t="str">
        <f t="shared" si="878"/>
        <v>M3</v>
      </c>
      <c r="F4217" t="str">
        <f t="shared" si="879"/>
        <v>936</v>
      </c>
      <c r="G4217">
        <v>9</v>
      </c>
      <c r="H4217" t="str">
        <f t="shared" si="880"/>
        <v>99</v>
      </c>
      <c r="I4217" t="str">
        <f t="shared" si="876"/>
        <v>0</v>
      </c>
      <c r="J4217" t="str">
        <f t="shared" si="881"/>
        <v>81</v>
      </c>
      <c r="K4217">
        <v>20190111</v>
      </c>
      <c r="L4217" t="str">
        <f t="shared" si="882"/>
        <v>075209</v>
      </c>
      <c r="M4217" t="str">
        <f t="shared" si="883"/>
        <v>00125</v>
      </c>
      <c r="N4217" t="s">
        <v>2245</v>
      </c>
      <c r="O4217">
        <v>476.26</v>
      </c>
      <c r="P4217">
        <v>20190109</v>
      </c>
      <c r="Q4217" t="s">
        <v>2246</v>
      </c>
      <c r="R4217" t="s">
        <v>2249</v>
      </c>
      <c r="S4217" t="s">
        <v>1615</v>
      </c>
      <c r="T4217" t="s">
        <v>1713</v>
      </c>
    </row>
    <row r="4218" spans="1:20" x14ac:dyDescent="0.25">
      <c r="A4218">
        <v>9</v>
      </c>
      <c r="B4218">
        <v>199</v>
      </c>
      <c r="C4218" t="str">
        <f t="shared" si="877"/>
        <v>51</v>
      </c>
      <c r="D4218">
        <v>6319</v>
      </c>
      <c r="E4218" t="str">
        <f t="shared" si="878"/>
        <v>M3</v>
      </c>
      <c r="F4218" t="str">
        <f t="shared" si="879"/>
        <v>936</v>
      </c>
      <c r="G4218">
        <v>9</v>
      </c>
      <c r="H4218" t="str">
        <f t="shared" si="880"/>
        <v>99</v>
      </c>
      <c r="I4218" t="str">
        <f t="shared" si="876"/>
        <v>0</v>
      </c>
      <c r="J4218" t="str">
        <f t="shared" si="881"/>
        <v>81</v>
      </c>
      <c r="K4218">
        <v>20190111</v>
      </c>
      <c r="L4218" t="str">
        <f t="shared" si="882"/>
        <v>075209</v>
      </c>
      <c r="M4218" t="str">
        <f t="shared" si="883"/>
        <v>00125</v>
      </c>
      <c r="N4218" t="s">
        <v>2245</v>
      </c>
      <c r="O4218" s="1">
        <v>11701.19</v>
      </c>
      <c r="P4218">
        <v>20190109</v>
      </c>
      <c r="Q4218" t="s">
        <v>2246</v>
      </c>
      <c r="R4218" t="s">
        <v>2249</v>
      </c>
      <c r="S4218" t="s">
        <v>1615</v>
      </c>
      <c r="T4218" t="s">
        <v>1713</v>
      </c>
    </row>
    <row r="4219" spans="1:20" x14ac:dyDescent="0.25">
      <c r="A4219">
        <v>9</v>
      </c>
      <c r="B4219">
        <v>199</v>
      </c>
      <c r="C4219" t="str">
        <f t="shared" si="877"/>
        <v>51</v>
      </c>
      <c r="D4219">
        <v>6319</v>
      </c>
      <c r="E4219" t="str">
        <f t="shared" si="878"/>
        <v>M3</v>
      </c>
      <c r="F4219" t="str">
        <f t="shared" si="879"/>
        <v>936</v>
      </c>
      <c r="G4219">
        <v>9</v>
      </c>
      <c r="H4219" t="str">
        <f t="shared" si="880"/>
        <v>99</v>
      </c>
      <c r="I4219" t="str">
        <f t="shared" si="876"/>
        <v>0</v>
      </c>
      <c r="J4219" t="str">
        <f t="shared" si="881"/>
        <v>81</v>
      </c>
      <c r="K4219">
        <v>20190111</v>
      </c>
      <c r="L4219" t="str">
        <f t="shared" si="882"/>
        <v>075209</v>
      </c>
      <c r="M4219" t="str">
        <f t="shared" si="883"/>
        <v>00125</v>
      </c>
      <c r="N4219" t="s">
        <v>2245</v>
      </c>
      <c r="O4219" s="1">
        <v>1384</v>
      </c>
      <c r="P4219">
        <v>20190109</v>
      </c>
      <c r="Q4219" t="s">
        <v>2246</v>
      </c>
      <c r="R4219" t="s">
        <v>2770</v>
      </c>
      <c r="S4219" t="s">
        <v>1615</v>
      </c>
      <c r="T4219" t="s">
        <v>1713</v>
      </c>
    </row>
    <row r="4220" spans="1:20" x14ac:dyDescent="0.25">
      <c r="A4220">
        <v>9</v>
      </c>
      <c r="B4220">
        <v>199</v>
      </c>
      <c r="C4220" t="str">
        <f>"11"</f>
        <v>11</v>
      </c>
      <c r="D4220">
        <v>6399</v>
      </c>
      <c r="E4220" t="str">
        <f>"V8"</f>
        <v>V8</v>
      </c>
      <c r="F4220" t="str">
        <f t="shared" ref="F4220:F4225" si="884">"001"</f>
        <v>001</v>
      </c>
      <c r="G4220">
        <v>9</v>
      </c>
      <c r="H4220" t="str">
        <f>"22"</f>
        <v>22</v>
      </c>
      <c r="I4220" t="str">
        <f t="shared" si="876"/>
        <v>0</v>
      </c>
      <c r="J4220" t="str">
        <f>"22"</f>
        <v>22</v>
      </c>
      <c r="K4220">
        <v>20190111</v>
      </c>
      <c r="L4220" t="str">
        <f>"075210"</f>
        <v>075210</v>
      </c>
      <c r="M4220" t="str">
        <f>"40550"</f>
        <v>40550</v>
      </c>
      <c r="N4220" t="s">
        <v>2645</v>
      </c>
      <c r="O4220">
        <v>232.3</v>
      </c>
      <c r="P4220">
        <v>20190109</v>
      </c>
      <c r="Q4220" t="s">
        <v>2001</v>
      </c>
      <c r="R4220" t="s">
        <v>2646</v>
      </c>
      <c r="S4220" t="s">
        <v>1615</v>
      </c>
      <c r="T4220" t="s">
        <v>301</v>
      </c>
    </row>
    <row r="4221" spans="1:20" x14ac:dyDescent="0.25">
      <c r="A4221">
        <v>9</v>
      </c>
      <c r="B4221">
        <v>199</v>
      </c>
      <c r="C4221" t="str">
        <f>"11"</f>
        <v>11</v>
      </c>
      <c r="D4221">
        <v>6399</v>
      </c>
      <c r="E4221" t="str">
        <f>"V8"</f>
        <v>V8</v>
      </c>
      <c r="F4221" t="str">
        <f t="shared" si="884"/>
        <v>001</v>
      </c>
      <c r="G4221">
        <v>9</v>
      </c>
      <c r="H4221" t="str">
        <f>"22"</f>
        <v>22</v>
      </c>
      <c r="I4221" t="str">
        <f t="shared" si="876"/>
        <v>0</v>
      </c>
      <c r="J4221" t="str">
        <f>"22"</f>
        <v>22</v>
      </c>
      <c r="K4221">
        <v>20190111</v>
      </c>
      <c r="L4221" t="str">
        <f>"075210"</f>
        <v>075210</v>
      </c>
      <c r="M4221" t="str">
        <f>"40550"</f>
        <v>40550</v>
      </c>
      <c r="N4221" t="s">
        <v>2645</v>
      </c>
      <c r="O4221">
        <v>52.89</v>
      </c>
      <c r="P4221">
        <v>20190109</v>
      </c>
      <c r="Q4221" t="s">
        <v>2001</v>
      </c>
      <c r="R4221" t="s">
        <v>2646</v>
      </c>
      <c r="S4221" t="s">
        <v>1615</v>
      </c>
      <c r="T4221" t="s">
        <v>301</v>
      </c>
    </row>
    <row r="4222" spans="1:20" x14ac:dyDescent="0.25">
      <c r="A4222">
        <v>9</v>
      </c>
      <c r="B4222">
        <v>199</v>
      </c>
      <c r="C4222" t="str">
        <f>"11"</f>
        <v>11</v>
      </c>
      <c r="D4222">
        <v>6399</v>
      </c>
      <c r="E4222" t="str">
        <f>"V8"</f>
        <v>V8</v>
      </c>
      <c r="F4222" t="str">
        <f t="shared" si="884"/>
        <v>001</v>
      </c>
      <c r="G4222">
        <v>9</v>
      </c>
      <c r="H4222" t="str">
        <f>"22"</f>
        <v>22</v>
      </c>
      <c r="I4222" t="str">
        <f t="shared" si="876"/>
        <v>0</v>
      </c>
      <c r="J4222" t="str">
        <f>"22"</f>
        <v>22</v>
      </c>
      <c r="K4222">
        <v>20190111</v>
      </c>
      <c r="L4222" t="str">
        <f>"075210"</f>
        <v>075210</v>
      </c>
      <c r="M4222" t="str">
        <f>"40550"</f>
        <v>40550</v>
      </c>
      <c r="N4222" t="s">
        <v>2645</v>
      </c>
      <c r="O4222">
        <v>28.72</v>
      </c>
      <c r="P4222">
        <v>20190109</v>
      </c>
      <c r="Q4222" t="s">
        <v>2001</v>
      </c>
      <c r="R4222" t="s">
        <v>2646</v>
      </c>
      <c r="S4222" t="s">
        <v>1615</v>
      </c>
      <c r="T4222" t="s">
        <v>301</v>
      </c>
    </row>
    <row r="4223" spans="1:20" x14ac:dyDescent="0.25">
      <c r="A4223">
        <v>9</v>
      </c>
      <c r="B4223">
        <v>199</v>
      </c>
      <c r="C4223" t="str">
        <f>"36"</f>
        <v>36</v>
      </c>
      <c r="D4223">
        <v>6499</v>
      </c>
      <c r="E4223" t="str">
        <f>"7C"</f>
        <v>7C</v>
      </c>
      <c r="F4223" t="str">
        <f t="shared" si="884"/>
        <v>001</v>
      </c>
      <c r="G4223">
        <v>9</v>
      </c>
      <c r="H4223" t="str">
        <f>"99"</f>
        <v>99</v>
      </c>
      <c r="I4223" t="str">
        <f t="shared" si="876"/>
        <v>0</v>
      </c>
      <c r="J4223" t="str">
        <f>"01"</f>
        <v>01</v>
      </c>
      <c r="K4223">
        <v>20190111</v>
      </c>
      <c r="L4223" t="str">
        <f>"075210"</f>
        <v>075210</v>
      </c>
      <c r="M4223" t="str">
        <f>"40550"</f>
        <v>40550</v>
      </c>
      <c r="N4223" t="s">
        <v>2645</v>
      </c>
      <c r="O4223">
        <v>127.6</v>
      </c>
      <c r="P4223">
        <v>20190109</v>
      </c>
      <c r="Q4223" t="s">
        <v>3396</v>
      </c>
      <c r="R4223" t="s">
        <v>3397</v>
      </c>
      <c r="S4223" t="s">
        <v>1615</v>
      </c>
      <c r="T4223" t="s">
        <v>301</v>
      </c>
    </row>
    <row r="4224" spans="1:20" x14ac:dyDescent="0.25">
      <c r="A4224">
        <v>9</v>
      </c>
      <c r="B4224">
        <v>199</v>
      </c>
      <c r="C4224" t="str">
        <f>"11"</f>
        <v>11</v>
      </c>
      <c r="D4224">
        <v>6412</v>
      </c>
      <c r="E4224" t="str">
        <f>"V8"</f>
        <v>V8</v>
      </c>
      <c r="F4224" t="str">
        <f t="shared" si="884"/>
        <v>001</v>
      </c>
      <c r="G4224">
        <v>9</v>
      </c>
      <c r="H4224" t="str">
        <f>"22"</f>
        <v>22</v>
      </c>
      <c r="I4224" t="str">
        <f t="shared" si="876"/>
        <v>0</v>
      </c>
      <c r="J4224" t="str">
        <f>"22"</f>
        <v>22</v>
      </c>
      <c r="K4224">
        <v>20190111</v>
      </c>
      <c r="L4224" t="str">
        <f>"075211"</f>
        <v>075211</v>
      </c>
      <c r="M4224" t="str">
        <f>"00046"</f>
        <v>00046</v>
      </c>
      <c r="N4224" t="s">
        <v>3398</v>
      </c>
      <c r="O4224">
        <v>35</v>
      </c>
      <c r="P4224">
        <v>20190109</v>
      </c>
      <c r="Q4224" t="s">
        <v>1884</v>
      </c>
      <c r="R4224" t="s">
        <v>3379</v>
      </c>
      <c r="S4224" t="s">
        <v>1615</v>
      </c>
      <c r="T4224" t="s">
        <v>301</v>
      </c>
    </row>
    <row r="4225" spans="1:20" x14ac:dyDescent="0.25">
      <c r="A4225">
        <v>9</v>
      </c>
      <c r="B4225">
        <v>199</v>
      </c>
      <c r="C4225" t="str">
        <f>"36"</f>
        <v>36</v>
      </c>
      <c r="D4225">
        <v>6411</v>
      </c>
      <c r="E4225" t="str">
        <f>"V8"</f>
        <v>V8</v>
      </c>
      <c r="F4225" t="str">
        <f t="shared" si="884"/>
        <v>001</v>
      </c>
      <c r="G4225">
        <v>9</v>
      </c>
      <c r="H4225" t="str">
        <f>"22"</f>
        <v>22</v>
      </c>
      <c r="I4225" t="str">
        <f t="shared" si="876"/>
        <v>0</v>
      </c>
      <c r="J4225" t="str">
        <f>"22"</f>
        <v>22</v>
      </c>
      <c r="K4225">
        <v>20190111</v>
      </c>
      <c r="L4225" t="str">
        <f>"075211"</f>
        <v>075211</v>
      </c>
      <c r="M4225" t="str">
        <f>"00046"</f>
        <v>00046</v>
      </c>
      <c r="N4225" t="s">
        <v>3398</v>
      </c>
      <c r="O4225">
        <v>8.33</v>
      </c>
      <c r="P4225">
        <v>20190109</v>
      </c>
      <c r="Q4225" t="s">
        <v>2602</v>
      </c>
      <c r="R4225" t="s">
        <v>3379</v>
      </c>
      <c r="S4225" t="s">
        <v>1615</v>
      </c>
      <c r="T4225" t="s">
        <v>301</v>
      </c>
    </row>
    <row r="4226" spans="1:20" x14ac:dyDescent="0.25">
      <c r="A4226">
        <v>9</v>
      </c>
      <c r="B4226">
        <v>199</v>
      </c>
      <c r="C4226" t="str">
        <f>"51"</f>
        <v>51</v>
      </c>
      <c r="D4226">
        <v>6498</v>
      </c>
      <c r="E4226" t="str">
        <f>"10"</f>
        <v>10</v>
      </c>
      <c r="F4226" t="str">
        <f>"936"</f>
        <v>936</v>
      </c>
      <c r="G4226">
        <v>9</v>
      </c>
      <c r="H4226" t="str">
        <f>"99"</f>
        <v>99</v>
      </c>
      <c r="I4226" t="str">
        <f t="shared" si="876"/>
        <v>0</v>
      </c>
      <c r="J4226" t="str">
        <f>"81"</f>
        <v>81</v>
      </c>
      <c r="K4226">
        <v>20190111</v>
      </c>
      <c r="L4226" t="str">
        <f>"075213"</f>
        <v>075213</v>
      </c>
      <c r="M4226" t="str">
        <f>"41230"</f>
        <v>41230</v>
      </c>
      <c r="N4226" t="s">
        <v>1350</v>
      </c>
      <c r="O4226">
        <v>107.64</v>
      </c>
      <c r="P4226">
        <v>20190109</v>
      </c>
      <c r="Q4226" t="s">
        <v>3316</v>
      </c>
      <c r="R4226" t="s">
        <v>3399</v>
      </c>
      <c r="S4226" t="s">
        <v>1615</v>
      </c>
      <c r="T4226" t="s">
        <v>1713</v>
      </c>
    </row>
    <row r="4227" spans="1:20" x14ac:dyDescent="0.25">
      <c r="A4227">
        <v>9</v>
      </c>
      <c r="B4227">
        <v>199</v>
      </c>
      <c r="C4227" t="str">
        <f>"51"</f>
        <v>51</v>
      </c>
      <c r="D4227">
        <v>6254</v>
      </c>
      <c r="E4227" t="str">
        <f>"ME"</f>
        <v>ME</v>
      </c>
      <c r="F4227" t="str">
        <f>"936"</f>
        <v>936</v>
      </c>
      <c r="G4227">
        <v>9</v>
      </c>
      <c r="H4227" t="str">
        <f>"99"</f>
        <v>99</v>
      </c>
      <c r="I4227" t="str">
        <f>"1"</f>
        <v>1</v>
      </c>
      <c r="J4227" t="str">
        <f>"73"</f>
        <v>73</v>
      </c>
      <c r="K4227">
        <v>20190111</v>
      </c>
      <c r="L4227" t="str">
        <f>"075214"</f>
        <v>075214</v>
      </c>
      <c r="M4227" t="str">
        <f>"42194"</f>
        <v>42194</v>
      </c>
      <c r="N4227" t="s">
        <v>1736</v>
      </c>
      <c r="O4227" s="1">
        <v>2878.42</v>
      </c>
      <c r="P4227">
        <v>20190109</v>
      </c>
      <c r="Q4227" t="s">
        <v>1891</v>
      </c>
      <c r="R4227" t="s">
        <v>3400</v>
      </c>
      <c r="S4227" t="s">
        <v>1615</v>
      </c>
      <c r="T4227" t="s">
        <v>1713</v>
      </c>
    </row>
    <row r="4228" spans="1:20" x14ac:dyDescent="0.25">
      <c r="A4228">
        <v>9</v>
      </c>
      <c r="B4228">
        <v>199</v>
      </c>
      <c r="C4228" t="str">
        <f>"36"</f>
        <v>36</v>
      </c>
      <c r="D4228">
        <v>6412</v>
      </c>
      <c r="E4228" t="str">
        <f>"09"</f>
        <v>09</v>
      </c>
      <c r="F4228" t="str">
        <f>"001"</f>
        <v>001</v>
      </c>
      <c r="G4228">
        <v>9</v>
      </c>
      <c r="H4228" t="str">
        <f>"23"</f>
        <v>23</v>
      </c>
      <c r="I4228" t="str">
        <f>"5"</f>
        <v>5</v>
      </c>
      <c r="J4228" t="str">
        <f>"74"</f>
        <v>74</v>
      </c>
      <c r="K4228">
        <v>20190111</v>
      </c>
      <c r="L4228" t="str">
        <f>"075215"</f>
        <v>075215</v>
      </c>
      <c r="M4228" t="str">
        <f>"42257"</f>
        <v>42257</v>
      </c>
      <c r="N4228" t="s">
        <v>3401</v>
      </c>
      <c r="O4228">
        <v>959.1</v>
      </c>
      <c r="P4228">
        <v>20190109</v>
      </c>
      <c r="Q4228" t="s">
        <v>3384</v>
      </c>
      <c r="R4228" t="s">
        <v>3385</v>
      </c>
      <c r="S4228" t="s">
        <v>1615</v>
      </c>
      <c r="T4228" t="s">
        <v>301</v>
      </c>
    </row>
    <row r="4229" spans="1:20" x14ac:dyDescent="0.25">
      <c r="A4229">
        <v>9</v>
      </c>
      <c r="B4229">
        <v>199</v>
      </c>
      <c r="C4229" t="str">
        <f>"23"</f>
        <v>23</v>
      </c>
      <c r="D4229">
        <v>6649</v>
      </c>
      <c r="E4229" t="str">
        <f>"1T"</f>
        <v>1T</v>
      </c>
      <c r="F4229" t="str">
        <f>"104"</f>
        <v>104</v>
      </c>
      <c r="G4229">
        <v>9</v>
      </c>
      <c r="H4229" t="str">
        <f t="shared" ref="H4229:H4251" si="885">"99"</f>
        <v>99</v>
      </c>
      <c r="I4229" t="str">
        <f t="shared" ref="I4229:I4241" si="886">"0"</f>
        <v>0</v>
      </c>
      <c r="J4229" t="str">
        <f>"05"</f>
        <v>05</v>
      </c>
      <c r="K4229">
        <v>20190111</v>
      </c>
      <c r="L4229" t="str">
        <f>"075216"</f>
        <v>075216</v>
      </c>
      <c r="M4229" t="str">
        <f>"43503"</f>
        <v>43503</v>
      </c>
      <c r="N4229" t="s">
        <v>3402</v>
      </c>
      <c r="O4229">
        <v>317.5</v>
      </c>
      <c r="P4229">
        <v>20190109</v>
      </c>
      <c r="Q4229" t="s">
        <v>3403</v>
      </c>
      <c r="R4229" t="s">
        <v>3404</v>
      </c>
      <c r="S4229" t="s">
        <v>1615</v>
      </c>
      <c r="T4229" t="s">
        <v>46</v>
      </c>
    </row>
    <row r="4230" spans="1:20" x14ac:dyDescent="0.25">
      <c r="A4230">
        <v>9</v>
      </c>
      <c r="B4230">
        <v>199</v>
      </c>
      <c r="C4230" t="str">
        <f>"51"</f>
        <v>51</v>
      </c>
      <c r="D4230">
        <v>6319</v>
      </c>
      <c r="E4230" t="str">
        <f>"MC"</f>
        <v>MC</v>
      </c>
      <c r="F4230" t="str">
        <f>"936"</f>
        <v>936</v>
      </c>
      <c r="G4230">
        <v>9</v>
      </c>
      <c r="H4230" t="str">
        <f t="shared" si="885"/>
        <v>99</v>
      </c>
      <c r="I4230" t="str">
        <f t="shared" si="886"/>
        <v>0</v>
      </c>
      <c r="J4230" t="str">
        <f>"81"</f>
        <v>81</v>
      </c>
      <c r="K4230">
        <v>20190111</v>
      </c>
      <c r="L4230" t="str">
        <f>"075217"</f>
        <v>075217</v>
      </c>
      <c r="M4230" t="str">
        <f>"43507"</f>
        <v>43507</v>
      </c>
      <c r="N4230" t="s">
        <v>2258</v>
      </c>
      <c r="O4230">
        <v>278.10000000000002</v>
      </c>
      <c r="P4230">
        <v>20190109</v>
      </c>
      <c r="Q4230" t="s">
        <v>2060</v>
      </c>
      <c r="R4230" t="s">
        <v>3405</v>
      </c>
      <c r="S4230" t="s">
        <v>1615</v>
      </c>
      <c r="T4230" t="s">
        <v>1713</v>
      </c>
    </row>
    <row r="4231" spans="1:20" x14ac:dyDescent="0.25">
      <c r="A4231">
        <v>9</v>
      </c>
      <c r="B4231">
        <v>199</v>
      </c>
      <c r="C4231" t="str">
        <f>"81"</f>
        <v>81</v>
      </c>
      <c r="D4231">
        <v>6629</v>
      </c>
      <c r="E4231" t="str">
        <f>"00"</f>
        <v>00</v>
      </c>
      <c r="F4231" t="str">
        <f>"101"</f>
        <v>101</v>
      </c>
      <c r="G4231">
        <v>9</v>
      </c>
      <c r="H4231" t="str">
        <f t="shared" si="885"/>
        <v>99</v>
      </c>
      <c r="I4231" t="str">
        <f t="shared" si="886"/>
        <v>0</v>
      </c>
      <c r="J4231" t="str">
        <f>"80"</f>
        <v>80</v>
      </c>
      <c r="K4231">
        <v>20190111</v>
      </c>
      <c r="L4231" t="str">
        <f>"075218"</f>
        <v>075218</v>
      </c>
      <c r="M4231" t="str">
        <f>"43532"</f>
        <v>43532</v>
      </c>
      <c r="N4231" t="s">
        <v>2261</v>
      </c>
      <c r="O4231" s="1">
        <v>15640</v>
      </c>
      <c r="P4231">
        <v>20190109</v>
      </c>
      <c r="Q4231" t="s">
        <v>2265</v>
      </c>
      <c r="R4231" t="s">
        <v>3406</v>
      </c>
      <c r="S4231" t="s">
        <v>1615</v>
      </c>
      <c r="T4231" t="s">
        <v>1479</v>
      </c>
    </row>
    <row r="4232" spans="1:20" x14ac:dyDescent="0.25">
      <c r="A4232">
        <v>9</v>
      </c>
      <c r="B4232">
        <v>199</v>
      </c>
      <c r="C4232" t="str">
        <f>"81"</f>
        <v>81</v>
      </c>
      <c r="D4232">
        <v>6629</v>
      </c>
      <c r="E4232" t="str">
        <f>"00"</f>
        <v>00</v>
      </c>
      <c r="F4232" t="str">
        <f>"101"</f>
        <v>101</v>
      </c>
      <c r="G4232">
        <v>9</v>
      </c>
      <c r="H4232" t="str">
        <f t="shared" si="885"/>
        <v>99</v>
      </c>
      <c r="I4232" t="str">
        <f t="shared" si="886"/>
        <v>0</v>
      </c>
      <c r="J4232" t="str">
        <f>"80"</f>
        <v>80</v>
      </c>
      <c r="K4232">
        <v>20190111</v>
      </c>
      <c r="L4232" t="str">
        <f>"075218"</f>
        <v>075218</v>
      </c>
      <c r="M4232" t="str">
        <f>"43532"</f>
        <v>43532</v>
      </c>
      <c r="N4232" t="s">
        <v>2261</v>
      </c>
      <c r="O4232" s="1">
        <v>3050</v>
      </c>
      <c r="P4232">
        <v>20190109</v>
      </c>
      <c r="Q4232" t="s">
        <v>2265</v>
      </c>
      <c r="R4232" t="s">
        <v>3407</v>
      </c>
      <c r="S4232" t="s">
        <v>1615</v>
      </c>
      <c r="T4232" t="s">
        <v>1479</v>
      </c>
    </row>
    <row r="4233" spans="1:20" x14ac:dyDescent="0.25">
      <c r="A4233">
        <v>9</v>
      </c>
      <c r="B4233">
        <v>199</v>
      </c>
      <c r="C4233" t="str">
        <f>"52"</f>
        <v>52</v>
      </c>
      <c r="D4233">
        <v>6299</v>
      </c>
      <c r="E4233" t="str">
        <f>"10"</f>
        <v>10</v>
      </c>
      <c r="F4233" t="str">
        <f>"002"</f>
        <v>002</v>
      </c>
      <c r="G4233">
        <v>9</v>
      </c>
      <c r="H4233" t="str">
        <f t="shared" si="885"/>
        <v>99</v>
      </c>
      <c r="I4233" t="str">
        <f t="shared" si="886"/>
        <v>0</v>
      </c>
      <c r="J4233" t="str">
        <f>"87"</f>
        <v>87</v>
      </c>
      <c r="K4233">
        <v>20190111</v>
      </c>
      <c r="L4233" t="str">
        <f>"075219"</f>
        <v>075219</v>
      </c>
      <c r="M4233" t="str">
        <f>"44450"</f>
        <v>44450</v>
      </c>
      <c r="N4233" t="s">
        <v>2500</v>
      </c>
      <c r="O4233">
        <v>112.5</v>
      </c>
      <c r="P4233">
        <v>20190109</v>
      </c>
      <c r="Q4233" t="s">
        <v>2503</v>
      </c>
      <c r="R4233" t="s">
        <v>3408</v>
      </c>
      <c r="S4233" t="s">
        <v>1615</v>
      </c>
      <c r="T4233" t="s">
        <v>1485</v>
      </c>
    </row>
    <row r="4234" spans="1:20" x14ac:dyDescent="0.25">
      <c r="A4234">
        <v>9</v>
      </c>
      <c r="B4234">
        <v>199</v>
      </c>
      <c r="C4234" t="str">
        <f>"52"</f>
        <v>52</v>
      </c>
      <c r="D4234">
        <v>6299</v>
      </c>
      <c r="E4234" t="str">
        <f>"10"</f>
        <v>10</v>
      </c>
      <c r="F4234" t="str">
        <f>"041"</f>
        <v>041</v>
      </c>
      <c r="G4234">
        <v>9</v>
      </c>
      <c r="H4234" t="str">
        <f t="shared" si="885"/>
        <v>99</v>
      </c>
      <c r="I4234" t="str">
        <f t="shared" si="886"/>
        <v>0</v>
      </c>
      <c r="J4234" t="str">
        <f>"87"</f>
        <v>87</v>
      </c>
      <c r="K4234">
        <v>20190111</v>
      </c>
      <c r="L4234" t="str">
        <f>"075219"</f>
        <v>075219</v>
      </c>
      <c r="M4234" t="str">
        <f>"44450"</f>
        <v>44450</v>
      </c>
      <c r="N4234" t="s">
        <v>2500</v>
      </c>
      <c r="O4234">
        <v>112.5</v>
      </c>
      <c r="P4234">
        <v>20190109</v>
      </c>
      <c r="Q4234" t="s">
        <v>2505</v>
      </c>
      <c r="R4234" t="s">
        <v>3408</v>
      </c>
      <c r="S4234" t="s">
        <v>1615</v>
      </c>
      <c r="T4234" t="s">
        <v>106</v>
      </c>
    </row>
    <row r="4235" spans="1:20" x14ac:dyDescent="0.25">
      <c r="A4235">
        <v>9</v>
      </c>
      <c r="B4235">
        <v>199</v>
      </c>
      <c r="C4235" t="str">
        <f>"52"</f>
        <v>52</v>
      </c>
      <c r="D4235">
        <v>6299</v>
      </c>
      <c r="E4235" t="str">
        <f>"10"</f>
        <v>10</v>
      </c>
      <c r="F4235" t="str">
        <f>"041"</f>
        <v>041</v>
      </c>
      <c r="G4235">
        <v>9</v>
      </c>
      <c r="H4235" t="str">
        <f t="shared" si="885"/>
        <v>99</v>
      </c>
      <c r="I4235" t="str">
        <f t="shared" si="886"/>
        <v>0</v>
      </c>
      <c r="J4235" t="str">
        <f>"87"</f>
        <v>87</v>
      </c>
      <c r="K4235">
        <v>20190111</v>
      </c>
      <c r="L4235" t="str">
        <f>"075219"</f>
        <v>075219</v>
      </c>
      <c r="M4235" t="str">
        <f>"44450"</f>
        <v>44450</v>
      </c>
      <c r="N4235" t="s">
        <v>2500</v>
      </c>
      <c r="O4235">
        <v>225</v>
      </c>
      <c r="P4235">
        <v>20190109</v>
      </c>
      <c r="Q4235" t="s">
        <v>2505</v>
      </c>
      <c r="R4235" t="s">
        <v>3409</v>
      </c>
      <c r="S4235" t="s">
        <v>1615</v>
      </c>
      <c r="T4235" t="s">
        <v>106</v>
      </c>
    </row>
    <row r="4236" spans="1:20" x14ac:dyDescent="0.25">
      <c r="A4236">
        <v>9</v>
      </c>
      <c r="B4236">
        <v>199</v>
      </c>
      <c r="C4236" t="str">
        <f>"51"</f>
        <v>51</v>
      </c>
      <c r="D4236">
        <v>6319</v>
      </c>
      <c r="E4236" t="str">
        <f>"MC"</f>
        <v>MC</v>
      </c>
      <c r="F4236" t="str">
        <f>"936"</f>
        <v>936</v>
      </c>
      <c r="G4236">
        <v>9</v>
      </c>
      <c r="H4236" t="str">
        <f t="shared" si="885"/>
        <v>99</v>
      </c>
      <c r="I4236" t="str">
        <f t="shared" si="886"/>
        <v>0</v>
      </c>
      <c r="J4236" t="str">
        <f>"81"</f>
        <v>81</v>
      </c>
      <c r="K4236">
        <v>20190111</v>
      </c>
      <c r="L4236" t="str">
        <f>"075220"</f>
        <v>075220</v>
      </c>
      <c r="M4236" t="str">
        <f>"45492"</f>
        <v>45492</v>
      </c>
      <c r="N4236" t="s">
        <v>3410</v>
      </c>
      <c r="O4236">
        <v>75.5</v>
      </c>
      <c r="P4236">
        <v>20190109</v>
      </c>
      <c r="Q4236" t="s">
        <v>2060</v>
      </c>
      <c r="R4236" t="s">
        <v>3411</v>
      </c>
      <c r="S4236" t="s">
        <v>1615</v>
      </c>
      <c r="T4236" t="s">
        <v>1713</v>
      </c>
    </row>
    <row r="4237" spans="1:20" x14ac:dyDescent="0.25">
      <c r="A4237">
        <v>9</v>
      </c>
      <c r="B4237">
        <v>199</v>
      </c>
      <c r="C4237" t="str">
        <f>"51"</f>
        <v>51</v>
      </c>
      <c r="D4237">
        <v>6319</v>
      </c>
      <c r="E4237" t="str">
        <f>"MC"</f>
        <v>MC</v>
      </c>
      <c r="F4237" t="str">
        <f>"936"</f>
        <v>936</v>
      </c>
      <c r="G4237">
        <v>9</v>
      </c>
      <c r="H4237" t="str">
        <f t="shared" si="885"/>
        <v>99</v>
      </c>
      <c r="I4237" t="str">
        <f t="shared" si="886"/>
        <v>0</v>
      </c>
      <c r="J4237" t="str">
        <f>"81"</f>
        <v>81</v>
      </c>
      <c r="K4237">
        <v>20190111</v>
      </c>
      <c r="L4237" t="str">
        <f>"075220"</f>
        <v>075220</v>
      </c>
      <c r="M4237" t="str">
        <f>"45492"</f>
        <v>45492</v>
      </c>
      <c r="N4237" t="s">
        <v>3410</v>
      </c>
      <c r="O4237">
        <v>292.17</v>
      </c>
      <c r="P4237">
        <v>20190109</v>
      </c>
      <c r="Q4237" t="s">
        <v>2060</v>
      </c>
      <c r="R4237" t="s">
        <v>3412</v>
      </c>
      <c r="S4237" t="s">
        <v>1615</v>
      </c>
      <c r="T4237" t="s">
        <v>1713</v>
      </c>
    </row>
    <row r="4238" spans="1:20" x14ac:dyDescent="0.25">
      <c r="A4238">
        <v>9</v>
      </c>
      <c r="B4238">
        <v>199</v>
      </c>
      <c r="C4238" t="str">
        <f>"51"</f>
        <v>51</v>
      </c>
      <c r="D4238">
        <v>6319</v>
      </c>
      <c r="E4238" t="str">
        <f>"MC"</f>
        <v>MC</v>
      </c>
      <c r="F4238" t="str">
        <f>"936"</f>
        <v>936</v>
      </c>
      <c r="G4238">
        <v>9</v>
      </c>
      <c r="H4238" t="str">
        <f t="shared" si="885"/>
        <v>99</v>
      </c>
      <c r="I4238" t="str">
        <f t="shared" si="886"/>
        <v>0</v>
      </c>
      <c r="J4238" t="str">
        <f>"81"</f>
        <v>81</v>
      </c>
      <c r="K4238">
        <v>20190111</v>
      </c>
      <c r="L4238" t="str">
        <f>"075220"</f>
        <v>075220</v>
      </c>
      <c r="M4238" t="str">
        <f>"45492"</f>
        <v>45492</v>
      </c>
      <c r="N4238" t="s">
        <v>3410</v>
      </c>
      <c r="O4238">
        <v>-15.28</v>
      </c>
      <c r="P4238">
        <v>20181221</v>
      </c>
      <c r="Q4238" t="s">
        <v>2060</v>
      </c>
      <c r="R4238" t="s">
        <v>3413</v>
      </c>
      <c r="S4238" t="s">
        <v>1615</v>
      </c>
      <c r="T4238" t="s">
        <v>1713</v>
      </c>
    </row>
    <row r="4239" spans="1:20" x14ac:dyDescent="0.25">
      <c r="A4239">
        <v>9</v>
      </c>
      <c r="B4239">
        <v>199</v>
      </c>
      <c r="C4239" t="str">
        <f>"41"</f>
        <v>41</v>
      </c>
      <c r="D4239">
        <v>6219</v>
      </c>
      <c r="E4239" t="str">
        <f>"11"</f>
        <v>11</v>
      </c>
      <c r="F4239" t="str">
        <f>"730"</f>
        <v>730</v>
      </c>
      <c r="G4239">
        <v>9</v>
      </c>
      <c r="H4239" t="str">
        <f t="shared" si="885"/>
        <v>99</v>
      </c>
      <c r="I4239" t="str">
        <f t="shared" si="886"/>
        <v>0</v>
      </c>
      <c r="J4239" t="str">
        <f>"95"</f>
        <v>95</v>
      </c>
      <c r="K4239">
        <v>20190111</v>
      </c>
      <c r="L4239" t="str">
        <f>"075221"</f>
        <v>075221</v>
      </c>
      <c r="M4239" t="str">
        <f>"46025"</f>
        <v>46025</v>
      </c>
      <c r="N4239" t="s">
        <v>1741</v>
      </c>
      <c r="O4239">
        <v>845</v>
      </c>
      <c r="P4239">
        <v>20190109</v>
      </c>
      <c r="Q4239" t="s">
        <v>2385</v>
      </c>
      <c r="R4239" s="2">
        <v>43374</v>
      </c>
      <c r="S4239" t="s">
        <v>1615</v>
      </c>
      <c r="T4239" t="s">
        <v>1794</v>
      </c>
    </row>
    <row r="4240" spans="1:20" x14ac:dyDescent="0.25">
      <c r="A4240">
        <v>9</v>
      </c>
      <c r="B4240">
        <v>199</v>
      </c>
      <c r="C4240" t="str">
        <f>"41"</f>
        <v>41</v>
      </c>
      <c r="D4240">
        <v>6219</v>
      </c>
      <c r="E4240" t="str">
        <f>"11"</f>
        <v>11</v>
      </c>
      <c r="F4240" t="str">
        <f>"730"</f>
        <v>730</v>
      </c>
      <c r="G4240">
        <v>9</v>
      </c>
      <c r="H4240" t="str">
        <f t="shared" si="885"/>
        <v>99</v>
      </c>
      <c r="I4240" t="str">
        <f t="shared" si="886"/>
        <v>0</v>
      </c>
      <c r="J4240" t="str">
        <f>"95"</f>
        <v>95</v>
      </c>
      <c r="K4240">
        <v>20190111</v>
      </c>
      <c r="L4240" t="str">
        <f>"075221"</f>
        <v>075221</v>
      </c>
      <c r="M4240" t="str">
        <f>"46025"</f>
        <v>46025</v>
      </c>
      <c r="N4240" t="s">
        <v>1741</v>
      </c>
      <c r="O4240">
        <v>742.5</v>
      </c>
      <c r="P4240">
        <v>20190109</v>
      </c>
      <c r="Q4240" t="s">
        <v>2385</v>
      </c>
      <c r="R4240" s="2">
        <v>43405</v>
      </c>
      <c r="S4240" t="s">
        <v>1615</v>
      </c>
      <c r="T4240" t="s">
        <v>1794</v>
      </c>
    </row>
    <row r="4241" spans="1:20" x14ac:dyDescent="0.25">
      <c r="A4241">
        <v>9</v>
      </c>
      <c r="B4241">
        <v>199</v>
      </c>
      <c r="C4241" t="str">
        <f>"41"</f>
        <v>41</v>
      </c>
      <c r="D4241">
        <v>6219</v>
      </c>
      <c r="E4241" t="str">
        <f>"11"</f>
        <v>11</v>
      </c>
      <c r="F4241" t="str">
        <f>"730"</f>
        <v>730</v>
      </c>
      <c r="G4241">
        <v>9</v>
      </c>
      <c r="H4241" t="str">
        <f t="shared" si="885"/>
        <v>99</v>
      </c>
      <c r="I4241" t="str">
        <f t="shared" si="886"/>
        <v>0</v>
      </c>
      <c r="J4241" t="str">
        <f>"95"</f>
        <v>95</v>
      </c>
      <c r="K4241">
        <v>20190111</v>
      </c>
      <c r="L4241" t="str">
        <f>"075221"</f>
        <v>075221</v>
      </c>
      <c r="M4241" t="str">
        <f>"46025"</f>
        <v>46025</v>
      </c>
      <c r="N4241" t="s">
        <v>1741</v>
      </c>
      <c r="O4241">
        <v>406.25</v>
      </c>
      <c r="P4241">
        <v>20190109</v>
      </c>
      <c r="Q4241" t="s">
        <v>2385</v>
      </c>
      <c r="R4241" s="2">
        <v>43435</v>
      </c>
      <c r="S4241" t="s">
        <v>1615</v>
      </c>
      <c r="T4241" t="s">
        <v>1794</v>
      </c>
    </row>
    <row r="4242" spans="1:20" x14ac:dyDescent="0.25">
      <c r="A4242">
        <v>9</v>
      </c>
      <c r="B4242">
        <v>199</v>
      </c>
      <c r="C4242" t="str">
        <f>"36"</f>
        <v>36</v>
      </c>
      <c r="D4242">
        <v>6411</v>
      </c>
      <c r="E4242" t="str">
        <f>"8S"</f>
        <v>8S</v>
      </c>
      <c r="F4242" t="str">
        <f>"001"</f>
        <v>001</v>
      </c>
      <c r="G4242">
        <v>9</v>
      </c>
      <c r="H4242" t="str">
        <f t="shared" si="885"/>
        <v>99</v>
      </c>
      <c r="I4242" t="str">
        <f>"1"</f>
        <v>1</v>
      </c>
      <c r="J4242" t="str">
        <f>"01"</f>
        <v>01</v>
      </c>
      <c r="K4242">
        <v>20190111</v>
      </c>
      <c r="L4242" t="str">
        <f>"075222"</f>
        <v>075222</v>
      </c>
      <c r="M4242" t="str">
        <f>"46348"</f>
        <v>46348</v>
      </c>
      <c r="N4242" t="s">
        <v>1631</v>
      </c>
      <c r="O4242">
        <v>50</v>
      </c>
      <c r="P4242">
        <v>20190109</v>
      </c>
      <c r="Q4242" t="s">
        <v>1632</v>
      </c>
      <c r="R4242" t="s">
        <v>3355</v>
      </c>
      <c r="S4242" t="s">
        <v>1615</v>
      </c>
      <c r="T4242" t="s">
        <v>301</v>
      </c>
    </row>
    <row r="4243" spans="1:20" x14ac:dyDescent="0.25">
      <c r="A4243">
        <v>9</v>
      </c>
      <c r="B4243">
        <v>199</v>
      </c>
      <c r="C4243" t="str">
        <f>"36"</f>
        <v>36</v>
      </c>
      <c r="D4243">
        <v>6412</v>
      </c>
      <c r="E4243" t="str">
        <f>"8S"</f>
        <v>8S</v>
      </c>
      <c r="F4243" t="str">
        <f>"001"</f>
        <v>001</v>
      </c>
      <c r="G4243">
        <v>9</v>
      </c>
      <c r="H4243" t="str">
        <f t="shared" si="885"/>
        <v>99</v>
      </c>
      <c r="I4243" t="str">
        <f>"1"</f>
        <v>1</v>
      </c>
      <c r="J4243" t="str">
        <f>"01"</f>
        <v>01</v>
      </c>
      <c r="K4243">
        <v>20190111</v>
      </c>
      <c r="L4243" t="str">
        <f>"075222"</f>
        <v>075222</v>
      </c>
      <c r="M4243" t="str">
        <f>"46348"</f>
        <v>46348</v>
      </c>
      <c r="N4243" t="s">
        <v>1631</v>
      </c>
      <c r="O4243">
        <v>450</v>
      </c>
      <c r="P4243">
        <v>20190109</v>
      </c>
      <c r="Q4243" t="s">
        <v>1634</v>
      </c>
      <c r="R4243" t="s">
        <v>3355</v>
      </c>
      <c r="S4243" t="s">
        <v>1615</v>
      </c>
      <c r="T4243" t="s">
        <v>301</v>
      </c>
    </row>
    <row r="4244" spans="1:20" x14ac:dyDescent="0.25">
      <c r="A4244">
        <v>9</v>
      </c>
      <c r="B4244">
        <v>199</v>
      </c>
      <c r="C4244" t="str">
        <f t="shared" ref="C4244:C4251" si="887">"51"</f>
        <v>51</v>
      </c>
      <c r="D4244">
        <v>6219</v>
      </c>
      <c r="E4244" t="str">
        <f>"M7"</f>
        <v>M7</v>
      </c>
      <c r="F4244" t="str">
        <f t="shared" ref="F4244:F4251" si="888">"936"</f>
        <v>936</v>
      </c>
      <c r="G4244">
        <v>9</v>
      </c>
      <c r="H4244" t="str">
        <f t="shared" si="885"/>
        <v>99</v>
      </c>
      <c r="I4244" t="str">
        <f t="shared" ref="I4244:I4261" si="889">"0"</f>
        <v>0</v>
      </c>
      <c r="J4244" t="str">
        <f t="shared" ref="J4244:J4251" si="890">"81"</f>
        <v>81</v>
      </c>
      <c r="K4244">
        <v>20190111</v>
      </c>
      <c r="L4244" t="str">
        <f t="shared" ref="L4244:L4251" si="891">"075223"</f>
        <v>075223</v>
      </c>
      <c r="M4244" t="str">
        <f t="shared" ref="M4244:M4251" si="892">"46369"</f>
        <v>46369</v>
      </c>
      <c r="N4244" t="s">
        <v>2086</v>
      </c>
      <c r="O4244">
        <v>220</v>
      </c>
      <c r="P4244">
        <v>20190109</v>
      </c>
      <c r="Q4244" t="s">
        <v>2259</v>
      </c>
      <c r="R4244" t="s">
        <v>3414</v>
      </c>
      <c r="S4244" t="s">
        <v>1615</v>
      </c>
      <c r="T4244" t="s">
        <v>1713</v>
      </c>
    </row>
    <row r="4245" spans="1:20" x14ac:dyDescent="0.25">
      <c r="A4245">
        <v>9</v>
      </c>
      <c r="B4245">
        <v>199</v>
      </c>
      <c r="C4245" t="str">
        <f t="shared" si="887"/>
        <v>51</v>
      </c>
      <c r="D4245">
        <v>6219</v>
      </c>
      <c r="E4245" t="str">
        <f>"M7"</f>
        <v>M7</v>
      </c>
      <c r="F4245" t="str">
        <f t="shared" si="888"/>
        <v>936</v>
      </c>
      <c r="G4245">
        <v>9</v>
      </c>
      <c r="H4245" t="str">
        <f t="shared" si="885"/>
        <v>99</v>
      </c>
      <c r="I4245" t="str">
        <f t="shared" si="889"/>
        <v>0</v>
      </c>
      <c r="J4245" t="str">
        <f t="shared" si="890"/>
        <v>81</v>
      </c>
      <c r="K4245">
        <v>20190111</v>
      </c>
      <c r="L4245" t="str">
        <f t="shared" si="891"/>
        <v>075223</v>
      </c>
      <c r="M4245" t="str">
        <f t="shared" si="892"/>
        <v>46369</v>
      </c>
      <c r="N4245" t="s">
        <v>2086</v>
      </c>
      <c r="O4245">
        <v>660</v>
      </c>
      <c r="P4245">
        <v>20190109</v>
      </c>
      <c r="Q4245" t="s">
        <v>2259</v>
      </c>
      <c r="R4245" t="s">
        <v>3415</v>
      </c>
      <c r="S4245" t="s">
        <v>1615</v>
      </c>
      <c r="T4245" t="s">
        <v>1713</v>
      </c>
    </row>
    <row r="4246" spans="1:20" x14ac:dyDescent="0.25">
      <c r="A4246">
        <v>9</v>
      </c>
      <c r="B4246">
        <v>199</v>
      </c>
      <c r="C4246" t="str">
        <f t="shared" si="887"/>
        <v>51</v>
      </c>
      <c r="D4246">
        <v>6219</v>
      </c>
      <c r="E4246" t="str">
        <f>"M7"</f>
        <v>M7</v>
      </c>
      <c r="F4246" t="str">
        <f t="shared" si="888"/>
        <v>936</v>
      </c>
      <c r="G4246">
        <v>9</v>
      </c>
      <c r="H4246" t="str">
        <f t="shared" si="885"/>
        <v>99</v>
      </c>
      <c r="I4246" t="str">
        <f t="shared" si="889"/>
        <v>0</v>
      </c>
      <c r="J4246" t="str">
        <f t="shared" si="890"/>
        <v>81</v>
      </c>
      <c r="K4246">
        <v>20190111</v>
      </c>
      <c r="L4246" t="str">
        <f t="shared" si="891"/>
        <v>075223</v>
      </c>
      <c r="M4246" t="str">
        <f t="shared" si="892"/>
        <v>46369</v>
      </c>
      <c r="N4246" t="s">
        <v>2086</v>
      </c>
      <c r="O4246">
        <v>220</v>
      </c>
      <c r="P4246">
        <v>20190109</v>
      </c>
      <c r="Q4246" t="s">
        <v>2259</v>
      </c>
      <c r="R4246" t="s">
        <v>3416</v>
      </c>
      <c r="S4246" t="s">
        <v>1615</v>
      </c>
      <c r="T4246" t="s">
        <v>1713</v>
      </c>
    </row>
    <row r="4247" spans="1:20" x14ac:dyDescent="0.25">
      <c r="A4247">
        <v>9</v>
      </c>
      <c r="B4247">
        <v>199</v>
      </c>
      <c r="C4247" t="str">
        <f t="shared" si="887"/>
        <v>51</v>
      </c>
      <c r="D4247">
        <v>6219</v>
      </c>
      <c r="E4247" t="str">
        <f>"M7"</f>
        <v>M7</v>
      </c>
      <c r="F4247" t="str">
        <f t="shared" si="888"/>
        <v>936</v>
      </c>
      <c r="G4247">
        <v>9</v>
      </c>
      <c r="H4247" t="str">
        <f t="shared" si="885"/>
        <v>99</v>
      </c>
      <c r="I4247" t="str">
        <f t="shared" si="889"/>
        <v>0</v>
      </c>
      <c r="J4247" t="str">
        <f t="shared" si="890"/>
        <v>81</v>
      </c>
      <c r="K4247">
        <v>20190111</v>
      </c>
      <c r="L4247" t="str">
        <f t="shared" si="891"/>
        <v>075223</v>
      </c>
      <c r="M4247" t="str">
        <f t="shared" si="892"/>
        <v>46369</v>
      </c>
      <c r="N4247" t="s">
        <v>2086</v>
      </c>
      <c r="O4247">
        <v>220</v>
      </c>
      <c r="P4247">
        <v>20190109</v>
      </c>
      <c r="Q4247" t="s">
        <v>2259</v>
      </c>
      <c r="R4247" t="s">
        <v>3417</v>
      </c>
      <c r="S4247" t="s">
        <v>1615</v>
      </c>
      <c r="T4247" t="s">
        <v>1713</v>
      </c>
    </row>
    <row r="4248" spans="1:20" x14ac:dyDescent="0.25">
      <c r="A4248">
        <v>9</v>
      </c>
      <c r="B4248">
        <v>199</v>
      </c>
      <c r="C4248" t="str">
        <f t="shared" si="887"/>
        <v>51</v>
      </c>
      <c r="D4248">
        <v>6219</v>
      </c>
      <c r="E4248" t="str">
        <f>"M7"</f>
        <v>M7</v>
      </c>
      <c r="F4248" t="str">
        <f t="shared" si="888"/>
        <v>936</v>
      </c>
      <c r="G4248">
        <v>9</v>
      </c>
      <c r="H4248" t="str">
        <f t="shared" si="885"/>
        <v>99</v>
      </c>
      <c r="I4248" t="str">
        <f t="shared" si="889"/>
        <v>0</v>
      </c>
      <c r="J4248" t="str">
        <f t="shared" si="890"/>
        <v>81</v>
      </c>
      <c r="K4248">
        <v>20190111</v>
      </c>
      <c r="L4248" t="str">
        <f t="shared" si="891"/>
        <v>075223</v>
      </c>
      <c r="M4248" t="str">
        <f t="shared" si="892"/>
        <v>46369</v>
      </c>
      <c r="N4248" t="s">
        <v>2086</v>
      </c>
      <c r="O4248">
        <v>220</v>
      </c>
      <c r="P4248">
        <v>20190109</v>
      </c>
      <c r="Q4248" t="s">
        <v>2259</v>
      </c>
      <c r="R4248" t="s">
        <v>3418</v>
      </c>
      <c r="S4248" t="s">
        <v>1615</v>
      </c>
      <c r="T4248" t="s">
        <v>1713</v>
      </c>
    </row>
    <row r="4249" spans="1:20" x14ac:dyDescent="0.25">
      <c r="A4249">
        <v>9</v>
      </c>
      <c r="B4249">
        <v>199</v>
      </c>
      <c r="C4249" t="str">
        <f t="shared" si="887"/>
        <v>51</v>
      </c>
      <c r="D4249">
        <v>6249</v>
      </c>
      <c r="E4249" t="str">
        <f>"M6"</f>
        <v>M6</v>
      </c>
      <c r="F4249" t="str">
        <f t="shared" si="888"/>
        <v>936</v>
      </c>
      <c r="G4249">
        <v>9</v>
      </c>
      <c r="H4249" t="str">
        <f t="shared" si="885"/>
        <v>99</v>
      </c>
      <c r="I4249" t="str">
        <f t="shared" si="889"/>
        <v>0</v>
      </c>
      <c r="J4249" t="str">
        <f t="shared" si="890"/>
        <v>81</v>
      </c>
      <c r="K4249">
        <v>20190111</v>
      </c>
      <c r="L4249" t="str">
        <f t="shared" si="891"/>
        <v>075223</v>
      </c>
      <c r="M4249" t="str">
        <f t="shared" si="892"/>
        <v>46369</v>
      </c>
      <c r="N4249" t="s">
        <v>2086</v>
      </c>
      <c r="O4249">
        <v>275</v>
      </c>
      <c r="P4249">
        <v>20190109</v>
      </c>
      <c r="Q4249" t="s">
        <v>2089</v>
      </c>
      <c r="R4249" t="s">
        <v>3419</v>
      </c>
      <c r="S4249" t="s">
        <v>1615</v>
      </c>
      <c r="T4249" t="s">
        <v>1713</v>
      </c>
    </row>
    <row r="4250" spans="1:20" x14ac:dyDescent="0.25">
      <c r="A4250">
        <v>9</v>
      </c>
      <c r="B4250">
        <v>199</v>
      </c>
      <c r="C4250" t="str">
        <f t="shared" si="887"/>
        <v>51</v>
      </c>
      <c r="D4250">
        <v>6249</v>
      </c>
      <c r="E4250" t="str">
        <f>"M6"</f>
        <v>M6</v>
      </c>
      <c r="F4250" t="str">
        <f t="shared" si="888"/>
        <v>936</v>
      </c>
      <c r="G4250">
        <v>9</v>
      </c>
      <c r="H4250" t="str">
        <f t="shared" si="885"/>
        <v>99</v>
      </c>
      <c r="I4250" t="str">
        <f t="shared" si="889"/>
        <v>0</v>
      </c>
      <c r="J4250" t="str">
        <f t="shared" si="890"/>
        <v>81</v>
      </c>
      <c r="K4250">
        <v>20190111</v>
      </c>
      <c r="L4250" t="str">
        <f t="shared" si="891"/>
        <v>075223</v>
      </c>
      <c r="M4250" t="str">
        <f t="shared" si="892"/>
        <v>46369</v>
      </c>
      <c r="N4250" t="s">
        <v>2086</v>
      </c>
      <c r="O4250">
        <v>275</v>
      </c>
      <c r="P4250">
        <v>20190109</v>
      </c>
      <c r="Q4250" t="s">
        <v>2089</v>
      </c>
      <c r="R4250" t="s">
        <v>3420</v>
      </c>
      <c r="S4250" t="s">
        <v>1615</v>
      </c>
      <c r="T4250" t="s">
        <v>1713</v>
      </c>
    </row>
    <row r="4251" spans="1:20" x14ac:dyDescent="0.25">
      <c r="A4251">
        <v>9</v>
      </c>
      <c r="B4251">
        <v>199</v>
      </c>
      <c r="C4251" t="str">
        <f t="shared" si="887"/>
        <v>51</v>
      </c>
      <c r="D4251">
        <v>6249</v>
      </c>
      <c r="E4251" t="str">
        <f>"M6"</f>
        <v>M6</v>
      </c>
      <c r="F4251" t="str">
        <f t="shared" si="888"/>
        <v>936</v>
      </c>
      <c r="G4251">
        <v>9</v>
      </c>
      <c r="H4251" t="str">
        <f t="shared" si="885"/>
        <v>99</v>
      </c>
      <c r="I4251" t="str">
        <f t="shared" si="889"/>
        <v>0</v>
      </c>
      <c r="J4251" t="str">
        <f t="shared" si="890"/>
        <v>81</v>
      </c>
      <c r="K4251">
        <v>20190111</v>
      </c>
      <c r="L4251" t="str">
        <f t="shared" si="891"/>
        <v>075223</v>
      </c>
      <c r="M4251" t="str">
        <f t="shared" si="892"/>
        <v>46369</v>
      </c>
      <c r="N4251" t="s">
        <v>2086</v>
      </c>
      <c r="O4251">
        <v>536</v>
      </c>
      <c r="P4251">
        <v>20190109</v>
      </c>
      <c r="Q4251" t="s">
        <v>2089</v>
      </c>
      <c r="R4251" t="s">
        <v>3421</v>
      </c>
      <c r="S4251" t="s">
        <v>1615</v>
      </c>
      <c r="T4251" t="s">
        <v>1713</v>
      </c>
    </row>
    <row r="4252" spans="1:20" x14ac:dyDescent="0.25">
      <c r="A4252">
        <v>9</v>
      </c>
      <c r="B4252">
        <v>199</v>
      </c>
      <c r="C4252" t="str">
        <f>"00"</f>
        <v>00</v>
      </c>
      <c r="D4252">
        <v>1291</v>
      </c>
      <c r="E4252" t="str">
        <f>"05"</f>
        <v>05</v>
      </c>
      <c r="F4252" t="str">
        <f>"000"</f>
        <v>000</v>
      </c>
      <c r="G4252">
        <v>9</v>
      </c>
      <c r="H4252" t="str">
        <f>"00"</f>
        <v>00</v>
      </c>
      <c r="I4252" t="str">
        <f t="shared" si="889"/>
        <v>0</v>
      </c>
      <c r="J4252" t="str">
        <f>"00"</f>
        <v>00</v>
      </c>
      <c r="K4252">
        <v>20190111</v>
      </c>
      <c r="L4252" t="str">
        <f>"075224"</f>
        <v>075224</v>
      </c>
      <c r="M4252" t="str">
        <f>"46398"</f>
        <v>46398</v>
      </c>
      <c r="N4252" t="s">
        <v>1636</v>
      </c>
      <c r="O4252" s="1">
        <v>1820</v>
      </c>
      <c r="P4252">
        <v>20190109</v>
      </c>
      <c r="Q4252" t="s">
        <v>1637</v>
      </c>
      <c r="R4252" t="s">
        <v>3422</v>
      </c>
      <c r="S4252" t="s">
        <v>1615</v>
      </c>
      <c r="T4252" t="s">
        <v>296</v>
      </c>
    </row>
    <row r="4253" spans="1:20" x14ac:dyDescent="0.25">
      <c r="A4253">
        <v>9</v>
      </c>
      <c r="B4253">
        <v>199</v>
      </c>
      <c r="C4253" t="str">
        <f>"00"</f>
        <v>00</v>
      </c>
      <c r="D4253">
        <v>1291</v>
      </c>
      <c r="E4253" t="str">
        <f>"05"</f>
        <v>05</v>
      </c>
      <c r="F4253" t="str">
        <f>"000"</f>
        <v>000</v>
      </c>
      <c r="G4253">
        <v>9</v>
      </c>
      <c r="H4253" t="str">
        <f>"00"</f>
        <v>00</v>
      </c>
      <c r="I4253" t="str">
        <f t="shared" si="889"/>
        <v>0</v>
      </c>
      <c r="J4253" t="str">
        <f>"00"</f>
        <v>00</v>
      </c>
      <c r="K4253">
        <v>20190115</v>
      </c>
      <c r="L4253" t="str">
        <f>"075224"</f>
        <v>075224</v>
      </c>
      <c r="M4253" t="str">
        <f>"46398"</f>
        <v>46398</v>
      </c>
      <c r="N4253" t="s">
        <v>1636</v>
      </c>
      <c r="O4253" s="1">
        <v>-1820</v>
      </c>
      <c r="P4253">
        <v>20190115</v>
      </c>
      <c r="Q4253" t="s">
        <v>1637</v>
      </c>
      <c r="R4253" t="s">
        <v>3423</v>
      </c>
      <c r="S4253" t="s">
        <v>1615</v>
      </c>
      <c r="T4253" t="s">
        <v>296</v>
      </c>
    </row>
    <row r="4254" spans="1:20" x14ac:dyDescent="0.25">
      <c r="A4254">
        <v>9</v>
      </c>
      <c r="B4254">
        <v>199</v>
      </c>
      <c r="C4254" t="str">
        <f>"41"</f>
        <v>41</v>
      </c>
      <c r="D4254">
        <v>6269</v>
      </c>
      <c r="E4254" t="str">
        <f>"10"</f>
        <v>10</v>
      </c>
      <c r="F4254" t="str">
        <f>"933"</f>
        <v>933</v>
      </c>
      <c r="G4254">
        <v>9</v>
      </c>
      <c r="H4254" t="str">
        <f>"99"</f>
        <v>99</v>
      </c>
      <c r="I4254" t="str">
        <f t="shared" si="889"/>
        <v>0</v>
      </c>
      <c r="J4254" t="str">
        <f>"85"</f>
        <v>85</v>
      </c>
      <c r="K4254">
        <v>20190111</v>
      </c>
      <c r="L4254" t="str">
        <f>"075225"</f>
        <v>075225</v>
      </c>
      <c r="M4254" t="str">
        <f>"46351"</f>
        <v>46351</v>
      </c>
      <c r="N4254" t="s">
        <v>1639</v>
      </c>
      <c r="O4254" s="1">
        <v>4248.04</v>
      </c>
      <c r="P4254">
        <v>20190109</v>
      </c>
      <c r="Q4254" t="s">
        <v>1642</v>
      </c>
      <c r="R4254" t="s">
        <v>3424</v>
      </c>
      <c r="S4254" t="s">
        <v>1615</v>
      </c>
      <c r="T4254" t="s">
        <v>1643</v>
      </c>
    </row>
    <row r="4255" spans="1:20" x14ac:dyDescent="0.25">
      <c r="A4255">
        <v>9</v>
      </c>
      <c r="B4255">
        <v>199</v>
      </c>
      <c r="C4255" t="str">
        <f>"11"</f>
        <v>11</v>
      </c>
      <c r="D4255">
        <v>6299</v>
      </c>
      <c r="E4255" t="str">
        <f>"7E"</f>
        <v>7E</v>
      </c>
      <c r="F4255" t="str">
        <f>"001"</f>
        <v>001</v>
      </c>
      <c r="G4255">
        <v>9</v>
      </c>
      <c r="H4255" t="str">
        <f>"11"</f>
        <v>11</v>
      </c>
      <c r="I4255" t="str">
        <f t="shared" si="889"/>
        <v>0</v>
      </c>
      <c r="J4255" t="str">
        <f>"31"</f>
        <v>31</v>
      </c>
      <c r="K4255">
        <v>20190111</v>
      </c>
      <c r="L4255" t="str">
        <f>"075226"</f>
        <v>075226</v>
      </c>
      <c r="M4255" t="str">
        <f>"47659"</f>
        <v>47659</v>
      </c>
      <c r="N4255" t="s">
        <v>3425</v>
      </c>
      <c r="O4255">
        <v>150</v>
      </c>
      <c r="P4255">
        <v>20190110</v>
      </c>
      <c r="Q4255" t="s">
        <v>1873</v>
      </c>
      <c r="R4255" t="s">
        <v>3356</v>
      </c>
      <c r="S4255" t="s">
        <v>1615</v>
      </c>
      <c r="T4255" t="s">
        <v>301</v>
      </c>
    </row>
    <row r="4256" spans="1:20" x14ac:dyDescent="0.25">
      <c r="A4256">
        <v>9</v>
      </c>
      <c r="B4256">
        <v>199</v>
      </c>
      <c r="C4256" t="str">
        <f>"51"</f>
        <v>51</v>
      </c>
      <c r="D4256">
        <v>6319</v>
      </c>
      <c r="E4256" t="str">
        <f>"MC"</f>
        <v>MC</v>
      </c>
      <c r="F4256" t="str">
        <f>"936"</f>
        <v>936</v>
      </c>
      <c r="G4256">
        <v>9</v>
      </c>
      <c r="H4256" t="str">
        <f>"99"</f>
        <v>99</v>
      </c>
      <c r="I4256" t="str">
        <f t="shared" si="889"/>
        <v>0</v>
      </c>
      <c r="J4256" t="str">
        <f>"81"</f>
        <v>81</v>
      </c>
      <c r="K4256">
        <v>20190111</v>
      </c>
      <c r="L4256" t="str">
        <f>"075227"</f>
        <v>075227</v>
      </c>
      <c r="M4256" t="str">
        <f>"47725"</f>
        <v>47725</v>
      </c>
      <c r="N4256" t="s">
        <v>2095</v>
      </c>
      <c r="O4256">
        <v>137.82</v>
      </c>
      <c r="P4256">
        <v>20190110</v>
      </c>
      <c r="Q4256" t="s">
        <v>2060</v>
      </c>
      <c r="R4256" t="s">
        <v>3426</v>
      </c>
      <c r="S4256" t="s">
        <v>1615</v>
      </c>
      <c r="T4256" t="s">
        <v>1713</v>
      </c>
    </row>
    <row r="4257" spans="1:20" x14ac:dyDescent="0.25">
      <c r="A4257">
        <v>9</v>
      </c>
      <c r="B4257">
        <v>199</v>
      </c>
      <c r="C4257" t="str">
        <f>"51"</f>
        <v>51</v>
      </c>
      <c r="D4257">
        <v>6319</v>
      </c>
      <c r="E4257" t="str">
        <f>"M3"</f>
        <v>M3</v>
      </c>
      <c r="F4257" t="str">
        <f>"936"</f>
        <v>936</v>
      </c>
      <c r="G4257">
        <v>9</v>
      </c>
      <c r="H4257" t="str">
        <f>"99"</f>
        <v>99</v>
      </c>
      <c r="I4257" t="str">
        <f t="shared" si="889"/>
        <v>0</v>
      </c>
      <c r="J4257" t="str">
        <f>"81"</f>
        <v>81</v>
      </c>
      <c r="K4257">
        <v>20190111</v>
      </c>
      <c r="L4257" t="str">
        <f>"075232"</f>
        <v>075232</v>
      </c>
      <c r="M4257" t="str">
        <f>"49970"</f>
        <v>49970</v>
      </c>
      <c r="N4257" t="s">
        <v>2273</v>
      </c>
      <c r="O4257">
        <v>442</v>
      </c>
      <c r="P4257">
        <v>20190110</v>
      </c>
      <c r="Q4257" t="s">
        <v>2246</v>
      </c>
      <c r="R4257" t="s">
        <v>3427</v>
      </c>
      <c r="S4257" t="s">
        <v>1615</v>
      </c>
      <c r="T4257" t="s">
        <v>1713</v>
      </c>
    </row>
    <row r="4258" spans="1:20" x14ac:dyDescent="0.25">
      <c r="A4258">
        <v>9</v>
      </c>
      <c r="B4258">
        <v>199</v>
      </c>
      <c r="C4258" t="str">
        <f>"11"</f>
        <v>11</v>
      </c>
      <c r="D4258">
        <v>6299</v>
      </c>
      <c r="E4258" t="str">
        <f>"7E"</f>
        <v>7E</v>
      </c>
      <c r="F4258" t="str">
        <f>"001"</f>
        <v>001</v>
      </c>
      <c r="G4258">
        <v>9</v>
      </c>
      <c r="H4258" t="str">
        <f>"11"</f>
        <v>11</v>
      </c>
      <c r="I4258" t="str">
        <f t="shared" si="889"/>
        <v>0</v>
      </c>
      <c r="J4258" t="str">
        <f>"31"</f>
        <v>31</v>
      </c>
      <c r="K4258">
        <v>20190111</v>
      </c>
      <c r="L4258" t="str">
        <f>"075234"</f>
        <v>075234</v>
      </c>
      <c r="M4258" t="str">
        <f>"00641"</f>
        <v>00641</v>
      </c>
      <c r="N4258" t="s">
        <v>3428</v>
      </c>
      <c r="O4258">
        <v>150</v>
      </c>
      <c r="P4258">
        <v>20190110</v>
      </c>
      <c r="Q4258" t="s">
        <v>1873</v>
      </c>
      <c r="R4258" t="s">
        <v>3356</v>
      </c>
      <c r="S4258" t="s">
        <v>1615</v>
      </c>
      <c r="T4258" t="s">
        <v>301</v>
      </c>
    </row>
    <row r="4259" spans="1:20" x14ac:dyDescent="0.25">
      <c r="A4259">
        <v>9</v>
      </c>
      <c r="B4259">
        <v>199</v>
      </c>
      <c r="C4259" t="str">
        <f>"36"</f>
        <v>36</v>
      </c>
      <c r="D4259">
        <v>6499</v>
      </c>
      <c r="E4259" t="str">
        <f>"H2"</f>
        <v>H2</v>
      </c>
      <c r="F4259" t="str">
        <f>"001"</f>
        <v>001</v>
      </c>
      <c r="G4259">
        <v>9</v>
      </c>
      <c r="H4259" t="str">
        <f>"99"</f>
        <v>99</v>
      </c>
      <c r="I4259" t="str">
        <f t="shared" si="889"/>
        <v>0</v>
      </c>
      <c r="J4259" t="str">
        <f>"37"</f>
        <v>37</v>
      </c>
      <c r="K4259">
        <v>20190111</v>
      </c>
      <c r="L4259" t="str">
        <f>"075235"</f>
        <v>075235</v>
      </c>
      <c r="M4259" t="str">
        <f>"51347"</f>
        <v>51347</v>
      </c>
      <c r="N4259" t="s">
        <v>1158</v>
      </c>
      <c r="O4259">
        <v>140</v>
      </c>
      <c r="P4259">
        <v>20190110</v>
      </c>
      <c r="Q4259" t="s">
        <v>2903</v>
      </c>
      <c r="R4259" t="s">
        <v>1160</v>
      </c>
      <c r="S4259" t="s">
        <v>1615</v>
      </c>
      <c r="T4259" t="s">
        <v>301</v>
      </c>
    </row>
    <row r="4260" spans="1:20" x14ac:dyDescent="0.25">
      <c r="A4260">
        <v>9</v>
      </c>
      <c r="B4260">
        <v>199</v>
      </c>
      <c r="C4260" t="str">
        <f>"51"</f>
        <v>51</v>
      </c>
      <c r="D4260">
        <v>6249</v>
      </c>
      <c r="E4260" t="str">
        <f>"M8"</f>
        <v>M8</v>
      </c>
      <c r="F4260" t="str">
        <f>"936"</f>
        <v>936</v>
      </c>
      <c r="G4260">
        <v>9</v>
      </c>
      <c r="H4260" t="str">
        <f>"99"</f>
        <v>99</v>
      </c>
      <c r="I4260" t="str">
        <f t="shared" si="889"/>
        <v>0</v>
      </c>
      <c r="J4260" t="str">
        <f>"81"</f>
        <v>81</v>
      </c>
      <c r="K4260">
        <v>20190111</v>
      </c>
      <c r="L4260" t="str">
        <f>"075237"</f>
        <v>075237</v>
      </c>
      <c r="M4260" t="str">
        <f>"52185"</f>
        <v>52185</v>
      </c>
      <c r="N4260" t="s">
        <v>1748</v>
      </c>
      <c r="O4260" s="1">
        <v>16400</v>
      </c>
      <c r="P4260">
        <v>20190110</v>
      </c>
      <c r="Q4260" t="s">
        <v>2096</v>
      </c>
      <c r="R4260" t="s">
        <v>3429</v>
      </c>
      <c r="S4260" t="s">
        <v>1615</v>
      </c>
      <c r="T4260" t="s">
        <v>1713</v>
      </c>
    </row>
    <row r="4261" spans="1:20" x14ac:dyDescent="0.25">
      <c r="A4261">
        <v>9</v>
      </c>
      <c r="B4261">
        <v>199</v>
      </c>
      <c r="C4261" t="str">
        <f>"51"</f>
        <v>51</v>
      </c>
      <c r="D4261">
        <v>6249</v>
      </c>
      <c r="E4261" t="str">
        <f>"M8"</f>
        <v>M8</v>
      </c>
      <c r="F4261" t="str">
        <f>"936"</f>
        <v>936</v>
      </c>
      <c r="G4261">
        <v>9</v>
      </c>
      <c r="H4261" t="str">
        <f>"99"</f>
        <v>99</v>
      </c>
      <c r="I4261" t="str">
        <f t="shared" si="889"/>
        <v>0</v>
      </c>
      <c r="J4261" t="str">
        <f>"81"</f>
        <v>81</v>
      </c>
      <c r="K4261">
        <v>20190111</v>
      </c>
      <c r="L4261" t="str">
        <f>"075237"</f>
        <v>075237</v>
      </c>
      <c r="M4261" t="str">
        <f>"52185"</f>
        <v>52185</v>
      </c>
      <c r="N4261" t="s">
        <v>1748</v>
      </c>
      <c r="O4261" s="1">
        <v>1350</v>
      </c>
      <c r="P4261">
        <v>20190110</v>
      </c>
      <c r="Q4261" t="s">
        <v>2096</v>
      </c>
      <c r="R4261" t="s">
        <v>3430</v>
      </c>
      <c r="S4261" t="s">
        <v>1615</v>
      </c>
      <c r="T4261" t="s">
        <v>1713</v>
      </c>
    </row>
    <row r="4262" spans="1:20" x14ac:dyDescent="0.25">
      <c r="A4262">
        <v>9</v>
      </c>
      <c r="B4262">
        <v>199</v>
      </c>
      <c r="C4262" t="str">
        <f>"51"</f>
        <v>51</v>
      </c>
      <c r="D4262">
        <v>6249</v>
      </c>
      <c r="E4262" t="str">
        <f>"M8"</f>
        <v>M8</v>
      </c>
      <c r="F4262" t="str">
        <f>"936"</f>
        <v>936</v>
      </c>
      <c r="G4262">
        <v>9</v>
      </c>
      <c r="H4262" t="str">
        <f>"99"</f>
        <v>99</v>
      </c>
      <c r="I4262" t="str">
        <f>"C"</f>
        <v>C</v>
      </c>
      <c r="J4262" t="str">
        <f>"81"</f>
        <v>81</v>
      </c>
      <c r="K4262">
        <v>20190111</v>
      </c>
      <c r="L4262" t="str">
        <f>"075237"</f>
        <v>075237</v>
      </c>
      <c r="M4262" t="str">
        <f>"52185"</f>
        <v>52185</v>
      </c>
      <c r="N4262" t="s">
        <v>1748</v>
      </c>
      <c r="O4262" s="1">
        <v>19155</v>
      </c>
      <c r="P4262">
        <v>20190110</v>
      </c>
      <c r="Q4262" t="s">
        <v>3431</v>
      </c>
      <c r="R4262" t="s">
        <v>3432</v>
      </c>
      <c r="S4262" t="s">
        <v>1615</v>
      </c>
      <c r="T4262" t="s">
        <v>1713</v>
      </c>
    </row>
    <row r="4263" spans="1:20" x14ac:dyDescent="0.25">
      <c r="A4263">
        <v>9</v>
      </c>
      <c r="B4263">
        <v>199</v>
      </c>
      <c r="C4263" t="str">
        <f>"11"</f>
        <v>11</v>
      </c>
      <c r="D4263">
        <v>6299</v>
      </c>
      <c r="E4263" t="str">
        <f>"7E"</f>
        <v>7E</v>
      </c>
      <c r="F4263" t="str">
        <f>"001"</f>
        <v>001</v>
      </c>
      <c r="G4263">
        <v>9</v>
      </c>
      <c r="H4263" t="str">
        <f>"11"</f>
        <v>11</v>
      </c>
      <c r="I4263" t="str">
        <f t="shared" ref="I4263:I4279" si="893">"0"</f>
        <v>0</v>
      </c>
      <c r="J4263" t="str">
        <f>"31"</f>
        <v>31</v>
      </c>
      <c r="K4263">
        <v>20190111</v>
      </c>
      <c r="L4263" t="str">
        <f>"075239"</f>
        <v>075239</v>
      </c>
      <c r="M4263" t="str">
        <f>"53480"</f>
        <v>53480</v>
      </c>
      <c r="N4263" t="s">
        <v>3433</v>
      </c>
      <c r="O4263">
        <v>150</v>
      </c>
      <c r="P4263">
        <v>20190110</v>
      </c>
      <c r="Q4263" t="s">
        <v>1873</v>
      </c>
      <c r="R4263" t="s">
        <v>3356</v>
      </c>
      <c r="S4263" t="s">
        <v>1615</v>
      </c>
      <c r="T4263" t="s">
        <v>301</v>
      </c>
    </row>
    <row r="4264" spans="1:20" x14ac:dyDescent="0.25">
      <c r="A4264">
        <v>9</v>
      </c>
      <c r="B4264">
        <v>199</v>
      </c>
      <c r="C4264" t="str">
        <f>"11"</f>
        <v>11</v>
      </c>
      <c r="D4264">
        <v>6399</v>
      </c>
      <c r="E4264" t="str">
        <f>"V8"</f>
        <v>V8</v>
      </c>
      <c r="F4264" t="str">
        <f>"001"</f>
        <v>001</v>
      </c>
      <c r="G4264">
        <v>9</v>
      </c>
      <c r="H4264" t="str">
        <f>"22"</f>
        <v>22</v>
      </c>
      <c r="I4264" t="str">
        <f t="shared" si="893"/>
        <v>0</v>
      </c>
      <c r="J4264" t="str">
        <f>"22"</f>
        <v>22</v>
      </c>
      <c r="K4264">
        <v>20190111</v>
      </c>
      <c r="L4264" t="str">
        <f>"075240"</f>
        <v>075240</v>
      </c>
      <c r="M4264" t="str">
        <f>"54149"</f>
        <v>54149</v>
      </c>
      <c r="N4264" t="s">
        <v>3434</v>
      </c>
      <c r="O4264">
        <v>173.44</v>
      </c>
      <c r="P4264">
        <v>20190110</v>
      </c>
      <c r="Q4264" t="s">
        <v>2001</v>
      </c>
      <c r="R4264" t="s">
        <v>3435</v>
      </c>
      <c r="S4264" t="s">
        <v>1615</v>
      </c>
      <c r="T4264" t="s">
        <v>301</v>
      </c>
    </row>
    <row r="4265" spans="1:20" x14ac:dyDescent="0.25">
      <c r="A4265">
        <v>9</v>
      </c>
      <c r="B4265">
        <v>199</v>
      </c>
      <c r="C4265" t="str">
        <f>"36"</f>
        <v>36</v>
      </c>
      <c r="D4265">
        <v>6495</v>
      </c>
      <c r="E4265" t="str">
        <f>"8E"</f>
        <v>8E</v>
      </c>
      <c r="F4265" t="str">
        <f>"001"</f>
        <v>001</v>
      </c>
      <c r="G4265">
        <v>9</v>
      </c>
      <c r="H4265" t="str">
        <f>"99"</f>
        <v>99</v>
      </c>
      <c r="I4265" t="str">
        <f t="shared" si="893"/>
        <v>0</v>
      </c>
      <c r="J4265" t="str">
        <f>"01"</f>
        <v>01</v>
      </c>
      <c r="K4265">
        <v>20190111</v>
      </c>
      <c r="L4265" t="str">
        <f>"075241"</f>
        <v>075241</v>
      </c>
      <c r="M4265" t="str">
        <f>"55881"</f>
        <v>55881</v>
      </c>
      <c r="N4265" t="s">
        <v>3436</v>
      </c>
      <c r="O4265">
        <v>250</v>
      </c>
      <c r="P4265">
        <v>20190110</v>
      </c>
      <c r="Q4265" t="s">
        <v>3437</v>
      </c>
      <c r="R4265" t="s">
        <v>3438</v>
      </c>
      <c r="S4265" t="s">
        <v>1615</v>
      </c>
      <c r="T4265" t="s">
        <v>301</v>
      </c>
    </row>
    <row r="4266" spans="1:20" x14ac:dyDescent="0.25">
      <c r="A4266">
        <v>9</v>
      </c>
      <c r="B4266">
        <v>199</v>
      </c>
      <c r="C4266" t="str">
        <f>"11"</f>
        <v>11</v>
      </c>
      <c r="D4266">
        <v>6339</v>
      </c>
      <c r="E4266" t="str">
        <f>"GT"</f>
        <v>GT</v>
      </c>
      <c r="F4266" t="str">
        <f>"101"</f>
        <v>101</v>
      </c>
      <c r="G4266">
        <v>9</v>
      </c>
      <c r="H4266" t="str">
        <f>"21"</f>
        <v>21</v>
      </c>
      <c r="I4266" t="str">
        <f t="shared" si="893"/>
        <v>0</v>
      </c>
      <c r="J4266" t="str">
        <f>"21"</f>
        <v>21</v>
      </c>
      <c r="K4266">
        <v>20190111</v>
      </c>
      <c r="L4266" t="str">
        <f>"075243"</f>
        <v>075243</v>
      </c>
      <c r="M4266" t="str">
        <f>"54495"</f>
        <v>54495</v>
      </c>
      <c r="N4266" t="s">
        <v>2102</v>
      </c>
      <c r="O4266" s="1">
        <v>1819.13</v>
      </c>
      <c r="P4266">
        <v>20190110</v>
      </c>
      <c r="Q4266" t="s">
        <v>3439</v>
      </c>
      <c r="R4266" t="s">
        <v>3440</v>
      </c>
      <c r="S4266" t="s">
        <v>1615</v>
      </c>
      <c r="T4266" t="s">
        <v>1479</v>
      </c>
    </row>
    <row r="4267" spans="1:20" x14ac:dyDescent="0.25">
      <c r="A4267">
        <v>9</v>
      </c>
      <c r="B4267">
        <v>199</v>
      </c>
      <c r="C4267" t="str">
        <f>"51"</f>
        <v>51</v>
      </c>
      <c r="D4267">
        <v>6249</v>
      </c>
      <c r="E4267" t="str">
        <f>"M1"</f>
        <v>M1</v>
      </c>
      <c r="F4267" t="str">
        <f>"936"</f>
        <v>936</v>
      </c>
      <c r="G4267">
        <v>9</v>
      </c>
      <c r="H4267" t="str">
        <f>"99"</f>
        <v>99</v>
      </c>
      <c r="I4267" t="str">
        <f t="shared" si="893"/>
        <v>0</v>
      </c>
      <c r="J4267" t="str">
        <f>"81"</f>
        <v>81</v>
      </c>
      <c r="K4267">
        <v>20190111</v>
      </c>
      <c r="L4267" t="str">
        <f>"075246"</f>
        <v>075246</v>
      </c>
      <c r="M4267" t="str">
        <f>"00181"</f>
        <v>00181</v>
      </c>
      <c r="N4267" t="s">
        <v>1762</v>
      </c>
      <c r="O4267">
        <v>320</v>
      </c>
      <c r="P4267">
        <v>20190110</v>
      </c>
      <c r="Q4267" t="s">
        <v>1763</v>
      </c>
      <c r="R4267" s="2">
        <v>43466</v>
      </c>
      <c r="S4267" t="s">
        <v>1615</v>
      </c>
      <c r="T4267" t="s">
        <v>1713</v>
      </c>
    </row>
    <row r="4268" spans="1:20" x14ac:dyDescent="0.25">
      <c r="A4268">
        <v>9</v>
      </c>
      <c r="B4268">
        <v>199</v>
      </c>
      <c r="C4268" t="str">
        <f>"34"</f>
        <v>34</v>
      </c>
      <c r="D4268">
        <v>6399</v>
      </c>
      <c r="E4268" t="str">
        <f>"11"</f>
        <v>11</v>
      </c>
      <c r="F4268" t="str">
        <f>"937"</f>
        <v>937</v>
      </c>
      <c r="G4268">
        <v>9</v>
      </c>
      <c r="H4268" t="str">
        <f>"99"</f>
        <v>99</v>
      </c>
      <c r="I4268" t="str">
        <f t="shared" si="893"/>
        <v>0</v>
      </c>
      <c r="J4268" t="str">
        <f>"82"</f>
        <v>82</v>
      </c>
      <c r="K4268">
        <v>20190111</v>
      </c>
      <c r="L4268" t="str">
        <f>"075248"</f>
        <v>075248</v>
      </c>
      <c r="M4268" t="str">
        <f>"56255"</f>
        <v>56255</v>
      </c>
      <c r="N4268" t="s">
        <v>2399</v>
      </c>
      <c r="O4268">
        <v>414.69</v>
      </c>
      <c r="P4268">
        <v>20190110</v>
      </c>
      <c r="Q4268" t="s">
        <v>2210</v>
      </c>
      <c r="R4268" t="s">
        <v>3441</v>
      </c>
      <c r="S4268" t="s">
        <v>1615</v>
      </c>
      <c r="T4268" t="s">
        <v>1810</v>
      </c>
    </row>
    <row r="4269" spans="1:20" x14ac:dyDescent="0.25">
      <c r="A4269">
        <v>9</v>
      </c>
      <c r="B4269">
        <v>199</v>
      </c>
      <c r="C4269" t="str">
        <f>"11"</f>
        <v>11</v>
      </c>
      <c r="D4269">
        <v>6299</v>
      </c>
      <c r="E4269" t="str">
        <f>"7E"</f>
        <v>7E</v>
      </c>
      <c r="F4269" t="str">
        <f>"001"</f>
        <v>001</v>
      </c>
      <c r="G4269">
        <v>9</v>
      </c>
      <c r="H4269" t="str">
        <f>"11"</f>
        <v>11</v>
      </c>
      <c r="I4269" t="str">
        <f t="shared" si="893"/>
        <v>0</v>
      </c>
      <c r="J4269" t="str">
        <f>"31"</f>
        <v>31</v>
      </c>
      <c r="K4269">
        <v>20190111</v>
      </c>
      <c r="L4269" t="str">
        <f>"075249"</f>
        <v>075249</v>
      </c>
      <c r="M4269" t="str">
        <f>"00655"</f>
        <v>00655</v>
      </c>
      <c r="N4269" t="s">
        <v>3442</v>
      </c>
      <c r="O4269">
        <v>150</v>
      </c>
      <c r="P4269">
        <v>20190110</v>
      </c>
      <c r="Q4269" t="s">
        <v>1873</v>
      </c>
      <c r="R4269" t="s">
        <v>3356</v>
      </c>
      <c r="S4269" t="s">
        <v>1615</v>
      </c>
      <c r="T4269" t="s">
        <v>301</v>
      </c>
    </row>
    <row r="4270" spans="1:20" x14ac:dyDescent="0.25">
      <c r="A4270">
        <v>9</v>
      </c>
      <c r="B4270">
        <v>199</v>
      </c>
      <c r="C4270" t="str">
        <f>"11"</f>
        <v>11</v>
      </c>
      <c r="D4270">
        <v>6399</v>
      </c>
      <c r="E4270" t="str">
        <f>"78"</f>
        <v>78</v>
      </c>
      <c r="F4270" t="str">
        <f>"041"</f>
        <v>041</v>
      </c>
      <c r="G4270">
        <v>9</v>
      </c>
      <c r="H4270" t="str">
        <f>"11"</f>
        <v>11</v>
      </c>
      <c r="I4270" t="str">
        <f t="shared" si="893"/>
        <v>0</v>
      </c>
      <c r="J4270" t="str">
        <f>"03"</f>
        <v>03</v>
      </c>
      <c r="K4270">
        <v>20190111</v>
      </c>
      <c r="L4270" t="str">
        <f>"075252"</f>
        <v>075252</v>
      </c>
      <c r="M4270" t="str">
        <f>"57760"</f>
        <v>57760</v>
      </c>
      <c r="N4270" t="s">
        <v>3443</v>
      </c>
      <c r="O4270">
        <v>788.7</v>
      </c>
      <c r="P4270">
        <v>20190110</v>
      </c>
      <c r="Q4270" t="s">
        <v>3444</v>
      </c>
      <c r="R4270" t="s">
        <v>3445</v>
      </c>
      <c r="S4270" t="s">
        <v>1615</v>
      </c>
      <c r="T4270" t="s">
        <v>106</v>
      </c>
    </row>
    <row r="4271" spans="1:20" x14ac:dyDescent="0.25">
      <c r="A4271">
        <v>9</v>
      </c>
      <c r="B4271">
        <v>199</v>
      </c>
      <c r="C4271" t="str">
        <f>"23"</f>
        <v>23</v>
      </c>
      <c r="D4271">
        <v>6498</v>
      </c>
      <c r="E4271" t="str">
        <f t="shared" ref="E4271:E4277" si="894">"10"</f>
        <v>10</v>
      </c>
      <c r="F4271" t="str">
        <f>"001"</f>
        <v>001</v>
      </c>
      <c r="G4271">
        <v>9</v>
      </c>
      <c r="H4271" t="str">
        <f t="shared" ref="H4271:H4277" si="895">"99"</f>
        <v>99</v>
      </c>
      <c r="I4271" t="str">
        <f t="shared" si="893"/>
        <v>0</v>
      </c>
      <c r="J4271" t="str">
        <f>"01"</f>
        <v>01</v>
      </c>
      <c r="K4271">
        <v>20190111</v>
      </c>
      <c r="L4271" t="str">
        <f>"075253"</f>
        <v>075253</v>
      </c>
      <c r="M4271" t="str">
        <f>"58204"</f>
        <v>58204</v>
      </c>
      <c r="N4271" t="s">
        <v>1767</v>
      </c>
      <c r="O4271">
        <v>115.94</v>
      </c>
      <c r="P4271">
        <v>20190110</v>
      </c>
      <c r="Q4271" t="s">
        <v>2108</v>
      </c>
      <c r="R4271" t="s">
        <v>2081</v>
      </c>
      <c r="S4271" t="s">
        <v>1615</v>
      </c>
      <c r="T4271" t="s">
        <v>301</v>
      </c>
    </row>
    <row r="4272" spans="1:20" x14ac:dyDescent="0.25">
      <c r="A4272">
        <v>9</v>
      </c>
      <c r="B4272">
        <v>199</v>
      </c>
      <c r="C4272" t="str">
        <f>"23"</f>
        <v>23</v>
      </c>
      <c r="D4272">
        <v>6498</v>
      </c>
      <c r="E4272" t="str">
        <f t="shared" si="894"/>
        <v>10</v>
      </c>
      <c r="F4272" t="str">
        <f>"001"</f>
        <v>001</v>
      </c>
      <c r="G4272">
        <v>9</v>
      </c>
      <c r="H4272" t="str">
        <f t="shared" si="895"/>
        <v>99</v>
      </c>
      <c r="I4272" t="str">
        <f t="shared" si="893"/>
        <v>0</v>
      </c>
      <c r="J4272" t="str">
        <f>"01"</f>
        <v>01</v>
      </c>
      <c r="K4272">
        <v>20190111</v>
      </c>
      <c r="L4272" t="str">
        <f>"075253"</f>
        <v>075253</v>
      </c>
      <c r="M4272" t="str">
        <f>"58204"</f>
        <v>58204</v>
      </c>
      <c r="N4272" t="s">
        <v>1767</v>
      </c>
      <c r="O4272">
        <v>73.48</v>
      </c>
      <c r="P4272">
        <v>20190110</v>
      </c>
      <c r="Q4272" t="s">
        <v>2108</v>
      </c>
      <c r="R4272" t="s">
        <v>2081</v>
      </c>
      <c r="S4272" t="s">
        <v>1615</v>
      </c>
      <c r="T4272" t="s">
        <v>301</v>
      </c>
    </row>
    <row r="4273" spans="1:20" x14ac:dyDescent="0.25">
      <c r="A4273">
        <v>9</v>
      </c>
      <c r="B4273">
        <v>199</v>
      </c>
      <c r="C4273" t="str">
        <f>"34"</f>
        <v>34</v>
      </c>
      <c r="D4273">
        <v>6299</v>
      </c>
      <c r="E4273" t="str">
        <f t="shared" si="894"/>
        <v>10</v>
      </c>
      <c r="F4273" t="str">
        <f>"937"</f>
        <v>937</v>
      </c>
      <c r="G4273">
        <v>9</v>
      </c>
      <c r="H4273" t="str">
        <f t="shared" si="895"/>
        <v>99</v>
      </c>
      <c r="I4273" t="str">
        <f t="shared" si="893"/>
        <v>0</v>
      </c>
      <c r="J4273" t="str">
        <f>"82"</f>
        <v>82</v>
      </c>
      <c r="K4273">
        <v>20190111</v>
      </c>
      <c r="L4273" t="str">
        <f>"075254"</f>
        <v>075254</v>
      </c>
      <c r="M4273" t="str">
        <f>"58927"</f>
        <v>58927</v>
      </c>
      <c r="N4273" t="s">
        <v>1772</v>
      </c>
      <c r="O4273">
        <v>55</v>
      </c>
      <c r="P4273">
        <v>20190110</v>
      </c>
      <c r="Q4273" t="s">
        <v>2292</v>
      </c>
      <c r="R4273" t="s">
        <v>1773</v>
      </c>
      <c r="S4273" t="s">
        <v>1615</v>
      </c>
      <c r="T4273" t="s">
        <v>1810</v>
      </c>
    </row>
    <row r="4274" spans="1:20" x14ac:dyDescent="0.25">
      <c r="A4274">
        <v>9</v>
      </c>
      <c r="B4274">
        <v>199</v>
      </c>
      <c r="C4274" t="str">
        <f>"34"</f>
        <v>34</v>
      </c>
      <c r="D4274">
        <v>6299</v>
      </c>
      <c r="E4274" t="str">
        <f t="shared" si="894"/>
        <v>10</v>
      </c>
      <c r="F4274" t="str">
        <f>"937"</f>
        <v>937</v>
      </c>
      <c r="G4274">
        <v>9</v>
      </c>
      <c r="H4274" t="str">
        <f t="shared" si="895"/>
        <v>99</v>
      </c>
      <c r="I4274" t="str">
        <f t="shared" si="893"/>
        <v>0</v>
      </c>
      <c r="J4274" t="str">
        <f>"82"</f>
        <v>82</v>
      </c>
      <c r="K4274">
        <v>20190111</v>
      </c>
      <c r="L4274" t="str">
        <f>"075254"</f>
        <v>075254</v>
      </c>
      <c r="M4274" t="str">
        <f>"58927"</f>
        <v>58927</v>
      </c>
      <c r="N4274" t="s">
        <v>1772</v>
      </c>
      <c r="O4274">
        <v>60</v>
      </c>
      <c r="P4274">
        <v>20190110</v>
      </c>
      <c r="Q4274" t="s">
        <v>2292</v>
      </c>
      <c r="R4274" t="s">
        <v>1774</v>
      </c>
      <c r="S4274" t="s">
        <v>1615</v>
      </c>
      <c r="T4274" t="s">
        <v>1810</v>
      </c>
    </row>
    <row r="4275" spans="1:20" x14ac:dyDescent="0.25">
      <c r="A4275">
        <v>9</v>
      </c>
      <c r="B4275">
        <v>199</v>
      </c>
      <c r="C4275" t="str">
        <f>"34"</f>
        <v>34</v>
      </c>
      <c r="D4275">
        <v>6299</v>
      </c>
      <c r="E4275" t="str">
        <f t="shared" si="894"/>
        <v>10</v>
      </c>
      <c r="F4275" t="str">
        <f>"937"</f>
        <v>937</v>
      </c>
      <c r="G4275">
        <v>9</v>
      </c>
      <c r="H4275" t="str">
        <f t="shared" si="895"/>
        <v>99</v>
      </c>
      <c r="I4275" t="str">
        <f t="shared" si="893"/>
        <v>0</v>
      </c>
      <c r="J4275" t="str">
        <f>"82"</f>
        <v>82</v>
      </c>
      <c r="K4275">
        <v>20190111</v>
      </c>
      <c r="L4275" t="str">
        <f>"075254"</f>
        <v>075254</v>
      </c>
      <c r="M4275" t="str">
        <f>"58927"</f>
        <v>58927</v>
      </c>
      <c r="N4275" t="s">
        <v>1772</v>
      </c>
      <c r="O4275">
        <v>555</v>
      </c>
      <c r="P4275">
        <v>20190110</v>
      </c>
      <c r="Q4275" t="s">
        <v>2292</v>
      </c>
      <c r="R4275" t="s">
        <v>2664</v>
      </c>
      <c r="S4275" t="s">
        <v>1615</v>
      </c>
      <c r="T4275" t="s">
        <v>1810</v>
      </c>
    </row>
    <row r="4276" spans="1:20" x14ac:dyDescent="0.25">
      <c r="A4276">
        <v>9</v>
      </c>
      <c r="B4276">
        <v>199</v>
      </c>
      <c r="C4276" t="str">
        <f>"34"</f>
        <v>34</v>
      </c>
      <c r="D4276">
        <v>6299</v>
      </c>
      <c r="E4276" t="str">
        <f t="shared" si="894"/>
        <v>10</v>
      </c>
      <c r="F4276" t="str">
        <f>"937"</f>
        <v>937</v>
      </c>
      <c r="G4276">
        <v>9</v>
      </c>
      <c r="H4276" t="str">
        <f t="shared" si="895"/>
        <v>99</v>
      </c>
      <c r="I4276" t="str">
        <f t="shared" si="893"/>
        <v>0</v>
      </c>
      <c r="J4276" t="str">
        <f>"82"</f>
        <v>82</v>
      </c>
      <c r="K4276">
        <v>20190111</v>
      </c>
      <c r="L4276" t="str">
        <f>"075254"</f>
        <v>075254</v>
      </c>
      <c r="M4276" t="str">
        <f>"58927"</f>
        <v>58927</v>
      </c>
      <c r="N4276" t="s">
        <v>1772</v>
      </c>
      <c r="O4276">
        <v>275</v>
      </c>
      <c r="P4276">
        <v>20190110</v>
      </c>
      <c r="Q4276" t="s">
        <v>2292</v>
      </c>
      <c r="R4276" t="s">
        <v>1773</v>
      </c>
      <c r="S4276" t="s">
        <v>1615</v>
      </c>
      <c r="T4276" t="s">
        <v>1810</v>
      </c>
    </row>
    <row r="4277" spans="1:20" x14ac:dyDescent="0.25">
      <c r="A4277">
        <v>9</v>
      </c>
      <c r="B4277">
        <v>199</v>
      </c>
      <c r="C4277" t="str">
        <f>"34"</f>
        <v>34</v>
      </c>
      <c r="D4277">
        <v>6299</v>
      </c>
      <c r="E4277" t="str">
        <f t="shared" si="894"/>
        <v>10</v>
      </c>
      <c r="F4277" t="str">
        <f>"937"</f>
        <v>937</v>
      </c>
      <c r="G4277">
        <v>9</v>
      </c>
      <c r="H4277" t="str">
        <f t="shared" si="895"/>
        <v>99</v>
      </c>
      <c r="I4277" t="str">
        <f t="shared" si="893"/>
        <v>0</v>
      </c>
      <c r="J4277" t="str">
        <f>"82"</f>
        <v>82</v>
      </c>
      <c r="K4277">
        <v>20190111</v>
      </c>
      <c r="L4277" t="str">
        <f>"075254"</f>
        <v>075254</v>
      </c>
      <c r="M4277" t="str">
        <f>"58927"</f>
        <v>58927</v>
      </c>
      <c r="N4277" t="s">
        <v>1772</v>
      </c>
      <c r="O4277">
        <v>240</v>
      </c>
      <c r="P4277">
        <v>20190110</v>
      </c>
      <c r="Q4277" t="s">
        <v>2292</v>
      </c>
      <c r="R4277" t="s">
        <v>1774</v>
      </c>
      <c r="S4277" t="s">
        <v>1615</v>
      </c>
      <c r="T4277" t="s">
        <v>1810</v>
      </c>
    </row>
    <row r="4278" spans="1:20" x14ac:dyDescent="0.25">
      <c r="A4278">
        <v>9</v>
      </c>
      <c r="B4278">
        <v>199</v>
      </c>
      <c r="C4278" t="str">
        <f>"11"</f>
        <v>11</v>
      </c>
      <c r="D4278">
        <v>6299</v>
      </c>
      <c r="E4278" t="str">
        <f>"7E"</f>
        <v>7E</v>
      </c>
      <c r="F4278" t="str">
        <f>"001"</f>
        <v>001</v>
      </c>
      <c r="G4278">
        <v>9</v>
      </c>
      <c r="H4278" t="str">
        <f>"11"</f>
        <v>11</v>
      </c>
      <c r="I4278" t="str">
        <f t="shared" si="893"/>
        <v>0</v>
      </c>
      <c r="J4278" t="str">
        <f>"31"</f>
        <v>31</v>
      </c>
      <c r="K4278">
        <v>20190111</v>
      </c>
      <c r="L4278" t="str">
        <f>"075255"</f>
        <v>075255</v>
      </c>
      <c r="M4278" t="str">
        <f>"58929"</f>
        <v>58929</v>
      </c>
      <c r="N4278" t="s">
        <v>3446</v>
      </c>
      <c r="O4278">
        <v>150</v>
      </c>
      <c r="P4278">
        <v>20190110</v>
      </c>
      <c r="Q4278" t="s">
        <v>1873</v>
      </c>
      <c r="R4278" t="s">
        <v>3356</v>
      </c>
      <c r="S4278" t="s">
        <v>1615</v>
      </c>
      <c r="T4278" t="s">
        <v>301</v>
      </c>
    </row>
    <row r="4279" spans="1:20" x14ac:dyDescent="0.25">
      <c r="A4279">
        <v>9</v>
      </c>
      <c r="B4279">
        <v>199</v>
      </c>
      <c r="C4279" t="str">
        <f>"51"</f>
        <v>51</v>
      </c>
      <c r="D4279">
        <v>6319</v>
      </c>
      <c r="E4279" t="str">
        <f>"MC"</f>
        <v>MC</v>
      </c>
      <c r="F4279" t="str">
        <f>"936"</f>
        <v>936</v>
      </c>
      <c r="G4279">
        <v>9</v>
      </c>
      <c r="H4279" t="str">
        <f t="shared" ref="H4279:H4284" si="896">"99"</f>
        <v>99</v>
      </c>
      <c r="I4279" t="str">
        <f t="shared" si="893"/>
        <v>0</v>
      </c>
      <c r="J4279" t="str">
        <f>"81"</f>
        <v>81</v>
      </c>
      <c r="K4279">
        <v>20190111</v>
      </c>
      <c r="L4279" t="str">
        <f>"075256"</f>
        <v>075256</v>
      </c>
      <c r="M4279" t="str">
        <f>"58936"</f>
        <v>58936</v>
      </c>
      <c r="N4279" t="s">
        <v>1775</v>
      </c>
      <c r="O4279">
        <v>10.99</v>
      </c>
      <c r="P4279">
        <v>20190110</v>
      </c>
      <c r="Q4279" t="s">
        <v>2060</v>
      </c>
      <c r="R4279" t="s">
        <v>3447</v>
      </c>
      <c r="S4279" t="s">
        <v>1615</v>
      </c>
      <c r="T4279" t="s">
        <v>1713</v>
      </c>
    </row>
    <row r="4280" spans="1:20" x14ac:dyDescent="0.25">
      <c r="A4280">
        <v>9</v>
      </c>
      <c r="B4280">
        <v>199</v>
      </c>
      <c r="C4280" t="str">
        <f>"36"</f>
        <v>36</v>
      </c>
      <c r="D4280">
        <v>6411</v>
      </c>
      <c r="E4280" t="str">
        <f>"7E"</f>
        <v>7E</v>
      </c>
      <c r="F4280" t="str">
        <f>"001"</f>
        <v>001</v>
      </c>
      <c r="G4280">
        <v>9</v>
      </c>
      <c r="H4280" t="str">
        <f t="shared" si="896"/>
        <v>99</v>
      </c>
      <c r="I4280" t="str">
        <f>"1"</f>
        <v>1</v>
      </c>
      <c r="J4280" t="str">
        <f>"31"</f>
        <v>31</v>
      </c>
      <c r="K4280">
        <v>20190111</v>
      </c>
      <c r="L4280" t="str">
        <f>"075259"</f>
        <v>075259</v>
      </c>
      <c r="M4280" t="str">
        <f>"63053"</f>
        <v>63053</v>
      </c>
      <c r="N4280" t="s">
        <v>2309</v>
      </c>
      <c r="O4280">
        <v>150</v>
      </c>
      <c r="P4280">
        <v>20190110</v>
      </c>
      <c r="Q4280" t="s">
        <v>2310</v>
      </c>
      <c r="R4280" t="s">
        <v>3257</v>
      </c>
      <c r="S4280" t="s">
        <v>1615</v>
      </c>
      <c r="T4280" t="s">
        <v>301</v>
      </c>
    </row>
    <row r="4281" spans="1:20" x14ac:dyDescent="0.25">
      <c r="A4281">
        <v>9</v>
      </c>
      <c r="B4281">
        <v>199</v>
      </c>
      <c r="C4281" t="str">
        <f>"36"</f>
        <v>36</v>
      </c>
      <c r="D4281">
        <v>6412</v>
      </c>
      <c r="E4281" t="str">
        <f>"7E"</f>
        <v>7E</v>
      </c>
      <c r="F4281" t="str">
        <f>"001"</f>
        <v>001</v>
      </c>
      <c r="G4281">
        <v>9</v>
      </c>
      <c r="H4281" t="str">
        <f t="shared" si="896"/>
        <v>99</v>
      </c>
      <c r="I4281" t="str">
        <f>"1"</f>
        <v>1</v>
      </c>
      <c r="J4281" t="str">
        <f>"31"</f>
        <v>31</v>
      </c>
      <c r="K4281">
        <v>20190111</v>
      </c>
      <c r="L4281" t="str">
        <f>"075259"</f>
        <v>075259</v>
      </c>
      <c r="M4281" t="str">
        <f>"63053"</f>
        <v>63053</v>
      </c>
      <c r="N4281" t="s">
        <v>2309</v>
      </c>
      <c r="O4281">
        <v>270</v>
      </c>
      <c r="P4281">
        <v>20190110</v>
      </c>
      <c r="Q4281" t="s">
        <v>2312</v>
      </c>
      <c r="R4281" t="s">
        <v>3257</v>
      </c>
      <c r="S4281" t="s">
        <v>1615</v>
      </c>
      <c r="T4281" t="s">
        <v>301</v>
      </c>
    </row>
    <row r="4282" spans="1:20" x14ac:dyDescent="0.25">
      <c r="A4282">
        <v>9</v>
      </c>
      <c r="B4282">
        <v>199</v>
      </c>
      <c r="C4282" t="str">
        <f>"23"</f>
        <v>23</v>
      </c>
      <c r="D4282">
        <v>6498</v>
      </c>
      <c r="E4282" t="str">
        <f>"99"</f>
        <v>99</v>
      </c>
      <c r="F4282" t="str">
        <f>"041"</f>
        <v>041</v>
      </c>
      <c r="G4282">
        <v>9</v>
      </c>
      <c r="H4282" t="str">
        <f t="shared" si="896"/>
        <v>99</v>
      </c>
      <c r="I4282" t="str">
        <f t="shared" ref="I4282:I4304" si="897">"0"</f>
        <v>0</v>
      </c>
      <c r="J4282" t="str">
        <f>"03"</f>
        <v>03</v>
      </c>
      <c r="K4282">
        <v>20190111</v>
      </c>
      <c r="L4282" t="str">
        <f>"075261"</f>
        <v>075261</v>
      </c>
      <c r="M4282" t="str">
        <f>"64610"</f>
        <v>64610</v>
      </c>
      <c r="N4282" t="s">
        <v>1062</v>
      </c>
      <c r="O4282">
        <v>63.55</v>
      </c>
      <c r="P4282">
        <v>20190110</v>
      </c>
      <c r="Q4282" t="s">
        <v>2140</v>
      </c>
      <c r="R4282" t="s">
        <v>3448</v>
      </c>
      <c r="S4282" t="s">
        <v>1615</v>
      </c>
      <c r="T4282" t="s">
        <v>106</v>
      </c>
    </row>
    <row r="4283" spans="1:20" x14ac:dyDescent="0.25">
      <c r="A4283">
        <v>9</v>
      </c>
      <c r="B4283">
        <v>199</v>
      </c>
      <c r="C4283" t="str">
        <f>"41"</f>
        <v>41</v>
      </c>
      <c r="D4283">
        <v>6498</v>
      </c>
      <c r="E4283" t="str">
        <f>"10"</f>
        <v>10</v>
      </c>
      <c r="F4283" t="str">
        <f>"730"</f>
        <v>730</v>
      </c>
      <c r="G4283">
        <v>9</v>
      </c>
      <c r="H4283" t="str">
        <f t="shared" si="896"/>
        <v>99</v>
      </c>
      <c r="I4283" t="str">
        <f t="shared" si="897"/>
        <v>0</v>
      </c>
      <c r="J4283" t="str">
        <f>"95"</f>
        <v>95</v>
      </c>
      <c r="K4283">
        <v>20190111</v>
      </c>
      <c r="L4283" t="str">
        <f>"075261"</f>
        <v>075261</v>
      </c>
      <c r="M4283" t="str">
        <f>"64610"</f>
        <v>64610</v>
      </c>
      <c r="N4283" t="s">
        <v>1062</v>
      </c>
      <c r="O4283">
        <v>36.4</v>
      </c>
      <c r="P4283">
        <v>20190110</v>
      </c>
      <c r="Q4283" t="s">
        <v>2842</v>
      </c>
      <c r="R4283" t="s">
        <v>3449</v>
      </c>
      <c r="S4283" t="s">
        <v>1615</v>
      </c>
      <c r="T4283" t="s">
        <v>1794</v>
      </c>
    </row>
    <row r="4284" spans="1:20" x14ac:dyDescent="0.25">
      <c r="A4284">
        <v>9</v>
      </c>
      <c r="B4284">
        <v>199</v>
      </c>
      <c r="C4284" t="str">
        <f>"41"</f>
        <v>41</v>
      </c>
      <c r="D4284">
        <v>6498</v>
      </c>
      <c r="E4284" t="str">
        <f>"10"</f>
        <v>10</v>
      </c>
      <c r="F4284" t="str">
        <f>"735"</f>
        <v>735</v>
      </c>
      <c r="G4284">
        <v>9</v>
      </c>
      <c r="H4284" t="str">
        <f t="shared" si="896"/>
        <v>99</v>
      </c>
      <c r="I4284" t="str">
        <f t="shared" si="897"/>
        <v>0</v>
      </c>
      <c r="J4284" t="str">
        <f>"96"</f>
        <v>96</v>
      </c>
      <c r="K4284">
        <v>20190111</v>
      </c>
      <c r="L4284" t="str">
        <f>"075261"</f>
        <v>075261</v>
      </c>
      <c r="M4284" t="str">
        <f>"64610"</f>
        <v>64610</v>
      </c>
      <c r="N4284" t="s">
        <v>1062</v>
      </c>
      <c r="O4284">
        <v>39.6</v>
      </c>
      <c r="P4284">
        <v>20190110</v>
      </c>
      <c r="Q4284" t="s">
        <v>2333</v>
      </c>
      <c r="R4284" t="s">
        <v>2334</v>
      </c>
      <c r="S4284" t="s">
        <v>1615</v>
      </c>
      <c r="T4284" t="s">
        <v>151</v>
      </c>
    </row>
    <row r="4285" spans="1:20" x14ac:dyDescent="0.25">
      <c r="A4285">
        <v>9</v>
      </c>
      <c r="B4285">
        <v>199</v>
      </c>
      <c r="C4285" t="str">
        <f>"11"</f>
        <v>11</v>
      </c>
      <c r="D4285">
        <v>6299</v>
      </c>
      <c r="E4285" t="str">
        <f>"7E"</f>
        <v>7E</v>
      </c>
      <c r="F4285" t="str">
        <f>"001"</f>
        <v>001</v>
      </c>
      <c r="G4285">
        <v>9</v>
      </c>
      <c r="H4285" t="str">
        <f>"11"</f>
        <v>11</v>
      </c>
      <c r="I4285" t="str">
        <f t="shared" si="897"/>
        <v>0</v>
      </c>
      <c r="J4285" t="str">
        <f>"31"</f>
        <v>31</v>
      </c>
      <c r="K4285">
        <v>20190111</v>
      </c>
      <c r="L4285" t="str">
        <f>"075263"</f>
        <v>075263</v>
      </c>
      <c r="M4285" t="str">
        <f>"64837"</f>
        <v>64837</v>
      </c>
      <c r="N4285" t="s">
        <v>3450</v>
      </c>
      <c r="O4285">
        <v>150</v>
      </c>
      <c r="P4285">
        <v>20190110</v>
      </c>
      <c r="Q4285" t="s">
        <v>1873</v>
      </c>
      <c r="R4285" t="s">
        <v>3356</v>
      </c>
      <c r="S4285" t="s">
        <v>1615</v>
      </c>
      <c r="T4285" t="s">
        <v>301</v>
      </c>
    </row>
    <row r="4286" spans="1:20" x14ac:dyDescent="0.25">
      <c r="A4286">
        <v>9</v>
      </c>
      <c r="B4286">
        <v>199</v>
      </c>
      <c r="C4286" t="str">
        <f>"36"</f>
        <v>36</v>
      </c>
      <c r="D4286">
        <v>6399</v>
      </c>
      <c r="E4286" t="str">
        <f>"09"</f>
        <v>09</v>
      </c>
      <c r="F4286" t="str">
        <f>"001"</f>
        <v>001</v>
      </c>
      <c r="G4286">
        <v>9</v>
      </c>
      <c r="H4286" t="str">
        <f>"99"</f>
        <v>99</v>
      </c>
      <c r="I4286" t="str">
        <f t="shared" si="897"/>
        <v>0</v>
      </c>
      <c r="J4286" t="str">
        <f>"01"</f>
        <v>01</v>
      </c>
      <c r="K4286">
        <v>20190111</v>
      </c>
      <c r="L4286" t="str">
        <f>"075264"</f>
        <v>075264</v>
      </c>
      <c r="M4286" t="str">
        <f>"64955"</f>
        <v>64955</v>
      </c>
      <c r="N4286" t="s">
        <v>3451</v>
      </c>
      <c r="O4286">
        <v>175.76</v>
      </c>
      <c r="P4286">
        <v>20190110</v>
      </c>
      <c r="Q4286" t="s">
        <v>2177</v>
      </c>
      <c r="R4286" t="s">
        <v>3452</v>
      </c>
      <c r="S4286" t="s">
        <v>1615</v>
      </c>
      <c r="T4286" t="s">
        <v>301</v>
      </c>
    </row>
    <row r="4287" spans="1:20" x14ac:dyDescent="0.25">
      <c r="A4287">
        <v>9</v>
      </c>
      <c r="B4287">
        <v>199</v>
      </c>
      <c r="C4287" t="str">
        <f>"33"</f>
        <v>33</v>
      </c>
      <c r="D4287">
        <v>6399</v>
      </c>
      <c r="E4287" t="str">
        <f>"8F"</f>
        <v>8F</v>
      </c>
      <c r="F4287" t="str">
        <f>"041"</f>
        <v>041</v>
      </c>
      <c r="G4287">
        <v>9</v>
      </c>
      <c r="H4287" t="str">
        <f>"99"</f>
        <v>99</v>
      </c>
      <c r="I4287" t="str">
        <f t="shared" si="897"/>
        <v>0</v>
      </c>
      <c r="J4287" t="str">
        <f>"03"</f>
        <v>03</v>
      </c>
      <c r="K4287">
        <v>20190111</v>
      </c>
      <c r="L4287" t="str">
        <f>"075266"</f>
        <v>075266</v>
      </c>
      <c r="M4287" t="str">
        <f>"65809"</f>
        <v>65809</v>
      </c>
      <c r="N4287" t="s">
        <v>3453</v>
      </c>
      <c r="O4287">
        <v>29.4</v>
      </c>
      <c r="P4287">
        <v>20190110</v>
      </c>
      <c r="Q4287" t="s">
        <v>2431</v>
      </c>
      <c r="R4287" t="s">
        <v>3454</v>
      </c>
      <c r="S4287" t="s">
        <v>1615</v>
      </c>
      <c r="T4287" t="s">
        <v>106</v>
      </c>
    </row>
    <row r="4288" spans="1:20" x14ac:dyDescent="0.25">
      <c r="A4288">
        <v>9</v>
      </c>
      <c r="B4288">
        <v>199</v>
      </c>
      <c r="C4288" t="str">
        <f>"33"</f>
        <v>33</v>
      </c>
      <c r="D4288">
        <v>6399</v>
      </c>
      <c r="E4288" t="str">
        <f>"8F"</f>
        <v>8F</v>
      </c>
      <c r="F4288" t="str">
        <f>"041"</f>
        <v>041</v>
      </c>
      <c r="G4288">
        <v>9</v>
      </c>
      <c r="H4288" t="str">
        <f>"99"</f>
        <v>99</v>
      </c>
      <c r="I4288" t="str">
        <f t="shared" si="897"/>
        <v>0</v>
      </c>
      <c r="J4288" t="str">
        <f>"03"</f>
        <v>03</v>
      </c>
      <c r="K4288">
        <v>20190111</v>
      </c>
      <c r="L4288" t="str">
        <f>"075266"</f>
        <v>075266</v>
      </c>
      <c r="M4288" t="str">
        <f>"65809"</f>
        <v>65809</v>
      </c>
      <c r="N4288" t="s">
        <v>3453</v>
      </c>
      <c r="O4288">
        <v>15.5</v>
      </c>
      <c r="P4288">
        <v>20190110</v>
      </c>
      <c r="Q4288" t="s">
        <v>2431</v>
      </c>
      <c r="R4288" t="s">
        <v>3455</v>
      </c>
      <c r="S4288" t="s">
        <v>1615</v>
      </c>
      <c r="T4288" t="s">
        <v>106</v>
      </c>
    </row>
    <row r="4289" spans="1:20" x14ac:dyDescent="0.25">
      <c r="A4289">
        <v>9</v>
      </c>
      <c r="B4289">
        <v>199</v>
      </c>
      <c r="C4289" t="str">
        <f t="shared" ref="C4289:C4301" si="898">"11"</f>
        <v>11</v>
      </c>
      <c r="D4289">
        <v>6399</v>
      </c>
      <c r="E4289" t="str">
        <f>"45"</f>
        <v>45</v>
      </c>
      <c r="F4289" t="str">
        <f>"104"</f>
        <v>104</v>
      </c>
      <c r="G4289">
        <v>9</v>
      </c>
      <c r="H4289" t="str">
        <f t="shared" ref="H4289:H4301" si="899">"11"</f>
        <v>11</v>
      </c>
      <c r="I4289" t="str">
        <f t="shared" si="897"/>
        <v>0</v>
      </c>
      <c r="J4289" t="str">
        <f>"05"</f>
        <v>05</v>
      </c>
      <c r="K4289">
        <v>20190111</v>
      </c>
      <c r="L4289" t="str">
        <f t="shared" ref="L4289:L4296" si="900">"075267"</f>
        <v>075267</v>
      </c>
      <c r="M4289" t="str">
        <f t="shared" ref="M4289:M4296" si="901">"65826"</f>
        <v>65826</v>
      </c>
      <c r="N4289" t="s">
        <v>2787</v>
      </c>
      <c r="O4289">
        <v>431.14</v>
      </c>
      <c r="P4289">
        <v>20190110</v>
      </c>
      <c r="Q4289" t="s">
        <v>2069</v>
      </c>
      <c r="R4289" t="s">
        <v>2793</v>
      </c>
      <c r="S4289" t="s">
        <v>1615</v>
      </c>
      <c r="T4289" t="s">
        <v>46</v>
      </c>
    </row>
    <row r="4290" spans="1:20" x14ac:dyDescent="0.25">
      <c r="A4290">
        <v>9</v>
      </c>
      <c r="B4290">
        <v>199</v>
      </c>
      <c r="C4290" t="str">
        <f t="shared" si="898"/>
        <v>11</v>
      </c>
      <c r="D4290">
        <v>6399</v>
      </c>
      <c r="E4290" t="str">
        <f>"45"</f>
        <v>45</v>
      </c>
      <c r="F4290" t="str">
        <f>"104"</f>
        <v>104</v>
      </c>
      <c r="G4290">
        <v>9</v>
      </c>
      <c r="H4290" t="str">
        <f t="shared" si="899"/>
        <v>11</v>
      </c>
      <c r="I4290" t="str">
        <f t="shared" si="897"/>
        <v>0</v>
      </c>
      <c r="J4290" t="str">
        <f>"05"</f>
        <v>05</v>
      </c>
      <c r="K4290">
        <v>20190111</v>
      </c>
      <c r="L4290" t="str">
        <f t="shared" si="900"/>
        <v>075267</v>
      </c>
      <c r="M4290" t="str">
        <f t="shared" si="901"/>
        <v>65826</v>
      </c>
      <c r="N4290" t="s">
        <v>2787</v>
      </c>
      <c r="O4290">
        <v>183.57</v>
      </c>
      <c r="P4290">
        <v>20190110</v>
      </c>
      <c r="Q4290" t="s">
        <v>2069</v>
      </c>
      <c r="R4290" t="s">
        <v>2793</v>
      </c>
      <c r="S4290" t="s">
        <v>1615</v>
      </c>
      <c r="T4290" t="s">
        <v>46</v>
      </c>
    </row>
    <row r="4291" spans="1:20" x14ac:dyDescent="0.25">
      <c r="A4291">
        <v>9</v>
      </c>
      <c r="B4291">
        <v>199</v>
      </c>
      <c r="C4291" t="str">
        <f t="shared" si="898"/>
        <v>11</v>
      </c>
      <c r="D4291">
        <v>6399</v>
      </c>
      <c r="E4291" t="str">
        <f>"45"</f>
        <v>45</v>
      </c>
      <c r="F4291" t="str">
        <f>"104"</f>
        <v>104</v>
      </c>
      <c r="G4291">
        <v>9</v>
      </c>
      <c r="H4291" t="str">
        <f t="shared" si="899"/>
        <v>11</v>
      </c>
      <c r="I4291" t="str">
        <f t="shared" si="897"/>
        <v>0</v>
      </c>
      <c r="J4291" t="str">
        <f>"05"</f>
        <v>05</v>
      </c>
      <c r="K4291">
        <v>20190111</v>
      </c>
      <c r="L4291" t="str">
        <f t="shared" si="900"/>
        <v>075267</v>
      </c>
      <c r="M4291" t="str">
        <f t="shared" si="901"/>
        <v>65826</v>
      </c>
      <c r="N4291" t="s">
        <v>2787</v>
      </c>
      <c r="O4291">
        <v>66.09</v>
      </c>
      <c r="P4291">
        <v>20190110</v>
      </c>
      <c r="Q4291" t="s">
        <v>2069</v>
      </c>
      <c r="R4291" t="s">
        <v>2793</v>
      </c>
      <c r="S4291" t="s">
        <v>1615</v>
      </c>
      <c r="T4291" t="s">
        <v>46</v>
      </c>
    </row>
    <row r="4292" spans="1:20" x14ac:dyDescent="0.25">
      <c r="A4292">
        <v>9</v>
      </c>
      <c r="B4292">
        <v>199</v>
      </c>
      <c r="C4292" t="str">
        <f t="shared" si="898"/>
        <v>11</v>
      </c>
      <c r="D4292">
        <v>6399</v>
      </c>
      <c r="E4292" t="str">
        <f>"45"</f>
        <v>45</v>
      </c>
      <c r="F4292" t="str">
        <f>"104"</f>
        <v>104</v>
      </c>
      <c r="G4292">
        <v>9</v>
      </c>
      <c r="H4292" t="str">
        <f t="shared" si="899"/>
        <v>11</v>
      </c>
      <c r="I4292" t="str">
        <f t="shared" si="897"/>
        <v>0</v>
      </c>
      <c r="J4292" t="str">
        <f>"05"</f>
        <v>05</v>
      </c>
      <c r="K4292">
        <v>20190111</v>
      </c>
      <c r="L4292" t="str">
        <f t="shared" si="900"/>
        <v>075267</v>
      </c>
      <c r="M4292" t="str">
        <f t="shared" si="901"/>
        <v>65826</v>
      </c>
      <c r="N4292" t="s">
        <v>2787</v>
      </c>
      <c r="O4292">
        <v>273.77999999999997</v>
      </c>
      <c r="P4292">
        <v>20190110</v>
      </c>
      <c r="Q4292" t="s">
        <v>2069</v>
      </c>
      <c r="R4292" t="s">
        <v>2793</v>
      </c>
      <c r="S4292" t="s">
        <v>1615</v>
      </c>
      <c r="T4292" t="s">
        <v>46</v>
      </c>
    </row>
    <row r="4293" spans="1:20" x14ac:dyDescent="0.25">
      <c r="A4293">
        <v>9</v>
      </c>
      <c r="B4293">
        <v>199</v>
      </c>
      <c r="C4293" t="str">
        <f t="shared" si="898"/>
        <v>11</v>
      </c>
      <c r="D4293">
        <v>6399</v>
      </c>
      <c r="E4293" t="str">
        <f>"45"</f>
        <v>45</v>
      </c>
      <c r="F4293" t="str">
        <f>"104"</f>
        <v>104</v>
      </c>
      <c r="G4293">
        <v>9</v>
      </c>
      <c r="H4293" t="str">
        <f t="shared" si="899"/>
        <v>11</v>
      </c>
      <c r="I4293" t="str">
        <f t="shared" si="897"/>
        <v>0</v>
      </c>
      <c r="J4293" t="str">
        <f>"05"</f>
        <v>05</v>
      </c>
      <c r="K4293">
        <v>20190111</v>
      </c>
      <c r="L4293" t="str">
        <f t="shared" si="900"/>
        <v>075267</v>
      </c>
      <c r="M4293" t="str">
        <f t="shared" si="901"/>
        <v>65826</v>
      </c>
      <c r="N4293" t="s">
        <v>2787</v>
      </c>
      <c r="O4293">
        <v>337.47</v>
      </c>
      <c r="P4293">
        <v>20190110</v>
      </c>
      <c r="Q4293" t="s">
        <v>2069</v>
      </c>
      <c r="R4293" t="s">
        <v>2793</v>
      </c>
      <c r="S4293" t="s">
        <v>1615</v>
      </c>
      <c r="T4293" t="s">
        <v>46</v>
      </c>
    </row>
    <row r="4294" spans="1:20" x14ac:dyDescent="0.25">
      <c r="A4294">
        <v>9</v>
      </c>
      <c r="B4294">
        <v>199</v>
      </c>
      <c r="C4294" t="str">
        <f t="shared" si="898"/>
        <v>11</v>
      </c>
      <c r="D4294">
        <v>6399</v>
      </c>
      <c r="E4294" t="str">
        <f>"74"</f>
        <v>74</v>
      </c>
      <c r="F4294" t="str">
        <f>"041"</f>
        <v>041</v>
      </c>
      <c r="G4294">
        <v>9</v>
      </c>
      <c r="H4294" t="str">
        <f t="shared" si="899"/>
        <v>11</v>
      </c>
      <c r="I4294" t="str">
        <f t="shared" si="897"/>
        <v>0</v>
      </c>
      <c r="J4294" t="str">
        <f>"03"</f>
        <v>03</v>
      </c>
      <c r="K4294">
        <v>20190111</v>
      </c>
      <c r="L4294" t="str">
        <f t="shared" si="900"/>
        <v>075267</v>
      </c>
      <c r="M4294" t="str">
        <f t="shared" si="901"/>
        <v>65826</v>
      </c>
      <c r="N4294" t="s">
        <v>2787</v>
      </c>
      <c r="O4294">
        <v>299.33999999999997</v>
      </c>
      <c r="P4294">
        <v>20190110</v>
      </c>
      <c r="Q4294" t="s">
        <v>2302</v>
      </c>
      <c r="R4294" t="s">
        <v>3456</v>
      </c>
      <c r="S4294" t="s">
        <v>1615</v>
      </c>
      <c r="T4294" t="s">
        <v>106</v>
      </c>
    </row>
    <row r="4295" spans="1:20" x14ac:dyDescent="0.25">
      <c r="A4295">
        <v>9</v>
      </c>
      <c r="B4295">
        <v>199</v>
      </c>
      <c r="C4295" t="str">
        <f t="shared" si="898"/>
        <v>11</v>
      </c>
      <c r="D4295">
        <v>6399</v>
      </c>
      <c r="E4295" t="str">
        <f>"74"</f>
        <v>74</v>
      </c>
      <c r="F4295" t="str">
        <f>"041"</f>
        <v>041</v>
      </c>
      <c r="G4295">
        <v>9</v>
      </c>
      <c r="H4295" t="str">
        <f t="shared" si="899"/>
        <v>11</v>
      </c>
      <c r="I4295" t="str">
        <f t="shared" si="897"/>
        <v>0</v>
      </c>
      <c r="J4295" t="str">
        <f>"03"</f>
        <v>03</v>
      </c>
      <c r="K4295">
        <v>20190111</v>
      </c>
      <c r="L4295" t="str">
        <f t="shared" si="900"/>
        <v>075267</v>
      </c>
      <c r="M4295" t="str">
        <f t="shared" si="901"/>
        <v>65826</v>
      </c>
      <c r="N4295" t="s">
        <v>2787</v>
      </c>
      <c r="O4295">
        <v>189.26</v>
      </c>
      <c r="P4295">
        <v>20190110</v>
      </c>
      <c r="Q4295" t="s">
        <v>2302</v>
      </c>
      <c r="R4295" t="s">
        <v>3457</v>
      </c>
      <c r="S4295" t="s">
        <v>1615</v>
      </c>
      <c r="T4295" t="s">
        <v>106</v>
      </c>
    </row>
    <row r="4296" spans="1:20" x14ac:dyDescent="0.25">
      <c r="A4296">
        <v>9</v>
      </c>
      <c r="B4296">
        <v>199</v>
      </c>
      <c r="C4296" t="str">
        <f t="shared" si="898"/>
        <v>11</v>
      </c>
      <c r="D4296">
        <v>6399</v>
      </c>
      <c r="E4296" t="str">
        <f>"76"</f>
        <v>76</v>
      </c>
      <c r="F4296" t="str">
        <f>"041"</f>
        <v>041</v>
      </c>
      <c r="G4296">
        <v>9</v>
      </c>
      <c r="H4296" t="str">
        <f t="shared" si="899"/>
        <v>11</v>
      </c>
      <c r="I4296" t="str">
        <f t="shared" si="897"/>
        <v>0</v>
      </c>
      <c r="J4296" t="str">
        <f>"03"</f>
        <v>03</v>
      </c>
      <c r="K4296">
        <v>20190111</v>
      </c>
      <c r="L4296" t="str">
        <f t="shared" si="900"/>
        <v>075267</v>
      </c>
      <c r="M4296" t="str">
        <f t="shared" si="901"/>
        <v>65826</v>
      </c>
      <c r="N4296" t="s">
        <v>2787</v>
      </c>
      <c r="O4296">
        <v>104.38</v>
      </c>
      <c r="P4296">
        <v>20190110</v>
      </c>
      <c r="Q4296" t="s">
        <v>3458</v>
      </c>
      <c r="R4296" t="s">
        <v>3459</v>
      </c>
      <c r="S4296" t="s">
        <v>1615</v>
      </c>
      <c r="T4296" t="s">
        <v>106</v>
      </c>
    </row>
    <row r="4297" spans="1:20" x14ac:dyDescent="0.25">
      <c r="A4297">
        <v>9</v>
      </c>
      <c r="B4297">
        <v>199</v>
      </c>
      <c r="C4297" t="str">
        <f t="shared" si="898"/>
        <v>11</v>
      </c>
      <c r="D4297">
        <v>6299</v>
      </c>
      <c r="E4297" t="str">
        <f>"7E"</f>
        <v>7E</v>
      </c>
      <c r="F4297" t="str">
        <f>"001"</f>
        <v>001</v>
      </c>
      <c r="G4297">
        <v>9</v>
      </c>
      <c r="H4297" t="str">
        <f t="shared" si="899"/>
        <v>11</v>
      </c>
      <c r="I4297" t="str">
        <f t="shared" si="897"/>
        <v>0</v>
      </c>
      <c r="J4297" t="str">
        <f>"31"</f>
        <v>31</v>
      </c>
      <c r="K4297">
        <v>20190111</v>
      </c>
      <c r="L4297" t="str">
        <f>"075268"</f>
        <v>075268</v>
      </c>
      <c r="M4297" t="str">
        <f>"00643"</f>
        <v>00643</v>
      </c>
      <c r="N4297" t="s">
        <v>3460</v>
      </c>
      <c r="O4297">
        <v>150</v>
      </c>
      <c r="P4297">
        <v>20190110</v>
      </c>
      <c r="Q4297" t="s">
        <v>1873</v>
      </c>
      <c r="R4297" t="s">
        <v>3356</v>
      </c>
      <c r="S4297" t="s">
        <v>1615</v>
      </c>
      <c r="T4297" t="s">
        <v>301</v>
      </c>
    </row>
    <row r="4298" spans="1:20" x14ac:dyDescent="0.25">
      <c r="A4298">
        <v>9</v>
      </c>
      <c r="B4298">
        <v>199</v>
      </c>
      <c r="C4298" t="str">
        <f t="shared" si="898"/>
        <v>11</v>
      </c>
      <c r="D4298">
        <v>6299</v>
      </c>
      <c r="E4298" t="str">
        <f>"7E"</f>
        <v>7E</v>
      </c>
      <c r="F4298" t="str">
        <f>"001"</f>
        <v>001</v>
      </c>
      <c r="G4298">
        <v>9</v>
      </c>
      <c r="H4298" t="str">
        <f t="shared" si="899"/>
        <v>11</v>
      </c>
      <c r="I4298" t="str">
        <f t="shared" si="897"/>
        <v>0</v>
      </c>
      <c r="J4298" t="str">
        <f>"31"</f>
        <v>31</v>
      </c>
      <c r="K4298">
        <v>20190111</v>
      </c>
      <c r="L4298" t="str">
        <f>"075269"</f>
        <v>075269</v>
      </c>
      <c r="M4298" t="str">
        <f>"69016"</f>
        <v>69016</v>
      </c>
      <c r="N4298" t="s">
        <v>3461</v>
      </c>
      <c r="O4298">
        <v>150</v>
      </c>
      <c r="P4298">
        <v>20190110</v>
      </c>
      <c r="Q4298" t="s">
        <v>1873</v>
      </c>
      <c r="R4298" t="s">
        <v>3356</v>
      </c>
      <c r="S4298" t="s">
        <v>1615</v>
      </c>
      <c r="T4298" t="s">
        <v>301</v>
      </c>
    </row>
    <row r="4299" spans="1:20" x14ac:dyDescent="0.25">
      <c r="A4299">
        <v>9</v>
      </c>
      <c r="B4299">
        <v>199</v>
      </c>
      <c r="C4299" t="str">
        <f t="shared" si="898"/>
        <v>11</v>
      </c>
      <c r="D4299">
        <v>6299</v>
      </c>
      <c r="E4299" t="str">
        <f>"7E"</f>
        <v>7E</v>
      </c>
      <c r="F4299" t="str">
        <f>"001"</f>
        <v>001</v>
      </c>
      <c r="G4299">
        <v>9</v>
      </c>
      <c r="H4299" t="str">
        <f t="shared" si="899"/>
        <v>11</v>
      </c>
      <c r="I4299" t="str">
        <f t="shared" si="897"/>
        <v>0</v>
      </c>
      <c r="J4299" t="str">
        <f>"31"</f>
        <v>31</v>
      </c>
      <c r="K4299">
        <v>20190111</v>
      </c>
      <c r="L4299" t="str">
        <f>"075270"</f>
        <v>075270</v>
      </c>
      <c r="M4299" t="str">
        <f>"69035"</f>
        <v>69035</v>
      </c>
      <c r="N4299" t="s">
        <v>3462</v>
      </c>
      <c r="O4299">
        <v>150</v>
      </c>
      <c r="P4299">
        <v>20190110</v>
      </c>
      <c r="Q4299" t="s">
        <v>1873</v>
      </c>
      <c r="R4299" t="s">
        <v>3356</v>
      </c>
      <c r="S4299" t="s">
        <v>1615</v>
      </c>
      <c r="T4299" t="s">
        <v>301</v>
      </c>
    </row>
    <row r="4300" spans="1:20" x14ac:dyDescent="0.25">
      <c r="A4300">
        <v>9</v>
      </c>
      <c r="B4300">
        <v>199</v>
      </c>
      <c r="C4300" t="str">
        <f t="shared" si="898"/>
        <v>11</v>
      </c>
      <c r="D4300">
        <v>6249</v>
      </c>
      <c r="E4300" t="str">
        <f>"7B"</f>
        <v>7B</v>
      </c>
      <c r="F4300" t="str">
        <f>"041"</f>
        <v>041</v>
      </c>
      <c r="G4300">
        <v>9</v>
      </c>
      <c r="H4300" t="str">
        <f t="shared" si="899"/>
        <v>11</v>
      </c>
      <c r="I4300" t="str">
        <f t="shared" si="897"/>
        <v>0</v>
      </c>
      <c r="J4300" t="str">
        <f>"36"</f>
        <v>36</v>
      </c>
      <c r="K4300">
        <v>20190111</v>
      </c>
      <c r="L4300" t="str">
        <f>"075271"</f>
        <v>075271</v>
      </c>
      <c r="M4300" t="str">
        <f>"70650"</f>
        <v>70650</v>
      </c>
      <c r="N4300" t="s">
        <v>1920</v>
      </c>
      <c r="O4300">
        <v>50</v>
      </c>
      <c r="P4300">
        <v>20190110</v>
      </c>
      <c r="Q4300" t="s">
        <v>2672</v>
      </c>
      <c r="R4300" t="s">
        <v>3463</v>
      </c>
      <c r="S4300" t="s">
        <v>1615</v>
      </c>
      <c r="T4300" t="s">
        <v>106</v>
      </c>
    </row>
    <row r="4301" spans="1:20" x14ac:dyDescent="0.25">
      <c r="A4301">
        <v>9</v>
      </c>
      <c r="B4301">
        <v>199</v>
      </c>
      <c r="C4301" t="str">
        <f t="shared" si="898"/>
        <v>11</v>
      </c>
      <c r="D4301">
        <v>6399</v>
      </c>
      <c r="E4301" t="str">
        <f>"7B"</f>
        <v>7B</v>
      </c>
      <c r="F4301" t="str">
        <f>"041"</f>
        <v>041</v>
      </c>
      <c r="G4301">
        <v>9</v>
      </c>
      <c r="H4301" t="str">
        <f t="shared" si="899"/>
        <v>11</v>
      </c>
      <c r="I4301" t="str">
        <f t="shared" si="897"/>
        <v>0</v>
      </c>
      <c r="J4301" t="str">
        <f>"36"</f>
        <v>36</v>
      </c>
      <c r="K4301">
        <v>20190111</v>
      </c>
      <c r="L4301" t="str">
        <f>"075271"</f>
        <v>075271</v>
      </c>
      <c r="M4301" t="str">
        <f>"70650"</f>
        <v>70650</v>
      </c>
      <c r="N4301" t="s">
        <v>1920</v>
      </c>
      <c r="O4301" s="1">
        <v>1503.11</v>
      </c>
      <c r="P4301">
        <v>20190110</v>
      </c>
      <c r="Q4301" t="s">
        <v>1921</v>
      </c>
      <c r="R4301" t="s">
        <v>3464</v>
      </c>
      <c r="S4301" t="s">
        <v>1615</v>
      </c>
      <c r="T4301" t="s">
        <v>106</v>
      </c>
    </row>
    <row r="4302" spans="1:20" x14ac:dyDescent="0.25">
      <c r="A4302">
        <v>9</v>
      </c>
      <c r="B4302">
        <v>199</v>
      </c>
      <c r="C4302" t="str">
        <f>"51"</f>
        <v>51</v>
      </c>
      <c r="D4302">
        <v>6249</v>
      </c>
      <c r="E4302" t="str">
        <f>"WF"</f>
        <v>WF</v>
      </c>
      <c r="F4302" t="str">
        <f>"936"</f>
        <v>936</v>
      </c>
      <c r="G4302">
        <v>9</v>
      </c>
      <c r="H4302" t="str">
        <f>"99"</f>
        <v>99</v>
      </c>
      <c r="I4302" t="str">
        <f t="shared" si="897"/>
        <v>0</v>
      </c>
      <c r="J4302" t="str">
        <f>"82"</f>
        <v>82</v>
      </c>
      <c r="K4302">
        <v>20190111</v>
      </c>
      <c r="L4302" t="str">
        <f>"075272"</f>
        <v>075272</v>
      </c>
      <c r="M4302" t="str">
        <f>"71225"</f>
        <v>71225</v>
      </c>
      <c r="N4302" t="s">
        <v>1803</v>
      </c>
      <c r="O4302">
        <v>55</v>
      </c>
      <c r="P4302">
        <v>20190110</v>
      </c>
      <c r="Q4302" t="s">
        <v>2127</v>
      </c>
      <c r="R4302" t="s">
        <v>3465</v>
      </c>
      <c r="S4302" t="s">
        <v>1615</v>
      </c>
      <c r="T4302" t="s">
        <v>1713</v>
      </c>
    </row>
    <row r="4303" spans="1:20" x14ac:dyDescent="0.25">
      <c r="A4303">
        <v>9</v>
      </c>
      <c r="B4303">
        <v>199</v>
      </c>
      <c r="C4303" t="str">
        <f>"51"</f>
        <v>51</v>
      </c>
      <c r="D4303">
        <v>6249</v>
      </c>
      <c r="E4303" t="str">
        <f>"WF"</f>
        <v>WF</v>
      </c>
      <c r="F4303" t="str">
        <f>"936"</f>
        <v>936</v>
      </c>
      <c r="G4303">
        <v>9</v>
      </c>
      <c r="H4303" t="str">
        <f>"99"</f>
        <v>99</v>
      </c>
      <c r="I4303" t="str">
        <f t="shared" si="897"/>
        <v>0</v>
      </c>
      <c r="J4303" t="str">
        <f>"82"</f>
        <v>82</v>
      </c>
      <c r="K4303">
        <v>20190111</v>
      </c>
      <c r="L4303" t="str">
        <f>"075272"</f>
        <v>075272</v>
      </c>
      <c r="M4303" t="str">
        <f>"71225"</f>
        <v>71225</v>
      </c>
      <c r="N4303" t="s">
        <v>1803</v>
      </c>
      <c r="O4303">
        <v>27.5</v>
      </c>
      <c r="P4303">
        <v>20190110</v>
      </c>
      <c r="Q4303" t="s">
        <v>2127</v>
      </c>
      <c r="R4303" t="s">
        <v>3466</v>
      </c>
      <c r="S4303" t="s">
        <v>1615</v>
      </c>
      <c r="T4303" t="s">
        <v>1713</v>
      </c>
    </row>
    <row r="4304" spans="1:20" x14ac:dyDescent="0.25">
      <c r="A4304">
        <v>9</v>
      </c>
      <c r="B4304">
        <v>199</v>
      </c>
      <c r="C4304" t="str">
        <f>"51"</f>
        <v>51</v>
      </c>
      <c r="D4304">
        <v>6249</v>
      </c>
      <c r="E4304" t="str">
        <f>"WF"</f>
        <v>WF</v>
      </c>
      <c r="F4304" t="str">
        <f>"936"</f>
        <v>936</v>
      </c>
      <c r="G4304">
        <v>9</v>
      </c>
      <c r="H4304" t="str">
        <f>"99"</f>
        <v>99</v>
      </c>
      <c r="I4304" t="str">
        <f t="shared" si="897"/>
        <v>0</v>
      </c>
      <c r="J4304" t="str">
        <f>"82"</f>
        <v>82</v>
      </c>
      <c r="K4304">
        <v>20190111</v>
      </c>
      <c r="L4304" t="str">
        <f>"075272"</f>
        <v>075272</v>
      </c>
      <c r="M4304" t="str">
        <f>"71225"</f>
        <v>71225</v>
      </c>
      <c r="N4304" t="s">
        <v>1803</v>
      </c>
      <c r="O4304">
        <v>471</v>
      </c>
      <c r="P4304">
        <v>20190110</v>
      </c>
      <c r="Q4304" t="s">
        <v>2127</v>
      </c>
      <c r="R4304" t="s">
        <v>3467</v>
      </c>
      <c r="S4304" t="s">
        <v>1615</v>
      </c>
      <c r="T4304" t="s">
        <v>1713</v>
      </c>
    </row>
    <row r="4305" spans="1:20" x14ac:dyDescent="0.25">
      <c r="A4305">
        <v>9</v>
      </c>
      <c r="B4305">
        <v>199</v>
      </c>
      <c r="C4305" t="str">
        <f>"36"</f>
        <v>36</v>
      </c>
      <c r="D4305">
        <v>6412</v>
      </c>
      <c r="E4305" t="str">
        <f>"09"</f>
        <v>09</v>
      </c>
      <c r="F4305" t="str">
        <f>"001"</f>
        <v>001</v>
      </c>
      <c r="G4305">
        <v>9</v>
      </c>
      <c r="H4305" t="str">
        <f>"23"</f>
        <v>23</v>
      </c>
      <c r="I4305" t="str">
        <f>"5"</f>
        <v>5</v>
      </c>
      <c r="J4305" t="str">
        <f>"74"</f>
        <v>74</v>
      </c>
      <c r="K4305">
        <v>20190111</v>
      </c>
      <c r="L4305" t="str">
        <f>"075273"</f>
        <v>075273</v>
      </c>
      <c r="M4305" t="str">
        <f>"72093"</f>
        <v>72093</v>
      </c>
      <c r="N4305" t="s">
        <v>3468</v>
      </c>
      <c r="O4305">
        <v>270</v>
      </c>
      <c r="P4305">
        <v>20190110</v>
      </c>
      <c r="Q4305" t="s">
        <v>3384</v>
      </c>
      <c r="R4305" t="s">
        <v>3385</v>
      </c>
      <c r="S4305" t="s">
        <v>1615</v>
      </c>
      <c r="T4305" t="s">
        <v>301</v>
      </c>
    </row>
    <row r="4306" spans="1:20" x14ac:dyDescent="0.25">
      <c r="A4306">
        <v>9</v>
      </c>
      <c r="B4306">
        <v>199</v>
      </c>
      <c r="C4306" t="str">
        <f>"41"</f>
        <v>41</v>
      </c>
      <c r="D4306">
        <v>6411</v>
      </c>
      <c r="E4306" t="str">
        <f>"10"</f>
        <v>10</v>
      </c>
      <c r="F4306" t="str">
        <f>"726"</f>
        <v>726</v>
      </c>
      <c r="G4306">
        <v>9</v>
      </c>
      <c r="H4306" t="str">
        <f>"99"</f>
        <v>99</v>
      </c>
      <c r="I4306" t="str">
        <f t="shared" ref="I4306:I4340" si="902">"0"</f>
        <v>0</v>
      </c>
      <c r="J4306" t="str">
        <f>"91"</f>
        <v>91</v>
      </c>
      <c r="K4306">
        <v>20190111</v>
      </c>
      <c r="L4306" t="str">
        <f>"075274"</f>
        <v>075274</v>
      </c>
      <c r="M4306" t="str">
        <f>"76548"</f>
        <v>76548</v>
      </c>
      <c r="N4306" t="s">
        <v>1817</v>
      </c>
      <c r="O4306">
        <v>295</v>
      </c>
      <c r="P4306">
        <v>20190110</v>
      </c>
      <c r="Q4306" t="s">
        <v>3313</v>
      </c>
      <c r="R4306" t="s">
        <v>3314</v>
      </c>
      <c r="S4306" t="s">
        <v>1615</v>
      </c>
      <c r="T4306" t="s">
        <v>2608</v>
      </c>
    </row>
    <row r="4307" spans="1:20" x14ac:dyDescent="0.25">
      <c r="A4307">
        <v>9</v>
      </c>
      <c r="B4307">
        <v>199</v>
      </c>
      <c r="C4307" t="str">
        <f>"41"</f>
        <v>41</v>
      </c>
      <c r="D4307">
        <v>6411</v>
      </c>
      <c r="E4307" t="str">
        <f>"10"</f>
        <v>10</v>
      </c>
      <c r="F4307" t="str">
        <f>"726"</f>
        <v>726</v>
      </c>
      <c r="G4307">
        <v>9</v>
      </c>
      <c r="H4307" t="str">
        <f>"99"</f>
        <v>99</v>
      </c>
      <c r="I4307" t="str">
        <f t="shared" si="902"/>
        <v>0</v>
      </c>
      <c r="J4307" t="str">
        <f>"91"</f>
        <v>91</v>
      </c>
      <c r="K4307">
        <v>20190111</v>
      </c>
      <c r="L4307" t="str">
        <f>"075274"</f>
        <v>075274</v>
      </c>
      <c r="M4307" t="str">
        <f>"76548"</f>
        <v>76548</v>
      </c>
      <c r="N4307" t="s">
        <v>1817</v>
      </c>
      <c r="O4307">
        <v>295</v>
      </c>
      <c r="P4307">
        <v>20190110</v>
      </c>
      <c r="Q4307" t="s">
        <v>3313</v>
      </c>
      <c r="R4307" t="s">
        <v>3314</v>
      </c>
      <c r="S4307" t="s">
        <v>1615</v>
      </c>
      <c r="T4307" t="s">
        <v>2608</v>
      </c>
    </row>
    <row r="4308" spans="1:20" x14ac:dyDescent="0.25">
      <c r="A4308">
        <v>9</v>
      </c>
      <c r="B4308">
        <v>199</v>
      </c>
      <c r="C4308" t="str">
        <f>"41"</f>
        <v>41</v>
      </c>
      <c r="D4308">
        <v>6495</v>
      </c>
      <c r="E4308" t="str">
        <f>"10"</f>
        <v>10</v>
      </c>
      <c r="F4308" t="str">
        <f>"726"</f>
        <v>726</v>
      </c>
      <c r="G4308">
        <v>9</v>
      </c>
      <c r="H4308" t="str">
        <f>"99"</f>
        <v>99</v>
      </c>
      <c r="I4308" t="str">
        <f t="shared" si="902"/>
        <v>0</v>
      </c>
      <c r="J4308" t="str">
        <f>"91"</f>
        <v>91</v>
      </c>
      <c r="K4308">
        <v>20190111</v>
      </c>
      <c r="L4308" t="str">
        <f>"075275"</f>
        <v>075275</v>
      </c>
      <c r="M4308" t="str">
        <f>"76548"</f>
        <v>76548</v>
      </c>
      <c r="N4308" t="s">
        <v>1817</v>
      </c>
      <c r="O4308">
        <v>135</v>
      </c>
      <c r="P4308">
        <v>20190110</v>
      </c>
      <c r="Q4308" t="s">
        <v>2989</v>
      </c>
      <c r="R4308" t="s">
        <v>1784</v>
      </c>
      <c r="S4308" t="s">
        <v>1615</v>
      </c>
      <c r="T4308" t="s">
        <v>2608</v>
      </c>
    </row>
    <row r="4309" spans="1:20" x14ac:dyDescent="0.25">
      <c r="A4309">
        <v>9</v>
      </c>
      <c r="B4309">
        <v>199</v>
      </c>
      <c r="C4309" t="str">
        <f>"51"</f>
        <v>51</v>
      </c>
      <c r="D4309">
        <v>6249</v>
      </c>
      <c r="E4309" t="str">
        <f>"M4"</f>
        <v>M4</v>
      </c>
      <c r="F4309" t="str">
        <f>"877"</f>
        <v>877</v>
      </c>
      <c r="G4309">
        <v>9</v>
      </c>
      <c r="H4309" t="str">
        <f>"99"</f>
        <v>99</v>
      </c>
      <c r="I4309" t="str">
        <f t="shared" si="902"/>
        <v>0</v>
      </c>
      <c r="J4309" t="str">
        <f>"81"</f>
        <v>81</v>
      </c>
      <c r="K4309">
        <v>20190111</v>
      </c>
      <c r="L4309" t="str">
        <f>"075276"</f>
        <v>075276</v>
      </c>
      <c r="M4309" t="str">
        <f>"78726"</f>
        <v>78726</v>
      </c>
      <c r="N4309" t="s">
        <v>917</v>
      </c>
      <c r="O4309" s="1">
        <v>1360</v>
      </c>
      <c r="P4309">
        <v>20190110</v>
      </c>
      <c r="Q4309" t="s">
        <v>3071</v>
      </c>
      <c r="R4309" t="s">
        <v>3469</v>
      </c>
      <c r="S4309" t="s">
        <v>1615</v>
      </c>
      <c r="T4309" t="s">
        <v>2024</v>
      </c>
    </row>
    <row r="4310" spans="1:20" x14ac:dyDescent="0.25">
      <c r="A4310">
        <v>9</v>
      </c>
      <c r="B4310">
        <v>199</v>
      </c>
      <c r="C4310" t="str">
        <f>"11"</f>
        <v>11</v>
      </c>
      <c r="D4310">
        <v>6299</v>
      </c>
      <c r="E4310" t="str">
        <f>"7E"</f>
        <v>7E</v>
      </c>
      <c r="F4310" t="str">
        <f t="shared" ref="F4310:F4317" si="903">"001"</f>
        <v>001</v>
      </c>
      <c r="G4310">
        <v>9</v>
      </c>
      <c r="H4310" t="str">
        <f>"11"</f>
        <v>11</v>
      </c>
      <c r="I4310" t="str">
        <f t="shared" si="902"/>
        <v>0</v>
      </c>
      <c r="J4310" t="str">
        <f>"31"</f>
        <v>31</v>
      </c>
      <c r="K4310">
        <v>20190111</v>
      </c>
      <c r="L4310" t="str">
        <f>"075277"</f>
        <v>075277</v>
      </c>
      <c r="M4310" t="str">
        <f>"80175"</f>
        <v>80175</v>
      </c>
      <c r="N4310" t="s">
        <v>3470</v>
      </c>
      <c r="O4310">
        <v>150</v>
      </c>
      <c r="P4310">
        <v>20190110</v>
      </c>
      <c r="Q4310" t="s">
        <v>1873</v>
      </c>
      <c r="R4310" t="s">
        <v>3356</v>
      </c>
      <c r="S4310" t="s">
        <v>1615</v>
      </c>
      <c r="T4310" t="s">
        <v>301</v>
      </c>
    </row>
    <row r="4311" spans="1:20" x14ac:dyDescent="0.25">
      <c r="A4311">
        <v>9</v>
      </c>
      <c r="B4311">
        <v>199</v>
      </c>
      <c r="C4311" t="str">
        <f>"51"</f>
        <v>51</v>
      </c>
      <c r="D4311">
        <v>6249</v>
      </c>
      <c r="E4311" t="str">
        <f>"MC"</f>
        <v>MC</v>
      </c>
      <c r="F4311" t="str">
        <f t="shared" si="903"/>
        <v>001</v>
      </c>
      <c r="G4311">
        <v>9</v>
      </c>
      <c r="H4311" t="str">
        <f>"99"</f>
        <v>99</v>
      </c>
      <c r="I4311" t="str">
        <f t="shared" si="902"/>
        <v>0</v>
      </c>
      <c r="J4311" t="str">
        <f>"81"</f>
        <v>81</v>
      </c>
      <c r="K4311">
        <v>20190111</v>
      </c>
      <c r="L4311" t="str">
        <f>"075278"</f>
        <v>075278</v>
      </c>
      <c r="M4311" t="str">
        <f>"00665"</f>
        <v>00665</v>
      </c>
      <c r="N4311" t="s">
        <v>3471</v>
      </c>
      <c r="O4311">
        <v>949.16</v>
      </c>
      <c r="P4311">
        <v>20190110</v>
      </c>
      <c r="Q4311" t="s">
        <v>2386</v>
      </c>
      <c r="R4311" t="s">
        <v>3472</v>
      </c>
      <c r="S4311" t="s">
        <v>1615</v>
      </c>
      <c r="T4311" t="s">
        <v>301</v>
      </c>
    </row>
    <row r="4312" spans="1:20" x14ac:dyDescent="0.25">
      <c r="A4312">
        <v>9</v>
      </c>
      <c r="B4312">
        <v>199</v>
      </c>
      <c r="C4312" t="str">
        <f t="shared" ref="C4312:C4320" si="904">"11"</f>
        <v>11</v>
      </c>
      <c r="D4312">
        <v>6399</v>
      </c>
      <c r="E4312" t="str">
        <f>"V8"</f>
        <v>V8</v>
      </c>
      <c r="F4312" t="str">
        <f t="shared" si="903"/>
        <v>001</v>
      </c>
      <c r="G4312">
        <v>9</v>
      </c>
      <c r="H4312" t="str">
        <f>"22"</f>
        <v>22</v>
      </c>
      <c r="I4312" t="str">
        <f t="shared" si="902"/>
        <v>0</v>
      </c>
      <c r="J4312" t="str">
        <f>"22"</f>
        <v>22</v>
      </c>
      <c r="K4312">
        <v>20190111</v>
      </c>
      <c r="L4312" t="str">
        <f>"075281"</f>
        <v>075281</v>
      </c>
      <c r="M4312" t="str">
        <f>"80500"</f>
        <v>80500</v>
      </c>
      <c r="N4312" t="s">
        <v>2340</v>
      </c>
      <c r="O4312">
        <v>297.83</v>
      </c>
      <c r="P4312">
        <v>20190110</v>
      </c>
      <c r="Q4312" t="s">
        <v>2001</v>
      </c>
      <c r="R4312" t="s">
        <v>2443</v>
      </c>
      <c r="S4312" t="s">
        <v>1615</v>
      </c>
      <c r="T4312" t="s">
        <v>301</v>
      </c>
    </row>
    <row r="4313" spans="1:20" x14ac:dyDescent="0.25">
      <c r="A4313">
        <v>9</v>
      </c>
      <c r="B4313">
        <v>199</v>
      </c>
      <c r="C4313" t="str">
        <f t="shared" si="904"/>
        <v>11</v>
      </c>
      <c r="D4313">
        <v>6399</v>
      </c>
      <c r="E4313" t="str">
        <f>"V8"</f>
        <v>V8</v>
      </c>
      <c r="F4313" t="str">
        <f t="shared" si="903"/>
        <v>001</v>
      </c>
      <c r="G4313">
        <v>9</v>
      </c>
      <c r="H4313" t="str">
        <f>"22"</f>
        <v>22</v>
      </c>
      <c r="I4313" t="str">
        <f t="shared" si="902"/>
        <v>0</v>
      </c>
      <c r="J4313" t="str">
        <f>"22"</f>
        <v>22</v>
      </c>
      <c r="K4313">
        <v>20190111</v>
      </c>
      <c r="L4313" t="str">
        <f>"075281"</f>
        <v>075281</v>
      </c>
      <c r="M4313" t="str">
        <f>"80500"</f>
        <v>80500</v>
      </c>
      <c r="N4313" t="s">
        <v>2340</v>
      </c>
      <c r="O4313">
        <v>22.96</v>
      </c>
      <c r="P4313">
        <v>20190110</v>
      </c>
      <c r="Q4313" t="s">
        <v>2001</v>
      </c>
      <c r="R4313" t="s">
        <v>3473</v>
      </c>
      <c r="S4313" t="s">
        <v>1615</v>
      </c>
      <c r="T4313" t="s">
        <v>301</v>
      </c>
    </row>
    <row r="4314" spans="1:20" x14ac:dyDescent="0.25">
      <c r="A4314">
        <v>9</v>
      </c>
      <c r="B4314">
        <v>199</v>
      </c>
      <c r="C4314" t="str">
        <f t="shared" si="904"/>
        <v>11</v>
      </c>
      <c r="D4314">
        <v>6395</v>
      </c>
      <c r="E4314" t="str">
        <f>"10"</f>
        <v>10</v>
      </c>
      <c r="F4314" t="str">
        <f t="shared" si="903"/>
        <v>001</v>
      </c>
      <c r="G4314">
        <v>9</v>
      </c>
      <c r="H4314" t="str">
        <f t="shared" ref="H4314:H4320" si="905">"11"</f>
        <v>11</v>
      </c>
      <c r="I4314" t="str">
        <f t="shared" si="902"/>
        <v>0</v>
      </c>
      <c r="J4314" t="str">
        <f>"01"</f>
        <v>01</v>
      </c>
      <c r="K4314">
        <v>20190111</v>
      </c>
      <c r="L4314" t="str">
        <f t="shared" ref="L4314:L4327" si="906">"075282"</f>
        <v>075282</v>
      </c>
      <c r="M4314" t="str">
        <f t="shared" ref="M4314:M4327" si="907">"81303"</f>
        <v>81303</v>
      </c>
      <c r="N4314" t="s">
        <v>66</v>
      </c>
      <c r="O4314">
        <v>25.8</v>
      </c>
      <c r="P4314">
        <v>20190110</v>
      </c>
      <c r="Q4314" t="s">
        <v>1929</v>
      </c>
      <c r="R4314" t="s">
        <v>3474</v>
      </c>
      <c r="S4314" t="s">
        <v>1615</v>
      </c>
      <c r="T4314" t="s">
        <v>301</v>
      </c>
    </row>
    <row r="4315" spans="1:20" x14ac:dyDescent="0.25">
      <c r="A4315">
        <v>9</v>
      </c>
      <c r="B4315">
        <v>199</v>
      </c>
      <c r="C4315" t="str">
        <f t="shared" si="904"/>
        <v>11</v>
      </c>
      <c r="D4315">
        <v>6395</v>
      </c>
      <c r="E4315" t="str">
        <f>"10"</f>
        <v>10</v>
      </c>
      <c r="F4315" t="str">
        <f t="shared" si="903"/>
        <v>001</v>
      </c>
      <c r="G4315">
        <v>9</v>
      </c>
      <c r="H4315" t="str">
        <f t="shared" si="905"/>
        <v>11</v>
      </c>
      <c r="I4315" t="str">
        <f t="shared" si="902"/>
        <v>0</v>
      </c>
      <c r="J4315" t="str">
        <f>"01"</f>
        <v>01</v>
      </c>
      <c r="K4315">
        <v>20190111</v>
      </c>
      <c r="L4315" t="str">
        <f t="shared" si="906"/>
        <v>075282</v>
      </c>
      <c r="M4315" t="str">
        <f t="shared" si="907"/>
        <v>81303</v>
      </c>
      <c r="N4315" t="s">
        <v>66</v>
      </c>
      <c r="O4315">
        <v>286</v>
      </c>
      <c r="P4315">
        <v>20190110</v>
      </c>
      <c r="Q4315" t="s">
        <v>1929</v>
      </c>
      <c r="R4315" t="s">
        <v>3475</v>
      </c>
      <c r="S4315" t="s">
        <v>1615</v>
      </c>
      <c r="T4315" t="s">
        <v>301</v>
      </c>
    </row>
    <row r="4316" spans="1:20" x14ac:dyDescent="0.25">
      <c r="A4316">
        <v>9</v>
      </c>
      <c r="B4316">
        <v>199</v>
      </c>
      <c r="C4316" t="str">
        <f t="shared" si="904"/>
        <v>11</v>
      </c>
      <c r="D4316">
        <v>6395</v>
      </c>
      <c r="E4316" t="str">
        <f>"10"</f>
        <v>10</v>
      </c>
      <c r="F4316" t="str">
        <f t="shared" si="903"/>
        <v>001</v>
      </c>
      <c r="G4316">
        <v>9</v>
      </c>
      <c r="H4316" t="str">
        <f t="shared" si="905"/>
        <v>11</v>
      </c>
      <c r="I4316" t="str">
        <f t="shared" si="902"/>
        <v>0</v>
      </c>
      <c r="J4316" t="str">
        <f>"01"</f>
        <v>01</v>
      </c>
      <c r="K4316">
        <v>20190111</v>
      </c>
      <c r="L4316" t="str">
        <f t="shared" si="906"/>
        <v>075282</v>
      </c>
      <c r="M4316" t="str">
        <f t="shared" si="907"/>
        <v>81303</v>
      </c>
      <c r="N4316" t="s">
        <v>66</v>
      </c>
      <c r="O4316">
        <v>19.5</v>
      </c>
      <c r="P4316">
        <v>20190110</v>
      </c>
      <c r="Q4316" t="s">
        <v>1929</v>
      </c>
      <c r="R4316" t="s">
        <v>3476</v>
      </c>
      <c r="S4316" t="s">
        <v>1615</v>
      </c>
      <c r="T4316" t="s">
        <v>301</v>
      </c>
    </row>
    <row r="4317" spans="1:20" x14ac:dyDescent="0.25">
      <c r="A4317">
        <v>9</v>
      </c>
      <c r="B4317">
        <v>199</v>
      </c>
      <c r="C4317" t="str">
        <f t="shared" si="904"/>
        <v>11</v>
      </c>
      <c r="D4317">
        <v>6395</v>
      </c>
      <c r="E4317" t="str">
        <f>"10"</f>
        <v>10</v>
      </c>
      <c r="F4317" t="str">
        <f t="shared" si="903"/>
        <v>001</v>
      </c>
      <c r="G4317">
        <v>9</v>
      </c>
      <c r="H4317" t="str">
        <f t="shared" si="905"/>
        <v>11</v>
      </c>
      <c r="I4317" t="str">
        <f t="shared" si="902"/>
        <v>0</v>
      </c>
      <c r="J4317" t="str">
        <f>"01"</f>
        <v>01</v>
      </c>
      <c r="K4317">
        <v>20190111</v>
      </c>
      <c r="L4317" t="str">
        <f t="shared" si="906"/>
        <v>075282</v>
      </c>
      <c r="M4317" t="str">
        <f t="shared" si="907"/>
        <v>81303</v>
      </c>
      <c r="N4317" t="s">
        <v>66</v>
      </c>
      <c r="O4317">
        <v>450</v>
      </c>
      <c r="P4317">
        <v>20190110</v>
      </c>
      <c r="Q4317" t="s">
        <v>1929</v>
      </c>
      <c r="R4317" t="s">
        <v>3477</v>
      </c>
      <c r="S4317" t="s">
        <v>1615</v>
      </c>
      <c r="T4317" t="s">
        <v>301</v>
      </c>
    </row>
    <row r="4318" spans="1:20" x14ac:dyDescent="0.25">
      <c r="A4318">
        <v>9</v>
      </c>
      <c r="B4318">
        <v>199</v>
      </c>
      <c r="C4318" t="str">
        <f t="shared" si="904"/>
        <v>11</v>
      </c>
      <c r="D4318">
        <v>6395</v>
      </c>
      <c r="E4318" t="str">
        <f>"10"</f>
        <v>10</v>
      </c>
      <c r="F4318" t="str">
        <f>"041"</f>
        <v>041</v>
      </c>
      <c r="G4318">
        <v>9</v>
      </c>
      <c r="H4318" t="str">
        <f t="shared" si="905"/>
        <v>11</v>
      </c>
      <c r="I4318" t="str">
        <f t="shared" si="902"/>
        <v>0</v>
      </c>
      <c r="J4318" t="str">
        <f>"03"</f>
        <v>03</v>
      </c>
      <c r="K4318">
        <v>20190111</v>
      </c>
      <c r="L4318" t="str">
        <f t="shared" si="906"/>
        <v>075282</v>
      </c>
      <c r="M4318" t="str">
        <f t="shared" si="907"/>
        <v>81303</v>
      </c>
      <c r="N4318" t="s">
        <v>66</v>
      </c>
      <c r="O4318">
        <v>55</v>
      </c>
      <c r="P4318">
        <v>20190110</v>
      </c>
      <c r="Q4318" t="s">
        <v>2927</v>
      </c>
      <c r="R4318" t="s">
        <v>3478</v>
      </c>
      <c r="S4318" t="s">
        <v>1615</v>
      </c>
      <c r="T4318" t="s">
        <v>106</v>
      </c>
    </row>
    <row r="4319" spans="1:20" x14ac:dyDescent="0.25">
      <c r="A4319">
        <v>9</v>
      </c>
      <c r="B4319">
        <v>199</v>
      </c>
      <c r="C4319" t="str">
        <f t="shared" si="904"/>
        <v>11</v>
      </c>
      <c r="D4319">
        <v>6395</v>
      </c>
      <c r="E4319" t="str">
        <f>"45"</f>
        <v>45</v>
      </c>
      <c r="F4319" t="str">
        <f>"101"</f>
        <v>101</v>
      </c>
      <c r="G4319">
        <v>9</v>
      </c>
      <c r="H4319" t="str">
        <f t="shared" si="905"/>
        <v>11</v>
      </c>
      <c r="I4319" t="str">
        <f t="shared" si="902"/>
        <v>0</v>
      </c>
      <c r="J4319" t="str">
        <f>"04"</f>
        <v>04</v>
      </c>
      <c r="K4319">
        <v>20190111</v>
      </c>
      <c r="L4319" t="str">
        <f t="shared" si="906"/>
        <v>075282</v>
      </c>
      <c r="M4319" t="str">
        <f t="shared" si="907"/>
        <v>81303</v>
      </c>
      <c r="N4319" t="s">
        <v>66</v>
      </c>
      <c r="O4319">
        <v>6</v>
      </c>
      <c r="P4319">
        <v>20190110</v>
      </c>
      <c r="Q4319" t="s">
        <v>2542</v>
      </c>
      <c r="R4319" t="s">
        <v>3479</v>
      </c>
      <c r="S4319" t="s">
        <v>1615</v>
      </c>
      <c r="T4319" t="s">
        <v>1479</v>
      </c>
    </row>
    <row r="4320" spans="1:20" x14ac:dyDescent="0.25">
      <c r="A4320">
        <v>9</v>
      </c>
      <c r="B4320">
        <v>199</v>
      </c>
      <c r="C4320" t="str">
        <f t="shared" si="904"/>
        <v>11</v>
      </c>
      <c r="D4320">
        <v>6395</v>
      </c>
      <c r="E4320" t="str">
        <f>"45"</f>
        <v>45</v>
      </c>
      <c r="F4320" t="str">
        <f>"104"</f>
        <v>104</v>
      </c>
      <c r="G4320">
        <v>9</v>
      </c>
      <c r="H4320" t="str">
        <f t="shared" si="905"/>
        <v>11</v>
      </c>
      <c r="I4320" t="str">
        <f t="shared" si="902"/>
        <v>0</v>
      </c>
      <c r="J4320" t="str">
        <f>"05"</f>
        <v>05</v>
      </c>
      <c r="K4320">
        <v>20190111</v>
      </c>
      <c r="L4320" t="str">
        <f t="shared" si="906"/>
        <v>075282</v>
      </c>
      <c r="M4320" t="str">
        <f t="shared" si="907"/>
        <v>81303</v>
      </c>
      <c r="N4320" t="s">
        <v>66</v>
      </c>
      <c r="O4320">
        <v>24.75</v>
      </c>
      <c r="P4320">
        <v>20190110</v>
      </c>
      <c r="Q4320" t="s">
        <v>3480</v>
      </c>
      <c r="R4320" t="s">
        <v>3481</v>
      </c>
      <c r="S4320" t="s">
        <v>1615</v>
      </c>
      <c r="T4320" t="s">
        <v>46</v>
      </c>
    </row>
    <row r="4321" spans="1:20" x14ac:dyDescent="0.25">
      <c r="A4321">
        <v>9</v>
      </c>
      <c r="B4321">
        <v>199</v>
      </c>
      <c r="C4321" t="str">
        <f>"23"</f>
        <v>23</v>
      </c>
      <c r="D4321">
        <v>6395</v>
      </c>
      <c r="E4321" t="str">
        <f>"10"</f>
        <v>10</v>
      </c>
      <c r="F4321" t="str">
        <f>"104"</f>
        <v>104</v>
      </c>
      <c r="G4321">
        <v>9</v>
      </c>
      <c r="H4321" t="str">
        <f t="shared" ref="H4321:H4328" si="908">"99"</f>
        <v>99</v>
      </c>
      <c r="I4321" t="str">
        <f t="shared" si="902"/>
        <v>0</v>
      </c>
      <c r="J4321" t="str">
        <f>"05"</f>
        <v>05</v>
      </c>
      <c r="K4321">
        <v>20190111</v>
      </c>
      <c r="L4321" t="str">
        <f t="shared" si="906"/>
        <v>075282</v>
      </c>
      <c r="M4321" t="str">
        <f t="shared" si="907"/>
        <v>81303</v>
      </c>
      <c r="N4321" t="s">
        <v>66</v>
      </c>
      <c r="O4321">
        <v>60</v>
      </c>
      <c r="P4321">
        <v>20190110</v>
      </c>
      <c r="Q4321" t="s">
        <v>1933</v>
      </c>
      <c r="R4321" t="s">
        <v>3482</v>
      </c>
      <c r="S4321" t="s">
        <v>1615</v>
      </c>
      <c r="T4321" t="s">
        <v>46</v>
      </c>
    </row>
    <row r="4322" spans="1:20" x14ac:dyDescent="0.25">
      <c r="A4322">
        <v>9</v>
      </c>
      <c r="B4322">
        <v>199</v>
      </c>
      <c r="C4322" t="str">
        <f>"31"</f>
        <v>31</v>
      </c>
      <c r="D4322">
        <v>6395</v>
      </c>
      <c r="E4322" t="str">
        <f>"7F"</f>
        <v>7F</v>
      </c>
      <c r="F4322" t="str">
        <f>"001"</f>
        <v>001</v>
      </c>
      <c r="G4322">
        <v>9</v>
      </c>
      <c r="H4322" t="str">
        <f t="shared" si="908"/>
        <v>99</v>
      </c>
      <c r="I4322" t="str">
        <f t="shared" si="902"/>
        <v>0</v>
      </c>
      <c r="J4322" t="str">
        <f>"01"</f>
        <v>01</v>
      </c>
      <c r="K4322">
        <v>20190111</v>
      </c>
      <c r="L4322" t="str">
        <f t="shared" si="906"/>
        <v>075282</v>
      </c>
      <c r="M4322" t="str">
        <f t="shared" si="907"/>
        <v>81303</v>
      </c>
      <c r="N4322" t="s">
        <v>66</v>
      </c>
      <c r="O4322">
        <v>180</v>
      </c>
      <c r="P4322">
        <v>20190110</v>
      </c>
      <c r="Q4322" t="s">
        <v>1934</v>
      </c>
      <c r="R4322" t="s">
        <v>3483</v>
      </c>
      <c r="S4322" t="s">
        <v>1615</v>
      </c>
      <c r="T4322" t="s">
        <v>301</v>
      </c>
    </row>
    <row r="4323" spans="1:20" x14ac:dyDescent="0.25">
      <c r="A4323">
        <v>9</v>
      </c>
      <c r="B4323">
        <v>199</v>
      </c>
      <c r="C4323" t="str">
        <f>"41"</f>
        <v>41</v>
      </c>
      <c r="D4323">
        <v>6395</v>
      </c>
      <c r="E4323" t="str">
        <f>"10"</f>
        <v>10</v>
      </c>
      <c r="F4323" t="str">
        <f>"701"</f>
        <v>701</v>
      </c>
      <c r="G4323">
        <v>9</v>
      </c>
      <c r="H4323" t="str">
        <f t="shared" si="908"/>
        <v>99</v>
      </c>
      <c r="I4323" t="str">
        <f t="shared" si="902"/>
        <v>0</v>
      </c>
      <c r="J4323" t="str">
        <f>"92"</f>
        <v>92</v>
      </c>
      <c r="K4323">
        <v>20190111</v>
      </c>
      <c r="L4323" t="str">
        <f t="shared" si="906"/>
        <v>075282</v>
      </c>
      <c r="M4323" t="str">
        <f t="shared" si="907"/>
        <v>81303</v>
      </c>
      <c r="N4323" t="s">
        <v>66</v>
      </c>
      <c r="O4323">
        <v>27.3</v>
      </c>
      <c r="P4323">
        <v>20190110</v>
      </c>
      <c r="Q4323" t="s">
        <v>3484</v>
      </c>
      <c r="R4323" t="s">
        <v>3485</v>
      </c>
      <c r="S4323" t="s">
        <v>1615</v>
      </c>
      <c r="T4323" t="s">
        <v>1841</v>
      </c>
    </row>
    <row r="4324" spans="1:20" x14ac:dyDescent="0.25">
      <c r="A4324">
        <v>9</v>
      </c>
      <c r="B4324">
        <v>199</v>
      </c>
      <c r="C4324" t="str">
        <f>"41"</f>
        <v>41</v>
      </c>
      <c r="D4324">
        <v>6395</v>
      </c>
      <c r="E4324" t="str">
        <f>"10"</f>
        <v>10</v>
      </c>
      <c r="F4324" t="str">
        <f>"701"</f>
        <v>701</v>
      </c>
      <c r="G4324">
        <v>9</v>
      </c>
      <c r="H4324" t="str">
        <f t="shared" si="908"/>
        <v>99</v>
      </c>
      <c r="I4324" t="str">
        <f t="shared" si="902"/>
        <v>0</v>
      </c>
      <c r="J4324" t="str">
        <f>"92"</f>
        <v>92</v>
      </c>
      <c r="K4324">
        <v>20190111</v>
      </c>
      <c r="L4324" t="str">
        <f t="shared" si="906"/>
        <v>075282</v>
      </c>
      <c r="M4324" t="str">
        <f t="shared" si="907"/>
        <v>81303</v>
      </c>
      <c r="N4324" t="s">
        <v>66</v>
      </c>
      <c r="O4324">
        <v>137.5</v>
      </c>
      <c r="P4324">
        <v>20190110</v>
      </c>
      <c r="Q4324" t="s">
        <v>3484</v>
      </c>
      <c r="R4324" t="s">
        <v>3486</v>
      </c>
      <c r="S4324" t="s">
        <v>1615</v>
      </c>
      <c r="T4324" t="s">
        <v>1841</v>
      </c>
    </row>
    <row r="4325" spans="1:20" x14ac:dyDescent="0.25">
      <c r="A4325">
        <v>9</v>
      </c>
      <c r="B4325">
        <v>199</v>
      </c>
      <c r="C4325" t="str">
        <f>"41"</f>
        <v>41</v>
      </c>
      <c r="D4325">
        <v>6395</v>
      </c>
      <c r="E4325" t="str">
        <f>"10"</f>
        <v>10</v>
      </c>
      <c r="F4325" t="str">
        <f>"730"</f>
        <v>730</v>
      </c>
      <c r="G4325">
        <v>9</v>
      </c>
      <c r="H4325" t="str">
        <f t="shared" si="908"/>
        <v>99</v>
      </c>
      <c r="I4325" t="str">
        <f t="shared" si="902"/>
        <v>0</v>
      </c>
      <c r="J4325" t="str">
        <f>"95"</f>
        <v>95</v>
      </c>
      <c r="K4325">
        <v>20190111</v>
      </c>
      <c r="L4325" t="str">
        <f t="shared" si="906"/>
        <v>075282</v>
      </c>
      <c r="M4325" t="str">
        <f t="shared" si="907"/>
        <v>81303</v>
      </c>
      <c r="N4325" t="s">
        <v>66</v>
      </c>
      <c r="O4325">
        <v>36</v>
      </c>
      <c r="P4325">
        <v>20190110</v>
      </c>
      <c r="Q4325" t="s">
        <v>2547</v>
      </c>
      <c r="R4325" t="s">
        <v>3487</v>
      </c>
      <c r="S4325" t="s">
        <v>1615</v>
      </c>
      <c r="T4325" t="s">
        <v>1794</v>
      </c>
    </row>
    <row r="4326" spans="1:20" x14ac:dyDescent="0.25">
      <c r="A4326">
        <v>9</v>
      </c>
      <c r="B4326">
        <v>199</v>
      </c>
      <c r="C4326" t="str">
        <f>"41"</f>
        <v>41</v>
      </c>
      <c r="D4326">
        <v>6395</v>
      </c>
      <c r="E4326" t="str">
        <f>"10"</f>
        <v>10</v>
      </c>
      <c r="F4326" t="str">
        <f>"735"</f>
        <v>735</v>
      </c>
      <c r="G4326">
        <v>9</v>
      </c>
      <c r="H4326" t="str">
        <f t="shared" si="908"/>
        <v>99</v>
      </c>
      <c r="I4326" t="str">
        <f t="shared" si="902"/>
        <v>0</v>
      </c>
      <c r="J4326" t="str">
        <f>"96"</f>
        <v>96</v>
      </c>
      <c r="K4326">
        <v>20190111</v>
      </c>
      <c r="L4326" t="str">
        <f t="shared" si="906"/>
        <v>075282</v>
      </c>
      <c r="M4326" t="str">
        <f t="shared" si="907"/>
        <v>81303</v>
      </c>
      <c r="N4326" t="s">
        <v>66</v>
      </c>
      <c r="O4326">
        <v>14.5</v>
      </c>
      <c r="P4326">
        <v>20190110</v>
      </c>
      <c r="Q4326" t="s">
        <v>3488</v>
      </c>
      <c r="R4326" t="s">
        <v>3489</v>
      </c>
      <c r="S4326" t="s">
        <v>1615</v>
      </c>
      <c r="T4326" t="s">
        <v>151</v>
      </c>
    </row>
    <row r="4327" spans="1:20" x14ac:dyDescent="0.25">
      <c r="A4327">
        <v>9</v>
      </c>
      <c r="B4327">
        <v>199</v>
      </c>
      <c r="C4327" t="str">
        <f>"41"</f>
        <v>41</v>
      </c>
      <c r="D4327">
        <v>6395</v>
      </c>
      <c r="E4327" t="str">
        <f>"10"</f>
        <v>10</v>
      </c>
      <c r="F4327" t="str">
        <f>"735"</f>
        <v>735</v>
      </c>
      <c r="G4327">
        <v>9</v>
      </c>
      <c r="H4327" t="str">
        <f t="shared" si="908"/>
        <v>99</v>
      </c>
      <c r="I4327" t="str">
        <f t="shared" si="902"/>
        <v>0</v>
      </c>
      <c r="J4327" t="str">
        <f>"96"</f>
        <v>96</v>
      </c>
      <c r="K4327">
        <v>20190111</v>
      </c>
      <c r="L4327" t="str">
        <f t="shared" si="906"/>
        <v>075282</v>
      </c>
      <c r="M4327" t="str">
        <f t="shared" si="907"/>
        <v>81303</v>
      </c>
      <c r="N4327" t="s">
        <v>66</v>
      </c>
      <c r="O4327">
        <v>137.5</v>
      </c>
      <c r="P4327">
        <v>20190110</v>
      </c>
      <c r="Q4327" t="s">
        <v>3488</v>
      </c>
      <c r="R4327" t="s">
        <v>3486</v>
      </c>
      <c r="S4327" t="s">
        <v>1615</v>
      </c>
      <c r="T4327" t="s">
        <v>151</v>
      </c>
    </row>
    <row r="4328" spans="1:20" x14ac:dyDescent="0.25">
      <c r="A4328">
        <v>9</v>
      </c>
      <c r="B4328">
        <v>199</v>
      </c>
      <c r="C4328" t="str">
        <f>"36"</f>
        <v>36</v>
      </c>
      <c r="D4328">
        <v>6495</v>
      </c>
      <c r="E4328" t="str">
        <f>"7E"</f>
        <v>7E</v>
      </c>
      <c r="F4328" t="str">
        <f>"041"</f>
        <v>041</v>
      </c>
      <c r="G4328">
        <v>9</v>
      </c>
      <c r="H4328" t="str">
        <f t="shared" si="908"/>
        <v>99</v>
      </c>
      <c r="I4328" t="str">
        <f t="shared" si="902"/>
        <v>0</v>
      </c>
      <c r="J4328" t="str">
        <f>"35"</f>
        <v>35</v>
      </c>
      <c r="K4328">
        <v>20190111</v>
      </c>
      <c r="L4328" t="str">
        <f>"075283"</f>
        <v>075283</v>
      </c>
      <c r="M4328" t="str">
        <f>"82126"</f>
        <v>82126</v>
      </c>
      <c r="N4328" t="s">
        <v>1850</v>
      </c>
      <c r="O4328">
        <v>96</v>
      </c>
      <c r="P4328">
        <v>20190110</v>
      </c>
      <c r="Q4328" t="s">
        <v>2138</v>
      </c>
      <c r="R4328" t="s">
        <v>3327</v>
      </c>
      <c r="S4328" t="s">
        <v>1615</v>
      </c>
      <c r="T4328" t="s">
        <v>106</v>
      </c>
    </row>
    <row r="4329" spans="1:20" x14ac:dyDescent="0.25">
      <c r="A4329">
        <v>9</v>
      </c>
      <c r="B4329">
        <v>199</v>
      </c>
      <c r="C4329" t="str">
        <f>"36"</f>
        <v>36</v>
      </c>
      <c r="D4329">
        <v>6412</v>
      </c>
      <c r="E4329" t="str">
        <f>"H1"</f>
        <v>H1</v>
      </c>
      <c r="F4329" t="str">
        <f>"001"</f>
        <v>001</v>
      </c>
      <c r="G4329">
        <v>9</v>
      </c>
      <c r="H4329" t="str">
        <f>"31"</f>
        <v>31</v>
      </c>
      <c r="I4329" t="str">
        <f t="shared" si="902"/>
        <v>0</v>
      </c>
      <c r="J4329" t="str">
        <f>"34"</f>
        <v>34</v>
      </c>
      <c r="K4329">
        <v>20190111</v>
      </c>
      <c r="L4329" t="str">
        <f>"075284"</f>
        <v>075284</v>
      </c>
      <c r="M4329" t="str">
        <f>"82370"</f>
        <v>82370</v>
      </c>
      <c r="N4329" t="s">
        <v>3490</v>
      </c>
      <c r="O4329">
        <v>55.49</v>
      </c>
      <c r="P4329">
        <v>20190110</v>
      </c>
      <c r="Q4329" t="s">
        <v>2410</v>
      </c>
      <c r="R4329" t="s">
        <v>2717</v>
      </c>
      <c r="S4329" t="s">
        <v>1615</v>
      </c>
      <c r="T4329" t="s">
        <v>301</v>
      </c>
    </row>
    <row r="4330" spans="1:20" x14ac:dyDescent="0.25">
      <c r="A4330">
        <v>9</v>
      </c>
      <c r="B4330">
        <v>199</v>
      </c>
      <c r="C4330" t="str">
        <f>"11"</f>
        <v>11</v>
      </c>
      <c r="D4330">
        <v>6299</v>
      </c>
      <c r="E4330" t="str">
        <f>"7E"</f>
        <v>7E</v>
      </c>
      <c r="F4330" t="str">
        <f>"001"</f>
        <v>001</v>
      </c>
      <c r="G4330">
        <v>9</v>
      </c>
      <c r="H4330" t="str">
        <f>"11"</f>
        <v>11</v>
      </c>
      <c r="I4330" t="str">
        <f t="shared" si="902"/>
        <v>0</v>
      </c>
      <c r="J4330" t="str">
        <f>"31"</f>
        <v>31</v>
      </c>
      <c r="K4330">
        <v>20190111</v>
      </c>
      <c r="L4330" t="str">
        <f>"075285"</f>
        <v>075285</v>
      </c>
      <c r="M4330" t="str">
        <f>"82371"</f>
        <v>82371</v>
      </c>
      <c r="N4330" t="s">
        <v>1936</v>
      </c>
      <c r="O4330">
        <v>200</v>
      </c>
      <c r="P4330">
        <v>20190110</v>
      </c>
      <c r="Q4330" t="s">
        <v>1873</v>
      </c>
      <c r="R4330" t="s">
        <v>3356</v>
      </c>
      <c r="S4330" t="s">
        <v>1615</v>
      </c>
      <c r="T4330" t="s">
        <v>301</v>
      </c>
    </row>
    <row r="4331" spans="1:20" x14ac:dyDescent="0.25">
      <c r="A4331">
        <v>9</v>
      </c>
      <c r="B4331">
        <v>199</v>
      </c>
      <c r="C4331" t="str">
        <f>"36"</f>
        <v>36</v>
      </c>
      <c r="D4331">
        <v>6412</v>
      </c>
      <c r="E4331" t="str">
        <f>"H1"</f>
        <v>H1</v>
      </c>
      <c r="F4331" t="str">
        <f>"001"</f>
        <v>001</v>
      </c>
      <c r="G4331">
        <v>9</v>
      </c>
      <c r="H4331" t="str">
        <f>"31"</f>
        <v>31</v>
      </c>
      <c r="I4331" t="str">
        <f t="shared" si="902"/>
        <v>0</v>
      </c>
      <c r="J4331" t="str">
        <f>"34"</f>
        <v>34</v>
      </c>
      <c r="K4331">
        <v>20190111</v>
      </c>
      <c r="L4331" t="str">
        <f>"075287"</f>
        <v>075287</v>
      </c>
      <c r="M4331" t="str">
        <f>"83007"</f>
        <v>83007</v>
      </c>
      <c r="N4331" t="s">
        <v>2690</v>
      </c>
      <c r="O4331">
        <v>53.08</v>
      </c>
      <c r="P4331">
        <v>20190110</v>
      </c>
      <c r="Q4331" t="s">
        <v>2410</v>
      </c>
      <c r="R4331" t="s">
        <v>2717</v>
      </c>
      <c r="S4331" t="s">
        <v>1615</v>
      </c>
      <c r="T4331" t="s">
        <v>301</v>
      </c>
    </row>
    <row r="4332" spans="1:20" x14ac:dyDescent="0.25">
      <c r="A4332">
        <v>9</v>
      </c>
      <c r="B4332">
        <v>199</v>
      </c>
      <c r="C4332" t="str">
        <f>"11"</f>
        <v>11</v>
      </c>
      <c r="D4332">
        <v>6399</v>
      </c>
      <c r="E4332" t="str">
        <f>"45"</f>
        <v>45</v>
      </c>
      <c r="F4332" t="str">
        <f>"041"</f>
        <v>041</v>
      </c>
      <c r="G4332">
        <v>9</v>
      </c>
      <c r="H4332" t="str">
        <f>"11"</f>
        <v>11</v>
      </c>
      <c r="I4332" t="str">
        <f t="shared" si="902"/>
        <v>0</v>
      </c>
      <c r="J4332" t="str">
        <f>"03"</f>
        <v>03</v>
      </c>
      <c r="K4332">
        <v>20190111</v>
      </c>
      <c r="L4332" t="str">
        <f>"075288"</f>
        <v>075288</v>
      </c>
      <c r="M4332" t="str">
        <f>"83022"</f>
        <v>83022</v>
      </c>
      <c r="N4332" t="s">
        <v>691</v>
      </c>
      <c r="O4332">
        <v>34.46</v>
      </c>
      <c r="P4332">
        <v>20190110</v>
      </c>
      <c r="Q4332" t="s">
        <v>2204</v>
      </c>
      <c r="R4332" t="s">
        <v>2942</v>
      </c>
      <c r="S4332" t="s">
        <v>1615</v>
      </c>
      <c r="T4332" t="s">
        <v>106</v>
      </c>
    </row>
    <row r="4333" spans="1:20" x14ac:dyDescent="0.25">
      <c r="A4333">
        <v>9</v>
      </c>
      <c r="B4333">
        <v>199</v>
      </c>
      <c r="C4333" t="str">
        <f>"23"</f>
        <v>23</v>
      </c>
      <c r="D4333">
        <v>6498</v>
      </c>
      <c r="E4333" t="str">
        <f>"99"</f>
        <v>99</v>
      </c>
      <c r="F4333" t="str">
        <f>"041"</f>
        <v>041</v>
      </c>
      <c r="G4333">
        <v>9</v>
      </c>
      <c r="H4333" t="str">
        <f>"99"</f>
        <v>99</v>
      </c>
      <c r="I4333" t="str">
        <f t="shared" si="902"/>
        <v>0</v>
      </c>
      <c r="J4333" t="str">
        <f>"03"</f>
        <v>03</v>
      </c>
      <c r="K4333">
        <v>20190111</v>
      </c>
      <c r="L4333" t="str">
        <f>"075288"</f>
        <v>075288</v>
      </c>
      <c r="M4333" t="str">
        <f>"83022"</f>
        <v>83022</v>
      </c>
      <c r="N4333" t="s">
        <v>691</v>
      </c>
      <c r="O4333">
        <v>178.78</v>
      </c>
      <c r="P4333">
        <v>20190110</v>
      </c>
      <c r="Q4333" t="s">
        <v>2140</v>
      </c>
      <c r="R4333" t="s">
        <v>3491</v>
      </c>
      <c r="S4333" t="s">
        <v>1615</v>
      </c>
      <c r="T4333" t="s">
        <v>106</v>
      </c>
    </row>
    <row r="4334" spans="1:20" x14ac:dyDescent="0.25">
      <c r="A4334">
        <v>9</v>
      </c>
      <c r="B4334">
        <v>199</v>
      </c>
      <c r="C4334" t="str">
        <f>"23"</f>
        <v>23</v>
      </c>
      <c r="D4334">
        <v>6498</v>
      </c>
      <c r="E4334" t="str">
        <f>"99"</f>
        <v>99</v>
      </c>
      <c r="F4334" t="str">
        <f>"041"</f>
        <v>041</v>
      </c>
      <c r="G4334">
        <v>9</v>
      </c>
      <c r="H4334" t="str">
        <f>"99"</f>
        <v>99</v>
      </c>
      <c r="I4334" t="str">
        <f t="shared" si="902"/>
        <v>0</v>
      </c>
      <c r="J4334" t="str">
        <f>"03"</f>
        <v>03</v>
      </c>
      <c r="K4334">
        <v>20190111</v>
      </c>
      <c r="L4334" t="str">
        <f>"075288"</f>
        <v>075288</v>
      </c>
      <c r="M4334" t="str">
        <f>"83022"</f>
        <v>83022</v>
      </c>
      <c r="N4334" t="s">
        <v>691</v>
      </c>
      <c r="O4334">
        <v>173.78</v>
      </c>
      <c r="P4334">
        <v>20190110</v>
      </c>
      <c r="Q4334" t="s">
        <v>2140</v>
      </c>
      <c r="R4334" t="s">
        <v>2081</v>
      </c>
      <c r="S4334" t="s">
        <v>1615</v>
      </c>
      <c r="T4334" t="s">
        <v>106</v>
      </c>
    </row>
    <row r="4335" spans="1:20" x14ac:dyDescent="0.25">
      <c r="A4335">
        <v>9</v>
      </c>
      <c r="B4335">
        <v>199</v>
      </c>
      <c r="C4335" t="str">
        <f>"51"</f>
        <v>51</v>
      </c>
      <c r="D4335">
        <v>6498</v>
      </c>
      <c r="E4335" t="str">
        <f>"10"</f>
        <v>10</v>
      </c>
      <c r="F4335" t="str">
        <f>"936"</f>
        <v>936</v>
      </c>
      <c r="G4335">
        <v>9</v>
      </c>
      <c r="H4335" t="str">
        <f>"99"</f>
        <v>99</v>
      </c>
      <c r="I4335" t="str">
        <f t="shared" si="902"/>
        <v>0</v>
      </c>
      <c r="J4335" t="str">
        <f>"81"</f>
        <v>81</v>
      </c>
      <c r="K4335">
        <v>20190111</v>
      </c>
      <c r="L4335" t="str">
        <f>"075288"</f>
        <v>075288</v>
      </c>
      <c r="M4335" t="str">
        <f>"83022"</f>
        <v>83022</v>
      </c>
      <c r="N4335" t="s">
        <v>691</v>
      </c>
      <c r="O4335">
        <v>448.54</v>
      </c>
      <c r="P4335">
        <v>20190110</v>
      </c>
      <c r="Q4335" t="s">
        <v>3316</v>
      </c>
      <c r="R4335" t="s">
        <v>3492</v>
      </c>
      <c r="S4335" t="s">
        <v>1615</v>
      </c>
      <c r="T4335" t="s">
        <v>1713</v>
      </c>
    </row>
    <row r="4336" spans="1:20" x14ac:dyDescent="0.25">
      <c r="A4336">
        <v>9</v>
      </c>
      <c r="B4336">
        <v>199</v>
      </c>
      <c r="C4336" t="str">
        <f>"51"</f>
        <v>51</v>
      </c>
      <c r="D4336">
        <v>6498</v>
      </c>
      <c r="E4336" t="str">
        <f>"10"</f>
        <v>10</v>
      </c>
      <c r="F4336" t="str">
        <f>"936"</f>
        <v>936</v>
      </c>
      <c r="G4336">
        <v>9</v>
      </c>
      <c r="H4336" t="str">
        <f>"99"</f>
        <v>99</v>
      </c>
      <c r="I4336" t="str">
        <f t="shared" si="902"/>
        <v>0</v>
      </c>
      <c r="J4336" t="str">
        <f>"81"</f>
        <v>81</v>
      </c>
      <c r="K4336">
        <v>20190111</v>
      </c>
      <c r="L4336" t="str">
        <f>"075288"</f>
        <v>075288</v>
      </c>
      <c r="M4336" t="str">
        <f>"83022"</f>
        <v>83022</v>
      </c>
      <c r="N4336" t="s">
        <v>691</v>
      </c>
      <c r="O4336">
        <v>358.75</v>
      </c>
      <c r="P4336">
        <v>20190110</v>
      </c>
      <c r="Q4336" t="s">
        <v>3316</v>
      </c>
      <c r="R4336" t="s">
        <v>3492</v>
      </c>
      <c r="S4336" t="s">
        <v>1615</v>
      </c>
      <c r="T4336" t="s">
        <v>1713</v>
      </c>
    </row>
    <row r="4337" spans="1:20" x14ac:dyDescent="0.25">
      <c r="A4337">
        <v>9</v>
      </c>
      <c r="B4337">
        <v>199</v>
      </c>
      <c r="C4337" t="str">
        <f>"41"</f>
        <v>41</v>
      </c>
      <c r="D4337">
        <v>6211</v>
      </c>
      <c r="E4337" t="str">
        <f>"10"</f>
        <v>10</v>
      </c>
      <c r="F4337" t="str">
        <f>"726"</f>
        <v>726</v>
      </c>
      <c r="G4337">
        <v>9</v>
      </c>
      <c r="H4337" t="str">
        <f>"99"</f>
        <v>99</v>
      </c>
      <c r="I4337" t="str">
        <f t="shared" si="902"/>
        <v>0</v>
      </c>
      <c r="J4337" t="str">
        <f>"91"</f>
        <v>91</v>
      </c>
      <c r="K4337">
        <v>20190111</v>
      </c>
      <c r="L4337" t="str">
        <f>"075289"</f>
        <v>075289</v>
      </c>
      <c r="M4337" t="str">
        <f>"83034"</f>
        <v>83034</v>
      </c>
      <c r="N4337" t="s">
        <v>1852</v>
      </c>
      <c r="O4337">
        <v>147.5</v>
      </c>
      <c r="P4337">
        <v>20190110</v>
      </c>
      <c r="Q4337" t="s">
        <v>3493</v>
      </c>
      <c r="R4337" t="s">
        <v>3494</v>
      </c>
      <c r="S4337" t="s">
        <v>1615</v>
      </c>
      <c r="T4337" t="s">
        <v>2608</v>
      </c>
    </row>
    <row r="4338" spans="1:20" x14ac:dyDescent="0.25">
      <c r="A4338">
        <v>9</v>
      </c>
      <c r="B4338">
        <v>199</v>
      </c>
      <c r="C4338" t="str">
        <f>"11"</f>
        <v>11</v>
      </c>
      <c r="D4338">
        <v>6299</v>
      </c>
      <c r="E4338" t="str">
        <f>"00"</f>
        <v>00</v>
      </c>
      <c r="F4338" t="str">
        <f>"104"</f>
        <v>104</v>
      </c>
      <c r="G4338">
        <v>9</v>
      </c>
      <c r="H4338" t="str">
        <f>"11"</f>
        <v>11</v>
      </c>
      <c r="I4338" t="str">
        <f t="shared" si="902"/>
        <v>0</v>
      </c>
      <c r="J4338" t="str">
        <f>"05"</f>
        <v>05</v>
      </c>
      <c r="K4338">
        <v>20190111</v>
      </c>
      <c r="L4338" t="str">
        <f>"075290"</f>
        <v>075290</v>
      </c>
      <c r="M4338" t="str">
        <f>"83060"</f>
        <v>83060</v>
      </c>
      <c r="N4338" t="s">
        <v>2151</v>
      </c>
      <c r="O4338" s="1">
        <v>1410</v>
      </c>
      <c r="P4338">
        <v>20190110</v>
      </c>
      <c r="Q4338" t="s">
        <v>2152</v>
      </c>
      <c r="R4338" t="s">
        <v>3495</v>
      </c>
      <c r="S4338" t="s">
        <v>1615</v>
      </c>
      <c r="T4338" t="s">
        <v>46</v>
      </c>
    </row>
    <row r="4339" spans="1:20" x14ac:dyDescent="0.25">
      <c r="A4339">
        <v>9</v>
      </c>
      <c r="B4339">
        <v>199</v>
      </c>
      <c r="C4339" t="str">
        <f>"11"</f>
        <v>11</v>
      </c>
      <c r="D4339">
        <v>6299</v>
      </c>
      <c r="E4339" t="str">
        <f>"7E"</f>
        <v>7E</v>
      </c>
      <c r="F4339" t="str">
        <f>"001"</f>
        <v>001</v>
      </c>
      <c r="G4339">
        <v>9</v>
      </c>
      <c r="H4339" t="str">
        <f>"11"</f>
        <v>11</v>
      </c>
      <c r="I4339" t="str">
        <f t="shared" si="902"/>
        <v>0</v>
      </c>
      <c r="J4339" t="str">
        <f>"31"</f>
        <v>31</v>
      </c>
      <c r="K4339">
        <v>20190111</v>
      </c>
      <c r="L4339" t="str">
        <f>"075291"</f>
        <v>075291</v>
      </c>
      <c r="M4339" t="str">
        <f>"00548"</f>
        <v>00548</v>
      </c>
      <c r="N4339" t="s">
        <v>1937</v>
      </c>
      <c r="O4339">
        <v>200</v>
      </c>
      <c r="P4339">
        <v>20190110</v>
      </c>
      <c r="Q4339" t="s">
        <v>1873</v>
      </c>
      <c r="R4339" t="s">
        <v>3356</v>
      </c>
      <c r="S4339" t="s">
        <v>1615</v>
      </c>
      <c r="T4339" t="s">
        <v>301</v>
      </c>
    </row>
    <row r="4340" spans="1:20" x14ac:dyDescent="0.25">
      <c r="A4340">
        <v>9</v>
      </c>
      <c r="B4340">
        <v>199</v>
      </c>
      <c r="C4340" t="str">
        <f>"11"</f>
        <v>11</v>
      </c>
      <c r="D4340">
        <v>6268</v>
      </c>
      <c r="E4340" t="str">
        <f>"7Q"</f>
        <v>7Q</v>
      </c>
      <c r="F4340" t="str">
        <f>"001"</f>
        <v>001</v>
      </c>
      <c r="G4340">
        <v>9</v>
      </c>
      <c r="H4340" t="str">
        <f>"11"</f>
        <v>11</v>
      </c>
      <c r="I4340" t="str">
        <f t="shared" si="902"/>
        <v>0</v>
      </c>
      <c r="J4340" t="str">
        <f>"01"</f>
        <v>01</v>
      </c>
      <c r="K4340">
        <v>20190116</v>
      </c>
      <c r="L4340" t="str">
        <f>"075295"</f>
        <v>075295</v>
      </c>
      <c r="M4340" t="str">
        <f>"64653"</f>
        <v>64653</v>
      </c>
      <c r="N4340" t="s">
        <v>3496</v>
      </c>
      <c r="O4340" s="1">
        <v>6700</v>
      </c>
      <c r="P4340">
        <v>20190115</v>
      </c>
      <c r="Q4340" t="s">
        <v>3497</v>
      </c>
      <c r="R4340" t="s">
        <v>3498</v>
      </c>
      <c r="S4340" t="s">
        <v>1615</v>
      </c>
      <c r="T4340" t="s">
        <v>301</v>
      </c>
    </row>
    <row r="4341" spans="1:20" x14ac:dyDescent="0.25">
      <c r="A4341">
        <v>9</v>
      </c>
      <c r="B4341">
        <v>199</v>
      </c>
      <c r="C4341" t="str">
        <f>"36"</f>
        <v>36</v>
      </c>
      <c r="D4341">
        <v>6412</v>
      </c>
      <c r="E4341" t="str">
        <f>"7B"</f>
        <v>7B</v>
      </c>
      <c r="F4341" t="str">
        <f>"001"</f>
        <v>001</v>
      </c>
      <c r="G4341">
        <v>9</v>
      </c>
      <c r="H4341" t="str">
        <f>"99"</f>
        <v>99</v>
      </c>
      <c r="I4341" t="str">
        <f>"1"</f>
        <v>1</v>
      </c>
      <c r="J4341" t="str">
        <f>"32"</f>
        <v>32</v>
      </c>
      <c r="K4341">
        <v>20190116</v>
      </c>
      <c r="L4341" t="str">
        <f>"075298"</f>
        <v>075298</v>
      </c>
      <c r="M4341" t="str">
        <f>"20416"</f>
        <v>20416</v>
      </c>
      <c r="N4341" t="s">
        <v>1693</v>
      </c>
      <c r="O4341">
        <v>370</v>
      </c>
      <c r="P4341">
        <v>20190115</v>
      </c>
      <c r="Q4341" t="s">
        <v>1696</v>
      </c>
      <c r="R4341" t="s">
        <v>3328</v>
      </c>
      <c r="S4341" t="s">
        <v>1615</v>
      </c>
      <c r="T4341" t="s">
        <v>301</v>
      </c>
    </row>
    <row r="4342" spans="1:20" x14ac:dyDescent="0.25">
      <c r="A4342">
        <v>9</v>
      </c>
      <c r="B4342">
        <v>199</v>
      </c>
      <c r="C4342" t="str">
        <f>"51"</f>
        <v>51</v>
      </c>
      <c r="D4342">
        <v>6256</v>
      </c>
      <c r="E4342" t="str">
        <f>"13"</f>
        <v>13</v>
      </c>
      <c r="F4342" t="str">
        <f>"880"</f>
        <v>880</v>
      </c>
      <c r="G4342">
        <v>9</v>
      </c>
      <c r="H4342" t="str">
        <f>"99"</f>
        <v>99</v>
      </c>
      <c r="I4342" t="str">
        <f>"0"</f>
        <v>0</v>
      </c>
      <c r="J4342" t="str">
        <f>"80"</f>
        <v>80</v>
      </c>
      <c r="K4342">
        <v>20190116</v>
      </c>
      <c r="L4342" t="str">
        <f>"075299"</f>
        <v>075299</v>
      </c>
      <c r="M4342" t="str">
        <f>"21146"</f>
        <v>21146</v>
      </c>
      <c r="N4342" t="s">
        <v>2367</v>
      </c>
      <c r="O4342">
        <v>412.8</v>
      </c>
      <c r="P4342">
        <v>20190115</v>
      </c>
      <c r="Q4342" t="s">
        <v>2368</v>
      </c>
      <c r="R4342" t="s">
        <v>3047</v>
      </c>
      <c r="S4342" t="s">
        <v>1615</v>
      </c>
      <c r="T4342" t="s">
        <v>1866</v>
      </c>
    </row>
    <row r="4343" spans="1:20" x14ac:dyDescent="0.25">
      <c r="A4343">
        <v>9</v>
      </c>
      <c r="B4343">
        <v>199</v>
      </c>
      <c r="C4343" t="str">
        <f>"51"</f>
        <v>51</v>
      </c>
      <c r="D4343">
        <v>6256</v>
      </c>
      <c r="E4343" t="str">
        <f>"13"</f>
        <v>13</v>
      </c>
      <c r="F4343" t="str">
        <f>"880"</f>
        <v>880</v>
      </c>
      <c r="G4343">
        <v>9</v>
      </c>
      <c r="H4343" t="str">
        <f>"99"</f>
        <v>99</v>
      </c>
      <c r="I4343" t="str">
        <f>"0"</f>
        <v>0</v>
      </c>
      <c r="J4343" t="str">
        <f>"80"</f>
        <v>80</v>
      </c>
      <c r="K4343">
        <v>20190116</v>
      </c>
      <c r="L4343" t="str">
        <f>"075299"</f>
        <v>075299</v>
      </c>
      <c r="M4343" t="str">
        <f>"21146"</f>
        <v>21146</v>
      </c>
      <c r="N4343" t="s">
        <v>2367</v>
      </c>
      <c r="O4343">
        <v>412.8</v>
      </c>
      <c r="P4343">
        <v>20190115</v>
      </c>
      <c r="Q4343" t="s">
        <v>2368</v>
      </c>
      <c r="R4343" t="s">
        <v>3324</v>
      </c>
      <c r="S4343" t="s">
        <v>1615</v>
      </c>
      <c r="T4343" t="s">
        <v>1866</v>
      </c>
    </row>
    <row r="4344" spans="1:20" x14ac:dyDescent="0.25">
      <c r="A4344">
        <v>9</v>
      </c>
      <c r="B4344">
        <v>199</v>
      </c>
      <c r="C4344" t="str">
        <f>"00"</f>
        <v>00</v>
      </c>
      <c r="D4344">
        <v>1291</v>
      </c>
      <c r="E4344" t="str">
        <f>"05"</f>
        <v>05</v>
      </c>
      <c r="F4344" t="str">
        <f>"000"</f>
        <v>000</v>
      </c>
      <c r="G4344">
        <v>9</v>
      </c>
      <c r="H4344" t="str">
        <f>"00"</f>
        <v>00</v>
      </c>
      <c r="I4344" t="str">
        <f>"0"</f>
        <v>0</v>
      </c>
      <c r="J4344" t="str">
        <f>"00"</f>
        <v>00</v>
      </c>
      <c r="K4344">
        <v>20190116</v>
      </c>
      <c r="L4344" t="str">
        <f>"075304"</f>
        <v>075304</v>
      </c>
      <c r="M4344" t="str">
        <f>"46398"</f>
        <v>46398</v>
      </c>
      <c r="N4344" t="s">
        <v>1636</v>
      </c>
      <c r="O4344" s="1">
        <v>1820</v>
      </c>
      <c r="P4344">
        <v>20190115</v>
      </c>
      <c r="Q4344" t="s">
        <v>1637</v>
      </c>
      <c r="R4344" t="s">
        <v>3422</v>
      </c>
      <c r="S4344" t="s">
        <v>1615</v>
      </c>
      <c r="T4344" t="s">
        <v>296</v>
      </c>
    </row>
    <row r="4345" spans="1:20" x14ac:dyDescent="0.25">
      <c r="A4345">
        <v>9</v>
      </c>
      <c r="B4345">
        <v>199</v>
      </c>
      <c r="C4345" t="str">
        <f>"52"</f>
        <v>52</v>
      </c>
      <c r="D4345">
        <v>6219</v>
      </c>
      <c r="E4345" t="str">
        <f>"00"</f>
        <v>00</v>
      </c>
      <c r="F4345" t="str">
        <f>"101"</f>
        <v>101</v>
      </c>
      <c r="G4345">
        <v>9</v>
      </c>
      <c r="H4345" t="str">
        <f>"99"</f>
        <v>99</v>
      </c>
      <c r="I4345" t="str">
        <f>"0"</f>
        <v>0</v>
      </c>
      <c r="J4345" t="str">
        <f>"00"</f>
        <v>00</v>
      </c>
      <c r="K4345">
        <v>20190116</v>
      </c>
      <c r="L4345" t="str">
        <f>"075308"</f>
        <v>075308</v>
      </c>
      <c r="M4345" t="str">
        <f>"00242"</f>
        <v>00242</v>
      </c>
      <c r="N4345" t="s">
        <v>1669</v>
      </c>
      <c r="O4345">
        <v>300</v>
      </c>
      <c r="P4345">
        <v>20190115</v>
      </c>
      <c r="Q4345" t="s">
        <v>1854</v>
      </c>
      <c r="R4345" t="s">
        <v>3499</v>
      </c>
      <c r="S4345" t="s">
        <v>1615</v>
      </c>
      <c r="T4345" t="s">
        <v>1479</v>
      </c>
    </row>
    <row r="4346" spans="1:20" x14ac:dyDescent="0.25">
      <c r="A4346">
        <v>9</v>
      </c>
      <c r="B4346">
        <v>199</v>
      </c>
      <c r="C4346" t="str">
        <f>"51"</f>
        <v>51</v>
      </c>
      <c r="D4346">
        <v>6249</v>
      </c>
      <c r="E4346" t="str">
        <f>"PM"</f>
        <v>PM</v>
      </c>
      <c r="F4346" t="str">
        <f>"936"</f>
        <v>936</v>
      </c>
      <c r="G4346">
        <v>9</v>
      </c>
      <c r="H4346" t="str">
        <f>"99"</f>
        <v>99</v>
      </c>
      <c r="I4346" t="str">
        <f>"1"</f>
        <v>1</v>
      </c>
      <c r="J4346" t="str">
        <f>"81"</f>
        <v>81</v>
      </c>
      <c r="K4346">
        <v>20190125</v>
      </c>
      <c r="L4346" t="str">
        <f>"075309"</f>
        <v>075309</v>
      </c>
      <c r="M4346" t="str">
        <f>"00306"</f>
        <v>00306</v>
      </c>
      <c r="N4346" t="s">
        <v>2810</v>
      </c>
      <c r="O4346">
        <v>83.03</v>
      </c>
      <c r="P4346">
        <v>20190124</v>
      </c>
      <c r="Q4346" t="s">
        <v>2811</v>
      </c>
      <c r="R4346" t="s">
        <v>3500</v>
      </c>
      <c r="S4346" t="s">
        <v>1615</v>
      </c>
      <c r="T4346" t="s">
        <v>1713</v>
      </c>
    </row>
    <row r="4347" spans="1:20" x14ac:dyDescent="0.25">
      <c r="A4347">
        <v>9</v>
      </c>
      <c r="B4347">
        <v>199</v>
      </c>
      <c r="C4347" t="str">
        <f>"51"</f>
        <v>51</v>
      </c>
      <c r="D4347">
        <v>6249</v>
      </c>
      <c r="E4347" t="str">
        <f>"PM"</f>
        <v>PM</v>
      </c>
      <c r="F4347" t="str">
        <f>"936"</f>
        <v>936</v>
      </c>
      <c r="G4347">
        <v>9</v>
      </c>
      <c r="H4347" t="str">
        <f>"99"</f>
        <v>99</v>
      </c>
      <c r="I4347" t="str">
        <f>"1"</f>
        <v>1</v>
      </c>
      <c r="J4347" t="str">
        <f>"81"</f>
        <v>81</v>
      </c>
      <c r="K4347">
        <v>20190125</v>
      </c>
      <c r="L4347" t="str">
        <f>"075309"</f>
        <v>075309</v>
      </c>
      <c r="M4347" t="str">
        <f>"00306"</f>
        <v>00306</v>
      </c>
      <c r="N4347" t="s">
        <v>2810</v>
      </c>
      <c r="O4347">
        <v>90.78</v>
      </c>
      <c r="P4347">
        <v>20190124</v>
      </c>
      <c r="Q4347" t="s">
        <v>2811</v>
      </c>
      <c r="R4347" t="s">
        <v>3501</v>
      </c>
      <c r="S4347" t="s">
        <v>1615</v>
      </c>
      <c r="T4347" t="s">
        <v>1713</v>
      </c>
    </row>
    <row r="4348" spans="1:20" x14ac:dyDescent="0.25">
      <c r="A4348">
        <v>9</v>
      </c>
      <c r="B4348">
        <v>199</v>
      </c>
      <c r="C4348" t="str">
        <f>"51"</f>
        <v>51</v>
      </c>
      <c r="D4348">
        <v>6249</v>
      </c>
      <c r="E4348" t="str">
        <f>"PM"</f>
        <v>PM</v>
      </c>
      <c r="F4348" t="str">
        <f>"936"</f>
        <v>936</v>
      </c>
      <c r="G4348">
        <v>9</v>
      </c>
      <c r="H4348" t="str">
        <f>"99"</f>
        <v>99</v>
      </c>
      <c r="I4348" t="str">
        <f>"1"</f>
        <v>1</v>
      </c>
      <c r="J4348" t="str">
        <f>"81"</f>
        <v>81</v>
      </c>
      <c r="K4348">
        <v>20190125</v>
      </c>
      <c r="L4348" t="str">
        <f>"075309"</f>
        <v>075309</v>
      </c>
      <c r="M4348" t="str">
        <f>"00306"</f>
        <v>00306</v>
      </c>
      <c r="N4348" t="s">
        <v>2810</v>
      </c>
      <c r="O4348">
        <v>160.29</v>
      </c>
      <c r="P4348">
        <v>20190124</v>
      </c>
      <c r="Q4348" t="s">
        <v>2811</v>
      </c>
      <c r="R4348" t="s">
        <v>3502</v>
      </c>
      <c r="S4348" t="s">
        <v>1615</v>
      </c>
      <c r="T4348" t="s">
        <v>1713</v>
      </c>
    </row>
    <row r="4349" spans="1:20" x14ac:dyDescent="0.25">
      <c r="A4349">
        <v>9</v>
      </c>
      <c r="B4349">
        <v>199</v>
      </c>
      <c r="C4349" t="str">
        <f>"41"</f>
        <v>41</v>
      </c>
      <c r="D4349">
        <v>6299</v>
      </c>
      <c r="E4349" t="str">
        <f>"10"</f>
        <v>10</v>
      </c>
      <c r="F4349" t="str">
        <f>"730"</f>
        <v>730</v>
      </c>
      <c r="G4349">
        <v>9</v>
      </c>
      <c r="H4349" t="str">
        <f>"99"</f>
        <v>99</v>
      </c>
      <c r="I4349" t="str">
        <f t="shared" ref="I4349:I4372" si="909">"0"</f>
        <v>0</v>
      </c>
      <c r="J4349" t="str">
        <f>"95"</f>
        <v>95</v>
      </c>
      <c r="K4349">
        <v>20190125</v>
      </c>
      <c r="L4349" t="str">
        <f>"075310"</f>
        <v>075310</v>
      </c>
      <c r="M4349" t="str">
        <f>"01530"</f>
        <v>01530</v>
      </c>
      <c r="N4349" t="s">
        <v>1672</v>
      </c>
      <c r="O4349">
        <v>33</v>
      </c>
      <c r="P4349">
        <v>20190124</v>
      </c>
      <c r="Q4349" t="s">
        <v>2434</v>
      </c>
      <c r="R4349" t="s">
        <v>3047</v>
      </c>
      <c r="S4349" t="s">
        <v>1615</v>
      </c>
      <c r="T4349" t="s">
        <v>1794</v>
      </c>
    </row>
    <row r="4350" spans="1:20" x14ac:dyDescent="0.25">
      <c r="A4350">
        <v>9</v>
      </c>
      <c r="B4350">
        <v>199</v>
      </c>
      <c r="C4350" t="str">
        <f>"13"</f>
        <v>13</v>
      </c>
      <c r="D4350">
        <v>6499</v>
      </c>
      <c r="E4350" t="str">
        <f>"04"</f>
        <v>04</v>
      </c>
      <c r="F4350" t="str">
        <f>"101"</f>
        <v>101</v>
      </c>
      <c r="G4350">
        <v>9</v>
      </c>
      <c r="H4350" t="str">
        <f t="shared" ref="H4350:H4355" si="910">"11"</f>
        <v>11</v>
      </c>
      <c r="I4350" t="str">
        <f t="shared" si="909"/>
        <v>0</v>
      </c>
      <c r="J4350" t="str">
        <f>"23"</f>
        <v>23</v>
      </c>
      <c r="K4350">
        <v>20190125</v>
      </c>
      <c r="L4350" t="str">
        <f>"075312"</f>
        <v>075312</v>
      </c>
      <c r="M4350" t="str">
        <f>"01820"</f>
        <v>01820</v>
      </c>
      <c r="N4350" t="s">
        <v>3503</v>
      </c>
      <c r="O4350">
        <v>100</v>
      </c>
      <c r="P4350">
        <v>20190124</v>
      </c>
      <c r="Q4350" t="s">
        <v>3504</v>
      </c>
      <c r="R4350" t="s">
        <v>3505</v>
      </c>
      <c r="S4350" t="s">
        <v>1615</v>
      </c>
      <c r="T4350" t="s">
        <v>1479</v>
      </c>
    </row>
    <row r="4351" spans="1:20" x14ac:dyDescent="0.25">
      <c r="A4351">
        <v>9</v>
      </c>
      <c r="B4351">
        <v>199</v>
      </c>
      <c r="C4351" t="str">
        <f>"13"</f>
        <v>13</v>
      </c>
      <c r="D4351">
        <v>6499</v>
      </c>
      <c r="E4351" t="str">
        <f>"04"</f>
        <v>04</v>
      </c>
      <c r="F4351" t="str">
        <f>"101"</f>
        <v>101</v>
      </c>
      <c r="G4351">
        <v>9</v>
      </c>
      <c r="H4351" t="str">
        <f t="shared" si="910"/>
        <v>11</v>
      </c>
      <c r="I4351" t="str">
        <f t="shared" si="909"/>
        <v>0</v>
      </c>
      <c r="J4351" t="str">
        <f>"23"</f>
        <v>23</v>
      </c>
      <c r="K4351">
        <v>20190125</v>
      </c>
      <c r="L4351" t="str">
        <f>"075313"</f>
        <v>075313</v>
      </c>
      <c r="M4351" t="str">
        <f>"00356"</f>
        <v>00356</v>
      </c>
      <c r="N4351" t="s">
        <v>3506</v>
      </c>
      <c r="O4351">
        <v>225</v>
      </c>
      <c r="P4351">
        <v>20190124</v>
      </c>
      <c r="Q4351" t="s">
        <v>3504</v>
      </c>
      <c r="R4351" t="s">
        <v>3507</v>
      </c>
      <c r="S4351" t="s">
        <v>1615</v>
      </c>
      <c r="T4351" t="s">
        <v>1479</v>
      </c>
    </row>
    <row r="4352" spans="1:20" x14ac:dyDescent="0.25">
      <c r="A4352">
        <v>9</v>
      </c>
      <c r="B4352">
        <v>199</v>
      </c>
      <c r="C4352" t="str">
        <f>"11"</f>
        <v>11</v>
      </c>
      <c r="D4352">
        <v>6339</v>
      </c>
      <c r="E4352" t="str">
        <f>"11"</f>
        <v>11</v>
      </c>
      <c r="F4352" t="str">
        <f>"001"</f>
        <v>001</v>
      </c>
      <c r="G4352">
        <v>9</v>
      </c>
      <c r="H4352" t="str">
        <f t="shared" si="910"/>
        <v>11</v>
      </c>
      <c r="I4352" t="str">
        <f t="shared" si="909"/>
        <v>0</v>
      </c>
      <c r="J4352" t="str">
        <f>"01"</f>
        <v>01</v>
      </c>
      <c r="K4352">
        <v>20190125</v>
      </c>
      <c r="L4352" t="str">
        <f>"075316"</f>
        <v>075316</v>
      </c>
      <c r="M4352" t="str">
        <f>"04410"</f>
        <v>04410</v>
      </c>
      <c r="N4352" t="s">
        <v>410</v>
      </c>
      <c r="O4352">
        <v>183.12</v>
      </c>
      <c r="P4352">
        <v>20190124</v>
      </c>
      <c r="Q4352" t="s">
        <v>3336</v>
      </c>
      <c r="R4352" t="s">
        <v>3508</v>
      </c>
      <c r="S4352" t="s">
        <v>1615</v>
      </c>
      <c r="T4352" t="s">
        <v>301</v>
      </c>
    </row>
    <row r="4353" spans="1:20" x14ac:dyDescent="0.25">
      <c r="A4353">
        <v>9</v>
      </c>
      <c r="B4353">
        <v>199</v>
      </c>
      <c r="C4353" t="str">
        <f>"11"</f>
        <v>11</v>
      </c>
      <c r="D4353">
        <v>6399</v>
      </c>
      <c r="E4353" t="str">
        <f>"10"</f>
        <v>10</v>
      </c>
      <c r="F4353" t="str">
        <f>"001"</f>
        <v>001</v>
      </c>
      <c r="G4353">
        <v>9</v>
      </c>
      <c r="H4353" t="str">
        <f t="shared" si="910"/>
        <v>11</v>
      </c>
      <c r="I4353" t="str">
        <f t="shared" si="909"/>
        <v>0</v>
      </c>
      <c r="J4353" t="str">
        <f>"01"</f>
        <v>01</v>
      </c>
      <c r="K4353">
        <v>20190125</v>
      </c>
      <c r="L4353" t="str">
        <f>"075316"</f>
        <v>075316</v>
      </c>
      <c r="M4353" t="str">
        <f>"04410"</f>
        <v>04410</v>
      </c>
      <c r="N4353" t="s">
        <v>410</v>
      </c>
      <c r="O4353">
        <v>129.1</v>
      </c>
      <c r="P4353">
        <v>20190124</v>
      </c>
      <c r="Q4353" t="s">
        <v>1675</v>
      </c>
      <c r="R4353" t="s">
        <v>3509</v>
      </c>
      <c r="S4353" t="s">
        <v>1615</v>
      </c>
      <c r="T4353" t="s">
        <v>301</v>
      </c>
    </row>
    <row r="4354" spans="1:20" x14ac:dyDescent="0.25">
      <c r="A4354">
        <v>9</v>
      </c>
      <c r="B4354">
        <v>199</v>
      </c>
      <c r="C4354" t="str">
        <f>"11"</f>
        <v>11</v>
      </c>
      <c r="D4354">
        <v>6399</v>
      </c>
      <c r="E4354" t="str">
        <f>"H2"</f>
        <v>H2</v>
      </c>
      <c r="F4354" t="str">
        <f>"001"</f>
        <v>001</v>
      </c>
      <c r="G4354">
        <v>9</v>
      </c>
      <c r="H4354" t="str">
        <f t="shared" si="910"/>
        <v>11</v>
      </c>
      <c r="I4354" t="str">
        <f t="shared" si="909"/>
        <v>0</v>
      </c>
      <c r="J4354" t="str">
        <f>"37"</f>
        <v>37</v>
      </c>
      <c r="K4354">
        <v>20190125</v>
      </c>
      <c r="L4354" t="str">
        <f>"075316"</f>
        <v>075316</v>
      </c>
      <c r="M4354" t="str">
        <f>"04410"</f>
        <v>04410</v>
      </c>
      <c r="N4354" t="s">
        <v>410</v>
      </c>
      <c r="O4354">
        <v>131.9</v>
      </c>
      <c r="P4354">
        <v>20190124</v>
      </c>
      <c r="Q4354" t="s">
        <v>3510</v>
      </c>
      <c r="R4354" t="s">
        <v>3511</v>
      </c>
      <c r="S4354" t="s">
        <v>1615</v>
      </c>
      <c r="T4354" t="s">
        <v>301</v>
      </c>
    </row>
    <row r="4355" spans="1:20" x14ac:dyDescent="0.25">
      <c r="A4355">
        <v>9</v>
      </c>
      <c r="B4355">
        <v>199</v>
      </c>
      <c r="C4355" t="str">
        <f>"12"</f>
        <v>12</v>
      </c>
      <c r="D4355">
        <v>6399</v>
      </c>
      <c r="E4355" t="str">
        <f>"7U"</f>
        <v>7U</v>
      </c>
      <c r="F4355" t="str">
        <f>"101"</f>
        <v>101</v>
      </c>
      <c r="G4355">
        <v>9</v>
      </c>
      <c r="H4355" t="str">
        <f t="shared" si="910"/>
        <v>11</v>
      </c>
      <c r="I4355" t="str">
        <f t="shared" si="909"/>
        <v>0</v>
      </c>
      <c r="J4355" t="str">
        <f>"04"</f>
        <v>04</v>
      </c>
      <c r="K4355">
        <v>20190125</v>
      </c>
      <c r="L4355" t="str">
        <f>"075316"</f>
        <v>075316</v>
      </c>
      <c r="M4355" t="str">
        <f>"04410"</f>
        <v>04410</v>
      </c>
      <c r="N4355" t="s">
        <v>410</v>
      </c>
      <c r="O4355">
        <v>164.47</v>
      </c>
      <c r="P4355">
        <v>20190124</v>
      </c>
      <c r="Q4355" t="s">
        <v>3512</v>
      </c>
      <c r="R4355" t="s">
        <v>2486</v>
      </c>
      <c r="S4355" t="s">
        <v>1615</v>
      </c>
      <c r="T4355" t="s">
        <v>1479</v>
      </c>
    </row>
    <row r="4356" spans="1:20" x14ac:dyDescent="0.25">
      <c r="A4356">
        <v>9</v>
      </c>
      <c r="B4356">
        <v>199</v>
      </c>
      <c r="C4356" t="str">
        <f>"36"</f>
        <v>36</v>
      </c>
      <c r="D4356">
        <v>6399</v>
      </c>
      <c r="E4356" t="str">
        <f>"09"</f>
        <v>09</v>
      </c>
      <c r="F4356" t="str">
        <f>"001"</f>
        <v>001</v>
      </c>
      <c r="G4356">
        <v>9</v>
      </c>
      <c r="H4356" t="str">
        <f>"99"</f>
        <v>99</v>
      </c>
      <c r="I4356" t="str">
        <f t="shared" si="909"/>
        <v>0</v>
      </c>
      <c r="J4356" t="str">
        <f>"01"</f>
        <v>01</v>
      </c>
      <c r="K4356">
        <v>20190125</v>
      </c>
      <c r="L4356" t="str">
        <f>"075316"</f>
        <v>075316</v>
      </c>
      <c r="M4356" t="str">
        <f>"04410"</f>
        <v>04410</v>
      </c>
      <c r="N4356" t="s">
        <v>410</v>
      </c>
      <c r="O4356">
        <v>819</v>
      </c>
      <c r="P4356">
        <v>20190124</v>
      </c>
      <c r="Q4356" t="s">
        <v>2177</v>
      </c>
      <c r="R4356" t="s">
        <v>3513</v>
      </c>
      <c r="S4356" t="s">
        <v>1615</v>
      </c>
      <c r="T4356" t="s">
        <v>301</v>
      </c>
    </row>
    <row r="4357" spans="1:20" x14ac:dyDescent="0.25">
      <c r="A4357">
        <v>9</v>
      </c>
      <c r="B4357">
        <v>199</v>
      </c>
      <c r="C4357" t="str">
        <f>"53"</f>
        <v>53</v>
      </c>
      <c r="D4357">
        <v>6411</v>
      </c>
      <c r="E4357" t="str">
        <f>"10"</f>
        <v>10</v>
      </c>
      <c r="F4357" t="str">
        <f>"880"</f>
        <v>880</v>
      </c>
      <c r="G4357">
        <v>9</v>
      </c>
      <c r="H4357" t="str">
        <f>"99"</f>
        <v>99</v>
      </c>
      <c r="I4357" t="str">
        <f t="shared" si="909"/>
        <v>0</v>
      </c>
      <c r="J4357" t="str">
        <f>"80"</f>
        <v>80</v>
      </c>
      <c r="K4357">
        <v>20190125</v>
      </c>
      <c r="L4357" t="str">
        <f>"075317"</f>
        <v>075317</v>
      </c>
      <c r="M4357" t="str">
        <f>"00359"</f>
        <v>00359</v>
      </c>
      <c r="N4357" t="s">
        <v>3514</v>
      </c>
      <c r="O4357">
        <v>598</v>
      </c>
      <c r="P4357">
        <v>20190124</v>
      </c>
      <c r="Q4357" t="s">
        <v>1901</v>
      </c>
      <c r="R4357" t="s">
        <v>3515</v>
      </c>
      <c r="S4357" t="s">
        <v>1615</v>
      </c>
      <c r="T4357" t="s">
        <v>1866</v>
      </c>
    </row>
    <row r="4358" spans="1:20" x14ac:dyDescent="0.25">
      <c r="A4358">
        <v>9</v>
      </c>
      <c r="B4358">
        <v>199</v>
      </c>
      <c r="C4358" t="str">
        <f>"51"</f>
        <v>51</v>
      </c>
      <c r="D4358">
        <v>6256</v>
      </c>
      <c r="E4358" t="str">
        <f>"11"</f>
        <v>11</v>
      </c>
      <c r="F4358" t="str">
        <f>"880"</f>
        <v>880</v>
      </c>
      <c r="G4358">
        <v>9</v>
      </c>
      <c r="H4358" t="str">
        <f>"99"</f>
        <v>99</v>
      </c>
      <c r="I4358" t="str">
        <f t="shared" si="909"/>
        <v>0</v>
      </c>
      <c r="J4358" t="str">
        <f>"80"</f>
        <v>80</v>
      </c>
      <c r="K4358">
        <v>20190125</v>
      </c>
      <c r="L4358" t="str">
        <f>"075320"</f>
        <v>075320</v>
      </c>
      <c r="M4358" t="str">
        <f>"00392"</f>
        <v>00392</v>
      </c>
      <c r="N4358" t="s">
        <v>1869</v>
      </c>
      <c r="O4358">
        <v>47.37</v>
      </c>
      <c r="P4358">
        <v>20190124</v>
      </c>
      <c r="Q4358" t="s">
        <v>1871</v>
      </c>
      <c r="R4358" t="s">
        <v>3516</v>
      </c>
      <c r="S4358" t="s">
        <v>1615</v>
      </c>
      <c r="T4358" t="s">
        <v>1866</v>
      </c>
    </row>
    <row r="4359" spans="1:20" x14ac:dyDescent="0.25">
      <c r="A4359">
        <v>9</v>
      </c>
      <c r="B4359">
        <v>199</v>
      </c>
      <c r="C4359" t="str">
        <f>"11"</f>
        <v>11</v>
      </c>
      <c r="D4359">
        <v>6339</v>
      </c>
      <c r="E4359" t="str">
        <f>"NL"</f>
        <v>NL</v>
      </c>
      <c r="F4359" t="str">
        <f t="shared" ref="F4359:F4364" si="911">"001"</f>
        <v>001</v>
      </c>
      <c r="G4359">
        <v>9</v>
      </c>
      <c r="H4359" t="str">
        <f>"22"</f>
        <v>22</v>
      </c>
      <c r="I4359" t="str">
        <f t="shared" si="909"/>
        <v>0</v>
      </c>
      <c r="J4359" t="str">
        <f>"22"</f>
        <v>22</v>
      </c>
      <c r="K4359">
        <v>20190125</v>
      </c>
      <c r="L4359" t="str">
        <f t="shared" ref="L4359:L4371" si="912">"075321"</f>
        <v>075321</v>
      </c>
      <c r="M4359" t="str">
        <f t="shared" ref="M4359:M4371" si="913">"09170"</f>
        <v>09170</v>
      </c>
      <c r="N4359" t="s">
        <v>679</v>
      </c>
      <c r="O4359">
        <v>418</v>
      </c>
      <c r="P4359">
        <v>20190124</v>
      </c>
      <c r="Q4359" t="s">
        <v>3183</v>
      </c>
      <c r="R4359" t="s">
        <v>3351</v>
      </c>
      <c r="S4359" t="s">
        <v>1615</v>
      </c>
      <c r="T4359" t="s">
        <v>301</v>
      </c>
    </row>
    <row r="4360" spans="1:20" x14ac:dyDescent="0.25">
      <c r="A4360">
        <v>9</v>
      </c>
      <c r="B4360">
        <v>199</v>
      </c>
      <c r="C4360" t="str">
        <f>"11"</f>
        <v>11</v>
      </c>
      <c r="D4360">
        <v>6339</v>
      </c>
      <c r="E4360" t="str">
        <f>"V8"</f>
        <v>V8</v>
      </c>
      <c r="F4360" t="str">
        <f t="shared" si="911"/>
        <v>001</v>
      </c>
      <c r="G4360">
        <v>9</v>
      </c>
      <c r="H4360" t="str">
        <f>"22"</f>
        <v>22</v>
      </c>
      <c r="I4360" t="str">
        <f t="shared" si="909"/>
        <v>0</v>
      </c>
      <c r="J4360" t="str">
        <f>"22"</f>
        <v>22</v>
      </c>
      <c r="K4360">
        <v>20190125</v>
      </c>
      <c r="L4360" t="str">
        <f t="shared" si="912"/>
        <v>075321</v>
      </c>
      <c r="M4360" t="str">
        <f t="shared" si="913"/>
        <v>09170</v>
      </c>
      <c r="N4360" t="s">
        <v>679</v>
      </c>
      <c r="O4360">
        <v>117.84</v>
      </c>
      <c r="P4360">
        <v>20190124</v>
      </c>
      <c r="Q4360" t="s">
        <v>3517</v>
      </c>
      <c r="R4360" t="s">
        <v>3518</v>
      </c>
      <c r="S4360" t="s">
        <v>1615</v>
      </c>
      <c r="T4360" t="s">
        <v>301</v>
      </c>
    </row>
    <row r="4361" spans="1:20" x14ac:dyDescent="0.25">
      <c r="A4361">
        <v>9</v>
      </c>
      <c r="B4361">
        <v>199</v>
      </c>
      <c r="C4361" t="str">
        <f>"11"</f>
        <v>11</v>
      </c>
      <c r="D4361">
        <v>6399</v>
      </c>
      <c r="E4361" t="str">
        <f>"8E"</f>
        <v>8E</v>
      </c>
      <c r="F4361" t="str">
        <f t="shared" si="911"/>
        <v>001</v>
      </c>
      <c r="G4361">
        <v>9</v>
      </c>
      <c r="H4361" t="str">
        <f>"11"</f>
        <v>11</v>
      </c>
      <c r="I4361" t="str">
        <f t="shared" si="909"/>
        <v>0</v>
      </c>
      <c r="J4361" t="str">
        <f>"01"</f>
        <v>01</v>
      </c>
      <c r="K4361">
        <v>20190125</v>
      </c>
      <c r="L4361" t="str">
        <f t="shared" si="912"/>
        <v>075321</v>
      </c>
      <c r="M4361" t="str">
        <f t="shared" si="913"/>
        <v>09170</v>
      </c>
      <c r="N4361" t="s">
        <v>679</v>
      </c>
      <c r="O4361">
        <v>546</v>
      </c>
      <c r="P4361">
        <v>20190124</v>
      </c>
      <c r="Q4361" t="s">
        <v>3519</v>
      </c>
      <c r="R4361" t="s">
        <v>3520</v>
      </c>
      <c r="S4361" t="s">
        <v>1615</v>
      </c>
      <c r="T4361" t="s">
        <v>301</v>
      </c>
    </row>
    <row r="4362" spans="1:20" x14ac:dyDescent="0.25">
      <c r="A4362">
        <v>9</v>
      </c>
      <c r="B4362">
        <v>199</v>
      </c>
      <c r="C4362" t="str">
        <f>"11"</f>
        <v>11</v>
      </c>
      <c r="D4362">
        <v>6399</v>
      </c>
      <c r="E4362" t="str">
        <f>"VR"</f>
        <v>VR</v>
      </c>
      <c r="F4362" t="str">
        <f t="shared" si="911"/>
        <v>001</v>
      </c>
      <c r="G4362">
        <v>9</v>
      </c>
      <c r="H4362" t="str">
        <f>"22"</f>
        <v>22</v>
      </c>
      <c r="I4362" t="str">
        <f t="shared" si="909"/>
        <v>0</v>
      </c>
      <c r="J4362" t="str">
        <f>"22"</f>
        <v>22</v>
      </c>
      <c r="K4362">
        <v>20190125</v>
      </c>
      <c r="L4362" t="str">
        <f t="shared" si="912"/>
        <v>075321</v>
      </c>
      <c r="M4362" t="str">
        <f t="shared" si="913"/>
        <v>09170</v>
      </c>
      <c r="N4362" t="s">
        <v>679</v>
      </c>
      <c r="O4362">
        <v>400.77</v>
      </c>
      <c r="P4362">
        <v>20190124</v>
      </c>
      <c r="Q4362" t="s">
        <v>1863</v>
      </c>
      <c r="R4362" t="s">
        <v>3521</v>
      </c>
      <c r="S4362" t="s">
        <v>1615</v>
      </c>
      <c r="T4362" t="s">
        <v>301</v>
      </c>
    </row>
    <row r="4363" spans="1:20" x14ac:dyDescent="0.25">
      <c r="A4363">
        <v>9</v>
      </c>
      <c r="B4363">
        <v>199</v>
      </c>
      <c r="C4363" t="str">
        <f>"11"</f>
        <v>11</v>
      </c>
      <c r="D4363">
        <v>6498</v>
      </c>
      <c r="E4363" t="str">
        <f>"V1"</f>
        <v>V1</v>
      </c>
      <c r="F4363" t="str">
        <f t="shared" si="911"/>
        <v>001</v>
      </c>
      <c r="G4363">
        <v>9</v>
      </c>
      <c r="H4363" t="str">
        <f>"22"</f>
        <v>22</v>
      </c>
      <c r="I4363" t="str">
        <f t="shared" si="909"/>
        <v>0</v>
      </c>
      <c r="J4363" t="str">
        <f>"22"</f>
        <v>22</v>
      </c>
      <c r="K4363">
        <v>20190125</v>
      </c>
      <c r="L4363" t="str">
        <f t="shared" si="912"/>
        <v>075321</v>
      </c>
      <c r="M4363" t="str">
        <f t="shared" si="913"/>
        <v>09170</v>
      </c>
      <c r="N4363" t="s">
        <v>679</v>
      </c>
      <c r="O4363">
        <v>14.83</v>
      </c>
      <c r="P4363">
        <v>20190124</v>
      </c>
      <c r="Q4363" t="s">
        <v>3153</v>
      </c>
      <c r="R4363" t="s">
        <v>3522</v>
      </c>
      <c r="S4363" t="s">
        <v>1615</v>
      </c>
      <c r="T4363" t="s">
        <v>301</v>
      </c>
    </row>
    <row r="4364" spans="1:20" x14ac:dyDescent="0.25">
      <c r="A4364">
        <v>9</v>
      </c>
      <c r="B4364">
        <v>199</v>
      </c>
      <c r="C4364" t="str">
        <f>"36"</f>
        <v>36</v>
      </c>
      <c r="D4364">
        <v>6412</v>
      </c>
      <c r="E4364" t="str">
        <f>"MT"</f>
        <v>MT</v>
      </c>
      <c r="F4364" t="str">
        <f t="shared" si="911"/>
        <v>001</v>
      </c>
      <c r="G4364">
        <v>9</v>
      </c>
      <c r="H4364" t="str">
        <f t="shared" ref="H4364:H4371" si="914">"99"</f>
        <v>99</v>
      </c>
      <c r="I4364" t="str">
        <f t="shared" si="909"/>
        <v>0</v>
      </c>
      <c r="J4364" t="str">
        <f>"01"</f>
        <v>01</v>
      </c>
      <c r="K4364">
        <v>20190125</v>
      </c>
      <c r="L4364" t="str">
        <f t="shared" si="912"/>
        <v>075321</v>
      </c>
      <c r="M4364" t="str">
        <f t="shared" si="913"/>
        <v>09170</v>
      </c>
      <c r="N4364" t="s">
        <v>679</v>
      </c>
      <c r="O4364">
        <v>175</v>
      </c>
      <c r="P4364">
        <v>20190124</v>
      </c>
      <c r="Q4364" t="s">
        <v>3068</v>
      </c>
      <c r="R4364" t="s">
        <v>3069</v>
      </c>
      <c r="S4364" t="s">
        <v>1615</v>
      </c>
      <c r="T4364" t="s">
        <v>301</v>
      </c>
    </row>
    <row r="4365" spans="1:20" x14ac:dyDescent="0.25">
      <c r="A4365">
        <v>9</v>
      </c>
      <c r="B4365">
        <v>199</v>
      </c>
      <c r="C4365" t="str">
        <f>"41"</f>
        <v>41</v>
      </c>
      <c r="D4365">
        <v>6299</v>
      </c>
      <c r="E4365" t="str">
        <f>"10"</f>
        <v>10</v>
      </c>
      <c r="F4365" t="str">
        <f>"730"</f>
        <v>730</v>
      </c>
      <c r="G4365">
        <v>9</v>
      </c>
      <c r="H4365" t="str">
        <f t="shared" si="914"/>
        <v>99</v>
      </c>
      <c r="I4365" t="str">
        <f t="shared" si="909"/>
        <v>0</v>
      </c>
      <c r="J4365" t="str">
        <f>"95"</f>
        <v>95</v>
      </c>
      <c r="K4365">
        <v>20190125</v>
      </c>
      <c r="L4365" t="str">
        <f t="shared" si="912"/>
        <v>075321</v>
      </c>
      <c r="M4365" t="str">
        <f t="shared" si="913"/>
        <v>09170</v>
      </c>
      <c r="N4365" t="s">
        <v>679</v>
      </c>
      <c r="O4365">
        <v>96</v>
      </c>
      <c r="P4365">
        <v>20190124</v>
      </c>
      <c r="Q4365" t="s">
        <v>2434</v>
      </c>
      <c r="R4365" t="s">
        <v>3523</v>
      </c>
      <c r="S4365" t="s">
        <v>1615</v>
      </c>
      <c r="T4365" t="s">
        <v>1794</v>
      </c>
    </row>
    <row r="4366" spans="1:20" x14ac:dyDescent="0.25">
      <c r="A4366">
        <v>9</v>
      </c>
      <c r="B4366">
        <v>199</v>
      </c>
      <c r="C4366" t="str">
        <f>"41"</f>
        <v>41</v>
      </c>
      <c r="D4366">
        <v>6411</v>
      </c>
      <c r="E4366" t="str">
        <f>"00"</f>
        <v>00</v>
      </c>
      <c r="F4366" t="str">
        <f>"932"</f>
        <v>932</v>
      </c>
      <c r="G4366">
        <v>9</v>
      </c>
      <c r="H4366" t="str">
        <f t="shared" si="914"/>
        <v>99</v>
      </c>
      <c r="I4366" t="str">
        <f t="shared" si="909"/>
        <v>0</v>
      </c>
      <c r="J4366" t="str">
        <f>"84"</f>
        <v>84</v>
      </c>
      <c r="K4366">
        <v>20190125</v>
      </c>
      <c r="L4366" t="str">
        <f t="shared" si="912"/>
        <v>075321</v>
      </c>
      <c r="M4366" t="str">
        <f t="shared" si="913"/>
        <v>09170</v>
      </c>
      <c r="N4366" t="s">
        <v>679</v>
      </c>
      <c r="O4366">
        <v>13.38</v>
      </c>
      <c r="P4366">
        <v>20190124</v>
      </c>
      <c r="Q4366" t="s">
        <v>3524</v>
      </c>
      <c r="R4366" t="s">
        <v>3525</v>
      </c>
      <c r="S4366" t="s">
        <v>1615</v>
      </c>
      <c r="T4366" t="s">
        <v>2900</v>
      </c>
    </row>
    <row r="4367" spans="1:20" x14ac:dyDescent="0.25">
      <c r="A4367">
        <v>9</v>
      </c>
      <c r="B4367">
        <v>199</v>
      </c>
      <c r="C4367" t="str">
        <f>"51"</f>
        <v>51</v>
      </c>
      <c r="D4367">
        <v>6319</v>
      </c>
      <c r="E4367" t="str">
        <f>"M2"</f>
        <v>M2</v>
      </c>
      <c r="F4367" t="str">
        <f>"936"</f>
        <v>936</v>
      </c>
      <c r="G4367">
        <v>9</v>
      </c>
      <c r="H4367" t="str">
        <f t="shared" si="914"/>
        <v>99</v>
      </c>
      <c r="I4367" t="str">
        <f t="shared" si="909"/>
        <v>0</v>
      </c>
      <c r="J4367" t="str">
        <f>"81"</f>
        <v>81</v>
      </c>
      <c r="K4367">
        <v>20190125</v>
      </c>
      <c r="L4367" t="str">
        <f t="shared" si="912"/>
        <v>075321</v>
      </c>
      <c r="M4367" t="str">
        <f t="shared" si="913"/>
        <v>09170</v>
      </c>
      <c r="N4367" t="s">
        <v>679</v>
      </c>
      <c r="O4367">
        <v>56.97</v>
      </c>
      <c r="P4367">
        <v>20190124</v>
      </c>
      <c r="Q4367" t="s">
        <v>2074</v>
      </c>
      <c r="R4367" t="s">
        <v>3526</v>
      </c>
      <c r="S4367" t="s">
        <v>1615</v>
      </c>
      <c r="T4367" t="s">
        <v>1713</v>
      </c>
    </row>
    <row r="4368" spans="1:20" x14ac:dyDescent="0.25">
      <c r="A4368">
        <v>9</v>
      </c>
      <c r="B4368">
        <v>199</v>
      </c>
      <c r="C4368" t="str">
        <f>"51"</f>
        <v>51</v>
      </c>
      <c r="D4368">
        <v>6498</v>
      </c>
      <c r="E4368" t="str">
        <f>"10"</f>
        <v>10</v>
      </c>
      <c r="F4368" t="str">
        <f>"936"</f>
        <v>936</v>
      </c>
      <c r="G4368">
        <v>9</v>
      </c>
      <c r="H4368" t="str">
        <f t="shared" si="914"/>
        <v>99</v>
      </c>
      <c r="I4368" t="str">
        <f t="shared" si="909"/>
        <v>0</v>
      </c>
      <c r="J4368" t="str">
        <f>"81"</f>
        <v>81</v>
      </c>
      <c r="K4368">
        <v>20190125</v>
      </c>
      <c r="L4368" t="str">
        <f t="shared" si="912"/>
        <v>075321</v>
      </c>
      <c r="M4368" t="str">
        <f t="shared" si="913"/>
        <v>09170</v>
      </c>
      <c r="N4368" t="s">
        <v>679</v>
      </c>
      <c r="O4368">
        <v>82.29</v>
      </c>
      <c r="P4368">
        <v>20190124</v>
      </c>
      <c r="Q4368" t="s">
        <v>3316</v>
      </c>
      <c r="R4368" t="s">
        <v>3527</v>
      </c>
      <c r="S4368" t="s">
        <v>1615</v>
      </c>
      <c r="T4368" t="s">
        <v>1713</v>
      </c>
    </row>
    <row r="4369" spans="1:20" x14ac:dyDescent="0.25">
      <c r="A4369">
        <v>9</v>
      </c>
      <c r="B4369">
        <v>199</v>
      </c>
      <c r="C4369" t="str">
        <f>"51"</f>
        <v>51</v>
      </c>
      <c r="D4369">
        <v>6498</v>
      </c>
      <c r="E4369" t="str">
        <f>"10"</f>
        <v>10</v>
      </c>
      <c r="F4369" t="str">
        <f>"936"</f>
        <v>936</v>
      </c>
      <c r="G4369">
        <v>9</v>
      </c>
      <c r="H4369" t="str">
        <f t="shared" si="914"/>
        <v>99</v>
      </c>
      <c r="I4369" t="str">
        <f t="shared" si="909"/>
        <v>0</v>
      </c>
      <c r="J4369" t="str">
        <f>"81"</f>
        <v>81</v>
      </c>
      <c r="K4369">
        <v>20190125</v>
      </c>
      <c r="L4369" t="str">
        <f t="shared" si="912"/>
        <v>075321</v>
      </c>
      <c r="M4369" t="str">
        <f t="shared" si="913"/>
        <v>09170</v>
      </c>
      <c r="N4369" t="s">
        <v>679</v>
      </c>
      <c r="O4369">
        <v>97</v>
      </c>
      <c r="P4369">
        <v>20190124</v>
      </c>
      <c r="Q4369" t="s">
        <v>3316</v>
      </c>
      <c r="R4369" t="s">
        <v>3527</v>
      </c>
      <c r="S4369" t="s">
        <v>1615</v>
      </c>
      <c r="T4369" t="s">
        <v>1713</v>
      </c>
    </row>
    <row r="4370" spans="1:20" x14ac:dyDescent="0.25">
      <c r="A4370">
        <v>9</v>
      </c>
      <c r="B4370">
        <v>199</v>
      </c>
      <c r="C4370" t="str">
        <f>"51"</f>
        <v>51</v>
      </c>
      <c r="D4370">
        <v>6498</v>
      </c>
      <c r="E4370" t="str">
        <f>"10"</f>
        <v>10</v>
      </c>
      <c r="F4370" t="str">
        <f>"936"</f>
        <v>936</v>
      </c>
      <c r="G4370">
        <v>9</v>
      </c>
      <c r="H4370" t="str">
        <f t="shared" si="914"/>
        <v>99</v>
      </c>
      <c r="I4370" t="str">
        <f t="shared" si="909"/>
        <v>0</v>
      </c>
      <c r="J4370" t="str">
        <f>"81"</f>
        <v>81</v>
      </c>
      <c r="K4370">
        <v>20190125</v>
      </c>
      <c r="L4370" t="str">
        <f t="shared" si="912"/>
        <v>075321</v>
      </c>
      <c r="M4370" t="str">
        <f t="shared" si="913"/>
        <v>09170</v>
      </c>
      <c r="N4370" t="s">
        <v>679</v>
      </c>
      <c r="O4370">
        <v>180.58</v>
      </c>
      <c r="P4370">
        <v>20190124</v>
      </c>
      <c r="Q4370" t="s">
        <v>3316</v>
      </c>
      <c r="R4370" t="s">
        <v>3527</v>
      </c>
      <c r="S4370" t="s">
        <v>1615</v>
      </c>
      <c r="T4370" t="s">
        <v>1713</v>
      </c>
    </row>
    <row r="4371" spans="1:20" x14ac:dyDescent="0.25">
      <c r="A4371">
        <v>9</v>
      </c>
      <c r="B4371">
        <v>199</v>
      </c>
      <c r="C4371" t="str">
        <f>"51"</f>
        <v>51</v>
      </c>
      <c r="D4371">
        <v>6498</v>
      </c>
      <c r="E4371" t="str">
        <f>"10"</f>
        <v>10</v>
      </c>
      <c r="F4371" t="str">
        <f>"936"</f>
        <v>936</v>
      </c>
      <c r="G4371">
        <v>9</v>
      </c>
      <c r="H4371" t="str">
        <f t="shared" si="914"/>
        <v>99</v>
      </c>
      <c r="I4371" t="str">
        <f t="shared" si="909"/>
        <v>0</v>
      </c>
      <c r="J4371" t="str">
        <f>"81"</f>
        <v>81</v>
      </c>
      <c r="K4371">
        <v>20190125</v>
      </c>
      <c r="L4371" t="str">
        <f t="shared" si="912"/>
        <v>075321</v>
      </c>
      <c r="M4371" t="str">
        <f t="shared" si="913"/>
        <v>09170</v>
      </c>
      <c r="N4371" t="s">
        <v>679</v>
      </c>
      <c r="O4371">
        <v>59.84</v>
      </c>
      <c r="P4371">
        <v>20190124</v>
      </c>
      <c r="Q4371" t="s">
        <v>3316</v>
      </c>
      <c r="R4371" t="s">
        <v>3527</v>
      </c>
      <c r="S4371" t="s">
        <v>1615</v>
      </c>
      <c r="T4371" t="s">
        <v>1713</v>
      </c>
    </row>
    <row r="4372" spans="1:20" x14ac:dyDescent="0.25">
      <c r="A4372">
        <v>9</v>
      </c>
      <c r="B4372">
        <v>199</v>
      </c>
      <c r="C4372" t="str">
        <f>"12"</f>
        <v>12</v>
      </c>
      <c r="D4372">
        <v>6328</v>
      </c>
      <c r="E4372" t="str">
        <f>"7U"</f>
        <v>7U</v>
      </c>
      <c r="F4372" t="str">
        <f>"104"</f>
        <v>104</v>
      </c>
      <c r="G4372">
        <v>9</v>
      </c>
      <c r="H4372" t="str">
        <f>"11"</f>
        <v>11</v>
      </c>
      <c r="I4372" t="str">
        <f t="shared" si="909"/>
        <v>0</v>
      </c>
      <c r="J4372" t="str">
        <f>"05"</f>
        <v>05</v>
      </c>
      <c r="K4372">
        <v>20190125</v>
      </c>
      <c r="L4372" t="str">
        <f>"075326"</f>
        <v>075326</v>
      </c>
      <c r="M4372" t="str">
        <f>"11759"</f>
        <v>11759</v>
      </c>
      <c r="N4372" t="s">
        <v>2845</v>
      </c>
      <c r="O4372">
        <v>34.619999999999997</v>
      </c>
      <c r="P4372">
        <v>20190124</v>
      </c>
      <c r="Q4372" t="s">
        <v>2846</v>
      </c>
      <c r="R4372" t="s">
        <v>3528</v>
      </c>
      <c r="S4372" t="s">
        <v>1615</v>
      </c>
      <c r="T4372" t="s">
        <v>46</v>
      </c>
    </row>
    <row r="4373" spans="1:20" x14ac:dyDescent="0.25">
      <c r="A4373">
        <v>9</v>
      </c>
      <c r="B4373">
        <v>199</v>
      </c>
      <c r="C4373" t="str">
        <f>"36"</f>
        <v>36</v>
      </c>
      <c r="D4373">
        <v>6399</v>
      </c>
      <c r="E4373" t="str">
        <f>"3A"</f>
        <v>3A</v>
      </c>
      <c r="F4373" t="str">
        <f>"001"</f>
        <v>001</v>
      </c>
      <c r="G4373">
        <v>9</v>
      </c>
      <c r="H4373" t="str">
        <f>"91"</f>
        <v>91</v>
      </c>
      <c r="I4373" t="str">
        <f>"2"</f>
        <v>2</v>
      </c>
      <c r="J4373" t="str">
        <f>"74"</f>
        <v>74</v>
      </c>
      <c r="K4373">
        <v>20190125</v>
      </c>
      <c r="L4373" t="str">
        <f>"075327"</f>
        <v>075327</v>
      </c>
      <c r="M4373" t="str">
        <f>"08788"</f>
        <v>08788</v>
      </c>
      <c r="N4373" t="s">
        <v>473</v>
      </c>
      <c r="O4373" s="1">
        <v>2000</v>
      </c>
      <c r="P4373">
        <v>20190124</v>
      </c>
      <c r="Q4373" t="s">
        <v>3529</v>
      </c>
      <c r="R4373" t="s">
        <v>3530</v>
      </c>
      <c r="S4373" t="s">
        <v>1615</v>
      </c>
      <c r="T4373" t="s">
        <v>301</v>
      </c>
    </row>
    <row r="4374" spans="1:20" x14ac:dyDescent="0.25">
      <c r="A4374">
        <v>9</v>
      </c>
      <c r="B4374">
        <v>199</v>
      </c>
      <c r="C4374" t="str">
        <f>"41"</f>
        <v>41</v>
      </c>
      <c r="D4374">
        <v>6211</v>
      </c>
      <c r="E4374" t="str">
        <f>"02"</f>
        <v>02</v>
      </c>
      <c r="F4374" t="str">
        <f>"702"</f>
        <v>702</v>
      </c>
      <c r="G4374">
        <v>9</v>
      </c>
      <c r="H4374" t="str">
        <f>"99"</f>
        <v>99</v>
      </c>
      <c r="I4374" t="str">
        <f t="shared" ref="I4374:I4382" si="915">"0"</f>
        <v>0</v>
      </c>
      <c r="J4374" t="str">
        <f>"93"</f>
        <v>93</v>
      </c>
      <c r="K4374">
        <v>20190125</v>
      </c>
      <c r="L4374" t="str">
        <f>"075328"</f>
        <v>075328</v>
      </c>
      <c r="M4374" t="str">
        <f>"13281"</f>
        <v>13281</v>
      </c>
      <c r="N4374" t="s">
        <v>1684</v>
      </c>
      <c r="O4374">
        <v>422.69</v>
      </c>
      <c r="P4374">
        <v>20190124</v>
      </c>
      <c r="Q4374" t="s">
        <v>2473</v>
      </c>
      <c r="R4374" t="s">
        <v>3531</v>
      </c>
      <c r="S4374" t="s">
        <v>1615</v>
      </c>
      <c r="T4374" t="s">
        <v>1611</v>
      </c>
    </row>
    <row r="4375" spans="1:20" x14ac:dyDescent="0.25">
      <c r="A4375">
        <v>9</v>
      </c>
      <c r="B4375">
        <v>199</v>
      </c>
      <c r="C4375" t="str">
        <f>"31"</f>
        <v>31</v>
      </c>
      <c r="D4375">
        <v>6219</v>
      </c>
      <c r="E4375" t="str">
        <f>"00"</f>
        <v>00</v>
      </c>
      <c r="F4375" t="str">
        <f>"875"</f>
        <v>875</v>
      </c>
      <c r="G4375">
        <v>9</v>
      </c>
      <c r="H4375" t="str">
        <f>"23"</f>
        <v>23</v>
      </c>
      <c r="I4375" t="str">
        <f t="shared" si="915"/>
        <v>0</v>
      </c>
      <c r="J4375" t="str">
        <f>"23"</f>
        <v>23</v>
      </c>
      <c r="K4375">
        <v>20190125</v>
      </c>
      <c r="L4375" t="str">
        <f>"075331"</f>
        <v>075331</v>
      </c>
      <c r="M4375" t="str">
        <f>"74150"</f>
        <v>74150</v>
      </c>
      <c r="N4375" t="s">
        <v>1691</v>
      </c>
      <c r="O4375">
        <v>537.79999999999995</v>
      </c>
      <c r="P4375">
        <v>20190124</v>
      </c>
      <c r="Q4375" t="s">
        <v>2207</v>
      </c>
      <c r="R4375" t="s">
        <v>3532</v>
      </c>
      <c r="S4375" t="s">
        <v>1615</v>
      </c>
      <c r="T4375" t="s">
        <v>2041</v>
      </c>
    </row>
    <row r="4376" spans="1:20" x14ac:dyDescent="0.25">
      <c r="A4376">
        <v>9</v>
      </c>
      <c r="B4376">
        <v>199</v>
      </c>
      <c r="C4376" t="str">
        <f>"34"</f>
        <v>34</v>
      </c>
      <c r="D4376">
        <v>6399</v>
      </c>
      <c r="E4376" t="str">
        <f>"11"</f>
        <v>11</v>
      </c>
      <c r="F4376" t="str">
        <f>"937"</f>
        <v>937</v>
      </c>
      <c r="G4376">
        <v>9</v>
      </c>
      <c r="H4376" t="str">
        <f>"99"</f>
        <v>99</v>
      </c>
      <c r="I4376" t="str">
        <f t="shared" si="915"/>
        <v>0</v>
      </c>
      <c r="J4376" t="str">
        <f>"82"</f>
        <v>82</v>
      </c>
      <c r="K4376">
        <v>20190125</v>
      </c>
      <c r="L4376" t="str">
        <f>"075332"</f>
        <v>075332</v>
      </c>
      <c r="M4376" t="str">
        <f>"19425"</f>
        <v>19425</v>
      </c>
      <c r="N4376" t="s">
        <v>2209</v>
      </c>
      <c r="O4376">
        <v>933.48</v>
      </c>
      <c r="P4376">
        <v>20190124</v>
      </c>
      <c r="Q4376" t="s">
        <v>2210</v>
      </c>
      <c r="R4376" t="s">
        <v>2211</v>
      </c>
      <c r="S4376" t="s">
        <v>1615</v>
      </c>
      <c r="T4376" t="s">
        <v>1810</v>
      </c>
    </row>
    <row r="4377" spans="1:20" x14ac:dyDescent="0.25">
      <c r="A4377">
        <v>9</v>
      </c>
      <c r="B4377">
        <v>199</v>
      </c>
      <c r="C4377" t="str">
        <f>"34"</f>
        <v>34</v>
      </c>
      <c r="D4377">
        <v>6399</v>
      </c>
      <c r="E4377" t="str">
        <f>"11"</f>
        <v>11</v>
      </c>
      <c r="F4377" t="str">
        <f>"937"</f>
        <v>937</v>
      </c>
      <c r="G4377">
        <v>9</v>
      </c>
      <c r="H4377" t="str">
        <f>"99"</f>
        <v>99</v>
      </c>
      <c r="I4377" t="str">
        <f t="shared" si="915"/>
        <v>0</v>
      </c>
      <c r="J4377" t="str">
        <f>"82"</f>
        <v>82</v>
      </c>
      <c r="K4377">
        <v>20190125</v>
      </c>
      <c r="L4377" t="str">
        <f>"075332"</f>
        <v>075332</v>
      </c>
      <c r="M4377" t="str">
        <f>"19425"</f>
        <v>19425</v>
      </c>
      <c r="N4377" t="s">
        <v>2209</v>
      </c>
      <c r="O4377">
        <v>188.6</v>
      </c>
      <c r="P4377">
        <v>20190124</v>
      </c>
      <c r="Q4377" t="s">
        <v>2210</v>
      </c>
      <c r="R4377" t="s">
        <v>3533</v>
      </c>
      <c r="S4377" t="s">
        <v>1615</v>
      </c>
      <c r="T4377" t="s">
        <v>1810</v>
      </c>
    </row>
    <row r="4378" spans="1:20" x14ac:dyDescent="0.25">
      <c r="A4378">
        <v>9</v>
      </c>
      <c r="B4378">
        <v>199</v>
      </c>
      <c r="C4378" t="str">
        <f>"51"</f>
        <v>51</v>
      </c>
      <c r="D4378">
        <v>6249</v>
      </c>
      <c r="E4378" t="str">
        <f>"WF"</f>
        <v>WF</v>
      </c>
      <c r="F4378" t="str">
        <f>"936"</f>
        <v>936</v>
      </c>
      <c r="G4378">
        <v>9</v>
      </c>
      <c r="H4378" t="str">
        <f>"99"</f>
        <v>99</v>
      </c>
      <c r="I4378" t="str">
        <f t="shared" si="915"/>
        <v>0</v>
      </c>
      <c r="J4378" t="str">
        <f>"82"</f>
        <v>82</v>
      </c>
      <c r="K4378">
        <v>20190125</v>
      </c>
      <c r="L4378" t="str">
        <f>"075334"</f>
        <v>075334</v>
      </c>
      <c r="M4378" t="str">
        <f>"21091"</f>
        <v>21091</v>
      </c>
      <c r="N4378" t="s">
        <v>2035</v>
      </c>
      <c r="O4378">
        <v>525.35</v>
      </c>
      <c r="P4378">
        <v>20190124</v>
      </c>
      <c r="Q4378" t="s">
        <v>2127</v>
      </c>
      <c r="R4378" t="s">
        <v>3534</v>
      </c>
      <c r="S4378" t="s">
        <v>1615</v>
      </c>
      <c r="T4378" t="s">
        <v>1713</v>
      </c>
    </row>
    <row r="4379" spans="1:20" x14ac:dyDescent="0.25">
      <c r="A4379">
        <v>9</v>
      </c>
      <c r="B4379">
        <v>199</v>
      </c>
      <c r="C4379" t="str">
        <f>"11"</f>
        <v>11</v>
      </c>
      <c r="D4379">
        <v>6249</v>
      </c>
      <c r="E4379" t="str">
        <f>"57"</f>
        <v>57</v>
      </c>
      <c r="F4379" t="str">
        <f>"001"</f>
        <v>001</v>
      </c>
      <c r="G4379">
        <v>9</v>
      </c>
      <c r="H4379" t="str">
        <f>"11"</f>
        <v>11</v>
      </c>
      <c r="I4379" t="str">
        <f t="shared" si="915"/>
        <v>0</v>
      </c>
      <c r="J4379" t="str">
        <f>"80"</f>
        <v>80</v>
      </c>
      <c r="K4379">
        <v>20190125</v>
      </c>
      <c r="L4379" t="str">
        <f>"075335"</f>
        <v>075335</v>
      </c>
      <c r="M4379" t="str">
        <f>"21468"</f>
        <v>21468</v>
      </c>
      <c r="N4379" t="s">
        <v>2369</v>
      </c>
      <c r="O4379">
        <v>440</v>
      </c>
      <c r="P4379">
        <v>20190124</v>
      </c>
      <c r="Q4379" t="s">
        <v>1796</v>
      </c>
      <c r="R4379" t="s">
        <v>3535</v>
      </c>
      <c r="S4379" t="s">
        <v>1615</v>
      </c>
      <c r="T4379" t="s">
        <v>301</v>
      </c>
    </row>
    <row r="4380" spans="1:20" x14ac:dyDescent="0.25">
      <c r="A4380">
        <v>9</v>
      </c>
      <c r="B4380">
        <v>199</v>
      </c>
      <c r="C4380" t="str">
        <f>"11"</f>
        <v>11</v>
      </c>
      <c r="D4380">
        <v>6249</v>
      </c>
      <c r="E4380" t="str">
        <f>"57"</f>
        <v>57</v>
      </c>
      <c r="F4380" t="str">
        <f>"041"</f>
        <v>041</v>
      </c>
      <c r="G4380">
        <v>9</v>
      </c>
      <c r="H4380" t="str">
        <f>"11"</f>
        <v>11</v>
      </c>
      <c r="I4380" t="str">
        <f t="shared" si="915"/>
        <v>0</v>
      </c>
      <c r="J4380" t="str">
        <f>"80"</f>
        <v>80</v>
      </c>
      <c r="K4380">
        <v>20190125</v>
      </c>
      <c r="L4380" t="str">
        <f>"075335"</f>
        <v>075335</v>
      </c>
      <c r="M4380" t="str">
        <f>"21468"</f>
        <v>21468</v>
      </c>
      <c r="N4380" t="s">
        <v>2369</v>
      </c>
      <c r="O4380">
        <v>440</v>
      </c>
      <c r="P4380">
        <v>20190124</v>
      </c>
      <c r="Q4380" t="s">
        <v>1798</v>
      </c>
      <c r="R4380" t="s">
        <v>3535</v>
      </c>
      <c r="S4380" t="s">
        <v>1615</v>
      </c>
      <c r="T4380" t="s">
        <v>106</v>
      </c>
    </row>
    <row r="4381" spans="1:20" x14ac:dyDescent="0.25">
      <c r="A4381">
        <v>9</v>
      </c>
      <c r="B4381">
        <v>199</v>
      </c>
      <c r="C4381" t="str">
        <f>"11"</f>
        <v>11</v>
      </c>
      <c r="D4381">
        <v>6249</v>
      </c>
      <c r="E4381" t="str">
        <f>"57"</f>
        <v>57</v>
      </c>
      <c r="F4381" t="str">
        <f>"101"</f>
        <v>101</v>
      </c>
      <c r="G4381">
        <v>9</v>
      </c>
      <c r="H4381" t="str">
        <f>"11"</f>
        <v>11</v>
      </c>
      <c r="I4381" t="str">
        <f t="shared" si="915"/>
        <v>0</v>
      </c>
      <c r="J4381" t="str">
        <f>"80"</f>
        <v>80</v>
      </c>
      <c r="K4381">
        <v>20190125</v>
      </c>
      <c r="L4381" t="str">
        <f>"075335"</f>
        <v>075335</v>
      </c>
      <c r="M4381" t="str">
        <f>"21468"</f>
        <v>21468</v>
      </c>
      <c r="N4381" t="s">
        <v>2369</v>
      </c>
      <c r="O4381">
        <v>440</v>
      </c>
      <c r="P4381">
        <v>20190124</v>
      </c>
      <c r="Q4381" t="s">
        <v>1799</v>
      </c>
      <c r="R4381" t="s">
        <v>3535</v>
      </c>
      <c r="S4381" t="s">
        <v>1615</v>
      </c>
      <c r="T4381" t="s">
        <v>1479</v>
      </c>
    </row>
    <row r="4382" spans="1:20" x14ac:dyDescent="0.25">
      <c r="A4382">
        <v>9</v>
      </c>
      <c r="B4382">
        <v>199</v>
      </c>
      <c r="C4382" t="str">
        <f>"11"</f>
        <v>11</v>
      </c>
      <c r="D4382">
        <v>6249</v>
      </c>
      <c r="E4382" t="str">
        <f>"57"</f>
        <v>57</v>
      </c>
      <c r="F4382" t="str">
        <f>"104"</f>
        <v>104</v>
      </c>
      <c r="G4382">
        <v>9</v>
      </c>
      <c r="H4382" t="str">
        <f>"11"</f>
        <v>11</v>
      </c>
      <c r="I4382" t="str">
        <f t="shared" si="915"/>
        <v>0</v>
      </c>
      <c r="J4382" t="str">
        <f>"80"</f>
        <v>80</v>
      </c>
      <c r="K4382">
        <v>20190125</v>
      </c>
      <c r="L4382" t="str">
        <f>"075335"</f>
        <v>075335</v>
      </c>
      <c r="M4382" t="str">
        <f>"21468"</f>
        <v>21468</v>
      </c>
      <c r="N4382" t="s">
        <v>2369</v>
      </c>
      <c r="O4382">
        <v>440</v>
      </c>
      <c r="P4382">
        <v>20190124</v>
      </c>
      <c r="Q4382" t="s">
        <v>1800</v>
      </c>
      <c r="R4382" t="s">
        <v>3535</v>
      </c>
      <c r="S4382" t="s">
        <v>1615</v>
      </c>
      <c r="T4382" t="s">
        <v>46</v>
      </c>
    </row>
    <row r="4383" spans="1:20" x14ac:dyDescent="0.25">
      <c r="A4383">
        <v>9</v>
      </c>
      <c r="B4383">
        <v>199</v>
      </c>
      <c r="C4383" t="str">
        <f>"53"</f>
        <v>53</v>
      </c>
      <c r="D4383">
        <v>6639</v>
      </c>
      <c r="E4383" t="str">
        <f>"11"</f>
        <v>11</v>
      </c>
      <c r="F4383" t="str">
        <f>"880"</f>
        <v>880</v>
      </c>
      <c r="G4383">
        <v>9</v>
      </c>
      <c r="H4383" t="str">
        <f>"99"</f>
        <v>99</v>
      </c>
      <c r="I4383" t="str">
        <f>"C"</f>
        <v>C</v>
      </c>
      <c r="J4383" t="str">
        <f>"80"</f>
        <v>80</v>
      </c>
      <c r="K4383">
        <v>20190125</v>
      </c>
      <c r="L4383" t="str">
        <f>"075335"</f>
        <v>075335</v>
      </c>
      <c r="M4383" t="str">
        <f>"21468"</f>
        <v>21468</v>
      </c>
      <c r="N4383" t="s">
        <v>2369</v>
      </c>
      <c r="O4383" s="1">
        <v>13068</v>
      </c>
      <c r="P4383">
        <v>20190124</v>
      </c>
      <c r="Q4383" t="s">
        <v>2371</v>
      </c>
      <c r="R4383" t="s">
        <v>2372</v>
      </c>
      <c r="S4383" t="s">
        <v>1615</v>
      </c>
      <c r="T4383" t="s">
        <v>1866</v>
      </c>
    </row>
    <row r="4384" spans="1:20" x14ac:dyDescent="0.25">
      <c r="A4384">
        <v>9</v>
      </c>
      <c r="B4384">
        <v>199</v>
      </c>
      <c r="C4384" t="str">
        <f>"31"</f>
        <v>31</v>
      </c>
      <c r="D4384">
        <v>6219</v>
      </c>
      <c r="E4384" t="str">
        <f>"00"</f>
        <v>00</v>
      </c>
      <c r="F4384" t="str">
        <f>"875"</f>
        <v>875</v>
      </c>
      <c r="G4384">
        <v>9</v>
      </c>
      <c r="H4384" t="str">
        <f>"23"</f>
        <v>23</v>
      </c>
      <c r="I4384" t="str">
        <f>"0"</f>
        <v>0</v>
      </c>
      <c r="J4384" t="str">
        <f>"23"</f>
        <v>23</v>
      </c>
      <c r="K4384">
        <v>20190125</v>
      </c>
      <c r="L4384" t="str">
        <f>"075336"</f>
        <v>075336</v>
      </c>
      <c r="M4384" t="str">
        <f>"21769"</f>
        <v>21769</v>
      </c>
      <c r="N4384" t="s">
        <v>1701</v>
      </c>
      <c r="O4384" s="1">
        <v>1739.8</v>
      </c>
      <c r="P4384">
        <v>20190124</v>
      </c>
      <c r="Q4384" t="s">
        <v>2207</v>
      </c>
      <c r="R4384" t="s">
        <v>3536</v>
      </c>
      <c r="S4384" t="s">
        <v>1615</v>
      </c>
      <c r="T4384" t="s">
        <v>2041</v>
      </c>
    </row>
    <row r="4385" spans="1:20" x14ac:dyDescent="0.25">
      <c r="A4385">
        <v>9</v>
      </c>
      <c r="B4385">
        <v>199</v>
      </c>
      <c r="C4385" t="str">
        <f>"36"</f>
        <v>36</v>
      </c>
      <c r="D4385">
        <v>6411</v>
      </c>
      <c r="E4385" t="str">
        <f>"09"</f>
        <v>09</v>
      </c>
      <c r="F4385" t="str">
        <f>"001"</f>
        <v>001</v>
      </c>
      <c r="G4385">
        <v>9</v>
      </c>
      <c r="H4385" t="str">
        <f>"99"</f>
        <v>99</v>
      </c>
      <c r="I4385" t="str">
        <f>"0"</f>
        <v>0</v>
      </c>
      <c r="J4385" t="str">
        <f>"01"</f>
        <v>01</v>
      </c>
      <c r="K4385">
        <v>20190125</v>
      </c>
      <c r="L4385" t="str">
        <f>"075337"</f>
        <v>075337</v>
      </c>
      <c r="M4385" t="str">
        <f>"22243"</f>
        <v>22243</v>
      </c>
      <c r="N4385" t="s">
        <v>3537</v>
      </c>
      <c r="O4385">
        <v>50</v>
      </c>
      <c r="P4385">
        <v>20190125</v>
      </c>
      <c r="Q4385" t="s">
        <v>2513</v>
      </c>
      <c r="R4385" t="s">
        <v>3538</v>
      </c>
      <c r="S4385" t="s">
        <v>1615</v>
      </c>
      <c r="T4385" t="s">
        <v>301</v>
      </c>
    </row>
    <row r="4386" spans="1:20" x14ac:dyDescent="0.25">
      <c r="A4386">
        <v>9</v>
      </c>
      <c r="B4386">
        <v>199</v>
      </c>
      <c r="C4386" t="str">
        <f>"36"</f>
        <v>36</v>
      </c>
      <c r="D4386">
        <v>6412</v>
      </c>
      <c r="E4386" t="str">
        <f>"09"</f>
        <v>09</v>
      </c>
      <c r="F4386" t="str">
        <f>"001"</f>
        <v>001</v>
      </c>
      <c r="G4386">
        <v>9</v>
      </c>
      <c r="H4386" t="str">
        <f>"99"</f>
        <v>99</v>
      </c>
      <c r="I4386" t="str">
        <f>"1"</f>
        <v>1</v>
      </c>
      <c r="J4386" t="str">
        <f>"01"</f>
        <v>01</v>
      </c>
      <c r="K4386">
        <v>20190125</v>
      </c>
      <c r="L4386" t="str">
        <f>"075337"</f>
        <v>075337</v>
      </c>
      <c r="M4386" t="str">
        <f>"22243"</f>
        <v>22243</v>
      </c>
      <c r="N4386" t="s">
        <v>3537</v>
      </c>
      <c r="O4386">
        <v>165</v>
      </c>
      <c r="P4386">
        <v>20190125</v>
      </c>
      <c r="Q4386" t="s">
        <v>2514</v>
      </c>
      <c r="R4386" t="s">
        <v>3538</v>
      </c>
      <c r="S4386" t="s">
        <v>1615</v>
      </c>
      <c r="T4386" t="s">
        <v>301</v>
      </c>
    </row>
    <row r="4387" spans="1:20" x14ac:dyDescent="0.25">
      <c r="A4387">
        <v>9</v>
      </c>
      <c r="B4387">
        <v>199</v>
      </c>
      <c r="C4387" t="str">
        <f>"11"</f>
        <v>11</v>
      </c>
      <c r="D4387">
        <v>6223</v>
      </c>
      <c r="E4387" t="str">
        <f>"VT"</f>
        <v>VT</v>
      </c>
      <c r="F4387" t="str">
        <f>"001"</f>
        <v>001</v>
      </c>
      <c r="G4387">
        <v>9</v>
      </c>
      <c r="H4387" t="str">
        <f>"22"</f>
        <v>22</v>
      </c>
      <c r="I4387" t="str">
        <f>"0"</f>
        <v>0</v>
      </c>
      <c r="J4387" t="str">
        <f>"22"</f>
        <v>22</v>
      </c>
      <c r="K4387">
        <v>20190125</v>
      </c>
      <c r="L4387" t="str">
        <f>"075338"</f>
        <v>075338</v>
      </c>
      <c r="M4387" t="str">
        <f>"22350"</f>
        <v>22350</v>
      </c>
      <c r="N4387" t="s">
        <v>2050</v>
      </c>
      <c r="O4387">
        <v>575</v>
      </c>
      <c r="P4387">
        <v>20190124</v>
      </c>
      <c r="Q4387" t="s">
        <v>2051</v>
      </c>
      <c r="R4387" t="s">
        <v>3539</v>
      </c>
      <c r="S4387" t="s">
        <v>1615</v>
      </c>
      <c r="T4387" t="s">
        <v>301</v>
      </c>
    </row>
    <row r="4388" spans="1:20" x14ac:dyDescent="0.25">
      <c r="A4388">
        <v>9</v>
      </c>
      <c r="B4388">
        <v>199</v>
      </c>
      <c r="C4388" t="str">
        <f>"51"</f>
        <v>51</v>
      </c>
      <c r="D4388">
        <v>6249</v>
      </c>
      <c r="E4388" t="str">
        <f>"MC"</f>
        <v>MC</v>
      </c>
      <c r="F4388" t="str">
        <f>"001"</f>
        <v>001</v>
      </c>
      <c r="G4388">
        <v>9</v>
      </c>
      <c r="H4388" t="str">
        <f t="shared" ref="H4388:H4395" si="916">"99"</f>
        <v>99</v>
      </c>
      <c r="I4388" t="str">
        <f>"0"</f>
        <v>0</v>
      </c>
      <c r="J4388" t="str">
        <f>"81"</f>
        <v>81</v>
      </c>
      <c r="K4388">
        <v>20190125</v>
      </c>
      <c r="L4388" t="str">
        <f>"075339"</f>
        <v>075339</v>
      </c>
      <c r="M4388" t="str">
        <f>"24130"</f>
        <v>24130</v>
      </c>
      <c r="N4388" t="s">
        <v>567</v>
      </c>
      <c r="O4388">
        <v>850.74</v>
      </c>
      <c r="P4388">
        <v>20190124</v>
      </c>
      <c r="Q4388" t="s">
        <v>2386</v>
      </c>
      <c r="R4388" t="s">
        <v>3540</v>
      </c>
      <c r="S4388" t="s">
        <v>1615</v>
      </c>
      <c r="T4388" t="s">
        <v>301</v>
      </c>
    </row>
    <row r="4389" spans="1:20" x14ac:dyDescent="0.25">
      <c r="A4389">
        <v>9</v>
      </c>
      <c r="B4389">
        <v>199</v>
      </c>
      <c r="C4389" t="str">
        <f>"51"</f>
        <v>51</v>
      </c>
      <c r="D4389">
        <v>6249</v>
      </c>
      <c r="E4389" t="str">
        <f>"PM"</f>
        <v>PM</v>
      </c>
      <c r="F4389" t="str">
        <f>"936"</f>
        <v>936</v>
      </c>
      <c r="G4389">
        <v>9</v>
      </c>
      <c r="H4389" t="str">
        <f t="shared" si="916"/>
        <v>99</v>
      </c>
      <c r="I4389" t="str">
        <f>"1"</f>
        <v>1</v>
      </c>
      <c r="J4389" t="str">
        <f>"81"</f>
        <v>81</v>
      </c>
      <c r="K4389">
        <v>20190125</v>
      </c>
      <c r="L4389" t="str">
        <f>"075339"</f>
        <v>075339</v>
      </c>
      <c r="M4389" t="str">
        <f>"24130"</f>
        <v>24130</v>
      </c>
      <c r="N4389" t="s">
        <v>567</v>
      </c>
      <c r="O4389" s="1">
        <v>1966.12</v>
      </c>
      <c r="P4389">
        <v>20190124</v>
      </c>
      <c r="Q4389" t="s">
        <v>2811</v>
      </c>
      <c r="R4389" t="s">
        <v>3541</v>
      </c>
      <c r="S4389" t="s">
        <v>1615</v>
      </c>
      <c r="T4389" t="s">
        <v>1713</v>
      </c>
    </row>
    <row r="4390" spans="1:20" x14ac:dyDescent="0.25">
      <c r="A4390">
        <v>9</v>
      </c>
      <c r="B4390">
        <v>199</v>
      </c>
      <c r="C4390" t="str">
        <f>"36"</f>
        <v>36</v>
      </c>
      <c r="D4390">
        <v>6412</v>
      </c>
      <c r="E4390" t="str">
        <f>"7B"</f>
        <v>7B</v>
      </c>
      <c r="F4390" t="str">
        <f>"041"</f>
        <v>041</v>
      </c>
      <c r="G4390">
        <v>9</v>
      </c>
      <c r="H4390" t="str">
        <f t="shared" si="916"/>
        <v>99</v>
      </c>
      <c r="I4390" t="str">
        <f>"1"</f>
        <v>1</v>
      </c>
      <c r="J4390" t="str">
        <f>"36"</f>
        <v>36</v>
      </c>
      <c r="K4390">
        <v>20190125</v>
      </c>
      <c r="L4390" t="str">
        <f>"075340"</f>
        <v>075340</v>
      </c>
      <c r="M4390" t="str">
        <f>"25021"</f>
        <v>25021</v>
      </c>
      <c r="N4390" t="s">
        <v>3542</v>
      </c>
      <c r="O4390">
        <v>60</v>
      </c>
      <c r="P4390">
        <v>20190124</v>
      </c>
      <c r="Q4390" t="s">
        <v>3543</v>
      </c>
      <c r="R4390" t="s">
        <v>3544</v>
      </c>
      <c r="S4390" t="s">
        <v>1615</v>
      </c>
      <c r="T4390" t="s">
        <v>106</v>
      </c>
    </row>
    <row r="4391" spans="1:20" x14ac:dyDescent="0.25">
      <c r="A4391">
        <v>9</v>
      </c>
      <c r="B4391">
        <v>199</v>
      </c>
      <c r="C4391" t="str">
        <f>"36"</f>
        <v>36</v>
      </c>
      <c r="D4391">
        <v>6412</v>
      </c>
      <c r="E4391" t="str">
        <f>"7B"</f>
        <v>7B</v>
      </c>
      <c r="F4391" t="str">
        <f>"041"</f>
        <v>041</v>
      </c>
      <c r="G4391">
        <v>9</v>
      </c>
      <c r="H4391" t="str">
        <f t="shared" si="916"/>
        <v>99</v>
      </c>
      <c r="I4391" t="str">
        <f>"1"</f>
        <v>1</v>
      </c>
      <c r="J4391" t="str">
        <f>"36"</f>
        <v>36</v>
      </c>
      <c r="K4391">
        <v>20190125</v>
      </c>
      <c r="L4391" t="str">
        <f>"075340"</f>
        <v>075340</v>
      </c>
      <c r="M4391" t="str">
        <f>"25021"</f>
        <v>25021</v>
      </c>
      <c r="N4391" t="s">
        <v>3542</v>
      </c>
      <c r="O4391">
        <v>100</v>
      </c>
      <c r="P4391">
        <v>20190124</v>
      </c>
      <c r="Q4391" t="s">
        <v>3543</v>
      </c>
      <c r="R4391" t="s">
        <v>3544</v>
      </c>
      <c r="S4391" t="s">
        <v>1615</v>
      </c>
      <c r="T4391" t="s">
        <v>106</v>
      </c>
    </row>
    <row r="4392" spans="1:20" x14ac:dyDescent="0.25">
      <c r="A4392">
        <v>9</v>
      </c>
      <c r="B4392">
        <v>199</v>
      </c>
      <c r="C4392" t="str">
        <f>"23"</f>
        <v>23</v>
      </c>
      <c r="D4392">
        <v>6649</v>
      </c>
      <c r="E4392" t="str">
        <f>"10"</f>
        <v>10</v>
      </c>
      <c r="F4392" t="str">
        <f>"104"</f>
        <v>104</v>
      </c>
      <c r="G4392">
        <v>9</v>
      </c>
      <c r="H4392" t="str">
        <f t="shared" si="916"/>
        <v>99</v>
      </c>
      <c r="I4392" t="str">
        <f t="shared" ref="I4392:I4415" si="917">"0"</f>
        <v>0</v>
      </c>
      <c r="J4392" t="str">
        <f>"05"</f>
        <v>05</v>
      </c>
      <c r="K4392">
        <v>20190125</v>
      </c>
      <c r="L4392" t="str">
        <f>"075342"</f>
        <v>075342</v>
      </c>
      <c r="M4392" t="str">
        <f>"25165"</f>
        <v>25165</v>
      </c>
      <c r="N4392" t="s">
        <v>2860</v>
      </c>
      <c r="O4392">
        <v>726.87</v>
      </c>
      <c r="P4392">
        <v>20190124</v>
      </c>
      <c r="Q4392" t="s">
        <v>3545</v>
      </c>
      <c r="R4392" t="s">
        <v>3546</v>
      </c>
      <c r="S4392" t="s">
        <v>1615</v>
      </c>
      <c r="T4392" t="s">
        <v>46</v>
      </c>
    </row>
    <row r="4393" spans="1:20" x14ac:dyDescent="0.25">
      <c r="A4393">
        <v>9</v>
      </c>
      <c r="B4393">
        <v>199</v>
      </c>
      <c r="C4393" t="str">
        <f>"51"</f>
        <v>51</v>
      </c>
      <c r="D4393">
        <v>6256</v>
      </c>
      <c r="E4393" t="str">
        <f>"15"</f>
        <v>15</v>
      </c>
      <c r="F4393" t="str">
        <f>"880"</f>
        <v>880</v>
      </c>
      <c r="G4393">
        <v>9</v>
      </c>
      <c r="H4393" t="str">
        <f t="shared" si="916"/>
        <v>99</v>
      </c>
      <c r="I4393" t="str">
        <f t="shared" si="917"/>
        <v>0</v>
      </c>
      <c r="J4393" t="str">
        <f>"80"</f>
        <v>80</v>
      </c>
      <c r="K4393">
        <v>20190125</v>
      </c>
      <c r="L4393" t="str">
        <f>"075344"</f>
        <v>075344</v>
      </c>
      <c r="M4393" t="str">
        <f>"77113"</f>
        <v>77113</v>
      </c>
      <c r="N4393" t="s">
        <v>1880</v>
      </c>
      <c r="O4393">
        <v>55.72</v>
      </c>
      <c r="P4393">
        <v>20190124</v>
      </c>
      <c r="Q4393" t="s">
        <v>2487</v>
      </c>
      <c r="R4393" t="s">
        <v>3047</v>
      </c>
      <c r="S4393" t="s">
        <v>1615</v>
      </c>
      <c r="T4393" t="s">
        <v>1866</v>
      </c>
    </row>
    <row r="4394" spans="1:20" x14ac:dyDescent="0.25">
      <c r="A4394">
        <v>9</v>
      </c>
      <c r="B4394">
        <v>199</v>
      </c>
      <c r="C4394" t="str">
        <f>"53"</f>
        <v>53</v>
      </c>
      <c r="D4394">
        <v>6411</v>
      </c>
      <c r="E4394" t="str">
        <f>"10"</f>
        <v>10</v>
      </c>
      <c r="F4394" t="str">
        <f>"880"</f>
        <v>880</v>
      </c>
      <c r="G4394">
        <v>9</v>
      </c>
      <c r="H4394" t="str">
        <f t="shared" si="916"/>
        <v>99</v>
      </c>
      <c r="I4394" t="str">
        <f t="shared" si="917"/>
        <v>0</v>
      </c>
      <c r="J4394" t="str">
        <f>"80"</f>
        <v>80</v>
      </c>
      <c r="K4394">
        <v>20190125</v>
      </c>
      <c r="L4394" t="str">
        <f>"075345"</f>
        <v>075345</v>
      </c>
      <c r="M4394" t="str">
        <f>"26396"</f>
        <v>26396</v>
      </c>
      <c r="N4394" t="s">
        <v>3547</v>
      </c>
      <c r="O4394">
        <v>306.55</v>
      </c>
      <c r="P4394">
        <v>20190124</v>
      </c>
      <c r="Q4394" t="s">
        <v>1901</v>
      </c>
      <c r="R4394" t="s">
        <v>1493</v>
      </c>
      <c r="S4394" t="s">
        <v>1615</v>
      </c>
      <c r="T4394" t="s">
        <v>1866</v>
      </c>
    </row>
    <row r="4395" spans="1:20" x14ac:dyDescent="0.25">
      <c r="A4395">
        <v>9</v>
      </c>
      <c r="B4395">
        <v>199</v>
      </c>
      <c r="C4395" t="str">
        <f>"41"</f>
        <v>41</v>
      </c>
      <c r="D4395">
        <v>6211</v>
      </c>
      <c r="E4395" t="str">
        <f>"10"</f>
        <v>10</v>
      </c>
      <c r="F4395" t="str">
        <f>"726"</f>
        <v>726</v>
      </c>
      <c r="G4395">
        <v>9</v>
      </c>
      <c r="H4395" t="str">
        <f t="shared" si="916"/>
        <v>99</v>
      </c>
      <c r="I4395" t="str">
        <f t="shared" si="917"/>
        <v>0</v>
      </c>
      <c r="J4395" t="str">
        <f>"91"</f>
        <v>91</v>
      </c>
      <c r="K4395">
        <v>20190125</v>
      </c>
      <c r="L4395" t="str">
        <f>"075346"</f>
        <v>075346</v>
      </c>
      <c r="M4395" t="str">
        <f>"00685"</f>
        <v>00685</v>
      </c>
      <c r="N4395" t="s">
        <v>3548</v>
      </c>
      <c r="O4395" s="1">
        <v>5500</v>
      </c>
      <c r="P4395">
        <v>20190125</v>
      </c>
      <c r="Q4395" t="s">
        <v>3493</v>
      </c>
      <c r="R4395" t="s">
        <v>3549</v>
      </c>
      <c r="S4395" t="s">
        <v>1615</v>
      </c>
      <c r="T4395" t="s">
        <v>2608</v>
      </c>
    </row>
    <row r="4396" spans="1:20" x14ac:dyDescent="0.25">
      <c r="A4396">
        <v>9</v>
      </c>
      <c r="B4396">
        <v>199</v>
      </c>
      <c r="C4396" t="str">
        <f>"11"</f>
        <v>11</v>
      </c>
      <c r="D4396">
        <v>6399</v>
      </c>
      <c r="E4396" t="str">
        <f>"7K"</f>
        <v>7K</v>
      </c>
      <c r="F4396" t="str">
        <f>"041"</f>
        <v>041</v>
      </c>
      <c r="G4396">
        <v>9</v>
      </c>
      <c r="H4396" t="str">
        <f>"11"</f>
        <v>11</v>
      </c>
      <c r="I4396" t="str">
        <f t="shared" si="917"/>
        <v>0</v>
      </c>
      <c r="J4396" t="str">
        <f>"03"</f>
        <v>03</v>
      </c>
      <c r="K4396">
        <v>20190125</v>
      </c>
      <c r="L4396" t="str">
        <f>"075347"</f>
        <v>075347</v>
      </c>
      <c r="M4396" t="str">
        <f>"26876"</f>
        <v>26876</v>
      </c>
      <c r="N4396" t="s">
        <v>3550</v>
      </c>
      <c r="O4396">
        <v>128.44999999999999</v>
      </c>
      <c r="P4396">
        <v>20190124</v>
      </c>
      <c r="Q4396" t="s">
        <v>2666</v>
      </c>
      <c r="R4396" t="s">
        <v>3551</v>
      </c>
      <c r="S4396" t="s">
        <v>1615</v>
      </c>
      <c r="T4396" t="s">
        <v>106</v>
      </c>
    </row>
    <row r="4397" spans="1:20" x14ac:dyDescent="0.25">
      <c r="A4397">
        <v>9</v>
      </c>
      <c r="B4397">
        <v>199</v>
      </c>
      <c r="C4397" t="str">
        <f>"12"</f>
        <v>12</v>
      </c>
      <c r="D4397">
        <v>6329</v>
      </c>
      <c r="E4397" t="str">
        <f>"7U"</f>
        <v>7U</v>
      </c>
      <c r="F4397" t="str">
        <f>"001"</f>
        <v>001</v>
      </c>
      <c r="G4397">
        <v>9</v>
      </c>
      <c r="H4397" t="str">
        <f>"11"</f>
        <v>11</v>
      </c>
      <c r="I4397" t="str">
        <f t="shared" si="917"/>
        <v>0</v>
      </c>
      <c r="J4397" t="str">
        <f>"01"</f>
        <v>01</v>
      </c>
      <c r="K4397">
        <v>20190125</v>
      </c>
      <c r="L4397" t="str">
        <f>"075349"</f>
        <v>075349</v>
      </c>
      <c r="M4397" t="str">
        <f>"27038"</f>
        <v>27038</v>
      </c>
      <c r="N4397" t="s">
        <v>3552</v>
      </c>
      <c r="O4397">
        <v>242.3</v>
      </c>
      <c r="P4397">
        <v>20190124</v>
      </c>
      <c r="Q4397" t="s">
        <v>3553</v>
      </c>
      <c r="R4397" t="s">
        <v>3554</v>
      </c>
      <c r="S4397" t="s">
        <v>1615</v>
      </c>
      <c r="T4397" t="s">
        <v>301</v>
      </c>
    </row>
    <row r="4398" spans="1:20" x14ac:dyDescent="0.25">
      <c r="A4398">
        <v>9</v>
      </c>
      <c r="B4398">
        <v>199</v>
      </c>
      <c r="C4398" t="str">
        <f>"13"</f>
        <v>13</v>
      </c>
      <c r="D4398">
        <v>6239</v>
      </c>
      <c r="E4398" t="str">
        <f t="shared" ref="E4398:E4403" si="918">"10"</f>
        <v>10</v>
      </c>
      <c r="F4398" t="str">
        <f>"001"</f>
        <v>001</v>
      </c>
      <c r="G4398">
        <v>9</v>
      </c>
      <c r="H4398" t="str">
        <f>"11"</f>
        <v>11</v>
      </c>
      <c r="I4398" t="str">
        <f t="shared" si="917"/>
        <v>0</v>
      </c>
      <c r="J4398" t="str">
        <f>"94"</f>
        <v>94</v>
      </c>
      <c r="K4398">
        <v>20190125</v>
      </c>
      <c r="L4398" t="str">
        <f t="shared" ref="L4398:L4403" si="919">"075350"</f>
        <v>075350</v>
      </c>
      <c r="M4398" t="str">
        <f t="shared" ref="M4398:M4403" si="920">"27900"</f>
        <v>27900</v>
      </c>
      <c r="N4398" t="s">
        <v>1490</v>
      </c>
      <c r="O4398" s="1">
        <v>2019.5</v>
      </c>
      <c r="P4398">
        <v>20190124</v>
      </c>
      <c r="Q4398" t="s">
        <v>3131</v>
      </c>
      <c r="R4398" t="s">
        <v>1535</v>
      </c>
      <c r="S4398" t="s">
        <v>1615</v>
      </c>
      <c r="T4398" t="s">
        <v>301</v>
      </c>
    </row>
    <row r="4399" spans="1:20" x14ac:dyDescent="0.25">
      <c r="A4399">
        <v>9</v>
      </c>
      <c r="B4399">
        <v>199</v>
      </c>
      <c r="C4399" t="str">
        <f>"13"</f>
        <v>13</v>
      </c>
      <c r="D4399">
        <v>6239</v>
      </c>
      <c r="E4399" t="str">
        <f t="shared" si="918"/>
        <v>10</v>
      </c>
      <c r="F4399" t="str">
        <f>"041"</f>
        <v>041</v>
      </c>
      <c r="G4399">
        <v>9</v>
      </c>
      <c r="H4399" t="str">
        <f>"11"</f>
        <v>11</v>
      </c>
      <c r="I4399" t="str">
        <f t="shared" si="917"/>
        <v>0</v>
      </c>
      <c r="J4399" t="str">
        <f>"94"</f>
        <v>94</v>
      </c>
      <c r="K4399">
        <v>20190125</v>
      </c>
      <c r="L4399" t="str">
        <f t="shared" si="919"/>
        <v>075350</v>
      </c>
      <c r="M4399" t="str">
        <f t="shared" si="920"/>
        <v>27900</v>
      </c>
      <c r="N4399" t="s">
        <v>1490</v>
      </c>
      <c r="O4399" s="1">
        <v>2019.5</v>
      </c>
      <c r="P4399">
        <v>20190124</v>
      </c>
      <c r="Q4399" t="s">
        <v>3132</v>
      </c>
      <c r="R4399" t="s">
        <v>1535</v>
      </c>
      <c r="S4399" t="s">
        <v>1615</v>
      </c>
      <c r="T4399" t="s">
        <v>106</v>
      </c>
    </row>
    <row r="4400" spans="1:20" x14ac:dyDescent="0.25">
      <c r="A4400">
        <v>9</v>
      </c>
      <c r="B4400">
        <v>199</v>
      </c>
      <c r="C4400" t="str">
        <f>"34"</f>
        <v>34</v>
      </c>
      <c r="D4400">
        <v>6411</v>
      </c>
      <c r="E4400" t="str">
        <f t="shared" si="918"/>
        <v>10</v>
      </c>
      <c r="F4400" t="str">
        <f>"937"</f>
        <v>937</v>
      </c>
      <c r="G4400">
        <v>9</v>
      </c>
      <c r="H4400" t="str">
        <f>"99"</f>
        <v>99</v>
      </c>
      <c r="I4400" t="str">
        <f t="shared" si="917"/>
        <v>0</v>
      </c>
      <c r="J4400" t="str">
        <f>"82"</f>
        <v>82</v>
      </c>
      <c r="K4400">
        <v>20190125</v>
      </c>
      <c r="L4400" t="str">
        <f t="shared" si="919"/>
        <v>075350</v>
      </c>
      <c r="M4400" t="str">
        <f t="shared" si="920"/>
        <v>27900</v>
      </c>
      <c r="N4400" t="s">
        <v>1490</v>
      </c>
      <c r="O4400">
        <v>240</v>
      </c>
      <c r="P4400">
        <v>20190124</v>
      </c>
      <c r="Q4400" t="s">
        <v>2604</v>
      </c>
      <c r="R4400" t="s">
        <v>3555</v>
      </c>
      <c r="S4400" t="s">
        <v>1615</v>
      </c>
      <c r="T4400" t="s">
        <v>1810</v>
      </c>
    </row>
    <row r="4401" spans="1:20" x14ac:dyDescent="0.25">
      <c r="A4401">
        <v>9</v>
      </c>
      <c r="B4401">
        <v>199</v>
      </c>
      <c r="C4401" t="str">
        <f>"34"</f>
        <v>34</v>
      </c>
      <c r="D4401">
        <v>6411</v>
      </c>
      <c r="E4401" t="str">
        <f t="shared" si="918"/>
        <v>10</v>
      </c>
      <c r="F4401" t="str">
        <f>"937"</f>
        <v>937</v>
      </c>
      <c r="G4401">
        <v>9</v>
      </c>
      <c r="H4401" t="str">
        <f>"99"</f>
        <v>99</v>
      </c>
      <c r="I4401" t="str">
        <f t="shared" si="917"/>
        <v>0</v>
      </c>
      <c r="J4401" t="str">
        <f>"82"</f>
        <v>82</v>
      </c>
      <c r="K4401">
        <v>20190125</v>
      </c>
      <c r="L4401" t="str">
        <f t="shared" si="919"/>
        <v>075350</v>
      </c>
      <c r="M4401" t="str">
        <f t="shared" si="920"/>
        <v>27900</v>
      </c>
      <c r="N4401" t="s">
        <v>1490</v>
      </c>
      <c r="O4401">
        <v>180</v>
      </c>
      <c r="P4401">
        <v>20190124</v>
      </c>
      <c r="Q4401" t="s">
        <v>2604</v>
      </c>
      <c r="R4401" t="s">
        <v>3556</v>
      </c>
      <c r="S4401" t="s">
        <v>1615</v>
      </c>
      <c r="T4401" t="s">
        <v>1810</v>
      </c>
    </row>
    <row r="4402" spans="1:20" x14ac:dyDescent="0.25">
      <c r="A4402">
        <v>9</v>
      </c>
      <c r="B4402">
        <v>199</v>
      </c>
      <c r="C4402" t="str">
        <f>"34"</f>
        <v>34</v>
      </c>
      <c r="D4402">
        <v>6411</v>
      </c>
      <c r="E4402" t="str">
        <f t="shared" si="918"/>
        <v>10</v>
      </c>
      <c r="F4402" t="str">
        <f>"937"</f>
        <v>937</v>
      </c>
      <c r="G4402">
        <v>9</v>
      </c>
      <c r="H4402" t="str">
        <f>"99"</f>
        <v>99</v>
      </c>
      <c r="I4402" t="str">
        <f t="shared" si="917"/>
        <v>0</v>
      </c>
      <c r="J4402" t="str">
        <f>"82"</f>
        <v>82</v>
      </c>
      <c r="K4402">
        <v>20190125</v>
      </c>
      <c r="L4402" t="str">
        <f t="shared" si="919"/>
        <v>075350</v>
      </c>
      <c r="M4402" t="str">
        <f t="shared" si="920"/>
        <v>27900</v>
      </c>
      <c r="N4402" t="s">
        <v>1490</v>
      </c>
      <c r="O4402">
        <v>120</v>
      </c>
      <c r="P4402">
        <v>20190124</v>
      </c>
      <c r="Q4402" t="s">
        <v>2604</v>
      </c>
      <c r="R4402" t="s">
        <v>3556</v>
      </c>
      <c r="S4402" t="s">
        <v>1615</v>
      </c>
      <c r="T4402" t="s">
        <v>1810</v>
      </c>
    </row>
    <row r="4403" spans="1:20" x14ac:dyDescent="0.25">
      <c r="A4403">
        <v>9</v>
      </c>
      <c r="B4403">
        <v>199</v>
      </c>
      <c r="C4403" t="str">
        <f>"34"</f>
        <v>34</v>
      </c>
      <c r="D4403">
        <v>6411</v>
      </c>
      <c r="E4403" t="str">
        <f t="shared" si="918"/>
        <v>10</v>
      </c>
      <c r="F4403" t="str">
        <f>"937"</f>
        <v>937</v>
      </c>
      <c r="G4403">
        <v>9</v>
      </c>
      <c r="H4403" t="str">
        <f>"99"</f>
        <v>99</v>
      </c>
      <c r="I4403" t="str">
        <f t="shared" si="917"/>
        <v>0</v>
      </c>
      <c r="J4403" t="str">
        <f>"82"</f>
        <v>82</v>
      </c>
      <c r="K4403">
        <v>20190125</v>
      </c>
      <c r="L4403" t="str">
        <f t="shared" si="919"/>
        <v>075350</v>
      </c>
      <c r="M4403" t="str">
        <f t="shared" si="920"/>
        <v>27900</v>
      </c>
      <c r="N4403" t="s">
        <v>1490</v>
      </c>
      <c r="O4403">
        <v>240</v>
      </c>
      <c r="P4403">
        <v>20190124</v>
      </c>
      <c r="Q4403" t="s">
        <v>2604</v>
      </c>
      <c r="R4403" t="s">
        <v>3556</v>
      </c>
      <c r="S4403" t="s">
        <v>1615</v>
      </c>
      <c r="T4403" t="s">
        <v>1810</v>
      </c>
    </row>
    <row r="4404" spans="1:20" x14ac:dyDescent="0.25">
      <c r="A4404">
        <v>9</v>
      </c>
      <c r="B4404">
        <v>199</v>
      </c>
      <c r="C4404" t="str">
        <f t="shared" ref="C4404:C4409" si="921">"11"</f>
        <v>11</v>
      </c>
      <c r="D4404">
        <v>6412</v>
      </c>
      <c r="E4404" t="str">
        <f>"V8"</f>
        <v>V8</v>
      </c>
      <c r="F4404" t="str">
        <f t="shared" ref="F4404:F4409" si="922">"001"</f>
        <v>001</v>
      </c>
      <c r="G4404">
        <v>9</v>
      </c>
      <c r="H4404" t="str">
        <f>"22"</f>
        <v>22</v>
      </c>
      <c r="I4404" t="str">
        <f t="shared" si="917"/>
        <v>0</v>
      </c>
      <c r="J4404" t="str">
        <f>"22"</f>
        <v>22</v>
      </c>
      <c r="K4404">
        <v>20190125</v>
      </c>
      <c r="L4404" t="str">
        <f>"075355"</f>
        <v>075355</v>
      </c>
      <c r="M4404" t="str">
        <f>"21049"</f>
        <v>21049</v>
      </c>
      <c r="N4404" t="s">
        <v>1883</v>
      </c>
      <c r="O4404">
        <v>75</v>
      </c>
      <c r="P4404">
        <v>20190124</v>
      </c>
      <c r="Q4404" t="s">
        <v>1884</v>
      </c>
      <c r="R4404" t="s">
        <v>3557</v>
      </c>
      <c r="S4404" t="s">
        <v>1615</v>
      </c>
      <c r="T4404" t="s">
        <v>301</v>
      </c>
    </row>
    <row r="4405" spans="1:20" x14ac:dyDescent="0.25">
      <c r="A4405">
        <v>9</v>
      </c>
      <c r="B4405">
        <v>199</v>
      </c>
      <c r="C4405" t="str">
        <f t="shared" si="921"/>
        <v>11</v>
      </c>
      <c r="D4405">
        <v>6399</v>
      </c>
      <c r="E4405" t="str">
        <f>"V8"</f>
        <v>V8</v>
      </c>
      <c r="F4405" t="str">
        <f t="shared" si="922"/>
        <v>001</v>
      </c>
      <c r="G4405">
        <v>9</v>
      </c>
      <c r="H4405" t="str">
        <f>"22"</f>
        <v>22</v>
      </c>
      <c r="I4405" t="str">
        <f t="shared" si="917"/>
        <v>0</v>
      </c>
      <c r="J4405" t="str">
        <f>"22"</f>
        <v>22</v>
      </c>
      <c r="K4405">
        <v>20190125</v>
      </c>
      <c r="L4405" t="str">
        <f>"075356"</f>
        <v>075356</v>
      </c>
      <c r="M4405" t="str">
        <f>"21049"</f>
        <v>21049</v>
      </c>
      <c r="N4405" t="s">
        <v>1883</v>
      </c>
      <c r="O4405">
        <v>80</v>
      </c>
      <c r="P4405">
        <v>20190124</v>
      </c>
      <c r="Q4405" t="s">
        <v>2001</v>
      </c>
      <c r="R4405" t="s">
        <v>3558</v>
      </c>
      <c r="S4405" t="s">
        <v>1615</v>
      </c>
      <c r="T4405" t="s">
        <v>301</v>
      </c>
    </row>
    <row r="4406" spans="1:20" x14ac:dyDescent="0.25">
      <c r="A4406">
        <v>9</v>
      </c>
      <c r="B4406">
        <v>199</v>
      </c>
      <c r="C4406" t="str">
        <f t="shared" si="921"/>
        <v>11</v>
      </c>
      <c r="D4406">
        <v>6649</v>
      </c>
      <c r="E4406" t="str">
        <f>"VA"</f>
        <v>VA</v>
      </c>
      <c r="F4406" t="str">
        <f t="shared" si="922"/>
        <v>001</v>
      </c>
      <c r="G4406">
        <v>9</v>
      </c>
      <c r="H4406" t="str">
        <f>"22"</f>
        <v>22</v>
      </c>
      <c r="I4406" t="str">
        <f t="shared" si="917"/>
        <v>0</v>
      </c>
      <c r="J4406" t="str">
        <f>"22"</f>
        <v>22</v>
      </c>
      <c r="K4406">
        <v>20190125</v>
      </c>
      <c r="L4406" t="str">
        <f>"075357"</f>
        <v>075357</v>
      </c>
      <c r="M4406" t="str">
        <f>"00654"</f>
        <v>00654</v>
      </c>
      <c r="N4406" t="s">
        <v>3559</v>
      </c>
      <c r="O4406" s="1">
        <v>3533.47</v>
      </c>
      <c r="P4406">
        <v>20190124</v>
      </c>
      <c r="Q4406" t="s">
        <v>2995</v>
      </c>
      <c r="R4406" t="s">
        <v>3560</v>
      </c>
      <c r="S4406" t="s">
        <v>1615</v>
      </c>
      <c r="T4406" t="s">
        <v>301</v>
      </c>
    </row>
    <row r="4407" spans="1:20" x14ac:dyDescent="0.25">
      <c r="A4407">
        <v>9</v>
      </c>
      <c r="B4407">
        <v>199</v>
      </c>
      <c r="C4407" t="str">
        <f t="shared" si="921"/>
        <v>11</v>
      </c>
      <c r="D4407">
        <v>6399</v>
      </c>
      <c r="E4407" t="str">
        <f>"AP"</f>
        <v>AP</v>
      </c>
      <c r="F4407" t="str">
        <f t="shared" si="922"/>
        <v>001</v>
      </c>
      <c r="G4407">
        <v>9</v>
      </c>
      <c r="H4407" t="str">
        <f>"31"</f>
        <v>31</v>
      </c>
      <c r="I4407" t="str">
        <f t="shared" si="917"/>
        <v>0</v>
      </c>
      <c r="J4407" t="str">
        <f>"34"</f>
        <v>34</v>
      </c>
      <c r="K4407">
        <v>20190125</v>
      </c>
      <c r="L4407" t="str">
        <f>"075358"</f>
        <v>075358</v>
      </c>
      <c r="M4407" t="str">
        <f>"30132"</f>
        <v>30132</v>
      </c>
      <c r="N4407" t="s">
        <v>2756</v>
      </c>
      <c r="O4407">
        <v>69.66</v>
      </c>
      <c r="P4407">
        <v>20190124</v>
      </c>
      <c r="Q4407" t="s">
        <v>1677</v>
      </c>
      <c r="R4407" t="s">
        <v>3561</v>
      </c>
      <c r="S4407" t="s">
        <v>1615</v>
      </c>
      <c r="T4407" t="s">
        <v>301</v>
      </c>
    </row>
    <row r="4408" spans="1:20" x14ac:dyDescent="0.25">
      <c r="A4408">
        <v>9</v>
      </c>
      <c r="B4408">
        <v>199</v>
      </c>
      <c r="C4408" t="str">
        <f t="shared" si="921"/>
        <v>11</v>
      </c>
      <c r="D4408">
        <v>6399</v>
      </c>
      <c r="E4408" t="str">
        <f>"NC"</f>
        <v>NC</v>
      </c>
      <c r="F4408" t="str">
        <f t="shared" si="922"/>
        <v>001</v>
      </c>
      <c r="G4408">
        <v>9</v>
      </c>
      <c r="H4408" t="str">
        <f>"11"</f>
        <v>11</v>
      </c>
      <c r="I4408" t="str">
        <f t="shared" si="917"/>
        <v>0</v>
      </c>
      <c r="J4408" t="str">
        <f>"01"</f>
        <v>01</v>
      </c>
      <c r="K4408">
        <v>20190125</v>
      </c>
      <c r="L4408" t="str">
        <f>"075358"</f>
        <v>075358</v>
      </c>
      <c r="M4408" t="str">
        <f>"30132"</f>
        <v>30132</v>
      </c>
      <c r="N4408" t="s">
        <v>2756</v>
      </c>
      <c r="O4408" s="1">
        <v>1250.27</v>
      </c>
      <c r="P4408">
        <v>20190124</v>
      </c>
      <c r="Q4408" t="s">
        <v>3562</v>
      </c>
      <c r="R4408" t="s">
        <v>3563</v>
      </c>
      <c r="S4408" t="s">
        <v>1615</v>
      </c>
      <c r="T4408" t="s">
        <v>301</v>
      </c>
    </row>
    <row r="4409" spans="1:20" x14ac:dyDescent="0.25">
      <c r="A4409">
        <v>9</v>
      </c>
      <c r="B4409">
        <v>199</v>
      </c>
      <c r="C4409" t="str">
        <f t="shared" si="921"/>
        <v>11</v>
      </c>
      <c r="D4409">
        <v>6399</v>
      </c>
      <c r="E4409" t="str">
        <f>"NC"</f>
        <v>NC</v>
      </c>
      <c r="F4409" t="str">
        <f t="shared" si="922"/>
        <v>001</v>
      </c>
      <c r="G4409">
        <v>9</v>
      </c>
      <c r="H4409" t="str">
        <f>"11"</f>
        <v>11</v>
      </c>
      <c r="I4409" t="str">
        <f t="shared" si="917"/>
        <v>0</v>
      </c>
      <c r="J4409" t="str">
        <f>"01"</f>
        <v>01</v>
      </c>
      <c r="K4409">
        <v>20190125</v>
      </c>
      <c r="L4409" t="str">
        <f>"075358"</f>
        <v>075358</v>
      </c>
      <c r="M4409" t="str">
        <f>"30132"</f>
        <v>30132</v>
      </c>
      <c r="N4409" t="s">
        <v>2756</v>
      </c>
      <c r="O4409">
        <v>261</v>
      </c>
      <c r="P4409">
        <v>20190124</v>
      </c>
      <c r="Q4409" t="s">
        <v>3562</v>
      </c>
      <c r="R4409" t="s">
        <v>3563</v>
      </c>
      <c r="S4409" t="s">
        <v>1615</v>
      </c>
      <c r="T4409" t="s">
        <v>301</v>
      </c>
    </row>
    <row r="4410" spans="1:20" x14ac:dyDescent="0.25">
      <c r="A4410">
        <v>9</v>
      </c>
      <c r="B4410">
        <v>199</v>
      </c>
      <c r="C4410" t="str">
        <f>"34"</f>
        <v>34</v>
      </c>
      <c r="D4410">
        <v>6249</v>
      </c>
      <c r="E4410" t="str">
        <f>"10"</f>
        <v>10</v>
      </c>
      <c r="F4410" t="str">
        <f>"937"</f>
        <v>937</v>
      </c>
      <c r="G4410">
        <v>9</v>
      </c>
      <c r="H4410" t="str">
        <f>"99"</f>
        <v>99</v>
      </c>
      <c r="I4410" t="str">
        <f t="shared" si="917"/>
        <v>0</v>
      </c>
      <c r="J4410" t="str">
        <f>"82"</f>
        <v>82</v>
      </c>
      <c r="K4410">
        <v>20190125</v>
      </c>
      <c r="L4410" t="str">
        <f>"075361"</f>
        <v>075361</v>
      </c>
      <c r="M4410" t="str">
        <f>"30922"</f>
        <v>30922</v>
      </c>
      <c r="N4410" t="s">
        <v>3564</v>
      </c>
      <c r="O4410" s="1">
        <v>1079</v>
      </c>
      <c r="P4410">
        <v>20190124</v>
      </c>
      <c r="Q4410" t="s">
        <v>2036</v>
      </c>
      <c r="R4410" t="s">
        <v>3565</v>
      </c>
      <c r="S4410" t="s">
        <v>1615</v>
      </c>
      <c r="T4410" t="s">
        <v>1810</v>
      </c>
    </row>
    <row r="4411" spans="1:20" x14ac:dyDescent="0.25">
      <c r="A4411">
        <v>9</v>
      </c>
      <c r="B4411">
        <v>199</v>
      </c>
      <c r="C4411" t="str">
        <f>"34"</f>
        <v>34</v>
      </c>
      <c r="D4411">
        <v>6249</v>
      </c>
      <c r="E4411" t="str">
        <f>"10"</f>
        <v>10</v>
      </c>
      <c r="F4411" t="str">
        <f>"937"</f>
        <v>937</v>
      </c>
      <c r="G4411">
        <v>9</v>
      </c>
      <c r="H4411" t="str">
        <f>"99"</f>
        <v>99</v>
      </c>
      <c r="I4411" t="str">
        <f t="shared" si="917"/>
        <v>0</v>
      </c>
      <c r="J4411" t="str">
        <f>"82"</f>
        <v>82</v>
      </c>
      <c r="K4411">
        <v>20190125</v>
      </c>
      <c r="L4411" t="str">
        <f>"075361"</f>
        <v>075361</v>
      </c>
      <c r="M4411" t="str">
        <f>"30922"</f>
        <v>30922</v>
      </c>
      <c r="N4411" t="s">
        <v>3564</v>
      </c>
      <c r="O4411" s="1">
        <v>1436</v>
      </c>
      <c r="P4411">
        <v>20190124</v>
      </c>
      <c r="Q4411" t="s">
        <v>2036</v>
      </c>
      <c r="R4411" t="s">
        <v>3566</v>
      </c>
      <c r="S4411" t="s">
        <v>1615</v>
      </c>
      <c r="T4411" t="s">
        <v>1810</v>
      </c>
    </row>
    <row r="4412" spans="1:20" x14ac:dyDescent="0.25">
      <c r="A4412">
        <v>9</v>
      </c>
      <c r="B4412">
        <v>199</v>
      </c>
      <c r="C4412" t="str">
        <f>"41"</f>
        <v>41</v>
      </c>
      <c r="D4412">
        <v>6649</v>
      </c>
      <c r="E4412" t="str">
        <f>"00"</f>
        <v>00</v>
      </c>
      <c r="F4412" t="str">
        <f>"726"</f>
        <v>726</v>
      </c>
      <c r="G4412">
        <v>9</v>
      </c>
      <c r="H4412" t="str">
        <f>"99"</f>
        <v>99</v>
      </c>
      <c r="I4412" t="str">
        <f t="shared" si="917"/>
        <v>0</v>
      </c>
      <c r="J4412" t="str">
        <f>"91"</f>
        <v>91</v>
      </c>
      <c r="K4412">
        <v>20190125</v>
      </c>
      <c r="L4412" t="str">
        <f>"075362"</f>
        <v>075362</v>
      </c>
      <c r="M4412" t="str">
        <f>"33693"</f>
        <v>33693</v>
      </c>
      <c r="N4412" t="s">
        <v>3567</v>
      </c>
      <c r="O4412">
        <v>525</v>
      </c>
      <c r="P4412">
        <v>20190124</v>
      </c>
      <c r="Q4412" t="s">
        <v>3568</v>
      </c>
      <c r="R4412" t="s">
        <v>3569</v>
      </c>
      <c r="S4412" t="s">
        <v>1615</v>
      </c>
      <c r="T4412" t="s">
        <v>2608</v>
      </c>
    </row>
    <row r="4413" spans="1:20" x14ac:dyDescent="0.25">
      <c r="A4413">
        <v>9</v>
      </c>
      <c r="B4413">
        <v>199</v>
      </c>
      <c r="C4413" t="str">
        <f>"13"</f>
        <v>13</v>
      </c>
      <c r="D4413">
        <v>6499</v>
      </c>
      <c r="E4413" t="str">
        <f>"04"</f>
        <v>04</v>
      </c>
      <c r="F4413" t="str">
        <f>"101"</f>
        <v>101</v>
      </c>
      <c r="G4413">
        <v>9</v>
      </c>
      <c r="H4413" t="str">
        <f>"11"</f>
        <v>11</v>
      </c>
      <c r="I4413" t="str">
        <f t="shared" si="917"/>
        <v>0</v>
      </c>
      <c r="J4413" t="str">
        <f>"23"</f>
        <v>23</v>
      </c>
      <c r="K4413">
        <v>20190125</v>
      </c>
      <c r="L4413" t="str">
        <f>"075364"</f>
        <v>075364</v>
      </c>
      <c r="M4413" t="str">
        <f>"33742"</f>
        <v>33742</v>
      </c>
      <c r="N4413" t="s">
        <v>3570</v>
      </c>
      <c r="O4413">
        <v>225</v>
      </c>
      <c r="P4413">
        <v>20190124</v>
      </c>
      <c r="Q4413" t="s">
        <v>3504</v>
      </c>
      <c r="R4413" t="s">
        <v>3507</v>
      </c>
      <c r="S4413" t="s">
        <v>1615</v>
      </c>
      <c r="T4413" t="s">
        <v>1479</v>
      </c>
    </row>
    <row r="4414" spans="1:20" x14ac:dyDescent="0.25">
      <c r="A4414">
        <v>9</v>
      </c>
      <c r="B4414">
        <v>199</v>
      </c>
      <c r="C4414" t="str">
        <f>"11"</f>
        <v>11</v>
      </c>
      <c r="D4414">
        <v>6412</v>
      </c>
      <c r="E4414" t="str">
        <f>"VH"</f>
        <v>VH</v>
      </c>
      <c r="F4414" t="str">
        <f t="shared" ref="F4414:F4425" si="923">"001"</f>
        <v>001</v>
      </c>
      <c r="G4414">
        <v>9</v>
      </c>
      <c r="H4414" t="str">
        <f>"22"</f>
        <v>22</v>
      </c>
      <c r="I4414" t="str">
        <f t="shared" si="917"/>
        <v>0</v>
      </c>
      <c r="J4414" t="str">
        <f>"22"</f>
        <v>22</v>
      </c>
      <c r="K4414">
        <v>20190125</v>
      </c>
      <c r="L4414" t="str">
        <f>"075366"</f>
        <v>075366</v>
      </c>
      <c r="M4414" t="str">
        <f>"36780"</f>
        <v>36780</v>
      </c>
      <c r="N4414" t="s">
        <v>3390</v>
      </c>
      <c r="O4414">
        <v>45</v>
      </c>
      <c r="P4414">
        <v>20190124</v>
      </c>
      <c r="Q4414" t="s">
        <v>2375</v>
      </c>
      <c r="R4414" t="s">
        <v>3571</v>
      </c>
      <c r="S4414" t="s">
        <v>1615</v>
      </c>
      <c r="T4414" t="s">
        <v>301</v>
      </c>
    </row>
    <row r="4415" spans="1:20" x14ac:dyDescent="0.25">
      <c r="A4415">
        <v>9</v>
      </c>
      <c r="B4415">
        <v>199</v>
      </c>
      <c r="C4415" t="str">
        <f>"36"</f>
        <v>36</v>
      </c>
      <c r="D4415">
        <v>6411</v>
      </c>
      <c r="E4415" t="str">
        <f>"VH"</f>
        <v>VH</v>
      </c>
      <c r="F4415" t="str">
        <f t="shared" si="923"/>
        <v>001</v>
      </c>
      <c r="G4415">
        <v>9</v>
      </c>
      <c r="H4415" t="str">
        <f>"22"</f>
        <v>22</v>
      </c>
      <c r="I4415" t="str">
        <f t="shared" si="917"/>
        <v>0</v>
      </c>
      <c r="J4415" t="str">
        <f>"22"</f>
        <v>22</v>
      </c>
      <c r="K4415">
        <v>20190125</v>
      </c>
      <c r="L4415" t="str">
        <f>"075366"</f>
        <v>075366</v>
      </c>
      <c r="M4415" t="str">
        <f>"36780"</f>
        <v>36780</v>
      </c>
      <c r="N4415" t="s">
        <v>3390</v>
      </c>
      <c r="O4415">
        <v>25</v>
      </c>
      <c r="P4415">
        <v>20190124</v>
      </c>
      <c r="Q4415" t="s">
        <v>2377</v>
      </c>
      <c r="R4415" t="s">
        <v>3571</v>
      </c>
      <c r="S4415" t="s">
        <v>1615</v>
      </c>
      <c r="T4415" t="s">
        <v>301</v>
      </c>
    </row>
    <row r="4416" spans="1:20" x14ac:dyDescent="0.25">
      <c r="A4416">
        <v>9</v>
      </c>
      <c r="B4416">
        <v>199</v>
      </c>
      <c r="C4416" t="str">
        <f>"36"</f>
        <v>36</v>
      </c>
      <c r="D4416">
        <v>6411</v>
      </c>
      <c r="E4416" t="str">
        <f>"8M"</f>
        <v>8M</v>
      </c>
      <c r="F4416" t="str">
        <f t="shared" si="923"/>
        <v>001</v>
      </c>
      <c r="G4416">
        <v>9</v>
      </c>
      <c r="H4416" t="str">
        <f>"99"</f>
        <v>99</v>
      </c>
      <c r="I4416" t="str">
        <f>"1"</f>
        <v>1</v>
      </c>
      <c r="J4416" t="str">
        <f>"33"</f>
        <v>33</v>
      </c>
      <c r="K4416">
        <v>20190125</v>
      </c>
      <c r="L4416" t="str">
        <f>"075367"</f>
        <v>075367</v>
      </c>
      <c r="M4416" t="str">
        <f>"37805"</f>
        <v>37805</v>
      </c>
      <c r="N4416" t="s">
        <v>1627</v>
      </c>
      <c r="O4416">
        <v>16.66</v>
      </c>
      <c r="P4416">
        <v>20190124</v>
      </c>
      <c r="Q4416" t="s">
        <v>1628</v>
      </c>
      <c r="R4416" t="s">
        <v>3235</v>
      </c>
      <c r="S4416" t="s">
        <v>1615</v>
      </c>
      <c r="T4416" t="s">
        <v>301</v>
      </c>
    </row>
    <row r="4417" spans="1:20" x14ac:dyDescent="0.25">
      <c r="A4417">
        <v>9</v>
      </c>
      <c r="B4417">
        <v>199</v>
      </c>
      <c r="C4417" t="str">
        <f>"36"</f>
        <v>36</v>
      </c>
      <c r="D4417">
        <v>6412</v>
      </c>
      <c r="E4417" t="str">
        <f>"8M"</f>
        <v>8M</v>
      </c>
      <c r="F4417" t="str">
        <f t="shared" si="923"/>
        <v>001</v>
      </c>
      <c r="G4417">
        <v>9</v>
      </c>
      <c r="H4417" t="str">
        <f>"99"</f>
        <v>99</v>
      </c>
      <c r="I4417" t="str">
        <f>"1"</f>
        <v>1</v>
      </c>
      <c r="J4417" t="str">
        <f>"33"</f>
        <v>33</v>
      </c>
      <c r="K4417">
        <v>20190125</v>
      </c>
      <c r="L4417" t="str">
        <f>"075367"</f>
        <v>075367</v>
      </c>
      <c r="M4417" t="str">
        <f>"37805"</f>
        <v>37805</v>
      </c>
      <c r="N4417" t="s">
        <v>1627</v>
      </c>
      <c r="O4417">
        <v>65</v>
      </c>
      <c r="P4417">
        <v>20190124</v>
      </c>
      <c r="Q4417" t="s">
        <v>1629</v>
      </c>
      <c r="R4417" t="s">
        <v>3235</v>
      </c>
      <c r="S4417" t="s">
        <v>1615</v>
      </c>
      <c r="T4417" t="s">
        <v>301</v>
      </c>
    </row>
    <row r="4418" spans="1:20" x14ac:dyDescent="0.25">
      <c r="A4418">
        <v>9</v>
      </c>
      <c r="B4418">
        <v>199</v>
      </c>
      <c r="C4418" t="str">
        <f t="shared" ref="C4418:C4428" si="924">"11"</f>
        <v>11</v>
      </c>
      <c r="D4418">
        <v>6249</v>
      </c>
      <c r="E4418" t="str">
        <f t="shared" ref="E4418:E4427" si="925">"7B"</f>
        <v>7B</v>
      </c>
      <c r="F4418" t="str">
        <f t="shared" si="923"/>
        <v>001</v>
      </c>
      <c r="G4418">
        <v>9</v>
      </c>
      <c r="H4418" t="str">
        <f t="shared" ref="H4418:H4427" si="926">"11"</f>
        <v>11</v>
      </c>
      <c r="I4418" t="str">
        <f t="shared" ref="I4418:I4430" si="927">"0"</f>
        <v>0</v>
      </c>
      <c r="J4418" t="str">
        <f t="shared" ref="J4418:J4425" si="928">"32"</f>
        <v>32</v>
      </c>
      <c r="K4418">
        <v>20190125</v>
      </c>
      <c r="L4418" t="str">
        <f t="shared" ref="L4418:L4427" si="929">"075369"</f>
        <v>075369</v>
      </c>
      <c r="M4418" t="str">
        <f t="shared" ref="M4418:M4427" si="930">"39572"</f>
        <v>39572</v>
      </c>
      <c r="N4418" t="s">
        <v>2233</v>
      </c>
      <c r="O4418">
        <v>275</v>
      </c>
      <c r="P4418">
        <v>20190124</v>
      </c>
      <c r="Q4418" t="s">
        <v>2234</v>
      </c>
      <c r="R4418" t="s">
        <v>3572</v>
      </c>
      <c r="S4418" t="s">
        <v>1615</v>
      </c>
      <c r="T4418" t="s">
        <v>301</v>
      </c>
    </row>
    <row r="4419" spans="1:20" x14ac:dyDescent="0.25">
      <c r="A4419">
        <v>9</v>
      </c>
      <c r="B4419">
        <v>199</v>
      </c>
      <c r="C4419" t="str">
        <f t="shared" si="924"/>
        <v>11</v>
      </c>
      <c r="D4419">
        <v>6249</v>
      </c>
      <c r="E4419" t="str">
        <f t="shared" si="925"/>
        <v>7B</v>
      </c>
      <c r="F4419" t="str">
        <f t="shared" si="923"/>
        <v>001</v>
      </c>
      <c r="G4419">
        <v>9</v>
      </c>
      <c r="H4419" t="str">
        <f t="shared" si="926"/>
        <v>11</v>
      </c>
      <c r="I4419" t="str">
        <f t="shared" si="927"/>
        <v>0</v>
      </c>
      <c r="J4419" t="str">
        <f t="shared" si="928"/>
        <v>32</v>
      </c>
      <c r="K4419">
        <v>20190125</v>
      </c>
      <c r="L4419" t="str">
        <f t="shared" si="929"/>
        <v>075369</v>
      </c>
      <c r="M4419" t="str">
        <f t="shared" si="930"/>
        <v>39572</v>
      </c>
      <c r="N4419" t="s">
        <v>2233</v>
      </c>
      <c r="O4419">
        <v>250</v>
      </c>
      <c r="P4419">
        <v>20190124</v>
      </c>
      <c r="Q4419" t="s">
        <v>2234</v>
      </c>
      <c r="R4419" t="s">
        <v>3573</v>
      </c>
      <c r="S4419" t="s">
        <v>1615</v>
      </c>
      <c r="T4419" t="s">
        <v>301</v>
      </c>
    </row>
    <row r="4420" spans="1:20" x14ac:dyDescent="0.25">
      <c r="A4420">
        <v>9</v>
      </c>
      <c r="B4420">
        <v>199</v>
      </c>
      <c r="C4420" t="str">
        <f t="shared" si="924"/>
        <v>11</v>
      </c>
      <c r="D4420">
        <v>6249</v>
      </c>
      <c r="E4420" t="str">
        <f t="shared" si="925"/>
        <v>7B</v>
      </c>
      <c r="F4420" t="str">
        <f t="shared" si="923"/>
        <v>001</v>
      </c>
      <c r="G4420">
        <v>9</v>
      </c>
      <c r="H4420" t="str">
        <f t="shared" si="926"/>
        <v>11</v>
      </c>
      <c r="I4420" t="str">
        <f t="shared" si="927"/>
        <v>0</v>
      </c>
      <c r="J4420" t="str">
        <f t="shared" si="928"/>
        <v>32</v>
      </c>
      <c r="K4420">
        <v>20190125</v>
      </c>
      <c r="L4420" t="str">
        <f t="shared" si="929"/>
        <v>075369</v>
      </c>
      <c r="M4420" t="str">
        <f t="shared" si="930"/>
        <v>39572</v>
      </c>
      <c r="N4420" t="s">
        <v>2233</v>
      </c>
      <c r="O4420">
        <v>250</v>
      </c>
      <c r="P4420">
        <v>20190124</v>
      </c>
      <c r="Q4420" t="s">
        <v>2234</v>
      </c>
      <c r="R4420" t="s">
        <v>3573</v>
      </c>
      <c r="S4420" t="s">
        <v>1615</v>
      </c>
      <c r="T4420" t="s">
        <v>301</v>
      </c>
    </row>
    <row r="4421" spans="1:20" x14ac:dyDescent="0.25">
      <c r="A4421">
        <v>9</v>
      </c>
      <c r="B4421">
        <v>199</v>
      </c>
      <c r="C4421" t="str">
        <f t="shared" si="924"/>
        <v>11</v>
      </c>
      <c r="D4421">
        <v>6249</v>
      </c>
      <c r="E4421" t="str">
        <f t="shared" si="925"/>
        <v>7B</v>
      </c>
      <c r="F4421" t="str">
        <f t="shared" si="923"/>
        <v>001</v>
      </c>
      <c r="G4421">
        <v>9</v>
      </c>
      <c r="H4421" t="str">
        <f t="shared" si="926"/>
        <v>11</v>
      </c>
      <c r="I4421" t="str">
        <f t="shared" si="927"/>
        <v>0</v>
      </c>
      <c r="J4421" t="str">
        <f t="shared" si="928"/>
        <v>32</v>
      </c>
      <c r="K4421">
        <v>20190125</v>
      </c>
      <c r="L4421" t="str">
        <f t="shared" si="929"/>
        <v>075369</v>
      </c>
      <c r="M4421" t="str">
        <f t="shared" si="930"/>
        <v>39572</v>
      </c>
      <c r="N4421" t="s">
        <v>2233</v>
      </c>
      <c r="O4421">
        <v>375</v>
      </c>
      <c r="P4421">
        <v>20190124</v>
      </c>
      <c r="Q4421" t="s">
        <v>2234</v>
      </c>
      <c r="R4421" t="s">
        <v>3574</v>
      </c>
      <c r="S4421" t="s">
        <v>1615</v>
      </c>
      <c r="T4421" t="s">
        <v>301</v>
      </c>
    </row>
    <row r="4422" spans="1:20" x14ac:dyDescent="0.25">
      <c r="A4422">
        <v>9</v>
      </c>
      <c r="B4422">
        <v>199</v>
      </c>
      <c r="C4422" t="str">
        <f t="shared" si="924"/>
        <v>11</v>
      </c>
      <c r="D4422">
        <v>6249</v>
      </c>
      <c r="E4422" t="str">
        <f t="shared" si="925"/>
        <v>7B</v>
      </c>
      <c r="F4422" t="str">
        <f t="shared" si="923"/>
        <v>001</v>
      </c>
      <c r="G4422">
        <v>9</v>
      </c>
      <c r="H4422" t="str">
        <f t="shared" si="926"/>
        <v>11</v>
      </c>
      <c r="I4422" t="str">
        <f t="shared" si="927"/>
        <v>0</v>
      </c>
      <c r="J4422" t="str">
        <f t="shared" si="928"/>
        <v>32</v>
      </c>
      <c r="K4422">
        <v>20190125</v>
      </c>
      <c r="L4422" t="str">
        <f t="shared" si="929"/>
        <v>075369</v>
      </c>
      <c r="M4422" t="str">
        <f t="shared" si="930"/>
        <v>39572</v>
      </c>
      <c r="N4422" t="s">
        <v>2233</v>
      </c>
      <c r="O4422">
        <v>165</v>
      </c>
      <c r="P4422">
        <v>20190124</v>
      </c>
      <c r="Q4422" t="s">
        <v>2234</v>
      </c>
      <c r="R4422" t="s">
        <v>3575</v>
      </c>
      <c r="S4422" t="s">
        <v>1615</v>
      </c>
      <c r="T4422" t="s">
        <v>301</v>
      </c>
    </row>
    <row r="4423" spans="1:20" x14ac:dyDescent="0.25">
      <c r="A4423">
        <v>9</v>
      </c>
      <c r="B4423">
        <v>199</v>
      </c>
      <c r="C4423" t="str">
        <f t="shared" si="924"/>
        <v>11</v>
      </c>
      <c r="D4423">
        <v>6249</v>
      </c>
      <c r="E4423" t="str">
        <f t="shared" si="925"/>
        <v>7B</v>
      </c>
      <c r="F4423" t="str">
        <f t="shared" si="923"/>
        <v>001</v>
      </c>
      <c r="G4423">
        <v>9</v>
      </c>
      <c r="H4423" t="str">
        <f t="shared" si="926"/>
        <v>11</v>
      </c>
      <c r="I4423" t="str">
        <f t="shared" si="927"/>
        <v>0</v>
      </c>
      <c r="J4423" t="str">
        <f t="shared" si="928"/>
        <v>32</v>
      </c>
      <c r="K4423">
        <v>20190125</v>
      </c>
      <c r="L4423" t="str">
        <f t="shared" si="929"/>
        <v>075369</v>
      </c>
      <c r="M4423" t="str">
        <f t="shared" si="930"/>
        <v>39572</v>
      </c>
      <c r="N4423" t="s">
        <v>2233</v>
      </c>
      <c r="O4423">
        <v>155</v>
      </c>
      <c r="P4423">
        <v>20190124</v>
      </c>
      <c r="Q4423" t="s">
        <v>2234</v>
      </c>
      <c r="R4423" t="s">
        <v>3576</v>
      </c>
      <c r="S4423" t="s">
        <v>1615</v>
      </c>
      <c r="T4423" t="s">
        <v>301</v>
      </c>
    </row>
    <row r="4424" spans="1:20" x14ac:dyDescent="0.25">
      <c r="A4424">
        <v>9</v>
      </c>
      <c r="B4424">
        <v>199</v>
      </c>
      <c r="C4424" t="str">
        <f t="shared" si="924"/>
        <v>11</v>
      </c>
      <c r="D4424">
        <v>6249</v>
      </c>
      <c r="E4424" t="str">
        <f t="shared" si="925"/>
        <v>7B</v>
      </c>
      <c r="F4424" t="str">
        <f t="shared" si="923"/>
        <v>001</v>
      </c>
      <c r="G4424">
        <v>9</v>
      </c>
      <c r="H4424" t="str">
        <f t="shared" si="926"/>
        <v>11</v>
      </c>
      <c r="I4424" t="str">
        <f t="shared" si="927"/>
        <v>0</v>
      </c>
      <c r="J4424" t="str">
        <f t="shared" si="928"/>
        <v>32</v>
      </c>
      <c r="K4424">
        <v>20190125</v>
      </c>
      <c r="L4424" t="str">
        <f t="shared" si="929"/>
        <v>075369</v>
      </c>
      <c r="M4424" t="str">
        <f t="shared" si="930"/>
        <v>39572</v>
      </c>
      <c r="N4424" t="s">
        <v>2233</v>
      </c>
      <c r="O4424">
        <v>160</v>
      </c>
      <c r="P4424">
        <v>20190124</v>
      </c>
      <c r="Q4424" t="s">
        <v>2234</v>
      </c>
      <c r="R4424" t="s">
        <v>3576</v>
      </c>
      <c r="S4424" t="s">
        <v>1615</v>
      </c>
      <c r="T4424" t="s">
        <v>301</v>
      </c>
    </row>
    <row r="4425" spans="1:20" x14ac:dyDescent="0.25">
      <c r="A4425">
        <v>9</v>
      </c>
      <c r="B4425">
        <v>199</v>
      </c>
      <c r="C4425" t="str">
        <f t="shared" si="924"/>
        <v>11</v>
      </c>
      <c r="D4425">
        <v>6249</v>
      </c>
      <c r="E4425" t="str">
        <f t="shared" si="925"/>
        <v>7B</v>
      </c>
      <c r="F4425" t="str">
        <f t="shared" si="923"/>
        <v>001</v>
      </c>
      <c r="G4425">
        <v>9</v>
      </c>
      <c r="H4425" t="str">
        <f t="shared" si="926"/>
        <v>11</v>
      </c>
      <c r="I4425" t="str">
        <f t="shared" si="927"/>
        <v>0</v>
      </c>
      <c r="J4425" t="str">
        <f t="shared" si="928"/>
        <v>32</v>
      </c>
      <c r="K4425">
        <v>20190125</v>
      </c>
      <c r="L4425" t="str">
        <f t="shared" si="929"/>
        <v>075369</v>
      </c>
      <c r="M4425" t="str">
        <f t="shared" si="930"/>
        <v>39572</v>
      </c>
      <c r="N4425" t="s">
        <v>2233</v>
      </c>
      <c r="O4425">
        <v>145</v>
      </c>
      <c r="P4425">
        <v>20190124</v>
      </c>
      <c r="Q4425" t="s">
        <v>2234</v>
      </c>
      <c r="R4425" t="s">
        <v>3576</v>
      </c>
      <c r="S4425" t="s">
        <v>1615</v>
      </c>
      <c r="T4425" t="s">
        <v>301</v>
      </c>
    </row>
    <row r="4426" spans="1:20" x14ac:dyDescent="0.25">
      <c r="A4426">
        <v>9</v>
      </c>
      <c r="B4426">
        <v>199</v>
      </c>
      <c r="C4426" t="str">
        <f t="shared" si="924"/>
        <v>11</v>
      </c>
      <c r="D4426">
        <v>6249</v>
      </c>
      <c r="E4426" t="str">
        <f t="shared" si="925"/>
        <v>7B</v>
      </c>
      <c r="F4426" t="str">
        <f>"041"</f>
        <v>041</v>
      </c>
      <c r="G4426">
        <v>9</v>
      </c>
      <c r="H4426" t="str">
        <f t="shared" si="926"/>
        <v>11</v>
      </c>
      <c r="I4426" t="str">
        <f t="shared" si="927"/>
        <v>0</v>
      </c>
      <c r="J4426" t="str">
        <f>"36"</f>
        <v>36</v>
      </c>
      <c r="K4426">
        <v>20190125</v>
      </c>
      <c r="L4426" t="str">
        <f t="shared" si="929"/>
        <v>075369</v>
      </c>
      <c r="M4426" t="str">
        <f t="shared" si="930"/>
        <v>39572</v>
      </c>
      <c r="N4426" t="s">
        <v>2233</v>
      </c>
      <c r="O4426">
        <v>20</v>
      </c>
      <c r="P4426">
        <v>20190124</v>
      </c>
      <c r="Q4426" t="s">
        <v>2672</v>
      </c>
      <c r="R4426" t="s">
        <v>3577</v>
      </c>
      <c r="S4426" t="s">
        <v>1615</v>
      </c>
      <c r="T4426" t="s">
        <v>106</v>
      </c>
    </row>
    <row r="4427" spans="1:20" x14ac:dyDescent="0.25">
      <c r="A4427">
        <v>9</v>
      </c>
      <c r="B4427">
        <v>199</v>
      </c>
      <c r="C4427" t="str">
        <f t="shared" si="924"/>
        <v>11</v>
      </c>
      <c r="D4427">
        <v>6399</v>
      </c>
      <c r="E4427" t="str">
        <f t="shared" si="925"/>
        <v>7B</v>
      </c>
      <c r="F4427" t="str">
        <f>"041"</f>
        <v>041</v>
      </c>
      <c r="G4427">
        <v>9</v>
      </c>
      <c r="H4427" t="str">
        <f t="shared" si="926"/>
        <v>11</v>
      </c>
      <c r="I4427" t="str">
        <f t="shared" si="927"/>
        <v>0</v>
      </c>
      <c r="J4427" t="str">
        <f>"36"</f>
        <v>36</v>
      </c>
      <c r="K4427">
        <v>20190125</v>
      </c>
      <c r="L4427" t="str">
        <f t="shared" si="929"/>
        <v>075369</v>
      </c>
      <c r="M4427" t="str">
        <f t="shared" si="930"/>
        <v>39572</v>
      </c>
      <c r="N4427" t="s">
        <v>2233</v>
      </c>
      <c r="O4427" s="1">
        <v>2186</v>
      </c>
      <c r="P4427">
        <v>20190124</v>
      </c>
      <c r="Q4427" t="s">
        <v>1921</v>
      </c>
      <c r="R4427" t="s">
        <v>3464</v>
      </c>
      <c r="S4427" t="s">
        <v>1615</v>
      </c>
      <c r="T4427" t="s">
        <v>106</v>
      </c>
    </row>
    <row r="4428" spans="1:20" x14ac:dyDescent="0.25">
      <c r="A4428">
        <v>9</v>
      </c>
      <c r="B4428">
        <v>199</v>
      </c>
      <c r="C4428" t="str">
        <f t="shared" si="924"/>
        <v>11</v>
      </c>
      <c r="D4428">
        <v>6412</v>
      </c>
      <c r="E4428" t="str">
        <f>"V8"</f>
        <v>V8</v>
      </c>
      <c r="F4428" t="str">
        <f>"001"</f>
        <v>001</v>
      </c>
      <c r="G4428">
        <v>9</v>
      </c>
      <c r="H4428" t="str">
        <f>"22"</f>
        <v>22</v>
      </c>
      <c r="I4428" t="str">
        <f t="shared" si="927"/>
        <v>0</v>
      </c>
      <c r="J4428" t="str">
        <f>"22"</f>
        <v>22</v>
      </c>
      <c r="K4428">
        <v>20190125</v>
      </c>
      <c r="L4428" t="str">
        <f>"075371"</f>
        <v>075371</v>
      </c>
      <c r="M4428" t="str">
        <f>"00046"</f>
        <v>00046</v>
      </c>
      <c r="N4428" t="s">
        <v>3398</v>
      </c>
      <c r="O4428">
        <v>75</v>
      </c>
      <c r="P4428">
        <v>20190124</v>
      </c>
      <c r="Q4428" t="s">
        <v>1884</v>
      </c>
      <c r="R4428" t="s">
        <v>3557</v>
      </c>
      <c r="S4428" t="s">
        <v>1615</v>
      </c>
      <c r="T4428" t="s">
        <v>301</v>
      </c>
    </row>
    <row r="4429" spans="1:20" x14ac:dyDescent="0.25">
      <c r="A4429">
        <v>9</v>
      </c>
      <c r="B4429">
        <v>199</v>
      </c>
      <c r="C4429" t="str">
        <f>"36"</f>
        <v>36</v>
      </c>
      <c r="D4429">
        <v>6411</v>
      </c>
      <c r="E4429" t="str">
        <f>"V8"</f>
        <v>V8</v>
      </c>
      <c r="F4429" t="str">
        <f>"001"</f>
        <v>001</v>
      </c>
      <c r="G4429">
        <v>9</v>
      </c>
      <c r="H4429" t="str">
        <f>"22"</f>
        <v>22</v>
      </c>
      <c r="I4429" t="str">
        <f t="shared" si="927"/>
        <v>0</v>
      </c>
      <c r="J4429" t="str">
        <f>"22"</f>
        <v>22</v>
      </c>
      <c r="K4429">
        <v>20190125</v>
      </c>
      <c r="L4429" t="str">
        <f>"075371"</f>
        <v>075371</v>
      </c>
      <c r="M4429" t="str">
        <f>"00046"</f>
        <v>00046</v>
      </c>
      <c r="N4429" t="s">
        <v>3398</v>
      </c>
      <c r="O4429">
        <v>25</v>
      </c>
      <c r="P4429">
        <v>20190124</v>
      </c>
      <c r="Q4429" t="s">
        <v>2602</v>
      </c>
      <c r="R4429" t="s">
        <v>3557</v>
      </c>
      <c r="S4429" t="s">
        <v>1615</v>
      </c>
      <c r="T4429" t="s">
        <v>301</v>
      </c>
    </row>
    <row r="4430" spans="1:20" x14ac:dyDescent="0.25">
      <c r="A4430">
        <v>9</v>
      </c>
      <c r="B4430">
        <v>199</v>
      </c>
      <c r="C4430" t="str">
        <f>"11"</f>
        <v>11</v>
      </c>
      <c r="D4430">
        <v>6411</v>
      </c>
      <c r="E4430" t="str">
        <f>"V8"</f>
        <v>V8</v>
      </c>
      <c r="F4430" t="str">
        <f>"001"</f>
        <v>001</v>
      </c>
      <c r="G4430">
        <v>9</v>
      </c>
      <c r="H4430" t="str">
        <f>"22"</f>
        <v>22</v>
      </c>
      <c r="I4430" t="str">
        <f t="shared" si="927"/>
        <v>0</v>
      </c>
      <c r="J4430" t="str">
        <f>"22"</f>
        <v>22</v>
      </c>
      <c r="K4430">
        <v>20190125</v>
      </c>
      <c r="L4430" t="str">
        <f>"075372"</f>
        <v>075372</v>
      </c>
      <c r="M4430" t="str">
        <f>"00176"</f>
        <v>00176</v>
      </c>
      <c r="N4430" t="s">
        <v>3578</v>
      </c>
      <c r="O4430">
        <v>506.89</v>
      </c>
      <c r="P4430">
        <v>20190124</v>
      </c>
      <c r="Q4430" t="s">
        <v>3579</v>
      </c>
      <c r="R4430" t="s">
        <v>3580</v>
      </c>
      <c r="S4430" t="s">
        <v>1615</v>
      </c>
      <c r="T4430" t="s">
        <v>301</v>
      </c>
    </row>
    <row r="4431" spans="1:20" x14ac:dyDescent="0.25">
      <c r="A4431">
        <v>9</v>
      </c>
      <c r="B4431">
        <v>199</v>
      </c>
      <c r="C4431" t="str">
        <f>"51"</f>
        <v>51</v>
      </c>
      <c r="D4431">
        <v>6254</v>
      </c>
      <c r="E4431" t="str">
        <f>"ME"</f>
        <v>ME</v>
      </c>
      <c r="F4431" t="str">
        <f>"936"</f>
        <v>936</v>
      </c>
      <c r="G4431">
        <v>9</v>
      </c>
      <c r="H4431" t="str">
        <f>"99"</f>
        <v>99</v>
      </c>
      <c r="I4431" t="str">
        <f>"1"</f>
        <v>1</v>
      </c>
      <c r="J4431" t="str">
        <f>"73"</f>
        <v>73</v>
      </c>
      <c r="K4431">
        <v>20190125</v>
      </c>
      <c r="L4431" t="str">
        <f>"075373"</f>
        <v>075373</v>
      </c>
      <c r="M4431" t="str">
        <f>"42194"</f>
        <v>42194</v>
      </c>
      <c r="N4431" t="s">
        <v>1736</v>
      </c>
      <c r="O4431" s="1">
        <v>2786.33</v>
      </c>
      <c r="P4431">
        <v>20190124</v>
      </c>
      <c r="Q4431" t="s">
        <v>1891</v>
      </c>
      <c r="R4431" t="s">
        <v>3581</v>
      </c>
      <c r="S4431" t="s">
        <v>1615</v>
      </c>
      <c r="T4431" t="s">
        <v>1713</v>
      </c>
    </row>
    <row r="4432" spans="1:20" x14ac:dyDescent="0.25">
      <c r="A4432">
        <v>9</v>
      </c>
      <c r="B4432">
        <v>199</v>
      </c>
      <c r="C4432" t="str">
        <f>"51"</f>
        <v>51</v>
      </c>
      <c r="D4432">
        <v>6254</v>
      </c>
      <c r="E4432" t="str">
        <f>"ME"</f>
        <v>ME</v>
      </c>
      <c r="F4432" t="str">
        <f>"936"</f>
        <v>936</v>
      </c>
      <c r="G4432">
        <v>9</v>
      </c>
      <c r="H4432" t="str">
        <f>"99"</f>
        <v>99</v>
      </c>
      <c r="I4432" t="str">
        <f>"1"</f>
        <v>1</v>
      </c>
      <c r="J4432" t="str">
        <f>"73"</f>
        <v>73</v>
      </c>
      <c r="K4432">
        <v>20190125</v>
      </c>
      <c r="L4432" t="str">
        <f>"075374"</f>
        <v>075374</v>
      </c>
      <c r="M4432" t="str">
        <f>"42194"</f>
        <v>42194</v>
      </c>
      <c r="N4432" t="s">
        <v>1736</v>
      </c>
      <c r="O4432" s="1">
        <v>65600.39</v>
      </c>
      <c r="P4432">
        <v>20190124</v>
      </c>
      <c r="Q4432" t="s">
        <v>1891</v>
      </c>
      <c r="R4432" t="s">
        <v>3582</v>
      </c>
      <c r="S4432" t="s">
        <v>1615</v>
      </c>
      <c r="T4432" t="s">
        <v>1713</v>
      </c>
    </row>
    <row r="4433" spans="1:20" x14ac:dyDescent="0.25">
      <c r="A4433">
        <v>9</v>
      </c>
      <c r="B4433">
        <v>199</v>
      </c>
      <c r="C4433" t="str">
        <f>"23"</f>
        <v>23</v>
      </c>
      <c r="D4433">
        <v>6498</v>
      </c>
      <c r="E4433" t="str">
        <f>"10"</f>
        <v>10</v>
      </c>
      <c r="F4433" t="str">
        <f>"001"</f>
        <v>001</v>
      </c>
      <c r="G4433">
        <v>9</v>
      </c>
      <c r="H4433" t="str">
        <f>"99"</f>
        <v>99</v>
      </c>
      <c r="I4433" t="str">
        <f t="shared" ref="I4433:I4446" si="931">"0"</f>
        <v>0</v>
      </c>
      <c r="J4433" t="str">
        <f>"01"</f>
        <v>01</v>
      </c>
      <c r="K4433">
        <v>20190125</v>
      </c>
      <c r="L4433" t="str">
        <f>"075376"</f>
        <v>075376</v>
      </c>
      <c r="M4433" t="str">
        <f>"45093"</f>
        <v>45093</v>
      </c>
      <c r="N4433" t="s">
        <v>885</v>
      </c>
      <c r="O4433">
        <v>112.13</v>
      </c>
      <c r="P4433">
        <v>20190124</v>
      </c>
      <c r="Q4433" t="s">
        <v>2108</v>
      </c>
      <c r="R4433" t="s">
        <v>3583</v>
      </c>
      <c r="S4433" t="s">
        <v>1615</v>
      </c>
      <c r="T4433" t="s">
        <v>301</v>
      </c>
    </row>
    <row r="4434" spans="1:20" x14ac:dyDescent="0.25">
      <c r="A4434">
        <v>9</v>
      </c>
      <c r="B4434">
        <v>199</v>
      </c>
      <c r="C4434" t="str">
        <f t="shared" ref="C4434:C4439" si="932">"11"</f>
        <v>11</v>
      </c>
      <c r="D4434">
        <v>6499</v>
      </c>
      <c r="E4434" t="str">
        <f>"13"</f>
        <v>13</v>
      </c>
      <c r="F4434" t="str">
        <f>"041"</f>
        <v>041</v>
      </c>
      <c r="G4434">
        <v>9</v>
      </c>
      <c r="H4434" t="str">
        <f>"11"</f>
        <v>11</v>
      </c>
      <c r="I4434" t="str">
        <f t="shared" si="931"/>
        <v>0</v>
      </c>
      <c r="J4434" t="str">
        <f>"03"</f>
        <v>03</v>
      </c>
      <c r="K4434">
        <v>20190125</v>
      </c>
      <c r="L4434" t="str">
        <f>"075378"</f>
        <v>075378</v>
      </c>
      <c r="M4434" t="str">
        <f>"40781"</f>
        <v>40781</v>
      </c>
      <c r="N4434" t="s">
        <v>1738</v>
      </c>
      <c r="O4434" s="1">
        <v>1004.85</v>
      </c>
      <c r="P4434">
        <v>20190124</v>
      </c>
      <c r="Q4434" t="s">
        <v>1739</v>
      </c>
      <c r="R4434" t="s">
        <v>3584</v>
      </c>
      <c r="S4434" t="s">
        <v>1615</v>
      </c>
      <c r="T4434" t="s">
        <v>106</v>
      </c>
    </row>
    <row r="4435" spans="1:20" x14ac:dyDescent="0.25">
      <c r="A4435">
        <v>9</v>
      </c>
      <c r="B4435">
        <v>199</v>
      </c>
      <c r="C4435" t="str">
        <f t="shared" si="932"/>
        <v>11</v>
      </c>
      <c r="D4435">
        <v>6399</v>
      </c>
      <c r="E4435" t="str">
        <f>"7B"</f>
        <v>7B</v>
      </c>
      <c r="F4435" t="str">
        <f t="shared" ref="F4435:F4440" si="933">"001"</f>
        <v>001</v>
      </c>
      <c r="G4435">
        <v>9</v>
      </c>
      <c r="H4435" t="str">
        <f>"11"</f>
        <v>11</v>
      </c>
      <c r="I4435" t="str">
        <f t="shared" si="931"/>
        <v>0</v>
      </c>
      <c r="J4435" t="str">
        <f>"32"</f>
        <v>32</v>
      </c>
      <c r="K4435">
        <v>20190125</v>
      </c>
      <c r="L4435" t="str">
        <f>"075379"</f>
        <v>075379</v>
      </c>
      <c r="M4435" t="str">
        <f>"57791"</f>
        <v>57791</v>
      </c>
      <c r="N4435" t="s">
        <v>2381</v>
      </c>
      <c r="O4435">
        <v>216.99</v>
      </c>
      <c r="P4435">
        <v>20190124</v>
      </c>
      <c r="Q4435" t="s">
        <v>2239</v>
      </c>
      <c r="R4435" t="s">
        <v>3585</v>
      </c>
      <c r="S4435" t="s">
        <v>1615</v>
      </c>
      <c r="T4435" t="s">
        <v>301</v>
      </c>
    </row>
    <row r="4436" spans="1:20" x14ac:dyDescent="0.25">
      <c r="A4436">
        <v>9</v>
      </c>
      <c r="B4436">
        <v>199</v>
      </c>
      <c r="C4436" t="str">
        <f t="shared" si="932"/>
        <v>11</v>
      </c>
      <c r="D4436">
        <v>6399</v>
      </c>
      <c r="E4436" t="str">
        <f>"7E"</f>
        <v>7E</v>
      </c>
      <c r="F4436" t="str">
        <f t="shared" si="933"/>
        <v>001</v>
      </c>
      <c r="G4436">
        <v>9</v>
      </c>
      <c r="H4436" t="str">
        <f>"11"</f>
        <v>11</v>
      </c>
      <c r="I4436" t="str">
        <f t="shared" si="931"/>
        <v>0</v>
      </c>
      <c r="J4436" t="str">
        <f>"31"</f>
        <v>31</v>
      </c>
      <c r="K4436">
        <v>20190125</v>
      </c>
      <c r="L4436" t="str">
        <f>"075379"</f>
        <v>075379</v>
      </c>
      <c r="M4436" t="str">
        <f>"57791"</f>
        <v>57791</v>
      </c>
      <c r="N4436" t="s">
        <v>2381</v>
      </c>
      <c r="O4436">
        <v>79.86</v>
      </c>
      <c r="P4436">
        <v>20190124</v>
      </c>
      <c r="Q4436" t="s">
        <v>2382</v>
      </c>
      <c r="R4436" t="s">
        <v>3586</v>
      </c>
      <c r="S4436" t="s">
        <v>1615</v>
      </c>
      <c r="T4436" t="s">
        <v>301</v>
      </c>
    </row>
    <row r="4437" spans="1:20" x14ac:dyDescent="0.25">
      <c r="A4437">
        <v>9</v>
      </c>
      <c r="B4437">
        <v>199</v>
      </c>
      <c r="C4437" t="str">
        <f t="shared" si="932"/>
        <v>11</v>
      </c>
      <c r="D4437">
        <v>6399</v>
      </c>
      <c r="E4437" t="str">
        <f>"7E"</f>
        <v>7E</v>
      </c>
      <c r="F4437" t="str">
        <f t="shared" si="933"/>
        <v>001</v>
      </c>
      <c r="G4437">
        <v>9</v>
      </c>
      <c r="H4437" t="str">
        <f>"11"</f>
        <v>11</v>
      </c>
      <c r="I4437" t="str">
        <f t="shared" si="931"/>
        <v>0</v>
      </c>
      <c r="J4437" t="str">
        <f>"31"</f>
        <v>31</v>
      </c>
      <c r="K4437">
        <v>20190125</v>
      </c>
      <c r="L4437" t="str">
        <f>"075379"</f>
        <v>075379</v>
      </c>
      <c r="M4437" t="str">
        <f>"57791"</f>
        <v>57791</v>
      </c>
      <c r="N4437" t="s">
        <v>2381</v>
      </c>
      <c r="O4437">
        <v>65</v>
      </c>
      <c r="P4437">
        <v>20190124</v>
      </c>
      <c r="Q4437" t="s">
        <v>2382</v>
      </c>
      <c r="R4437" t="s">
        <v>3587</v>
      </c>
      <c r="S4437" t="s">
        <v>1615</v>
      </c>
      <c r="T4437" t="s">
        <v>301</v>
      </c>
    </row>
    <row r="4438" spans="1:20" x14ac:dyDescent="0.25">
      <c r="A4438">
        <v>9</v>
      </c>
      <c r="B4438">
        <v>199</v>
      </c>
      <c r="C4438" t="str">
        <f t="shared" si="932"/>
        <v>11</v>
      </c>
      <c r="D4438">
        <v>6399</v>
      </c>
      <c r="E4438" t="str">
        <f>"7E"</f>
        <v>7E</v>
      </c>
      <c r="F4438" t="str">
        <f t="shared" si="933"/>
        <v>001</v>
      </c>
      <c r="G4438">
        <v>9</v>
      </c>
      <c r="H4438" t="str">
        <f>"11"</f>
        <v>11</v>
      </c>
      <c r="I4438" t="str">
        <f t="shared" si="931"/>
        <v>0</v>
      </c>
      <c r="J4438" t="str">
        <f>"31"</f>
        <v>31</v>
      </c>
      <c r="K4438">
        <v>20190125</v>
      </c>
      <c r="L4438" t="str">
        <f>"075379"</f>
        <v>075379</v>
      </c>
      <c r="M4438" t="str">
        <f>"57791"</f>
        <v>57791</v>
      </c>
      <c r="N4438" t="s">
        <v>2381</v>
      </c>
      <c r="O4438">
        <v>486.27</v>
      </c>
      <c r="P4438">
        <v>20190124</v>
      </c>
      <c r="Q4438" t="s">
        <v>2382</v>
      </c>
      <c r="R4438" t="s">
        <v>3036</v>
      </c>
      <c r="S4438" t="s">
        <v>1615</v>
      </c>
      <c r="T4438" t="s">
        <v>301</v>
      </c>
    </row>
    <row r="4439" spans="1:20" x14ac:dyDescent="0.25">
      <c r="A4439">
        <v>9</v>
      </c>
      <c r="B4439">
        <v>199</v>
      </c>
      <c r="C4439" t="str">
        <f t="shared" si="932"/>
        <v>11</v>
      </c>
      <c r="D4439">
        <v>6399</v>
      </c>
      <c r="E4439" t="str">
        <f>"V8"</f>
        <v>V8</v>
      </c>
      <c r="F4439" t="str">
        <f t="shared" si="933"/>
        <v>001</v>
      </c>
      <c r="G4439">
        <v>9</v>
      </c>
      <c r="H4439" t="str">
        <f>"22"</f>
        <v>22</v>
      </c>
      <c r="I4439" t="str">
        <f t="shared" si="931"/>
        <v>0</v>
      </c>
      <c r="J4439" t="str">
        <f>"22"</f>
        <v>22</v>
      </c>
      <c r="K4439">
        <v>20190125</v>
      </c>
      <c r="L4439" t="str">
        <f>"075380"</f>
        <v>075380</v>
      </c>
      <c r="M4439" t="str">
        <f>"45710"</f>
        <v>45710</v>
      </c>
      <c r="N4439" t="s">
        <v>2509</v>
      </c>
      <c r="O4439">
        <v>96.5</v>
      </c>
      <c r="P4439">
        <v>20190124</v>
      </c>
      <c r="Q4439" t="s">
        <v>2001</v>
      </c>
      <c r="R4439" t="s">
        <v>3588</v>
      </c>
      <c r="S4439" t="s">
        <v>1615</v>
      </c>
      <c r="T4439" t="s">
        <v>301</v>
      </c>
    </row>
    <row r="4440" spans="1:20" x14ac:dyDescent="0.25">
      <c r="A4440">
        <v>9</v>
      </c>
      <c r="B4440">
        <v>199</v>
      </c>
      <c r="C4440" t="str">
        <f>"36"</f>
        <v>36</v>
      </c>
      <c r="D4440">
        <v>6412</v>
      </c>
      <c r="E4440" t="str">
        <f>"8S"</f>
        <v>8S</v>
      </c>
      <c r="F4440" t="str">
        <f t="shared" si="933"/>
        <v>001</v>
      </c>
      <c r="G4440">
        <v>9</v>
      </c>
      <c r="H4440" t="str">
        <f>"99"</f>
        <v>99</v>
      </c>
      <c r="I4440" t="str">
        <f t="shared" si="931"/>
        <v>0</v>
      </c>
      <c r="J4440" t="str">
        <f>"01"</f>
        <v>01</v>
      </c>
      <c r="K4440">
        <v>20190125</v>
      </c>
      <c r="L4440" t="str">
        <f>"075382"</f>
        <v>075382</v>
      </c>
      <c r="M4440" t="str">
        <f>"46348"</f>
        <v>46348</v>
      </c>
      <c r="N4440" t="s">
        <v>1631</v>
      </c>
      <c r="O4440">
        <v>104.02</v>
      </c>
      <c r="P4440">
        <v>20190124</v>
      </c>
      <c r="Q4440" t="s">
        <v>1625</v>
      </c>
      <c r="R4440" t="s">
        <v>3022</v>
      </c>
      <c r="S4440" t="s">
        <v>1615</v>
      </c>
      <c r="T4440" t="s">
        <v>301</v>
      </c>
    </row>
    <row r="4441" spans="1:20" x14ac:dyDescent="0.25">
      <c r="A4441">
        <v>9</v>
      </c>
      <c r="B4441">
        <v>199</v>
      </c>
      <c r="C4441" t="str">
        <f>"00"</f>
        <v>00</v>
      </c>
      <c r="D4441">
        <v>1291</v>
      </c>
      <c r="E4441" t="str">
        <f>"05"</f>
        <v>05</v>
      </c>
      <c r="F4441" t="str">
        <f>"000"</f>
        <v>000</v>
      </c>
      <c r="G4441">
        <v>9</v>
      </c>
      <c r="H4441" t="str">
        <f>"00"</f>
        <v>00</v>
      </c>
      <c r="I4441" t="str">
        <f t="shared" si="931"/>
        <v>0</v>
      </c>
      <c r="J4441" t="str">
        <f>"00"</f>
        <v>00</v>
      </c>
      <c r="K4441">
        <v>20190125</v>
      </c>
      <c r="L4441" t="str">
        <f>"075383"</f>
        <v>075383</v>
      </c>
      <c r="M4441" t="str">
        <f>"46351"</f>
        <v>46351</v>
      </c>
      <c r="N4441" t="s">
        <v>1639</v>
      </c>
      <c r="O4441">
        <v>633.32000000000005</v>
      </c>
      <c r="P4441">
        <v>20190124</v>
      </c>
      <c r="Q4441" t="s">
        <v>1637</v>
      </c>
      <c r="R4441" t="s">
        <v>3589</v>
      </c>
      <c r="S4441" t="s">
        <v>1615</v>
      </c>
      <c r="T4441" t="s">
        <v>296</v>
      </c>
    </row>
    <row r="4442" spans="1:20" x14ac:dyDescent="0.25">
      <c r="A4442">
        <v>9</v>
      </c>
      <c r="B4442">
        <v>199</v>
      </c>
      <c r="C4442" t="str">
        <f>"00"</f>
        <v>00</v>
      </c>
      <c r="D4442">
        <v>1291</v>
      </c>
      <c r="E4442" t="str">
        <f>"05"</f>
        <v>05</v>
      </c>
      <c r="F4442" t="str">
        <f>"000"</f>
        <v>000</v>
      </c>
      <c r="G4442">
        <v>9</v>
      </c>
      <c r="H4442" t="str">
        <f>"00"</f>
        <v>00</v>
      </c>
      <c r="I4442" t="str">
        <f t="shared" si="931"/>
        <v>0</v>
      </c>
      <c r="J4442" t="str">
        <f>"00"</f>
        <v>00</v>
      </c>
      <c r="K4442">
        <v>20190125</v>
      </c>
      <c r="L4442" t="str">
        <f>"075383"</f>
        <v>075383</v>
      </c>
      <c r="M4442" t="str">
        <f>"46351"</f>
        <v>46351</v>
      </c>
      <c r="N4442" t="s">
        <v>1639</v>
      </c>
      <c r="O4442" s="1">
        <v>11075.67</v>
      </c>
      <c r="P4442">
        <v>20190124</v>
      </c>
      <c r="Q4442" t="s">
        <v>1637</v>
      </c>
      <c r="R4442" t="s">
        <v>3424</v>
      </c>
      <c r="S4442" t="s">
        <v>1615</v>
      </c>
      <c r="T4442" t="s">
        <v>296</v>
      </c>
    </row>
    <row r="4443" spans="1:20" x14ac:dyDescent="0.25">
      <c r="A4443">
        <v>9</v>
      </c>
      <c r="B4443">
        <v>199</v>
      </c>
      <c r="C4443" t="str">
        <f>"51"</f>
        <v>51</v>
      </c>
      <c r="D4443">
        <v>6319</v>
      </c>
      <c r="E4443" t="str">
        <f>"MC"</f>
        <v>MC</v>
      </c>
      <c r="F4443" t="str">
        <f>"936"</f>
        <v>936</v>
      </c>
      <c r="G4443">
        <v>9</v>
      </c>
      <c r="H4443" t="str">
        <f>"99"</f>
        <v>99</v>
      </c>
      <c r="I4443" t="str">
        <f t="shared" si="931"/>
        <v>0</v>
      </c>
      <c r="J4443" t="str">
        <f>"81"</f>
        <v>81</v>
      </c>
      <c r="K4443">
        <v>20190125</v>
      </c>
      <c r="L4443" t="str">
        <f>"075386"</f>
        <v>075386</v>
      </c>
      <c r="M4443" t="str">
        <f>"49898"</f>
        <v>49898</v>
      </c>
      <c r="N4443" t="s">
        <v>2390</v>
      </c>
      <c r="O4443" s="1">
        <v>1208.4000000000001</v>
      </c>
      <c r="P4443">
        <v>20190124</v>
      </c>
      <c r="Q4443" t="s">
        <v>2060</v>
      </c>
      <c r="R4443" t="s">
        <v>2188</v>
      </c>
      <c r="S4443" t="s">
        <v>1615</v>
      </c>
      <c r="T4443" t="s">
        <v>1713</v>
      </c>
    </row>
    <row r="4444" spans="1:20" x14ac:dyDescent="0.25">
      <c r="A4444">
        <v>9</v>
      </c>
      <c r="B4444">
        <v>199</v>
      </c>
      <c r="C4444" t="str">
        <f>"51"</f>
        <v>51</v>
      </c>
      <c r="D4444">
        <v>6319</v>
      </c>
      <c r="E4444" t="str">
        <f>"MC"</f>
        <v>MC</v>
      </c>
      <c r="F4444" t="str">
        <f>"936"</f>
        <v>936</v>
      </c>
      <c r="G4444">
        <v>9</v>
      </c>
      <c r="H4444" t="str">
        <f>"99"</f>
        <v>99</v>
      </c>
      <c r="I4444" t="str">
        <f t="shared" si="931"/>
        <v>0</v>
      </c>
      <c r="J4444" t="str">
        <f>"81"</f>
        <v>81</v>
      </c>
      <c r="K4444">
        <v>20190125</v>
      </c>
      <c r="L4444" t="str">
        <f>"075386"</f>
        <v>075386</v>
      </c>
      <c r="M4444" t="str">
        <f>"49898"</f>
        <v>49898</v>
      </c>
      <c r="N4444" t="s">
        <v>2390</v>
      </c>
      <c r="O4444">
        <v>439.19</v>
      </c>
      <c r="P4444">
        <v>20190124</v>
      </c>
      <c r="Q4444" t="s">
        <v>2060</v>
      </c>
      <c r="R4444" t="s">
        <v>3590</v>
      </c>
      <c r="S4444" t="s">
        <v>1615</v>
      </c>
      <c r="T4444" t="s">
        <v>1713</v>
      </c>
    </row>
    <row r="4445" spans="1:20" x14ac:dyDescent="0.25">
      <c r="A4445">
        <v>9</v>
      </c>
      <c r="B4445">
        <v>199</v>
      </c>
      <c r="C4445" t="str">
        <f>"51"</f>
        <v>51</v>
      </c>
      <c r="D4445">
        <v>6319</v>
      </c>
      <c r="E4445" t="str">
        <f>"MC"</f>
        <v>MC</v>
      </c>
      <c r="F4445" t="str">
        <f>"936"</f>
        <v>936</v>
      </c>
      <c r="G4445">
        <v>9</v>
      </c>
      <c r="H4445" t="str">
        <f>"99"</f>
        <v>99</v>
      </c>
      <c r="I4445" t="str">
        <f t="shared" si="931"/>
        <v>0</v>
      </c>
      <c r="J4445" t="str">
        <f>"81"</f>
        <v>81</v>
      </c>
      <c r="K4445">
        <v>20190125</v>
      </c>
      <c r="L4445" t="str">
        <f>"075386"</f>
        <v>075386</v>
      </c>
      <c r="M4445" t="str">
        <f>"49898"</f>
        <v>49898</v>
      </c>
      <c r="N4445" t="s">
        <v>2390</v>
      </c>
      <c r="O4445">
        <v>101.19</v>
      </c>
      <c r="P4445">
        <v>20190124</v>
      </c>
      <c r="Q4445" t="s">
        <v>2060</v>
      </c>
      <c r="R4445" t="s">
        <v>3591</v>
      </c>
      <c r="S4445" t="s">
        <v>1615</v>
      </c>
      <c r="T4445" t="s">
        <v>1713</v>
      </c>
    </row>
    <row r="4446" spans="1:20" x14ac:dyDescent="0.25">
      <c r="A4446">
        <v>9</v>
      </c>
      <c r="B4446">
        <v>199</v>
      </c>
      <c r="C4446" t="str">
        <f>"21"</f>
        <v>21</v>
      </c>
      <c r="D4446">
        <v>6216</v>
      </c>
      <c r="E4446" t="str">
        <f>"00"</f>
        <v>00</v>
      </c>
      <c r="F4446" t="str">
        <f>"875"</f>
        <v>875</v>
      </c>
      <c r="G4446">
        <v>9</v>
      </c>
      <c r="H4446" t="str">
        <f>"23"</f>
        <v>23</v>
      </c>
      <c r="I4446" t="str">
        <f t="shared" si="931"/>
        <v>0</v>
      </c>
      <c r="J4446" t="str">
        <f>"23"</f>
        <v>23</v>
      </c>
      <c r="K4446">
        <v>20190125</v>
      </c>
      <c r="L4446" t="str">
        <f>"075387"</f>
        <v>075387</v>
      </c>
      <c r="M4446" t="str">
        <f>"51475"</f>
        <v>51475</v>
      </c>
      <c r="N4446" t="s">
        <v>3195</v>
      </c>
      <c r="O4446">
        <v>229.72</v>
      </c>
      <c r="P4446">
        <v>20190124</v>
      </c>
      <c r="Q4446" t="s">
        <v>3196</v>
      </c>
      <c r="R4446" t="s">
        <v>3592</v>
      </c>
      <c r="S4446" t="s">
        <v>1615</v>
      </c>
      <c r="T4446" t="s">
        <v>2041</v>
      </c>
    </row>
    <row r="4447" spans="1:20" x14ac:dyDescent="0.25">
      <c r="A4447">
        <v>9</v>
      </c>
      <c r="B4447">
        <v>199</v>
      </c>
      <c r="C4447" t="str">
        <f>"36"</f>
        <v>36</v>
      </c>
      <c r="D4447">
        <v>6412</v>
      </c>
      <c r="E4447" t="str">
        <f>"7B"</f>
        <v>7B</v>
      </c>
      <c r="F4447" t="str">
        <f>"041"</f>
        <v>041</v>
      </c>
      <c r="G4447">
        <v>9</v>
      </c>
      <c r="H4447" t="str">
        <f>"99"</f>
        <v>99</v>
      </c>
      <c r="I4447" t="str">
        <f>"1"</f>
        <v>1</v>
      </c>
      <c r="J4447" t="str">
        <f>"36"</f>
        <v>36</v>
      </c>
      <c r="K4447">
        <v>20190125</v>
      </c>
      <c r="L4447" t="str">
        <f>"075390"</f>
        <v>075390</v>
      </c>
      <c r="M4447" t="str">
        <f>"53447"</f>
        <v>53447</v>
      </c>
      <c r="N4447" t="s">
        <v>3593</v>
      </c>
      <c r="O4447" s="1">
        <v>1380</v>
      </c>
      <c r="P4447">
        <v>20190124</v>
      </c>
      <c r="Q4447" t="s">
        <v>3543</v>
      </c>
      <c r="R4447" t="s">
        <v>3594</v>
      </c>
      <c r="S4447" t="s">
        <v>1615</v>
      </c>
      <c r="T4447" t="s">
        <v>106</v>
      </c>
    </row>
    <row r="4448" spans="1:20" x14ac:dyDescent="0.25">
      <c r="A4448">
        <v>9</v>
      </c>
      <c r="B4448">
        <v>199</v>
      </c>
      <c r="C4448" t="str">
        <f>"36"</f>
        <v>36</v>
      </c>
      <c r="D4448">
        <v>6412</v>
      </c>
      <c r="E4448" t="str">
        <f>"7B"</f>
        <v>7B</v>
      </c>
      <c r="F4448" t="str">
        <f>"041"</f>
        <v>041</v>
      </c>
      <c r="G4448">
        <v>9</v>
      </c>
      <c r="H4448" t="str">
        <f>"99"</f>
        <v>99</v>
      </c>
      <c r="I4448" t="str">
        <f>"1"</f>
        <v>1</v>
      </c>
      <c r="J4448" t="str">
        <f>"36"</f>
        <v>36</v>
      </c>
      <c r="K4448">
        <v>20190125</v>
      </c>
      <c r="L4448" t="str">
        <f>"075390"</f>
        <v>075390</v>
      </c>
      <c r="M4448" t="str">
        <f>"53447"</f>
        <v>53447</v>
      </c>
      <c r="N4448" t="s">
        <v>3593</v>
      </c>
      <c r="O4448">
        <v>100</v>
      </c>
      <c r="P4448">
        <v>20190124</v>
      </c>
      <c r="Q4448" t="s">
        <v>3543</v>
      </c>
      <c r="R4448" t="s">
        <v>3594</v>
      </c>
      <c r="S4448" t="s">
        <v>1615</v>
      </c>
      <c r="T4448" t="s">
        <v>106</v>
      </c>
    </row>
    <row r="4449" spans="1:20" x14ac:dyDescent="0.25">
      <c r="A4449">
        <v>9</v>
      </c>
      <c r="B4449">
        <v>199</v>
      </c>
      <c r="C4449" t="str">
        <f>"41"</f>
        <v>41</v>
      </c>
      <c r="D4449">
        <v>6299</v>
      </c>
      <c r="E4449" t="str">
        <f>"10"</f>
        <v>10</v>
      </c>
      <c r="F4449" t="str">
        <f>"735"</f>
        <v>735</v>
      </c>
      <c r="G4449">
        <v>9</v>
      </c>
      <c r="H4449" t="str">
        <f>"99"</f>
        <v>99</v>
      </c>
      <c r="I4449" t="str">
        <f t="shared" ref="I4449:I4490" si="934">"0"</f>
        <v>0</v>
      </c>
      <c r="J4449" t="str">
        <f>"96"</f>
        <v>96</v>
      </c>
      <c r="K4449">
        <v>20190125</v>
      </c>
      <c r="L4449" t="str">
        <f>"075392"</f>
        <v>075392</v>
      </c>
      <c r="M4449" t="str">
        <f>"00522"</f>
        <v>00522</v>
      </c>
      <c r="N4449" t="s">
        <v>1647</v>
      </c>
      <c r="O4449" s="1">
        <v>2100</v>
      </c>
      <c r="P4449">
        <v>20190124</v>
      </c>
      <c r="Q4449" t="s">
        <v>2101</v>
      </c>
      <c r="R4449" t="s">
        <v>3324</v>
      </c>
      <c r="S4449" t="s">
        <v>1615</v>
      </c>
      <c r="T4449" t="s">
        <v>151</v>
      </c>
    </row>
    <row r="4450" spans="1:20" x14ac:dyDescent="0.25">
      <c r="A4450">
        <v>9</v>
      </c>
      <c r="B4450">
        <v>199</v>
      </c>
      <c r="C4450" t="str">
        <f>"11"</f>
        <v>11</v>
      </c>
      <c r="D4450">
        <v>6399</v>
      </c>
      <c r="E4450" t="str">
        <f>"45"</f>
        <v>45</v>
      </c>
      <c r="F4450" t="str">
        <f>"101"</f>
        <v>101</v>
      </c>
      <c r="G4450">
        <v>9</v>
      </c>
      <c r="H4450" t="str">
        <f>"11"</f>
        <v>11</v>
      </c>
      <c r="I4450" t="str">
        <f t="shared" si="934"/>
        <v>0</v>
      </c>
      <c r="J4450" t="str">
        <f>"04"</f>
        <v>04</v>
      </c>
      <c r="K4450">
        <v>20190125</v>
      </c>
      <c r="L4450" t="str">
        <f>"075397"</f>
        <v>075397</v>
      </c>
      <c r="M4450" t="str">
        <f>"58203"</f>
        <v>58203</v>
      </c>
      <c r="N4450" t="s">
        <v>3051</v>
      </c>
      <c r="O4450">
        <v>21.03</v>
      </c>
      <c r="P4450">
        <v>20190124</v>
      </c>
      <c r="Q4450" t="s">
        <v>1859</v>
      </c>
      <c r="R4450" t="s">
        <v>3595</v>
      </c>
      <c r="S4450" t="s">
        <v>1615</v>
      </c>
      <c r="T4450" t="s">
        <v>1479</v>
      </c>
    </row>
    <row r="4451" spans="1:20" x14ac:dyDescent="0.25">
      <c r="A4451">
        <v>9</v>
      </c>
      <c r="B4451">
        <v>199</v>
      </c>
      <c r="C4451" t="str">
        <f>"11"</f>
        <v>11</v>
      </c>
      <c r="D4451">
        <v>6399</v>
      </c>
      <c r="E4451" t="str">
        <f>"7K"</f>
        <v>7K</v>
      </c>
      <c r="F4451" t="str">
        <f>"041"</f>
        <v>041</v>
      </c>
      <c r="G4451">
        <v>9</v>
      </c>
      <c r="H4451" t="str">
        <f>"11"</f>
        <v>11</v>
      </c>
      <c r="I4451" t="str">
        <f t="shared" si="934"/>
        <v>0</v>
      </c>
      <c r="J4451" t="str">
        <f>"03"</f>
        <v>03</v>
      </c>
      <c r="K4451">
        <v>20190125</v>
      </c>
      <c r="L4451" t="str">
        <f>"075399"</f>
        <v>075399</v>
      </c>
      <c r="M4451" t="str">
        <f>"58950"</f>
        <v>58950</v>
      </c>
      <c r="N4451" t="s">
        <v>2665</v>
      </c>
      <c r="O4451">
        <v>188.67</v>
      </c>
      <c r="P4451">
        <v>20190124</v>
      </c>
      <c r="Q4451" t="s">
        <v>2666</v>
      </c>
      <c r="R4451" t="s">
        <v>3596</v>
      </c>
      <c r="S4451" t="s">
        <v>1615</v>
      </c>
      <c r="T4451" t="s">
        <v>106</v>
      </c>
    </row>
    <row r="4452" spans="1:20" x14ac:dyDescent="0.25">
      <c r="A4452">
        <v>9</v>
      </c>
      <c r="B4452">
        <v>199</v>
      </c>
      <c r="C4452" t="str">
        <f>"36"</f>
        <v>36</v>
      </c>
      <c r="D4452">
        <v>6412</v>
      </c>
      <c r="E4452" t="str">
        <f>"09"</f>
        <v>09</v>
      </c>
      <c r="F4452" t="str">
        <f>"001"</f>
        <v>001</v>
      </c>
      <c r="G4452">
        <v>9</v>
      </c>
      <c r="H4452" t="str">
        <f t="shared" ref="H4452:H4459" si="935">"99"</f>
        <v>99</v>
      </c>
      <c r="I4452" t="str">
        <f t="shared" si="934"/>
        <v>0</v>
      </c>
      <c r="J4452" t="str">
        <f>"01"</f>
        <v>01</v>
      </c>
      <c r="K4452">
        <v>20190125</v>
      </c>
      <c r="L4452" t="str">
        <f>"075400"</f>
        <v>075400</v>
      </c>
      <c r="M4452" t="str">
        <f>"58975"</f>
        <v>58975</v>
      </c>
      <c r="N4452" t="s">
        <v>3597</v>
      </c>
      <c r="O4452">
        <v>160</v>
      </c>
      <c r="P4452">
        <v>20190125</v>
      </c>
      <c r="Q4452" t="s">
        <v>2427</v>
      </c>
      <c r="R4452" t="s">
        <v>3538</v>
      </c>
      <c r="S4452" t="s">
        <v>1615</v>
      </c>
      <c r="T4452" t="s">
        <v>301</v>
      </c>
    </row>
    <row r="4453" spans="1:20" x14ac:dyDescent="0.25">
      <c r="A4453">
        <v>9</v>
      </c>
      <c r="B4453">
        <v>199</v>
      </c>
      <c r="C4453" t="str">
        <f>"36"</f>
        <v>36</v>
      </c>
      <c r="D4453">
        <v>6412</v>
      </c>
      <c r="E4453" t="str">
        <f>"09"</f>
        <v>09</v>
      </c>
      <c r="F4453" t="str">
        <f>"001"</f>
        <v>001</v>
      </c>
      <c r="G4453">
        <v>9</v>
      </c>
      <c r="H4453" t="str">
        <f t="shared" si="935"/>
        <v>99</v>
      </c>
      <c r="I4453" t="str">
        <f t="shared" si="934"/>
        <v>0</v>
      </c>
      <c r="J4453" t="str">
        <f>"01"</f>
        <v>01</v>
      </c>
      <c r="K4453">
        <v>20190220</v>
      </c>
      <c r="L4453" t="str">
        <f>"075400"</f>
        <v>075400</v>
      </c>
      <c r="M4453" t="str">
        <f>"58975"</f>
        <v>58975</v>
      </c>
      <c r="N4453" t="s">
        <v>3597</v>
      </c>
      <c r="O4453">
        <v>-160</v>
      </c>
      <c r="P4453">
        <v>20190220</v>
      </c>
      <c r="Q4453" t="s">
        <v>2427</v>
      </c>
      <c r="R4453" t="s">
        <v>138</v>
      </c>
      <c r="S4453" t="s">
        <v>1615</v>
      </c>
      <c r="T4453" t="s">
        <v>301</v>
      </c>
    </row>
    <row r="4454" spans="1:20" x14ac:dyDescent="0.25">
      <c r="A4454">
        <v>9</v>
      </c>
      <c r="B4454">
        <v>199</v>
      </c>
      <c r="C4454" t="str">
        <f>"34"</f>
        <v>34</v>
      </c>
      <c r="D4454">
        <v>6429</v>
      </c>
      <c r="E4454" t="str">
        <f>"10"</f>
        <v>10</v>
      </c>
      <c r="F4454" t="str">
        <f>"937"</f>
        <v>937</v>
      </c>
      <c r="G4454">
        <v>9</v>
      </c>
      <c r="H4454" t="str">
        <f t="shared" si="935"/>
        <v>99</v>
      </c>
      <c r="I4454" t="str">
        <f t="shared" si="934"/>
        <v>0</v>
      </c>
      <c r="J4454" t="str">
        <f>"72"</f>
        <v>72</v>
      </c>
      <c r="K4454">
        <v>20190125</v>
      </c>
      <c r="L4454" t="str">
        <f>"075401"</f>
        <v>075401</v>
      </c>
      <c r="M4454" t="str">
        <f>"57304"</f>
        <v>57304</v>
      </c>
      <c r="N4454" t="s">
        <v>3225</v>
      </c>
      <c r="O4454" s="1">
        <v>1000</v>
      </c>
      <c r="P4454">
        <v>20190124</v>
      </c>
      <c r="Q4454" t="s">
        <v>3226</v>
      </c>
      <c r="R4454" t="s">
        <v>3598</v>
      </c>
      <c r="S4454" t="s">
        <v>1615</v>
      </c>
      <c r="T4454" t="s">
        <v>1810</v>
      </c>
    </row>
    <row r="4455" spans="1:20" x14ac:dyDescent="0.25">
      <c r="A4455">
        <v>9</v>
      </c>
      <c r="B4455">
        <v>199</v>
      </c>
      <c r="C4455" t="str">
        <f>"23"</f>
        <v>23</v>
      </c>
      <c r="D4455">
        <v>6498</v>
      </c>
      <c r="E4455" t="str">
        <f>"10"</f>
        <v>10</v>
      </c>
      <c r="F4455" t="str">
        <f>"001"</f>
        <v>001</v>
      </c>
      <c r="G4455">
        <v>9</v>
      </c>
      <c r="H4455" t="str">
        <f t="shared" si="935"/>
        <v>99</v>
      </c>
      <c r="I4455" t="str">
        <f t="shared" si="934"/>
        <v>0</v>
      </c>
      <c r="J4455" t="str">
        <f>"01"</f>
        <v>01</v>
      </c>
      <c r="K4455">
        <v>20190125</v>
      </c>
      <c r="L4455" t="str">
        <f>"075405"</f>
        <v>075405</v>
      </c>
      <c r="M4455" t="str">
        <f>"65106"</f>
        <v>65106</v>
      </c>
      <c r="N4455" t="s">
        <v>1175</v>
      </c>
      <c r="O4455">
        <v>283.86</v>
      </c>
      <c r="P4455">
        <v>20190124</v>
      </c>
      <c r="Q4455" t="s">
        <v>2108</v>
      </c>
      <c r="R4455" t="s">
        <v>3247</v>
      </c>
      <c r="S4455" t="s">
        <v>1615</v>
      </c>
      <c r="T4455" t="s">
        <v>301</v>
      </c>
    </row>
    <row r="4456" spans="1:20" x14ac:dyDescent="0.25">
      <c r="A4456">
        <v>9</v>
      </c>
      <c r="B4456">
        <v>199</v>
      </c>
      <c r="C4456" t="str">
        <f>"23"</f>
        <v>23</v>
      </c>
      <c r="D4456">
        <v>6498</v>
      </c>
      <c r="E4456" t="str">
        <f>"10"</f>
        <v>10</v>
      </c>
      <c r="F4456" t="str">
        <f>"001"</f>
        <v>001</v>
      </c>
      <c r="G4456">
        <v>9</v>
      </c>
      <c r="H4456" t="str">
        <f t="shared" si="935"/>
        <v>99</v>
      </c>
      <c r="I4456" t="str">
        <f t="shared" si="934"/>
        <v>0</v>
      </c>
      <c r="J4456" t="str">
        <f>"01"</f>
        <v>01</v>
      </c>
      <c r="K4456">
        <v>20190125</v>
      </c>
      <c r="L4456" t="str">
        <f>"075405"</f>
        <v>075405</v>
      </c>
      <c r="M4456" t="str">
        <f>"65106"</f>
        <v>65106</v>
      </c>
      <c r="N4456" t="s">
        <v>1175</v>
      </c>
      <c r="O4456">
        <v>52.86</v>
      </c>
      <c r="P4456">
        <v>20190124</v>
      </c>
      <c r="Q4456" t="s">
        <v>2108</v>
      </c>
      <c r="R4456" t="s">
        <v>3247</v>
      </c>
      <c r="S4456" t="s">
        <v>1615</v>
      </c>
      <c r="T4456" t="s">
        <v>301</v>
      </c>
    </row>
    <row r="4457" spans="1:20" x14ac:dyDescent="0.25">
      <c r="A4457">
        <v>9</v>
      </c>
      <c r="B4457">
        <v>199</v>
      </c>
      <c r="C4457" t="str">
        <f>"23"</f>
        <v>23</v>
      </c>
      <c r="D4457">
        <v>6498</v>
      </c>
      <c r="E4457" t="str">
        <f>"10"</f>
        <v>10</v>
      </c>
      <c r="F4457" t="str">
        <f>"001"</f>
        <v>001</v>
      </c>
      <c r="G4457">
        <v>9</v>
      </c>
      <c r="H4457" t="str">
        <f t="shared" si="935"/>
        <v>99</v>
      </c>
      <c r="I4457" t="str">
        <f t="shared" si="934"/>
        <v>0</v>
      </c>
      <c r="J4457" t="str">
        <f>"01"</f>
        <v>01</v>
      </c>
      <c r="K4457">
        <v>20190125</v>
      </c>
      <c r="L4457" t="str">
        <f>"075405"</f>
        <v>075405</v>
      </c>
      <c r="M4457" t="str">
        <f>"65106"</f>
        <v>65106</v>
      </c>
      <c r="N4457" t="s">
        <v>1175</v>
      </c>
      <c r="O4457">
        <v>53.92</v>
      </c>
      <c r="P4457">
        <v>20190125</v>
      </c>
      <c r="Q4457" t="s">
        <v>2108</v>
      </c>
      <c r="R4457" t="s">
        <v>3247</v>
      </c>
      <c r="S4457" t="s">
        <v>1615</v>
      </c>
      <c r="T4457" t="s">
        <v>301</v>
      </c>
    </row>
    <row r="4458" spans="1:20" x14ac:dyDescent="0.25">
      <c r="A4458">
        <v>9</v>
      </c>
      <c r="B4458">
        <v>199</v>
      </c>
      <c r="C4458" t="str">
        <f>"36"</f>
        <v>36</v>
      </c>
      <c r="D4458">
        <v>6399</v>
      </c>
      <c r="E4458" t="str">
        <f>"8S"</f>
        <v>8S</v>
      </c>
      <c r="F4458" t="str">
        <f>"001"</f>
        <v>001</v>
      </c>
      <c r="G4458">
        <v>9</v>
      </c>
      <c r="H4458" t="str">
        <f t="shared" si="935"/>
        <v>99</v>
      </c>
      <c r="I4458" t="str">
        <f t="shared" si="934"/>
        <v>0</v>
      </c>
      <c r="J4458" t="str">
        <f>"01"</f>
        <v>01</v>
      </c>
      <c r="K4458">
        <v>20190125</v>
      </c>
      <c r="L4458" t="str">
        <f>"075405"</f>
        <v>075405</v>
      </c>
      <c r="M4458" t="str">
        <f>"65106"</f>
        <v>65106</v>
      </c>
      <c r="N4458" t="s">
        <v>1175</v>
      </c>
      <c r="O4458">
        <v>443.4</v>
      </c>
      <c r="P4458">
        <v>20190124</v>
      </c>
      <c r="Q4458" t="s">
        <v>1780</v>
      </c>
      <c r="R4458" t="s">
        <v>3599</v>
      </c>
      <c r="S4458" t="s">
        <v>1615</v>
      </c>
      <c r="T4458" t="s">
        <v>301</v>
      </c>
    </row>
    <row r="4459" spans="1:20" x14ac:dyDescent="0.25">
      <c r="A4459">
        <v>9</v>
      </c>
      <c r="B4459">
        <v>199</v>
      </c>
      <c r="C4459" t="str">
        <f>"33"</f>
        <v>33</v>
      </c>
      <c r="D4459">
        <v>6399</v>
      </c>
      <c r="E4459" t="str">
        <f>"8F"</f>
        <v>8F</v>
      </c>
      <c r="F4459" t="str">
        <f>"104"</f>
        <v>104</v>
      </c>
      <c r="G4459">
        <v>9</v>
      </c>
      <c r="H4459" t="str">
        <f t="shared" si="935"/>
        <v>99</v>
      </c>
      <c r="I4459" t="str">
        <f t="shared" si="934"/>
        <v>0</v>
      </c>
      <c r="J4459" t="str">
        <f>"05"</f>
        <v>05</v>
      </c>
      <c r="K4459">
        <v>20190125</v>
      </c>
      <c r="L4459" t="str">
        <f>"075407"</f>
        <v>075407</v>
      </c>
      <c r="M4459" t="str">
        <f>"65817"</f>
        <v>65817</v>
      </c>
      <c r="N4459" t="s">
        <v>2321</v>
      </c>
      <c r="O4459" s="1">
        <v>1034.51</v>
      </c>
      <c r="P4459">
        <v>20190124</v>
      </c>
      <c r="Q4459" t="s">
        <v>3600</v>
      </c>
      <c r="R4459" t="s">
        <v>2323</v>
      </c>
      <c r="S4459" t="s">
        <v>1615</v>
      </c>
      <c r="T4459" t="s">
        <v>46</v>
      </c>
    </row>
    <row r="4460" spans="1:20" x14ac:dyDescent="0.25">
      <c r="A4460">
        <v>9</v>
      </c>
      <c r="B4460">
        <v>199</v>
      </c>
      <c r="C4460" t="str">
        <f>"11"</f>
        <v>11</v>
      </c>
      <c r="D4460">
        <v>6399</v>
      </c>
      <c r="E4460" t="str">
        <f>"P1"</f>
        <v>P1</v>
      </c>
      <c r="F4460" t="str">
        <f>"001"</f>
        <v>001</v>
      </c>
      <c r="G4460">
        <v>9</v>
      </c>
      <c r="H4460" t="str">
        <f>"11"</f>
        <v>11</v>
      </c>
      <c r="I4460" t="str">
        <f t="shared" si="934"/>
        <v>0</v>
      </c>
      <c r="J4460" t="str">
        <f>"01"</f>
        <v>01</v>
      </c>
      <c r="K4460">
        <v>20190125</v>
      </c>
      <c r="L4460" t="str">
        <f>"075410"</f>
        <v>075410</v>
      </c>
      <c r="M4460" t="str">
        <f>"70052"</f>
        <v>70052</v>
      </c>
      <c r="N4460" t="s">
        <v>3601</v>
      </c>
      <c r="O4460">
        <v>414.12</v>
      </c>
      <c r="P4460">
        <v>20190124</v>
      </c>
      <c r="Q4460" t="s">
        <v>2698</v>
      </c>
      <c r="R4460" t="s">
        <v>3602</v>
      </c>
      <c r="S4460" t="s">
        <v>1615</v>
      </c>
      <c r="T4460" t="s">
        <v>301</v>
      </c>
    </row>
    <row r="4461" spans="1:20" x14ac:dyDescent="0.25">
      <c r="A4461">
        <v>9</v>
      </c>
      <c r="B4461">
        <v>199</v>
      </c>
      <c r="C4461" t="str">
        <f>"11"</f>
        <v>11</v>
      </c>
      <c r="D4461">
        <v>6399</v>
      </c>
      <c r="E4461" t="str">
        <f>"P1"</f>
        <v>P1</v>
      </c>
      <c r="F4461" t="str">
        <f>"001"</f>
        <v>001</v>
      </c>
      <c r="G4461">
        <v>9</v>
      </c>
      <c r="H4461" t="str">
        <f>"11"</f>
        <v>11</v>
      </c>
      <c r="I4461" t="str">
        <f t="shared" si="934"/>
        <v>0</v>
      </c>
      <c r="J4461" t="str">
        <f>"01"</f>
        <v>01</v>
      </c>
      <c r="K4461">
        <v>20190125</v>
      </c>
      <c r="L4461" t="str">
        <f>"075410"</f>
        <v>075410</v>
      </c>
      <c r="M4461" t="str">
        <f>"70052"</f>
        <v>70052</v>
      </c>
      <c r="N4461" t="s">
        <v>3601</v>
      </c>
      <c r="O4461">
        <v>22.38</v>
      </c>
      <c r="P4461">
        <v>20190124</v>
      </c>
      <c r="Q4461" t="s">
        <v>2698</v>
      </c>
      <c r="R4461" t="s">
        <v>3603</v>
      </c>
      <c r="S4461" t="s">
        <v>1615</v>
      </c>
      <c r="T4461" t="s">
        <v>301</v>
      </c>
    </row>
    <row r="4462" spans="1:20" x14ac:dyDescent="0.25">
      <c r="A4462">
        <v>9</v>
      </c>
      <c r="B4462">
        <v>199</v>
      </c>
      <c r="C4462" t="str">
        <f>"11"</f>
        <v>11</v>
      </c>
      <c r="D4462">
        <v>6399</v>
      </c>
      <c r="E4462" t="str">
        <f>"45"</f>
        <v>45</v>
      </c>
      <c r="F4462" t="str">
        <f>"104"</f>
        <v>104</v>
      </c>
      <c r="G4462">
        <v>9</v>
      </c>
      <c r="H4462" t="str">
        <f>"11"</f>
        <v>11</v>
      </c>
      <c r="I4462" t="str">
        <f t="shared" si="934"/>
        <v>0</v>
      </c>
      <c r="J4462" t="str">
        <f>"05"</f>
        <v>05</v>
      </c>
      <c r="K4462">
        <v>20190125</v>
      </c>
      <c r="L4462" t="str">
        <f>"075412"</f>
        <v>075412</v>
      </c>
      <c r="M4462" t="str">
        <f>"72730"</f>
        <v>72730</v>
      </c>
      <c r="N4462" t="s">
        <v>639</v>
      </c>
      <c r="O4462">
        <v>196.06</v>
      </c>
      <c r="P4462">
        <v>20190124</v>
      </c>
      <c r="Q4462" t="s">
        <v>2069</v>
      </c>
      <c r="R4462" t="s">
        <v>641</v>
      </c>
      <c r="S4462" t="s">
        <v>1615</v>
      </c>
      <c r="T4462" t="s">
        <v>46</v>
      </c>
    </row>
    <row r="4463" spans="1:20" x14ac:dyDescent="0.25">
      <c r="A4463">
        <v>9</v>
      </c>
      <c r="B4463">
        <v>199</v>
      </c>
      <c r="C4463" t="str">
        <f>"23"</f>
        <v>23</v>
      </c>
      <c r="D4463">
        <v>6399</v>
      </c>
      <c r="E4463" t="str">
        <f>"8K"</f>
        <v>8K</v>
      </c>
      <c r="F4463" t="str">
        <f>"104"</f>
        <v>104</v>
      </c>
      <c r="G4463">
        <v>9</v>
      </c>
      <c r="H4463" t="str">
        <f t="shared" ref="H4463:H4469" si="936">"99"</f>
        <v>99</v>
      </c>
      <c r="I4463" t="str">
        <f t="shared" si="934"/>
        <v>0</v>
      </c>
      <c r="J4463" t="str">
        <f>"05"</f>
        <v>05</v>
      </c>
      <c r="K4463">
        <v>20190125</v>
      </c>
      <c r="L4463" t="str">
        <f>"075412"</f>
        <v>075412</v>
      </c>
      <c r="M4463" t="str">
        <f>"72730"</f>
        <v>72730</v>
      </c>
      <c r="N4463" t="s">
        <v>639</v>
      </c>
      <c r="O4463">
        <v>118.74</v>
      </c>
      <c r="P4463">
        <v>20190124</v>
      </c>
      <c r="Q4463" t="s">
        <v>2326</v>
      </c>
      <c r="R4463" t="s">
        <v>641</v>
      </c>
      <c r="S4463" t="s">
        <v>1615</v>
      </c>
      <c r="T4463" t="s">
        <v>46</v>
      </c>
    </row>
    <row r="4464" spans="1:20" x14ac:dyDescent="0.25">
      <c r="A4464">
        <v>9</v>
      </c>
      <c r="B4464">
        <v>199</v>
      </c>
      <c r="C4464" t="str">
        <f>"31"</f>
        <v>31</v>
      </c>
      <c r="D4464">
        <v>6399</v>
      </c>
      <c r="E4464" t="str">
        <f>"7F"</f>
        <v>7F</v>
      </c>
      <c r="F4464" t="str">
        <f>"104"</f>
        <v>104</v>
      </c>
      <c r="G4464">
        <v>9</v>
      </c>
      <c r="H4464" t="str">
        <f t="shared" si="936"/>
        <v>99</v>
      </c>
      <c r="I4464" t="str">
        <f t="shared" si="934"/>
        <v>0</v>
      </c>
      <c r="J4464" t="str">
        <f>"05"</f>
        <v>05</v>
      </c>
      <c r="K4464">
        <v>20190125</v>
      </c>
      <c r="L4464" t="str">
        <f>"075412"</f>
        <v>075412</v>
      </c>
      <c r="M4464" t="str">
        <f>"72730"</f>
        <v>72730</v>
      </c>
      <c r="N4464" t="s">
        <v>639</v>
      </c>
      <c r="O4464">
        <v>91.2</v>
      </c>
      <c r="P4464">
        <v>20190124</v>
      </c>
      <c r="Q4464" t="s">
        <v>1910</v>
      </c>
      <c r="R4464" t="s">
        <v>641</v>
      </c>
      <c r="S4464" t="s">
        <v>1615</v>
      </c>
      <c r="T4464" t="s">
        <v>46</v>
      </c>
    </row>
    <row r="4465" spans="1:20" x14ac:dyDescent="0.25">
      <c r="A4465">
        <v>9</v>
      </c>
      <c r="B4465">
        <v>199</v>
      </c>
      <c r="C4465" t="str">
        <f>"41"</f>
        <v>41</v>
      </c>
      <c r="D4465">
        <v>6399</v>
      </c>
      <c r="E4465" t="str">
        <f>"10"</f>
        <v>10</v>
      </c>
      <c r="F4465" t="str">
        <f>"726"</f>
        <v>726</v>
      </c>
      <c r="G4465">
        <v>9</v>
      </c>
      <c r="H4465" t="str">
        <f t="shared" si="936"/>
        <v>99</v>
      </c>
      <c r="I4465" t="str">
        <f t="shared" si="934"/>
        <v>0</v>
      </c>
      <c r="J4465" t="str">
        <f>"91"</f>
        <v>91</v>
      </c>
      <c r="K4465">
        <v>20190125</v>
      </c>
      <c r="L4465" t="str">
        <f>"075412"</f>
        <v>075412</v>
      </c>
      <c r="M4465" t="str">
        <f>"72730"</f>
        <v>72730</v>
      </c>
      <c r="N4465" t="s">
        <v>639</v>
      </c>
      <c r="O4465">
        <v>169.24</v>
      </c>
      <c r="P4465">
        <v>20190124</v>
      </c>
      <c r="Q4465" t="s">
        <v>2702</v>
      </c>
      <c r="R4465" t="s">
        <v>641</v>
      </c>
      <c r="S4465" t="s">
        <v>1615</v>
      </c>
      <c r="T4465" t="s">
        <v>2608</v>
      </c>
    </row>
    <row r="4466" spans="1:20" x14ac:dyDescent="0.25">
      <c r="A4466">
        <v>9</v>
      </c>
      <c r="B4466">
        <v>199</v>
      </c>
      <c r="C4466" t="str">
        <f>"23"</f>
        <v>23</v>
      </c>
      <c r="D4466">
        <v>6498</v>
      </c>
      <c r="E4466" t="str">
        <f>"10"</f>
        <v>10</v>
      </c>
      <c r="F4466" t="str">
        <f>"104"</f>
        <v>104</v>
      </c>
      <c r="G4466">
        <v>9</v>
      </c>
      <c r="H4466" t="str">
        <f t="shared" si="936"/>
        <v>99</v>
      </c>
      <c r="I4466" t="str">
        <f t="shared" si="934"/>
        <v>0</v>
      </c>
      <c r="J4466" t="str">
        <f>"05"</f>
        <v>05</v>
      </c>
      <c r="K4466">
        <v>20190125</v>
      </c>
      <c r="L4466" t="str">
        <f>"075413"</f>
        <v>075413</v>
      </c>
      <c r="M4466" t="str">
        <f>"74160"</f>
        <v>74160</v>
      </c>
      <c r="N4466" t="s">
        <v>3604</v>
      </c>
      <c r="O4466">
        <v>194</v>
      </c>
      <c r="P4466">
        <v>20190124</v>
      </c>
      <c r="Q4466" t="s">
        <v>2402</v>
      </c>
      <c r="R4466" t="s">
        <v>3605</v>
      </c>
      <c r="S4466" t="s">
        <v>1615</v>
      </c>
      <c r="T4466" t="s">
        <v>46</v>
      </c>
    </row>
    <row r="4467" spans="1:20" x14ac:dyDescent="0.25">
      <c r="A4467">
        <v>9</v>
      </c>
      <c r="B4467">
        <v>199</v>
      </c>
      <c r="C4467" t="str">
        <f>"23"</f>
        <v>23</v>
      </c>
      <c r="D4467">
        <v>6498</v>
      </c>
      <c r="E4467" t="str">
        <f>"10"</f>
        <v>10</v>
      </c>
      <c r="F4467" t="str">
        <f>"104"</f>
        <v>104</v>
      </c>
      <c r="G4467">
        <v>9</v>
      </c>
      <c r="H4467" t="str">
        <f t="shared" si="936"/>
        <v>99</v>
      </c>
      <c r="I4467" t="str">
        <f t="shared" si="934"/>
        <v>0</v>
      </c>
      <c r="J4467" t="str">
        <f>"05"</f>
        <v>05</v>
      </c>
      <c r="K4467">
        <v>20190125</v>
      </c>
      <c r="L4467" t="str">
        <f>"075413"</f>
        <v>075413</v>
      </c>
      <c r="M4467" t="str">
        <f>"74160"</f>
        <v>74160</v>
      </c>
      <c r="N4467" t="s">
        <v>3604</v>
      </c>
      <c r="O4467">
        <v>116.4</v>
      </c>
      <c r="P4467">
        <v>20190124</v>
      </c>
      <c r="Q4467" t="s">
        <v>2402</v>
      </c>
      <c r="R4467" t="s">
        <v>3605</v>
      </c>
      <c r="S4467" t="s">
        <v>1615</v>
      </c>
      <c r="T4467" t="s">
        <v>46</v>
      </c>
    </row>
    <row r="4468" spans="1:20" x14ac:dyDescent="0.25">
      <c r="A4468">
        <v>9</v>
      </c>
      <c r="B4468">
        <v>199</v>
      </c>
      <c r="C4468" t="str">
        <f>"36"</f>
        <v>36</v>
      </c>
      <c r="D4468">
        <v>6495</v>
      </c>
      <c r="E4468" t="str">
        <f>"7B"</f>
        <v>7B</v>
      </c>
      <c r="F4468" t="str">
        <f>"041"</f>
        <v>041</v>
      </c>
      <c r="G4468">
        <v>9</v>
      </c>
      <c r="H4468" t="str">
        <f t="shared" si="936"/>
        <v>99</v>
      </c>
      <c r="I4468" t="str">
        <f t="shared" si="934"/>
        <v>0</v>
      </c>
      <c r="J4468" t="str">
        <f>"36"</f>
        <v>36</v>
      </c>
      <c r="K4468">
        <v>20190125</v>
      </c>
      <c r="L4468" t="str">
        <f>"075414"</f>
        <v>075414</v>
      </c>
      <c r="M4468" t="str">
        <f>"78727"</f>
        <v>78727</v>
      </c>
      <c r="N4468" t="s">
        <v>1842</v>
      </c>
      <c r="O4468">
        <v>50</v>
      </c>
      <c r="P4468">
        <v>20190124</v>
      </c>
      <c r="Q4468" t="s">
        <v>2537</v>
      </c>
      <c r="R4468" t="s">
        <v>3606</v>
      </c>
      <c r="S4468" t="s">
        <v>1615</v>
      </c>
      <c r="T4468" t="s">
        <v>106</v>
      </c>
    </row>
    <row r="4469" spans="1:20" x14ac:dyDescent="0.25">
      <c r="A4469">
        <v>9</v>
      </c>
      <c r="B4469">
        <v>199</v>
      </c>
      <c r="C4469" t="str">
        <f>"36"</f>
        <v>36</v>
      </c>
      <c r="D4469">
        <v>6495</v>
      </c>
      <c r="E4469" t="str">
        <f>"7B"</f>
        <v>7B</v>
      </c>
      <c r="F4469" t="str">
        <f>"041"</f>
        <v>041</v>
      </c>
      <c r="G4469">
        <v>9</v>
      </c>
      <c r="H4469" t="str">
        <f t="shared" si="936"/>
        <v>99</v>
      </c>
      <c r="I4469" t="str">
        <f t="shared" si="934"/>
        <v>0</v>
      </c>
      <c r="J4469" t="str">
        <f>"36"</f>
        <v>36</v>
      </c>
      <c r="K4469">
        <v>20190125</v>
      </c>
      <c r="L4469" t="str">
        <f>"075415"</f>
        <v>075415</v>
      </c>
      <c r="M4469" t="str">
        <f>"78729"</f>
        <v>78729</v>
      </c>
      <c r="N4469" t="s">
        <v>2535</v>
      </c>
      <c r="O4469">
        <v>368</v>
      </c>
      <c r="P4469">
        <v>20190124</v>
      </c>
      <c r="Q4469" t="s">
        <v>2537</v>
      </c>
      <c r="R4469" t="s">
        <v>3607</v>
      </c>
      <c r="S4469" t="s">
        <v>1615</v>
      </c>
      <c r="T4469" t="s">
        <v>106</v>
      </c>
    </row>
    <row r="4470" spans="1:20" x14ac:dyDescent="0.25">
      <c r="A4470">
        <v>9</v>
      </c>
      <c r="B4470">
        <v>199</v>
      </c>
      <c r="C4470" t="str">
        <f t="shared" ref="C4470:C4476" si="937">"11"</f>
        <v>11</v>
      </c>
      <c r="D4470">
        <v>6395</v>
      </c>
      <c r="E4470" t="str">
        <f>"10"</f>
        <v>10</v>
      </c>
      <c r="F4470" t="str">
        <f>"001"</f>
        <v>001</v>
      </c>
      <c r="G4470">
        <v>9</v>
      </c>
      <c r="H4470" t="str">
        <f t="shared" ref="H4470:H4476" si="938">"11"</f>
        <v>11</v>
      </c>
      <c r="I4470" t="str">
        <f t="shared" si="934"/>
        <v>0</v>
      </c>
      <c r="J4470" t="str">
        <f>"01"</f>
        <v>01</v>
      </c>
      <c r="K4470">
        <v>20190125</v>
      </c>
      <c r="L4470" t="str">
        <f t="shared" ref="L4470:L4479" si="939">"075419"</f>
        <v>075419</v>
      </c>
      <c r="M4470" t="str">
        <f t="shared" ref="M4470:M4479" si="940">"81303"</f>
        <v>81303</v>
      </c>
      <c r="N4470" t="s">
        <v>66</v>
      </c>
      <c r="O4470">
        <v>50</v>
      </c>
      <c r="P4470">
        <v>20190124</v>
      </c>
      <c r="Q4470" t="s">
        <v>1929</v>
      </c>
      <c r="R4470" t="s">
        <v>3608</v>
      </c>
      <c r="S4470" t="s">
        <v>1615</v>
      </c>
      <c r="T4470" t="s">
        <v>301</v>
      </c>
    </row>
    <row r="4471" spans="1:20" x14ac:dyDescent="0.25">
      <c r="A4471">
        <v>9</v>
      </c>
      <c r="B4471">
        <v>199</v>
      </c>
      <c r="C4471" t="str">
        <f t="shared" si="937"/>
        <v>11</v>
      </c>
      <c r="D4471">
        <v>6395</v>
      </c>
      <c r="E4471" t="str">
        <f>"10"</f>
        <v>10</v>
      </c>
      <c r="F4471" t="str">
        <f>"001"</f>
        <v>001</v>
      </c>
      <c r="G4471">
        <v>9</v>
      </c>
      <c r="H4471" t="str">
        <f t="shared" si="938"/>
        <v>11</v>
      </c>
      <c r="I4471" t="str">
        <f t="shared" si="934"/>
        <v>0</v>
      </c>
      <c r="J4471" t="str">
        <f>"01"</f>
        <v>01</v>
      </c>
      <c r="K4471">
        <v>20190125</v>
      </c>
      <c r="L4471" t="str">
        <f t="shared" si="939"/>
        <v>075419</v>
      </c>
      <c r="M4471" t="str">
        <f t="shared" si="940"/>
        <v>81303</v>
      </c>
      <c r="N4471" t="s">
        <v>66</v>
      </c>
      <c r="O4471">
        <v>55</v>
      </c>
      <c r="P4471">
        <v>20190124</v>
      </c>
      <c r="Q4471" t="s">
        <v>1929</v>
      </c>
      <c r="R4471" t="s">
        <v>3609</v>
      </c>
      <c r="S4471" t="s">
        <v>1615</v>
      </c>
      <c r="T4471" t="s">
        <v>301</v>
      </c>
    </row>
    <row r="4472" spans="1:20" x14ac:dyDescent="0.25">
      <c r="A4472">
        <v>9</v>
      </c>
      <c r="B4472">
        <v>199</v>
      </c>
      <c r="C4472" t="str">
        <f t="shared" si="937"/>
        <v>11</v>
      </c>
      <c r="D4472">
        <v>6395</v>
      </c>
      <c r="E4472" t="str">
        <f>"10"</f>
        <v>10</v>
      </c>
      <c r="F4472" t="str">
        <f>"001"</f>
        <v>001</v>
      </c>
      <c r="G4472">
        <v>9</v>
      </c>
      <c r="H4472" t="str">
        <f t="shared" si="938"/>
        <v>11</v>
      </c>
      <c r="I4472" t="str">
        <f t="shared" si="934"/>
        <v>0</v>
      </c>
      <c r="J4472" t="str">
        <f>"01"</f>
        <v>01</v>
      </c>
      <c r="K4472">
        <v>20190125</v>
      </c>
      <c r="L4472" t="str">
        <f t="shared" si="939"/>
        <v>075419</v>
      </c>
      <c r="M4472" t="str">
        <f t="shared" si="940"/>
        <v>81303</v>
      </c>
      <c r="N4472" t="s">
        <v>66</v>
      </c>
      <c r="O4472">
        <v>450</v>
      </c>
      <c r="P4472">
        <v>20190124</v>
      </c>
      <c r="Q4472" t="s">
        <v>1929</v>
      </c>
      <c r="R4472" t="s">
        <v>3482</v>
      </c>
      <c r="S4472" t="s">
        <v>1615</v>
      </c>
      <c r="T4472" t="s">
        <v>301</v>
      </c>
    </row>
    <row r="4473" spans="1:20" x14ac:dyDescent="0.25">
      <c r="A4473">
        <v>9</v>
      </c>
      <c r="B4473">
        <v>199</v>
      </c>
      <c r="C4473" t="str">
        <f t="shared" si="937"/>
        <v>11</v>
      </c>
      <c r="D4473">
        <v>6395</v>
      </c>
      <c r="E4473" t="str">
        <f>"10"</f>
        <v>10</v>
      </c>
      <c r="F4473" t="str">
        <f>"001"</f>
        <v>001</v>
      </c>
      <c r="G4473">
        <v>9</v>
      </c>
      <c r="H4473" t="str">
        <f t="shared" si="938"/>
        <v>11</v>
      </c>
      <c r="I4473" t="str">
        <f t="shared" si="934"/>
        <v>0</v>
      </c>
      <c r="J4473" t="str">
        <f>"01"</f>
        <v>01</v>
      </c>
      <c r="K4473">
        <v>20190125</v>
      </c>
      <c r="L4473" t="str">
        <f t="shared" si="939"/>
        <v>075419</v>
      </c>
      <c r="M4473" t="str">
        <f t="shared" si="940"/>
        <v>81303</v>
      </c>
      <c r="N4473" t="s">
        <v>66</v>
      </c>
      <c r="O4473">
        <v>486.7</v>
      </c>
      <c r="P4473">
        <v>20190124</v>
      </c>
      <c r="Q4473" t="s">
        <v>1929</v>
      </c>
      <c r="R4473" t="s">
        <v>3610</v>
      </c>
      <c r="S4473" t="s">
        <v>1615</v>
      </c>
      <c r="T4473" t="s">
        <v>301</v>
      </c>
    </row>
    <row r="4474" spans="1:20" x14ac:dyDescent="0.25">
      <c r="A4474">
        <v>9</v>
      </c>
      <c r="B4474">
        <v>199</v>
      </c>
      <c r="C4474" t="str">
        <f t="shared" si="937"/>
        <v>11</v>
      </c>
      <c r="D4474">
        <v>6395</v>
      </c>
      <c r="E4474" t="str">
        <f>"10"</f>
        <v>10</v>
      </c>
      <c r="F4474" t="str">
        <f>"001"</f>
        <v>001</v>
      </c>
      <c r="G4474">
        <v>9</v>
      </c>
      <c r="H4474" t="str">
        <f t="shared" si="938"/>
        <v>11</v>
      </c>
      <c r="I4474" t="str">
        <f t="shared" si="934"/>
        <v>0</v>
      </c>
      <c r="J4474" t="str">
        <f>"01"</f>
        <v>01</v>
      </c>
      <c r="K4474">
        <v>20190125</v>
      </c>
      <c r="L4474" t="str">
        <f t="shared" si="939"/>
        <v>075419</v>
      </c>
      <c r="M4474" t="str">
        <f t="shared" si="940"/>
        <v>81303</v>
      </c>
      <c r="N4474" t="s">
        <v>66</v>
      </c>
      <c r="O4474">
        <v>146.5</v>
      </c>
      <c r="P4474">
        <v>20190124</v>
      </c>
      <c r="Q4474" t="s">
        <v>1929</v>
      </c>
      <c r="R4474" t="s">
        <v>3611</v>
      </c>
      <c r="S4474" t="s">
        <v>1615</v>
      </c>
      <c r="T4474" t="s">
        <v>301</v>
      </c>
    </row>
    <row r="4475" spans="1:20" x14ac:dyDescent="0.25">
      <c r="A4475">
        <v>9</v>
      </c>
      <c r="B4475">
        <v>199</v>
      </c>
      <c r="C4475" t="str">
        <f t="shared" si="937"/>
        <v>11</v>
      </c>
      <c r="D4475">
        <v>6395</v>
      </c>
      <c r="E4475" t="str">
        <f>"45"</f>
        <v>45</v>
      </c>
      <c r="F4475" t="str">
        <f>"101"</f>
        <v>101</v>
      </c>
      <c r="G4475">
        <v>9</v>
      </c>
      <c r="H4475" t="str">
        <f t="shared" si="938"/>
        <v>11</v>
      </c>
      <c r="I4475" t="str">
        <f t="shared" si="934"/>
        <v>0</v>
      </c>
      <c r="J4475" t="str">
        <f>"04"</f>
        <v>04</v>
      </c>
      <c r="K4475">
        <v>20190125</v>
      </c>
      <c r="L4475" t="str">
        <f t="shared" si="939"/>
        <v>075419</v>
      </c>
      <c r="M4475" t="str">
        <f t="shared" si="940"/>
        <v>81303</v>
      </c>
      <c r="N4475" t="s">
        <v>66</v>
      </c>
      <c r="O4475">
        <v>50</v>
      </c>
      <c r="P4475">
        <v>20190124</v>
      </c>
      <c r="Q4475" t="s">
        <v>2542</v>
      </c>
      <c r="R4475" t="s">
        <v>3612</v>
      </c>
      <c r="S4475" t="s">
        <v>1615</v>
      </c>
      <c r="T4475" t="s">
        <v>1479</v>
      </c>
    </row>
    <row r="4476" spans="1:20" x14ac:dyDescent="0.25">
      <c r="A4476">
        <v>9</v>
      </c>
      <c r="B4476">
        <v>199</v>
      </c>
      <c r="C4476" t="str">
        <f t="shared" si="937"/>
        <v>11</v>
      </c>
      <c r="D4476">
        <v>6399</v>
      </c>
      <c r="E4476" t="str">
        <f>"7E"</f>
        <v>7E</v>
      </c>
      <c r="F4476" t="str">
        <f>"041"</f>
        <v>041</v>
      </c>
      <c r="G4476">
        <v>9</v>
      </c>
      <c r="H4476" t="str">
        <f t="shared" si="938"/>
        <v>11</v>
      </c>
      <c r="I4476" t="str">
        <f t="shared" si="934"/>
        <v>0</v>
      </c>
      <c r="J4476" t="str">
        <f>"35"</f>
        <v>35</v>
      </c>
      <c r="K4476">
        <v>20190125</v>
      </c>
      <c r="L4476" t="str">
        <f t="shared" si="939"/>
        <v>075419</v>
      </c>
      <c r="M4476" t="str">
        <f t="shared" si="940"/>
        <v>81303</v>
      </c>
      <c r="N4476" t="s">
        <v>66</v>
      </c>
      <c r="O4476">
        <v>50</v>
      </c>
      <c r="P4476">
        <v>20190124</v>
      </c>
      <c r="Q4476" t="s">
        <v>2655</v>
      </c>
      <c r="R4476" t="s">
        <v>3613</v>
      </c>
      <c r="S4476" t="s">
        <v>1615</v>
      </c>
      <c r="T4476" t="s">
        <v>106</v>
      </c>
    </row>
    <row r="4477" spans="1:20" x14ac:dyDescent="0.25">
      <c r="A4477">
        <v>9</v>
      </c>
      <c r="B4477">
        <v>199</v>
      </c>
      <c r="C4477" t="str">
        <f>"31"</f>
        <v>31</v>
      </c>
      <c r="D4477">
        <v>6395</v>
      </c>
      <c r="E4477" t="str">
        <f>"7F"</f>
        <v>7F</v>
      </c>
      <c r="F4477" t="str">
        <f>"001"</f>
        <v>001</v>
      </c>
      <c r="G4477">
        <v>9</v>
      </c>
      <c r="H4477" t="str">
        <f t="shared" ref="H4477:H4487" si="941">"99"</f>
        <v>99</v>
      </c>
      <c r="I4477" t="str">
        <f t="shared" si="934"/>
        <v>0</v>
      </c>
      <c r="J4477" t="str">
        <f>"01"</f>
        <v>01</v>
      </c>
      <c r="K4477">
        <v>20190125</v>
      </c>
      <c r="L4477" t="str">
        <f t="shared" si="939"/>
        <v>075419</v>
      </c>
      <c r="M4477" t="str">
        <f t="shared" si="940"/>
        <v>81303</v>
      </c>
      <c r="N4477" t="s">
        <v>66</v>
      </c>
      <c r="O4477" s="1">
        <v>5175</v>
      </c>
      <c r="P4477">
        <v>20190124</v>
      </c>
      <c r="Q4477" t="s">
        <v>1934</v>
      </c>
      <c r="R4477" t="s">
        <v>3614</v>
      </c>
      <c r="S4477" t="s">
        <v>1615</v>
      </c>
      <c r="T4477" t="s">
        <v>301</v>
      </c>
    </row>
    <row r="4478" spans="1:20" x14ac:dyDescent="0.25">
      <c r="A4478">
        <v>9</v>
      </c>
      <c r="B4478">
        <v>199</v>
      </c>
      <c r="C4478" t="str">
        <f>"31"</f>
        <v>31</v>
      </c>
      <c r="D4478">
        <v>6395</v>
      </c>
      <c r="E4478" t="str">
        <f>"7F"</f>
        <v>7F</v>
      </c>
      <c r="F4478" t="str">
        <f>"001"</f>
        <v>001</v>
      </c>
      <c r="G4478">
        <v>9</v>
      </c>
      <c r="H4478" t="str">
        <f t="shared" si="941"/>
        <v>99</v>
      </c>
      <c r="I4478" t="str">
        <f t="shared" si="934"/>
        <v>0</v>
      </c>
      <c r="J4478" t="str">
        <f>"01"</f>
        <v>01</v>
      </c>
      <c r="K4478">
        <v>20190125</v>
      </c>
      <c r="L4478" t="str">
        <f t="shared" si="939"/>
        <v>075419</v>
      </c>
      <c r="M4478" t="str">
        <f t="shared" si="940"/>
        <v>81303</v>
      </c>
      <c r="N4478" t="s">
        <v>66</v>
      </c>
      <c r="O4478">
        <v>525</v>
      </c>
      <c r="P4478">
        <v>20190124</v>
      </c>
      <c r="Q4478" t="s">
        <v>1934</v>
      </c>
      <c r="R4478" t="s">
        <v>3482</v>
      </c>
      <c r="S4478" t="s">
        <v>1615</v>
      </c>
      <c r="T4478" t="s">
        <v>301</v>
      </c>
    </row>
    <row r="4479" spans="1:20" x14ac:dyDescent="0.25">
      <c r="A4479">
        <v>9</v>
      </c>
      <c r="B4479">
        <v>199</v>
      </c>
      <c r="C4479" t="str">
        <f>"41"</f>
        <v>41</v>
      </c>
      <c r="D4479">
        <v>6395</v>
      </c>
      <c r="E4479" t="str">
        <f>"10"</f>
        <v>10</v>
      </c>
      <c r="F4479" t="str">
        <f>"701"</f>
        <v>701</v>
      </c>
      <c r="G4479">
        <v>9</v>
      </c>
      <c r="H4479" t="str">
        <f t="shared" si="941"/>
        <v>99</v>
      </c>
      <c r="I4479" t="str">
        <f t="shared" si="934"/>
        <v>0</v>
      </c>
      <c r="J4479" t="str">
        <f>"92"</f>
        <v>92</v>
      </c>
      <c r="K4479">
        <v>20190125</v>
      </c>
      <c r="L4479" t="str">
        <f t="shared" si="939"/>
        <v>075419</v>
      </c>
      <c r="M4479" t="str">
        <f t="shared" si="940"/>
        <v>81303</v>
      </c>
      <c r="N4479" t="s">
        <v>66</v>
      </c>
      <c r="O4479">
        <v>59.85</v>
      </c>
      <c r="P4479">
        <v>20190124</v>
      </c>
      <c r="Q4479" t="s">
        <v>3484</v>
      </c>
      <c r="R4479" t="s">
        <v>3615</v>
      </c>
      <c r="S4479" t="s">
        <v>1615</v>
      </c>
      <c r="T4479" t="s">
        <v>1841</v>
      </c>
    </row>
    <row r="4480" spans="1:20" x14ac:dyDescent="0.25">
      <c r="A4480">
        <v>9</v>
      </c>
      <c r="B4480">
        <v>199</v>
      </c>
      <c r="C4480" t="str">
        <f>"23"</f>
        <v>23</v>
      </c>
      <c r="D4480">
        <v>6498</v>
      </c>
      <c r="E4480" t="str">
        <f>"99"</f>
        <v>99</v>
      </c>
      <c r="F4480" t="str">
        <f>"041"</f>
        <v>041</v>
      </c>
      <c r="G4480">
        <v>9</v>
      </c>
      <c r="H4480" t="str">
        <f t="shared" si="941"/>
        <v>99</v>
      </c>
      <c r="I4480" t="str">
        <f t="shared" si="934"/>
        <v>0</v>
      </c>
      <c r="J4480" t="str">
        <f>"03"</f>
        <v>03</v>
      </c>
      <c r="K4480">
        <v>20190125</v>
      </c>
      <c r="L4480" t="str">
        <f>"075423"</f>
        <v>075423</v>
      </c>
      <c r="M4480" t="str">
        <f>"83022"</f>
        <v>83022</v>
      </c>
      <c r="N4480" t="s">
        <v>691</v>
      </c>
      <c r="O4480">
        <v>85.88</v>
      </c>
      <c r="P4480">
        <v>20190124</v>
      </c>
      <c r="Q4480" t="s">
        <v>2140</v>
      </c>
      <c r="R4480" t="s">
        <v>3616</v>
      </c>
      <c r="S4480" t="s">
        <v>1615</v>
      </c>
      <c r="T4480" t="s">
        <v>106</v>
      </c>
    </row>
    <row r="4481" spans="1:20" x14ac:dyDescent="0.25">
      <c r="A4481">
        <v>9</v>
      </c>
      <c r="B4481">
        <v>199</v>
      </c>
      <c r="C4481" t="str">
        <f>"23"</f>
        <v>23</v>
      </c>
      <c r="D4481">
        <v>6498</v>
      </c>
      <c r="E4481" t="str">
        <f>"99"</f>
        <v>99</v>
      </c>
      <c r="F4481" t="str">
        <f>"041"</f>
        <v>041</v>
      </c>
      <c r="G4481">
        <v>9</v>
      </c>
      <c r="H4481" t="str">
        <f t="shared" si="941"/>
        <v>99</v>
      </c>
      <c r="I4481" t="str">
        <f t="shared" si="934"/>
        <v>0</v>
      </c>
      <c r="J4481" t="str">
        <f>"03"</f>
        <v>03</v>
      </c>
      <c r="K4481">
        <v>20190125</v>
      </c>
      <c r="L4481" t="str">
        <f>"075423"</f>
        <v>075423</v>
      </c>
      <c r="M4481" t="str">
        <f>"83022"</f>
        <v>83022</v>
      </c>
      <c r="N4481" t="s">
        <v>691</v>
      </c>
      <c r="O4481">
        <v>319.63</v>
      </c>
      <c r="P4481">
        <v>20190124</v>
      </c>
      <c r="Q4481" t="s">
        <v>2140</v>
      </c>
      <c r="R4481" t="s">
        <v>3616</v>
      </c>
      <c r="S4481" t="s">
        <v>1615</v>
      </c>
      <c r="T4481" t="s">
        <v>106</v>
      </c>
    </row>
    <row r="4482" spans="1:20" x14ac:dyDescent="0.25">
      <c r="A4482">
        <v>9</v>
      </c>
      <c r="B4482">
        <v>199</v>
      </c>
      <c r="C4482" t="str">
        <f>"41"</f>
        <v>41</v>
      </c>
      <c r="D4482">
        <v>6498</v>
      </c>
      <c r="E4482" t="str">
        <f>"10"</f>
        <v>10</v>
      </c>
      <c r="F4482" t="str">
        <f>"701"</f>
        <v>701</v>
      </c>
      <c r="G4482">
        <v>9</v>
      </c>
      <c r="H4482" t="str">
        <f t="shared" si="941"/>
        <v>99</v>
      </c>
      <c r="I4482" t="str">
        <f t="shared" si="934"/>
        <v>0</v>
      </c>
      <c r="J4482" t="str">
        <f>"92"</f>
        <v>92</v>
      </c>
      <c r="K4482">
        <v>20190125</v>
      </c>
      <c r="L4482" t="str">
        <f>"075423"</f>
        <v>075423</v>
      </c>
      <c r="M4482" t="str">
        <f>"83022"</f>
        <v>83022</v>
      </c>
      <c r="N4482" t="s">
        <v>691</v>
      </c>
      <c r="O4482">
        <v>98.8</v>
      </c>
      <c r="P4482">
        <v>20190124</v>
      </c>
      <c r="Q4482" t="s">
        <v>2202</v>
      </c>
      <c r="R4482" t="s">
        <v>3617</v>
      </c>
      <c r="S4482" t="s">
        <v>1615</v>
      </c>
      <c r="T4482" t="s">
        <v>1841</v>
      </c>
    </row>
    <row r="4483" spans="1:20" x14ac:dyDescent="0.25">
      <c r="A4483">
        <v>9</v>
      </c>
      <c r="B4483">
        <v>199</v>
      </c>
      <c r="C4483" t="str">
        <f>"51"</f>
        <v>51</v>
      </c>
      <c r="D4483">
        <v>6498</v>
      </c>
      <c r="E4483" t="str">
        <f>"10"</f>
        <v>10</v>
      </c>
      <c r="F4483" t="str">
        <f>"936"</f>
        <v>936</v>
      </c>
      <c r="G4483">
        <v>9</v>
      </c>
      <c r="H4483" t="str">
        <f t="shared" si="941"/>
        <v>99</v>
      </c>
      <c r="I4483" t="str">
        <f t="shared" si="934"/>
        <v>0</v>
      </c>
      <c r="J4483" t="str">
        <f>"81"</f>
        <v>81</v>
      </c>
      <c r="K4483">
        <v>20190125</v>
      </c>
      <c r="L4483" t="str">
        <f>"075423"</f>
        <v>075423</v>
      </c>
      <c r="M4483" t="str">
        <f>"83022"</f>
        <v>83022</v>
      </c>
      <c r="N4483" t="s">
        <v>691</v>
      </c>
      <c r="O4483">
        <v>345.5</v>
      </c>
      <c r="P4483">
        <v>20190124</v>
      </c>
      <c r="Q4483" t="s">
        <v>3316</v>
      </c>
      <c r="R4483" t="s">
        <v>3492</v>
      </c>
      <c r="S4483" t="s">
        <v>1615</v>
      </c>
      <c r="T4483" t="s">
        <v>1713</v>
      </c>
    </row>
    <row r="4484" spans="1:20" x14ac:dyDescent="0.25">
      <c r="A4484">
        <v>9</v>
      </c>
      <c r="B4484">
        <v>199</v>
      </c>
      <c r="C4484" t="str">
        <f>"51"</f>
        <v>51</v>
      </c>
      <c r="D4484">
        <v>6256</v>
      </c>
      <c r="E4484" t="str">
        <f>"10"</f>
        <v>10</v>
      </c>
      <c r="F4484" t="str">
        <f>"880"</f>
        <v>880</v>
      </c>
      <c r="G4484">
        <v>9</v>
      </c>
      <c r="H4484" t="str">
        <f t="shared" si="941"/>
        <v>99</v>
      </c>
      <c r="I4484" t="str">
        <f t="shared" si="934"/>
        <v>0</v>
      </c>
      <c r="J4484" t="str">
        <f>"80"</f>
        <v>80</v>
      </c>
      <c r="K4484">
        <v>20190131</v>
      </c>
      <c r="L4484" t="str">
        <f>"075436"</f>
        <v>075436</v>
      </c>
      <c r="M4484" t="str">
        <f>"00390"</f>
        <v>00390</v>
      </c>
      <c r="N4484" t="s">
        <v>1869</v>
      </c>
      <c r="O4484">
        <v>95.12</v>
      </c>
      <c r="P4484">
        <v>20190130</v>
      </c>
      <c r="Q4484" t="s">
        <v>1870</v>
      </c>
      <c r="R4484" t="s">
        <v>3618</v>
      </c>
      <c r="S4484" t="s">
        <v>1615</v>
      </c>
      <c r="T4484" t="s">
        <v>1866</v>
      </c>
    </row>
    <row r="4485" spans="1:20" x14ac:dyDescent="0.25">
      <c r="A4485">
        <v>9</v>
      </c>
      <c r="B4485">
        <v>199</v>
      </c>
      <c r="C4485" t="str">
        <f>"51"</f>
        <v>51</v>
      </c>
      <c r="D4485">
        <v>6256</v>
      </c>
      <c r="E4485" t="str">
        <f>"10"</f>
        <v>10</v>
      </c>
      <c r="F4485" t="str">
        <f>"880"</f>
        <v>880</v>
      </c>
      <c r="G4485">
        <v>9</v>
      </c>
      <c r="H4485" t="str">
        <f t="shared" si="941"/>
        <v>99</v>
      </c>
      <c r="I4485" t="str">
        <f t="shared" si="934"/>
        <v>0</v>
      </c>
      <c r="J4485" t="str">
        <f>"80"</f>
        <v>80</v>
      </c>
      <c r="K4485">
        <v>20190131</v>
      </c>
      <c r="L4485" t="str">
        <f>"075436"</f>
        <v>075436</v>
      </c>
      <c r="M4485" t="str">
        <f>"00390"</f>
        <v>00390</v>
      </c>
      <c r="N4485" t="s">
        <v>1869</v>
      </c>
      <c r="O4485" s="1">
        <v>4357.4399999999996</v>
      </c>
      <c r="P4485">
        <v>20190130</v>
      </c>
      <c r="Q4485" t="s">
        <v>1870</v>
      </c>
      <c r="R4485" t="s">
        <v>3618</v>
      </c>
      <c r="S4485" t="s">
        <v>1615</v>
      </c>
      <c r="T4485" t="s">
        <v>1866</v>
      </c>
    </row>
    <row r="4486" spans="1:20" x14ac:dyDescent="0.25">
      <c r="A4486">
        <v>9</v>
      </c>
      <c r="B4486">
        <v>199</v>
      </c>
      <c r="C4486" t="str">
        <f>"71"</f>
        <v>71</v>
      </c>
      <c r="D4486">
        <v>6513</v>
      </c>
      <c r="E4486" t="str">
        <f>"14"</f>
        <v>14</v>
      </c>
      <c r="F4486" t="str">
        <f>"999"</f>
        <v>999</v>
      </c>
      <c r="G4486">
        <v>9</v>
      </c>
      <c r="H4486" t="str">
        <f t="shared" si="941"/>
        <v>99</v>
      </c>
      <c r="I4486" t="str">
        <f t="shared" si="934"/>
        <v>0</v>
      </c>
      <c r="J4486" t="str">
        <f>"75"</f>
        <v>75</v>
      </c>
      <c r="K4486">
        <v>20190131</v>
      </c>
      <c r="L4486" t="str">
        <f>"075438"</f>
        <v>075438</v>
      </c>
      <c r="M4486" t="str">
        <f>"12348"</f>
        <v>12348</v>
      </c>
      <c r="N4486" t="s">
        <v>3619</v>
      </c>
      <c r="O4486" s="1">
        <v>189000</v>
      </c>
      <c r="P4486">
        <v>20190130</v>
      </c>
      <c r="Q4486" t="s">
        <v>3620</v>
      </c>
      <c r="R4486" t="s">
        <v>3621</v>
      </c>
      <c r="S4486" t="s">
        <v>1615</v>
      </c>
      <c r="T4486" t="s">
        <v>3622</v>
      </c>
    </row>
    <row r="4487" spans="1:20" x14ac:dyDescent="0.25">
      <c r="A4487">
        <v>9</v>
      </c>
      <c r="B4487">
        <v>199</v>
      </c>
      <c r="C4487" t="str">
        <f>"71"</f>
        <v>71</v>
      </c>
      <c r="D4487">
        <v>6523</v>
      </c>
      <c r="E4487" t="str">
        <f>"14"</f>
        <v>14</v>
      </c>
      <c r="F4487" t="str">
        <f>"999"</f>
        <v>999</v>
      </c>
      <c r="G4487">
        <v>9</v>
      </c>
      <c r="H4487" t="str">
        <f t="shared" si="941"/>
        <v>99</v>
      </c>
      <c r="I4487" t="str">
        <f t="shared" si="934"/>
        <v>0</v>
      </c>
      <c r="J4487" t="str">
        <f>"75"</f>
        <v>75</v>
      </c>
      <c r="K4487">
        <v>20190131</v>
      </c>
      <c r="L4487" t="str">
        <f>"075438"</f>
        <v>075438</v>
      </c>
      <c r="M4487" t="str">
        <f>"12348"</f>
        <v>12348</v>
      </c>
      <c r="N4487" t="s">
        <v>3619</v>
      </c>
      <c r="O4487" s="1">
        <v>16516.490000000002</v>
      </c>
      <c r="P4487">
        <v>20190130</v>
      </c>
      <c r="Q4487" t="s">
        <v>3623</v>
      </c>
      <c r="R4487" t="s">
        <v>3621</v>
      </c>
      <c r="S4487" t="s">
        <v>1615</v>
      </c>
      <c r="T4487" t="s">
        <v>3622</v>
      </c>
    </row>
    <row r="4488" spans="1:20" x14ac:dyDescent="0.25">
      <c r="A4488">
        <v>9</v>
      </c>
      <c r="B4488">
        <v>199</v>
      </c>
      <c r="C4488" t="str">
        <f>"11"</f>
        <v>11</v>
      </c>
      <c r="D4488">
        <v>6649</v>
      </c>
      <c r="E4488" t="str">
        <f>"11"</f>
        <v>11</v>
      </c>
      <c r="F4488" t="str">
        <f>"001"</f>
        <v>001</v>
      </c>
      <c r="G4488">
        <v>9</v>
      </c>
      <c r="H4488" t="str">
        <f>"11"</f>
        <v>11</v>
      </c>
      <c r="I4488" t="str">
        <f t="shared" si="934"/>
        <v>0</v>
      </c>
      <c r="J4488" t="str">
        <f>"01"</f>
        <v>01</v>
      </c>
      <c r="K4488">
        <v>20190131</v>
      </c>
      <c r="L4488" t="str">
        <f>"075445"</f>
        <v>075445</v>
      </c>
      <c r="M4488" t="str">
        <f>"16807"</f>
        <v>16807</v>
      </c>
      <c r="N4488" t="s">
        <v>1581</v>
      </c>
      <c r="O4488" s="1">
        <v>2196</v>
      </c>
      <c r="P4488">
        <v>20190130</v>
      </c>
      <c r="Q4488" t="s">
        <v>3624</v>
      </c>
      <c r="R4488" t="s">
        <v>3625</v>
      </c>
      <c r="S4488" t="s">
        <v>1615</v>
      </c>
      <c r="T4488" t="s">
        <v>301</v>
      </c>
    </row>
    <row r="4489" spans="1:20" x14ac:dyDescent="0.25">
      <c r="A4489">
        <v>9</v>
      </c>
      <c r="B4489">
        <v>199</v>
      </c>
      <c r="C4489" t="str">
        <f>"11"</f>
        <v>11</v>
      </c>
      <c r="D4489">
        <v>6649</v>
      </c>
      <c r="E4489" t="str">
        <f>"11"</f>
        <v>11</v>
      </c>
      <c r="F4489" t="str">
        <f>"001"</f>
        <v>001</v>
      </c>
      <c r="G4489">
        <v>9</v>
      </c>
      <c r="H4489" t="str">
        <f>"11"</f>
        <v>11</v>
      </c>
      <c r="I4489" t="str">
        <f t="shared" si="934"/>
        <v>0</v>
      </c>
      <c r="J4489" t="str">
        <f>"01"</f>
        <v>01</v>
      </c>
      <c r="K4489">
        <v>20190131</v>
      </c>
      <c r="L4489" t="str">
        <f>"075445"</f>
        <v>075445</v>
      </c>
      <c r="M4489" t="str">
        <f>"16807"</f>
        <v>16807</v>
      </c>
      <c r="N4489" t="s">
        <v>1581</v>
      </c>
      <c r="O4489" s="1">
        <v>2578.4</v>
      </c>
      <c r="P4489">
        <v>20190130</v>
      </c>
      <c r="Q4489" t="s">
        <v>3624</v>
      </c>
      <c r="R4489" t="s">
        <v>3626</v>
      </c>
      <c r="S4489" t="s">
        <v>1615</v>
      </c>
      <c r="T4489" t="s">
        <v>301</v>
      </c>
    </row>
    <row r="4490" spans="1:20" x14ac:dyDescent="0.25">
      <c r="A4490">
        <v>9</v>
      </c>
      <c r="B4490">
        <v>199</v>
      </c>
      <c r="C4490" t="str">
        <f>"36"</f>
        <v>36</v>
      </c>
      <c r="D4490">
        <v>6411</v>
      </c>
      <c r="E4490" t="str">
        <f>"7B"</f>
        <v>7B</v>
      </c>
      <c r="F4490" t="str">
        <f>"001"</f>
        <v>001</v>
      </c>
      <c r="G4490">
        <v>9</v>
      </c>
      <c r="H4490" t="str">
        <f t="shared" ref="H4490:H4511" si="942">"99"</f>
        <v>99</v>
      </c>
      <c r="I4490" t="str">
        <f t="shared" si="934"/>
        <v>0</v>
      </c>
      <c r="J4490" t="str">
        <f>"32"</f>
        <v>32</v>
      </c>
      <c r="K4490">
        <v>20190131</v>
      </c>
      <c r="L4490" t="str">
        <f>"075446"</f>
        <v>075446</v>
      </c>
      <c r="M4490" t="str">
        <f>"20416"</f>
        <v>20416</v>
      </c>
      <c r="N4490" t="s">
        <v>1693</v>
      </c>
      <c r="O4490">
        <v>100</v>
      </c>
      <c r="P4490">
        <v>20190130</v>
      </c>
      <c r="Q4490" t="s">
        <v>1694</v>
      </c>
      <c r="R4490" t="s">
        <v>2912</v>
      </c>
      <c r="S4490" t="s">
        <v>1615</v>
      </c>
      <c r="T4490" t="s">
        <v>301</v>
      </c>
    </row>
    <row r="4491" spans="1:20" x14ac:dyDescent="0.25">
      <c r="A4491">
        <v>9</v>
      </c>
      <c r="B4491">
        <v>199</v>
      </c>
      <c r="C4491" t="str">
        <f>"36"</f>
        <v>36</v>
      </c>
      <c r="D4491">
        <v>6412</v>
      </c>
      <c r="E4491" t="str">
        <f>"7B"</f>
        <v>7B</v>
      </c>
      <c r="F4491" t="str">
        <f>"001"</f>
        <v>001</v>
      </c>
      <c r="G4491">
        <v>9</v>
      </c>
      <c r="H4491" t="str">
        <f t="shared" si="942"/>
        <v>99</v>
      </c>
      <c r="I4491" t="str">
        <f>"1"</f>
        <v>1</v>
      </c>
      <c r="J4491" t="str">
        <f>"32"</f>
        <v>32</v>
      </c>
      <c r="K4491">
        <v>20190131</v>
      </c>
      <c r="L4491" t="str">
        <f>"075446"</f>
        <v>075446</v>
      </c>
      <c r="M4491" t="str">
        <f>"20416"</f>
        <v>20416</v>
      </c>
      <c r="N4491" t="s">
        <v>1693</v>
      </c>
      <c r="O4491">
        <v>60</v>
      </c>
      <c r="P4491">
        <v>20190130</v>
      </c>
      <c r="Q4491" t="s">
        <v>1696</v>
      </c>
      <c r="R4491" t="s">
        <v>2912</v>
      </c>
      <c r="S4491" t="s">
        <v>1615</v>
      </c>
      <c r="T4491" t="s">
        <v>301</v>
      </c>
    </row>
    <row r="4492" spans="1:20" x14ac:dyDescent="0.25">
      <c r="A4492">
        <v>9</v>
      </c>
      <c r="B4492">
        <v>199</v>
      </c>
      <c r="C4492" t="str">
        <f>"36"</f>
        <v>36</v>
      </c>
      <c r="D4492">
        <v>6399</v>
      </c>
      <c r="E4492" t="str">
        <f>"H2"</f>
        <v>H2</v>
      </c>
      <c r="F4492" t="str">
        <f>"001"</f>
        <v>001</v>
      </c>
      <c r="G4492">
        <v>9</v>
      </c>
      <c r="H4492" t="str">
        <f t="shared" si="942"/>
        <v>99</v>
      </c>
      <c r="I4492" t="str">
        <f>"0"</f>
        <v>0</v>
      </c>
      <c r="J4492" t="str">
        <f>"37"</f>
        <v>37</v>
      </c>
      <c r="K4492">
        <v>20190131</v>
      </c>
      <c r="L4492" t="str">
        <f>"075447"</f>
        <v>075447</v>
      </c>
      <c r="M4492" t="str">
        <f>"20447"</f>
        <v>20447</v>
      </c>
      <c r="N4492" t="s">
        <v>3109</v>
      </c>
      <c r="O4492">
        <v>649</v>
      </c>
      <c r="P4492">
        <v>20190130</v>
      </c>
      <c r="Q4492" t="s">
        <v>2779</v>
      </c>
      <c r="R4492" t="s">
        <v>3627</v>
      </c>
      <c r="S4492" t="s">
        <v>1615</v>
      </c>
      <c r="T4492" t="s">
        <v>301</v>
      </c>
    </row>
    <row r="4493" spans="1:20" x14ac:dyDescent="0.25">
      <c r="A4493">
        <v>9</v>
      </c>
      <c r="B4493">
        <v>199</v>
      </c>
      <c r="C4493" t="str">
        <f>"34"</f>
        <v>34</v>
      </c>
      <c r="D4493">
        <v>6411</v>
      </c>
      <c r="E4493" t="str">
        <f>"11"</f>
        <v>11</v>
      </c>
      <c r="F4493" t="str">
        <f>"937"</f>
        <v>937</v>
      </c>
      <c r="G4493">
        <v>9</v>
      </c>
      <c r="H4493" t="str">
        <f t="shared" si="942"/>
        <v>99</v>
      </c>
      <c r="I4493" t="str">
        <f>"1"</f>
        <v>1</v>
      </c>
      <c r="J4493" t="str">
        <f>"82"</f>
        <v>82</v>
      </c>
      <c r="K4493">
        <v>20190131</v>
      </c>
      <c r="L4493" t="str">
        <f>"075452"</f>
        <v>075452</v>
      </c>
      <c r="M4493" t="str">
        <f>"00289"</f>
        <v>00289</v>
      </c>
      <c r="N4493" t="s">
        <v>3116</v>
      </c>
      <c r="O4493">
        <v>23.19</v>
      </c>
      <c r="P4493">
        <v>20190130</v>
      </c>
      <c r="Q4493" t="s">
        <v>2531</v>
      </c>
      <c r="R4493" t="s">
        <v>3169</v>
      </c>
      <c r="S4493" t="s">
        <v>1615</v>
      </c>
      <c r="T4493" t="s">
        <v>1810</v>
      </c>
    </row>
    <row r="4494" spans="1:20" x14ac:dyDescent="0.25">
      <c r="A4494">
        <v>9</v>
      </c>
      <c r="B4494">
        <v>199</v>
      </c>
      <c r="C4494" t="str">
        <f t="shared" ref="C4494:C4508" si="943">"51"</f>
        <v>51</v>
      </c>
      <c r="D4494">
        <v>6255</v>
      </c>
      <c r="E4494" t="str">
        <f t="shared" ref="E4494:E4500" si="944">"10"</f>
        <v>10</v>
      </c>
      <c r="F4494" t="str">
        <f>"001"</f>
        <v>001</v>
      </c>
      <c r="G4494">
        <v>9</v>
      </c>
      <c r="H4494" t="str">
        <f t="shared" si="942"/>
        <v>99</v>
      </c>
      <c r="I4494" t="str">
        <f t="shared" ref="I4494:I4508" si="945">"0"</f>
        <v>0</v>
      </c>
      <c r="J4494" t="str">
        <f t="shared" ref="J4494:J4508" si="946">"73"</f>
        <v>73</v>
      </c>
      <c r="K4494">
        <v>20190131</v>
      </c>
      <c r="L4494" t="str">
        <f t="shared" ref="L4494:L4508" si="947">"075453"</f>
        <v>075453</v>
      </c>
      <c r="M4494" t="str">
        <f t="shared" ref="M4494:M4508" si="948">"20706"</f>
        <v>20706</v>
      </c>
      <c r="N4494" t="s">
        <v>2003</v>
      </c>
      <c r="O4494" s="1">
        <v>5448.59</v>
      </c>
      <c r="P4494">
        <v>20190131</v>
      </c>
      <c r="Q4494" t="s">
        <v>2004</v>
      </c>
      <c r="R4494" t="s">
        <v>3628</v>
      </c>
      <c r="S4494" t="s">
        <v>1615</v>
      </c>
      <c r="T4494" t="s">
        <v>301</v>
      </c>
    </row>
    <row r="4495" spans="1:20" x14ac:dyDescent="0.25">
      <c r="A4495">
        <v>9</v>
      </c>
      <c r="B4495">
        <v>199</v>
      </c>
      <c r="C4495" t="str">
        <f t="shared" si="943"/>
        <v>51</v>
      </c>
      <c r="D4495">
        <v>6255</v>
      </c>
      <c r="E4495" t="str">
        <f t="shared" si="944"/>
        <v>10</v>
      </c>
      <c r="F4495" t="str">
        <f>"002"</f>
        <v>002</v>
      </c>
      <c r="G4495">
        <v>9</v>
      </c>
      <c r="H4495" t="str">
        <f t="shared" si="942"/>
        <v>99</v>
      </c>
      <c r="I4495" t="str">
        <f t="shared" si="945"/>
        <v>0</v>
      </c>
      <c r="J4495" t="str">
        <f t="shared" si="946"/>
        <v>73</v>
      </c>
      <c r="K4495">
        <v>20190131</v>
      </c>
      <c r="L4495" t="str">
        <f t="shared" si="947"/>
        <v>075453</v>
      </c>
      <c r="M4495" t="str">
        <f t="shared" si="948"/>
        <v>20706</v>
      </c>
      <c r="N4495" t="s">
        <v>2003</v>
      </c>
      <c r="O4495">
        <v>30.77</v>
      </c>
      <c r="P4495">
        <v>20190131</v>
      </c>
      <c r="Q4495" t="s">
        <v>2006</v>
      </c>
      <c r="R4495" t="s">
        <v>3629</v>
      </c>
      <c r="S4495" t="s">
        <v>1615</v>
      </c>
      <c r="T4495" t="s">
        <v>1485</v>
      </c>
    </row>
    <row r="4496" spans="1:20" x14ac:dyDescent="0.25">
      <c r="A4496">
        <v>9</v>
      </c>
      <c r="B4496">
        <v>199</v>
      </c>
      <c r="C4496" t="str">
        <f t="shared" si="943"/>
        <v>51</v>
      </c>
      <c r="D4496">
        <v>6255</v>
      </c>
      <c r="E4496" t="str">
        <f t="shared" si="944"/>
        <v>10</v>
      </c>
      <c r="F4496" t="str">
        <f>"041"</f>
        <v>041</v>
      </c>
      <c r="G4496">
        <v>9</v>
      </c>
      <c r="H4496" t="str">
        <f t="shared" si="942"/>
        <v>99</v>
      </c>
      <c r="I4496" t="str">
        <f t="shared" si="945"/>
        <v>0</v>
      </c>
      <c r="J4496" t="str">
        <f t="shared" si="946"/>
        <v>73</v>
      </c>
      <c r="K4496">
        <v>20190131</v>
      </c>
      <c r="L4496" t="str">
        <f t="shared" si="947"/>
        <v>075453</v>
      </c>
      <c r="M4496" t="str">
        <f t="shared" si="948"/>
        <v>20706</v>
      </c>
      <c r="N4496" t="s">
        <v>2003</v>
      </c>
      <c r="O4496">
        <v>415.94</v>
      </c>
      <c r="P4496">
        <v>20190131</v>
      </c>
      <c r="Q4496" t="s">
        <v>2008</v>
      </c>
      <c r="R4496" t="s">
        <v>3630</v>
      </c>
      <c r="S4496" t="s">
        <v>1615</v>
      </c>
      <c r="T4496" t="s">
        <v>106</v>
      </c>
    </row>
    <row r="4497" spans="1:20" x14ac:dyDescent="0.25">
      <c r="A4497">
        <v>9</v>
      </c>
      <c r="B4497">
        <v>199</v>
      </c>
      <c r="C4497" t="str">
        <f t="shared" si="943"/>
        <v>51</v>
      </c>
      <c r="D4497">
        <v>6255</v>
      </c>
      <c r="E4497" t="str">
        <f t="shared" si="944"/>
        <v>10</v>
      </c>
      <c r="F4497" t="str">
        <f>"101"</f>
        <v>101</v>
      </c>
      <c r="G4497">
        <v>9</v>
      </c>
      <c r="H4497" t="str">
        <f t="shared" si="942"/>
        <v>99</v>
      </c>
      <c r="I4497" t="str">
        <f t="shared" si="945"/>
        <v>0</v>
      </c>
      <c r="J4497" t="str">
        <f t="shared" si="946"/>
        <v>73</v>
      </c>
      <c r="K4497">
        <v>20190131</v>
      </c>
      <c r="L4497" t="str">
        <f t="shared" si="947"/>
        <v>075453</v>
      </c>
      <c r="M4497" t="str">
        <f t="shared" si="948"/>
        <v>20706</v>
      </c>
      <c r="N4497" t="s">
        <v>2003</v>
      </c>
      <c r="O4497">
        <v>791.45</v>
      </c>
      <c r="P4497">
        <v>20190131</v>
      </c>
      <c r="Q4497" t="s">
        <v>2010</v>
      </c>
      <c r="R4497" t="s">
        <v>3631</v>
      </c>
      <c r="S4497" t="s">
        <v>1615</v>
      </c>
      <c r="T4497" t="s">
        <v>1479</v>
      </c>
    </row>
    <row r="4498" spans="1:20" x14ac:dyDescent="0.25">
      <c r="A4498">
        <v>9</v>
      </c>
      <c r="B4498">
        <v>199</v>
      </c>
      <c r="C4498" t="str">
        <f t="shared" si="943"/>
        <v>51</v>
      </c>
      <c r="D4498">
        <v>6255</v>
      </c>
      <c r="E4498" t="str">
        <f t="shared" si="944"/>
        <v>10</v>
      </c>
      <c r="F4498" t="str">
        <f>"104"</f>
        <v>104</v>
      </c>
      <c r="G4498">
        <v>9</v>
      </c>
      <c r="H4498" t="str">
        <f t="shared" si="942"/>
        <v>99</v>
      </c>
      <c r="I4498" t="str">
        <f t="shared" si="945"/>
        <v>0</v>
      </c>
      <c r="J4498" t="str">
        <f t="shared" si="946"/>
        <v>73</v>
      </c>
      <c r="K4498">
        <v>20190131</v>
      </c>
      <c r="L4498" t="str">
        <f t="shared" si="947"/>
        <v>075453</v>
      </c>
      <c r="M4498" t="str">
        <f t="shared" si="948"/>
        <v>20706</v>
      </c>
      <c r="N4498" t="s">
        <v>2003</v>
      </c>
      <c r="O4498">
        <v>602.29999999999995</v>
      </c>
      <c r="P4498">
        <v>20190131</v>
      </c>
      <c r="Q4498" t="s">
        <v>2012</v>
      </c>
      <c r="R4498" t="s">
        <v>3632</v>
      </c>
      <c r="S4498" t="s">
        <v>1615</v>
      </c>
      <c r="T4498" t="s">
        <v>46</v>
      </c>
    </row>
    <row r="4499" spans="1:20" x14ac:dyDescent="0.25">
      <c r="A4499">
        <v>9</v>
      </c>
      <c r="B4499">
        <v>199</v>
      </c>
      <c r="C4499" t="str">
        <f t="shared" si="943"/>
        <v>51</v>
      </c>
      <c r="D4499">
        <v>6255</v>
      </c>
      <c r="E4499" t="str">
        <f t="shared" si="944"/>
        <v>10</v>
      </c>
      <c r="F4499" t="str">
        <f>"935"</f>
        <v>935</v>
      </c>
      <c r="G4499">
        <v>9</v>
      </c>
      <c r="H4499" t="str">
        <f t="shared" si="942"/>
        <v>99</v>
      </c>
      <c r="I4499" t="str">
        <f t="shared" si="945"/>
        <v>0</v>
      </c>
      <c r="J4499" t="str">
        <f t="shared" si="946"/>
        <v>73</v>
      </c>
      <c r="K4499">
        <v>20190131</v>
      </c>
      <c r="L4499" t="str">
        <f t="shared" si="947"/>
        <v>075453</v>
      </c>
      <c r="M4499" t="str">
        <f t="shared" si="948"/>
        <v>20706</v>
      </c>
      <c r="N4499" t="s">
        <v>2003</v>
      </c>
      <c r="O4499">
        <v>237.55</v>
      </c>
      <c r="P4499">
        <v>20190131</v>
      </c>
      <c r="Q4499" t="s">
        <v>2014</v>
      </c>
      <c r="R4499" t="s">
        <v>3633</v>
      </c>
      <c r="S4499" t="s">
        <v>1615</v>
      </c>
      <c r="T4499" t="s">
        <v>1876</v>
      </c>
    </row>
    <row r="4500" spans="1:20" x14ac:dyDescent="0.25">
      <c r="A4500">
        <v>9</v>
      </c>
      <c r="B4500">
        <v>199</v>
      </c>
      <c r="C4500" t="str">
        <f t="shared" si="943"/>
        <v>51</v>
      </c>
      <c r="D4500">
        <v>6255</v>
      </c>
      <c r="E4500" t="str">
        <f t="shared" si="944"/>
        <v>10</v>
      </c>
      <c r="F4500" t="str">
        <f>"936"</f>
        <v>936</v>
      </c>
      <c r="G4500">
        <v>9</v>
      </c>
      <c r="H4500" t="str">
        <f t="shared" si="942"/>
        <v>99</v>
      </c>
      <c r="I4500" t="str">
        <f t="shared" si="945"/>
        <v>0</v>
      </c>
      <c r="J4500" t="str">
        <f t="shared" si="946"/>
        <v>73</v>
      </c>
      <c r="K4500">
        <v>20190131</v>
      </c>
      <c r="L4500" t="str">
        <f t="shared" si="947"/>
        <v>075453</v>
      </c>
      <c r="M4500" t="str">
        <f t="shared" si="948"/>
        <v>20706</v>
      </c>
      <c r="N4500" t="s">
        <v>2003</v>
      </c>
      <c r="O4500">
        <v>111.19</v>
      </c>
      <c r="P4500">
        <v>20190131</v>
      </c>
      <c r="Q4500" t="s">
        <v>2016</v>
      </c>
      <c r="R4500" t="s">
        <v>3634</v>
      </c>
      <c r="S4500" t="s">
        <v>1615</v>
      </c>
      <c r="T4500" t="s">
        <v>1713</v>
      </c>
    </row>
    <row r="4501" spans="1:20" x14ac:dyDescent="0.25">
      <c r="A4501">
        <v>9</v>
      </c>
      <c r="B4501">
        <v>199</v>
      </c>
      <c r="C4501" t="str">
        <f t="shared" si="943"/>
        <v>51</v>
      </c>
      <c r="D4501">
        <v>6255</v>
      </c>
      <c r="E4501" t="str">
        <f>"11"</f>
        <v>11</v>
      </c>
      <c r="F4501" t="str">
        <f>"001"</f>
        <v>001</v>
      </c>
      <c r="G4501">
        <v>9</v>
      </c>
      <c r="H4501" t="str">
        <f t="shared" si="942"/>
        <v>99</v>
      </c>
      <c r="I4501" t="str">
        <f t="shared" si="945"/>
        <v>0</v>
      </c>
      <c r="J4501" t="str">
        <f t="shared" si="946"/>
        <v>73</v>
      </c>
      <c r="K4501">
        <v>20190131</v>
      </c>
      <c r="L4501" t="str">
        <f t="shared" si="947"/>
        <v>075453</v>
      </c>
      <c r="M4501" t="str">
        <f t="shared" si="948"/>
        <v>20706</v>
      </c>
      <c r="N4501" t="s">
        <v>2003</v>
      </c>
      <c r="O4501">
        <v>404.28</v>
      </c>
      <c r="P4501">
        <v>20190131</v>
      </c>
      <c r="Q4501" t="s">
        <v>2018</v>
      </c>
      <c r="R4501" t="s">
        <v>3635</v>
      </c>
      <c r="S4501" t="s">
        <v>1615</v>
      </c>
      <c r="T4501" t="s">
        <v>301</v>
      </c>
    </row>
    <row r="4502" spans="1:20" x14ac:dyDescent="0.25">
      <c r="A4502">
        <v>9</v>
      </c>
      <c r="B4502">
        <v>199</v>
      </c>
      <c r="C4502" t="str">
        <f t="shared" si="943"/>
        <v>51</v>
      </c>
      <c r="D4502">
        <v>6255</v>
      </c>
      <c r="E4502" t="str">
        <f>"11"</f>
        <v>11</v>
      </c>
      <c r="F4502" t="str">
        <f>"104"</f>
        <v>104</v>
      </c>
      <c r="G4502">
        <v>9</v>
      </c>
      <c r="H4502" t="str">
        <f t="shared" si="942"/>
        <v>99</v>
      </c>
      <c r="I4502" t="str">
        <f t="shared" si="945"/>
        <v>0</v>
      </c>
      <c r="J4502" t="str">
        <f t="shared" si="946"/>
        <v>73</v>
      </c>
      <c r="K4502">
        <v>20190131</v>
      </c>
      <c r="L4502" t="str">
        <f t="shared" si="947"/>
        <v>075453</v>
      </c>
      <c r="M4502" t="str">
        <f t="shared" si="948"/>
        <v>20706</v>
      </c>
      <c r="N4502" t="s">
        <v>2003</v>
      </c>
      <c r="O4502">
        <v>63.4</v>
      </c>
      <c r="P4502">
        <v>20190131</v>
      </c>
      <c r="Q4502" t="s">
        <v>2020</v>
      </c>
      <c r="R4502" t="s">
        <v>3636</v>
      </c>
      <c r="S4502" t="s">
        <v>1615</v>
      </c>
      <c r="T4502" t="s">
        <v>46</v>
      </c>
    </row>
    <row r="4503" spans="1:20" x14ac:dyDescent="0.25">
      <c r="A4503">
        <v>9</v>
      </c>
      <c r="B4503">
        <v>199</v>
      </c>
      <c r="C4503" t="str">
        <f t="shared" si="943"/>
        <v>51</v>
      </c>
      <c r="D4503">
        <v>6255</v>
      </c>
      <c r="E4503" t="str">
        <f>"3F"</f>
        <v>3F</v>
      </c>
      <c r="F4503" t="str">
        <f>"877"</f>
        <v>877</v>
      </c>
      <c r="G4503">
        <v>9</v>
      </c>
      <c r="H4503" t="str">
        <f t="shared" si="942"/>
        <v>99</v>
      </c>
      <c r="I4503" t="str">
        <f t="shared" si="945"/>
        <v>0</v>
      </c>
      <c r="J4503" t="str">
        <f t="shared" si="946"/>
        <v>73</v>
      </c>
      <c r="K4503">
        <v>20190131</v>
      </c>
      <c r="L4503" t="str">
        <f t="shared" si="947"/>
        <v>075453</v>
      </c>
      <c r="M4503" t="str">
        <f t="shared" si="948"/>
        <v>20706</v>
      </c>
      <c r="N4503" t="s">
        <v>2003</v>
      </c>
      <c r="O4503" s="1">
        <v>4705.62</v>
      </c>
      <c r="P4503">
        <v>20190131</v>
      </c>
      <c r="Q4503" t="s">
        <v>2022</v>
      </c>
      <c r="R4503" t="s">
        <v>3637</v>
      </c>
      <c r="S4503" t="s">
        <v>1615</v>
      </c>
      <c r="T4503" t="s">
        <v>2024</v>
      </c>
    </row>
    <row r="4504" spans="1:20" x14ac:dyDescent="0.25">
      <c r="A4504">
        <v>9</v>
      </c>
      <c r="B4504">
        <v>199</v>
      </c>
      <c r="C4504" t="str">
        <f t="shared" si="943"/>
        <v>51</v>
      </c>
      <c r="D4504">
        <v>6258</v>
      </c>
      <c r="E4504" t="str">
        <f>"10"</f>
        <v>10</v>
      </c>
      <c r="F4504" t="str">
        <f>"001"</f>
        <v>001</v>
      </c>
      <c r="G4504">
        <v>9</v>
      </c>
      <c r="H4504" t="str">
        <f t="shared" si="942"/>
        <v>99</v>
      </c>
      <c r="I4504" t="str">
        <f t="shared" si="945"/>
        <v>0</v>
      </c>
      <c r="J4504" t="str">
        <f t="shared" si="946"/>
        <v>73</v>
      </c>
      <c r="K4504">
        <v>20190131</v>
      </c>
      <c r="L4504" t="str">
        <f t="shared" si="947"/>
        <v>075453</v>
      </c>
      <c r="M4504" t="str">
        <f t="shared" si="948"/>
        <v>20706</v>
      </c>
      <c r="N4504" t="s">
        <v>2003</v>
      </c>
      <c r="O4504" s="1">
        <v>3424.34</v>
      </c>
      <c r="P4504">
        <v>20190131</v>
      </c>
      <c r="Q4504" t="s">
        <v>2025</v>
      </c>
      <c r="R4504" t="s">
        <v>3628</v>
      </c>
      <c r="S4504" t="s">
        <v>1615</v>
      </c>
      <c r="T4504" t="s">
        <v>301</v>
      </c>
    </row>
    <row r="4505" spans="1:20" x14ac:dyDescent="0.25">
      <c r="A4505">
        <v>9</v>
      </c>
      <c r="B4505">
        <v>199</v>
      </c>
      <c r="C4505" t="str">
        <f t="shared" si="943"/>
        <v>51</v>
      </c>
      <c r="D4505">
        <v>6258</v>
      </c>
      <c r="E4505" t="str">
        <f>"10"</f>
        <v>10</v>
      </c>
      <c r="F4505" t="str">
        <f>"041"</f>
        <v>041</v>
      </c>
      <c r="G4505">
        <v>9</v>
      </c>
      <c r="H4505" t="str">
        <f t="shared" si="942"/>
        <v>99</v>
      </c>
      <c r="I4505" t="str">
        <f t="shared" si="945"/>
        <v>0</v>
      </c>
      <c r="J4505" t="str">
        <f t="shared" si="946"/>
        <v>73</v>
      </c>
      <c r="K4505">
        <v>20190131</v>
      </c>
      <c r="L4505" t="str">
        <f t="shared" si="947"/>
        <v>075453</v>
      </c>
      <c r="M4505" t="str">
        <f t="shared" si="948"/>
        <v>20706</v>
      </c>
      <c r="N4505" t="s">
        <v>2003</v>
      </c>
      <c r="O4505" s="1">
        <v>1088.8800000000001</v>
      </c>
      <c r="P4505">
        <v>20190131</v>
      </c>
      <c r="Q4505" t="s">
        <v>2027</v>
      </c>
      <c r="R4505" t="s">
        <v>3638</v>
      </c>
      <c r="S4505" t="s">
        <v>1615</v>
      </c>
      <c r="T4505" t="s">
        <v>106</v>
      </c>
    </row>
    <row r="4506" spans="1:20" x14ac:dyDescent="0.25">
      <c r="A4506">
        <v>9</v>
      </c>
      <c r="B4506">
        <v>199</v>
      </c>
      <c r="C4506" t="str">
        <f t="shared" si="943"/>
        <v>51</v>
      </c>
      <c r="D4506">
        <v>6258</v>
      </c>
      <c r="E4506" t="str">
        <f>"10"</f>
        <v>10</v>
      </c>
      <c r="F4506" t="str">
        <f>"101"</f>
        <v>101</v>
      </c>
      <c r="G4506">
        <v>9</v>
      </c>
      <c r="H4506" t="str">
        <f t="shared" si="942"/>
        <v>99</v>
      </c>
      <c r="I4506" t="str">
        <f t="shared" si="945"/>
        <v>0</v>
      </c>
      <c r="J4506" t="str">
        <f t="shared" si="946"/>
        <v>73</v>
      </c>
      <c r="K4506">
        <v>20190131</v>
      </c>
      <c r="L4506" t="str">
        <f t="shared" si="947"/>
        <v>075453</v>
      </c>
      <c r="M4506" t="str">
        <f t="shared" si="948"/>
        <v>20706</v>
      </c>
      <c r="N4506" t="s">
        <v>2003</v>
      </c>
      <c r="O4506">
        <v>161.85</v>
      </c>
      <c r="P4506">
        <v>20190131</v>
      </c>
      <c r="Q4506" t="s">
        <v>2029</v>
      </c>
      <c r="R4506" t="s">
        <v>3639</v>
      </c>
      <c r="S4506" t="s">
        <v>1615</v>
      </c>
      <c r="T4506" t="s">
        <v>1479</v>
      </c>
    </row>
    <row r="4507" spans="1:20" x14ac:dyDescent="0.25">
      <c r="A4507">
        <v>9</v>
      </c>
      <c r="B4507">
        <v>199</v>
      </c>
      <c r="C4507" t="str">
        <f t="shared" si="943"/>
        <v>51</v>
      </c>
      <c r="D4507">
        <v>6258</v>
      </c>
      <c r="E4507" t="str">
        <f>"10"</f>
        <v>10</v>
      </c>
      <c r="F4507" t="str">
        <f>"104"</f>
        <v>104</v>
      </c>
      <c r="G4507">
        <v>9</v>
      </c>
      <c r="H4507" t="str">
        <f t="shared" si="942"/>
        <v>99</v>
      </c>
      <c r="I4507" t="str">
        <f t="shared" si="945"/>
        <v>0</v>
      </c>
      <c r="J4507" t="str">
        <f t="shared" si="946"/>
        <v>73</v>
      </c>
      <c r="K4507">
        <v>20190131</v>
      </c>
      <c r="L4507" t="str">
        <f t="shared" si="947"/>
        <v>075453</v>
      </c>
      <c r="M4507" t="str">
        <f t="shared" si="948"/>
        <v>20706</v>
      </c>
      <c r="N4507" t="s">
        <v>2003</v>
      </c>
      <c r="O4507">
        <v>140.91</v>
      </c>
      <c r="P4507">
        <v>20190131</v>
      </c>
      <c r="Q4507" t="s">
        <v>2031</v>
      </c>
      <c r="R4507" t="s">
        <v>3640</v>
      </c>
      <c r="S4507" t="s">
        <v>1615</v>
      </c>
      <c r="T4507" t="s">
        <v>46</v>
      </c>
    </row>
    <row r="4508" spans="1:20" x14ac:dyDescent="0.25">
      <c r="A4508">
        <v>9</v>
      </c>
      <c r="B4508">
        <v>199</v>
      </c>
      <c r="C4508" t="str">
        <f t="shared" si="943"/>
        <v>51</v>
      </c>
      <c r="D4508">
        <v>6258</v>
      </c>
      <c r="E4508" t="str">
        <f>"11"</f>
        <v>11</v>
      </c>
      <c r="F4508" t="str">
        <f>"001"</f>
        <v>001</v>
      </c>
      <c r="G4508">
        <v>9</v>
      </c>
      <c r="H4508" t="str">
        <f t="shared" si="942"/>
        <v>99</v>
      </c>
      <c r="I4508" t="str">
        <f t="shared" si="945"/>
        <v>0</v>
      </c>
      <c r="J4508" t="str">
        <f t="shared" si="946"/>
        <v>73</v>
      </c>
      <c r="K4508">
        <v>20190131</v>
      </c>
      <c r="L4508" t="str">
        <f t="shared" si="947"/>
        <v>075453</v>
      </c>
      <c r="M4508" t="str">
        <f t="shared" si="948"/>
        <v>20706</v>
      </c>
      <c r="N4508" t="s">
        <v>2003</v>
      </c>
      <c r="O4508">
        <v>75.510000000000005</v>
      </c>
      <c r="P4508">
        <v>20190131</v>
      </c>
      <c r="Q4508" t="s">
        <v>2033</v>
      </c>
      <c r="R4508" t="s">
        <v>3641</v>
      </c>
      <c r="S4508" t="s">
        <v>1615</v>
      </c>
      <c r="T4508" t="s">
        <v>301</v>
      </c>
    </row>
    <row r="4509" spans="1:20" x14ac:dyDescent="0.25">
      <c r="A4509">
        <v>9</v>
      </c>
      <c r="B4509">
        <v>199</v>
      </c>
      <c r="C4509" t="str">
        <f>"21"</f>
        <v>21</v>
      </c>
      <c r="D4509">
        <v>6411</v>
      </c>
      <c r="E4509" t="str">
        <f>"10"</f>
        <v>10</v>
      </c>
      <c r="F4509" t="str">
        <f>"871"</f>
        <v>871</v>
      </c>
      <c r="G4509">
        <v>9</v>
      </c>
      <c r="H4509" t="str">
        <f t="shared" si="942"/>
        <v>99</v>
      </c>
      <c r="I4509" t="str">
        <f>"1"</f>
        <v>1</v>
      </c>
      <c r="J4509" t="str">
        <f>"94"</f>
        <v>94</v>
      </c>
      <c r="K4509">
        <v>20190131</v>
      </c>
      <c r="L4509" t="str">
        <f>"075460"</f>
        <v>075460</v>
      </c>
      <c r="M4509" t="str">
        <f>"24650"</f>
        <v>24650</v>
      </c>
      <c r="N4509" t="s">
        <v>3642</v>
      </c>
      <c r="O4509">
        <v>25.3</v>
      </c>
      <c r="P4509">
        <v>20190130</v>
      </c>
      <c r="Q4509" t="s">
        <v>3643</v>
      </c>
      <c r="R4509" t="s">
        <v>3644</v>
      </c>
      <c r="S4509" t="s">
        <v>1615</v>
      </c>
      <c r="T4509" t="s">
        <v>1932</v>
      </c>
    </row>
    <row r="4510" spans="1:20" x14ac:dyDescent="0.25">
      <c r="A4510">
        <v>9</v>
      </c>
      <c r="B4510">
        <v>199</v>
      </c>
      <c r="C4510" t="str">
        <f>"36"</f>
        <v>36</v>
      </c>
      <c r="D4510">
        <v>6411</v>
      </c>
      <c r="E4510" t="str">
        <f>"7A"</f>
        <v>7A</v>
      </c>
      <c r="F4510" t="str">
        <f>"001"</f>
        <v>001</v>
      </c>
      <c r="G4510">
        <v>9</v>
      </c>
      <c r="H4510" t="str">
        <f t="shared" si="942"/>
        <v>99</v>
      </c>
      <c r="I4510" t="str">
        <f>"1"</f>
        <v>1</v>
      </c>
      <c r="J4510" t="str">
        <f>"01"</f>
        <v>01</v>
      </c>
      <c r="K4510">
        <v>20190131</v>
      </c>
      <c r="L4510" t="str">
        <f>"075465"</f>
        <v>075465</v>
      </c>
      <c r="M4510" t="str">
        <f>"27002"</f>
        <v>27002</v>
      </c>
      <c r="N4510" t="s">
        <v>3645</v>
      </c>
      <c r="O4510">
        <v>33.32</v>
      </c>
      <c r="P4510">
        <v>20190131</v>
      </c>
      <c r="Q4510" t="s">
        <v>3646</v>
      </c>
      <c r="R4510" t="s">
        <v>3647</v>
      </c>
      <c r="S4510" t="s">
        <v>1615</v>
      </c>
      <c r="T4510" t="s">
        <v>301</v>
      </c>
    </row>
    <row r="4511" spans="1:20" x14ac:dyDescent="0.25">
      <c r="A4511">
        <v>9</v>
      </c>
      <c r="B4511">
        <v>199</v>
      </c>
      <c r="C4511" t="str">
        <f>"36"</f>
        <v>36</v>
      </c>
      <c r="D4511">
        <v>6412</v>
      </c>
      <c r="E4511" t="str">
        <f>"7A"</f>
        <v>7A</v>
      </c>
      <c r="F4511" t="str">
        <f>"001"</f>
        <v>001</v>
      </c>
      <c r="G4511">
        <v>9</v>
      </c>
      <c r="H4511" t="str">
        <f t="shared" si="942"/>
        <v>99</v>
      </c>
      <c r="I4511" t="str">
        <f>"1"</f>
        <v>1</v>
      </c>
      <c r="J4511" t="str">
        <f>"01"</f>
        <v>01</v>
      </c>
      <c r="K4511">
        <v>20190131</v>
      </c>
      <c r="L4511" t="str">
        <f>"075465"</f>
        <v>075465</v>
      </c>
      <c r="M4511" t="str">
        <f>"27002"</f>
        <v>27002</v>
      </c>
      <c r="N4511" t="s">
        <v>3645</v>
      </c>
      <c r="O4511">
        <v>180</v>
      </c>
      <c r="P4511">
        <v>20190131</v>
      </c>
      <c r="Q4511" t="s">
        <v>3648</v>
      </c>
      <c r="R4511" t="s">
        <v>3647</v>
      </c>
      <c r="S4511" t="s">
        <v>1615</v>
      </c>
      <c r="T4511" t="s">
        <v>301</v>
      </c>
    </row>
    <row r="4512" spans="1:20" x14ac:dyDescent="0.25">
      <c r="A4512">
        <v>9</v>
      </c>
      <c r="B4512">
        <v>199</v>
      </c>
      <c r="C4512" t="str">
        <f>"13"</f>
        <v>13</v>
      </c>
      <c r="D4512">
        <v>6411</v>
      </c>
      <c r="E4512" t="str">
        <f>"8C"</f>
        <v>8C</v>
      </c>
      <c r="F4512" t="str">
        <f>"104"</f>
        <v>104</v>
      </c>
      <c r="G4512">
        <v>9</v>
      </c>
      <c r="H4512" t="str">
        <f>"11"</f>
        <v>11</v>
      </c>
      <c r="I4512" t="str">
        <f t="shared" ref="I4512:I4518" si="949">"0"</f>
        <v>0</v>
      </c>
      <c r="J4512" t="str">
        <f>"05"</f>
        <v>05</v>
      </c>
      <c r="K4512">
        <v>20190131</v>
      </c>
      <c r="L4512" t="str">
        <f>"075467"</f>
        <v>075467</v>
      </c>
      <c r="M4512" t="str">
        <f>"28573"</f>
        <v>28573</v>
      </c>
      <c r="N4512" t="s">
        <v>1072</v>
      </c>
      <c r="O4512">
        <v>453.6</v>
      </c>
      <c r="P4512">
        <v>20190130</v>
      </c>
      <c r="Q4512" t="s">
        <v>3649</v>
      </c>
      <c r="R4512" t="s">
        <v>2912</v>
      </c>
      <c r="S4512" t="s">
        <v>1615</v>
      </c>
      <c r="T4512" t="s">
        <v>46</v>
      </c>
    </row>
    <row r="4513" spans="1:20" x14ac:dyDescent="0.25">
      <c r="A4513">
        <v>9</v>
      </c>
      <c r="B4513">
        <v>199</v>
      </c>
      <c r="C4513" t="str">
        <f>"13"</f>
        <v>13</v>
      </c>
      <c r="D4513">
        <v>6411</v>
      </c>
      <c r="E4513" t="str">
        <f>"7B"</f>
        <v>7B</v>
      </c>
      <c r="F4513" t="str">
        <f>"001"</f>
        <v>001</v>
      </c>
      <c r="G4513">
        <v>9</v>
      </c>
      <c r="H4513" t="str">
        <f>"11"</f>
        <v>11</v>
      </c>
      <c r="I4513" t="str">
        <f t="shared" si="949"/>
        <v>0</v>
      </c>
      <c r="J4513" t="str">
        <f>"32"</f>
        <v>32</v>
      </c>
      <c r="K4513">
        <v>20190131</v>
      </c>
      <c r="L4513" t="str">
        <f>"075468"</f>
        <v>075468</v>
      </c>
      <c r="M4513" t="str">
        <f>"28573"</f>
        <v>28573</v>
      </c>
      <c r="N4513" t="s">
        <v>1072</v>
      </c>
      <c r="O4513">
        <v>448.54</v>
      </c>
      <c r="P4513">
        <v>20190130</v>
      </c>
      <c r="Q4513" t="s">
        <v>2911</v>
      </c>
      <c r="R4513" t="s">
        <v>2912</v>
      </c>
      <c r="S4513" t="s">
        <v>1615</v>
      </c>
      <c r="T4513" t="s">
        <v>301</v>
      </c>
    </row>
    <row r="4514" spans="1:20" x14ac:dyDescent="0.25">
      <c r="A4514">
        <v>9</v>
      </c>
      <c r="B4514">
        <v>199</v>
      </c>
      <c r="C4514" t="str">
        <f>"36"</f>
        <v>36</v>
      </c>
      <c r="D4514">
        <v>6411</v>
      </c>
      <c r="E4514" t="str">
        <f>"7E"</f>
        <v>7E</v>
      </c>
      <c r="F4514" t="str">
        <f>"041"</f>
        <v>041</v>
      </c>
      <c r="G4514">
        <v>9</v>
      </c>
      <c r="H4514" t="str">
        <f>"99"</f>
        <v>99</v>
      </c>
      <c r="I4514" t="str">
        <f t="shared" si="949"/>
        <v>0</v>
      </c>
      <c r="J4514" t="str">
        <f>"35"</f>
        <v>35</v>
      </c>
      <c r="K4514">
        <v>20190131</v>
      </c>
      <c r="L4514" t="str">
        <f>"075475"</f>
        <v>075475</v>
      </c>
      <c r="M4514" t="str">
        <f>"34575"</f>
        <v>34575</v>
      </c>
      <c r="N4514" t="s">
        <v>3650</v>
      </c>
      <c r="O4514">
        <v>161.13999999999999</v>
      </c>
      <c r="P4514">
        <v>20190130</v>
      </c>
      <c r="Q4514" t="s">
        <v>3326</v>
      </c>
      <c r="R4514" t="s">
        <v>2912</v>
      </c>
      <c r="S4514" t="s">
        <v>1615</v>
      </c>
      <c r="T4514" t="s">
        <v>106</v>
      </c>
    </row>
    <row r="4515" spans="1:20" x14ac:dyDescent="0.25">
      <c r="A4515">
        <v>9</v>
      </c>
      <c r="B4515">
        <v>199</v>
      </c>
      <c r="C4515" t="str">
        <f>"11"</f>
        <v>11</v>
      </c>
      <c r="D4515">
        <v>6411</v>
      </c>
      <c r="E4515" t="str">
        <f>"V8"</f>
        <v>V8</v>
      </c>
      <c r="F4515" t="str">
        <f t="shared" ref="F4515:F4520" si="950">"001"</f>
        <v>001</v>
      </c>
      <c r="G4515">
        <v>9</v>
      </c>
      <c r="H4515" t="str">
        <f>"22"</f>
        <v>22</v>
      </c>
      <c r="I4515" t="str">
        <f t="shared" si="949"/>
        <v>0</v>
      </c>
      <c r="J4515" t="str">
        <f>"22"</f>
        <v>22</v>
      </c>
      <c r="K4515">
        <v>20190131</v>
      </c>
      <c r="L4515" t="str">
        <f>"075476"</f>
        <v>075476</v>
      </c>
      <c r="M4515" t="str">
        <f>"34956"</f>
        <v>34956</v>
      </c>
      <c r="N4515" t="s">
        <v>3651</v>
      </c>
      <c r="O4515">
        <v>50</v>
      </c>
      <c r="P4515">
        <v>20190131</v>
      </c>
      <c r="Q4515" t="s">
        <v>3579</v>
      </c>
      <c r="R4515" t="s">
        <v>3652</v>
      </c>
      <c r="S4515" t="s">
        <v>1615</v>
      </c>
      <c r="T4515" t="s">
        <v>301</v>
      </c>
    </row>
    <row r="4516" spans="1:20" x14ac:dyDescent="0.25">
      <c r="A4516">
        <v>9</v>
      </c>
      <c r="B4516">
        <v>199</v>
      </c>
      <c r="C4516" t="str">
        <f>"11"</f>
        <v>11</v>
      </c>
      <c r="D4516">
        <v>6412</v>
      </c>
      <c r="E4516" t="str">
        <f>"V8"</f>
        <v>V8</v>
      </c>
      <c r="F4516" t="str">
        <f t="shared" si="950"/>
        <v>001</v>
      </c>
      <c r="G4516">
        <v>9</v>
      </c>
      <c r="H4516" t="str">
        <f>"22"</f>
        <v>22</v>
      </c>
      <c r="I4516" t="str">
        <f t="shared" si="949"/>
        <v>0</v>
      </c>
      <c r="J4516" t="str">
        <f>"22"</f>
        <v>22</v>
      </c>
      <c r="K4516">
        <v>20190131</v>
      </c>
      <c r="L4516" t="str">
        <f>"075476"</f>
        <v>075476</v>
      </c>
      <c r="M4516" t="str">
        <f>"34956"</f>
        <v>34956</v>
      </c>
      <c r="N4516" t="s">
        <v>3651</v>
      </c>
      <c r="O4516">
        <v>150</v>
      </c>
      <c r="P4516">
        <v>20190131</v>
      </c>
      <c r="Q4516" t="s">
        <v>1884</v>
      </c>
      <c r="R4516" t="s">
        <v>3652</v>
      </c>
      <c r="S4516" t="s">
        <v>1615</v>
      </c>
      <c r="T4516" t="s">
        <v>301</v>
      </c>
    </row>
    <row r="4517" spans="1:20" x14ac:dyDescent="0.25">
      <c r="A4517">
        <v>9</v>
      </c>
      <c r="B4517">
        <v>199</v>
      </c>
      <c r="C4517" t="str">
        <f>"11"</f>
        <v>11</v>
      </c>
      <c r="D4517">
        <v>6411</v>
      </c>
      <c r="E4517" t="str">
        <f>"V8"</f>
        <v>V8</v>
      </c>
      <c r="F4517" t="str">
        <f t="shared" si="950"/>
        <v>001</v>
      </c>
      <c r="G4517">
        <v>9</v>
      </c>
      <c r="H4517" t="str">
        <f>"22"</f>
        <v>22</v>
      </c>
      <c r="I4517" t="str">
        <f t="shared" si="949"/>
        <v>0</v>
      </c>
      <c r="J4517" t="str">
        <f>"22"</f>
        <v>22</v>
      </c>
      <c r="K4517">
        <v>20190131</v>
      </c>
      <c r="L4517" t="str">
        <f>"075480"</f>
        <v>075480</v>
      </c>
      <c r="M4517" t="str">
        <f>"00176"</f>
        <v>00176</v>
      </c>
      <c r="N4517" t="s">
        <v>3578</v>
      </c>
      <c r="O4517" s="1">
        <v>1616.5</v>
      </c>
      <c r="P4517">
        <v>20190130</v>
      </c>
      <c r="Q4517" t="s">
        <v>3579</v>
      </c>
      <c r="R4517" t="s">
        <v>3580</v>
      </c>
      <c r="S4517" t="s">
        <v>1615</v>
      </c>
      <c r="T4517" t="s">
        <v>301</v>
      </c>
    </row>
    <row r="4518" spans="1:20" x14ac:dyDescent="0.25">
      <c r="A4518">
        <v>9</v>
      </c>
      <c r="B4518">
        <v>199</v>
      </c>
      <c r="C4518" t="str">
        <f>"21"</f>
        <v>21</v>
      </c>
      <c r="D4518">
        <v>6411</v>
      </c>
      <c r="E4518" t="str">
        <f>"V1"</f>
        <v>V1</v>
      </c>
      <c r="F4518" t="str">
        <f t="shared" si="950"/>
        <v>001</v>
      </c>
      <c r="G4518">
        <v>9</v>
      </c>
      <c r="H4518" t="str">
        <f>"22"</f>
        <v>22</v>
      </c>
      <c r="I4518" t="str">
        <f t="shared" si="949"/>
        <v>0</v>
      </c>
      <c r="J4518" t="str">
        <f>"22"</f>
        <v>22</v>
      </c>
      <c r="K4518">
        <v>20190131</v>
      </c>
      <c r="L4518" t="str">
        <f>"075481"</f>
        <v>075481</v>
      </c>
      <c r="M4518" t="str">
        <f>"44261"</f>
        <v>44261</v>
      </c>
      <c r="N4518" t="s">
        <v>1330</v>
      </c>
      <c r="O4518">
        <v>418.64</v>
      </c>
      <c r="P4518">
        <v>20190130</v>
      </c>
      <c r="Q4518" t="s">
        <v>2728</v>
      </c>
      <c r="R4518" t="s">
        <v>2850</v>
      </c>
      <c r="S4518" t="s">
        <v>1615</v>
      </c>
      <c r="T4518" t="s">
        <v>301</v>
      </c>
    </row>
    <row r="4519" spans="1:20" x14ac:dyDescent="0.25">
      <c r="A4519">
        <v>9</v>
      </c>
      <c r="B4519">
        <v>199</v>
      </c>
      <c r="C4519" t="str">
        <f>"36"</f>
        <v>36</v>
      </c>
      <c r="D4519">
        <v>6411</v>
      </c>
      <c r="E4519" t="str">
        <f>"8S"</f>
        <v>8S</v>
      </c>
      <c r="F4519" t="str">
        <f t="shared" si="950"/>
        <v>001</v>
      </c>
      <c r="G4519">
        <v>9</v>
      </c>
      <c r="H4519" t="str">
        <f>"99"</f>
        <v>99</v>
      </c>
      <c r="I4519" t="str">
        <f>"1"</f>
        <v>1</v>
      </c>
      <c r="J4519" t="str">
        <f>"01"</f>
        <v>01</v>
      </c>
      <c r="K4519">
        <v>20190131</v>
      </c>
      <c r="L4519" t="str">
        <f>"075485"</f>
        <v>075485</v>
      </c>
      <c r="M4519" t="str">
        <f>"46348"</f>
        <v>46348</v>
      </c>
      <c r="N4519" t="s">
        <v>1631</v>
      </c>
      <c r="O4519">
        <v>50</v>
      </c>
      <c r="P4519">
        <v>20190130</v>
      </c>
      <c r="Q4519" t="s">
        <v>1632</v>
      </c>
      <c r="R4519" t="s">
        <v>3653</v>
      </c>
      <c r="S4519" t="s">
        <v>1615</v>
      </c>
      <c r="T4519" t="s">
        <v>301</v>
      </c>
    </row>
    <row r="4520" spans="1:20" x14ac:dyDescent="0.25">
      <c r="A4520">
        <v>9</v>
      </c>
      <c r="B4520">
        <v>199</v>
      </c>
      <c r="C4520" t="str">
        <f>"36"</f>
        <v>36</v>
      </c>
      <c r="D4520">
        <v>6412</v>
      </c>
      <c r="E4520" t="str">
        <f>"8S"</f>
        <v>8S</v>
      </c>
      <c r="F4520" t="str">
        <f t="shared" si="950"/>
        <v>001</v>
      </c>
      <c r="G4520">
        <v>9</v>
      </c>
      <c r="H4520" t="str">
        <f>"99"</f>
        <v>99</v>
      </c>
      <c r="I4520" t="str">
        <f>"1"</f>
        <v>1</v>
      </c>
      <c r="J4520" t="str">
        <f>"01"</f>
        <v>01</v>
      </c>
      <c r="K4520">
        <v>20190131</v>
      </c>
      <c r="L4520" t="str">
        <f>"075485"</f>
        <v>075485</v>
      </c>
      <c r="M4520" t="str">
        <f>"46348"</f>
        <v>46348</v>
      </c>
      <c r="N4520" t="s">
        <v>1631</v>
      </c>
      <c r="O4520">
        <v>150</v>
      </c>
      <c r="P4520">
        <v>20190130</v>
      </c>
      <c r="Q4520" t="s">
        <v>1634</v>
      </c>
      <c r="R4520" t="s">
        <v>3653</v>
      </c>
      <c r="S4520" t="s">
        <v>1615</v>
      </c>
      <c r="T4520" t="s">
        <v>301</v>
      </c>
    </row>
    <row r="4521" spans="1:20" x14ac:dyDescent="0.25">
      <c r="A4521">
        <v>9</v>
      </c>
      <c r="B4521">
        <v>199</v>
      </c>
      <c r="C4521" t="str">
        <f>"00"</f>
        <v>00</v>
      </c>
      <c r="D4521">
        <v>1291</v>
      </c>
      <c r="E4521" t="str">
        <f>"05"</f>
        <v>05</v>
      </c>
      <c r="F4521" t="str">
        <f>"000"</f>
        <v>000</v>
      </c>
      <c r="G4521">
        <v>9</v>
      </c>
      <c r="H4521" t="str">
        <f>"00"</f>
        <v>00</v>
      </c>
      <c r="I4521" t="str">
        <f>"0"</f>
        <v>0</v>
      </c>
      <c r="J4521" t="str">
        <f>"00"</f>
        <v>00</v>
      </c>
      <c r="K4521">
        <v>20190131</v>
      </c>
      <c r="L4521" t="str">
        <f>"075486"</f>
        <v>075486</v>
      </c>
      <c r="M4521" t="str">
        <f>"46398"</f>
        <v>46398</v>
      </c>
      <c r="N4521" t="s">
        <v>1636</v>
      </c>
      <c r="O4521" s="1">
        <v>6038.04</v>
      </c>
      <c r="P4521">
        <v>20190130</v>
      </c>
      <c r="Q4521" t="s">
        <v>1637</v>
      </c>
      <c r="R4521" t="s">
        <v>3654</v>
      </c>
      <c r="S4521" t="s">
        <v>1615</v>
      </c>
      <c r="T4521" t="s">
        <v>296</v>
      </c>
    </row>
    <row r="4522" spans="1:20" x14ac:dyDescent="0.25">
      <c r="A4522">
        <v>9</v>
      </c>
      <c r="B4522">
        <v>199</v>
      </c>
      <c r="C4522" t="str">
        <f>"00"</f>
        <v>00</v>
      </c>
      <c r="D4522">
        <v>1291</v>
      </c>
      <c r="E4522" t="str">
        <f>"05"</f>
        <v>05</v>
      </c>
      <c r="F4522" t="str">
        <f>"000"</f>
        <v>000</v>
      </c>
      <c r="G4522">
        <v>9</v>
      </c>
      <c r="H4522" t="str">
        <f>"00"</f>
        <v>00</v>
      </c>
      <c r="I4522" t="str">
        <f>"0"</f>
        <v>0</v>
      </c>
      <c r="J4522" t="str">
        <f>"00"</f>
        <v>00</v>
      </c>
      <c r="K4522">
        <v>20190131</v>
      </c>
      <c r="L4522" t="str">
        <f>"075486"</f>
        <v>075486</v>
      </c>
      <c r="M4522" t="str">
        <f>"46398"</f>
        <v>46398</v>
      </c>
      <c r="N4522" t="s">
        <v>1636</v>
      </c>
      <c r="O4522">
        <v>85.17</v>
      </c>
      <c r="P4522">
        <v>20190130</v>
      </c>
      <c r="Q4522" t="s">
        <v>1637</v>
      </c>
      <c r="R4522" t="s">
        <v>3654</v>
      </c>
      <c r="S4522" t="s">
        <v>1615</v>
      </c>
      <c r="T4522" t="s">
        <v>296</v>
      </c>
    </row>
    <row r="4523" spans="1:20" x14ac:dyDescent="0.25">
      <c r="A4523">
        <v>9</v>
      </c>
      <c r="B4523">
        <v>199</v>
      </c>
      <c r="C4523" t="str">
        <f>"41"</f>
        <v>41</v>
      </c>
      <c r="D4523">
        <v>6245</v>
      </c>
      <c r="E4523" t="str">
        <f>"10"</f>
        <v>10</v>
      </c>
      <c r="F4523" t="str">
        <f>"933"</f>
        <v>933</v>
      </c>
      <c r="G4523">
        <v>9</v>
      </c>
      <c r="H4523" t="str">
        <f>"99"</f>
        <v>99</v>
      </c>
      <c r="I4523" t="str">
        <f>"0"</f>
        <v>0</v>
      </c>
      <c r="J4523" t="str">
        <f>"85"</f>
        <v>85</v>
      </c>
      <c r="K4523">
        <v>20190131</v>
      </c>
      <c r="L4523" t="str">
        <f>"075486"</f>
        <v>075486</v>
      </c>
      <c r="M4523" t="str">
        <f>"46398"</f>
        <v>46398</v>
      </c>
      <c r="N4523" t="s">
        <v>1636</v>
      </c>
      <c r="O4523" s="1">
        <v>1471.44</v>
      </c>
      <c r="P4523">
        <v>20190130</v>
      </c>
      <c r="Q4523" t="s">
        <v>2516</v>
      </c>
      <c r="R4523" t="s">
        <v>3654</v>
      </c>
      <c r="S4523" t="s">
        <v>1615</v>
      </c>
      <c r="T4523" t="s">
        <v>1643</v>
      </c>
    </row>
    <row r="4524" spans="1:20" x14ac:dyDescent="0.25">
      <c r="A4524">
        <v>9</v>
      </c>
      <c r="B4524">
        <v>199</v>
      </c>
      <c r="C4524" t="str">
        <f>"31"</f>
        <v>31</v>
      </c>
      <c r="D4524">
        <v>6411</v>
      </c>
      <c r="E4524" t="str">
        <f>"00"</f>
        <v>00</v>
      </c>
      <c r="F4524" t="str">
        <f>"875"</f>
        <v>875</v>
      </c>
      <c r="G4524">
        <v>9</v>
      </c>
      <c r="H4524" t="str">
        <f>"23"</f>
        <v>23</v>
      </c>
      <c r="I4524" t="str">
        <f>"1"</f>
        <v>1</v>
      </c>
      <c r="J4524" t="str">
        <f>"23"</f>
        <v>23</v>
      </c>
      <c r="K4524">
        <v>20190131</v>
      </c>
      <c r="L4524" t="str">
        <f>"075487"</f>
        <v>075487</v>
      </c>
      <c r="M4524" t="str">
        <f>"48958"</f>
        <v>48958</v>
      </c>
      <c r="N4524" t="s">
        <v>3655</v>
      </c>
      <c r="O4524">
        <v>77.98</v>
      </c>
      <c r="P4524">
        <v>20190130</v>
      </c>
      <c r="Q4524" t="s">
        <v>3656</v>
      </c>
      <c r="R4524" t="s">
        <v>3657</v>
      </c>
      <c r="S4524" t="s">
        <v>1615</v>
      </c>
      <c r="T4524" t="s">
        <v>2041</v>
      </c>
    </row>
    <row r="4525" spans="1:20" x14ac:dyDescent="0.25">
      <c r="A4525">
        <v>9</v>
      </c>
      <c r="B4525">
        <v>199</v>
      </c>
      <c r="C4525" t="str">
        <f>"51"</f>
        <v>51</v>
      </c>
      <c r="D4525">
        <v>6249</v>
      </c>
      <c r="E4525" t="str">
        <f>"M8"</f>
        <v>M8</v>
      </c>
      <c r="F4525" t="str">
        <f>"936"</f>
        <v>936</v>
      </c>
      <c r="G4525">
        <v>9</v>
      </c>
      <c r="H4525" t="str">
        <f>"99"</f>
        <v>99</v>
      </c>
      <c r="I4525" t="str">
        <f t="shared" ref="I4525:I4533" si="951">"0"</f>
        <v>0</v>
      </c>
      <c r="J4525" t="str">
        <f>"81"</f>
        <v>81</v>
      </c>
      <c r="K4525">
        <v>20190131</v>
      </c>
      <c r="L4525" t="str">
        <f>"075491"</f>
        <v>075491</v>
      </c>
      <c r="M4525" t="str">
        <f>"52185"</f>
        <v>52185</v>
      </c>
      <c r="N4525" t="s">
        <v>1748</v>
      </c>
      <c r="O4525" s="1">
        <v>19155</v>
      </c>
      <c r="P4525">
        <v>20190130</v>
      </c>
      <c r="Q4525" t="s">
        <v>2096</v>
      </c>
      <c r="R4525" t="s">
        <v>3658</v>
      </c>
      <c r="S4525" t="s">
        <v>1615</v>
      </c>
      <c r="T4525" t="s">
        <v>1713</v>
      </c>
    </row>
    <row r="4526" spans="1:20" x14ac:dyDescent="0.25">
      <c r="A4526">
        <v>9</v>
      </c>
      <c r="B4526">
        <v>199</v>
      </c>
      <c r="C4526" t="str">
        <f>"51"</f>
        <v>51</v>
      </c>
      <c r="D4526">
        <v>6249</v>
      </c>
      <c r="E4526" t="str">
        <f>"M8"</f>
        <v>M8</v>
      </c>
      <c r="F4526" t="str">
        <f>"936"</f>
        <v>936</v>
      </c>
      <c r="G4526">
        <v>9</v>
      </c>
      <c r="H4526" t="str">
        <f>"99"</f>
        <v>99</v>
      </c>
      <c r="I4526" t="str">
        <f t="shared" si="951"/>
        <v>0</v>
      </c>
      <c r="J4526" t="str">
        <f>"81"</f>
        <v>81</v>
      </c>
      <c r="K4526">
        <v>20190131</v>
      </c>
      <c r="L4526" t="str">
        <f>"075491"</f>
        <v>075491</v>
      </c>
      <c r="M4526" t="str">
        <f>"52185"</f>
        <v>52185</v>
      </c>
      <c r="N4526" t="s">
        <v>1748</v>
      </c>
      <c r="O4526">
        <v>200</v>
      </c>
      <c r="P4526">
        <v>20190130</v>
      </c>
      <c r="Q4526" t="s">
        <v>2096</v>
      </c>
      <c r="R4526" t="s">
        <v>3659</v>
      </c>
      <c r="S4526" t="s">
        <v>1615</v>
      </c>
      <c r="T4526" t="s">
        <v>1713</v>
      </c>
    </row>
    <row r="4527" spans="1:20" x14ac:dyDescent="0.25">
      <c r="A4527">
        <v>9</v>
      </c>
      <c r="B4527">
        <v>199</v>
      </c>
      <c r="C4527" t="str">
        <f>"11"</f>
        <v>11</v>
      </c>
      <c r="D4527">
        <v>6249</v>
      </c>
      <c r="E4527" t="str">
        <f>"7B"</f>
        <v>7B</v>
      </c>
      <c r="F4527" t="str">
        <f t="shared" ref="F4527:F4532" si="952">"001"</f>
        <v>001</v>
      </c>
      <c r="G4527">
        <v>9</v>
      </c>
      <c r="H4527" t="str">
        <f>"11"</f>
        <v>11</v>
      </c>
      <c r="I4527" t="str">
        <f t="shared" si="951"/>
        <v>0</v>
      </c>
      <c r="J4527" t="str">
        <f>"32"</f>
        <v>32</v>
      </c>
      <c r="K4527">
        <v>20190131</v>
      </c>
      <c r="L4527" t="str">
        <f>"075497"</f>
        <v>075497</v>
      </c>
      <c r="M4527" t="str">
        <f>"57662"</f>
        <v>57662</v>
      </c>
      <c r="N4527" t="s">
        <v>2519</v>
      </c>
      <c r="O4527">
        <v>421</v>
      </c>
      <c r="P4527">
        <v>20190130</v>
      </c>
      <c r="Q4527" t="s">
        <v>2234</v>
      </c>
      <c r="R4527" t="s">
        <v>3660</v>
      </c>
      <c r="S4527" t="s">
        <v>1615</v>
      </c>
      <c r="T4527" t="s">
        <v>301</v>
      </c>
    </row>
    <row r="4528" spans="1:20" x14ac:dyDescent="0.25">
      <c r="A4528">
        <v>9</v>
      </c>
      <c r="B4528">
        <v>199</v>
      </c>
      <c r="C4528" t="str">
        <f>"11"</f>
        <v>11</v>
      </c>
      <c r="D4528">
        <v>6399</v>
      </c>
      <c r="E4528" t="str">
        <f>"10"</f>
        <v>10</v>
      </c>
      <c r="F4528" t="str">
        <f t="shared" si="952"/>
        <v>001</v>
      </c>
      <c r="G4528">
        <v>9</v>
      </c>
      <c r="H4528" t="str">
        <f>"11"</f>
        <v>11</v>
      </c>
      <c r="I4528" t="str">
        <f t="shared" si="951"/>
        <v>0</v>
      </c>
      <c r="J4528" t="str">
        <f>"01"</f>
        <v>01</v>
      </c>
      <c r="K4528">
        <v>20190131</v>
      </c>
      <c r="L4528" t="str">
        <f>"075500"</f>
        <v>075500</v>
      </c>
      <c r="M4528" t="str">
        <f>"58204"</f>
        <v>58204</v>
      </c>
      <c r="N4528" t="s">
        <v>1767</v>
      </c>
      <c r="O4528">
        <v>17.5</v>
      </c>
      <c r="P4528">
        <v>20190130</v>
      </c>
      <c r="Q4528" t="s">
        <v>1675</v>
      </c>
      <c r="R4528" t="s">
        <v>3661</v>
      </c>
      <c r="S4528" t="s">
        <v>1615</v>
      </c>
      <c r="T4528" t="s">
        <v>301</v>
      </c>
    </row>
    <row r="4529" spans="1:20" x14ac:dyDescent="0.25">
      <c r="A4529">
        <v>9</v>
      </c>
      <c r="B4529">
        <v>199</v>
      </c>
      <c r="C4529" t="str">
        <f>"11"</f>
        <v>11</v>
      </c>
      <c r="D4529">
        <v>6399</v>
      </c>
      <c r="E4529" t="str">
        <f>"AP"</f>
        <v>AP</v>
      </c>
      <c r="F4529" t="str">
        <f t="shared" si="952"/>
        <v>001</v>
      </c>
      <c r="G4529">
        <v>9</v>
      </c>
      <c r="H4529" t="str">
        <f>"31"</f>
        <v>31</v>
      </c>
      <c r="I4529" t="str">
        <f t="shared" si="951"/>
        <v>0</v>
      </c>
      <c r="J4529" t="str">
        <f>"34"</f>
        <v>34</v>
      </c>
      <c r="K4529">
        <v>20190131</v>
      </c>
      <c r="L4529" t="str">
        <f>"075500"</f>
        <v>075500</v>
      </c>
      <c r="M4529" t="str">
        <f>"58204"</f>
        <v>58204</v>
      </c>
      <c r="N4529" t="s">
        <v>1767</v>
      </c>
      <c r="O4529">
        <v>5</v>
      </c>
      <c r="P4529">
        <v>20190130</v>
      </c>
      <c r="Q4529" t="s">
        <v>1677</v>
      </c>
      <c r="R4529" t="s">
        <v>3662</v>
      </c>
      <c r="S4529" t="s">
        <v>1615</v>
      </c>
      <c r="T4529" t="s">
        <v>301</v>
      </c>
    </row>
    <row r="4530" spans="1:20" x14ac:dyDescent="0.25">
      <c r="A4530">
        <v>9</v>
      </c>
      <c r="B4530">
        <v>199</v>
      </c>
      <c r="C4530" t="str">
        <f>"11"</f>
        <v>11</v>
      </c>
      <c r="D4530">
        <v>6399</v>
      </c>
      <c r="E4530" t="str">
        <f>"N1"</f>
        <v>N1</v>
      </c>
      <c r="F4530" t="str">
        <f t="shared" si="952"/>
        <v>001</v>
      </c>
      <c r="G4530">
        <v>9</v>
      </c>
      <c r="H4530" t="str">
        <f>"11"</f>
        <v>11</v>
      </c>
      <c r="I4530" t="str">
        <f t="shared" si="951"/>
        <v>0</v>
      </c>
      <c r="J4530" t="str">
        <f>"01"</f>
        <v>01</v>
      </c>
      <c r="K4530">
        <v>20190131</v>
      </c>
      <c r="L4530" t="str">
        <f>"075500"</f>
        <v>075500</v>
      </c>
      <c r="M4530" t="str">
        <f>"58204"</f>
        <v>58204</v>
      </c>
      <c r="N4530" t="s">
        <v>1767</v>
      </c>
      <c r="O4530">
        <v>85.84</v>
      </c>
      <c r="P4530">
        <v>20190130</v>
      </c>
      <c r="Q4530" t="s">
        <v>2637</v>
      </c>
      <c r="R4530" t="s">
        <v>3341</v>
      </c>
      <c r="S4530" t="s">
        <v>1615</v>
      </c>
      <c r="T4530" t="s">
        <v>301</v>
      </c>
    </row>
    <row r="4531" spans="1:20" x14ac:dyDescent="0.25">
      <c r="A4531">
        <v>9</v>
      </c>
      <c r="B4531">
        <v>199</v>
      </c>
      <c r="C4531" t="str">
        <f>"23"</f>
        <v>23</v>
      </c>
      <c r="D4531">
        <v>6495</v>
      </c>
      <c r="E4531" t="str">
        <f>"10"</f>
        <v>10</v>
      </c>
      <c r="F4531" t="str">
        <f t="shared" si="952"/>
        <v>001</v>
      </c>
      <c r="G4531">
        <v>9</v>
      </c>
      <c r="H4531" t="str">
        <f t="shared" ref="H4531:H4543" si="953">"99"</f>
        <v>99</v>
      </c>
      <c r="I4531" t="str">
        <f t="shared" si="951"/>
        <v>0</v>
      </c>
      <c r="J4531" t="str">
        <f>"01"</f>
        <v>01</v>
      </c>
      <c r="K4531">
        <v>20190131</v>
      </c>
      <c r="L4531" t="str">
        <f>"075500"</f>
        <v>075500</v>
      </c>
      <c r="M4531" t="str">
        <f>"58204"</f>
        <v>58204</v>
      </c>
      <c r="N4531" t="s">
        <v>1767</v>
      </c>
      <c r="O4531">
        <v>30</v>
      </c>
      <c r="P4531">
        <v>20190130</v>
      </c>
      <c r="Q4531" t="s">
        <v>1824</v>
      </c>
      <c r="R4531" t="s">
        <v>3663</v>
      </c>
      <c r="S4531" t="s">
        <v>1615</v>
      </c>
      <c r="T4531" t="s">
        <v>301</v>
      </c>
    </row>
    <row r="4532" spans="1:20" x14ac:dyDescent="0.25">
      <c r="A4532">
        <v>9</v>
      </c>
      <c r="B4532">
        <v>199</v>
      </c>
      <c r="C4532" t="str">
        <f>"36"</f>
        <v>36</v>
      </c>
      <c r="D4532">
        <v>6399</v>
      </c>
      <c r="E4532" t="str">
        <f>"09"</f>
        <v>09</v>
      </c>
      <c r="F4532" t="str">
        <f t="shared" si="952"/>
        <v>001</v>
      </c>
      <c r="G4532">
        <v>9</v>
      </c>
      <c r="H4532" t="str">
        <f t="shared" si="953"/>
        <v>99</v>
      </c>
      <c r="I4532" t="str">
        <f t="shared" si="951"/>
        <v>0</v>
      </c>
      <c r="J4532" t="str">
        <f>"01"</f>
        <v>01</v>
      </c>
      <c r="K4532">
        <v>20190131</v>
      </c>
      <c r="L4532" t="str">
        <f>"075500"</f>
        <v>075500</v>
      </c>
      <c r="M4532" t="str">
        <f>"58204"</f>
        <v>58204</v>
      </c>
      <c r="N4532" t="s">
        <v>1767</v>
      </c>
      <c r="O4532">
        <v>56.72</v>
      </c>
      <c r="P4532">
        <v>20190130</v>
      </c>
      <c r="Q4532" t="s">
        <v>2177</v>
      </c>
      <c r="R4532" t="s">
        <v>3664</v>
      </c>
      <c r="S4532" t="s">
        <v>1615</v>
      </c>
      <c r="T4532" t="s">
        <v>301</v>
      </c>
    </row>
    <row r="4533" spans="1:20" x14ac:dyDescent="0.25">
      <c r="A4533">
        <v>9</v>
      </c>
      <c r="B4533">
        <v>199</v>
      </c>
      <c r="C4533" t="str">
        <f>"41"</f>
        <v>41</v>
      </c>
      <c r="D4533">
        <v>6211</v>
      </c>
      <c r="E4533" t="str">
        <f>"10"</f>
        <v>10</v>
      </c>
      <c r="F4533" t="str">
        <f>"726"</f>
        <v>726</v>
      </c>
      <c r="G4533">
        <v>9</v>
      </c>
      <c r="H4533" t="str">
        <f t="shared" si="953"/>
        <v>99</v>
      </c>
      <c r="I4533" t="str">
        <f t="shared" si="951"/>
        <v>0</v>
      </c>
      <c r="J4533" t="str">
        <f>"91"</f>
        <v>91</v>
      </c>
      <c r="K4533">
        <v>20190131</v>
      </c>
      <c r="L4533" t="str">
        <f>"075501"</f>
        <v>075501</v>
      </c>
      <c r="M4533" t="str">
        <f>"59082"</f>
        <v>59082</v>
      </c>
      <c r="N4533" t="s">
        <v>3665</v>
      </c>
      <c r="O4533">
        <v>268.47000000000003</v>
      </c>
      <c r="P4533">
        <v>20190130</v>
      </c>
      <c r="Q4533" t="s">
        <v>3493</v>
      </c>
      <c r="R4533" t="s">
        <v>3666</v>
      </c>
      <c r="S4533" t="s">
        <v>1615</v>
      </c>
      <c r="T4533" t="s">
        <v>2608</v>
      </c>
    </row>
    <row r="4534" spans="1:20" x14ac:dyDescent="0.25">
      <c r="A4534">
        <v>9</v>
      </c>
      <c r="B4534">
        <v>199</v>
      </c>
      <c r="C4534" t="str">
        <f t="shared" ref="C4534:C4540" si="954">"36"</f>
        <v>36</v>
      </c>
      <c r="D4534">
        <v>6411</v>
      </c>
      <c r="E4534" t="str">
        <f>"7E"</f>
        <v>7E</v>
      </c>
      <c r="F4534" t="str">
        <f t="shared" ref="F4534:F4540" si="955">"001"</f>
        <v>001</v>
      </c>
      <c r="G4534">
        <v>9</v>
      </c>
      <c r="H4534" t="str">
        <f t="shared" si="953"/>
        <v>99</v>
      </c>
      <c r="I4534" t="str">
        <f>"1"</f>
        <v>1</v>
      </c>
      <c r="J4534" t="str">
        <f>"31"</f>
        <v>31</v>
      </c>
      <c r="K4534">
        <v>20190131</v>
      </c>
      <c r="L4534" t="str">
        <f>"075504"</f>
        <v>075504</v>
      </c>
      <c r="M4534" t="str">
        <f>"63053"</f>
        <v>63053</v>
      </c>
      <c r="N4534" t="s">
        <v>2309</v>
      </c>
      <c r="O4534">
        <v>125</v>
      </c>
      <c r="P4534">
        <v>20190130</v>
      </c>
      <c r="Q4534" t="s">
        <v>2310</v>
      </c>
      <c r="R4534" t="s">
        <v>2912</v>
      </c>
      <c r="S4534" t="s">
        <v>1615</v>
      </c>
      <c r="T4534" t="s">
        <v>301</v>
      </c>
    </row>
    <row r="4535" spans="1:20" x14ac:dyDescent="0.25">
      <c r="A4535">
        <v>9</v>
      </c>
      <c r="B4535">
        <v>199</v>
      </c>
      <c r="C4535" t="str">
        <f t="shared" si="954"/>
        <v>36</v>
      </c>
      <c r="D4535">
        <v>6412</v>
      </c>
      <c r="E4535" t="str">
        <f>"7E"</f>
        <v>7E</v>
      </c>
      <c r="F4535" t="str">
        <f t="shared" si="955"/>
        <v>001</v>
      </c>
      <c r="G4535">
        <v>9</v>
      </c>
      <c r="H4535" t="str">
        <f t="shared" si="953"/>
        <v>99</v>
      </c>
      <c r="I4535" t="str">
        <f>"1"</f>
        <v>1</v>
      </c>
      <c r="J4535" t="str">
        <f>"31"</f>
        <v>31</v>
      </c>
      <c r="K4535">
        <v>20190131</v>
      </c>
      <c r="L4535" t="str">
        <f>"075504"</f>
        <v>075504</v>
      </c>
      <c r="M4535" t="str">
        <f>"63053"</f>
        <v>63053</v>
      </c>
      <c r="N4535" t="s">
        <v>2309</v>
      </c>
      <c r="O4535">
        <v>225</v>
      </c>
      <c r="P4535">
        <v>20190130</v>
      </c>
      <c r="Q4535" t="s">
        <v>2312</v>
      </c>
      <c r="R4535" t="s">
        <v>2912</v>
      </c>
      <c r="S4535" t="s">
        <v>1615</v>
      </c>
      <c r="T4535" t="s">
        <v>301</v>
      </c>
    </row>
    <row r="4536" spans="1:20" x14ac:dyDescent="0.25">
      <c r="A4536">
        <v>9</v>
      </c>
      <c r="B4536">
        <v>199</v>
      </c>
      <c r="C4536" t="str">
        <f t="shared" si="954"/>
        <v>36</v>
      </c>
      <c r="D4536">
        <v>6412</v>
      </c>
      <c r="E4536" t="str">
        <f>"7E"</f>
        <v>7E</v>
      </c>
      <c r="F4536" t="str">
        <f t="shared" si="955"/>
        <v>001</v>
      </c>
      <c r="G4536">
        <v>9</v>
      </c>
      <c r="H4536" t="str">
        <f t="shared" si="953"/>
        <v>99</v>
      </c>
      <c r="I4536" t="str">
        <f>"1"</f>
        <v>1</v>
      </c>
      <c r="J4536" t="str">
        <f>"31"</f>
        <v>31</v>
      </c>
      <c r="K4536">
        <v>20190131</v>
      </c>
      <c r="L4536" t="str">
        <f>"075505"</f>
        <v>075505</v>
      </c>
      <c r="M4536" t="str">
        <f>"63053"</f>
        <v>63053</v>
      </c>
      <c r="N4536" t="s">
        <v>2309</v>
      </c>
      <c r="O4536">
        <v>550</v>
      </c>
      <c r="P4536">
        <v>20190130</v>
      </c>
      <c r="Q4536" t="s">
        <v>2312</v>
      </c>
      <c r="R4536" t="s">
        <v>3327</v>
      </c>
      <c r="S4536" t="s">
        <v>1615</v>
      </c>
      <c r="T4536" t="s">
        <v>301</v>
      </c>
    </row>
    <row r="4537" spans="1:20" x14ac:dyDescent="0.25">
      <c r="A4537">
        <v>9</v>
      </c>
      <c r="B4537">
        <v>199</v>
      </c>
      <c r="C4537" t="str">
        <f t="shared" si="954"/>
        <v>36</v>
      </c>
      <c r="D4537">
        <v>6411</v>
      </c>
      <c r="E4537" t="str">
        <f>"7E"</f>
        <v>7E</v>
      </c>
      <c r="F4537" t="str">
        <f t="shared" si="955"/>
        <v>001</v>
      </c>
      <c r="G4537">
        <v>9</v>
      </c>
      <c r="H4537" t="str">
        <f t="shared" si="953"/>
        <v>99</v>
      </c>
      <c r="I4537" t="str">
        <f>"0"</f>
        <v>0</v>
      </c>
      <c r="J4537" t="str">
        <f>"31"</f>
        <v>31</v>
      </c>
      <c r="K4537">
        <v>20190131</v>
      </c>
      <c r="L4537" t="str">
        <f>"075507"</f>
        <v>075507</v>
      </c>
      <c r="M4537" t="str">
        <f>"65196"</f>
        <v>65196</v>
      </c>
      <c r="N4537" t="s">
        <v>3667</v>
      </c>
      <c r="O4537">
        <v>564.46</v>
      </c>
      <c r="P4537">
        <v>20190130</v>
      </c>
      <c r="Q4537" t="s">
        <v>1843</v>
      </c>
      <c r="R4537" t="s">
        <v>2912</v>
      </c>
      <c r="S4537" t="s">
        <v>1615</v>
      </c>
      <c r="T4537" t="s">
        <v>301</v>
      </c>
    </row>
    <row r="4538" spans="1:20" x14ac:dyDescent="0.25">
      <c r="A4538">
        <v>9</v>
      </c>
      <c r="B4538">
        <v>199</v>
      </c>
      <c r="C4538" t="str">
        <f t="shared" si="954"/>
        <v>36</v>
      </c>
      <c r="D4538">
        <v>6412</v>
      </c>
      <c r="E4538" t="str">
        <f>"7E"</f>
        <v>7E</v>
      </c>
      <c r="F4538" t="str">
        <f t="shared" si="955"/>
        <v>001</v>
      </c>
      <c r="G4538">
        <v>9</v>
      </c>
      <c r="H4538" t="str">
        <f t="shared" si="953"/>
        <v>99</v>
      </c>
      <c r="I4538" t="str">
        <f>"0"</f>
        <v>0</v>
      </c>
      <c r="J4538" t="str">
        <f>"31"</f>
        <v>31</v>
      </c>
      <c r="K4538">
        <v>20190131</v>
      </c>
      <c r="L4538" t="str">
        <f>"075507"</f>
        <v>075507</v>
      </c>
      <c r="M4538" t="str">
        <f>"65196"</f>
        <v>65196</v>
      </c>
      <c r="N4538" t="s">
        <v>3667</v>
      </c>
      <c r="O4538" s="1">
        <v>1023.38</v>
      </c>
      <c r="P4538">
        <v>20190130</v>
      </c>
      <c r="Q4538" t="s">
        <v>1655</v>
      </c>
      <c r="R4538" t="s">
        <v>2912</v>
      </c>
      <c r="S4538" t="s">
        <v>1615</v>
      </c>
      <c r="T4538" t="s">
        <v>301</v>
      </c>
    </row>
    <row r="4539" spans="1:20" x14ac:dyDescent="0.25">
      <c r="A4539">
        <v>9</v>
      </c>
      <c r="B4539">
        <v>199</v>
      </c>
      <c r="C4539" t="str">
        <f t="shared" si="954"/>
        <v>36</v>
      </c>
      <c r="D4539">
        <v>6411</v>
      </c>
      <c r="E4539" t="str">
        <f>"7B"</f>
        <v>7B</v>
      </c>
      <c r="F4539" t="str">
        <f t="shared" si="955"/>
        <v>001</v>
      </c>
      <c r="G4539">
        <v>9</v>
      </c>
      <c r="H4539" t="str">
        <f t="shared" si="953"/>
        <v>99</v>
      </c>
      <c r="I4539" t="str">
        <f>"0"</f>
        <v>0</v>
      </c>
      <c r="J4539" t="str">
        <f>"32"</f>
        <v>32</v>
      </c>
      <c r="K4539">
        <v>20190131</v>
      </c>
      <c r="L4539" t="str">
        <f>"075508"</f>
        <v>075508</v>
      </c>
      <c r="M4539" t="str">
        <f>"65197"</f>
        <v>65197</v>
      </c>
      <c r="N4539" t="s">
        <v>3667</v>
      </c>
      <c r="O4539">
        <v>771.48</v>
      </c>
      <c r="P4539">
        <v>20190130</v>
      </c>
      <c r="Q4539" t="s">
        <v>1694</v>
      </c>
      <c r="R4539" t="s">
        <v>2912</v>
      </c>
      <c r="S4539" t="s">
        <v>1615</v>
      </c>
      <c r="T4539" t="s">
        <v>301</v>
      </c>
    </row>
    <row r="4540" spans="1:20" x14ac:dyDescent="0.25">
      <c r="A4540">
        <v>9</v>
      </c>
      <c r="B4540">
        <v>199</v>
      </c>
      <c r="C4540" t="str">
        <f t="shared" si="954"/>
        <v>36</v>
      </c>
      <c r="D4540">
        <v>6412</v>
      </c>
      <c r="E4540" t="str">
        <f>"7B"</f>
        <v>7B</v>
      </c>
      <c r="F4540" t="str">
        <f t="shared" si="955"/>
        <v>001</v>
      </c>
      <c r="G4540">
        <v>9</v>
      </c>
      <c r="H4540" t="str">
        <f t="shared" si="953"/>
        <v>99</v>
      </c>
      <c r="I4540" t="str">
        <f>"0"</f>
        <v>0</v>
      </c>
      <c r="J4540" t="str">
        <f>"32"</f>
        <v>32</v>
      </c>
      <c r="K4540">
        <v>20190131</v>
      </c>
      <c r="L4540" t="str">
        <f>"075508"</f>
        <v>075508</v>
      </c>
      <c r="M4540" t="str">
        <f>"65197"</f>
        <v>65197</v>
      </c>
      <c r="N4540" t="s">
        <v>3667</v>
      </c>
      <c r="O4540">
        <v>204.09</v>
      </c>
      <c r="P4540">
        <v>20190130</v>
      </c>
      <c r="Q4540" t="s">
        <v>1658</v>
      </c>
      <c r="R4540" t="s">
        <v>2912</v>
      </c>
      <c r="S4540" t="s">
        <v>1615</v>
      </c>
      <c r="T4540" t="s">
        <v>301</v>
      </c>
    </row>
    <row r="4541" spans="1:20" x14ac:dyDescent="0.25">
      <c r="A4541">
        <v>9</v>
      </c>
      <c r="B4541">
        <v>199</v>
      </c>
      <c r="C4541" t="str">
        <f>"34"</f>
        <v>34</v>
      </c>
      <c r="D4541">
        <v>6411</v>
      </c>
      <c r="E4541" t="str">
        <f>"11"</f>
        <v>11</v>
      </c>
      <c r="F4541" t="str">
        <f>"937"</f>
        <v>937</v>
      </c>
      <c r="G4541">
        <v>9</v>
      </c>
      <c r="H4541" t="str">
        <f t="shared" si="953"/>
        <v>99</v>
      </c>
      <c r="I4541" t="str">
        <f>"1"</f>
        <v>1</v>
      </c>
      <c r="J4541" t="str">
        <f>"82"</f>
        <v>82</v>
      </c>
      <c r="K4541">
        <v>20190131</v>
      </c>
      <c r="L4541" t="str">
        <f>"075510"</f>
        <v>075510</v>
      </c>
      <c r="M4541" t="str">
        <f>"71149"</f>
        <v>71149</v>
      </c>
      <c r="N4541" t="s">
        <v>2530</v>
      </c>
      <c r="O4541">
        <v>32.450000000000003</v>
      </c>
      <c r="P4541">
        <v>20190130</v>
      </c>
      <c r="Q4541" t="s">
        <v>2531</v>
      </c>
      <c r="R4541" t="s">
        <v>3093</v>
      </c>
      <c r="S4541" t="s">
        <v>1615</v>
      </c>
      <c r="T4541" t="s">
        <v>1810</v>
      </c>
    </row>
    <row r="4542" spans="1:20" x14ac:dyDescent="0.25">
      <c r="A4542">
        <v>9</v>
      </c>
      <c r="B4542">
        <v>199</v>
      </c>
      <c r="C4542" t="str">
        <f>"36"</f>
        <v>36</v>
      </c>
      <c r="D4542">
        <v>6412</v>
      </c>
      <c r="E4542" t="str">
        <f>"7A"</f>
        <v>7A</v>
      </c>
      <c r="F4542" t="str">
        <f>"001"</f>
        <v>001</v>
      </c>
      <c r="G4542">
        <v>9</v>
      </c>
      <c r="H4542" t="str">
        <f t="shared" si="953"/>
        <v>99</v>
      </c>
      <c r="I4542" t="str">
        <f>"0"</f>
        <v>0</v>
      </c>
      <c r="J4542" t="str">
        <f>"01"</f>
        <v>01</v>
      </c>
      <c r="K4542">
        <v>20190131</v>
      </c>
      <c r="L4542" t="str">
        <f>"075511"</f>
        <v>075511</v>
      </c>
      <c r="M4542" t="str">
        <f>"74351"</f>
        <v>74351</v>
      </c>
      <c r="N4542" t="s">
        <v>3668</v>
      </c>
      <c r="O4542">
        <v>340</v>
      </c>
      <c r="P4542">
        <v>20190131</v>
      </c>
      <c r="Q4542" t="s">
        <v>3669</v>
      </c>
      <c r="R4542" t="s">
        <v>3647</v>
      </c>
      <c r="S4542" t="s">
        <v>1615</v>
      </c>
      <c r="T4542" t="s">
        <v>301</v>
      </c>
    </row>
    <row r="4543" spans="1:20" x14ac:dyDescent="0.25">
      <c r="A4543">
        <v>9</v>
      </c>
      <c r="B4543">
        <v>199</v>
      </c>
      <c r="C4543" t="str">
        <f>"36"</f>
        <v>36</v>
      </c>
      <c r="D4543">
        <v>6412</v>
      </c>
      <c r="E4543" t="str">
        <f>"7A"</f>
        <v>7A</v>
      </c>
      <c r="F4543" t="str">
        <f>"001"</f>
        <v>001</v>
      </c>
      <c r="G4543">
        <v>9</v>
      </c>
      <c r="H4543" t="str">
        <f t="shared" si="953"/>
        <v>99</v>
      </c>
      <c r="I4543" t="str">
        <f>"0"</f>
        <v>0</v>
      </c>
      <c r="J4543" t="str">
        <f>"01"</f>
        <v>01</v>
      </c>
      <c r="K4543">
        <v>20190131</v>
      </c>
      <c r="L4543" t="str">
        <f>"075511"</f>
        <v>075511</v>
      </c>
      <c r="M4543" t="str">
        <f>"74351"</f>
        <v>74351</v>
      </c>
      <c r="N4543" t="s">
        <v>3668</v>
      </c>
      <c r="O4543">
        <v>68</v>
      </c>
      <c r="P4543">
        <v>20190131</v>
      </c>
      <c r="Q4543" t="s">
        <v>3669</v>
      </c>
      <c r="R4543" t="s">
        <v>3647</v>
      </c>
      <c r="S4543" t="s">
        <v>1615</v>
      </c>
      <c r="T4543" t="s">
        <v>301</v>
      </c>
    </row>
    <row r="4544" spans="1:20" x14ac:dyDescent="0.25">
      <c r="A4544">
        <v>9</v>
      </c>
      <c r="B4544">
        <v>199</v>
      </c>
      <c r="C4544" t="str">
        <f>"11"</f>
        <v>11</v>
      </c>
      <c r="D4544">
        <v>6412</v>
      </c>
      <c r="E4544" t="str">
        <f>"VL"</f>
        <v>VL</v>
      </c>
      <c r="F4544" t="str">
        <f>"001"</f>
        <v>001</v>
      </c>
      <c r="G4544">
        <v>9</v>
      </c>
      <c r="H4544" t="str">
        <f>"22"</f>
        <v>22</v>
      </c>
      <c r="I4544" t="str">
        <f>"0"</f>
        <v>0</v>
      </c>
      <c r="J4544" t="str">
        <f>"22"</f>
        <v>22</v>
      </c>
      <c r="K4544">
        <v>20190131</v>
      </c>
      <c r="L4544" t="str">
        <f>"075514"</f>
        <v>075514</v>
      </c>
      <c r="M4544" t="str">
        <f>"24974"</f>
        <v>24974</v>
      </c>
      <c r="N4544" t="s">
        <v>3670</v>
      </c>
      <c r="O4544" s="1">
        <v>1202.5</v>
      </c>
      <c r="P4544">
        <v>20190131</v>
      </c>
      <c r="Q4544" t="s">
        <v>1878</v>
      </c>
      <c r="R4544" t="s">
        <v>3671</v>
      </c>
      <c r="S4544" t="s">
        <v>1615</v>
      </c>
      <c r="T4544" t="s">
        <v>301</v>
      </c>
    </row>
    <row r="4545" spans="1:20" x14ac:dyDescent="0.25">
      <c r="A4545">
        <v>9</v>
      </c>
      <c r="B4545">
        <v>199</v>
      </c>
      <c r="C4545" t="str">
        <f>"36"</f>
        <v>36</v>
      </c>
      <c r="D4545">
        <v>6411</v>
      </c>
      <c r="E4545" t="str">
        <f>"VL"</f>
        <v>VL</v>
      </c>
      <c r="F4545" t="str">
        <f>"001"</f>
        <v>001</v>
      </c>
      <c r="G4545">
        <v>9</v>
      </c>
      <c r="H4545" t="str">
        <f>"22"</f>
        <v>22</v>
      </c>
      <c r="I4545" t="str">
        <f>"0"</f>
        <v>0</v>
      </c>
      <c r="J4545" t="str">
        <f>"22"</f>
        <v>22</v>
      </c>
      <c r="K4545">
        <v>20190131</v>
      </c>
      <c r="L4545" t="str">
        <f>"075514"</f>
        <v>075514</v>
      </c>
      <c r="M4545" t="str">
        <f>"24974"</f>
        <v>24974</v>
      </c>
      <c r="N4545" t="s">
        <v>3670</v>
      </c>
      <c r="O4545">
        <v>490</v>
      </c>
      <c r="P4545">
        <v>20190131</v>
      </c>
      <c r="Q4545" t="s">
        <v>1879</v>
      </c>
      <c r="R4545" t="s">
        <v>3671</v>
      </c>
      <c r="S4545" t="s">
        <v>1615</v>
      </c>
      <c r="T4545" t="s">
        <v>301</v>
      </c>
    </row>
    <row r="4546" spans="1:20" x14ac:dyDescent="0.25">
      <c r="A4546">
        <v>9</v>
      </c>
      <c r="B4546">
        <v>199</v>
      </c>
      <c r="C4546" t="str">
        <f>"36"</f>
        <v>36</v>
      </c>
      <c r="D4546">
        <v>6412</v>
      </c>
      <c r="E4546" t="str">
        <f>"VL"</f>
        <v>VL</v>
      </c>
      <c r="F4546" t="str">
        <f>"001"</f>
        <v>001</v>
      </c>
      <c r="G4546">
        <v>9</v>
      </c>
      <c r="H4546" t="str">
        <f>"22"</f>
        <v>22</v>
      </c>
      <c r="I4546" t="str">
        <f>"5"</f>
        <v>5</v>
      </c>
      <c r="J4546" t="str">
        <f>"74"</f>
        <v>74</v>
      </c>
      <c r="K4546">
        <v>20190131</v>
      </c>
      <c r="L4546" t="str">
        <f>"075514"</f>
        <v>075514</v>
      </c>
      <c r="M4546" t="str">
        <f>"24974"</f>
        <v>24974</v>
      </c>
      <c r="N4546" t="s">
        <v>3670</v>
      </c>
      <c r="O4546">
        <v>227.5</v>
      </c>
      <c r="P4546">
        <v>20190131</v>
      </c>
      <c r="Q4546" t="s">
        <v>3672</v>
      </c>
      <c r="R4546" t="s">
        <v>3671</v>
      </c>
      <c r="S4546" t="s">
        <v>1615</v>
      </c>
      <c r="T4546" t="s">
        <v>301</v>
      </c>
    </row>
    <row r="4547" spans="1:20" x14ac:dyDescent="0.25">
      <c r="A4547">
        <v>9</v>
      </c>
      <c r="B4547">
        <v>199</v>
      </c>
      <c r="C4547" t="str">
        <f>"51"</f>
        <v>51</v>
      </c>
      <c r="D4547">
        <v>6249</v>
      </c>
      <c r="E4547" t="str">
        <f>"M4"</f>
        <v>M4</v>
      </c>
      <c r="F4547" t="str">
        <f>"877"</f>
        <v>877</v>
      </c>
      <c r="G4547">
        <v>9</v>
      </c>
      <c r="H4547" t="str">
        <f>"99"</f>
        <v>99</v>
      </c>
      <c r="I4547" t="str">
        <f>"0"</f>
        <v>0</v>
      </c>
      <c r="J4547" t="str">
        <f>"81"</f>
        <v>81</v>
      </c>
      <c r="K4547">
        <v>20190131</v>
      </c>
      <c r="L4547" t="str">
        <f>"075515"</f>
        <v>075515</v>
      </c>
      <c r="M4547" t="str">
        <f>"78726"</f>
        <v>78726</v>
      </c>
      <c r="N4547" t="s">
        <v>917</v>
      </c>
      <c r="O4547" s="1">
        <v>3377.3</v>
      </c>
      <c r="P4547">
        <v>20190131</v>
      </c>
      <c r="Q4547" t="s">
        <v>3071</v>
      </c>
      <c r="R4547" t="s">
        <v>3673</v>
      </c>
      <c r="S4547" t="s">
        <v>1615</v>
      </c>
      <c r="T4547" t="s">
        <v>2024</v>
      </c>
    </row>
    <row r="4548" spans="1:20" x14ac:dyDescent="0.25">
      <c r="A4548">
        <v>9</v>
      </c>
      <c r="B4548">
        <v>199</v>
      </c>
      <c r="C4548" t="str">
        <f>"11"</f>
        <v>11</v>
      </c>
      <c r="D4548">
        <v>6249</v>
      </c>
      <c r="E4548" t="str">
        <f>"10"</f>
        <v>10</v>
      </c>
      <c r="F4548" t="str">
        <f>"001"</f>
        <v>001</v>
      </c>
      <c r="G4548">
        <v>9</v>
      </c>
      <c r="H4548" t="str">
        <f>"11"</f>
        <v>11</v>
      </c>
      <c r="I4548" t="str">
        <f>"0"</f>
        <v>0</v>
      </c>
      <c r="J4548" t="str">
        <f>"01"</f>
        <v>01</v>
      </c>
      <c r="K4548">
        <v>20190131</v>
      </c>
      <c r="L4548" t="str">
        <f>"075518"</f>
        <v>075518</v>
      </c>
      <c r="M4548" t="str">
        <f>"80481"</f>
        <v>80481</v>
      </c>
      <c r="N4548" t="s">
        <v>1849</v>
      </c>
      <c r="O4548">
        <v>175</v>
      </c>
      <c r="P4548">
        <v>20190131</v>
      </c>
      <c r="Q4548" t="s">
        <v>3674</v>
      </c>
      <c r="R4548" t="s">
        <v>3675</v>
      </c>
      <c r="S4548" t="s">
        <v>1615</v>
      </c>
      <c r="T4548" t="s">
        <v>301</v>
      </c>
    </row>
    <row r="4549" spans="1:20" x14ac:dyDescent="0.25">
      <c r="A4549">
        <v>9</v>
      </c>
      <c r="B4549">
        <v>199</v>
      </c>
      <c r="C4549" t="str">
        <f>"36"</f>
        <v>36</v>
      </c>
      <c r="D4549">
        <v>6411</v>
      </c>
      <c r="E4549" t="str">
        <f>"H1"</f>
        <v>H1</v>
      </c>
      <c r="F4549" t="str">
        <f>"001"</f>
        <v>001</v>
      </c>
      <c r="G4549">
        <v>9</v>
      </c>
      <c r="H4549" t="str">
        <f>"31"</f>
        <v>31</v>
      </c>
      <c r="I4549" t="str">
        <f>"1"</f>
        <v>1</v>
      </c>
      <c r="J4549" t="str">
        <f>"34"</f>
        <v>34</v>
      </c>
      <c r="K4549">
        <v>20190131</v>
      </c>
      <c r="L4549" t="str">
        <f>"075519"</f>
        <v>075519</v>
      </c>
      <c r="M4549" t="str">
        <f>"83007"</f>
        <v>83007</v>
      </c>
      <c r="N4549" t="s">
        <v>2690</v>
      </c>
      <c r="O4549">
        <v>50</v>
      </c>
      <c r="P4549">
        <v>20190131</v>
      </c>
      <c r="Q4549" t="s">
        <v>2408</v>
      </c>
      <c r="R4549" t="s">
        <v>3676</v>
      </c>
      <c r="S4549" t="s">
        <v>1615</v>
      </c>
      <c r="T4549" t="s">
        <v>301</v>
      </c>
    </row>
    <row r="4550" spans="1:20" x14ac:dyDescent="0.25">
      <c r="A4550">
        <v>9</v>
      </c>
      <c r="B4550">
        <v>199</v>
      </c>
      <c r="C4550" t="str">
        <f>"36"</f>
        <v>36</v>
      </c>
      <c r="D4550">
        <v>6412</v>
      </c>
      <c r="E4550" t="str">
        <f>"H1"</f>
        <v>H1</v>
      </c>
      <c r="F4550" t="str">
        <f>"001"</f>
        <v>001</v>
      </c>
      <c r="G4550">
        <v>9</v>
      </c>
      <c r="H4550" t="str">
        <f>"31"</f>
        <v>31</v>
      </c>
      <c r="I4550" t="str">
        <f>"1"</f>
        <v>1</v>
      </c>
      <c r="J4550" t="str">
        <f>"34"</f>
        <v>34</v>
      </c>
      <c r="K4550">
        <v>20190131</v>
      </c>
      <c r="L4550" t="str">
        <f>"075519"</f>
        <v>075519</v>
      </c>
      <c r="M4550" t="str">
        <f>"83007"</f>
        <v>83007</v>
      </c>
      <c r="N4550" t="s">
        <v>2690</v>
      </c>
      <c r="O4550">
        <v>135</v>
      </c>
      <c r="P4550">
        <v>20190131</v>
      </c>
      <c r="Q4550" t="s">
        <v>2411</v>
      </c>
      <c r="R4550" t="s">
        <v>3676</v>
      </c>
      <c r="S4550" t="s">
        <v>1615</v>
      </c>
      <c r="T4550" t="s">
        <v>301</v>
      </c>
    </row>
    <row r="4551" spans="1:20" x14ac:dyDescent="0.25">
      <c r="A4551">
        <v>9</v>
      </c>
      <c r="B4551">
        <v>199</v>
      </c>
      <c r="C4551" t="str">
        <f>"36"</f>
        <v>36</v>
      </c>
      <c r="D4551">
        <v>6412</v>
      </c>
      <c r="E4551" t="str">
        <f>"8S"</f>
        <v>8S</v>
      </c>
      <c r="F4551" t="str">
        <f>"001"</f>
        <v>001</v>
      </c>
      <c r="G4551">
        <v>9</v>
      </c>
      <c r="H4551" t="str">
        <f t="shared" ref="H4551:H4584" si="956">"99"</f>
        <v>99</v>
      </c>
      <c r="I4551" t="str">
        <f t="shared" ref="I4551:I4582" si="957">"0"</f>
        <v>0</v>
      </c>
      <c r="J4551" t="str">
        <f>"01"</f>
        <v>01</v>
      </c>
      <c r="K4551">
        <v>20190131</v>
      </c>
      <c r="L4551" t="str">
        <f>"075520"</f>
        <v>075520</v>
      </c>
      <c r="M4551" t="str">
        <f>"82970"</f>
        <v>82970</v>
      </c>
      <c r="N4551" t="s">
        <v>1041</v>
      </c>
      <c r="O4551" s="1">
        <v>1206</v>
      </c>
      <c r="P4551">
        <v>20190131</v>
      </c>
      <c r="Q4551" t="s">
        <v>1625</v>
      </c>
      <c r="R4551" t="s">
        <v>3653</v>
      </c>
      <c r="S4551" t="s">
        <v>1615</v>
      </c>
      <c r="T4551" t="s">
        <v>301</v>
      </c>
    </row>
    <row r="4552" spans="1:20" x14ac:dyDescent="0.25">
      <c r="A4552">
        <v>9</v>
      </c>
      <c r="B4552">
        <v>199</v>
      </c>
      <c r="C4552" t="str">
        <f>"52"</f>
        <v>52</v>
      </c>
      <c r="D4552">
        <v>6219</v>
      </c>
      <c r="E4552" t="str">
        <f>"00"</f>
        <v>00</v>
      </c>
      <c r="F4552" t="str">
        <f>"101"</f>
        <v>101</v>
      </c>
      <c r="G4552">
        <v>9</v>
      </c>
      <c r="H4552" t="str">
        <f t="shared" si="956"/>
        <v>99</v>
      </c>
      <c r="I4552" t="str">
        <f t="shared" si="957"/>
        <v>0</v>
      </c>
      <c r="J4552" t="str">
        <f>"00"</f>
        <v>00</v>
      </c>
      <c r="K4552">
        <v>20190131</v>
      </c>
      <c r="L4552" t="str">
        <f>"075525"</f>
        <v>075525</v>
      </c>
      <c r="M4552" t="str">
        <f>"00242"</f>
        <v>00242</v>
      </c>
      <c r="N4552" t="s">
        <v>1669</v>
      </c>
      <c r="O4552">
        <v>240</v>
      </c>
      <c r="P4552">
        <v>20190131</v>
      </c>
      <c r="Q4552" t="s">
        <v>1854</v>
      </c>
      <c r="R4552" t="s">
        <v>3677</v>
      </c>
      <c r="S4552" t="s">
        <v>1615</v>
      </c>
      <c r="T4552" t="s">
        <v>1479</v>
      </c>
    </row>
    <row r="4553" spans="1:20" x14ac:dyDescent="0.25">
      <c r="A4553">
        <v>9</v>
      </c>
      <c r="B4553">
        <v>199</v>
      </c>
      <c r="C4553" t="str">
        <f t="shared" ref="C4553:C4584" si="958">"34"</f>
        <v>34</v>
      </c>
      <c r="D4553">
        <v>6249</v>
      </c>
      <c r="E4553" t="str">
        <f t="shared" ref="E4553:E4588" si="959">"10"</f>
        <v>10</v>
      </c>
      <c r="F4553" t="str">
        <f t="shared" ref="F4553:F4584" si="960">"937"</f>
        <v>937</v>
      </c>
      <c r="G4553">
        <v>9</v>
      </c>
      <c r="H4553" t="str">
        <f t="shared" si="956"/>
        <v>99</v>
      </c>
      <c r="I4553" t="str">
        <f t="shared" si="957"/>
        <v>0</v>
      </c>
      <c r="J4553" t="str">
        <f t="shared" ref="J4553:J4584" si="961">"82"</f>
        <v>82</v>
      </c>
      <c r="K4553">
        <v>20190208</v>
      </c>
      <c r="L4553" t="str">
        <f t="shared" ref="L4553:L4584" si="962">"075530"</f>
        <v>075530</v>
      </c>
      <c r="M4553" t="str">
        <f t="shared" ref="M4553:M4584" si="963">"03846"</f>
        <v>03846</v>
      </c>
      <c r="N4553" t="s">
        <v>3678</v>
      </c>
      <c r="O4553">
        <v>390.42</v>
      </c>
      <c r="P4553">
        <v>20190207</v>
      </c>
      <c r="Q4553" t="s">
        <v>2036</v>
      </c>
      <c r="R4553" t="s">
        <v>3679</v>
      </c>
      <c r="S4553" t="s">
        <v>1615</v>
      </c>
      <c r="T4553" t="s">
        <v>1810</v>
      </c>
    </row>
    <row r="4554" spans="1:20" x14ac:dyDescent="0.25">
      <c r="A4554">
        <v>9</v>
      </c>
      <c r="B4554">
        <v>199</v>
      </c>
      <c r="C4554" t="str">
        <f t="shared" si="958"/>
        <v>34</v>
      </c>
      <c r="D4554">
        <v>6249</v>
      </c>
      <c r="E4554" t="str">
        <f t="shared" si="959"/>
        <v>10</v>
      </c>
      <c r="F4554" t="str">
        <f t="shared" si="960"/>
        <v>937</v>
      </c>
      <c r="G4554">
        <v>9</v>
      </c>
      <c r="H4554" t="str">
        <f t="shared" si="956"/>
        <v>99</v>
      </c>
      <c r="I4554" t="str">
        <f t="shared" si="957"/>
        <v>0</v>
      </c>
      <c r="J4554" t="str">
        <f t="shared" si="961"/>
        <v>82</v>
      </c>
      <c r="K4554">
        <v>20190208</v>
      </c>
      <c r="L4554" t="str">
        <f t="shared" si="962"/>
        <v>075530</v>
      </c>
      <c r="M4554" t="str">
        <f t="shared" si="963"/>
        <v>03846</v>
      </c>
      <c r="N4554" t="s">
        <v>3678</v>
      </c>
      <c r="O4554">
        <v>390.42</v>
      </c>
      <c r="P4554">
        <v>20190207</v>
      </c>
      <c r="Q4554" t="s">
        <v>2036</v>
      </c>
      <c r="R4554" t="s">
        <v>3680</v>
      </c>
      <c r="S4554" t="s">
        <v>1615</v>
      </c>
      <c r="T4554" t="s">
        <v>1810</v>
      </c>
    </row>
    <row r="4555" spans="1:20" x14ac:dyDescent="0.25">
      <c r="A4555">
        <v>9</v>
      </c>
      <c r="B4555">
        <v>199</v>
      </c>
      <c r="C4555" t="str">
        <f t="shared" si="958"/>
        <v>34</v>
      </c>
      <c r="D4555">
        <v>6249</v>
      </c>
      <c r="E4555" t="str">
        <f t="shared" si="959"/>
        <v>10</v>
      </c>
      <c r="F4555" t="str">
        <f t="shared" si="960"/>
        <v>937</v>
      </c>
      <c r="G4555">
        <v>9</v>
      </c>
      <c r="H4555" t="str">
        <f t="shared" si="956"/>
        <v>99</v>
      </c>
      <c r="I4555" t="str">
        <f t="shared" si="957"/>
        <v>0</v>
      </c>
      <c r="J4555" t="str">
        <f t="shared" si="961"/>
        <v>82</v>
      </c>
      <c r="K4555">
        <v>20190208</v>
      </c>
      <c r="L4555" t="str">
        <f t="shared" si="962"/>
        <v>075530</v>
      </c>
      <c r="M4555" t="str">
        <f t="shared" si="963"/>
        <v>03846</v>
      </c>
      <c r="N4555" t="s">
        <v>3678</v>
      </c>
      <c r="O4555">
        <v>390.42</v>
      </c>
      <c r="P4555">
        <v>20190207</v>
      </c>
      <c r="Q4555" t="s">
        <v>2036</v>
      </c>
      <c r="R4555" t="s">
        <v>3681</v>
      </c>
      <c r="S4555" t="s">
        <v>1615</v>
      </c>
      <c r="T4555" t="s">
        <v>1810</v>
      </c>
    </row>
    <row r="4556" spans="1:20" x14ac:dyDescent="0.25">
      <c r="A4556">
        <v>9</v>
      </c>
      <c r="B4556">
        <v>199</v>
      </c>
      <c r="C4556" t="str">
        <f t="shared" si="958"/>
        <v>34</v>
      </c>
      <c r="D4556">
        <v>6249</v>
      </c>
      <c r="E4556" t="str">
        <f t="shared" si="959"/>
        <v>10</v>
      </c>
      <c r="F4556" t="str">
        <f t="shared" si="960"/>
        <v>937</v>
      </c>
      <c r="G4556">
        <v>9</v>
      </c>
      <c r="H4556" t="str">
        <f t="shared" si="956"/>
        <v>99</v>
      </c>
      <c r="I4556" t="str">
        <f t="shared" si="957"/>
        <v>0</v>
      </c>
      <c r="J4556" t="str">
        <f t="shared" si="961"/>
        <v>82</v>
      </c>
      <c r="K4556">
        <v>20190208</v>
      </c>
      <c r="L4556" t="str">
        <f t="shared" si="962"/>
        <v>075530</v>
      </c>
      <c r="M4556" t="str">
        <f t="shared" si="963"/>
        <v>03846</v>
      </c>
      <c r="N4556" t="s">
        <v>3678</v>
      </c>
      <c r="O4556">
        <v>340.33</v>
      </c>
      <c r="P4556">
        <v>20190207</v>
      </c>
      <c r="Q4556" t="s">
        <v>2036</v>
      </c>
      <c r="R4556" t="s">
        <v>3682</v>
      </c>
      <c r="S4556" t="s">
        <v>1615</v>
      </c>
      <c r="T4556" t="s">
        <v>1810</v>
      </c>
    </row>
    <row r="4557" spans="1:20" x14ac:dyDescent="0.25">
      <c r="A4557">
        <v>9</v>
      </c>
      <c r="B4557">
        <v>199</v>
      </c>
      <c r="C4557" t="str">
        <f t="shared" si="958"/>
        <v>34</v>
      </c>
      <c r="D4557">
        <v>6249</v>
      </c>
      <c r="E4557" t="str">
        <f t="shared" si="959"/>
        <v>10</v>
      </c>
      <c r="F4557" t="str">
        <f t="shared" si="960"/>
        <v>937</v>
      </c>
      <c r="G4557">
        <v>9</v>
      </c>
      <c r="H4557" t="str">
        <f t="shared" si="956"/>
        <v>99</v>
      </c>
      <c r="I4557" t="str">
        <f t="shared" si="957"/>
        <v>0</v>
      </c>
      <c r="J4557" t="str">
        <f t="shared" si="961"/>
        <v>82</v>
      </c>
      <c r="K4557">
        <v>20190208</v>
      </c>
      <c r="L4557" t="str">
        <f t="shared" si="962"/>
        <v>075530</v>
      </c>
      <c r="M4557" t="str">
        <f t="shared" si="963"/>
        <v>03846</v>
      </c>
      <c r="N4557" t="s">
        <v>3678</v>
      </c>
      <c r="O4557">
        <v>336.18</v>
      </c>
      <c r="P4557">
        <v>20190207</v>
      </c>
      <c r="Q4557" t="s">
        <v>2036</v>
      </c>
      <c r="R4557" t="s">
        <v>3683</v>
      </c>
      <c r="S4557" t="s">
        <v>1615</v>
      </c>
      <c r="T4557" t="s">
        <v>1810</v>
      </c>
    </row>
    <row r="4558" spans="1:20" x14ac:dyDescent="0.25">
      <c r="A4558">
        <v>9</v>
      </c>
      <c r="B4558">
        <v>199</v>
      </c>
      <c r="C4558" t="str">
        <f t="shared" si="958"/>
        <v>34</v>
      </c>
      <c r="D4558">
        <v>6249</v>
      </c>
      <c r="E4558" t="str">
        <f t="shared" si="959"/>
        <v>10</v>
      </c>
      <c r="F4558" t="str">
        <f t="shared" si="960"/>
        <v>937</v>
      </c>
      <c r="G4558">
        <v>9</v>
      </c>
      <c r="H4558" t="str">
        <f t="shared" si="956"/>
        <v>99</v>
      </c>
      <c r="I4558" t="str">
        <f t="shared" si="957"/>
        <v>0</v>
      </c>
      <c r="J4558" t="str">
        <f t="shared" si="961"/>
        <v>82</v>
      </c>
      <c r="K4558">
        <v>20190208</v>
      </c>
      <c r="L4558" t="str">
        <f t="shared" si="962"/>
        <v>075530</v>
      </c>
      <c r="M4558" t="str">
        <f t="shared" si="963"/>
        <v>03846</v>
      </c>
      <c r="N4558" t="s">
        <v>3678</v>
      </c>
      <c r="O4558">
        <v>340.33</v>
      </c>
      <c r="P4558">
        <v>20190207</v>
      </c>
      <c r="Q4558" t="s">
        <v>2036</v>
      </c>
      <c r="R4558" t="s">
        <v>3684</v>
      </c>
      <c r="S4558" t="s">
        <v>1615</v>
      </c>
      <c r="T4558" t="s">
        <v>1810</v>
      </c>
    </row>
    <row r="4559" spans="1:20" x14ac:dyDescent="0.25">
      <c r="A4559">
        <v>9</v>
      </c>
      <c r="B4559">
        <v>199</v>
      </c>
      <c r="C4559" t="str">
        <f t="shared" si="958"/>
        <v>34</v>
      </c>
      <c r="D4559">
        <v>6249</v>
      </c>
      <c r="E4559" t="str">
        <f t="shared" si="959"/>
        <v>10</v>
      </c>
      <c r="F4559" t="str">
        <f t="shared" si="960"/>
        <v>937</v>
      </c>
      <c r="G4559">
        <v>9</v>
      </c>
      <c r="H4559" t="str">
        <f t="shared" si="956"/>
        <v>99</v>
      </c>
      <c r="I4559" t="str">
        <f t="shared" si="957"/>
        <v>0</v>
      </c>
      <c r="J4559" t="str">
        <f t="shared" si="961"/>
        <v>82</v>
      </c>
      <c r="K4559">
        <v>20190208</v>
      </c>
      <c r="L4559" t="str">
        <f t="shared" si="962"/>
        <v>075530</v>
      </c>
      <c r="M4559" t="str">
        <f t="shared" si="963"/>
        <v>03846</v>
      </c>
      <c r="N4559" t="s">
        <v>3678</v>
      </c>
      <c r="O4559">
        <v>342.91</v>
      </c>
      <c r="P4559">
        <v>20190207</v>
      </c>
      <c r="Q4559" t="s">
        <v>2036</v>
      </c>
      <c r="R4559" t="s">
        <v>3685</v>
      </c>
      <c r="S4559" t="s">
        <v>1615</v>
      </c>
      <c r="T4559" t="s">
        <v>1810</v>
      </c>
    </row>
    <row r="4560" spans="1:20" x14ac:dyDescent="0.25">
      <c r="A4560">
        <v>9</v>
      </c>
      <c r="B4560">
        <v>199</v>
      </c>
      <c r="C4560" t="str">
        <f t="shared" si="958"/>
        <v>34</v>
      </c>
      <c r="D4560">
        <v>6249</v>
      </c>
      <c r="E4560" t="str">
        <f t="shared" si="959"/>
        <v>10</v>
      </c>
      <c r="F4560" t="str">
        <f t="shared" si="960"/>
        <v>937</v>
      </c>
      <c r="G4560">
        <v>9</v>
      </c>
      <c r="H4560" t="str">
        <f t="shared" si="956"/>
        <v>99</v>
      </c>
      <c r="I4560" t="str">
        <f t="shared" si="957"/>
        <v>0</v>
      </c>
      <c r="J4560" t="str">
        <f t="shared" si="961"/>
        <v>82</v>
      </c>
      <c r="K4560">
        <v>20190208</v>
      </c>
      <c r="L4560" t="str">
        <f t="shared" si="962"/>
        <v>075530</v>
      </c>
      <c r="M4560" t="str">
        <f t="shared" si="963"/>
        <v>03846</v>
      </c>
      <c r="N4560" t="s">
        <v>3678</v>
      </c>
      <c r="O4560">
        <v>339.21</v>
      </c>
      <c r="P4560">
        <v>20190207</v>
      </c>
      <c r="Q4560" t="s">
        <v>2036</v>
      </c>
      <c r="R4560" t="s">
        <v>3686</v>
      </c>
      <c r="S4560" t="s">
        <v>1615</v>
      </c>
      <c r="T4560" t="s">
        <v>1810</v>
      </c>
    </row>
    <row r="4561" spans="1:20" x14ac:dyDescent="0.25">
      <c r="A4561">
        <v>9</v>
      </c>
      <c r="B4561">
        <v>199</v>
      </c>
      <c r="C4561" t="str">
        <f t="shared" si="958"/>
        <v>34</v>
      </c>
      <c r="D4561">
        <v>6249</v>
      </c>
      <c r="E4561" t="str">
        <f t="shared" si="959"/>
        <v>10</v>
      </c>
      <c r="F4561" t="str">
        <f t="shared" si="960"/>
        <v>937</v>
      </c>
      <c r="G4561">
        <v>9</v>
      </c>
      <c r="H4561" t="str">
        <f t="shared" si="956"/>
        <v>99</v>
      </c>
      <c r="I4561" t="str">
        <f t="shared" si="957"/>
        <v>0</v>
      </c>
      <c r="J4561" t="str">
        <f t="shared" si="961"/>
        <v>82</v>
      </c>
      <c r="K4561">
        <v>20190208</v>
      </c>
      <c r="L4561" t="str">
        <f t="shared" si="962"/>
        <v>075530</v>
      </c>
      <c r="M4561" t="str">
        <f t="shared" si="963"/>
        <v>03846</v>
      </c>
      <c r="N4561" t="s">
        <v>3678</v>
      </c>
      <c r="O4561">
        <v>340.33</v>
      </c>
      <c r="P4561">
        <v>20190207</v>
      </c>
      <c r="Q4561" t="s">
        <v>2036</v>
      </c>
      <c r="R4561" t="s">
        <v>3687</v>
      </c>
      <c r="S4561" t="s">
        <v>1615</v>
      </c>
      <c r="T4561" t="s">
        <v>1810</v>
      </c>
    </row>
    <row r="4562" spans="1:20" x14ac:dyDescent="0.25">
      <c r="A4562">
        <v>9</v>
      </c>
      <c r="B4562">
        <v>199</v>
      </c>
      <c r="C4562" t="str">
        <f t="shared" si="958"/>
        <v>34</v>
      </c>
      <c r="D4562">
        <v>6249</v>
      </c>
      <c r="E4562" t="str">
        <f t="shared" si="959"/>
        <v>10</v>
      </c>
      <c r="F4562" t="str">
        <f t="shared" si="960"/>
        <v>937</v>
      </c>
      <c r="G4562">
        <v>9</v>
      </c>
      <c r="H4562" t="str">
        <f t="shared" si="956"/>
        <v>99</v>
      </c>
      <c r="I4562" t="str">
        <f t="shared" si="957"/>
        <v>0</v>
      </c>
      <c r="J4562" t="str">
        <f t="shared" si="961"/>
        <v>82</v>
      </c>
      <c r="K4562">
        <v>20190208</v>
      </c>
      <c r="L4562" t="str">
        <f t="shared" si="962"/>
        <v>075530</v>
      </c>
      <c r="M4562" t="str">
        <f t="shared" si="963"/>
        <v>03846</v>
      </c>
      <c r="N4562" t="s">
        <v>3678</v>
      </c>
      <c r="O4562">
        <v>339.21</v>
      </c>
      <c r="P4562">
        <v>20190207</v>
      </c>
      <c r="Q4562" t="s">
        <v>2036</v>
      </c>
      <c r="R4562" t="s">
        <v>3688</v>
      </c>
      <c r="S4562" t="s">
        <v>1615</v>
      </c>
      <c r="T4562" t="s">
        <v>1810</v>
      </c>
    </row>
    <row r="4563" spans="1:20" x14ac:dyDescent="0.25">
      <c r="A4563">
        <v>9</v>
      </c>
      <c r="B4563">
        <v>199</v>
      </c>
      <c r="C4563" t="str">
        <f t="shared" si="958"/>
        <v>34</v>
      </c>
      <c r="D4563">
        <v>6249</v>
      </c>
      <c r="E4563" t="str">
        <f t="shared" si="959"/>
        <v>10</v>
      </c>
      <c r="F4563" t="str">
        <f t="shared" si="960"/>
        <v>937</v>
      </c>
      <c r="G4563">
        <v>9</v>
      </c>
      <c r="H4563" t="str">
        <f t="shared" si="956"/>
        <v>99</v>
      </c>
      <c r="I4563" t="str">
        <f t="shared" si="957"/>
        <v>0</v>
      </c>
      <c r="J4563" t="str">
        <f t="shared" si="961"/>
        <v>82</v>
      </c>
      <c r="K4563">
        <v>20190208</v>
      </c>
      <c r="L4563" t="str">
        <f t="shared" si="962"/>
        <v>075530</v>
      </c>
      <c r="M4563" t="str">
        <f t="shared" si="963"/>
        <v>03846</v>
      </c>
      <c r="N4563" t="s">
        <v>3678</v>
      </c>
      <c r="O4563">
        <v>358.54</v>
      </c>
      <c r="P4563">
        <v>20190207</v>
      </c>
      <c r="Q4563" t="s">
        <v>2036</v>
      </c>
      <c r="R4563" t="s">
        <v>3689</v>
      </c>
      <c r="S4563" t="s">
        <v>1615</v>
      </c>
      <c r="T4563" t="s">
        <v>1810</v>
      </c>
    </row>
    <row r="4564" spans="1:20" x14ac:dyDescent="0.25">
      <c r="A4564">
        <v>9</v>
      </c>
      <c r="B4564">
        <v>199</v>
      </c>
      <c r="C4564" t="str">
        <f t="shared" si="958"/>
        <v>34</v>
      </c>
      <c r="D4564">
        <v>6249</v>
      </c>
      <c r="E4564" t="str">
        <f t="shared" si="959"/>
        <v>10</v>
      </c>
      <c r="F4564" t="str">
        <f t="shared" si="960"/>
        <v>937</v>
      </c>
      <c r="G4564">
        <v>9</v>
      </c>
      <c r="H4564" t="str">
        <f t="shared" si="956"/>
        <v>99</v>
      </c>
      <c r="I4564" t="str">
        <f t="shared" si="957"/>
        <v>0</v>
      </c>
      <c r="J4564" t="str">
        <f t="shared" si="961"/>
        <v>82</v>
      </c>
      <c r="K4564">
        <v>20190208</v>
      </c>
      <c r="L4564" t="str">
        <f t="shared" si="962"/>
        <v>075530</v>
      </c>
      <c r="M4564" t="str">
        <f t="shared" si="963"/>
        <v>03846</v>
      </c>
      <c r="N4564" t="s">
        <v>3678</v>
      </c>
      <c r="O4564">
        <v>339.21</v>
      </c>
      <c r="P4564">
        <v>20190207</v>
      </c>
      <c r="Q4564" t="s">
        <v>2036</v>
      </c>
      <c r="R4564" t="s">
        <v>3690</v>
      </c>
      <c r="S4564" t="s">
        <v>1615</v>
      </c>
      <c r="T4564" t="s">
        <v>1810</v>
      </c>
    </row>
    <row r="4565" spans="1:20" x14ac:dyDescent="0.25">
      <c r="A4565">
        <v>9</v>
      </c>
      <c r="B4565">
        <v>199</v>
      </c>
      <c r="C4565" t="str">
        <f t="shared" si="958"/>
        <v>34</v>
      </c>
      <c r="D4565">
        <v>6249</v>
      </c>
      <c r="E4565" t="str">
        <f t="shared" si="959"/>
        <v>10</v>
      </c>
      <c r="F4565" t="str">
        <f t="shared" si="960"/>
        <v>937</v>
      </c>
      <c r="G4565">
        <v>9</v>
      </c>
      <c r="H4565" t="str">
        <f t="shared" si="956"/>
        <v>99</v>
      </c>
      <c r="I4565" t="str">
        <f t="shared" si="957"/>
        <v>0</v>
      </c>
      <c r="J4565" t="str">
        <f t="shared" si="961"/>
        <v>82</v>
      </c>
      <c r="K4565">
        <v>20190208</v>
      </c>
      <c r="L4565" t="str">
        <f t="shared" si="962"/>
        <v>075530</v>
      </c>
      <c r="M4565" t="str">
        <f t="shared" si="963"/>
        <v>03846</v>
      </c>
      <c r="N4565" t="s">
        <v>3678</v>
      </c>
      <c r="O4565">
        <v>339.21</v>
      </c>
      <c r="P4565">
        <v>20190207</v>
      </c>
      <c r="Q4565" t="s">
        <v>2036</v>
      </c>
      <c r="R4565" t="s">
        <v>3691</v>
      </c>
      <c r="S4565" t="s">
        <v>1615</v>
      </c>
      <c r="T4565" t="s">
        <v>1810</v>
      </c>
    </row>
    <row r="4566" spans="1:20" x14ac:dyDescent="0.25">
      <c r="A4566">
        <v>9</v>
      </c>
      <c r="B4566">
        <v>199</v>
      </c>
      <c r="C4566" t="str">
        <f t="shared" si="958"/>
        <v>34</v>
      </c>
      <c r="D4566">
        <v>6249</v>
      </c>
      <c r="E4566" t="str">
        <f t="shared" si="959"/>
        <v>10</v>
      </c>
      <c r="F4566" t="str">
        <f t="shared" si="960"/>
        <v>937</v>
      </c>
      <c r="G4566">
        <v>9</v>
      </c>
      <c r="H4566" t="str">
        <f t="shared" si="956"/>
        <v>99</v>
      </c>
      <c r="I4566" t="str">
        <f t="shared" si="957"/>
        <v>0</v>
      </c>
      <c r="J4566" t="str">
        <f t="shared" si="961"/>
        <v>82</v>
      </c>
      <c r="K4566">
        <v>20190208</v>
      </c>
      <c r="L4566" t="str">
        <f t="shared" si="962"/>
        <v>075530</v>
      </c>
      <c r="M4566" t="str">
        <f t="shared" si="963"/>
        <v>03846</v>
      </c>
      <c r="N4566" t="s">
        <v>3678</v>
      </c>
      <c r="O4566">
        <v>339.21</v>
      </c>
      <c r="P4566">
        <v>20190207</v>
      </c>
      <c r="Q4566" t="s">
        <v>2036</v>
      </c>
      <c r="R4566" t="s">
        <v>3692</v>
      </c>
      <c r="S4566" t="s">
        <v>1615</v>
      </c>
      <c r="T4566" t="s">
        <v>1810</v>
      </c>
    </row>
    <row r="4567" spans="1:20" x14ac:dyDescent="0.25">
      <c r="A4567">
        <v>9</v>
      </c>
      <c r="B4567">
        <v>199</v>
      </c>
      <c r="C4567" t="str">
        <f t="shared" si="958"/>
        <v>34</v>
      </c>
      <c r="D4567">
        <v>6249</v>
      </c>
      <c r="E4567" t="str">
        <f t="shared" si="959"/>
        <v>10</v>
      </c>
      <c r="F4567" t="str">
        <f t="shared" si="960"/>
        <v>937</v>
      </c>
      <c r="G4567">
        <v>9</v>
      </c>
      <c r="H4567" t="str">
        <f t="shared" si="956"/>
        <v>99</v>
      </c>
      <c r="I4567" t="str">
        <f t="shared" si="957"/>
        <v>0</v>
      </c>
      <c r="J4567" t="str">
        <f t="shared" si="961"/>
        <v>82</v>
      </c>
      <c r="K4567">
        <v>20190208</v>
      </c>
      <c r="L4567" t="str">
        <f t="shared" si="962"/>
        <v>075530</v>
      </c>
      <c r="M4567" t="str">
        <f t="shared" si="963"/>
        <v>03846</v>
      </c>
      <c r="N4567" t="s">
        <v>3678</v>
      </c>
      <c r="O4567">
        <v>339.21</v>
      </c>
      <c r="P4567">
        <v>20190207</v>
      </c>
      <c r="Q4567" t="s">
        <v>2036</v>
      </c>
      <c r="R4567" t="s">
        <v>3693</v>
      </c>
      <c r="S4567" t="s">
        <v>1615</v>
      </c>
      <c r="T4567" t="s">
        <v>1810</v>
      </c>
    </row>
    <row r="4568" spans="1:20" x14ac:dyDescent="0.25">
      <c r="A4568">
        <v>9</v>
      </c>
      <c r="B4568">
        <v>199</v>
      </c>
      <c r="C4568" t="str">
        <f t="shared" si="958"/>
        <v>34</v>
      </c>
      <c r="D4568">
        <v>6249</v>
      </c>
      <c r="E4568" t="str">
        <f t="shared" si="959"/>
        <v>10</v>
      </c>
      <c r="F4568" t="str">
        <f t="shared" si="960"/>
        <v>937</v>
      </c>
      <c r="G4568">
        <v>9</v>
      </c>
      <c r="H4568" t="str">
        <f t="shared" si="956"/>
        <v>99</v>
      </c>
      <c r="I4568" t="str">
        <f t="shared" si="957"/>
        <v>0</v>
      </c>
      <c r="J4568" t="str">
        <f t="shared" si="961"/>
        <v>82</v>
      </c>
      <c r="K4568">
        <v>20190208</v>
      </c>
      <c r="L4568" t="str">
        <f t="shared" si="962"/>
        <v>075530</v>
      </c>
      <c r="M4568" t="str">
        <f t="shared" si="963"/>
        <v>03846</v>
      </c>
      <c r="N4568" t="s">
        <v>3678</v>
      </c>
      <c r="O4568">
        <v>402.97</v>
      </c>
      <c r="P4568">
        <v>20190207</v>
      </c>
      <c r="Q4568" t="s">
        <v>2036</v>
      </c>
      <c r="R4568" t="s">
        <v>3694</v>
      </c>
      <c r="S4568" t="s">
        <v>1615</v>
      </c>
      <c r="T4568" t="s">
        <v>1810</v>
      </c>
    </row>
    <row r="4569" spans="1:20" x14ac:dyDescent="0.25">
      <c r="A4569">
        <v>9</v>
      </c>
      <c r="B4569">
        <v>199</v>
      </c>
      <c r="C4569" t="str">
        <f t="shared" si="958"/>
        <v>34</v>
      </c>
      <c r="D4569">
        <v>6249</v>
      </c>
      <c r="E4569" t="str">
        <f t="shared" si="959"/>
        <v>10</v>
      </c>
      <c r="F4569" t="str">
        <f t="shared" si="960"/>
        <v>937</v>
      </c>
      <c r="G4569">
        <v>9</v>
      </c>
      <c r="H4569" t="str">
        <f t="shared" si="956"/>
        <v>99</v>
      </c>
      <c r="I4569" t="str">
        <f t="shared" si="957"/>
        <v>0</v>
      </c>
      <c r="J4569" t="str">
        <f t="shared" si="961"/>
        <v>82</v>
      </c>
      <c r="K4569">
        <v>20190208</v>
      </c>
      <c r="L4569" t="str">
        <f t="shared" si="962"/>
        <v>075530</v>
      </c>
      <c r="M4569" t="str">
        <f t="shared" si="963"/>
        <v>03846</v>
      </c>
      <c r="N4569" t="s">
        <v>3678</v>
      </c>
      <c r="O4569">
        <v>358.54</v>
      </c>
      <c r="P4569">
        <v>20190207</v>
      </c>
      <c r="Q4569" t="s">
        <v>2036</v>
      </c>
      <c r="R4569" t="s">
        <v>3695</v>
      </c>
      <c r="S4569" t="s">
        <v>1615</v>
      </c>
      <c r="T4569" t="s">
        <v>1810</v>
      </c>
    </row>
    <row r="4570" spans="1:20" x14ac:dyDescent="0.25">
      <c r="A4570">
        <v>9</v>
      </c>
      <c r="B4570">
        <v>199</v>
      </c>
      <c r="C4570" t="str">
        <f t="shared" si="958"/>
        <v>34</v>
      </c>
      <c r="D4570">
        <v>6249</v>
      </c>
      <c r="E4570" t="str">
        <f t="shared" si="959"/>
        <v>10</v>
      </c>
      <c r="F4570" t="str">
        <f t="shared" si="960"/>
        <v>937</v>
      </c>
      <c r="G4570">
        <v>9</v>
      </c>
      <c r="H4570" t="str">
        <f t="shared" si="956"/>
        <v>99</v>
      </c>
      <c r="I4570" t="str">
        <f t="shared" si="957"/>
        <v>0</v>
      </c>
      <c r="J4570" t="str">
        <f t="shared" si="961"/>
        <v>82</v>
      </c>
      <c r="K4570">
        <v>20190208</v>
      </c>
      <c r="L4570" t="str">
        <f t="shared" si="962"/>
        <v>075530</v>
      </c>
      <c r="M4570" t="str">
        <f t="shared" si="963"/>
        <v>03846</v>
      </c>
      <c r="N4570" t="s">
        <v>3678</v>
      </c>
      <c r="O4570">
        <v>358.54</v>
      </c>
      <c r="P4570">
        <v>20190207</v>
      </c>
      <c r="Q4570" t="s">
        <v>2036</v>
      </c>
      <c r="R4570" t="s">
        <v>3696</v>
      </c>
      <c r="S4570" t="s">
        <v>1615</v>
      </c>
      <c r="T4570" t="s">
        <v>1810</v>
      </c>
    </row>
    <row r="4571" spans="1:20" x14ac:dyDescent="0.25">
      <c r="A4571">
        <v>9</v>
      </c>
      <c r="B4571">
        <v>199</v>
      </c>
      <c r="C4571" t="str">
        <f t="shared" si="958"/>
        <v>34</v>
      </c>
      <c r="D4571">
        <v>6249</v>
      </c>
      <c r="E4571" t="str">
        <f t="shared" si="959"/>
        <v>10</v>
      </c>
      <c r="F4571" t="str">
        <f t="shared" si="960"/>
        <v>937</v>
      </c>
      <c r="G4571">
        <v>9</v>
      </c>
      <c r="H4571" t="str">
        <f t="shared" si="956"/>
        <v>99</v>
      </c>
      <c r="I4571" t="str">
        <f t="shared" si="957"/>
        <v>0</v>
      </c>
      <c r="J4571" t="str">
        <f t="shared" si="961"/>
        <v>82</v>
      </c>
      <c r="K4571">
        <v>20190208</v>
      </c>
      <c r="L4571" t="str">
        <f t="shared" si="962"/>
        <v>075530</v>
      </c>
      <c r="M4571" t="str">
        <f t="shared" si="963"/>
        <v>03846</v>
      </c>
      <c r="N4571" t="s">
        <v>3678</v>
      </c>
      <c r="O4571">
        <v>358.54</v>
      </c>
      <c r="P4571">
        <v>20190207</v>
      </c>
      <c r="Q4571" t="s">
        <v>2036</v>
      </c>
      <c r="R4571" t="s">
        <v>3697</v>
      </c>
      <c r="S4571" t="s">
        <v>1615</v>
      </c>
      <c r="T4571" t="s">
        <v>1810</v>
      </c>
    </row>
    <row r="4572" spans="1:20" x14ac:dyDescent="0.25">
      <c r="A4572">
        <v>9</v>
      </c>
      <c r="B4572">
        <v>199</v>
      </c>
      <c r="C4572" t="str">
        <f t="shared" si="958"/>
        <v>34</v>
      </c>
      <c r="D4572">
        <v>6249</v>
      </c>
      <c r="E4572" t="str">
        <f t="shared" si="959"/>
        <v>10</v>
      </c>
      <c r="F4572" t="str">
        <f t="shared" si="960"/>
        <v>937</v>
      </c>
      <c r="G4572">
        <v>9</v>
      </c>
      <c r="H4572" t="str">
        <f t="shared" si="956"/>
        <v>99</v>
      </c>
      <c r="I4572" t="str">
        <f t="shared" si="957"/>
        <v>0</v>
      </c>
      <c r="J4572" t="str">
        <f t="shared" si="961"/>
        <v>82</v>
      </c>
      <c r="K4572">
        <v>20190208</v>
      </c>
      <c r="L4572" t="str">
        <f t="shared" si="962"/>
        <v>075530</v>
      </c>
      <c r="M4572" t="str">
        <f t="shared" si="963"/>
        <v>03846</v>
      </c>
      <c r="N4572" t="s">
        <v>3678</v>
      </c>
      <c r="O4572">
        <v>381.17</v>
      </c>
      <c r="P4572">
        <v>20190207</v>
      </c>
      <c r="Q4572" t="s">
        <v>2036</v>
      </c>
      <c r="R4572" t="s">
        <v>3698</v>
      </c>
      <c r="S4572" t="s">
        <v>1615</v>
      </c>
      <c r="T4572" t="s">
        <v>1810</v>
      </c>
    </row>
    <row r="4573" spans="1:20" x14ac:dyDescent="0.25">
      <c r="A4573">
        <v>9</v>
      </c>
      <c r="B4573">
        <v>199</v>
      </c>
      <c r="C4573" t="str">
        <f t="shared" si="958"/>
        <v>34</v>
      </c>
      <c r="D4573">
        <v>6249</v>
      </c>
      <c r="E4573" t="str">
        <f t="shared" si="959"/>
        <v>10</v>
      </c>
      <c r="F4573" t="str">
        <f t="shared" si="960"/>
        <v>937</v>
      </c>
      <c r="G4573">
        <v>9</v>
      </c>
      <c r="H4573" t="str">
        <f t="shared" si="956"/>
        <v>99</v>
      </c>
      <c r="I4573" t="str">
        <f t="shared" si="957"/>
        <v>0</v>
      </c>
      <c r="J4573" t="str">
        <f t="shared" si="961"/>
        <v>82</v>
      </c>
      <c r="K4573">
        <v>20190208</v>
      </c>
      <c r="L4573" t="str">
        <f t="shared" si="962"/>
        <v>075530</v>
      </c>
      <c r="M4573" t="str">
        <f t="shared" si="963"/>
        <v>03846</v>
      </c>
      <c r="N4573" t="s">
        <v>3678</v>
      </c>
      <c r="O4573">
        <v>371.97</v>
      </c>
      <c r="P4573">
        <v>20190207</v>
      </c>
      <c r="Q4573" t="s">
        <v>2036</v>
      </c>
      <c r="R4573" t="s">
        <v>3699</v>
      </c>
      <c r="S4573" t="s">
        <v>1615</v>
      </c>
      <c r="T4573" t="s">
        <v>1810</v>
      </c>
    </row>
    <row r="4574" spans="1:20" x14ac:dyDescent="0.25">
      <c r="A4574">
        <v>9</v>
      </c>
      <c r="B4574">
        <v>199</v>
      </c>
      <c r="C4574" t="str">
        <f t="shared" si="958"/>
        <v>34</v>
      </c>
      <c r="D4574">
        <v>6249</v>
      </c>
      <c r="E4574" t="str">
        <f t="shared" si="959"/>
        <v>10</v>
      </c>
      <c r="F4574" t="str">
        <f t="shared" si="960"/>
        <v>937</v>
      </c>
      <c r="G4574">
        <v>9</v>
      </c>
      <c r="H4574" t="str">
        <f t="shared" si="956"/>
        <v>99</v>
      </c>
      <c r="I4574" t="str">
        <f t="shared" si="957"/>
        <v>0</v>
      </c>
      <c r="J4574" t="str">
        <f t="shared" si="961"/>
        <v>82</v>
      </c>
      <c r="K4574">
        <v>20190208</v>
      </c>
      <c r="L4574" t="str">
        <f t="shared" si="962"/>
        <v>075530</v>
      </c>
      <c r="M4574" t="str">
        <f t="shared" si="963"/>
        <v>03846</v>
      </c>
      <c r="N4574" t="s">
        <v>3678</v>
      </c>
      <c r="O4574">
        <v>387.91</v>
      </c>
      <c r="P4574">
        <v>20190207</v>
      </c>
      <c r="Q4574" t="s">
        <v>2036</v>
      </c>
      <c r="R4574" t="s">
        <v>3700</v>
      </c>
      <c r="S4574" t="s">
        <v>1615</v>
      </c>
      <c r="T4574" t="s">
        <v>1810</v>
      </c>
    </row>
    <row r="4575" spans="1:20" x14ac:dyDescent="0.25">
      <c r="A4575">
        <v>9</v>
      </c>
      <c r="B4575">
        <v>199</v>
      </c>
      <c r="C4575" t="str">
        <f t="shared" si="958"/>
        <v>34</v>
      </c>
      <c r="D4575">
        <v>6249</v>
      </c>
      <c r="E4575" t="str">
        <f t="shared" si="959"/>
        <v>10</v>
      </c>
      <c r="F4575" t="str">
        <f t="shared" si="960"/>
        <v>937</v>
      </c>
      <c r="G4575">
        <v>9</v>
      </c>
      <c r="H4575" t="str">
        <f t="shared" si="956"/>
        <v>99</v>
      </c>
      <c r="I4575" t="str">
        <f t="shared" si="957"/>
        <v>0</v>
      </c>
      <c r="J4575" t="str">
        <f t="shared" si="961"/>
        <v>82</v>
      </c>
      <c r="K4575">
        <v>20190208</v>
      </c>
      <c r="L4575" t="str">
        <f t="shared" si="962"/>
        <v>075530</v>
      </c>
      <c r="M4575" t="str">
        <f t="shared" si="963"/>
        <v>03846</v>
      </c>
      <c r="N4575" t="s">
        <v>3678</v>
      </c>
      <c r="O4575">
        <v>372.21</v>
      </c>
      <c r="P4575">
        <v>20190207</v>
      </c>
      <c r="Q4575" t="s">
        <v>2036</v>
      </c>
      <c r="R4575" t="s">
        <v>3701</v>
      </c>
      <c r="S4575" t="s">
        <v>1615</v>
      </c>
      <c r="T4575" t="s">
        <v>1810</v>
      </c>
    </row>
    <row r="4576" spans="1:20" x14ac:dyDescent="0.25">
      <c r="A4576">
        <v>9</v>
      </c>
      <c r="B4576">
        <v>199</v>
      </c>
      <c r="C4576" t="str">
        <f t="shared" si="958"/>
        <v>34</v>
      </c>
      <c r="D4576">
        <v>6249</v>
      </c>
      <c r="E4576" t="str">
        <f t="shared" si="959"/>
        <v>10</v>
      </c>
      <c r="F4576" t="str">
        <f t="shared" si="960"/>
        <v>937</v>
      </c>
      <c r="G4576">
        <v>9</v>
      </c>
      <c r="H4576" t="str">
        <f t="shared" si="956"/>
        <v>99</v>
      </c>
      <c r="I4576" t="str">
        <f t="shared" si="957"/>
        <v>0</v>
      </c>
      <c r="J4576" t="str">
        <f t="shared" si="961"/>
        <v>82</v>
      </c>
      <c r="K4576">
        <v>20190208</v>
      </c>
      <c r="L4576" t="str">
        <f t="shared" si="962"/>
        <v>075530</v>
      </c>
      <c r="M4576" t="str">
        <f t="shared" si="963"/>
        <v>03846</v>
      </c>
      <c r="N4576" t="s">
        <v>3678</v>
      </c>
      <c r="O4576">
        <v>400.84</v>
      </c>
      <c r="P4576">
        <v>20190207</v>
      </c>
      <c r="Q4576" t="s">
        <v>2036</v>
      </c>
      <c r="R4576" t="s">
        <v>3702</v>
      </c>
      <c r="S4576" t="s">
        <v>1615</v>
      </c>
      <c r="T4576" t="s">
        <v>1810</v>
      </c>
    </row>
    <row r="4577" spans="1:20" x14ac:dyDescent="0.25">
      <c r="A4577">
        <v>9</v>
      </c>
      <c r="B4577">
        <v>199</v>
      </c>
      <c r="C4577" t="str">
        <f t="shared" si="958"/>
        <v>34</v>
      </c>
      <c r="D4577">
        <v>6249</v>
      </c>
      <c r="E4577" t="str">
        <f t="shared" si="959"/>
        <v>10</v>
      </c>
      <c r="F4577" t="str">
        <f t="shared" si="960"/>
        <v>937</v>
      </c>
      <c r="G4577">
        <v>9</v>
      </c>
      <c r="H4577" t="str">
        <f t="shared" si="956"/>
        <v>99</v>
      </c>
      <c r="I4577" t="str">
        <f t="shared" si="957"/>
        <v>0</v>
      </c>
      <c r="J4577" t="str">
        <f t="shared" si="961"/>
        <v>82</v>
      </c>
      <c r="K4577">
        <v>20190208</v>
      </c>
      <c r="L4577" t="str">
        <f t="shared" si="962"/>
        <v>075530</v>
      </c>
      <c r="M4577" t="str">
        <f t="shared" si="963"/>
        <v>03846</v>
      </c>
      <c r="N4577" t="s">
        <v>3678</v>
      </c>
      <c r="O4577">
        <v>365.23</v>
      </c>
      <c r="P4577">
        <v>20190207</v>
      </c>
      <c r="Q4577" t="s">
        <v>2036</v>
      </c>
      <c r="R4577" t="s">
        <v>3703</v>
      </c>
      <c r="S4577" t="s">
        <v>1615</v>
      </c>
      <c r="T4577" t="s">
        <v>1810</v>
      </c>
    </row>
    <row r="4578" spans="1:20" x14ac:dyDescent="0.25">
      <c r="A4578">
        <v>9</v>
      </c>
      <c r="B4578">
        <v>199</v>
      </c>
      <c r="C4578" t="str">
        <f t="shared" si="958"/>
        <v>34</v>
      </c>
      <c r="D4578">
        <v>6249</v>
      </c>
      <c r="E4578" t="str">
        <f t="shared" si="959"/>
        <v>10</v>
      </c>
      <c r="F4578" t="str">
        <f t="shared" si="960"/>
        <v>937</v>
      </c>
      <c r="G4578">
        <v>9</v>
      </c>
      <c r="H4578" t="str">
        <f t="shared" si="956"/>
        <v>99</v>
      </c>
      <c r="I4578" t="str">
        <f t="shared" si="957"/>
        <v>0</v>
      </c>
      <c r="J4578" t="str">
        <f t="shared" si="961"/>
        <v>82</v>
      </c>
      <c r="K4578">
        <v>20190208</v>
      </c>
      <c r="L4578" t="str">
        <f t="shared" si="962"/>
        <v>075530</v>
      </c>
      <c r="M4578" t="str">
        <f t="shared" si="963"/>
        <v>03846</v>
      </c>
      <c r="N4578" t="s">
        <v>3678</v>
      </c>
      <c r="O4578">
        <v>365.23</v>
      </c>
      <c r="P4578">
        <v>20190207</v>
      </c>
      <c r="Q4578" t="s">
        <v>2036</v>
      </c>
      <c r="R4578" t="s">
        <v>3704</v>
      </c>
      <c r="S4578" t="s">
        <v>1615</v>
      </c>
      <c r="T4578" t="s">
        <v>1810</v>
      </c>
    </row>
    <row r="4579" spans="1:20" x14ac:dyDescent="0.25">
      <c r="A4579">
        <v>9</v>
      </c>
      <c r="B4579">
        <v>199</v>
      </c>
      <c r="C4579" t="str">
        <f t="shared" si="958"/>
        <v>34</v>
      </c>
      <c r="D4579">
        <v>6249</v>
      </c>
      <c r="E4579" t="str">
        <f t="shared" si="959"/>
        <v>10</v>
      </c>
      <c r="F4579" t="str">
        <f t="shared" si="960"/>
        <v>937</v>
      </c>
      <c r="G4579">
        <v>9</v>
      </c>
      <c r="H4579" t="str">
        <f t="shared" si="956"/>
        <v>99</v>
      </c>
      <c r="I4579" t="str">
        <f t="shared" si="957"/>
        <v>0</v>
      </c>
      <c r="J4579" t="str">
        <f t="shared" si="961"/>
        <v>82</v>
      </c>
      <c r="K4579">
        <v>20190208</v>
      </c>
      <c r="L4579" t="str">
        <f t="shared" si="962"/>
        <v>075530</v>
      </c>
      <c r="M4579" t="str">
        <f t="shared" si="963"/>
        <v>03846</v>
      </c>
      <c r="N4579" t="s">
        <v>3678</v>
      </c>
      <c r="O4579">
        <v>339.21</v>
      </c>
      <c r="P4579">
        <v>20190207</v>
      </c>
      <c r="Q4579" t="s">
        <v>2036</v>
      </c>
      <c r="R4579" t="s">
        <v>3705</v>
      </c>
      <c r="S4579" t="s">
        <v>1615</v>
      </c>
      <c r="T4579" t="s">
        <v>1810</v>
      </c>
    </row>
    <row r="4580" spans="1:20" x14ac:dyDescent="0.25">
      <c r="A4580">
        <v>9</v>
      </c>
      <c r="B4580">
        <v>199</v>
      </c>
      <c r="C4580" t="str">
        <f t="shared" si="958"/>
        <v>34</v>
      </c>
      <c r="D4580">
        <v>6249</v>
      </c>
      <c r="E4580" t="str">
        <f t="shared" si="959"/>
        <v>10</v>
      </c>
      <c r="F4580" t="str">
        <f t="shared" si="960"/>
        <v>937</v>
      </c>
      <c r="G4580">
        <v>9</v>
      </c>
      <c r="H4580" t="str">
        <f t="shared" si="956"/>
        <v>99</v>
      </c>
      <c r="I4580" t="str">
        <f t="shared" si="957"/>
        <v>0</v>
      </c>
      <c r="J4580" t="str">
        <f t="shared" si="961"/>
        <v>82</v>
      </c>
      <c r="K4580">
        <v>20190208</v>
      </c>
      <c r="L4580" t="str">
        <f t="shared" si="962"/>
        <v>075530</v>
      </c>
      <c r="M4580" t="str">
        <f t="shared" si="963"/>
        <v>03846</v>
      </c>
      <c r="N4580" t="s">
        <v>3678</v>
      </c>
      <c r="O4580">
        <v>295.82</v>
      </c>
      <c r="P4580">
        <v>20190207</v>
      </c>
      <c r="Q4580" t="s">
        <v>2036</v>
      </c>
      <c r="R4580" t="s">
        <v>3706</v>
      </c>
      <c r="S4580" t="s">
        <v>1615</v>
      </c>
      <c r="T4580" t="s">
        <v>1810</v>
      </c>
    </row>
    <row r="4581" spans="1:20" x14ac:dyDescent="0.25">
      <c r="A4581">
        <v>9</v>
      </c>
      <c r="B4581">
        <v>199</v>
      </c>
      <c r="C4581" t="str">
        <f t="shared" si="958"/>
        <v>34</v>
      </c>
      <c r="D4581">
        <v>6249</v>
      </c>
      <c r="E4581" t="str">
        <f t="shared" si="959"/>
        <v>10</v>
      </c>
      <c r="F4581" t="str">
        <f t="shared" si="960"/>
        <v>937</v>
      </c>
      <c r="G4581">
        <v>9</v>
      </c>
      <c r="H4581" t="str">
        <f t="shared" si="956"/>
        <v>99</v>
      </c>
      <c r="I4581" t="str">
        <f t="shared" si="957"/>
        <v>0</v>
      </c>
      <c r="J4581" t="str">
        <f t="shared" si="961"/>
        <v>82</v>
      </c>
      <c r="K4581">
        <v>20190208</v>
      </c>
      <c r="L4581" t="str">
        <f t="shared" si="962"/>
        <v>075530</v>
      </c>
      <c r="M4581" t="str">
        <f t="shared" si="963"/>
        <v>03846</v>
      </c>
      <c r="N4581" t="s">
        <v>3678</v>
      </c>
      <c r="O4581">
        <v>347.2</v>
      </c>
      <c r="P4581">
        <v>20190207</v>
      </c>
      <c r="Q4581" t="s">
        <v>2036</v>
      </c>
      <c r="R4581" t="s">
        <v>3707</v>
      </c>
      <c r="S4581" t="s">
        <v>1615</v>
      </c>
      <c r="T4581" t="s">
        <v>1810</v>
      </c>
    </row>
    <row r="4582" spans="1:20" x14ac:dyDescent="0.25">
      <c r="A4582">
        <v>9</v>
      </c>
      <c r="B4582">
        <v>199</v>
      </c>
      <c r="C4582" t="str">
        <f t="shared" si="958"/>
        <v>34</v>
      </c>
      <c r="D4582">
        <v>6249</v>
      </c>
      <c r="E4582" t="str">
        <f t="shared" si="959"/>
        <v>10</v>
      </c>
      <c r="F4582" t="str">
        <f t="shared" si="960"/>
        <v>937</v>
      </c>
      <c r="G4582">
        <v>9</v>
      </c>
      <c r="H4582" t="str">
        <f t="shared" si="956"/>
        <v>99</v>
      </c>
      <c r="I4582" t="str">
        <f t="shared" si="957"/>
        <v>0</v>
      </c>
      <c r="J4582" t="str">
        <f t="shared" si="961"/>
        <v>82</v>
      </c>
      <c r="K4582">
        <v>20190208</v>
      </c>
      <c r="L4582" t="str">
        <f t="shared" si="962"/>
        <v>075530</v>
      </c>
      <c r="M4582" t="str">
        <f t="shared" si="963"/>
        <v>03846</v>
      </c>
      <c r="N4582" t="s">
        <v>3678</v>
      </c>
      <c r="O4582">
        <v>340.33</v>
      </c>
      <c r="P4582">
        <v>20190207</v>
      </c>
      <c r="Q4582" t="s">
        <v>2036</v>
      </c>
      <c r="R4582" t="s">
        <v>3708</v>
      </c>
      <c r="S4582" t="s">
        <v>1615</v>
      </c>
      <c r="T4582" t="s">
        <v>1810</v>
      </c>
    </row>
    <row r="4583" spans="1:20" x14ac:dyDescent="0.25">
      <c r="A4583">
        <v>9</v>
      </c>
      <c r="B4583">
        <v>199</v>
      </c>
      <c r="C4583" t="str">
        <f t="shared" si="958"/>
        <v>34</v>
      </c>
      <c r="D4583">
        <v>6249</v>
      </c>
      <c r="E4583" t="str">
        <f t="shared" si="959"/>
        <v>10</v>
      </c>
      <c r="F4583" t="str">
        <f t="shared" si="960"/>
        <v>937</v>
      </c>
      <c r="G4583">
        <v>9</v>
      </c>
      <c r="H4583" t="str">
        <f t="shared" si="956"/>
        <v>99</v>
      </c>
      <c r="I4583" t="str">
        <f t="shared" ref="I4583:I4602" si="964">"0"</f>
        <v>0</v>
      </c>
      <c r="J4583" t="str">
        <f t="shared" si="961"/>
        <v>82</v>
      </c>
      <c r="K4583">
        <v>20190208</v>
      </c>
      <c r="L4583" t="str">
        <f t="shared" si="962"/>
        <v>075530</v>
      </c>
      <c r="M4583" t="str">
        <f t="shared" si="963"/>
        <v>03846</v>
      </c>
      <c r="N4583" t="s">
        <v>3678</v>
      </c>
      <c r="O4583">
        <v>291.08999999999997</v>
      </c>
      <c r="P4583">
        <v>20190207</v>
      </c>
      <c r="Q4583" t="s">
        <v>2036</v>
      </c>
      <c r="R4583" t="s">
        <v>3709</v>
      </c>
      <c r="S4583" t="s">
        <v>1615</v>
      </c>
      <c r="T4583" t="s">
        <v>1810</v>
      </c>
    </row>
    <row r="4584" spans="1:20" x14ac:dyDescent="0.25">
      <c r="A4584">
        <v>9</v>
      </c>
      <c r="B4584">
        <v>199</v>
      </c>
      <c r="C4584" t="str">
        <f t="shared" si="958"/>
        <v>34</v>
      </c>
      <c r="D4584">
        <v>6249</v>
      </c>
      <c r="E4584" t="str">
        <f t="shared" si="959"/>
        <v>10</v>
      </c>
      <c r="F4584" t="str">
        <f t="shared" si="960"/>
        <v>937</v>
      </c>
      <c r="G4584">
        <v>9</v>
      </c>
      <c r="H4584" t="str">
        <f t="shared" si="956"/>
        <v>99</v>
      </c>
      <c r="I4584" t="str">
        <f t="shared" si="964"/>
        <v>0</v>
      </c>
      <c r="J4584" t="str">
        <f t="shared" si="961"/>
        <v>82</v>
      </c>
      <c r="K4584">
        <v>20190208</v>
      </c>
      <c r="L4584" t="str">
        <f t="shared" si="962"/>
        <v>075530</v>
      </c>
      <c r="M4584" t="str">
        <f t="shared" si="963"/>
        <v>03846</v>
      </c>
      <c r="N4584" t="s">
        <v>3678</v>
      </c>
      <c r="O4584">
        <v>337.9</v>
      </c>
      <c r="P4584">
        <v>20190207</v>
      </c>
      <c r="Q4584" t="s">
        <v>2036</v>
      </c>
      <c r="R4584" t="s">
        <v>3710</v>
      </c>
      <c r="S4584" t="s">
        <v>1615</v>
      </c>
      <c r="T4584" t="s">
        <v>1810</v>
      </c>
    </row>
    <row r="4585" spans="1:20" x14ac:dyDescent="0.25">
      <c r="A4585">
        <v>9</v>
      </c>
      <c r="B4585">
        <v>199</v>
      </c>
      <c r="C4585" t="str">
        <f t="shared" ref="C4585:C4596" si="965">"11"</f>
        <v>11</v>
      </c>
      <c r="D4585">
        <v>6399</v>
      </c>
      <c r="E4585" t="str">
        <f t="shared" si="959"/>
        <v>10</v>
      </c>
      <c r="F4585" t="str">
        <f>"041"</f>
        <v>041</v>
      </c>
      <c r="G4585">
        <v>9</v>
      </c>
      <c r="H4585" t="str">
        <f t="shared" ref="H4585:H4592" si="966">"11"</f>
        <v>11</v>
      </c>
      <c r="I4585" t="str">
        <f t="shared" si="964"/>
        <v>0</v>
      </c>
      <c r="J4585" t="str">
        <f>"80"</f>
        <v>80</v>
      </c>
      <c r="K4585">
        <v>20190208</v>
      </c>
      <c r="L4585" t="str">
        <f>"075531"</f>
        <v>075531</v>
      </c>
      <c r="M4585" t="str">
        <f>"04240"</f>
        <v>04240</v>
      </c>
      <c r="N4585" t="s">
        <v>2565</v>
      </c>
      <c r="O4585">
        <v>147.6</v>
      </c>
      <c r="P4585">
        <v>20190207</v>
      </c>
      <c r="Q4585" t="s">
        <v>2566</v>
      </c>
      <c r="R4585" t="s">
        <v>1993</v>
      </c>
      <c r="S4585" t="s">
        <v>1615</v>
      </c>
      <c r="T4585" t="s">
        <v>106</v>
      </c>
    </row>
    <row r="4586" spans="1:20" x14ac:dyDescent="0.25">
      <c r="A4586">
        <v>9</v>
      </c>
      <c r="B4586">
        <v>199</v>
      </c>
      <c r="C4586" t="str">
        <f t="shared" si="965"/>
        <v>11</v>
      </c>
      <c r="D4586">
        <v>6399</v>
      </c>
      <c r="E4586" t="str">
        <f t="shared" si="959"/>
        <v>10</v>
      </c>
      <c r="F4586" t="str">
        <f>"001"</f>
        <v>001</v>
      </c>
      <c r="G4586">
        <v>9</v>
      </c>
      <c r="H4586" t="str">
        <f t="shared" si="966"/>
        <v>11</v>
      </c>
      <c r="I4586" t="str">
        <f t="shared" si="964"/>
        <v>0</v>
      </c>
      <c r="J4586" t="str">
        <f>"01"</f>
        <v>01</v>
      </c>
      <c r="K4586">
        <v>20190208</v>
      </c>
      <c r="L4586" t="str">
        <f t="shared" ref="L4586:L4602" si="967">"075532"</f>
        <v>075532</v>
      </c>
      <c r="M4586" t="str">
        <f t="shared" ref="M4586:M4602" si="968">"04410"</f>
        <v>04410</v>
      </c>
      <c r="N4586" t="s">
        <v>410</v>
      </c>
      <c r="O4586">
        <v>249.45</v>
      </c>
      <c r="P4586">
        <v>20190207</v>
      </c>
      <c r="Q4586" t="s">
        <v>1675</v>
      </c>
      <c r="R4586" t="s">
        <v>3711</v>
      </c>
      <c r="S4586" t="s">
        <v>1615</v>
      </c>
      <c r="T4586" t="s">
        <v>301</v>
      </c>
    </row>
    <row r="4587" spans="1:20" x14ac:dyDescent="0.25">
      <c r="A4587">
        <v>9</v>
      </c>
      <c r="B4587">
        <v>199</v>
      </c>
      <c r="C4587" t="str">
        <f t="shared" si="965"/>
        <v>11</v>
      </c>
      <c r="D4587">
        <v>6399</v>
      </c>
      <c r="E4587" t="str">
        <f t="shared" si="959"/>
        <v>10</v>
      </c>
      <c r="F4587" t="str">
        <f>"002"</f>
        <v>002</v>
      </c>
      <c r="G4587">
        <v>9</v>
      </c>
      <c r="H4587" t="str">
        <f t="shared" si="966"/>
        <v>11</v>
      </c>
      <c r="I4587" t="str">
        <f t="shared" si="964"/>
        <v>0</v>
      </c>
      <c r="J4587" t="str">
        <f>"02"</f>
        <v>02</v>
      </c>
      <c r="K4587">
        <v>20190208</v>
      </c>
      <c r="L4587" t="str">
        <f t="shared" si="967"/>
        <v>075532</v>
      </c>
      <c r="M4587" t="str">
        <f t="shared" si="968"/>
        <v>04410</v>
      </c>
      <c r="N4587" t="s">
        <v>410</v>
      </c>
      <c r="O4587">
        <v>120.37</v>
      </c>
      <c r="P4587">
        <v>20190207</v>
      </c>
      <c r="Q4587" t="s">
        <v>3208</v>
      </c>
      <c r="R4587" t="s">
        <v>3712</v>
      </c>
      <c r="S4587" t="s">
        <v>1615</v>
      </c>
      <c r="T4587" t="s">
        <v>1485</v>
      </c>
    </row>
    <row r="4588" spans="1:20" x14ac:dyDescent="0.25">
      <c r="A4588">
        <v>9</v>
      </c>
      <c r="B4588">
        <v>199</v>
      </c>
      <c r="C4588" t="str">
        <f t="shared" si="965"/>
        <v>11</v>
      </c>
      <c r="D4588">
        <v>6399</v>
      </c>
      <c r="E4588" t="str">
        <f t="shared" si="959"/>
        <v>10</v>
      </c>
      <c r="F4588" t="str">
        <f>"041"</f>
        <v>041</v>
      </c>
      <c r="G4588">
        <v>9</v>
      </c>
      <c r="H4588" t="str">
        <f t="shared" si="966"/>
        <v>11</v>
      </c>
      <c r="I4588" t="str">
        <f t="shared" si="964"/>
        <v>0</v>
      </c>
      <c r="J4588" t="str">
        <f>"80"</f>
        <v>80</v>
      </c>
      <c r="K4588">
        <v>20190208</v>
      </c>
      <c r="L4588" t="str">
        <f t="shared" si="967"/>
        <v>075532</v>
      </c>
      <c r="M4588" t="str">
        <f t="shared" si="968"/>
        <v>04410</v>
      </c>
      <c r="N4588" t="s">
        <v>410</v>
      </c>
      <c r="O4588">
        <v>69.989999999999995</v>
      </c>
      <c r="P4588">
        <v>20190207</v>
      </c>
      <c r="Q4588" t="s">
        <v>2566</v>
      </c>
      <c r="R4588" t="s">
        <v>3713</v>
      </c>
      <c r="S4588" t="s">
        <v>1615</v>
      </c>
      <c r="T4588" t="s">
        <v>106</v>
      </c>
    </row>
    <row r="4589" spans="1:20" x14ac:dyDescent="0.25">
      <c r="A4589">
        <v>9</v>
      </c>
      <c r="B4589">
        <v>199</v>
      </c>
      <c r="C4589" t="str">
        <f t="shared" si="965"/>
        <v>11</v>
      </c>
      <c r="D4589">
        <v>6399</v>
      </c>
      <c r="E4589" t="str">
        <f>"78"</f>
        <v>78</v>
      </c>
      <c r="F4589" t="str">
        <f>"041"</f>
        <v>041</v>
      </c>
      <c r="G4589">
        <v>9</v>
      </c>
      <c r="H4589" t="str">
        <f t="shared" si="966"/>
        <v>11</v>
      </c>
      <c r="I4589" t="str">
        <f t="shared" si="964"/>
        <v>0</v>
      </c>
      <c r="J4589" t="str">
        <f>"03"</f>
        <v>03</v>
      </c>
      <c r="K4589">
        <v>20190208</v>
      </c>
      <c r="L4589" t="str">
        <f t="shared" si="967"/>
        <v>075532</v>
      </c>
      <c r="M4589" t="str">
        <f t="shared" si="968"/>
        <v>04410</v>
      </c>
      <c r="N4589" t="s">
        <v>410</v>
      </c>
      <c r="O4589">
        <v>124.77</v>
      </c>
      <c r="P4589">
        <v>20190207</v>
      </c>
      <c r="Q4589" t="s">
        <v>3444</v>
      </c>
      <c r="R4589" t="s">
        <v>3714</v>
      </c>
      <c r="S4589" t="s">
        <v>1615</v>
      </c>
      <c r="T4589" t="s">
        <v>106</v>
      </c>
    </row>
    <row r="4590" spans="1:20" x14ac:dyDescent="0.25">
      <c r="A4590">
        <v>9</v>
      </c>
      <c r="B4590">
        <v>199</v>
      </c>
      <c r="C4590" t="str">
        <f t="shared" si="965"/>
        <v>11</v>
      </c>
      <c r="D4590">
        <v>6399</v>
      </c>
      <c r="E4590" t="str">
        <f>"78"</f>
        <v>78</v>
      </c>
      <c r="F4590" t="str">
        <f>"041"</f>
        <v>041</v>
      </c>
      <c r="G4590">
        <v>9</v>
      </c>
      <c r="H4590" t="str">
        <f t="shared" si="966"/>
        <v>11</v>
      </c>
      <c r="I4590" t="str">
        <f t="shared" si="964"/>
        <v>0</v>
      </c>
      <c r="J4590" t="str">
        <f>"03"</f>
        <v>03</v>
      </c>
      <c r="K4590">
        <v>20190208</v>
      </c>
      <c r="L4590" t="str">
        <f t="shared" si="967"/>
        <v>075532</v>
      </c>
      <c r="M4590" t="str">
        <f t="shared" si="968"/>
        <v>04410</v>
      </c>
      <c r="N4590" t="s">
        <v>410</v>
      </c>
      <c r="O4590">
        <v>767.95</v>
      </c>
      <c r="P4590">
        <v>20190207</v>
      </c>
      <c r="Q4590" t="s">
        <v>3444</v>
      </c>
      <c r="R4590" t="s">
        <v>3715</v>
      </c>
      <c r="S4590" t="s">
        <v>1615</v>
      </c>
      <c r="T4590" t="s">
        <v>106</v>
      </c>
    </row>
    <row r="4591" spans="1:20" x14ac:dyDescent="0.25">
      <c r="A4591">
        <v>9</v>
      </c>
      <c r="B4591">
        <v>199</v>
      </c>
      <c r="C4591" t="str">
        <f t="shared" si="965"/>
        <v>11</v>
      </c>
      <c r="D4591">
        <v>6399</v>
      </c>
      <c r="E4591" t="str">
        <f>"7E"</f>
        <v>7E</v>
      </c>
      <c r="F4591" t="str">
        <f>"001"</f>
        <v>001</v>
      </c>
      <c r="G4591">
        <v>9</v>
      </c>
      <c r="H4591" t="str">
        <f t="shared" si="966"/>
        <v>11</v>
      </c>
      <c r="I4591" t="str">
        <f t="shared" si="964"/>
        <v>0</v>
      </c>
      <c r="J4591" t="str">
        <f>"31"</f>
        <v>31</v>
      </c>
      <c r="K4591">
        <v>20190208</v>
      </c>
      <c r="L4591" t="str">
        <f t="shared" si="967"/>
        <v>075532</v>
      </c>
      <c r="M4591" t="str">
        <f t="shared" si="968"/>
        <v>04410</v>
      </c>
      <c r="N4591" t="s">
        <v>410</v>
      </c>
      <c r="O4591">
        <v>126.99</v>
      </c>
      <c r="P4591">
        <v>20190207</v>
      </c>
      <c r="Q4591" t="s">
        <v>2382</v>
      </c>
      <c r="R4591" t="s">
        <v>3716</v>
      </c>
      <c r="S4591" t="s">
        <v>1615</v>
      </c>
      <c r="T4591" t="s">
        <v>301</v>
      </c>
    </row>
    <row r="4592" spans="1:20" x14ac:dyDescent="0.25">
      <c r="A4592">
        <v>9</v>
      </c>
      <c r="B4592">
        <v>199</v>
      </c>
      <c r="C4592" t="str">
        <f t="shared" si="965"/>
        <v>11</v>
      </c>
      <c r="D4592">
        <v>6399</v>
      </c>
      <c r="E4592" t="str">
        <f>"8E"</f>
        <v>8E</v>
      </c>
      <c r="F4592" t="str">
        <f>"001"</f>
        <v>001</v>
      </c>
      <c r="G4592">
        <v>9</v>
      </c>
      <c r="H4592" t="str">
        <f t="shared" si="966"/>
        <v>11</v>
      </c>
      <c r="I4592" t="str">
        <f t="shared" si="964"/>
        <v>0</v>
      </c>
      <c r="J4592" t="str">
        <f>"01"</f>
        <v>01</v>
      </c>
      <c r="K4592">
        <v>20190208</v>
      </c>
      <c r="L4592" t="str">
        <f t="shared" si="967"/>
        <v>075532</v>
      </c>
      <c r="M4592" t="str">
        <f t="shared" si="968"/>
        <v>04410</v>
      </c>
      <c r="N4592" t="s">
        <v>410</v>
      </c>
      <c r="O4592">
        <v>44.99</v>
      </c>
      <c r="P4592">
        <v>20190207</v>
      </c>
      <c r="Q4592" t="s">
        <v>3519</v>
      </c>
      <c r="R4592" t="s">
        <v>3717</v>
      </c>
      <c r="S4592" t="s">
        <v>1615</v>
      </c>
      <c r="T4592" t="s">
        <v>301</v>
      </c>
    </row>
    <row r="4593" spans="1:20" x14ac:dyDescent="0.25">
      <c r="A4593">
        <v>9</v>
      </c>
      <c r="B4593">
        <v>199</v>
      </c>
      <c r="C4593" t="str">
        <f t="shared" si="965"/>
        <v>11</v>
      </c>
      <c r="D4593">
        <v>6399</v>
      </c>
      <c r="E4593" t="str">
        <f>"AP"</f>
        <v>AP</v>
      </c>
      <c r="F4593" t="str">
        <f>"001"</f>
        <v>001</v>
      </c>
      <c r="G4593">
        <v>9</v>
      </c>
      <c r="H4593" t="str">
        <f>"31"</f>
        <v>31</v>
      </c>
      <c r="I4593" t="str">
        <f t="shared" si="964"/>
        <v>0</v>
      </c>
      <c r="J4593" t="str">
        <f>"34"</f>
        <v>34</v>
      </c>
      <c r="K4593">
        <v>20190208</v>
      </c>
      <c r="L4593" t="str">
        <f t="shared" si="967"/>
        <v>075532</v>
      </c>
      <c r="M4593" t="str">
        <f t="shared" si="968"/>
        <v>04410</v>
      </c>
      <c r="N4593" t="s">
        <v>410</v>
      </c>
      <c r="O4593">
        <v>206.56</v>
      </c>
      <c r="P4593">
        <v>20190207</v>
      </c>
      <c r="Q4593" t="s">
        <v>1677</v>
      </c>
      <c r="R4593" t="s">
        <v>3718</v>
      </c>
      <c r="S4593" t="s">
        <v>1615</v>
      </c>
      <c r="T4593" t="s">
        <v>301</v>
      </c>
    </row>
    <row r="4594" spans="1:20" x14ac:dyDescent="0.25">
      <c r="A4594">
        <v>9</v>
      </c>
      <c r="B4594">
        <v>199</v>
      </c>
      <c r="C4594" t="str">
        <f t="shared" si="965"/>
        <v>11</v>
      </c>
      <c r="D4594">
        <v>6399</v>
      </c>
      <c r="E4594" t="str">
        <f>"H2"</f>
        <v>H2</v>
      </c>
      <c r="F4594" t="str">
        <f>"001"</f>
        <v>001</v>
      </c>
      <c r="G4594">
        <v>9</v>
      </c>
      <c r="H4594" t="str">
        <f t="shared" ref="H4594:H4600" si="969">"11"</f>
        <v>11</v>
      </c>
      <c r="I4594" t="str">
        <f t="shared" si="964"/>
        <v>0</v>
      </c>
      <c r="J4594" t="str">
        <f>"37"</f>
        <v>37</v>
      </c>
      <c r="K4594">
        <v>20190208</v>
      </c>
      <c r="L4594" t="str">
        <f t="shared" si="967"/>
        <v>075532</v>
      </c>
      <c r="M4594" t="str">
        <f t="shared" si="968"/>
        <v>04410</v>
      </c>
      <c r="N4594" t="s">
        <v>410</v>
      </c>
      <c r="O4594">
        <v>304.48</v>
      </c>
      <c r="P4594">
        <v>20190207</v>
      </c>
      <c r="Q4594" t="s">
        <v>3510</v>
      </c>
      <c r="R4594" t="s">
        <v>3719</v>
      </c>
      <c r="S4594" t="s">
        <v>1615</v>
      </c>
      <c r="T4594" t="s">
        <v>301</v>
      </c>
    </row>
    <row r="4595" spans="1:20" x14ac:dyDescent="0.25">
      <c r="A4595">
        <v>9</v>
      </c>
      <c r="B4595">
        <v>199</v>
      </c>
      <c r="C4595" t="str">
        <f t="shared" si="965"/>
        <v>11</v>
      </c>
      <c r="D4595">
        <v>6399</v>
      </c>
      <c r="E4595" t="str">
        <f>"H2"</f>
        <v>H2</v>
      </c>
      <c r="F4595" t="str">
        <f>"001"</f>
        <v>001</v>
      </c>
      <c r="G4595">
        <v>9</v>
      </c>
      <c r="H4595" t="str">
        <f t="shared" si="969"/>
        <v>11</v>
      </c>
      <c r="I4595" t="str">
        <f t="shared" si="964"/>
        <v>0</v>
      </c>
      <c r="J4595" t="str">
        <f>"37"</f>
        <v>37</v>
      </c>
      <c r="K4595">
        <v>20190208</v>
      </c>
      <c r="L4595" t="str">
        <f t="shared" si="967"/>
        <v>075532</v>
      </c>
      <c r="M4595" t="str">
        <f t="shared" si="968"/>
        <v>04410</v>
      </c>
      <c r="N4595" t="s">
        <v>410</v>
      </c>
      <c r="O4595">
        <v>131.9</v>
      </c>
      <c r="P4595">
        <v>20190207</v>
      </c>
      <c r="Q4595" t="s">
        <v>3510</v>
      </c>
      <c r="R4595" t="s">
        <v>3720</v>
      </c>
      <c r="S4595" t="s">
        <v>1615</v>
      </c>
      <c r="T4595" t="s">
        <v>301</v>
      </c>
    </row>
    <row r="4596" spans="1:20" x14ac:dyDescent="0.25">
      <c r="A4596">
        <v>9</v>
      </c>
      <c r="B4596">
        <v>199</v>
      </c>
      <c r="C4596" t="str">
        <f t="shared" si="965"/>
        <v>11</v>
      </c>
      <c r="D4596">
        <v>6399</v>
      </c>
      <c r="E4596" t="str">
        <f>"V8"</f>
        <v>V8</v>
      </c>
      <c r="F4596" t="str">
        <f>"041"</f>
        <v>041</v>
      </c>
      <c r="G4596">
        <v>9</v>
      </c>
      <c r="H4596" t="str">
        <f t="shared" si="969"/>
        <v>11</v>
      </c>
      <c r="I4596" t="str">
        <f t="shared" si="964"/>
        <v>0</v>
      </c>
      <c r="J4596" t="str">
        <f>"03"</f>
        <v>03</v>
      </c>
      <c r="K4596">
        <v>20190208</v>
      </c>
      <c r="L4596" t="str">
        <f t="shared" si="967"/>
        <v>075532</v>
      </c>
      <c r="M4596" t="str">
        <f t="shared" si="968"/>
        <v>04410</v>
      </c>
      <c r="N4596" t="s">
        <v>410</v>
      </c>
      <c r="O4596">
        <v>44.97</v>
      </c>
      <c r="P4596">
        <v>20190207</v>
      </c>
      <c r="Q4596" t="s">
        <v>3721</v>
      </c>
      <c r="R4596" t="s">
        <v>3722</v>
      </c>
      <c r="S4596" t="s">
        <v>1615</v>
      </c>
      <c r="T4596" t="s">
        <v>106</v>
      </c>
    </row>
    <row r="4597" spans="1:20" x14ac:dyDescent="0.25">
      <c r="A4597">
        <v>9</v>
      </c>
      <c r="B4597">
        <v>199</v>
      </c>
      <c r="C4597" t="str">
        <f>"12"</f>
        <v>12</v>
      </c>
      <c r="D4597">
        <v>6328</v>
      </c>
      <c r="E4597" t="str">
        <f>"7U"</f>
        <v>7U</v>
      </c>
      <c r="F4597" t="str">
        <f t="shared" ref="F4597:F4604" si="970">"001"</f>
        <v>001</v>
      </c>
      <c r="G4597">
        <v>9</v>
      </c>
      <c r="H4597" t="str">
        <f t="shared" si="969"/>
        <v>11</v>
      </c>
      <c r="I4597" t="str">
        <f t="shared" si="964"/>
        <v>0</v>
      </c>
      <c r="J4597" t="str">
        <f t="shared" ref="J4597:J4602" si="971">"01"</f>
        <v>01</v>
      </c>
      <c r="K4597">
        <v>20190208</v>
      </c>
      <c r="L4597" t="str">
        <f t="shared" si="967"/>
        <v>075532</v>
      </c>
      <c r="M4597" t="str">
        <f t="shared" si="968"/>
        <v>04410</v>
      </c>
      <c r="N4597" t="s">
        <v>410</v>
      </c>
      <c r="O4597">
        <v>42.79</v>
      </c>
      <c r="P4597">
        <v>20190207</v>
      </c>
      <c r="Q4597" t="s">
        <v>1894</v>
      </c>
      <c r="R4597" t="s">
        <v>1945</v>
      </c>
      <c r="S4597" t="s">
        <v>1615</v>
      </c>
      <c r="T4597" t="s">
        <v>301</v>
      </c>
    </row>
    <row r="4598" spans="1:20" x14ac:dyDescent="0.25">
      <c r="A4598">
        <v>9</v>
      </c>
      <c r="B4598">
        <v>199</v>
      </c>
      <c r="C4598" t="str">
        <f>"12"</f>
        <v>12</v>
      </c>
      <c r="D4598">
        <v>6328</v>
      </c>
      <c r="E4598" t="str">
        <f>"7U"</f>
        <v>7U</v>
      </c>
      <c r="F4598" t="str">
        <f t="shared" si="970"/>
        <v>001</v>
      </c>
      <c r="G4598">
        <v>9</v>
      </c>
      <c r="H4598" t="str">
        <f t="shared" si="969"/>
        <v>11</v>
      </c>
      <c r="I4598" t="str">
        <f t="shared" si="964"/>
        <v>0</v>
      </c>
      <c r="J4598" t="str">
        <f t="shared" si="971"/>
        <v>01</v>
      </c>
      <c r="K4598">
        <v>20190208</v>
      </c>
      <c r="L4598" t="str">
        <f t="shared" si="967"/>
        <v>075532</v>
      </c>
      <c r="M4598" t="str">
        <f t="shared" si="968"/>
        <v>04410</v>
      </c>
      <c r="N4598" t="s">
        <v>410</v>
      </c>
      <c r="O4598">
        <v>35.950000000000003</v>
      </c>
      <c r="P4598">
        <v>20190207</v>
      </c>
      <c r="Q4598" t="s">
        <v>1894</v>
      </c>
      <c r="R4598" t="s">
        <v>1945</v>
      </c>
      <c r="S4598" t="s">
        <v>1615</v>
      </c>
      <c r="T4598" t="s">
        <v>301</v>
      </c>
    </row>
    <row r="4599" spans="1:20" x14ac:dyDescent="0.25">
      <c r="A4599">
        <v>9</v>
      </c>
      <c r="B4599">
        <v>199</v>
      </c>
      <c r="C4599" t="str">
        <f>"12"</f>
        <v>12</v>
      </c>
      <c r="D4599">
        <v>6328</v>
      </c>
      <c r="E4599" t="str">
        <f>"7U"</f>
        <v>7U</v>
      </c>
      <c r="F4599" t="str">
        <f t="shared" si="970"/>
        <v>001</v>
      </c>
      <c r="G4599">
        <v>9</v>
      </c>
      <c r="H4599" t="str">
        <f t="shared" si="969"/>
        <v>11</v>
      </c>
      <c r="I4599" t="str">
        <f t="shared" si="964"/>
        <v>0</v>
      </c>
      <c r="J4599" t="str">
        <f t="shared" si="971"/>
        <v>01</v>
      </c>
      <c r="K4599">
        <v>20190208</v>
      </c>
      <c r="L4599" t="str">
        <f t="shared" si="967"/>
        <v>075532</v>
      </c>
      <c r="M4599" t="str">
        <f t="shared" si="968"/>
        <v>04410</v>
      </c>
      <c r="N4599" t="s">
        <v>410</v>
      </c>
      <c r="O4599">
        <v>139.54</v>
      </c>
      <c r="P4599">
        <v>20190207</v>
      </c>
      <c r="Q4599" t="s">
        <v>1894</v>
      </c>
      <c r="R4599" t="s">
        <v>1945</v>
      </c>
      <c r="S4599" t="s">
        <v>1615</v>
      </c>
      <c r="T4599" t="s">
        <v>301</v>
      </c>
    </row>
    <row r="4600" spans="1:20" x14ac:dyDescent="0.25">
      <c r="A4600">
        <v>9</v>
      </c>
      <c r="B4600">
        <v>199</v>
      </c>
      <c r="C4600" t="str">
        <f>"12"</f>
        <v>12</v>
      </c>
      <c r="D4600">
        <v>6399</v>
      </c>
      <c r="E4600" t="str">
        <f>"7U"</f>
        <v>7U</v>
      </c>
      <c r="F4600" t="str">
        <f t="shared" si="970"/>
        <v>001</v>
      </c>
      <c r="G4600">
        <v>9</v>
      </c>
      <c r="H4600" t="str">
        <f t="shared" si="969"/>
        <v>11</v>
      </c>
      <c r="I4600" t="str">
        <f t="shared" si="964"/>
        <v>0</v>
      </c>
      <c r="J4600" t="str">
        <f t="shared" si="971"/>
        <v>01</v>
      </c>
      <c r="K4600">
        <v>20190208</v>
      </c>
      <c r="L4600" t="str">
        <f t="shared" si="967"/>
        <v>075532</v>
      </c>
      <c r="M4600" t="str">
        <f t="shared" si="968"/>
        <v>04410</v>
      </c>
      <c r="N4600" t="s">
        <v>410</v>
      </c>
      <c r="O4600">
        <v>100.89</v>
      </c>
      <c r="P4600">
        <v>20190207</v>
      </c>
      <c r="Q4600" t="s">
        <v>2172</v>
      </c>
      <c r="R4600" t="s">
        <v>3723</v>
      </c>
      <c r="S4600" t="s">
        <v>1615</v>
      </c>
      <c r="T4600" t="s">
        <v>301</v>
      </c>
    </row>
    <row r="4601" spans="1:20" x14ac:dyDescent="0.25">
      <c r="A4601">
        <v>9</v>
      </c>
      <c r="B4601">
        <v>199</v>
      </c>
      <c r="C4601" t="str">
        <f>"36"</f>
        <v>36</v>
      </c>
      <c r="D4601">
        <v>6399</v>
      </c>
      <c r="E4601" t="str">
        <f>"09"</f>
        <v>09</v>
      </c>
      <c r="F4601" t="str">
        <f t="shared" si="970"/>
        <v>001</v>
      </c>
      <c r="G4601">
        <v>9</v>
      </c>
      <c r="H4601" t="str">
        <f>"99"</f>
        <v>99</v>
      </c>
      <c r="I4601" t="str">
        <f t="shared" si="964"/>
        <v>0</v>
      </c>
      <c r="J4601" t="str">
        <f t="shared" si="971"/>
        <v>01</v>
      </c>
      <c r="K4601">
        <v>20190208</v>
      </c>
      <c r="L4601" t="str">
        <f t="shared" si="967"/>
        <v>075532</v>
      </c>
      <c r="M4601" t="str">
        <f t="shared" si="968"/>
        <v>04410</v>
      </c>
      <c r="N4601" t="s">
        <v>410</v>
      </c>
      <c r="O4601">
        <v>259.33999999999997</v>
      </c>
      <c r="P4601">
        <v>20190207</v>
      </c>
      <c r="Q4601" t="s">
        <v>2177</v>
      </c>
      <c r="R4601" t="s">
        <v>3724</v>
      </c>
      <c r="S4601" t="s">
        <v>1615</v>
      </c>
      <c r="T4601" t="s">
        <v>301</v>
      </c>
    </row>
    <row r="4602" spans="1:20" x14ac:dyDescent="0.25">
      <c r="A4602">
        <v>9</v>
      </c>
      <c r="B4602">
        <v>199</v>
      </c>
      <c r="C4602" t="str">
        <f>"36"</f>
        <v>36</v>
      </c>
      <c r="D4602">
        <v>6399</v>
      </c>
      <c r="E4602" t="str">
        <f>"09"</f>
        <v>09</v>
      </c>
      <c r="F4602" t="str">
        <f t="shared" si="970"/>
        <v>001</v>
      </c>
      <c r="G4602">
        <v>9</v>
      </c>
      <c r="H4602" t="str">
        <f>"99"</f>
        <v>99</v>
      </c>
      <c r="I4602" t="str">
        <f t="shared" si="964"/>
        <v>0</v>
      </c>
      <c r="J4602" t="str">
        <f t="shared" si="971"/>
        <v>01</v>
      </c>
      <c r="K4602">
        <v>20190208</v>
      </c>
      <c r="L4602" t="str">
        <f t="shared" si="967"/>
        <v>075532</v>
      </c>
      <c r="M4602" t="str">
        <f t="shared" si="968"/>
        <v>04410</v>
      </c>
      <c r="N4602" t="s">
        <v>410</v>
      </c>
      <c r="O4602">
        <v>76.989999999999995</v>
      </c>
      <c r="P4602">
        <v>20190207</v>
      </c>
      <c r="Q4602" t="s">
        <v>2177</v>
      </c>
      <c r="R4602" t="s">
        <v>3725</v>
      </c>
      <c r="S4602" t="s">
        <v>1615</v>
      </c>
      <c r="T4602" t="s">
        <v>301</v>
      </c>
    </row>
    <row r="4603" spans="1:20" x14ac:dyDescent="0.25">
      <c r="A4603">
        <v>9</v>
      </c>
      <c r="B4603">
        <v>199</v>
      </c>
      <c r="C4603" t="str">
        <f>"11"</f>
        <v>11</v>
      </c>
      <c r="D4603">
        <v>6412</v>
      </c>
      <c r="E4603" t="str">
        <f>"NL"</f>
        <v>NL</v>
      </c>
      <c r="F4603" t="str">
        <f t="shared" si="970"/>
        <v>001</v>
      </c>
      <c r="G4603">
        <v>9</v>
      </c>
      <c r="H4603" t="str">
        <f>"22"</f>
        <v>22</v>
      </c>
      <c r="I4603" t="str">
        <f>"1"</f>
        <v>1</v>
      </c>
      <c r="J4603" t="str">
        <f>"22"</f>
        <v>22</v>
      </c>
      <c r="K4603">
        <v>20190208</v>
      </c>
      <c r="L4603" t="str">
        <f>"075535"</f>
        <v>075535</v>
      </c>
      <c r="M4603" t="str">
        <f>"06893"</f>
        <v>06893</v>
      </c>
      <c r="N4603" t="s">
        <v>2707</v>
      </c>
      <c r="O4603">
        <v>360</v>
      </c>
      <c r="P4603">
        <v>20190207</v>
      </c>
      <c r="Q4603" t="s">
        <v>2708</v>
      </c>
      <c r="R4603" t="s">
        <v>3726</v>
      </c>
      <c r="S4603" t="s">
        <v>1615</v>
      </c>
      <c r="T4603" t="s">
        <v>301</v>
      </c>
    </row>
    <row r="4604" spans="1:20" x14ac:dyDescent="0.25">
      <c r="A4604">
        <v>9</v>
      </c>
      <c r="B4604">
        <v>199</v>
      </c>
      <c r="C4604" t="str">
        <f>"36"</f>
        <v>36</v>
      </c>
      <c r="D4604">
        <v>6411</v>
      </c>
      <c r="E4604" t="str">
        <f>"NL"</f>
        <v>NL</v>
      </c>
      <c r="F4604" t="str">
        <f t="shared" si="970"/>
        <v>001</v>
      </c>
      <c r="G4604">
        <v>9</v>
      </c>
      <c r="H4604" t="str">
        <f>"22"</f>
        <v>22</v>
      </c>
      <c r="I4604" t="str">
        <f t="shared" ref="I4604:I4612" si="972">"0"</f>
        <v>0</v>
      </c>
      <c r="J4604" t="str">
        <f>"22"</f>
        <v>22</v>
      </c>
      <c r="K4604">
        <v>20190208</v>
      </c>
      <c r="L4604" t="str">
        <f>"075535"</f>
        <v>075535</v>
      </c>
      <c r="M4604" t="str">
        <f>"06893"</f>
        <v>06893</v>
      </c>
      <c r="N4604" t="s">
        <v>2707</v>
      </c>
      <c r="O4604">
        <v>100</v>
      </c>
      <c r="P4604">
        <v>20190207</v>
      </c>
      <c r="Q4604" t="s">
        <v>2710</v>
      </c>
      <c r="R4604" t="s">
        <v>3726</v>
      </c>
      <c r="S4604" t="s">
        <v>1615</v>
      </c>
      <c r="T4604" t="s">
        <v>301</v>
      </c>
    </row>
    <row r="4605" spans="1:20" x14ac:dyDescent="0.25">
      <c r="A4605">
        <v>9</v>
      </c>
      <c r="B4605">
        <v>199</v>
      </c>
      <c r="C4605" t="str">
        <f>"51"</f>
        <v>51</v>
      </c>
      <c r="D4605">
        <v>6319</v>
      </c>
      <c r="E4605" t="str">
        <f>"MC"</f>
        <v>MC</v>
      </c>
      <c r="F4605" t="str">
        <f>"936"</f>
        <v>936</v>
      </c>
      <c r="G4605">
        <v>9</v>
      </c>
      <c r="H4605" t="str">
        <f>"99"</f>
        <v>99</v>
      </c>
      <c r="I4605" t="str">
        <f t="shared" si="972"/>
        <v>0</v>
      </c>
      <c r="J4605" t="str">
        <f>"81"</f>
        <v>81</v>
      </c>
      <c r="K4605">
        <v>20190208</v>
      </c>
      <c r="L4605" t="str">
        <f>"075536"</f>
        <v>075536</v>
      </c>
      <c r="M4605" t="str">
        <f>"08132"</f>
        <v>08132</v>
      </c>
      <c r="N4605" t="s">
        <v>2449</v>
      </c>
      <c r="O4605">
        <v>67.5</v>
      </c>
      <c r="P4605">
        <v>20190207</v>
      </c>
      <c r="Q4605" t="s">
        <v>2060</v>
      </c>
      <c r="R4605" t="s">
        <v>3727</v>
      </c>
      <c r="S4605" t="s">
        <v>1615</v>
      </c>
      <c r="T4605" t="s">
        <v>1713</v>
      </c>
    </row>
    <row r="4606" spans="1:20" x14ac:dyDescent="0.25">
      <c r="A4606">
        <v>9</v>
      </c>
      <c r="B4606">
        <v>199</v>
      </c>
      <c r="C4606" t="str">
        <f>"11"</f>
        <v>11</v>
      </c>
      <c r="D4606">
        <v>6399</v>
      </c>
      <c r="E4606" t="str">
        <f>"N1"</f>
        <v>N1</v>
      </c>
      <c r="F4606" t="str">
        <f>"001"</f>
        <v>001</v>
      </c>
      <c r="G4606">
        <v>9</v>
      </c>
      <c r="H4606" t="str">
        <f>"11"</f>
        <v>11</v>
      </c>
      <c r="I4606" t="str">
        <f t="shared" si="972"/>
        <v>0</v>
      </c>
      <c r="J4606" t="str">
        <f>"01"</f>
        <v>01</v>
      </c>
      <c r="K4606">
        <v>20190208</v>
      </c>
      <c r="L4606" t="str">
        <f>"075543"</f>
        <v>075543</v>
      </c>
      <c r="M4606" t="str">
        <f>"11125"</f>
        <v>11125</v>
      </c>
      <c r="N4606" t="s">
        <v>3728</v>
      </c>
      <c r="O4606" s="1">
        <v>1247.57</v>
      </c>
      <c r="P4606">
        <v>20190207</v>
      </c>
      <c r="Q4606" t="s">
        <v>2637</v>
      </c>
      <c r="R4606" t="s">
        <v>3729</v>
      </c>
      <c r="S4606" t="s">
        <v>1615</v>
      </c>
      <c r="T4606" t="s">
        <v>301</v>
      </c>
    </row>
    <row r="4607" spans="1:20" x14ac:dyDescent="0.25">
      <c r="A4607">
        <v>9</v>
      </c>
      <c r="B4607">
        <v>199</v>
      </c>
      <c r="C4607" t="str">
        <f>"11"</f>
        <v>11</v>
      </c>
      <c r="D4607">
        <v>6399</v>
      </c>
      <c r="E4607" t="str">
        <f>"VR"</f>
        <v>VR</v>
      </c>
      <c r="F4607" t="str">
        <f>"001"</f>
        <v>001</v>
      </c>
      <c r="G4607">
        <v>9</v>
      </c>
      <c r="H4607" t="str">
        <f>"22"</f>
        <v>22</v>
      </c>
      <c r="I4607" t="str">
        <f t="shared" si="972"/>
        <v>0</v>
      </c>
      <c r="J4607" t="str">
        <f>"22"</f>
        <v>22</v>
      </c>
      <c r="K4607">
        <v>20190208</v>
      </c>
      <c r="L4607" t="str">
        <f>"075543"</f>
        <v>075543</v>
      </c>
      <c r="M4607" t="str">
        <f>"11125"</f>
        <v>11125</v>
      </c>
      <c r="N4607" t="s">
        <v>3728</v>
      </c>
      <c r="O4607">
        <v>216.22</v>
      </c>
      <c r="P4607">
        <v>20190207</v>
      </c>
      <c r="Q4607" t="s">
        <v>1863</v>
      </c>
      <c r="R4607" t="s">
        <v>3730</v>
      </c>
      <c r="S4607" t="s">
        <v>1615</v>
      </c>
      <c r="T4607" t="s">
        <v>301</v>
      </c>
    </row>
    <row r="4608" spans="1:20" x14ac:dyDescent="0.25">
      <c r="A4608">
        <v>9</v>
      </c>
      <c r="B4608">
        <v>199</v>
      </c>
      <c r="C4608" t="str">
        <f>"41"</f>
        <v>41</v>
      </c>
      <c r="D4608">
        <v>6211</v>
      </c>
      <c r="E4608" t="str">
        <f>"01"</f>
        <v>01</v>
      </c>
      <c r="F4608" t="str">
        <f>"702"</f>
        <v>702</v>
      </c>
      <c r="G4608">
        <v>9</v>
      </c>
      <c r="H4608" t="str">
        <f>"99"</f>
        <v>99</v>
      </c>
      <c r="I4608" t="str">
        <f t="shared" si="972"/>
        <v>0</v>
      </c>
      <c r="J4608" t="str">
        <f>"93"</f>
        <v>93</v>
      </c>
      <c r="K4608">
        <v>20190208</v>
      </c>
      <c r="L4608" t="str">
        <f>"075544"</f>
        <v>075544</v>
      </c>
      <c r="M4608" t="str">
        <f>"13281"</f>
        <v>13281</v>
      </c>
      <c r="N4608" t="s">
        <v>1684</v>
      </c>
      <c r="O4608" s="1">
        <v>3208.33</v>
      </c>
      <c r="P4608">
        <v>20190207</v>
      </c>
      <c r="Q4608" t="s">
        <v>1685</v>
      </c>
      <c r="R4608" t="s">
        <v>3731</v>
      </c>
      <c r="S4608" t="s">
        <v>1615</v>
      </c>
      <c r="T4608" t="s">
        <v>1611</v>
      </c>
    </row>
    <row r="4609" spans="1:20" x14ac:dyDescent="0.25">
      <c r="A4609">
        <v>9</v>
      </c>
      <c r="B4609">
        <v>199</v>
      </c>
      <c r="C4609" t="str">
        <f>"11"</f>
        <v>11</v>
      </c>
      <c r="D4609">
        <v>6412</v>
      </c>
      <c r="E4609" t="str">
        <f>"VB"</f>
        <v>VB</v>
      </c>
      <c r="F4609" t="str">
        <f>"001"</f>
        <v>001</v>
      </c>
      <c r="G4609">
        <v>9</v>
      </c>
      <c r="H4609" t="str">
        <f>"22"</f>
        <v>22</v>
      </c>
      <c r="I4609" t="str">
        <f t="shared" si="972"/>
        <v>0</v>
      </c>
      <c r="J4609" t="str">
        <f>"22"</f>
        <v>22</v>
      </c>
      <c r="K4609">
        <v>20190208</v>
      </c>
      <c r="L4609" t="str">
        <f>"075545"</f>
        <v>075545</v>
      </c>
      <c r="M4609" t="str">
        <f>"14134"</f>
        <v>14134</v>
      </c>
      <c r="N4609" t="s">
        <v>3732</v>
      </c>
      <c r="O4609">
        <v>700</v>
      </c>
      <c r="P4609">
        <v>20190207</v>
      </c>
      <c r="Q4609" t="s">
        <v>2971</v>
      </c>
      <c r="R4609" t="s">
        <v>3733</v>
      </c>
      <c r="S4609" t="s">
        <v>1615</v>
      </c>
      <c r="T4609" t="s">
        <v>301</v>
      </c>
    </row>
    <row r="4610" spans="1:20" x14ac:dyDescent="0.25">
      <c r="A4610">
        <v>9</v>
      </c>
      <c r="B4610">
        <v>199</v>
      </c>
      <c r="C4610" t="str">
        <f>"11"</f>
        <v>11</v>
      </c>
      <c r="D4610">
        <v>6412</v>
      </c>
      <c r="E4610" t="str">
        <f>"VB"</f>
        <v>VB</v>
      </c>
      <c r="F4610" t="str">
        <f>"001"</f>
        <v>001</v>
      </c>
      <c r="G4610">
        <v>9</v>
      </c>
      <c r="H4610" t="str">
        <f>"22"</f>
        <v>22</v>
      </c>
      <c r="I4610" t="str">
        <f t="shared" si="972"/>
        <v>0</v>
      </c>
      <c r="J4610" t="str">
        <f>"22"</f>
        <v>22</v>
      </c>
      <c r="K4610">
        <v>20190208</v>
      </c>
      <c r="L4610" t="str">
        <f>"075545"</f>
        <v>075545</v>
      </c>
      <c r="M4610" t="str">
        <f>"14134"</f>
        <v>14134</v>
      </c>
      <c r="N4610" t="s">
        <v>3732</v>
      </c>
      <c r="O4610">
        <v>350</v>
      </c>
      <c r="P4610">
        <v>20190207</v>
      </c>
      <c r="Q4610" t="s">
        <v>2971</v>
      </c>
      <c r="R4610" t="s">
        <v>3733</v>
      </c>
      <c r="S4610" t="s">
        <v>1615</v>
      </c>
      <c r="T4610" t="s">
        <v>301</v>
      </c>
    </row>
    <row r="4611" spans="1:20" x14ac:dyDescent="0.25">
      <c r="A4611">
        <v>9</v>
      </c>
      <c r="B4611">
        <v>199</v>
      </c>
      <c r="C4611" t="str">
        <f>"11"</f>
        <v>11</v>
      </c>
      <c r="D4611">
        <v>6412</v>
      </c>
      <c r="E4611" t="str">
        <f>"VB"</f>
        <v>VB</v>
      </c>
      <c r="F4611" t="str">
        <f>"001"</f>
        <v>001</v>
      </c>
      <c r="G4611">
        <v>9</v>
      </c>
      <c r="H4611" t="str">
        <f>"22"</f>
        <v>22</v>
      </c>
      <c r="I4611" t="str">
        <f t="shared" si="972"/>
        <v>0</v>
      </c>
      <c r="J4611" t="str">
        <f>"22"</f>
        <v>22</v>
      </c>
      <c r="K4611">
        <v>20190208</v>
      </c>
      <c r="L4611" t="str">
        <f>"075545"</f>
        <v>075545</v>
      </c>
      <c r="M4611" t="str">
        <f>"14134"</f>
        <v>14134</v>
      </c>
      <c r="N4611" t="s">
        <v>3732</v>
      </c>
      <c r="O4611">
        <v>490</v>
      </c>
      <c r="P4611">
        <v>20190207</v>
      </c>
      <c r="Q4611" t="s">
        <v>2971</v>
      </c>
      <c r="R4611" t="s">
        <v>3733</v>
      </c>
      <c r="S4611" t="s">
        <v>1615</v>
      </c>
      <c r="T4611" t="s">
        <v>301</v>
      </c>
    </row>
    <row r="4612" spans="1:20" x14ac:dyDescent="0.25">
      <c r="A4612">
        <v>9</v>
      </c>
      <c r="B4612">
        <v>199</v>
      </c>
      <c r="C4612" t="str">
        <f>"36"</f>
        <v>36</v>
      </c>
      <c r="D4612">
        <v>6411</v>
      </c>
      <c r="E4612" t="str">
        <f>"VB"</f>
        <v>VB</v>
      </c>
      <c r="F4612" t="str">
        <f>"001"</f>
        <v>001</v>
      </c>
      <c r="G4612">
        <v>9</v>
      </c>
      <c r="H4612" t="str">
        <f>"22"</f>
        <v>22</v>
      </c>
      <c r="I4612" t="str">
        <f t="shared" si="972"/>
        <v>0</v>
      </c>
      <c r="J4612" t="str">
        <f>"22"</f>
        <v>22</v>
      </c>
      <c r="K4612">
        <v>20190208</v>
      </c>
      <c r="L4612" t="str">
        <f>"075545"</f>
        <v>075545</v>
      </c>
      <c r="M4612" t="str">
        <f>"14134"</f>
        <v>14134</v>
      </c>
      <c r="N4612" t="s">
        <v>3732</v>
      </c>
      <c r="O4612">
        <v>140</v>
      </c>
      <c r="P4612">
        <v>20190207</v>
      </c>
      <c r="Q4612" t="s">
        <v>3734</v>
      </c>
      <c r="R4612" t="s">
        <v>3733</v>
      </c>
      <c r="S4612" t="s">
        <v>1615</v>
      </c>
      <c r="T4612" t="s">
        <v>301</v>
      </c>
    </row>
    <row r="4613" spans="1:20" x14ac:dyDescent="0.25">
      <c r="A4613">
        <v>9</v>
      </c>
      <c r="B4613">
        <v>199</v>
      </c>
      <c r="C4613" t="str">
        <f>"51"</f>
        <v>51</v>
      </c>
      <c r="D4613">
        <v>6254</v>
      </c>
      <c r="E4613" t="str">
        <f>"ME"</f>
        <v>ME</v>
      </c>
      <c r="F4613" t="str">
        <f>"936"</f>
        <v>936</v>
      </c>
      <c r="G4613">
        <v>9</v>
      </c>
      <c r="H4613" t="str">
        <f t="shared" ref="H4613:H4621" si="973">"99"</f>
        <v>99</v>
      </c>
      <c r="I4613" t="str">
        <f>"1"</f>
        <v>1</v>
      </c>
      <c r="J4613" t="str">
        <f>"73"</f>
        <v>73</v>
      </c>
      <c r="K4613">
        <v>20190208</v>
      </c>
      <c r="L4613" t="str">
        <f>"075550"</f>
        <v>075550</v>
      </c>
      <c r="M4613" t="str">
        <f>"19310"</f>
        <v>19310</v>
      </c>
      <c r="N4613" t="s">
        <v>1689</v>
      </c>
      <c r="O4613" s="1">
        <v>2916.74</v>
      </c>
      <c r="P4613">
        <v>20190207</v>
      </c>
      <c r="Q4613" t="s">
        <v>1891</v>
      </c>
      <c r="R4613" t="s">
        <v>3735</v>
      </c>
      <c r="S4613" t="s">
        <v>1615</v>
      </c>
      <c r="T4613" t="s">
        <v>1713</v>
      </c>
    </row>
    <row r="4614" spans="1:20" x14ac:dyDescent="0.25">
      <c r="A4614">
        <v>9</v>
      </c>
      <c r="B4614">
        <v>199</v>
      </c>
      <c r="C4614" t="str">
        <f>"51"</f>
        <v>51</v>
      </c>
      <c r="D4614">
        <v>6254</v>
      </c>
      <c r="E4614" t="str">
        <f>"ME"</f>
        <v>ME</v>
      </c>
      <c r="F4614" t="str">
        <f>"936"</f>
        <v>936</v>
      </c>
      <c r="G4614">
        <v>9</v>
      </c>
      <c r="H4614" t="str">
        <f t="shared" si="973"/>
        <v>99</v>
      </c>
      <c r="I4614" t="str">
        <f>"1"</f>
        <v>1</v>
      </c>
      <c r="J4614" t="str">
        <f>"73"</f>
        <v>73</v>
      </c>
      <c r="K4614">
        <v>20190208</v>
      </c>
      <c r="L4614" t="str">
        <f>"075550"</f>
        <v>075550</v>
      </c>
      <c r="M4614" t="str">
        <f>"19310"</f>
        <v>19310</v>
      </c>
      <c r="N4614" t="s">
        <v>1689</v>
      </c>
      <c r="O4614">
        <v>448.66</v>
      </c>
      <c r="P4614">
        <v>20190207</v>
      </c>
      <c r="Q4614" t="s">
        <v>1891</v>
      </c>
      <c r="R4614" t="s">
        <v>3736</v>
      </c>
      <c r="S4614" t="s">
        <v>1615</v>
      </c>
      <c r="T4614" t="s">
        <v>1713</v>
      </c>
    </row>
    <row r="4615" spans="1:20" x14ac:dyDescent="0.25">
      <c r="A4615">
        <v>9</v>
      </c>
      <c r="B4615">
        <v>199</v>
      </c>
      <c r="C4615" t="str">
        <f>"34"</f>
        <v>34</v>
      </c>
      <c r="D4615">
        <v>6249</v>
      </c>
      <c r="E4615" t="str">
        <f>"10"</f>
        <v>10</v>
      </c>
      <c r="F4615" t="str">
        <f>"937"</f>
        <v>937</v>
      </c>
      <c r="G4615">
        <v>9</v>
      </c>
      <c r="H4615" t="str">
        <f t="shared" si="973"/>
        <v>99</v>
      </c>
      <c r="I4615" t="str">
        <f>"0"</f>
        <v>0</v>
      </c>
      <c r="J4615" t="str">
        <f>"82"</f>
        <v>82</v>
      </c>
      <c r="K4615">
        <v>20190208</v>
      </c>
      <c r="L4615" t="str">
        <f>"075554"</f>
        <v>075554</v>
      </c>
      <c r="M4615" t="str">
        <f>"21901"</f>
        <v>21901</v>
      </c>
      <c r="N4615" t="s">
        <v>2046</v>
      </c>
      <c r="O4615">
        <v>492.14</v>
      </c>
      <c r="P4615">
        <v>20190207</v>
      </c>
      <c r="Q4615" t="s">
        <v>2036</v>
      </c>
      <c r="R4615" t="s">
        <v>3737</v>
      </c>
      <c r="S4615" t="s">
        <v>1615</v>
      </c>
      <c r="T4615" t="s">
        <v>1810</v>
      </c>
    </row>
    <row r="4616" spans="1:20" x14ac:dyDescent="0.25">
      <c r="A4616">
        <v>9</v>
      </c>
      <c r="B4616">
        <v>199</v>
      </c>
      <c r="C4616" t="str">
        <f>"34"</f>
        <v>34</v>
      </c>
      <c r="D4616">
        <v>6249</v>
      </c>
      <c r="E4616" t="str">
        <f>"10"</f>
        <v>10</v>
      </c>
      <c r="F4616" t="str">
        <f>"937"</f>
        <v>937</v>
      </c>
      <c r="G4616">
        <v>9</v>
      </c>
      <c r="H4616" t="str">
        <f t="shared" si="973"/>
        <v>99</v>
      </c>
      <c r="I4616" t="str">
        <f>"0"</f>
        <v>0</v>
      </c>
      <c r="J4616" t="str">
        <f>"82"</f>
        <v>82</v>
      </c>
      <c r="K4616">
        <v>20190208</v>
      </c>
      <c r="L4616" t="str">
        <f>"075554"</f>
        <v>075554</v>
      </c>
      <c r="M4616" t="str">
        <f>"21901"</f>
        <v>21901</v>
      </c>
      <c r="N4616" t="s">
        <v>2046</v>
      </c>
      <c r="O4616">
        <v>529.59</v>
      </c>
      <c r="P4616">
        <v>20190207</v>
      </c>
      <c r="Q4616" t="s">
        <v>2036</v>
      </c>
      <c r="R4616" t="s">
        <v>3738</v>
      </c>
      <c r="S4616" t="s">
        <v>1615</v>
      </c>
      <c r="T4616" t="s">
        <v>1810</v>
      </c>
    </row>
    <row r="4617" spans="1:20" x14ac:dyDescent="0.25">
      <c r="A4617">
        <v>9</v>
      </c>
      <c r="B4617">
        <v>199</v>
      </c>
      <c r="C4617" t="str">
        <f>"34"</f>
        <v>34</v>
      </c>
      <c r="D4617">
        <v>6249</v>
      </c>
      <c r="E4617" t="str">
        <f>"10"</f>
        <v>10</v>
      </c>
      <c r="F4617" t="str">
        <f>"937"</f>
        <v>937</v>
      </c>
      <c r="G4617">
        <v>9</v>
      </c>
      <c r="H4617" t="str">
        <f t="shared" si="973"/>
        <v>99</v>
      </c>
      <c r="I4617" t="str">
        <f>"0"</f>
        <v>0</v>
      </c>
      <c r="J4617" t="str">
        <f>"82"</f>
        <v>82</v>
      </c>
      <c r="K4617">
        <v>20190208</v>
      </c>
      <c r="L4617" t="str">
        <f>"075554"</f>
        <v>075554</v>
      </c>
      <c r="M4617" t="str">
        <f>"21901"</f>
        <v>21901</v>
      </c>
      <c r="N4617" t="s">
        <v>2046</v>
      </c>
      <c r="O4617">
        <v>883.08</v>
      </c>
      <c r="P4617">
        <v>20190208</v>
      </c>
      <c r="Q4617" t="s">
        <v>2036</v>
      </c>
      <c r="R4617" t="s">
        <v>3739</v>
      </c>
      <c r="S4617" t="s">
        <v>1615</v>
      </c>
      <c r="T4617" t="s">
        <v>1810</v>
      </c>
    </row>
    <row r="4618" spans="1:20" x14ac:dyDescent="0.25">
      <c r="A4618">
        <v>9</v>
      </c>
      <c r="B4618">
        <v>199</v>
      </c>
      <c r="C4618" t="str">
        <f>"51"</f>
        <v>51</v>
      </c>
      <c r="D4618">
        <v>6249</v>
      </c>
      <c r="E4618" t="str">
        <f>"WF"</f>
        <v>WF</v>
      </c>
      <c r="F4618" t="str">
        <f>"936"</f>
        <v>936</v>
      </c>
      <c r="G4618">
        <v>9</v>
      </c>
      <c r="H4618" t="str">
        <f t="shared" si="973"/>
        <v>99</v>
      </c>
      <c r="I4618" t="str">
        <f>"0"</f>
        <v>0</v>
      </c>
      <c r="J4618" t="str">
        <f>"82"</f>
        <v>82</v>
      </c>
      <c r="K4618">
        <v>20190208</v>
      </c>
      <c r="L4618" t="str">
        <f>"075554"</f>
        <v>075554</v>
      </c>
      <c r="M4618" t="str">
        <f>"21901"</f>
        <v>21901</v>
      </c>
      <c r="N4618" t="s">
        <v>2046</v>
      </c>
      <c r="O4618">
        <v>-95</v>
      </c>
      <c r="P4618">
        <v>20190206</v>
      </c>
      <c r="Q4618" t="s">
        <v>2127</v>
      </c>
      <c r="R4618" t="s">
        <v>3740</v>
      </c>
      <c r="S4618" t="s">
        <v>1615</v>
      </c>
      <c r="T4618" t="s">
        <v>1713</v>
      </c>
    </row>
    <row r="4619" spans="1:20" x14ac:dyDescent="0.25">
      <c r="A4619">
        <v>9</v>
      </c>
      <c r="B4619">
        <v>199</v>
      </c>
      <c r="C4619" t="str">
        <f>"36"</f>
        <v>36</v>
      </c>
      <c r="D4619">
        <v>6411</v>
      </c>
      <c r="E4619" t="str">
        <f>"09"</f>
        <v>09</v>
      </c>
      <c r="F4619" t="str">
        <f t="shared" ref="F4619:F4624" si="974">"001"</f>
        <v>001</v>
      </c>
      <c r="G4619">
        <v>9</v>
      </c>
      <c r="H4619" t="str">
        <f t="shared" si="973"/>
        <v>99</v>
      </c>
      <c r="I4619" t="str">
        <f>"0"</f>
        <v>0</v>
      </c>
      <c r="J4619" t="str">
        <f>"01"</f>
        <v>01</v>
      </c>
      <c r="K4619">
        <v>20190208</v>
      </c>
      <c r="L4619" t="str">
        <f>"075557"</f>
        <v>075557</v>
      </c>
      <c r="M4619" t="str">
        <f>"22243"</f>
        <v>22243</v>
      </c>
      <c r="N4619" t="s">
        <v>3537</v>
      </c>
      <c r="O4619">
        <v>16.66</v>
      </c>
      <c r="P4619">
        <v>20190207</v>
      </c>
      <c r="Q4619" t="s">
        <v>2513</v>
      </c>
      <c r="R4619" t="s">
        <v>3741</v>
      </c>
      <c r="S4619" t="s">
        <v>1615</v>
      </c>
      <c r="T4619" t="s">
        <v>301</v>
      </c>
    </row>
    <row r="4620" spans="1:20" x14ac:dyDescent="0.25">
      <c r="A4620">
        <v>9</v>
      </c>
      <c r="B4620">
        <v>199</v>
      </c>
      <c r="C4620" t="str">
        <f>"36"</f>
        <v>36</v>
      </c>
      <c r="D4620">
        <v>6412</v>
      </c>
      <c r="E4620" t="str">
        <f>"09"</f>
        <v>09</v>
      </c>
      <c r="F4620" t="str">
        <f t="shared" si="974"/>
        <v>001</v>
      </c>
      <c r="G4620">
        <v>9</v>
      </c>
      <c r="H4620" t="str">
        <f t="shared" si="973"/>
        <v>99</v>
      </c>
      <c r="I4620" t="str">
        <f>"1"</f>
        <v>1</v>
      </c>
      <c r="J4620" t="str">
        <f>"01"</f>
        <v>01</v>
      </c>
      <c r="K4620">
        <v>20190208</v>
      </c>
      <c r="L4620" t="str">
        <f>"075557"</f>
        <v>075557</v>
      </c>
      <c r="M4620" t="str">
        <f>"22243"</f>
        <v>22243</v>
      </c>
      <c r="N4620" t="s">
        <v>3537</v>
      </c>
      <c r="O4620">
        <v>110</v>
      </c>
      <c r="P4620">
        <v>20190207</v>
      </c>
      <c r="Q4620" t="s">
        <v>2514</v>
      </c>
      <c r="R4620" t="s">
        <v>3741</v>
      </c>
      <c r="S4620" t="s">
        <v>1615</v>
      </c>
      <c r="T4620" t="s">
        <v>301</v>
      </c>
    </row>
    <row r="4621" spans="1:20" x14ac:dyDescent="0.25">
      <c r="A4621">
        <v>9</v>
      </c>
      <c r="B4621">
        <v>199</v>
      </c>
      <c r="C4621" t="str">
        <f>"36"</f>
        <v>36</v>
      </c>
      <c r="D4621">
        <v>6399</v>
      </c>
      <c r="E4621" t="str">
        <f>"09"</f>
        <v>09</v>
      </c>
      <c r="F4621" t="str">
        <f t="shared" si="974"/>
        <v>001</v>
      </c>
      <c r="G4621">
        <v>9</v>
      </c>
      <c r="H4621" t="str">
        <f t="shared" si="973"/>
        <v>99</v>
      </c>
      <c r="I4621" t="str">
        <f>"0"</f>
        <v>0</v>
      </c>
      <c r="J4621" t="str">
        <f>"01"</f>
        <v>01</v>
      </c>
      <c r="K4621">
        <v>20190208</v>
      </c>
      <c r="L4621" t="str">
        <f>"075561"</f>
        <v>075561</v>
      </c>
      <c r="M4621" t="str">
        <f>"26876"</f>
        <v>26876</v>
      </c>
      <c r="N4621" t="s">
        <v>3550</v>
      </c>
      <c r="O4621">
        <v>183.45</v>
      </c>
      <c r="P4621">
        <v>20190207</v>
      </c>
      <c r="Q4621" t="s">
        <v>2177</v>
      </c>
      <c r="R4621" t="s">
        <v>3742</v>
      </c>
      <c r="S4621" t="s">
        <v>1615</v>
      </c>
      <c r="T4621" t="s">
        <v>301</v>
      </c>
    </row>
    <row r="4622" spans="1:20" x14ac:dyDescent="0.25">
      <c r="A4622">
        <v>9</v>
      </c>
      <c r="B4622">
        <v>199</v>
      </c>
      <c r="C4622" t="str">
        <f>"11"</f>
        <v>11</v>
      </c>
      <c r="D4622">
        <v>6412</v>
      </c>
      <c r="E4622" t="str">
        <f>"NL"</f>
        <v>NL</v>
      </c>
      <c r="F4622" t="str">
        <f t="shared" si="974"/>
        <v>001</v>
      </c>
      <c r="G4622">
        <v>9</v>
      </c>
      <c r="H4622" t="str">
        <f>"22"</f>
        <v>22</v>
      </c>
      <c r="I4622" t="str">
        <f>"1"</f>
        <v>1</v>
      </c>
      <c r="J4622" t="str">
        <f>"22"</f>
        <v>22</v>
      </c>
      <c r="K4622">
        <v>20190208</v>
      </c>
      <c r="L4622" t="str">
        <f>"075564"</f>
        <v>075564</v>
      </c>
      <c r="M4622" t="str">
        <f>"00087"</f>
        <v>00087</v>
      </c>
      <c r="N4622" t="s">
        <v>3743</v>
      </c>
      <c r="O4622">
        <v>431.64</v>
      </c>
      <c r="P4622">
        <v>20190207</v>
      </c>
      <c r="Q4622" t="s">
        <v>2708</v>
      </c>
      <c r="R4622" t="s">
        <v>3726</v>
      </c>
      <c r="S4622" t="s">
        <v>1615</v>
      </c>
      <c r="T4622" t="s">
        <v>301</v>
      </c>
    </row>
    <row r="4623" spans="1:20" x14ac:dyDescent="0.25">
      <c r="A4623">
        <v>9</v>
      </c>
      <c r="B4623">
        <v>199</v>
      </c>
      <c r="C4623" t="str">
        <f>"36"</f>
        <v>36</v>
      </c>
      <c r="D4623">
        <v>6411</v>
      </c>
      <c r="E4623" t="str">
        <f>"NL"</f>
        <v>NL</v>
      </c>
      <c r="F4623" t="str">
        <f t="shared" si="974"/>
        <v>001</v>
      </c>
      <c r="G4623">
        <v>9</v>
      </c>
      <c r="H4623" t="str">
        <f>"22"</f>
        <v>22</v>
      </c>
      <c r="I4623" t="str">
        <f t="shared" ref="I4623:I4629" si="975">"0"</f>
        <v>0</v>
      </c>
      <c r="J4623" t="str">
        <f>"22"</f>
        <v>22</v>
      </c>
      <c r="K4623">
        <v>20190208</v>
      </c>
      <c r="L4623" t="str">
        <f>"075564"</f>
        <v>075564</v>
      </c>
      <c r="M4623" t="str">
        <f>"00087"</f>
        <v>00087</v>
      </c>
      <c r="N4623" t="s">
        <v>3743</v>
      </c>
      <c r="O4623">
        <v>143.88</v>
      </c>
      <c r="P4623">
        <v>20190207</v>
      </c>
      <c r="Q4623" t="s">
        <v>2710</v>
      </c>
      <c r="R4623" t="s">
        <v>3726</v>
      </c>
      <c r="S4623" t="s">
        <v>1615</v>
      </c>
      <c r="T4623" t="s">
        <v>301</v>
      </c>
    </row>
    <row r="4624" spans="1:20" x14ac:dyDescent="0.25">
      <c r="A4624">
        <v>9</v>
      </c>
      <c r="B4624">
        <v>199</v>
      </c>
      <c r="C4624" t="str">
        <f>"36"</f>
        <v>36</v>
      </c>
      <c r="D4624">
        <v>6411</v>
      </c>
      <c r="E4624" t="str">
        <f>"NL"</f>
        <v>NL</v>
      </c>
      <c r="F4624" t="str">
        <f t="shared" si="974"/>
        <v>001</v>
      </c>
      <c r="G4624">
        <v>9</v>
      </c>
      <c r="H4624" t="str">
        <f>"22"</f>
        <v>22</v>
      </c>
      <c r="I4624" t="str">
        <f t="shared" si="975"/>
        <v>0</v>
      </c>
      <c r="J4624" t="str">
        <f>"22"</f>
        <v>22</v>
      </c>
      <c r="K4624">
        <v>20190208</v>
      </c>
      <c r="L4624" t="str">
        <f>"075565"</f>
        <v>075565</v>
      </c>
      <c r="M4624" t="str">
        <f>"00087"</f>
        <v>00087</v>
      </c>
      <c r="N4624" t="s">
        <v>3743</v>
      </c>
      <c r="O4624">
        <v>143.88</v>
      </c>
      <c r="P4624">
        <v>20190207</v>
      </c>
      <c r="Q4624" t="s">
        <v>2710</v>
      </c>
      <c r="R4624" t="s">
        <v>3726</v>
      </c>
      <c r="S4624" t="s">
        <v>1615</v>
      </c>
      <c r="T4624" t="s">
        <v>301</v>
      </c>
    </row>
    <row r="4625" spans="1:20" x14ac:dyDescent="0.25">
      <c r="A4625">
        <v>9</v>
      </c>
      <c r="B4625">
        <v>199</v>
      </c>
      <c r="C4625" t="str">
        <f>"41"</f>
        <v>41</v>
      </c>
      <c r="D4625">
        <v>6499</v>
      </c>
      <c r="E4625" t="str">
        <f>"12"</f>
        <v>12</v>
      </c>
      <c r="F4625" t="str">
        <f>"720"</f>
        <v>720</v>
      </c>
      <c r="G4625">
        <v>9</v>
      </c>
      <c r="H4625" t="str">
        <f>"99"</f>
        <v>99</v>
      </c>
      <c r="I4625" t="str">
        <f t="shared" si="975"/>
        <v>0</v>
      </c>
      <c r="J4625" t="str">
        <f>"91"</f>
        <v>91</v>
      </c>
      <c r="K4625">
        <v>20190208</v>
      </c>
      <c r="L4625" t="str">
        <f>"075567"</f>
        <v>075567</v>
      </c>
      <c r="M4625" t="str">
        <f>"28820"</f>
        <v>28820</v>
      </c>
      <c r="N4625" t="s">
        <v>2224</v>
      </c>
      <c r="O4625">
        <v>99</v>
      </c>
      <c r="P4625">
        <v>20190207</v>
      </c>
      <c r="Q4625" t="s">
        <v>2225</v>
      </c>
      <c r="R4625" t="s">
        <v>3744</v>
      </c>
      <c r="S4625" t="s">
        <v>1615</v>
      </c>
      <c r="T4625" t="s">
        <v>2045</v>
      </c>
    </row>
    <row r="4626" spans="1:20" x14ac:dyDescent="0.25">
      <c r="A4626">
        <v>9</v>
      </c>
      <c r="B4626">
        <v>199</v>
      </c>
      <c r="C4626" t="str">
        <f>"41"</f>
        <v>41</v>
      </c>
      <c r="D4626">
        <v>6499</v>
      </c>
      <c r="E4626" t="str">
        <f>"12"</f>
        <v>12</v>
      </c>
      <c r="F4626" t="str">
        <f>"720"</f>
        <v>720</v>
      </c>
      <c r="G4626">
        <v>9</v>
      </c>
      <c r="H4626" t="str">
        <f>"99"</f>
        <v>99</v>
      </c>
      <c r="I4626" t="str">
        <f t="shared" si="975"/>
        <v>0</v>
      </c>
      <c r="J4626" t="str">
        <f>"91"</f>
        <v>91</v>
      </c>
      <c r="K4626">
        <v>20190208</v>
      </c>
      <c r="L4626" t="str">
        <f>"075567"</f>
        <v>075567</v>
      </c>
      <c r="M4626" t="str">
        <f>"28820"</f>
        <v>28820</v>
      </c>
      <c r="N4626" t="s">
        <v>2224</v>
      </c>
      <c r="O4626">
        <v>45.8</v>
      </c>
      <c r="P4626">
        <v>20190207</v>
      </c>
      <c r="Q4626" t="s">
        <v>2225</v>
      </c>
      <c r="R4626" t="s">
        <v>3139</v>
      </c>
      <c r="S4626" t="s">
        <v>1615</v>
      </c>
      <c r="T4626" t="s">
        <v>2045</v>
      </c>
    </row>
    <row r="4627" spans="1:20" x14ac:dyDescent="0.25">
      <c r="A4627">
        <v>9</v>
      </c>
      <c r="B4627">
        <v>199</v>
      </c>
      <c r="C4627" t="str">
        <f>"51"</f>
        <v>51</v>
      </c>
      <c r="D4627">
        <v>6319</v>
      </c>
      <c r="E4627" t="str">
        <f>"MC"</f>
        <v>MC</v>
      </c>
      <c r="F4627" t="str">
        <f>"936"</f>
        <v>936</v>
      </c>
      <c r="G4627">
        <v>9</v>
      </c>
      <c r="H4627" t="str">
        <f>"99"</f>
        <v>99</v>
      </c>
      <c r="I4627" t="str">
        <f t="shared" si="975"/>
        <v>0</v>
      </c>
      <c r="J4627" t="str">
        <f>"81"</f>
        <v>81</v>
      </c>
      <c r="K4627">
        <v>20190208</v>
      </c>
      <c r="L4627" t="str">
        <f>"075568"</f>
        <v>075568</v>
      </c>
      <c r="M4627" t="str">
        <f>"29500"</f>
        <v>29500</v>
      </c>
      <c r="N4627" t="s">
        <v>2059</v>
      </c>
      <c r="O4627" s="1">
        <v>1104.24</v>
      </c>
      <c r="P4627">
        <v>20190207</v>
      </c>
      <c r="Q4627" t="s">
        <v>2060</v>
      </c>
      <c r="R4627" t="s">
        <v>2188</v>
      </c>
      <c r="S4627" t="s">
        <v>1615</v>
      </c>
      <c r="T4627" t="s">
        <v>1713</v>
      </c>
    </row>
    <row r="4628" spans="1:20" x14ac:dyDescent="0.25">
      <c r="A4628">
        <v>9</v>
      </c>
      <c r="B4628">
        <v>199</v>
      </c>
      <c r="C4628" t="str">
        <f>"51"</f>
        <v>51</v>
      </c>
      <c r="D4628">
        <v>6319</v>
      </c>
      <c r="E4628" t="str">
        <f>"MC"</f>
        <v>MC</v>
      </c>
      <c r="F4628" t="str">
        <f>"936"</f>
        <v>936</v>
      </c>
      <c r="G4628">
        <v>9</v>
      </c>
      <c r="H4628" t="str">
        <f>"99"</f>
        <v>99</v>
      </c>
      <c r="I4628" t="str">
        <f t="shared" si="975"/>
        <v>0</v>
      </c>
      <c r="J4628" t="str">
        <f>"81"</f>
        <v>81</v>
      </c>
      <c r="K4628">
        <v>20190208</v>
      </c>
      <c r="L4628" t="str">
        <f>"075568"</f>
        <v>075568</v>
      </c>
      <c r="M4628" t="str">
        <f>"29500"</f>
        <v>29500</v>
      </c>
      <c r="N4628" t="s">
        <v>2059</v>
      </c>
      <c r="O4628">
        <v>30.66</v>
      </c>
      <c r="P4628">
        <v>20190207</v>
      </c>
      <c r="Q4628" t="s">
        <v>2060</v>
      </c>
      <c r="R4628" t="s">
        <v>2188</v>
      </c>
      <c r="S4628" t="s">
        <v>1615</v>
      </c>
      <c r="T4628" t="s">
        <v>1713</v>
      </c>
    </row>
    <row r="4629" spans="1:20" x14ac:dyDescent="0.25">
      <c r="A4629">
        <v>9</v>
      </c>
      <c r="B4629">
        <v>199</v>
      </c>
      <c r="C4629" t="str">
        <f>"51"</f>
        <v>51</v>
      </c>
      <c r="D4629">
        <v>6319</v>
      </c>
      <c r="E4629" t="str">
        <f>"MC"</f>
        <v>MC</v>
      </c>
      <c r="F4629" t="str">
        <f>"936"</f>
        <v>936</v>
      </c>
      <c r="G4629">
        <v>9</v>
      </c>
      <c r="H4629" t="str">
        <f>"99"</f>
        <v>99</v>
      </c>
      <c r="I4629" t="str">
        <f t="shared" si="975"/>
        <v>0</v>
      </c>
      <c r="J4629" t="str">
        <f>"81"</f>
        <v>81</v>
      </c>
      <c r="K4629">
        <v>20190208</v>
      </c>
      <c r="L4629" t="str">
        <f>"075568"</f>
        <v>075568</v>
      </c>
      <c r="M4629" t="str">
        <f>"29500"</f>
        <v>29500</v>
      </c>
      <c r="N4629" t="s">
        <v>2059</v>
      </c>
      <c r="O4629">
        <v>167.11</v>
      </c>
      <c r="P4629">
        <v>20190207</v>
      </c>
      <c r="Q4629" t="s">
        <v>2060</v>
      </c>
      <c r="R4629" t="s">
        <v>3745</v>
      </c>
      <c r="S4629" t="s">
        <v>1615</v>
      </c>
      <c r="T4629" t="s">
        <v>1713</v>
      </c>
    </row>
    <row r="4630" spans="1:20" x14ac:dyDescent="0.25">
      <c r="A4630">
        <v>9</v>
      </c>
      <c r="B4630">
        <v>199</v>
      </c>
      <c r="C4630" t="str">
        <f>"11"</f>
        <v>11</v>
      </c>
      <c r="D4630">
        <v>6412</v>
      </c>
      <c r="E4630" t="str">
        <f>"NL"</f>
        <v>NL</v>
      </c>
      <c r="F4630" t="str">
        <f>"001"</f>
        <v>001</v>
      </c>
      <c r="G4630">
        <v>9</v>
      </c>
      <c r="H4630" t="str">
        <f>"22"</f>
        <v>22</v>
      </c>
      <c r="I4630" t="str">
        <f>"1"</f>
        <v>1</v>
      </c>
      <c r="J4630" t="str">
        <f>"22"</f>
        <v>22</v>
      </c>
      <c r="K4630">
        <v>20190208</v>
      </c>
      <c r="L4630" t="str">
        <f>"075569"</f>
        <v>075569</v>
      </c>
      <c r="M4630" t="str">
        <f>"00691"</f>
        <v>00691</v>
      </c>
      <c r="N4630" t="s">
        <v>3746</v>
      </c>
      <c r="O4630">
        <v>362.97</v>
      </c>
      <c r="P4630">
        <v>20190207</v>
      </c>
      <c r="Q4630" t="s">
        <v>2708</v>
      </c>
      <c r="R4630" t="s">
        <v>3747</v>
      </c>
      <c r="S4630" t="s">
        <v>1615</v>
      </c>
      <c r="T4630" t="s">
        <v>301</v>
      </c>
    </row>
    <row r="4631" spans="1:20" x14ac:dyDescent="0.25">
      <c r="A4631">
        <v>9</v>
      </c>
      <c r="B4631">
        <v>199</v>
      </c>
      <c r="C4631" t="str">
        <f>"36"</f>
        <v>36</v>
      </c>
      <c r="D4631">
        <v>6411</v>
      </c>
      <c r="E4631" t="str">
        <f>"NL"</f>
        <v>NL</v>
      </c>
      <c r="F4631" t="str">
        <f>"001"</f>
        <v>001</v>
      </c>
      <c r="G4631">
        <v>9</v>
      </c>
      <c r="H4631" t="str">
        <f>"22"</f>
        <v>22</v>
      </c>
      <c r="I4631" t="str">
        <f>"0"</f>
        <v>0</v>
      </c>
      <c r="J4631" t="str">
        <f>"22"</f>
        <v>22</v>
      </c>
      <c r="K4631">
        <v>20190208</v>
      </c>
      <c r="L4631" t="str">
        <f>"075569"</f>
        <v>075569</v>
      </c>
      <c r="M4631" t="str">
        <f>"00691"</f>
        <v>00691</v>
      </c>
      <c r="N4631" t="s">
        <v>3746</v>
      </c>
      <c r="O4631">
        <v>362.97</v>
      </c>
      <c r="P4631">
        <v>20190207</v>
      </c>
      <c r="Q4631" t="s">
        <v>2710</v>
      </c>
      <c r="R4631" t="s">
        <v>3747</v>
      </c>
      <c r="S4631" t="s">
        <v>1615</v>
      </c>
      <c r="T4631" t="s">
        <v>301</v>
      </c>
    </row>
    <row r="4632" spans="1:20" x14ac:dyDescent="0.25">
      <c r="A4632">
        <v>9</v>
      </c>
      <c r="B4632">
        <v>199</v>
      </c>
      <c r="C4632" t="str">
        <f>"11"</f>
        <v>11</v>
      </c>
      <c r="D4632">
        <v>6412</v>
      </c>
      <c r="E4632" t="str">
        <f>"NL"</f>
        <v>NL</v>
      </c>
      <c r="F4632" t="str">
        <f>"001"</f>
        <v>001</v>
      </c>
      <c r="G4632">
        <v>9</v>
      </c>
      <c r="H4632" t="str">
        <f>"22"</f>
        <v>22</v>
      </c>
      <c r="I4632" t="str">
        <f>"1"</f>
        <v>1</v>
      </c>
      <c r="J4632" t="str">
        <f>"22"</f>
        <v>22</v>
      </c>
      <c r="K4632">
        <v>20190319</v>
      </c>
      <c r="L4632" t="str">
        <f>"075569"</f>
        <v>075569</v>
      </c>
      <c r="M4632" t="str">
        <f>"00691"</f>
        <v>00691</v>
      </c>
      <c r="N4632" t="s">
        <v>3746</v>
      </c>
      <c r="O4632">
        <v>-362.97</v>
      </c>
      <c r="P4632">
        <v>20190319</v>
      </c>
      <c r="Q4632" t="s">
        <v>2708</v>
      </c>
      <c r="R4632" t="s">
        <v>3748</v>
      </c>
      <c r="S4632" t="s">
        <v>1615</v>
      </c>
      <c r="T4632" t="s">
        <v>301</v>
      </c>
    </row>
    <row r="4633" spans="1:20" x14ac:dyDescent="0.25">
      <c r="A4633">
        <v>9</v>
      </c>
      <c r="B4633">
        <v>199</v>
      </c>
      <c r="C4633" t="str">
        <f>"36"</f>
        <v>36</v>
      </c>
      <c r="D4633">
        <v>6411</v>
      </c>
      <c r="E4633" t="str">
        <f>"NL"</f>
        <v>NL</v>
      </c>
      <c r="F4633" t="str">
        <f>"001"</f>
        <v>001</v>
      </c>
      <c r="G4633">
        <v>9</v>
      </c>
      <c r="H4633" t="str">
        <f>"22"</f>
        <v>22</v>
      </c>
      <c r="I4633" t="str">
        <f t="shared" ref="I4633:I4664" si="976">"0"</f>
        <v>0</v>
      </c>
      <c r="J4633" t="str">
        <f>"22"</f>
        <v>22</v>
      </c>
      <c r="K4633">
        <v>20190319</v>
      </c>
      <c r="L4633" t="str">
        <f>"075569"</f>
        <v>075569</v>
      </c>
      <c r="M4633" t="str">
        <f>"00691"</f>
        <v>00691</v>
      </c>
      <c r="N4633" t="s">
        <v>3746</v>
      </c>
      <c r="O4633">
        <v>-362.97</v>
      </c>
      <c r="P4633">
        <v>20190319</v>
      </c>
      <c r="Q4633" t="s">
        <v>2710</v>
      </c>
      <c r="R4633" t="s">
        <v>3748</v>
      </c>
      <c r="S4633" t="s">
        <v>1615</v>
      </c>
      <c r="T4633" t="s">
        <v>301</v>
      </c>
    </row>
    <row r="4634" spans="1:20" x14ac:dyDescent="0.25">
      <c r="A4634">
        <v>9</v>
      </c>
      <c r="B4634">
        <v>199</v>
      </c>
      <c r="C4634" t="str">
        <f>"00"</f>
        <v>00</v>
      </c>
      <c r="D4634">
        <v>1312</v>
      </c>
      <c r="E4634" t="str">
        <f>"00"</f>
        <v>00</v>
      </c>
      <c r="F4634" t="str">
        <f>"000"</f>
        <v>000</v>
      </c>
      <c r="G4634">
        <v>9</v>
      </c>
      <c r="H4634" t="str">
        <f>"00"</f>
        <v>00</v>
      </c>
      <c r="I4634" t="str">
        <f t="shared" si="976"/>
        <v>0</v>
      </c>
      <c r="J4634" t="str">
        <f>"00"</f>
        <v>00</v>
      </c>
      <c r="K4634">
        <v>20190208</v>
      </c>
      <c r="L4634" t="str">
        <f>"075570"</f>
        <v>075570</v>
      </c>
      <c r="M4634" t="str">
        <f>"29610"</f>
        <v>29610</v>
      </c>
      <c r="N4634" t="s">
        <v>2067</v>
      </c>
      <c r="O4634">
        <v>246.49</v>
      </c>
      <c r="P4634">
        <v>20190207</v>
      </c>
      <c r="Q4634" t="s">
        <v>1860</v>
      </c>
      <c r="R4634" t="s">
        <v>3749</v>
      </c>
      <c r="S4634" t="s">
        <v>1615</v>
      </c>
      <c r="T4634" t="s">
        <v>296</v>
      </c>
    </row>
    <row r="4635" spans="1:20" x14ac:dyDescent="0.25">
      <c r="A4635">
        <v>9</v>
      </c>
      <c r="B4635">
        <v>199</v>
      </c>
      <c r="C4635" t="str">
        <f t="shared" ref="C4635:C4657" si="977">"51"</f>
        <v>51</v>
      </c>
      <c r="D4635">
        <v>6249</v>
      </c>
      <c r="E4635" t="str">
        <f t="shared" ref="E4635:E4657" si="978">"WF"</f>
        <v>WF</v>
      </c>
      <c r="F4635" t="str">
        <f t="shared" ref="F4635:F4657" si="979">"936"</f>
        <v>936</v>
      </c>
      <c r="G4635">
        <v>9</v>
      </c>
      <c r="H4635" t="str">
        <f t="shared" ref="H4635:H4661" si="980">"99"</f>
        <v>99</v>
      </c>
      <c r="I4635" t="str">
        <f t="shared" si="976"/>
        <v>0</v>
      </c>
      <c r="J4635" t="str">
        <f t="shared" ref="J4635:J4660" si="981">"82"</f>
        <v>82</v>
      </c>
      <c r="K4635">
        <v>20190208</v>
      </c>
      <c r="L4635" t="str">
        <f t="shared" ref="L4635:L4657" si="982">"075571"</f>
        <v>075571</v>
      </c>
      <c r="M4635" t="str">
        <f t="shared" ref="M4635:M4657" si="983">"06470"</f>
        <v>06470</v>
      </c>
      <c r="N4635" t="s">
        <v>3144</v>
      </c>
      <c r="O4635" s="1">
        <v>1698.62</v>
      </c>
      <c r="P4635">
        <v>20190207</v>
      </c>
      <c r="Q4635" t="s">
        <v>2127</v>
      </c>
      <c r="R4635" t="s">
        <v>3750</v>
      </c>
      <c r="S4635" t="s">
        <v>1615</v>
      </c>
      <c r="T4635" t="s">
        <v>1713</v>
      </c>
    </row>
    <row r="4636" spans="1:20" x14ac:dyDescent="0.25">
      <c r="A4636">
        <v>9</v>
      </c>
      <c r="B4636">
        <v>199</v>
      </c>
      <c r="C4636" t="str">
        <f t="shared" si="977"/>
        <v>51</v>
      </c>
      <c r="D4636">
        <v>6249</v>
      </c>
      <c r="E4636" t="str">
        <f t="shared" si="978"/>
        <v>WF</v>
      </c>
      <c r="F4636" t="str">
        <f t="shared" si="979"/>
        <v>936</v>
      </c>
      <c r="G4636">
        <v>9</v>
      </c>
      <c r="H4636" t="str">
        <f t="shared" si="980"/>
        <v>99</v>
      </c>
      <c r="I4636" t="str">
        <f t="shared" si="976"/>
        <v>0</v>
      </c>
      <c r="J4636" t="str">
        <f t="shared" si="981"/>
        <v>82</v>
      </c>
      <c r="K4636">
        <v>20190208</v>
      </c>
      <c r="L4636" t="str">
        <f t="shared" si="982"/>
        <v>075571</v>
      </c>
      <c r="M4636" t="str">
        <f t="shared" si="983"/>
        <v>06470</v>
      </c>
      <c r="N4636" t="s">
        <v>3144</v>
      </c>
      <c r="O4636">
        <v>197.67</v>
      </c>
      <c r="P4636">
        <v>20190207</v>
      </c>
      <c r="Q4636" t="s">
        <v>2127</v>
      </c>
      <c r="R4636" t="s">
        <v>3751</v>
      </c>
      <c r="S4636" t="s">
        <v>1615</v>
      </c>
      <c r="T4636" t="s">
        <v>1713</v>
      </c>
    </row>
    <row r="4637" spans="1:20" x14ac:dyDescent="0.25">
      <c r="A4637">
        <v>9</v>
      </c>
      <c r="B4637">
        <v>199</v>
      </c>
      <c r="C4637" t="str">
        <f t="shared" si="977"/>
        <v>51</v>
      </c>
      <c r="D4637">
        <v>6249</v>
      </c>
      <c r="E4637" t="str">
        <f t="shared" si="978"/>
        <v>WF</v>
      </c>
      <c r="F4637" t="str">
        <f t="shared" si="979"/>
        <v>936</v>
      </c>
      <c r="G4637">
        <v>9</v>
      </c>
      <c r="H4637" t="str">
        <f t="shared" si="980"/>
        <v>99</v>
      </c>
      <c r="I4637" t="str">
        <f t="shared" si="976"/>
        <v>0</v>
      </c>
      <c r="J4637" t="str">
        <f t="shared" si="981"/>
        <v>82</v>
      </c>
      <c r="K4637">
        <v>20190208</v>
      </c>
      <c r="L4637" t="str">
        <f t="shared" si="982"/>
        <v>075571</v>
      </c>
      <c r="M4637" t="str">
        <f t="shared" si="983"/>
        <v>06470</v>
      </c>
      <c r="N4637" t="s">
        <v>3144</v>
      </c>
      <c r="O4637">
        <v>56.48</v>
      </c>
      <c r="P4637">
        <v>20190207</v>
      </c>
      <c r="Q4637" t="s">
        <v>2127</v>
      </c>
      <c r="R4637" t="s">
        <v>3752</v>
      </c>
      <c r="S4637" t="s">
        <v>1615</v>
      </c>
      <c r="T4637" t="s">
        <v>1713</v>
      </c>
    </row>
    <row r="4638" spans="1:20" x14ac:dyDescent="0.25">
      <c r="A4638">
        <v>9</v>
      </c>
      <c r="B4638">
        <v>199</v>
      </c>
      <c r="C4638" t="str">
        <f t="shared" si="977"/>
        <v>51</v>
      </c>
      <c r="D4638">
        <v>6249</v>
      </c>
      <c r="E4638" t="str">
        <f t="shared" si="978"/>
        <v>WF</v>
      </c>
      <c r="F4638" t="str">
        <f t="shared" si="979"/>
        <v>936</v>
      </c>
      <c r="G4638">
        <v>9</v>
      </c>
      <c r="H4638" t="str">
        <f t="shared" si="980"/>
        <v>99</v>
      </c>
      <c r="I4638" t="str">
        <f t="shared" si="976"/>
        <v>0</v>
      </c>
      <c r="J4638" t="str">
        <f t="shared" si="981"/>
        <v>82</v>
      </c>
      <c r="K4638">
        <v>20190208</v>
      </c>
      <c r="L4638" t="str">
        <f t="shared" si="982"/>
        <v>075571</v>
      </c>
      <c r="M4638" t="str">
        <f t="shared" si="983"/>
        <v>06470</v>
      </c>
      <c r="N4638" t="s">
        <v>3144</v>
      </c>
      <c r="O4638">
        <v>40.909999999999997</v>
      </c>
      <c r="P4638">
        <v>20190207</v>
      </c>
      <c r="Q4638" t="s">
        <v>2127</v>
      </c>
      <c r="R4638" t="s">
        <v>3753</v>
      </c>
      <c r="S4638" t="s">
        <v>1615</v>
      </c>
      <c r="T4638" t="s">
        <v>1713</v>
      </c>
    </row>
    <row r="4639" spans="1:20" x14ac:dyDescent="0.25">
      <c r="A4639">
        <v>9</v>
      </c>
      <c r="B4639">
        <v>199</v>
      </c>
      <c r="C4639" t="str">
        <f t="shared" si="977"/>
        <v>51</v>
      </c>
      <c r="D4639">
        <v>6249</v>
      </c>
      <c r="E4639" t="str">
        <f t="shared" si="978"/>
        <v>WF</v>
      </c>
      <c r="F4639" t="str">
        <f t="shared" si="979"/>
        <v>936</v>
      </c>
      <c r="G4639">
        <v>9</v>
      </c>
      <c r="H4639" t="str">
        <f t="shared" si="980"/>
        <v>99</v>
      </c>
      <c r="I4639" t="str">
        <f t="shared" si="976"/>
        <v>0</v>
      </c>
      <c r="J4639" t="str">
        <f t="shared" si="981"/>
        <v>82</v>
      </c>
      <c r="K4639">
        <v>20190208</v>
      </c>
      <c r="L4639" t="str">
        <f t="shared" si="982"/>
        <v>075571</v>
      </c>
      <c r="M4639" t="str">
        <f t="shared" si="983"/>
        <v>06470</v>
      </c>
      <c r="N4639" t="s">
        <v>3144</v>
      </c>
      <c r="O4639">
        <v>56.48</v>
      </c>
      <c r="P4639">
        <v>20190207</v>
      </c>
      <c r="Q4639" t="s">
        <v>2127</v>
      </c>
      <c r="R4639" t="s">
        <v>3754</v>
      </c>
      <c r="S4639" t="s">
        <v>1615</v>
      </c>
      <c r="T4639" t="s">
        <v>1713</v>
      </c>
    </row>
    <row r="4640" spans="1:20" x14ac:dyDescent="0.25">
      <c r="A4640">
        <v>9</v>
      </c>
      <c r="B4640">
        <v>199</v>
      </c>
      <c r="C4640" t="str">
        <f t="shared" si="977"/>
        <v>51</v>
      </c>
      <c r="D4640">
        <v>6249</v>
      </c>
      <c r="E4640" t="str">
        <f t="shared" si="978"/>
        <v>WF</v>
      </c>
      <c r="F4640" t="str">
        <f t="shared" si="979"/>
        <v>936</v>
      </c>
      <c r="G4640">
        <v>9</v>
      </c>
      <c r="H4640" t="str">
        <f t="shared" si="980"/>
        <v>99</v>
      </c>
      <c r="I4640" t="str">
        <f t="shared" si="976"/>
        <v>0</v>
      </c>
      <c r="J4640" t="str">
        <f t="shared" si="981"/>
        <v>82</v>
      </c>
      <c r="K4640">
        <v>20190208</v>
      </c>
      <c r="L4640" t="str">
        <f t="shared" si="982"/>
        <v>075571</v>
      </c>
      <c r="M4640" t="str">
        <f t="shared" si="983"/>
        <v>06470</v>
      </c>
      <c r="N4640" t="s">
        <v>3144</v>
      </c>
      <c r="O4640">
        <v>49.15</v>
      </c>
      <c r="P4640">
        <v>20190207</v>
      </c>
      <c r="Q4640" t="s">
        <v>2127</v>
      </c>
      <c r="R4640" t="s">
        <v>3755</v>
      </c>
      <c r="S4640" t="s">
        <v>1615</v>
      </c>
      <c r="T4640" t="s">
        <v>1713</v>
      </c>
    </row>
    <row r="4641" spans="1:20" x14ac:dyDescent="0.25">
      <c r="A4641">
        <v>9</v>
      </c>
      <c r="B4641">
        <v>199</v>
      </c>
      <c r="C4641" t="str">
        <f t="shared" si="977"/>
        <v>51</v>
      </c>
      <c r="D4641">
        <v>6249</v>
      </c>
      <c r="E4641" t="str">
        <f t="shared" si="978"/>
        <v>WF</v>
      </c>
      <c r="F4641" t="str">
        <f t="shared" si="979"/>
        <v>936</v>
      </c>
      <c r="G4641">
        <v>9</v>
      </c>
      <c r="H4641" t="str">
        <f t="shared" si="980"/>
        <v>99</v>
      </c>
      <c r="I4641" t="str">
        <f t="shared" si="976"/>
        <v>0</v>
      </c>
      <c r="J4641" t="str">
        <f t="shared" si="981"/>
        <v>82</v>
      </c>
      <c r="K4641">
        <v>20190208</v>
      </c>
      <c r="L4641" t="str">
        <f t="shared" si="982"/>
        <v>075571</v>
      </c>
      <c r="M4641" t="str">
        <f t="shared" si="983"/>
        <v>06470</v>
      </c>
      <c r="N4641" t="s">
        <v>3144</v>
      </c>
      <c r="O4641">
        <v>56.48</v>
      </c>
      <c r="P4641">
        <v>20190207</v>
      </c>
      <c r="Q4641" t="s">
        <v>2127</v>
      </c>
      <c r="R4641" t="s">
        <v>3756</v>
      </c>
      <c r="S4641" t="s">
        <v>1615</v>
      </c>
      <c r="T4641" t="s">
        <v>1713</v>
      </c>
    </row>
    <row r="4642" spans="1:20" x14ac:dyDescent="0.25">
      <c r="A4642">
        <v>9</v>
      </c>
      <c r="B4642">
        <v>199</v>
      </c>
      <c r="C4642" t="str">
        <f t="shared" si="977"/>
        <v>51</v>
      </c>
      <c r="D4642">
        <v>6249</v>
      </c>
      <c r="E4642" t="str">
        <f t="shared" si="978"/>
        <v>WF</v>
      </c>
      <c r="F4642" t="str">
        <f t="shared" si="979"/>
        <v>936</v>
      </c>
      <c r="G4642">
        <v>9</v>
      </c>
      <c r="H4642" t="str">
        <f t="shared" si="980"/>
        <v>99</v>
      </c>
      <c r="I4642" t="str">
        <f t="shared" si="976"/>
        <v>0</v>
      </c>
      <c r="J4642" t="str">
        <f t="shared" si="981"/>
        <v>82</v>
      </c>
      <c r="K4642">
        <v>20190208</v>
      </c>
      <c r="L4642" t="str">
        <f t="shared" si="982"/>
        <v>075571</v>
      </c>
      <c r="M4642" t="str">
        <f t="shared" si="983"/>
        <v>06470</v>
      </c>
      <c r="N4642" t="s">
        <v>3144</v>
      </c>
      <c r="O4642">
        <v>434.57</v>
      </c>
      <c r="P4642">
        <v>20190207</v>
      </c>
      <c r="Q4642" t="s">
        <v>2127</v>
      </c>
      <c r="R4642" t="s">
        <v>3757</v>
      </c>
      <c r="S4642" t="s">
        <v>1615</v>
      </c>
      <c r="T4642" t="s">
        <v>1713</v>
      </c>
    </row>
    <row r="4643" spans="1:20" x14ac:dyDescent="0.25">
      <c r="A4643">
        <v>9</v>
      </c>
      <c r="B4643">
        <v>199</v>
      </c>
      <c r="C4643" t="str">
        <f t="shared" si="977"/>
        <v>51</v>
      </c>
      <c r="D4643">
        <v>6249</v>
      </c>
      <c r="E4643" t="str">
        <f t="shared" si="978"/>
        <v>WF</v>
      </c>
      <c r="F4643" t="str">
        <f t="shared" si="979"/>
        <v>936</v>
      </c>
      <c r="G4643">
        <v>9</v>
      </c>
      <c r="H4643" t="str">
        <f t="shared" si="980"/>
        <v>99</v>
      </c>
      <c r="I4643" t="str">
        <f t="shared" si="976"/>
        <v>0</v>
      </c>
      <c r="J4643" t="str">
        <f t="shared" si="981"/>
        <v>82</v>
      </c>
      <c r="K4643">
        <v>20190208</v>
      </c>
      <c r="L4643" t="str">
        <f t="shared" si="982"/>
        <v>075571</v>
      </c>
      <c r="M4643" t="str">
        <f t="shared" si="983"/>
        <v>06470</v>
      </c>
      <c r="N4643" t="s">
        <v>3144</v>
      </c>
      <c r="O4643">
        <v>47.66</v>
      </c>
      <c r="P4643">
        <v>20190207</v>
      </c>
      <c r="Q4643" t="s">
        <v>2127</v>
      </c>
      <c r="R4643" t="s">
        <v>3758</v>
      </c>
      <c r="S4643" t="s">
        <v>1615</v>
      </c>
      <c r="T4643" t="s">
        <v>1713</v>
      </c>
    </row>
    <row r="4644" spans="1:20" x14ac:dyDescent="0.25">
      <c r="A4644">
        <v>9</v>
      </c>
      <c r="B4644">
        <v>199</v>
      </c>
      <c r="C4644" t="str">
        <f t="shared" si="977"/>
        <v>51</v>
      </c>
      <c r="D4644">
        <v>6249</v>
      </c>
      <c r="E4644" t="str">
        <f t="shared" si="978"/>
        <v>WF</v>
      </c>
      <c r="F4644" t="str">
        <f t="shared" si="979"/>
        <v>936</v>
      </c>
      <c r="G4644">
        <v>9</v>
      </c>
      <c r="H4644" t="str">
        <f t="shared" si="980"/>
        <v>99</v>
      </c>
      <c r="I4644" t="str">
        <f t="shared" si="976"/>
        <v>0</v>
      </c>
      <c r="J4644" t="str">
        <f t="shared" si="981"/>
        <v>82</v>
      </c>
      <c r="K4644">
        <v>20190208</v>
      </c>
      <c r="L4644" t="str">
        <f t="shared" si="982"/>
        <v>075571</v>
      </c>
      <c r="M4644" t="str">
        <f t="shared" si="983"/>
        <v>06470</v>
      </c>
      <c r="N4644" t="s">
        <v>3144</v>
      </c>
      <c r="O4644">
        <v>56.48</v>
      </c>
      <c r="P4644">
        <v>20190207</v>
      </c>
      <c r="Q4644" t="s">
        <v>2127</v>
      </c>
      <c r="R4644" t="s">
        <v>3759</v>
      </c>
      <c r="S4644" t="s">
        <v>1615</v>
      </c>
      <c r="T4644" t="s">
        <v>1713</v>
      </c>
    </row>
    <row r="4645" spans="1:20" x14ac:dyDescent="0.25">
      <c r="A4645">
        <v>9</v>
      </c>
      <c r="B4645">
        <v>199</v>
      </c>
      <c r="C4645" t="str">
        <f t="shared" si="977"/>
        <v>51</v>
      </c>
      <c r="D4645">
        <v>6249</v>
      </c>
      <c r="E4645" t="str">
        <f t="shared" si="978"/>
        <v>WF</v>
      </c>
      <c r="F4645" t="str">
        <f t="shared" si="979"/>
        <v>936</v>
      </c>
      <c r="G4645">
        <v>9</v>
      </c>
      <c r="H4645" t="str">
        <f t="shared" si="980"/>
        <v>99</v>
      </c>
      <c r="I4645" t="str">
        <f t="shared" si="976"/>
        <v>0</v>
      </c>
      <c r="J4645" t="str">
        <f t="shared" si="981"/>
        <v>82</v>
      </c>
      <c r="K4645">
        <v>20190208</v>
      </c>
      <c r="L4645" t="str">
        <f t="shared" si="982"/>
        <v>075571</v>
      </c>
      <c r="M4645" t="str">
        <f t="shared" si="983"/>
        <v>06470</v>
      </c>
      <c r="N4645" t="s">
        <v>3144</v>
      </c>
      <c r="O4645">
        <v>78.27</v>
      </c>
      <c r="P4645">
        <v>20190207</v>
      </c>
      <c r="Q4645" t="s">
        <v>2127</v>
      </c>
      <c r="R4645" t="s">
        <v>3760</v>
      </c>
      <c r="S4645" t="s">
        <v>1615</v>
      </c>
      <c r="T4645" t="s">
        <v>1713</v>
      </c>
    </row>
    <row r="4646" spans="1:20" x14ac:dyDescent="0.25">
      <c r="A4646">
        <v>9</v>
      </c>
      <c r="B4646">
        <v>199</v>
      </c>
      <c r="C4646" t="str">
        <f t="shared" si="977"/>
        <v>51</v>
      </c>
      <c r="D4646">
        <v>6249</v>
      </c>
      <c r="E4646" t="str">
        <f t="shared" si="978"/>
        <v>WF</v>
      </c>
      <c r="F4646" t="str">
        <f t="shared" si="979"/>
        <v>936</v>
      </c>
      <c r="G4646">
        <v>9</v>
      </c>
      <c r="H4646" t="str">
        <f t="shared" si="980"/>
        <v>99</v>
      </c>
      <c r="I4646" t="str">
        <f t="shared" si="976"/>
        <v>0</v>
      </c>
      <c r="J4646" t="str">
        <f t="shared" si="981"/>
        <v>82</v>
      </c>
      <c r="K4646">
        <v>20190208</v>
      </c>
      <c r="L4646" t="str">
        <f t="shared" si="982"/>
        <v>075571</v>
      </c>
      <c r="M4646" t="str">
        <f t="shared" si="983"/>
        <v>06470</v>
      </c>
      <c r="N4646" t="s">
        <v>3144</v>
      </c>
      <c r="O4646">
        <v>52.1</v>
      </c>
      <c r="P4646">
        <v>20190207</v>
      </c>
      <c r="Q4646" t="s">
        <v>2127</v>
      </c>
      <c r="R4646" t="s">
        <v>3761</v>
      </c>
      <c r="S4646" t="s">
        <v>1615</v>
      </c>
      <c r="T4646" t="s">
        <v>1713</v>
      </c>
    </row>
    <row r="4647" spans="1:20" x14ac:dyDescent="0.25">
      <c r="A4647">
        <v>9</v>
      </c>
      <c r="B4647">
        <v>199</v>
      </c>
      <c r="C4647" t="str">
        <f t="shared" si="977"/>
        <v>51</v>
      </c>
      <c r="D4647">
        <v>6249</v>
      </c>
      <c r="E4647" t="str">
        <f t="shared" si="978"/>
        <v>WF</v>
      </c>
      <c r="F4647" t="str">
        <f t="shared" si="979"/>
        <v>936</v>
      </c>
      <c r="G4647">
        <v>9</v>
      </c>
      <c r="H4647" t="str">
        <f t="shared" si="980"/>
        <v>99</v>
      </c>
      <c r="I4647" t="str">
        <f t="shared" si="976"/>
        <v>0</v>
      </c>
      <c r="J4647" t="str">
        <f t="shared" si="981"/>
        <v>82</v>
      </c>
      <c r="K4647">
        <v>20190208</v>
      </c>
      <c r="L4647" t="str">
        <f t="shared" si="982"/>
        <v>075571</v>
      </c>
      <c r="M4647" t="str">
        <f t="shared" si="983"/>
        <v>06470</v>
      </c>
      <c r="N4647" t="s">
        <v>3144</v>
      </c>
      <c r="O4647">
        <v>103.47</v>
      </c>
      <c r="P4647">
        <v>20190207</v>
      </c>
      <c r="Q4647" t="s">
        <v>2127</v>
      </c>
      <c r="R4647" t="s">
        <v>3762</v>
      </c>
      <c r="S4647" t="s">
        <v>1615</v>
      </c>
      <c r="T4647" t="s">
        <v>1713</v>
      </c>
    </row>
    <row r="4648" spans="1:20" x14ac:dyDescent="0.25">
      <c r="A4648">
        <v>9</v>
      </c>
      <c r="B4648">
        <v>199</v>
      </c>
      <c r="C4648" t="str">
        <f t="shared" si="977"/>
        <v>51</v>
      </c>
      <c r="D4648">
        <v>6249</v>
      </c>
      <c r="E4648" t="str">
        <f t="shared" si="978"/>
        <v>WF</v>
      </c>
      <c r="F4648" t="str">
        <f t="shared" si="979"/>
        <v>936</v>
      </c>
      <c r="G4648">
        <v>9</v>
      </c>
      <c r="H4648" t="str">
        <f t="shared" si="980"/>
        <v>99</v>
      </c>
      <c r="I4648" t="str">
        <f t="shared" si="976"/>
        <v>0</v>
      </c>
      <c r="J4648" t="str">
        <f t="shared" si="981"/>
        <v>82</v>
      </c>
      <c r="K4648">
        <v>20190208</v>
      </c>
      <c r="L4648" t="str">
        <f t="shared" si="982"/>
        <v>075571</v>
      </c>
      <c r="M4648" t="str">
        <f t="shared" si="983"/>
        <v>06470</v>
      </c>
      <c r="N4648" t="s">
        <v>3144</v>
      </c>
      <c r="O4648">
        <v>57.68</v>
      </c>
      <c r="P4648">
        <v>20190207</v>
      </c>
      <c r="Q4648" t="s">
        <v>2127</v>
      </c>
      <c r="R4648" t="s">
        <v>3763</v>
      </c>
      <c r="S4648" t="s">
        <v>1615</v>
      </c>
      <c r="T4648" t="s">
        <v>1713</v>
      </c>
    </row>
    <row r="4649" spans="1:20" x14ac:dyDescent="0.25">
      <c r="A4649">
        <v>9</v>
      </c>
      <c r="B4649">
        <v>199</v>
      </c>
      <c r="C4649" t="str">
        <f t="shared" si="977"/>
        <v>51</v>
      </c>
      <c r="D4649">
        <v>6249</v>
      </c>
      <c r="E4649" t="str">
        <f t="shared" si="978"/>
        <v>WF</v>
      </c>
      <c r="F4649" t="str">
        <f t="shared" si="979"/>
        <v>936</v>
      </c>
      <c r="G4649">
        <v>9</v>
      </c>
      <c r="H4649" t="str">
        <f t="shared" si="980"/>
        <v>99</v>
      </c>
      <c r="I4649" t="str">
        <f t="shared" si="976"/>
        <v>0</v>
      </c>
      <c r="J4649" t="str">
        <f t="shared" si="981"/>
        <v>82</v>
      </c>
      <c r="K4649">
        <v>20190208</v>
      </c>
      <c r="L4649" t="str">
        <f t="shared" si="982"/>
        <v>075571</v>
      </c>
      <c r="M4649" t="str">
        <f t="shared" si="983"/>
        <v>06470</v>
      </c>
      <c r="N4649" t="s">
        <v>3144</v>
      </c>
      <c r="O4649">
        <v>103.47</v>
      </c>
      <c r="P4649">
        <v>20190207</v>
      </c>
      <c r="Q4649" t="s">
        <v>2127</v>
      </c>
      <c r="R4649" t="s">
        <v>3764</v>
      </c>
      <c r="S4649" t="s">
        <v>1615</v>
      </c>
      <c r="T4649" t="s">
        <v>1713</v>
      </c>
    </row>
    <row r="4650" spans="1:20" x14ac:dyDescent="0.25">
      <c r="A4650">
        <v>9</v>
      </c>
      <c r="B4650">
        <v>199</v>
      </c>
      <c r="C4650" t="str">
        <f t="shared" si="977"/>
        <v>51</v>
      </c>
      <c r="D4650">
        <v>6249</v>
      </c>
      <c r="E4650" t="str">
        <f t="shared" si="978"/>
        <v>WF</v>
      </c>
      <c r="F4650" t="str">
        <f t="shared" si="979"/>
        <v>936</v>
      </c>
      <c r="G4650">
        <v>9</v>
      </c>
      <c r="H4650" t="str">
        <f t="shared" si="980"/>
        <v>99</v>
      </c>
      <c r="I4650" t="str">
        <f t="shared" si="976"/>
        <v>0</v>
      </c>
      <c r="J4650" t="str">
        <f t="shared" si="981"/>
        <v>82</v>
      </c>
      <c r="K4650">
        <v>20190208</v>
      </c>
      <c r="L4650" t="str">
        <f t="shared" si="982"/>
        <v>075571</v>
      </c>
      <c r="M4650" t="str">
        <f t="shared" si="983"/>
        <v>06470</v>
      </c>
      <c r="N4650" t="s">
        <v>3144</v>
      </c>
      <c r="O4650">
        <v>58.63</v>
      </c>
      <c r="P4650">
        <v>20190207</v>
      </c>
      <c r="Q4650" t="s">
        <v>2127</v>
      </c>
      <c r="R4650" t="s">
        <v>3765</v>
      </c>
      <c r="S4650" t="s">
        <v>1615</v>
      </c>
      <c r="T4650" t="s">
        <v>1713</v>
      </c>
    </row>
    <row r="4651" spans="1:20" x14ac:dyDescent="0.25">
      <c r="A4651">
        <v>9</v>
      </c>
      <c r="B4651">
        <v>199</v>
      </c>
      <c r="C4651" t="str">
        <f t="shared" si="977"/>
        <v>51</v>
      </c>
      <c r="D4651">
        <v>6249</v>
      </c>
      <c r="E4651" t="str">
        <f t="shared" si="978"/>
        <v>WF</v>
      </c>
      <c r="F4651" t="str">
        <f t="shared" si="979"/>
        <v>936</v>
      </c>
      <c r="G4651">
        <v>9</v>
      </c>
      <c r="H4651" t="str">
        <f t="shared" si="980"/>
        <v>99</v>
      </c>
      <c r="I4651" t="str">
        <f t="shared" si="976"/>
        <v>0</v>
      </c>
      <c r="J4651" t="str">
        <f t="shared" si="981"/>
        <v>82</v>
      </c>
      <c r="K4651">
        <v>20190208</v>
      </c>
      <c r="L4651" t="str">
        <f t="shared" si="982"/>
        <v>075571</v>
      </c>
      <c r="M4651" t="str">
        <f t="shared" si="983"/>
        <v>06470</v>
      </c>
      <c r="N4651" t="s">
        <v>3144</v>
      </c>
      <c r="O4651">
        <v>78.27</v>
      </c>
      <c r="P4651">
        <v>20190207</v>
      </c>
      <c r="Q4651" t="s">
        <v>2127</v>
      </c>
      <c r="R4651" t="s">
        <v>3766</v>
      </c>
      <c r="S4651" t="s">
        <v>1615</v>
      </c>
      <c r="T4651" t="s">
        <v>1713</v>
      </c>
    </row>
    <row r="4652" spans="1:20" x14ac:dyDescent="0.25">
      <c r="A4652">
        <v>9</v>
      </c>
      <c r="B4652">
        <v>199</v>
      </c>
      <c r="C4652" t="str">
        <f t="shared" si="977"/>
        <v>51</v>
      </c>
      <c r="D4652">
        <v>6249</v>
      </c>
      <c r="E4652" t="str">
        <f t="shared" si="978"/>
        <v>WF</v>
      </c>
      <c r="F4652" t="str">
        <f t="shared" si="979"/>
        <v>936</v>
      </c>
      <c r="G4652">
        <v>9</v>
      </c>
      <c r="H4652" t="str">
        <f t="shared" si="980"/>
        <v>99</v>
      </c>
      <c r="I4652" t="str">
        <f t="shared" si="976"/>
        <v>0</v>
      </c>
      <c r="J4652" t="str">
        <f t="shared" si="981"/>
        <v>82</v>
      </c>
      <c r="K4652">
        <v>20190208</v>
      </c>
      <c r="L4652" t="str">
        <f t="shared" si="982"/>
        <v>075571</v>
      </c>
      <c r="M4652" t="str">
        <f t="shared" si="983"/>
        <v>06470</v>
      </c>
      <c r="N4652" t="s">
        <v>3144</v>
      </c>
      <c r="O4652">
        <v>401.1</v>
      </c>
      <c r="P4652">
        <v>20190207</v>
      </c>
      <c r="Q4652" t="s">
        <v>2127</v>
      </c>
      <c r="R4652" t="s">
        <v>3767</v>
      </c>
      <c r="S4652" t="s">
        <v>1615</v>
      </c>
      <c r="T4652" t="s">
        <v>1713</v>
      </c>
    </row>
    <row r="4653" spans="1:20" x14ac:dyDescent="0.25">
      <c r="A4653">
        <v>9</v>
      </c>
      <c r="B4653">
        <v>199</v>
      </c>
      <c r="C4653" t="str">
        <f t="shared" si="977"/>
        <v>51</v>
      </c>
      <c r="D4653">
        <v>6249</v>
      </c>
      <c r="E4653" t="str">
        <f t="shared" si="978"/>
        <v>WF</v>
      </c>
      <c r="F4653" t="str">
        <f t="shared" si="979"/>
        <v>936</v>
      </c>
      <c r="G4653">
        <v>9</v>
      </c>
      <c r="H4653" t="str">
        <f t="shared" si="980"/>
        <v>99</v>
      </c>
      <c r="I4653" t="str">
        <f t="shared" si="976"/>
        <v>0</v>
      </c>
      <c r="J4653" t="str">
        <f t="shared" si="981"/>
        <v>82</v>
      </c>
      <c r="K4653">
        <v>20190208</v>
      </c>
      <c r="L4653" t="str">
        <f t="shared" si="982"/>
        <v>075571</v>
      </c>
      <c r="M4653" t="str">
        <f t="shared" si="983"/>
        <v>06470</v>
      </c>
      <c r="N4653" t="s">
        <v>3144</v>
      </c>
      <c r="O4653">
        <v>830.62</v>
      </c>
      <c r="P4653">
        <v>20190207</v>
      </c>
      <c r="Q4653" t="s">
        <v>2127</v>
      </c>
      <c r="R4653" t="s">
        <v>3768</v>
      </c>
      <c r="S4653" t="s">
        <v>1615</v>
      </c>
      <c r="T4653" t="s">
        <v>1713</v>
      </c>
    </row>
    <row r="4654" spans="1:20" x14ac:dyDescent="0.25">
      <c r="A4654">
        <v>9</v>
      </c>
      <c r="B4654">
        <v>199</v>
      </c>
      <c r="C4654" t="str">
        <f t="shared" si="977"/>
        <v>51</v>
      </c>
      <c r="D4654">
        <v>6249</v>
      </c>
      <c r="E4654" t="str">
        <f t="shared" si="978"/>
        <v>WF</v>
      </c>
      <c r="F4654" t="str">
        <f t="shared" si="979"/>
        <v>936</v>
      </c>
      <c r="G4654">
        <v>9</v>
      </c>
      <c r="H4654" t="str">
        <f t="shared" si="980"/>
        <v>99</v>
      </c>
      <c r="I4654" t="str">
        <f t="shared" si="976"/>
        <v>0</v>
      </c>
      <c r="J4654" t="str">
        <f t="shared" si="981"/>
        <v>82</v>
      </c>
      <c r="K4654">
        <v>20190208</v>
      </c>
      <c r="L4654" t="str">
        <f t="shared" si="982"/>
        <v>075571</v>
      </c>
      <c r="M4654" t="str">
        <f t="shared" si="983"/>
        <v>06470</v>
      </c>
      <c r="N4654" t="s">
        <v>3144</v>
      </c>
      <c r="O4654">
        <v>52.1</v>
      </c>
      <c r="P4654">
        <v>20190207</v>
      </c>
      <c r="Q4654" t="s">
        <v>2127</v>
      </c>
      <c r="R4654" t="s">
        <v>3769</v>
      </c>
      <c r="S4654" t="s">
        <v>1615</v>
      </c>
      <c r="T4654" t="s">
        <v>1713</v>
      </c>
    </row>
    <row r="4655" spans="1:20" x14ac:dyDescent="0.25">
      <c r="A4655">
        <v>9</v>
      </c>
      <c r="B4655">
        <v>199</v>
      </c>
      <c r="C4655" t="str">
        <f t="shared" si="977"/>
        <v>51</v>
      </c>
      <c r="D4655">
        <v>6249</v>
      </c>
      <c r="E4655" t="str">
        <f t="shared" si="978"/>
        <v>WF</v>
      </c>
      <c r="F4655" t="str">
        <f t="shared" si="979"/>
        <v>936</v>
      </c>
      <c r="G4655">
        <v>9</v>
      </c>
      <c r="H4655" t="str">
        <f t="shared" si="980"/>
        <v>99</v>
      </c>
      <c r="I4655" t="str">
        <f t="shared" si="976"/>
        <v>0</v>
      </c>
      <c r="J4655" t="str">
        <f t="shared" si="981"/>
        <v>82</v>
      </c>
      <c r="K4655">
        <v>20190208</v>
      </c>
      <c r="L4655" t="str">
        <f t="shared" si="982"/>
        <v>075571</v>
      </c>
      <c r="M4655" t="str">
        <f t="shared" si="983"/>
        <v>06470</v>
      </c>
      <c r="N4655" t="s">
        <v>3144</v>
      </c>
      <c r="O4655">
        <v>78.27</v>
      </c>
      <c r="P4655">
        <v>20190207</v>
      </c>
      <c r="Q4655" t="s">
        <v>2127</v>
      </c>
      <c r="R4655" t="s">
        <v>3770</v>
      </c>
      <c r="S4655" t="s">
        <v>1615</v>
      </c>
      <c r="T4655" t="s">
        <v>1713</v>
      </c>
    </row>
    <row r="4656" spans="1:20" x14ac:dyDescent="0.25">
      <c r="A4656">
        <v>9</v>
      </c>
      <c r="B4656">
        <v>199</v>
      </c>
      <c r="C4656" t="str">
        <f t="shared" si="977"/>
        <v>51</v>
      </c>
      <c r="D4656">
        <v>6249</v>
      </c>
      <c r="E4656" t="str">
        <f t="shared" si="978"/>
        <v>WF</v>
      </c>
      <c r="F4656" t="str">
        <f t="shared" si="979"/>
        <v>936</v>
      </c>
      <c r="G4656">
        <v>9</v>
      </c>
      <c r="H4656" t="str">
        <f t="shared" si="980"/>
        <v>99</v>
      </c>
      <c r="I4656" t="str">
        <f t="shared" si="976"/>
        <v>0</v>
      </c>
      <c r="J4656" t="str">
        <f t="shared" si="981"/>
        <v>82</v>
      </c>
      <c r="K4656">
        <v>20190208</v>
      </c>
      <c r="L4656" t="str">
        <f t="shared" si="982"/>
        <v>075571</v>
      </c>
      <c r="M4656" t="str">
        <f t="shared" si="983"/>
        <v>06470</v>
      </c>
      <c r="N4656" t="s">
        <v>3144</v>
      </c>
      <c r="O4656">
        <v>789.67</v>
      </c>
      <c r="P4656">
        <v>20190207</v>
      </c>
      <c r="Q4656" t="s">
        <v>2127</v>
      </c>
      <c r="R4656" t="s">
        <v>3771</v>
      </c>
      <c r="S4656" t="s">
        <v>1615</v>
      </c>
      <c r="T4656" t="s">
        <v>1713</v>
      </c>
    </row>
    <row r="4657" spans="1:20" x14ac:dyDescent="0.25">
      <c r="A4657">
        <v>9</v>
      </c>
      <c r="B4657">
        <v>199</v>
      </c>
      <c r="C4657" t="str">
        <f t="shared" si="977"/>
        <v>51</v>
      </c>
      <c r="D4657">
        <v>6249</v>
      </c>
      <c r="E4657" t="str">
        <f t="shared" si="978"/>
        <v>WF</v>
      </c>
      <c r="F4657" t="str">
        <f t="shared" si="979"/>
        <v>936</v>
      </c>
      <c r="G4657">
        <v>9</v>
      </c>
      <c r="H4657" t="str">
        <f t="shared" si="980"/>
        <v>99</v>
      </c>
      <c r="I4657" t="str">
        <f t="shared" si="976"/>
        <v>0</v>
      </c>
      <c r="J4657" t="str">
        <f t="shared" si="981"/>
        <v>82</v>
      </c>
      <c r="K4657">
        <v>20190208</v>
      </c>
      <c r="L4657" t="str">
        <f t="shared" si="982"/>
        <v>075571</v>
      </c>
      <c r="M4657" t="str">
        <f t="shared" si="983"/>
        <v>06470</v>
      </c>
      <c r="N4657" t="s">
        <v>3144</v>
      </c>
      <c r="O4657">
        <v>135.4</v>
      </c>
      <c r="P4657">
        <v>20190207</v>
      </c>
      <c r="Q4657" t="s">
        <v>2127</v>
      </c>
      <c r="R4657" t="s">
        <v>3772</v>
      </c>
      <c r="S4657" t="s">
        <v>1615</v>
      </c>
      <c r="T4657" t="s">
        <v>1713</v>
      </c>
    </row>
    <row r="4658" spans="1:20" x14ac:dyDescent="0.25">
      <c r="A4658">
        <v>9</v>
      </c>
      <c r="B4658">
        <v>199</v>
      </c>
      <c r="C4658" t="str">
        <f>"34"</f>
        <v>34</v>
      </c>
      <c r="D4658">
        <v>6249</v>
      </c>
      <c r="E4658" t="str">
        <f>"10"</f>
        <v>10</v>
      </c>
      <c r="F4658" t="str">
        <f>"937"</f>
        <v>937</v>
      </c>
      <c r="G4658">
        <v>9</v>
      </c>
      <c r="H4658" t="str">
        <f t="shared" si="980"/>
        <v>99</v>
      </c>
      <c r="I4658" t="str">
        <f t="shared" si="976"/>
        <v>0</v>
      </c>
      <c r="J4658" t="str">
        <f t="shared" si="981"/>
        <v>82</v>
      </c>
      <c r="K4658">
        <v>20190208</v>
      </c>
      <c r="L4658" t="str">
        <f>"075572"</f>
        <v>075572</v>
      </c>
      <c r="M4658" t="str">
        <f>"30130"</f>
        <v>30130</v>
      </c>
      <c r="N4658" t="s">
        <v>3025</v>
      </c>
      <c r="O4658">
        <v>311.48</v>
      </c>
      <c r="P4658">
        <v>20190207</v>
      </c>
      <c r="Q4658" t="s">
        <v>2036</v>
      </c>
      <c r="R4658" t="s">
        <v>3773</v>
      </c>
      <c r="S4658" t="s">
        <v>1615</v>
      </c>
      <c r="T4658" t="s">
        <v>1810</v>
      </c>
    </row>
    <row r="4659" spans="1:20" x14ac:dyDescent="0.25">
      <c r="A4659">
        <v>9</v>
      </c>
      <c r="B4659">
        <v>199</v>
      </c>
      <c r="C4659" t="str">
        <f>"34"</f>
        <v>34</v>
      </c>
      <c r="D4659">
        <v>6249</v>
      </c>
      <c r="E4659" t="str">
        <f>"10"</f>
        <v>10</v>
      </c>
      <c r="F4659" t="str">
        <f>"937"</f>
        <v>937</v>
      </c>
      <c r="G4659">
        <v>9</v>
      </c>
      <c r="H4659" t="str">
        <f t="shared" si="980"/>
        <v>99</v>
      </c>
      <c r="I4659" t="str">
        <f t="shared" si="976"/>
        <v>0</v>
      </c>
      <c r="J4659" t="str">
        <f t="shared" si="981"/>
        <v>82</v>
      </c>
      <c r="K4659">
        <v>20190208</v>
      </c>
      <c r="L4659" t="str">
        <f>"075572"</f>
        <v>075572</v>
      </c>
      <c r="M4659" t="str">
        <f>"30130"</f>
        <v>30130</v>
      </c>
      <c r="N4659" t="s">
        <v>3025</v>
      </c>
      <c r="O4659">
        <v>458.15</v>
      </c>
      <c r="P4659">
        <v>20190207</v>
      </c>
      <c r="Q4659" t="s">
        <v>2036</v>
      </c>
      <c r="R4659" t="s">
        <v>3774</v>
      </c>
      <c r="S4659" t="s">
        <v>1615</v>
      </c>
      <c r="T4659" t="s">
        <v>1810</v>
      </c>
    </row>
    <row r="4660" spans="1:20" x14ac:dyDescent="0.25">
      <c r="A4660">
        <v>9</v>
      </c>
      <c r="B4660">
        <v>199</v>
      </c>
      <c r="C4660" t="str">
        <f>"34"</f>
        <v>34</v>
      </c>
      <c r="D4660">
        <v>6249</v>
      </c>
      <c r="E4660" t="str">
        <f>"10"</f>
        <v>10</v>
      </c>
      <c r="F4660" t="str">
        <f>"937"</f>
        <v>937</v>
      </c>
      <c r="G4660">
        <v>9</v>
      </c>
      <c r="H4660" t="str">
        <f t="shared" si="980"/>
        <v>99</v>
      </c>
      <c r="I4660" t="str">
        <f t="shared" si="976"/>
        <v>0</v>
      </c>
      <c r="J4660" t="str">
        <f t="shared" si="981"/>
        <v>82</v>
      </c>
      <c r="K4660">
        <v>20190208</v>
      </c>
      <c r="L4660" t="str">
        <f>"075572"</f>
        <v>075572</v>
      </c>
      <c r="M4660" t="str">
        <f>"30130"</f>
        <v>30130</v>
      </c>
      <c r="N4660" t="s">
        <v>3025</v>
      </c>
      <c r="O4660">
        <v>218.6</v>
      </c>
      <c r="P4660">
        <v>20190207</v>
      </c>
      <c r="Q4660" t="s">
        <v>2036</v>
      </c>
      <c r="R4660" t="s">
        <v>3775</v>
      </c>
      <c r="S4660" t="s">
        <v>1615</v>
      </c>
      <c r="T4660" t="s">
        <v>1810</v>
      </c>
    </row>
    <row r="4661" spans="1:20" x14ac:dyDescent="0.25">
      <c r="A4661">
        <v>9</v>
      </c>
      <c r="B4661">
        <v>199</v>
      </c>
      <c r="C4661" t="str">
        <f>"36"</f>
        <v>36</v>
      </c>
      <c r="D4661">
        <v>6412</v>
      </c>
      <c r="E4661" t="str">
        <f>"09"</f>
        <v>09</v>
      </c>
      <c r="F4661" t="str">
        <f>"001"</f>
        <v>001</v>
      </c>
      <c r="G4661">
        <v>9</v>
      </c>
      <c r="H4661" t="str">
        <f t="shared" si="980"/>
        <v>99</v>
      </c>
      <c r="I4661" t="str">
        <f t="shared" si="976"/>
        <v>0</v>
      </c>
      <c r="J4661" t="str">
        <f>"01"</f>
        <v>01</v>
      </c>
      <c r="K4661">
        <v>20190208</v>
      </c>
      <c r="L4661" t="str">
        <f>"075577"</f>
        <v>075577</v>
      </c>
      <c r="M4661" t="str">
        <f>"30155"</f>
        <v>30155</v>
      </c>
      <c r="N4661" t="s">
        <v>648</v>
      </c>
      <c r="O4661">
        <v>192</v>
      </c>
      <c r="P4661">
        <v>20190207</v>
      </c>
      <c r="Q4661" t="s">
        <v>2427</v>
      </c>
      <c r="R4661" t="s">
        <v>3741</v>
      </c>
      <c r="S4661" t="s">
        <v>1615</v>
      </c>
      <c r="T4661" t="s">
        <v>301</v>
      </c>
    </row>
    <row r="4662" spans="1:20" x14ac:dyDescent="0.25">
      <c r="A4662">
        <v>9</v>
      </c>
      <c r="B4662">
        <v>199</v>
      </c>
      <c r="C4662" t="str">
        <f>"11"</f>
        <v>11</v>
      </c>
      <c r="D4662">
        <v>6321</v>
      </c>
      <c r="E4662" t="str">
        <f>"DC"</f>
        <v>DC</v>
      </c>
      <c r="F4662" t="str">
        <f>"001"</f>
        <v>001</v>
      </c>
      <c r="G4662">
        <v>9</v>
      </c>
      <c r="H4662" t="str">
        <f>"31"</f>
        <v>31</v>
      </c>
      <c r="I4662" t="str">
        <f t="shared" si="976"/>
        <v>0</v>
      </c>
      <c r="J4662" t="str">
        <f>"34"</f>
        <v>34</v>
      </c>
      <c r="K4662">
        <v>20190208</v>
      </c>
      <c r="L4662" t="str">
        <f>"075578"</f>
        <v>075578</v>
      </c>
      <c r="M4662" t="str">
        <f>"30389"</f>
        <v>30389</v>
      </c>
      <c r="N4662" t="s">
        <v>3776</v>
      </c>
      <c r="O4662" s="1">
        <v>3159</v>
      </c>
      <c r="P4662">
        <v>20190207</v>
      </c>
      <c r="Q4662" t="s">
        <v>3777</v>
      </c>
      <c r="R4662" t="s">
        <v>3778</v>
      </c>
      <c r="S4662" t="s">
        <v>1615</v>
      </c>
      <c r="T4662" t="s">
        <v>301</v>
      </c>
    </row>
    <row r="4663" spans="1:20" x14ac:dyDescent="0.25">
      <c r="A4663">
        <v>9</v>
      </c>
      <c r="B4663">
        <v>199</v>
      </c>
      <c r="C4663" t="str">
        <f>"11"</f>
        <v>11</v>
      </c>
      <c r="D4663">
        <v>6321</v>
      </c>
      <c r="E4663" t="str">
        <f>"DC"</f>
        <v>DC</v>
      </c>
      <c r="F4663" t="str">
        <f>"001"</f>
        <v>001</v>
      </c>
      <c r="G4663">
        <v>9</v>
      </c>
      <c r="H4663" t="str">
        <f>"31"</f>
        <v>31</v>
      </c>
      <c r="I4663" t="str">
        <f t="shared" si="976"/>
        <v>0</v>
      </c>
      <c r="J4663" t="str">
        <f>"34"</f>
        <v>34</v>
      </c>
      <c r="K4663">
        <v>20190208</v>
      </c>
      <c r="L4663" t="str">
        <f>"075578"</f>
        <v>075578</v>
      </c>
      <c r="M4663" t="str">
        <f>"30389"</f>
        <v>30389</v>
      </c>
      <c r="N4663" t="s">
        <v>3776</v>
      </c>
      <c r="O4663" s="1">
        <v>4024.35</v>
      </c>
      <c r="P4663">
        <v>20190207</v>
      </c>
      <c r="Q4663" t="s">
        <v>3777</v>
      </c>
      <c r="R4663" t="s">
        <v>3779</v>
      </c>
      <c r="S4663" t="s">
        <v>1615</v>
      </c>
      <c r="T4663" t="s">
        <v>301</v>
      </c>
    </row>
    <row r="4664" spans="1:20" x14ac:dyDescent="0.25">
      <c r="A4664">
        <v>9</v>
      </c>
      <c r="B4664">
        <v>199</v>
      </c>
      <c r="C4664" t="str">
        <f>"11"</f>
        <v>11</v>
      </c>
      <c r="D4664">
        <v>6321</v>
      </c>
      <c r="E4664" t="str">
        <f>"DC"</f>
        <v>DC</v>
      </c>
      <c r="F4664" t="str">
        <f>"001"</f>
        <v>001</v>
      </c>
      <c r="G4664">
        <v>9</v>
      </c>
      <c r="H4664" t="str">
        <f>"31"</f>
        <v>31</v>
      </c>
      <c r="I4664" t="str">
        <f t="shared" si="976"/>
        <v>0</v>
      </c>
      <c r="J4664" t="str">
        <f>"34"</f>
        <v>34</v>
      </c>
      <c r="K4664">
        <v>20190208</v>
      </c>
      <c r="L4664" t="str">
        <f>"075578"</f>
        <v>075578</v>
      </c>
      <c r="M4664" t="str">
        <f>"30389"</f>
        <v>30389</v>
      </c>
      <c r="N4664" t="s">
        <v>3776</v>
      </c>
      <c r="O4664" s="1">
        <v>4257.42</v>
      </c>
      <c r="P4664">
        <v>20190207</v>
      </c>
      <c r="Q4664" t="s">
        <v>3777</v>
      </c>
      <c r="R4664" t="s">
        <v>3780</v>
      </c>
      <c r="S4664" t="s">
        <v>1615</v>
      </c>
      <c r="T4664" t="s">
        <v>301</v>
      </c>
    </row>
    <row r="4665" spans="1:20" x14ac:dyDescent="0.25">
      <c r="A4665">
        <v>9</v>
      </c>
      <c r="B4665">
        <v>199</v>
      </c>
      <c r="C4665" t="str">
        <f>"41"</f>
        <v>41</v>
      </c>
      <c r="D4665">
        <v>6411</v>
      </c>
      <c r="E4665" t="str">
        <f>"10"</f>
        <v>10</v>
      </c>
      <c r="F4665" t="str">
        <f>"726"</f>
        <v>726</v>
      </c>
      <c r="G4665">
        <v>9</v>
      </c>
      <c r="H4665" t="str">
        <f>"99"</f>
        <v>99</v>
      </c>
      <c r="I4665" t="str">
        <f t="shared" ref="I4665:I4691" si="984">"0"</f>
        <v>0</v>
      </c>
      <c r="J4665" t="str">
        <f>"91"</f>
        <v>91</v>
      </c>
      <c r="K4665">
        <v>20190208</v>
      </c>
      <c r="L4665" t="str">
        <f>"075580"</f>
        <v>075580</v>
      </c>
      <c r="M4665" t="str">
        <f>"30744"</f>
        <v>30744</v>
      </c>
      <c r="N4665" t="s">
        <v>422</v>
      </c>
      <c r="O4665">
        <v>24.2</v>
      </c>
      <c r="P4665">
        <v>20190207</v>
      </c>
      <c r="Q4665" t="s">
        <v>3313</v>
      </c>
      <c r="R4665" t="s">
        <v>3314</v>
      </c>
      <c r="S4665" t="s">
        <v>1615</v>
      </c>
      <c r="T4665" t="s">
        <v>2608</v>
      </c>
    </row>
    <row r="4666" spans="1:20" x14ac:dyDescent="0.25">
      <c r="A4666">
        <v>9</v>
      </c>
      <c r="B4666">
        <v>199</v>
      </c>
      <c r="C4666" t="str">
        <f>"36"</f>
        <v>36</v>
      </c>
      <c r="D4666">
        <v>6399</v>
      </c>
      <c r="E4666" t="str">
        <f>"09"</f>
        <v>09</v>
      </c>
      <c r="F4666" t="str">
        <f>"101"</f>
        <v>101</v>
      </c>
      <c r="G4666">
        <v>9</v>
      </c>
      <c r="H4666" t="str">
        <f>"99"</f>
        <v>99</v>
      </c>
      <c r="I4666" t="str">
        <f t="shared" si="984"/>
        <v>0</v>
      </c>
      <c r="J4666" t="str">
        <f>"04"</f>
        <v>04</v>
      </c>
      <c r="K4666">
        <v>20190208</v>
      </c>
      <c r="L4666" t="str">
        <f>"075582"</f>
        <v>075582</v>
      </c>
      <c r="M4666" t="str">
        <f>"31345"</f>
        <v>31345</v>
      </c>
      <c r="N4666" t="s">
        <v>1394</v>
      </c>
      <c r="O4666">
        <v>324</v>
      </c>
      <c r="P4666">
        <v>20190207</v>
      </c>
      <c r="Q4666" t="s">
        <v>2397</v>
      </c>
      <c r="R4666" t="s">
        <v>3781</v>
      </c>
      <c r="S4666" t="s">
        <v>1615</v>
      </c>
      <c r="T4666" t="s">
        <v>1479</v>
      </c>
    </row>
    <row r="4667" spans="1:20" x14ac:dyDescent="0.25">
      <c r="A4667">
        <v>9</v>
      </c>
      <c r="B4667">
        <v>199</v>
      </c>
      <c r="C4667" t="str">
        <f t="shared" ref="C4667:C4672" si="985">"11"</f>
        <v>11</v>
      </c>
      <c r="D4667">
        <v>6299</v>
      </c>
      <c r="E4667" t="str">
        <f>"7E"</f>
        <v>7E</v>
      </c>
      <c r="F4667" t="str">
        <f>"001"</f>
        <v>001</v>
      </c>
      <c r="G4667">
        <v>9</v>
      </c>
      <c r="H4667" t="str">
        <f>"11"</f>
        <v>11</v>
      </c>
      <c r="I4667" t="str">
        <f t="shared" si="984"/>
        <v>0</v>
      </c>
      <c r="J4667" t="str">
        <f>"31"</f>
        <v>31</v>
      </c>
      <c r="K4667">
        <v>20190208</v>
      </c>
      <c r="L4667" t="str">
        <f>"075590"</f>
        <v>075590</v>
      </c>
      <c r="M4667" t="str">
        <f>"37260"</f>
        <v>37260</v>
      </c>
      <c r="N4667" t="s">
        <v>1890</v>
      </c>
      <c r="O4667">
        <v>200</v>
      </c>
      <c r="P4667">
        <v>20190207</v>
      </c>
      <c r="Q4667" t="s">
        <v>1873</v>
      </c>
      <c r="R4667" t="s">
        <v>3782</v>
      </c>
      <c r="S4667" t="s">
        <v>1615</v>
      </c>
      <c r="T4667" t="s">
        <v>301</v>
      </c>
    </row>
    <row r="4668" spans="1:20" x14ac:dyDescent="0.25">
      <c r="A4668">
        <v>9</v>
      </c>
      <c r="B4668">
        <v>199</v>
      </c>
      <c r="C4668" t="str">
        <f t="shared" si="985"/>
        <v>11</v>
      </c>
      <c r="D4668">
        <v>6299</v>
      </c>
      <c r="E4668" t="str">
        <f>"7E"</f>
        <v>7E</v>
      </c>
      <c r="F4668" t="str">
        <f>"041"</f>
        <v>041</v>
      </c>
      <c r="G4668">
        <v>9</v>
      </c>
      <c r="H4668" t="str">
        <f>"11"</f>
        <v>11</v>
      </c>
      <c r="I4668" t="str">
        <f t="shared" si="984"/>
        <v>0</v>
      </c>
      <c r="J4668" t="str">
        <f>"35"</f>
        <v>35</v>
      </c>
      <c r="K4668">
        <v>20190208</v>
      </c>
      <c r="L4668" t="str">
        <f>"075591"</f>
        <v>075591</v>
      </c>
      <c r="M4668" t="str">
        <f>"37570"</f>
        <v>37570</v>
      </c>
      <c r="N4668" t="s">
        <v>2876</v>
      </c>
      <c r="O4668">
        <v>185</v>
      </c>
      <c r="P4668">
        <v>20190207</v>
      </c>
      <c r="Q4668" t="s">
        <v>2877</v>
      </c>
      <c r="R4668" t="s">
        <v>3783</v>
      </c>
      <c r="S4668" t="s">
        <v>1615</v>
      </c>
      <c r="T4668" t="s">
        <v>106</v>
      </c>
    </row>
    <row r="4669" spans="1:20" x14ac:dyDescent="0.25">
      <c r="A4669">
        <v>9</v>
      </c>
      <c r="B4669">
        <v>199</v>
      </c>
      <c r="C4669" t="str">
        <f t="shared" si="985"/>
        <v>11</v>
      </c>
      <c r="D4669">
        <v>6399</v>
      </c>
      <c r="E4669" t="str">
        <f>"V8"</f>
        <v>V8</v>
      </c>
      <c r="F4669" t="str">
        <f>"001"</f>
        <v>001</v>
      </c>
      <c r="G4669">
        <v>9</v>
      </c>
      <c r="H4669" t="str">
        <f>"22"</f>
        <v>22</v>
      </c>
      <c r="I4669" t="str">
        <f t="shared" si="984"/>
        <v>0</v>
      </c>
      <c r="J4669" t="str">
        <f>"22"</f>
        <v>22</v>
      </c>
      <c r="K4669">
        <v>20190208</v>
      </c>
      <c r="L4669" t="str">
        <f t="shared" ref="L4669:L4676" si="986">"075594"</f>
        <v>075594</v>
      </c>
      <c r="M4669" t="str">
        <f t="shared" ref="M4669:M4676" si="987">"37500"</f>
        <v>37500</v>
      </c>
      <c r="N4669" t="s">
        <v>2077</v>
      </c>
      <c r="O4669">
        <v>61.35</v>
      </c>
      <c r="P4669">
        <v>20190207</v>
      </c>
      <c r="Q4669" t="s">
        <v>2001</v>
      </c>
      <c r="R4669" t="s">
        <v>3784</v>
      </c>
      <c r="S4669" t="s">
        <v>1615</v>
      </c>
      <c r="T4669" t="s">
        <v>301</v>
      </c>
    </row>
    <row r="4670" spans="1:20" x14ac:dyDescent="0.25">
      <c r="A4670">
        <v>9</v>
      </c>
      <c r="B4670">
        <v>199</v>
      </c>
      <c r="C4670" t="str">
        <f t="shared" si="985"/>
        <v>11</v>
      </c>
      <c r="D4670">
        <v>6399</v>
      </c>
      <c r="E4670" t="str">
        <f>"V8"</f>
        <v>V8</v>
      </c>
      <c r="F4670" t="str">
        <f>"001"</f>
        <v>001</v>
      </c>
      <c r="G4670">
        <v>9</v>
      </c>
      <c r="H4670" t="str">
        <f>"22"</f>
        <v>22</v>
      </c>
      <c r="I4670" t="str">
        <f t="shared" si="984"/>
        <v>0</v>
      </c>
      <c r="J4670" t="str">
        <f>"22"</f>
        <v>22</v>
      </c>
      <c r="K4670">
        <v>20190208</v>
      </c>
      <c r="L4670" t="str">
        <f t="shared" si="986"/>
        <v>075594</v>
      </c>
      <c r="M4670" t="str">
        <f t="shared" si="987"/>
        <v>37500</v>
      </c>
      <c r="N4670" t="s">
        <v>2077</v>
      </c>
      <c r="O4670">
        <v>6</v>
      </c>
      <c r="P4670">
        <v>20190207</v>
      </c>
      <c r="Q4670" t="s">
        <v>2001</v>
      </c>
      <c r="R4670" t="s">
        <v>3784</v>
      </c>
      <c r="S4670" t="s">
        <v>1615</v>
      </c>
      <c r="T4670" t="s">
        <v>301</v>
      </c>
    </row>
    <row r="4671" spans="1:20" x14ac:dyDescent="0.25">
      <c r="A4671">
        <v>9</v>
      </c>
      <c r="B4671">
        <v>199</v>
      </c>
      <c r="C4671" t="str">
        <f t="shared" si="985"/>
        <v>11</v>
      </c>
      <c r="D4671">
        <v>6399</v>
      </c>
      <c r="E4671" t="str">
        <f>"V8"</f>
        <v>V8</v>
      </c>
      <c r="F4671" t="str">
        <f>"001"</f>
        <v>001</v>
      </c>
      <c r="G4671">
        <v>9</v>
      </c>
      <c r="H4671" t="str">
        <f>"22"</f>
        <v>22</v>
      </c>
      <c r="I4671" t="str">
        <f t="shared" si="984"/>
        <v>0</v>
      </c>
      <c r="J4671" t="str">
        <f>"22"</f>
        <v>22</v>
      </c>
      <c r="K4671">
        <v>20190208</v>
      </c>
      <c r="L4671" t="str">
        <f t="shared" si="986"/>
        <v>075594</v>
      </c>
      <c r="M4671" t="str">
        <f t="shared" si="987"/>
        <v>37500</v>
      </c>
      <c r="N4671" t="s">
        <v>2077</v>
      </c>
      <c r="O4671">
        <v>-6.5</v>
      </c>
      <c r="P4671">
        <v>20190125</v>
      </c>
      <c r="Q4671" t="s">
        <v>2001</v>
      </c>
      <c r="R4671" t="s">
        <v>3785</v>
      </c>
      <c r="S4671" t="s">
        <v>1615</v>
      </c>
      <c r="T4671" t="s">
        <v>301</v>
      </c>
    </row>
    <row r="4672" spans="1:20" x14ac:dyDescent="0.25">
      <c r="A4672">
        <v>9</v>
      </c>
      <c r="B4672">
        <v>199</v>
      </c>
      <c r="C4672" t="str">
        <f t="shared" si="985"/>
        <v>11</v>
      </c>
      <c r="D4672">
        <v>6499</v>
      </c>
      <c r="E4672" t="str">
        <f>"10"</f>
        <v>10</v>
      </c>
      <c r="F4672" t="str">
        <f>"104"</f>
        <v>104</v>
      </c>
      <c r="G4672">
        <v>9</v>
      </c>
      <c r="H4672" t="str">
        <f>"11"</f>
        <v>11</v>
      </c>
      <c r="I4672" t="str">
        <f t="shared" si="984"/>
        <v>0</v>
      </c>
      <c r="J4672" t="str">
        <f>"05"</f>
        <v>05</v>
      </c>
      <c r="K4672">
        <v>20190208</v>
      </c>
      <c r="L4672" t="str">
        <f t="shared" si="986"/>
        <v>075594</v>
      </c>
      <c r="M4672" t="str">
        <f t="shared" si="987"/>
        <v>37500</v>
      </c>
      <c r="N4672" t="s">
        <v>2077</v>
      </c>
      <c r="O4672">
        <v>64.739999999999995</v>
      </c>
      <c r="P4672">
        <v>20190207</v>
      </c>
      <c r="Q4672" t="s">
        <v>2640</v>
      </c>
      <c r="R4672" t="s">
        <v>2641</v>
      </c>
      <c r="S4672" t="s">
        <v>1615</v>
      </c>
      <c r="T4672" t="s">
        <v>46</v>
      </c>
    </row>
    <row r="4673" spans="1:20" x14ac:dyDescent="0.25">
      <c r="A4673">
        <v>9</v>
      </c>
      <c r="B4673">
        <v>199</v>
      </c>
      <c r="C4673" t="str">
        <f>"23"</f>
        <v>23</v>
      </c>
      <c r="D4673">
        <v>6498</v>
      </c>
      <c r="E4673" t="str">
        <f>"10"</f>
        <v>10</v>
      </c>
      <c r="F4673" t="str">
        <f>"104"</f>
        <v>104</v>
      </c>
      <c r="G4673">
        <v>9</v>
      </c>
      <c r="H4673" t="str">
        <f t="shared" ref="H4673:H4681" si="988">"99"</f>
        <v>99</v>
      </c>
      <c r="I4673" t="str">
        <f t="shared" si="984"/>
        <v>0</v>
      </c>
      <c r="J4673" t="str">
        <f>"05"</f>
        <v>05</v>
      </c>
      <c r="K4673">
        <v>20190208</v>
      </c>
      <c r="L4673" t="str">
        <f t="shared" si="986"/>
        <v>075594</v>
      </c>
      <c r="M4673" t="str">
        <f t="shared" si="987"/>
        <v>37500</v>
      </c>
      <c r="N4673" t="s">
        <v>2077</v>
      </c>
      <c r="O4673">
        <v>141.69</v>
      </c>
      <c r="P4673">
        <v>20190207</v>
      </c>
      <c r="Q4673" t="s">
        <v>2402</v>
      </c>
      <c r="R4673" t="s">
        <v>3786</v>
      </c>
      <c r="S4673" t="s">
        <v>1615</v>
      </c>
      <c r="T4673" t="s">
        <v>46</v>
      </c>
    </row>
    <row r="4674" spans="1:20" x14ac:dyDescent="0.25">
      <c r="A4674">
        <v>9</v>
      </c>
      <c r="B4674">
        <v>199</v>
      </c>
      <c r="C4674" t="str">
        <f>"23"</f>
        <v>23</v>
      </c>
      <c r="D4674">
        <v>6498</v>
      </c>
      <c r="E4674" t="str">
        <f>"99"</f>
        <v>99</v>
      </c>
      <c r="F4674" t="str">
        <f>"041"</f>
        <v>041</v>
      </c>
      <c r="G4674">
        <v>9</v>
      </c>
      <c r="H4674" t="str">
        <f t="shared" si="988"/>
        <v>99</v>
      </c>
      <c r="I4674" t="str">
        <f t="shared" si="984"/>
        <v>0</v>
      </c>
      <c r="J4674" t="str">
        <f>"03"</f>
        <v>03</v>
      </c>
      <c r="K4674">
        <v>20190208</v>
      </c>
      <c r="L4674" t="str">
        <f t="shared" si="986"/>
        <v>075594</v>
      </c>
      <c r="M4674" t="str">
        <f t="shared" si="987"/>
        <v>37500</v>
      </c>
      <c r="N4674" t="s">
        <v>2077</v>
      </c>
      <c r="O4674">
        <v>47.34</v>
      </c>
      <c r="P4674">
        <v>20190207</v>
      </c>
      <c r="Q4674" t="s">
        <v>2140</v>
      </c>
      <c r="R4674" t="s">
        <v>3787</v>
      </c>
      <c r="S4674" t="s">
        <v>1615</v>
      </c>
      <c r="T4674" t="s">
        <v>106</v>
      </c>
    </row>
    <row r="4675" spans="1:20" x14ac:dyDescent="0.25">
      <c r="A4675">
        <v>9</v>
      </c>
      <c r="B4675">
        <v>199</v>
      </c>
      <c r="C4675" t="str">
        <f>"36"</f>
        <v>36</v>
      </c>
      <c r="D4675">
        <v>6499</v>
      </c>
      <c r="E4675" t="str">
        <f>"8E"</f>
        <v>8E</v>
      </c>
      <c r="F4675" t="str">
        <f>"001"</f>
        <v>001</v>
      </c>
      <c r="G4675">
        <v>9</v>
      </c>
      <c r="H4675" t="str">
        <f t="shared" si="988"/>
        <v>99</v>
      </c>
      <c r="I4675" t="str">
        <f t="shared" si="984"/>
        <v>0</v>
      </c>
      <c r="J4675" t="str">
        <f>"01"</f>
        <v>01</v>
      </c>
      <c r="K4675">
        <v>20190208</v>
      </c>
      <c r="L4675" t="str">
        <f t="shared" si="986"/>
        <v>075594</v>
      </c>
      <c r="M4675" t="str">
        <f t="shared" si="987"/>
        <v>37500</v>
      </c>
      <c r="N4675" t="s">
        <v>2077</v>
      </c>
      <c r="O4675">
        <v>103.78</v>
      </c>
      <c r="P4675">
        <v>20190207</v>
      </c>
      <c r="Q4675" t="s">
        <v>3788</v>
      </c>
      <c r="R4675" t="s">
        <v>3789</v>
      </c>
      <c r="S4675" t="s">
        <v>1615</v>
      </c>
      <c r="T4675" t="s">
        <v>301</v>
      </c>
    </row>
    <row r="4676" spans="1:20" x14ac:dyDescent="0.25">
      <c r="A4676">
        <v>9</v>
      </c>
      <c r="B4676">
        <v>199</v>
      </c>
      <c r="C4676" t="str">
        <f>"41"</f>
        <v>41</v>
      </c>
      <c r="D4676">
        <v>6399</v>
      </c>
      <c r="E4676" t="str">
        <f>"10"</f>
        <v>10</v>
      </c>
      <c r="F4676" t="str">
        <f>"730"</f>
        <v>730</v>
      </c>
      <c r="G4676">
        <v>9</v>
      </c>
      <c r="H4676" t="str">
        <f t="shared" si="988"/>
        <v>99</v>
      </c>
      <c r="I4676" t="str">
        <f t="shared" si="984"/>
        <v>0</v>
      </c>
      <c r="J4676" t="str">
        <f>"95"</f>
        <v>95</v>
      </c>
      <c r="K4676">
        <v>20190208</v>
      </c>
      <c r="L4676" t="str">
        <f t="shared" si="986"/>
        <v>075594</v>
      </c>
      <c r="M4676" t="str">
        <f t="shared" si="987"/>
        <v>37500</v>
      </c>
      <c r="N4676" t="s">
        <v>2077</v>
      </c>
      <c r="O4676">
        <v>71.540000000000006</v>
      </c>
      <c r="P4676">
        <v>20190207</v>
      </c>
      <c r="Q4676" t="s">
        <v>1987</v>
      </c>
      <c r="R4676" t="s">
        <v>3790</v>
      </c>
      <c r="S4676" t="s">
        <v>1615</v>
      </c>
      <c r="T4676" t="s">
        <v>1794</v>
      </c>
    </row>
    <row r="4677" spans="1:20" x14ac:dyDescent="0.25">
      <c r="A4677">
        <v>9</v>
      </c>
      <c r="B4677">
        <v>199</v>
      </c>
      <c r="C4677" t="str">
        <f>"51"</f>
        <v>51</v>
      </c>
      <c r="D4677">
        <v>6319</v>
      </c>
      <c r="E4677" t="str">
        <f>"MC"</f>
        <v>MC</v>
      </c>
      <c r="F4677" t="str">
        <f>"936"</f>
        <v>936</v>
      </c>
      <c r="G4677">
        <v>9</v>
      </c>
      <c r="H4677" t="str">
        <f t="shared" si="988"/>
        <v>99</v>
      </c>
      <c r="I4677" t="str">
        <f t="shared" si="984"/>
        <v>0</v>
      </c>
      <c r="J4677" t="str">
        <f>"81"</f>
        <v>81</v>
      </c>
      <c r="K4677">
        <v>20190208</v>
      </c>
      <c r="L4677" t="str">
        <f>"075595"</f>
        <v>075595</v>
      </c>
      <c r="M4677" t="str">
        <f>"39397"</f>
        <v>39397</v>
      </c>
      <c r="N4677" t="s">
        <v>3791</v>
      </c>
      <c r="O4677">
        <v>39.39</v>
      </c>
      <c r="P4677">
        <v>20190207</v>
      </c>
      <c r="Q4677" t="s">
        <v>2060</v>
      </c>
      <c r="R4677" t="s">
        <v>3792</v>
      </c>
      <c r="S4677" t="s">
        <v>1615</v>
      </c>
      <c r="T4677" t="s">
        <v>1713</v>
      </c>
    </row>
    <row r="4678" spans="1:20" x14ac:dyDescent="0.25">
      <c r="A4678">
        <v>9</v>
      </c>
      <c r="B4678">
        <v>199</v>
      </c>
      <c r="C4678" t="str">
        <f>"51"</f>
        <v>51</v>
      </c>
      <c r="D4678">
        <v>6319</v>
      </c>
      <c r="E4678" t="str">
        <f>"MC"</f>
        <v>MC</v>
      </c>
      <c r="F4678" t="str">
        <f>"936"</f>
        <v>936</v>
      </c>
      <c r="G4678">
        <v>9</v>
      </c>
      <c r="H4678" t="str">
        <f t="shared" si="988"/>
        <v>99</v>
      </c>
      <c r="I4678" t="str">
        <f t="shared" si="984"/>
        <v>0</v>
      </c>
      <c r="J4678" t="str">
        <f>"81"</f>
        <v>81</v>
      </c>
      <c r="K4678">
        <v>20190208</v>
      </c>
      <c r="L4678" t="str">
        <f>"075595"</f>
        <v>075595</v>
      </c>
      <c r="M4678" t="str">
        <f>"39397"</f>
        <v>39397</v>
      </c>
      <c r="N4678" t="s">
        <v>3791</v>
      </c>
      <c r="O4678">
        <v>102.04</v>
      </c>
      <c r="P4678">
        <v>20190207</v>
      </c>
      <c r="Q4678" t="s">
        <v>2060</v>
      </c>
      <c r="R4678" t="s">
        <v>3793</v>
      </c>
      <c r="S4678" t="s">
        <v>1615</v>
      </c>
      <c r="T4678" t="s">
        <v>1713</v>
      </c>
    </row>
    <row r="4679" spans="1:20" x14ac:dyDescent="0.25">
      <c r="A4679">
        <v>9</v>
      </c>
      <c r="B4679">
        <v>199</v>
      </c>
      <c r="C4679" t="str">
        <f>"51"</f>
        <v>51</v>
      </c>
      <c r="D4679">
        <v>6319</v>
      </c>
      <c r="E4679" t="str">
        <f>"M3"</f>
        <v>M3</v>
      </c>
      <c r="F4679" t="str">
        <f>"936"</f>
        <v>936</v>
      </c>
      <c r="G4679">
        <v>9</v>
      </c>
      <c r="H4679" t="str">
        <f t="shared" si="988"/>
        <v>99</v>
      </c>
      <c r="I4679" t="str">
        <f t="shared" si="984"/>
        <v>0</v>
      </c>
      <c r="J4679" t="str">
        <f>"81"</f>
        <v>81</v>
      </c>
      <c r="K4679">
        <v>20190208</v>
      </c>
      <c r="L4679" t="str">
        <f>"075596"</f>
        <v>075596</v>
      </c>
      <c r="M4679" t="str">
        <f>"00125"</f>
        <v>00125</v>
      </c>
      <c r="N4679" t="s">
        <v>2245</v>
      </c>
      <c r="O4679">
        <v>51.75</v>
      </c>
      <c r="P4679">
        <v>20190207</v>
      </c>
      <c r="Q4679" t="s">
        <v>2246</v>
      </c>
      <c r="R4679" t="s">
        <v>3794</v>
      </c>
      <c r="S4679" t="s">
        <v>1615</v>
      </c>
      <c r="T4679" t="s">
        <v>1713</v>
      </c>
    </row>
    <row r="4680" spans="1:20" x14ac:dyDescent="0.25">
      <c r="A4680">
        <v>9</v>
      </c>
      <c r="B4680">
        <v>199</v>
      </c>
      <c r="C4680" t="str">
        <f>"51"</f>
        <v>51</v>
      </c>
      <c r="D4680">
        <v>6319</v>
      </c>
      <c r="E4680" t="str">
        <f>"M3"</f>
        <v>M3</v>
      </c>
      <c r="F4680" t="str">
        <f>"936"</f>
        <v>936</v>
      </c>
      <c r="G4680">
        <v>9</v>
      </c>
      <c r="H4680" t="str">
        <f t="shared" si="988"/>
        <v>99</v>
      </c>
      <c r="I4680" t="str">
        <f t="shared" si="984"/>
        <v>0</v>
      </c>
      <c r="J4680" t="str">
        <f>"81"</f>
        <v>81</v>
      </c>
      <c r="K4680">
        <v>20190208</v>
      </c>
      <c r="L4680" t="str">
        <f>"075596"</f>
        <v>075596</v>
      </c>
      <c r="M4680" t="str">
        <f>"00125"</f>
        <v>00125</v>
      </c>
      <c r="N4680" t="s">
        <v>2245</v>
      </c>
      <c r="O4680">
        <v>516.32000000000005</v>
      </c>
      <c r="P4680">
        <v>20190207</v>
      </c>
      <c r="Q4680" t="s">
        <v>2246</v>
      </c>
      <c r="R4680" t="s">
        <v>3795</v>
      </c>
      <c r="S4680" t="s">
        <v>1615</v>
      </c>
      <c r="T4680" t="s">
        <v>1713</v>
      </c>
    </row>
    <row r="4681" spans="1:20" x14ac:dyDescent="0.25">
      <c r="A4681">
        <v>9</v>
      </c>
      <c r="B4681">
        <v>199</v>
      </c>
      <c r="C4681" t="str">
        <f>"51"</f>
        <v>51</v>
      </c>
      <c r="D4681">
        <v>6319</v>
      </c>
      <c r="E4681" t="str">
        <f>"M3"</f>
        <v>M3</v>
      </c>
      <c r="F4681" t="str">
        <f>"936"</f>
        <v>936</v>
      </c>
      <c r="G4681">
        <v>9</v>
      </c>
      <c r="H4681" t="str">
        <f t="shared" si="988"/>
        <v>99</v>
      </c>
      <c r="I4681" t="str">
        <f t="shared" si="984"/>
        <v>0</v>
      </c>
      <c r="J4681" t="str">
        <f>"81"</f>
        <v>81</v>
      </c>
      <c r="K4681">
        <v>20190208</v>
      </c>
      <c r="L4681" t="str">
        <f>"075596"</f>
        <v>075596</v>
      </c>
      <c r="M4681" t="str">
        <f>"00125"</f>
        <v>00125</v>
      </c>
      <c r="N4681" t="s">
        <v>2245</v>
      </c>
      <c r="O4681">
        <v>434.6</v>
      </c>
      <c r="P4681">
        <v>20190207</v>
      </c>
      <c r="Q4681" t="s">
        <v>2246</v>
      </c>
      <c r="R4681" t="s">
        <v>3796</v>
      </c>
      <c r="S4681" t="s">
        <v>1615</v>
      </c>
      <c r="T4681" t="s">
        <v>1713</v>
      </c>
    </row>
    <row r="4682" spans="1:20" x14ac:dyDescent="0.25">
      <c r="A4682">
        <v>9</v>
      </c>
      <c r="B4682">
        <v>199</v>
      </c>
      <c r="C4682" t="str">
        <f>"11"</f>
        <v>11</v>
      </c>
      <c r="D4682">
        <v>6411</v>
      </c>
      <c r="E4682" t="str">
        <f>"V8"</f>
        <v>V8</v>
      </c>
      <c r="F4682" t="str">
        <f>"001"</f>
        <v>001</v>
      </c>
      <c r="G4682">
        <v>9</v>
      </c>
      <c r="H4682" t="str">
        <f>"22"</f>
        <v>22</v>
      </c>
      <c r="I4682" t="str">
        <f t="shared" si="984"/>
        <v>0</v>
      </c>
      <c r="J4682" t="str">
        <f>"22"</f>
        <v>22</v>
      </c>
      <c r="K4682">
        <v>20190208</v>
      </c>
      <c r="L4682" t="str">
        <f>"075598"</f>
        <v>075598</v>
      </c>
      <c r="M4682" t="str">
        <f>"00176"</f>
        <v>00176</v>
      </c>
      <c r="N4682" t="s">
        <v>3578</v>
      </c>
      <c r="O4682">
        <v>198.84</v>
      </c>
      <c r="P4682">
        <v>20190207</v>
      </c>
      <c r="Q4682" t="s">
        <v>3579</v>
      </c>
      <c r="R4682" t="s">
        <v>3580</v>
      </c>
      <c r="S4682" t="s">
        <v>1615</v>
      </c>
      <c r="T4682" t="s">
        <v>301</v>
      </c>
    </row>
    <row r="4683" spans="1:20" x14ac:dyDescent="0.25">
      <c r="A4683">
        <v>9</v>
      </c>
      <c r="B4683">
        <v>199</v>
      </c>
      <c r="C4683" t="str">
        <f>"34"</f>
        <v>34</v>
      </c>
      <c r="D4683">
        <v>6399</v>
      </c>
      <c r="E4683" t="str">
        <f>"11"</f>
        <v>11</v>
      </c>
      <c r="F4683" t="str">
        <f>"937"</f>
        <v>937</v>
      </c>
      <c r="G4683">
        <v>9</v>
      </c>
      <c r="H4683" t="str">
        <f t="shared" ref="H4683:H4689" si="989">"99"</f>
        <v>99</v>
      </c>
      <c r="I4683" t="str">
        <f t="shared" si="984"/>
        <v>0</v>
      </c>
      <c r="J4683" t="str">
        <f>"82"</f>
        <v>82</v>
      </c>
      <c r="K4683">
        <v>20190208</v>
      </c>
      <c r="L4683" t="str">
        <f t="shared" ref="L4683:L4689" si="990">"075600"</f>
        <v>075600</v>
      </c>
      <c r="M4683" t="str">
        <f t="shared" ref="M4683:M4689" si="991">"41230"</f>
        <v>41230</v>
      </c>
      <c r="N4683" t="s">
        <v>1350</v>
      </c>
      <c r="O4683">
        <v>98.52</v>
      </c>
      <c r="P4683">
        <v>20190207</v>
      </c>
      <c r="Q4683" t="s">
        <v>2210</v>
      </c>
      <c r="R4683" t="s">
        <v>2211</v>
      </c>
      <c r="S4683" t="s">
        <v>1615</v>
      </c>
      <c r="T4683" t="s">
        <v>1810</v>
      </c>
    </row>
    <row r="4684" spans="1:20" x14ac:dyDescent="0.25">
      <c r="A4684">
        <v>9</v>
      </c>
      <c r="B4684">
        <v>199</v>
      </c>
      <c r="C4684" t="str">
        <f t="shared" ref="C4684:C4689" si="992">"51"</f>
        <v>51</v>
      </c>
      <c r="D4684">
        <v>6319</v>
      </c>
      <c r="E4684" t="str">
        <f t="shared" ref="E4684:E4689" si="993">"MC"</f>
        <v>MC</v>
      </c>
      <c r="F4684" t="str">
        <f t="shared" ref="F4684:F4689" si="994">"936"</f>
        <v>936</v>
      </c>
      <c r="G4684">
        <v>9</v>
      </c>
      <c r="H4684" t="str">
        <f t="shared" si="989"/>
        <v>99</v>
      </c>
      <c r="I4684" t="str">
        <f t="shared" si="984"/>
        <v>0</v>
      </c>
      <c r="J4684" t="str">
        <f t="shared" ref="J4684:J4689" si="995">"81"</f>
        <v>81</v>
      </c>
      <c r="K4684">
        <v>20190208</v>
      </c>
      <c r="L4684" t="str">
        <f t="shared" si="990"/>
        <v>075600</v>
      </c>
      <c r="M4684" t="str">
        <f t="shared" si="991"/>
        <v>41230</v>
      </c>
      <c r="N4684" t="s">
        <v>1350</v>
      </c>
      <c r="O4684">
        <v>41.8</v>
      </c>
      <c r="P4684">
        <v>20190207</v>
      </c>
      <c r="Q4684" t="s">
        <v>2060</v>
      </c>
      <c r="R4684" t="s">
        <v>2188</v>
      </c>
      <c r="S4684" t="s">
        <v>1615</v>
      </c>
      <c r="T4684" t="s">
        <v>1713</v>
      </c>
    </row>
    <row r="4685" spans="1:20" x14ac:dyDescent="0.25">
      <c r="A4685">
        <v>9</v>
      </c>
      <c r="B4685">
        <v>199</v>
      </c>
      <c r="C4685" t="str">
        <f t="shared" si="992"/>
        <v>51</v>
      </c>
      <c r="D4685">
        <v>6319</v>
      </c>
      <c r="E4685" t="str">
        <f t="shared" si="993"/>
        <v>MC</v>
      </c>
      <c r="F4685" t="str">
        <f t="shared" si="994"/>
        <v>936</v>
      </c>
      <c r="G4685">
        <v>9</v>
      </c>
      <c r="H4685" t="str">
        <f t="shared" si="989"/>
        <v>99</v>
      </c>
      <c r="I4685" t="str">
        <f t="shared" si="984"/>
        <v>0</v>
      </c>
      <c r="J4685" t="str">
        <f t="shared" si="995"/>
        <v>81</v>
      </c>
      <c r="K4685">
        <v>20190208</v>
      </c>
      <c r="L4685" t="str">
        <f t="shared" si="990"/>
        <v>075600</v>
      </c>
      <c r="M4685" t="str">
        <f t="shared" si="991"/>
        <v>41230</v>
      </c>
      <c r="N4685" t="s">
        <v>1350</v>
      </c>
      <c r="O4685">
        <v>155.04</v>
      </c>
      <c r="P4685">
        <v>20190207</v>
      </c>
      <c r="Q4685" t="s">
        <v>2060</v>
      </c>
      <c r="R4685" t="s">
        <v>2188</v>
      </c>
      <c r="S4685" t="s">
        <v>1615</v>
      </c>
      <c r="T4685" t="s">
        <v>1713</v>
      </c>
    </row>
    <row r="4686" spans="1:20" x14ac:dyDescent="0.25">
      <c r="A4686">
        <v>9</v>
      </c>
      <c r="B4686">
        <v>199</v>
      </c>
      <c r="C4686" t="str">
        <f t="shared" si="992"/>
        <v>51</v>
      </c>
      <c r="D4686">
        <v>6319</v>
      </c>
      <c r="E4686" t="str">
        <f t="shared" si="993"/>
        <v>MC</v>
      </c>
      <c r="F4686" t="str">
        <f t="shared" si="994"/>
        <v>936</v>
      </c>
      <c r="G4686">
        <v>9</v>
      </c>
      <c r="H4686" t="str">
        <f t="shared" si="989"/>
        <v>99</v>
      </c>
      <c r="I4686" t="str">
        <f t="shared" si="984"/>
        <v>0</v>
      </c>
      <c r="J4686" t="str">
        <f t="shared" si="995"/>
        <v>81</v>
      </c>
      <c r="K4686">
        <v>20190208</v>
      </c>
      <c r="L4686" t="str">
        <f t="shared" si="990"/>
        <v>075600</v>
      </c>
      <c r="M4686" t="str">
        <f t="shared" si="991"/>
        <v>41230</v>
      </c>
      <c r="N4686" t="s">
        <v>1350</v>
      </c>
      <c r="O4686">
        <v>86.99</v>
      </c>
      <c r="P4686">
        <v>20190207</v>
      </c>
      <c r="Q4686" t="s">
        <v>2060</v>
      </c>
      <c r="R4686" t="s">
        <v>2188</v>
      </c>
      <c r="S4686" t="s">
        <v>1615</v>
      </c>
      <c r="T4686" t="s">
        <v>1713</v>
      </c>
    </row>
    <row r="4687" spans="1:20" x14ac:dyDescent="0.25">
      <c r="A4687">
        <v>9</v>
      </c>
      <c r="B4687">
        <v>199</v>
      </c>
      <c r="C4687" t="str">
        <f t="shared" si="992"/>
        <v>51</v>
      </c>
      <c r="D4687">
        <v>6319</v>
      </c>
      <c r="E4687" t="str">
        <f t="shared" si="993"/>
        <v>MC</v>
      </c>
      <c r="F4687" t="str">
        <f t="shared" si="994"/>
        <v>936</v>
      </c>
      <c r="G4687">
        <v>9</v>
      </c>
      <c r="H4687" t="str">
        <f t="shared" si="989"/>
        <v>99</v>
      </c>
      <c r="I4687" t="str">
        <f t="shared" si="984"/>
        <v>0</v>
      </c>
      <c r="J4687" t="str">
        <f t="shared" si="995"/>
        <v>81</v>
      </c>
      <c r="K4687">
        <v>20190208</v>
      </c>
      <c r="L4687" t="str">
        <f t="shared" si="990"/>
        <v>075600</v>
      </c>
      <c r="M4687" t="str">
        <f t="shared" si="991"/>
        <v>41230</v>
      </c>
      <c r="N4687" t="s">
        <v>1350</v>
      </c>
      <c r="O4687">
        <v>49.19</v>
      </c>
      <c r="P4687">
        <v>20190207</v>
      </c>
      <c r="Q4687" t="s">
        <v>2060</v>
      </c>
      <c r="R4687" t="s">
        <v>2188</v>
      </c>
      <c r="S4687" t="s">
        <v>1615</v>
      </c>
      <c r="T4687" t="s">
        <v>1713</v>
      </c>
    </row>
    <row r="4688" spans="1:20" x14ac:dyDescent="0.25">
      <c r="A4688">
        <v>9</v>
      </c>
      <c r="B4688">
        <v>199</v>
      </c>
      <c r="C4688" t="str">
        <f t="shared" si="992"/>
        <v>51</v>
      </c>
      <c r="D4688">
        <v>6319</v>
      </c>
      <c r="E4688" t="str">
        <f t="shared" si="993"/>
        <v>MC</v>
      </c>
      <c r="F4688" t="str">
        <f t="shared" si="994"/>
        <v>936</v>
      </c>
      <c r="G4688">
        <v>9</v>
      </c>
      <c r="H4688" t="str">
        <f t="shared" si="989"/>
        <v>99</v>
      </c>
      <c r="I4688" t="str">
        <f t="shared" si="984"/>
        <v>0</v>
      </c>
      <c r="J4688" t="str">
        <f t="shared" si="995"/>
        <v>81</v>
      </c>
      <c r="K4688">
        <v>20190208</v>
      </c>
      <c r="L4688" t="str">
        <f t="shared" si="990"/>
        <v>075600</v>
      </c>
      <c r="M4688" t="str">
        <f t="shared" si="991"/>
        <v>41230</v>
      </c>
      <c r="N4688" t="s">
        <v>1350</v>
      </c>
      <c r="O4688">
        <v>114.12</v>
      </c>
      <c r="P4688">
        <v>20190207</v>
      </c>
      <c r="Q4688" t="s">
        <v>2060</v>
      </c>
      <c r="R4688" t="s">
        <v>3797</v>
      </c>
      <c r="S4688" t="s">
        <v>1615</v>
      </c>
      <c r="T4688" t="s">
        <v>1713</v>
      </c>
    </row>
    <row r="4689" spans="1:20" x14ac:dyDescent="0.25">
      <c r="A4689">
        <v>9</v>
      </c>
      <c r="B4689">
        <v>199</v>
      </c>
      <c r="C4689" t="str">
        <f t="shared" si="992"/>
        <v>51</v>
      </c>
      <c r="D4689">
        <v>6319</v>
      </c>
      <c r="E4689" t="str">
        <f t="shared" si="993"/>
        <v>MC</v>
      </c>
      <c r="F4689" t="str">
        <f t="shared" si="994"/>
        <v>936</v>
      </c>
      <c r="G4689">
        <v>9</v>
      </c>
      <c r="H4689" t="str">
        <f t="shared" si="989"/>
        <v>99</v>
      </c>
      <c r="I4689" t="str">
        <f t="shared" si="984"/>
        <v>0</v>
      </c>
      <c r="J4689" t="str">
        <f t="shared" si="995"/>
        <v>81</v>
      </c>
      <c r="K4689">
        <v>20190208</v>
      </c>
      <c r="L4689" t="str">
        <f t="shared" si="990"/>
        <v>075600</v>
      </c>
      <c r="M4689" t="str">
        <f t="shared" si="991"/>
        <v>41230</v>
      </c>
      <c r="N4689" t="s">
        <v>1350</v>
      </c>
      <c r="O4689">
        <v>99.85</v>
      </c>
      <c r="P4689">
        <v>20190207</v>
      </c>
      <c r="Q4689" t="s">
        <v>2060</v>
      </c>
      <c r="R4689" t="s">
        <v>3798</v>
      </c>
      <c r="S4689" t="s">
        <v>1615</v>
      </c>
      <c r="T4689" t="s">
        <v>1713</v>
      </c>
    </row>
    <row r="4690" spans="1:20" x14ac:dyDescent="0.25">
      <c r="A4690">
        <v>9</v>
      </c>
      <c r="B4690">
        <v>199</v>
      </c>
      <c r="C4690" t="str">
        <f>"11"</f>
        <v>11</v>
      </c>
      <c r="D4690">
        <v>6412</v>
      </c>
      <c r="E4690" t="str">
        <f>"VL"</f>
        <v>VL</v>
      </c>
      <c r="F4690" t="str">
        <f>"001"</f>
        <v>001</v>
      </c>
      <c r="G4690">
        <v>9</v>
      </c>
      <c r="H4690" t="str">
        <f>"22"</f>
        <v>22</v>
      </c>
      <c r="I4690" t="str">
        <f t="shared" si="984"/>
        <v>0</v>
      </c>
      <c r="J4690" t="str">
        <f>"22"</f>
        <v>22</v>
      </c>
      <c r="K4690">
        <v>20190208</v>
      </c>
      <c r="L4690" t="str">
        <f>"075602"</f>
        <v>075602</v>
      </c>
      <c r="M4690" t="str">
        <f>"42212"</f>
        <v>42212</v>
      </c>
      <c r="N4690" t="s">
        <v>1892</v>
      </c>
      <c r="O4690">
        <v>200</v>
      </c>
      <c r="P4690">
        <v>20190207</v>
      </c>
      <c r="Q4690" t="s">
        <v>1878</v>
      </c>
      <c r="R4690" t="s">
        <v>3671</v>
      </c>
      <c r="S4690" t="s">
        <v>1615</v>
      </c>
      <c r="T4690" t="s">
        <v>301</v>
      </c>
    </row>
    <row r="4691" spans="1:20" x14ac:dyDescent="0.25">
      <c r="A4691">
        <v>9</v>
      </c>
      <c r="B4691">
        <v>199</v>
      </c>
      <c r="C4691" t="str">
        <f>"36"</f>
        <v>36</v>
      </c>
      <c r="D4691">
        <v>6411</v>
      </c>
      <c r="E4691" t="str">
        <f>"VL"</f>
        <v>VL</v>
      </c>
      <c r="F4691" t="str">
        <f>"001"</f>
        <v>001</v>
      </c>
      <c r="G4691">
        <v>9</v>
      </c>
      <c r="H4691" t="str">
        <f>"22"</f>
        <v>22</v>
      </c>
      <c r="I4691" t="str">
        <f t="shared" si="984"/>
        <v>0</v>
      </c>
      <c r="J4691" t="str">
        <f>"22"</f>
        <v>22</v>
      </c>
      <c r="K4691">
        <v>20190208</v>
      </c>
      <c r="L4691" t="str">
        <f>"075602"</f>
        <v>075602</v>
      </c>
      <c r="M4691" t="str">
        <f>"42212"</f>
        <v>42212</v>
      </c>
      <c r="N4691" t="s">
        <v>1892</v>
      </c>
      <c r="O4691">
        <v>78</v>
      </c>
      <c r="P4691">
        <v>20190207</v>
      </c>
      <c r="Q4691" t="s">
        <v>1879</v>
      </c>
      <c r="R4691" t="s">
        <v>3671</v>
      </c>
      <c r="S4691" t="s">
        <v>1615</v>
      </c>
      <c r="T4691" t="s">
        <v>301</v>
      </c>
    </row>
    <row r="4692" spans="1:20" x14ac:dyDescent="0.25">
      <c r="A4692">
        <v>9</v>
      </c>
      <c r="B4692">
        <v>199</v>
      </c>
      <c r="C4692" t="str">
        <f>"36"</f>
        <v>36</v>
      </c>
      <c r="D4692">
        <v>6412</v>
      </c>
      <c r="E4692" t="str">
        <f>"VL"</f>
        <v>VL</v>
      </c>
      <c r="F4692" t="str">
        <f>"001"</f>
        <v>001</v>
      </c>
      <c r="G4692">
        <v>9</v>
      </c>
      <c r="H4692" t="str">
        <f>"22"</f>
        <v>22</v>
      </c>
      <c r="I4692" t="str">
        <f>"5"</f>
        <v>5</v>
      </c>
      <c r="J4692" t="str">
        <f>"74"</f>
        <v>74</v>
      </c>
      <c r="K4692">
        <v>20190208</v>
      </c>
      <c r="L4692" t="str">
        <f>"075602"</f>
        <v>075602</v>
      </c>
      <c r="M4692" t="str">
        <f>"42212"</f>
        <v>42212</v>
      </c>
      <c r="N4692" t="s">
        <v>1892</v>
      </c>
      <c r="O4692">
        <v>272</v>
      </c>
      <c r="P4692">
        <v>20190207</v>
      </c>
      <c r="Q4692" t="s">
        <v>3672</v>
      </c>
      <c r="R4692" t="s">
        <v>3671</v>
      </c>
      <c r="S4692" t="s">
        <v>1615</v>
      </c>
      <c r="T4692" t="s">
        <v>301</v>
      </c>
    </row>
    <row r="4693" spans="1:20" x14ac:dyDescent="0.25">
      <c r="A4693">
        <v>9</v>
      </c>
      <c r="B4693">
        <v>199</v>
      </c>
      <c r="C4693" t="str">
        <f>"51"</f>
        <v>51</v>
      </c>
      <c r="D4693">
        <v>6319</v>
      </c>
      <c r="E4693" t="str">
        <f>"MC"</f>
        <v>MC</v>
      </c>
      <c r="F4693" t="str">
        <f>"936"</f>
        <v>936</v>
      </c>
      <c r="G4693">
        <v>9</v>
      </c>
      <c r="H4693" t="str">
        <f>"99"</f>
        <v>99</v>
      </c>
      <c r="I4693" t="str">
        <f t="shared" ref="I4693:I4710" si="996">"0"</f>
        <v>0</v>
      </c>
      <c r="J4693" t="str">
        <f>"81"</f>
        <v>81</v>
      </c>
      <c r="K4693">
        <v>20190208</v>
      </c>
      <c r="L4693" t="str">
        <f>"075604"</f>
        <v>075604</v>
      </c>
      <c r="M4693" t="str">
        <f>"45492"</f>
        <v>45492</v>
      </c>
      <c r="N4693" t="s">
        <v>3410</v>
      </c>
      <c r="O4693">
        <v>225.04</v>
      </c>
      <c r="P4693">
        <v>20190207</v>
      </c>
      <c r="Q4693" t="s">
        <v>2060</v>
      </c>
      <c r="R4693" t="s">
        <v>2533</v>
      </c>
      <c r="S4693" t="s">
        <v>1615</v>
      </c>
      <c r="T4693" t="s">
        <v>1713</v>
      </c>
    </row>
    <row r="4694" spans="1:20" x14ac:dyDescent="0.25">
      <c r="A4694">
        <v>9</v>
      </c>
      <c r="B4694">
        <v>199</v>
      </c>
      <c r="C4694" t="str">
        <f>"51"</f>
        <v>51</v>
      </c>
      <c r="D4694">
        <v>6319</v>
      </c>
      <c r="E4694" t="str">
        <f>"MC"</f>
        <v>MC</v>
      </c>
      <c r="F4694" t="str">
        <f>"936"</f>
        <v>936</v>
      </c>
      <c r="G4694">
        <v>9</v>
      </c>
      <c r="H4694" t="str">
        <f>"99"</f>
        <v>99</v>
      </c>
      <c r="I4694" t="str">
        <f t="shared" si="996"/>
        <v>0</v>
      </c>
      <c r="J4694" t="str">
        <f>"81"</f>
        <v>81</v>
      </c>
      <c r="K4694">
        <v>20190208</v>
      </c>
      <c r="L4694" t="str">
        <f>"075604"</f>
        <v>075604</v>
      </c>
      <c r="M4694" t="str">
        <f>"45492"</f>
        <v>45492</v>
      </c>
      <c r="N4694" t="s">
        <v>3410</v>
      </c>
      <c r="O4694">
        <v>35.99</v>
      </c>
      <c r="P4694">
        <v>20190207</v>
      </c>
      <c r="Q4694" t="s">
        <v>2060</v>
      </c>
      <c r="R4694" t="s">
        <v>3799</v>
      </c>
      <c r="S4694" t="s">
        <v>1615</v>
      </c>
      <c r="T4694" t="s">
        <v>1713</v>
      </c>
    </row>
    <row r="4695" spans="1:20" x14ac:dyDescent="0.25">
      <c r="A4695">
        <v>9</v>
      </c>
      <c r="B4695">
        <v>199</v>
      </c>
      <c r="C4695" t="str">
        <f>"21"</f>
        <v>21</v>
      </c>
      <c r="D4695">
        <v>6399</v>
      </c>
      <c r="E4695" t="str">
        <f>"10"</f>
        <v>10</v>
      </c>
      <c r="F4695" t="str">
        <f>"871"</f>
        <v>871</v>
      </c>
      <c r="G4695">
        <v>9</v>
      </c>
      <c r="H4695" t="str">
        <f>"99"</f>
        <v>99</v>
      </c>
      <c r="I4695" t="str">
        <f t="shared" si="996"/>
        <v>0</v>
      </c>
      <c r="J4695" t="str">
        <f>"94"</f>
        <v>94</v>
      </c>
      <c r="K4695">
        <v>20190208</v>
      </c>
      <c r="L4695" t="str">
        <f>"075605"</f>
        <v>075605</v>
      </c>
      <c r="M4695" t="str">
        <f>"45496"</f>
        <v>45496</v>
      </c>
      <c r="N4695" t="s">
        <v>3175</v>
      </c>
      <c r="O4695">
        <v>444.02</v>
      </c>
      <c r="P4695">
        <v>20190207</v>
      </c>
      <c r="Q4695" t="s">
        <v>3176</v>
      </c>
      <c r="R4695" t="s">
        <v>641</v>
      </c>
      <c r="S4695" t="s">
        <v>1615</v>
      </c>
      <c r="T4695" t="s">
        <v>1932</v>
      </c>
    </row>
    <row r="4696" spans="1:20" x14ac:dyDescent="0.25">
      <c r="A4696">
        <v>9</v>
      </c>
      <c r="B4696">
        <v>199</v>
      </c>
      <c r="C4696" t="str">
        <f>"41"</f>
        <v>41</v>
      </c>
      <c r="D4696">
        <v>6399</v>
      </c>
      <c r="E4696" t="str">
        <f>"10"</f>
        <v>10</v>
      </c>
      <c r="F4696" t="str">
        <f>"701"</f>
        <v>701</v>
      </c>
      <c r="G4696">
        <v>9</v>
      </c>
      <c r="H4696" t="str">
        <f>"99"</f>
        <v>99</v>
      </c>
      <c r="I4696" t="str">
        <f t="shared" si="996"/>
        <v>0</v>
      </c>
      <c r="J4696" t="str">
        <f>"92"</f>
        <v>92</v>
      </c>
      <c r="K4696">
        <v>20190208</v>
      </c>
      <c r="L4696" t="str">
        <f>"075605"</f>
        <v>075605</v>
      </c>
      <c r="M4696" t="str">
        <f>"45496"</f>
        <v>45496</v>
      </c>
      <c r="N4696" t="s">
        <v>3175</v>
      </c>
      <c r="O4696">
        <v>58.27</v>
      </c>
      <c r="P4696">
        <v>20190207</v>
      </c>
      <c r="Q4696" t="s">
        <v>3177</v>
      </c>
      <c r="R4696" t="s">
        <v>3800</v>
      </c>
      <c r="S4696" t="s">
        <v>1615</v>
      </c>
      <c r="T4696" t="s">
        <v>1841</v>
      </c>
    </row>
    <row r="4697" spans="1:20" x14ac:dyDescent="0.25">
      <c r="A4697">
        <v>9</v>
      </c>
      <c r="B4697">
        <v>199</v>
      </c>
      <c r="C4697" t="str">
        <f t="shared" ref="C4697:C4705" si="997">"11"</f>
        <v>11</v>
      </c>
      <c r="D4697">
        <v>6321</v>
      </c>
      <c r="E4697" t="str">
        <f>"10"</f>
        <v>10</v>
      </c>
      <c r="F4697" t="str">
        <f t="shared" ref="F4697:F4705" si="998">"001"</f>
        <v>001</v>
      </c>
      <c r="G4697">
        <v>9</v>
      </c>
      <c r="H4697" t="str">
        <f t="shared" ref="H4697:H4705" si="999">"11"</f>
        <v>11</v>
      </c>
      <c r="I4697" t="str">
        <f t="shared" si="996"/>
        <v>0</v>
      </c>
      <c r="J4697" t="str">
        <f>"01"</f>
        <v>01</v>
      </c>
      <c r="K4697">
        <v>20190208</v>
      </c>
      <c r="L4697" t="str">
        <f t="shared" ref="L4697:L4705" si="1000">"075607"</f>
        <v>075607</v>
      </c>
      <c r="M4697" t="str">
        <f t="shared" ref="M4697:M4705" si="1001">"57791"</f>
        <v>57791</v>
      </c>
      <c r="N4697" t="s">
        <v>2381</v>
      </c>
      <c r="O4697">
        <v>716</v>
      </c>
      <c r="P4697">
        <v>20190207</v>
      </c>
      <c r="Q4697" t="s">
        <v>1861</v>
      </c>
      <c r="R4697" t="s">
        <v>3801</v>
      </c>
      <c r="S4697" t="s">
        <v>1615</v>
      </c>
      <c r="T4697" t="s">
        <v>301</v>
      </c>
    </row>
    <row r="4698" spans="1:20" x14ac:dyDescent="0.25">
      <c r="A4698">
        <v>9</v>
      </c>
      <c r="B4698">
        <v>199</v>
      </c>
      <c r="C4698" t="str">
        <f t="shared" si="997"/>
        <v>11</v>
      </c>
      <c r="D4698">
        <v>6399</v>
      </c>
      <c r="E4698" t="str">
        <f>"7B"</f>
        <v>7B</v>
      </c>
      <c r="F4698" t="str">
        <f t="shared" si="998"/>
        <v>001</v>
      </c>
      <c r="G4698">
        <v>9</v>
      </c>
      <c r="H4698" t="str">
        <f t="shared" si="999"/>
        <v>11</v>
      </c>
      <c r="I4698" t="str">
        <f t="shared" si="996"/>
        <v>0</v>
      </c>
      <c r="J4698" t="str">
        <f>"32"</f>
        <v>32</v>
      </c>
      <c r="K4698">
        <v>20190208</v>
      </c>
      <c r="L4698" t="str">
        <f t="shared" si="1000"/>
        <v>075607</v>
      </c>
      <c r="M4698" t="str">
        <f t="shared" si="1001"/>
        <v>57791</v>
      </c>
      <c r="N4698" t="s">
        <v>2381</v>
      </c>
      <c r="O4698">
        <v>439.99</v>
      </c>
      <c r="P4698">
        <v>20190207</v>
      </c>
      <c r="Q4698" t="s">
        <v>2239</v>
      </c>
      <c r="R4698" t="s">
        <v>3802</v>
      </c>
      <c r="S4698" t="s">
        <v>1615</v>
      </c>
      <c r="T4698" t="s">
        <v>301</v>
      </c>
    </row>
    <row r="4699" spans="1:20" x14ac:dyDescent="0.25">
      <c r="A4699">
        <v>9</v>
      </c>
      <c r="B4699">
        <v>199</v>
      </c>
      <c r="C4699" t="str">
        <f t="shared" si="997"/>
        <v>11</v>
      </c>
      <c r="D4699">
        <v>6399</v>
      </c>
      <c r="E4699" t="str">
        <f>"7B"</f>
        <v>7B</v>
      </c>
      <c r="F4699" t="str">
        <f t="shared" si="998"/>
        <v>001</v>
      </c>
      <c r="G4699">
        <v>9</v>
      </c>
      <c r="H4699" t="str">
        <f t="shared" si="999"/>
        <v>11</v>
      </c>
      <c r="I4699" t="str">
        <f t="shared" si="996"/>
        <v>0</v>
      </c>
      <c r="J4699" t="str">
        <f>"32"</f>
        <v>32</v>
      </c>
      <c r="K4699">
        <v>20190208</v>
      </c>
      <c r="L4699" t="str">
        <f t="shared" si="1000"/>
        <v>075607</v>
      </c>
      <c r="M4699" t="str">
        <f t="shared" si="1001"/>
        <v>57791</v>
      </c>
      <c r="N4699" t="s">
        <v>2381</v>
      </c>
      <c r="O4699">
        <v>40</v>
      </c>
      <c r="P4699">
        <v>20190207</v>
      </c>
      <c r="Q4699" t="s">
        <v>2239</v>
      </c>
      <c r="R4699" t="s">
        <v>3803</v>
      </c>
      <c r="S4699" t="s">
        <v>1615</v>
      </c>
      <c r="T4699" t="s">
        <v>301</v>
      </c>
    </row>
    <row r="4700" spans="1:20" x14ac:dyDescent="0.25">
      <c r="A4700">
        <v>9</v>
      </c>
      <c r="B4700">
        <v>199</v>
      </c>
      <c r="C4700" t="str">
        <f t="shared" si="997"/>
        <v>11</v>
      </c>
      <c r="D4700">
        <v>6399</v>
      </c>
      <c r="E4700" t="str">
        <f t="shared" ref="E4700:E4705" si="1002">"7E"</f>
        <v>7E</v>
      </c>
      <c r="F4700" t="str">
        <f t="shared" si="998"/>
        <v>001</v>
      </c>
      <c r="G4700">
        <v>9</v>
      </c>
      <c r="H4700" t="str">
        <f t="shared" si="999"/>
        <v>11</v>
      </c>
      <c r="I4700" t="str">
        <f t="shared" si="996"/>
        <v>0</v>
      </c>
      <c r="J4700" t="str">
        <f t="shared" ref="J4700:J4705" si="1003">"31"</f>
        <v>31</v>
      </c>
      <c r="K4700">
        <v>20190208</v>
      </c>
      <c r="L4700" t="str">
        <f t="shared" si="1000"/>
        <v>075607</v>
      </c>
      <c r="M4700" t="str">
        <f t="shared" si="1001"/>
        <v>57791</v>
      </c>
      <c r="N4700" t="s">
        <v>2381</v>
      </c>
      <c r="O4700">
        <v>326.27</v>
      </c>
      <c r="P4700">
        <v>20190207</v>
      </c>
      <c r="Q4700" t="s">
        <v>2382</v>
      </c>
      <c r="R4700" t="s">
        <v>3036</v>
      </c>
      <c r="S4700" t="s">
        <v>1615</v>
      </c>
      <c r="T4700" t="s">
        <v>301</v>
      </c>
    </row>
    <row r="4701" spans="1:20" x14ac:dyDescent="0.25">
      <c r="A4701">
        <v>9</v>
      </c>
      <c r="B4701">
        <v>199</v>
      </c>
      <c r="C4701" t="str">
        <f t="shared" si="997"/>
        <v>11</v>
      </c>
      <c r="D4701">
        <v>6399</v>
      </c>
      <c r="E4701" t="str">
        <f t="shared" si="1002"/>
        <v>7E</v>
      </c>
      <c r="F4701" t="str">
        <f t="shared" si="998"/>
        <v>001</v>
      </c>
      <c r="G4701">
        <v>9</v>
      </c>
      <c r="H4701" t="str">
        <f t="shared" si="999"/>
        <v>11</v>
      </c>
      <c r="I4701" t="str">
        <f t="shared" si="996"/>
        <v>0</v>
      </c>
      <c r="J4701" t="str">
        <f t="shared" si="1003"/>
        <v>31</v>
      </c>
      <c r="K4701">
        <v>20190208</v>
      </c>
      <c r="L4701" t="str">
        <f t="shared" si="1000"/>
        <v>075607</v>
      </c>
      <c r="M4701" t="str">
        <f t="shared" si="1001"/>
        <v>57791</v>
      </c>
      <c r="N4701" t="s">
        <v>2381</v>
      </c>
      <c r="O4701">
        <v>24.5</v>
      </c>
      <c r="P4701">
        <v>20190207</v>
      </c>
      <c r="Q4701" t="s">
        <v>2382</v>
      </c>
      <c r="R4701" t="s">
        <v>3804</v>
      </c>
      <c r="S4701" t="s">
        <v>1615</v>
      </c>
      <c r="T4701" t="s">
        <v>301</v>
      </c>
    </row>
    <row r="4702" spans="1:20" x14ac:dyDescent="0.25">
      <c r="A4702">
        <v>9</v>
      </c>
      <c r="B4702">
        <v>199</v>
      </c>
      <c r="C4702" t="str">
        <f t="shared" si="997"/>
        <v>11</v>
      </c>
      <c r="D4702">
        <v>6399</v>
      </c>
      <c r="E4702" t="str">
        <f t="shared" si="1002"/>
        <v>7E</v>
      </c>
      <c r="F4702" t="str">
        <f t="shared" si="998"/>
        <v>001</v>
      </c>
      <c r="G4702">
        <v>9</v>
      </c>
      <c r="H4702" t="str">
        <f t="shared" si="999"/>
        <v>11</v>
      </c>
      <c r="I4702" t="str">
        <f t="shared" si="996"/>
        <v>0</v>
      </c>
      <c r="J4702" t="str">
        <f t="shared" si="1003"/>
        <v>31</v>
      </c>
      <c r="K4702">
        <v>20190208</v>
      </c>
      <c r="L4702" t="str">
        <f t="shared" si="1000"/>
        <v>075607</v>
      </c>
      <c r="M4702" t="str">
        <f t="shared" si="1001"/>
        <v>57791</v>
      </c>
      <c r="N4702" t="s">
        <v>2381</v>
      </c>
      <c r="O4702">
        <v>24.99</v>
      </c>
      <c r="P4702">
        <v>20190207</v>
      </c>
      <c r="Q4702" t="s">
        <v>2382</v>
      </c>
      <c r="R4702" t="s">
        <v>3805</v>
      </c>
      <c r="S4702" t="s">
        <v>1615</v>
      </c>
      <c r="T4702" t="s">
        <v>301</v>
      </c>
    </row>
    <row r="4703" spans="1:20" x14ac:dyDescent="0.25">
      <c r="A4703">
        <v>9</v>
      </c>
      <c r="B4703">
        <v>199</v>
      </c>
      <c r="C4703" t="str">
        <f t="shared" si="997"/>
        <v>11</v>
      </c>
      <c r="D4703">
        <v>6399</v>
      </c>
      <c r="E4703" t="str">
        <f t="shared" si="1002"/>
        <v>7E</v>
      </c>
      <c r="F4703" t="str">
        <f t="shared" si="998"/>
        <v>001</v>
      </c>
      <c r="G4703">
        <v>9</v>
      </c>
      <c r="H4703" t="str">
        <f t="shared" si="999"/>
        <v>11</v>
      </c>
      <c r="I4703" t="str">
        <f t="shared" si="996"/>
        <v>0</v>
      </c>
      <c r="J4703" t="str">
        <f t="shared" si="1003"/>
        <v>31</v>
      </c>
      <c r="K4703">
        <v>20190208</v>
      </c>
      <c r="L4703" t="str">
        <f t="shared" si="1000"/>
        <v>075607</v>
      </c>
      <c r="M4703" t="str">
        <f t="shared" si="1001"/>
        <v>57791</v>
      </c>
      <c r="N4703" t="s">
        <v>2381</v>
      </c>
      <c r="O4703">
        <v>68.97</v>
      </c>
      <c r="P4703">
        <v>20190207</v>
      </c>
      <c r="Q4703" t="s">
        <v>2382</v>
      </c>
      <c r="R4703" t="s">
        <v>3036</v>
      </c>
      <c r="S4703" t="s">
        <v>1615</v>
      </c>
      <c r="T4703" t="s">
        <v>301</v>
      </c>
    </row>
    <row r="4704" spans="1:20" x14ac:dyDescent="0.25">
      <c r="A4704">
        <v>9</v>
      </c>
      <c r="B4704">
        <v>199</v>
      </c>
      <c r="C4704" t="str">
        <f t="shared" si="997"/>
        <v>11</v>
      </c>
      <c r="D4704">
        <v>6399</v>
      </c>
      <c r="E4704" t="str">
        <f t="shared" si="1002"/>
        <v>7E</v>
      </c>
      <c r="F4704" t="str">
        <f t="shared" si="998"/>
        <v>001</v>
      </c>
      <c r="G4704">
        <v>9</v>
      </c>
      <c r="H4704" t="str">
        <f t="shared" si="999"/>
        <v>11</v>
      </c>
      <c r="I4704" t="str">
        <f t="shared" si="996"/>
        <v>0</v>
      </c>
      <c r="J4704" t="str">
        <f t="shared" si="1003"/>
        <v>31</v>
      </c>
      <c r="K4704">
        <v>20190208</v>
      </c>
      <c r="L4704" t="str">
        <f t="shared" si="1000"/>
        <v>075607</v>
      </c>
      <c r="M4704" t="str">
        <f t="shared" si="1001"/>
        <v>57791</v>
      </c>
      <c r="N4704" t="s">
        <v>2381</v>
      </c>
      <c r="O4704">
        <v>67.150000000000006</v>
      </c>
      <c r="P4704">
        <v>20190207</v>
      </c>
      <c r="Q4704" t="s">
        <v>2382</v>
      </c>
      <c r="R4704" t="s">
        <v>3806</v>
      </c>
      <c r="S4704" t="s">
        <v>1615</v>
      </c>
      <c r="T4704" t="s">
        <v>301</v>
      </c>
    </row>
    <row r="4705" spans="1:20" x14ac:dyDescent="0.25">
      <c r="A4705">
        <v>9</v>
      </c>
      <c r="B4705">
        <v>199</v>
      </c>
      <c r="C4705" t="str">
        <f t="shared" si="997"/>
        <v>11</v>
      </c>
      <c r="D4705">
        <v>6399</v>
      </c>
      <c r="E4705" t="str">
        <f t="shared" si="1002"/>
        <v>7E</v>
      </c>
      <c r="F4705" t="str">
        <f t="shared" si="998"/>
        <v>001</v>
      </c>
      <c r="G4705">
        <v>9</v>
      </c>
      <c r="H4705" t="str">
        <f t="shared" si="999"/>
        <v>11</v>
      </c>
      <c r="I4705" t="str">
        <f t="shared" si="996"/>
        <v>0</v>
      </c>
      <c r="J4705" t="str">
        <f t="shared" si="1003"/>
        <v>31</v>
      </c>
      <c r="K4705">
        <v>20190208</v>
      </c>
      <c r="L4705" t="str">
        <f t="shared" si="1000"/>
        <v>075607</v>
      </c>
      <c r="M4705" t="str">
        <f t="shared" si="1001"/>
        <v>57791</v>
      </c>
      <c r="N4705" t="s">
        <v>2381</v>
      </c>
      <c r="O4705">
        <v>30.5</v>
      </c>
      <c r="P4705">
        <v>20190207</v>
      </c>
      <c r="Q4705" t="s">
        <v>2382</v>
      </c>
      <c r="R4705" t="s">
        <v>3806</v>
      </c>
      <c r="S4705" t="s">
        <v>1615</v>
      </c>
      <c r="T4705" t="s">
        <v>301</v>
      </c>
    </row>
    <row r="4706" spans="1:20" x14ac:dyDescent="0.25">
      <c r="A4706">
        <v>9</v>
      </c>
      <c r="B4706">
        <v>199</v>
      </c>
      <c r="C4706" t="str">
        <f>"51"</f>
        <v>51</v>
      </c>
      <c r="D4706">
        <v>6319</v>
      </c>
      <c r="E4706" t="str">
        <f>"MC"</f>
        <v>MC</v>
      </c>
      <c r="F4706" t="str">
        <f>"936"</f>
        <v>936</v>
      </c>
      <c r="G4706">
        <v>9</v>
      </c>
      <c r="H4706" t="str">
        <f>"99"</f>
        <v>99</v>
      </c>
      <c r="I4706" t="str">
        <f t="shared" si="996"/>
        <v>0</v>
      </c>
      <c r="J4706" t="str">
        <f>"81"</f>
        <v>81</v>
      </c>
      <c r="K4706">
        <v>20190208</v>
      </c>
      <c r="L4706" t="str">
        <f>"075610"</f>
        <v>075610</v>
      </c>
      <c r="M4706" t="str">
        <f>"47725"</f>
        <v>47725</v>
      </c>
      <c r="N4706" t="s">
        <v>2095</v>
      </c>
      <c r="O4706">
        <v>840</v>
      </c>
      <c r="P4706">
        <v>20190207</v>
      </c>
      <c r="Q4706" t="s">
        <v>2060</v>
      </c>
      <c r="R4706" t="s">
        <v>3807</v>
      </c>
      <c r="S4706" t="s">
        <v>1615</v>
      </c>
      <c r="T4706" t="s">
        <v>1713</v>
      </c>
    </row>
    <row r="4707" spans="1:20" x14ac:dyDescent="0.25">
      <c r="A4707">
        <v>9</v>
      </c>
      <c r="B4707">
        <v>199</v>
      </c>
      <c r="C4707" t="str">
        <f>"51"</f>
        <v>51</v>
      </c>
      <c r="D4707">
        <v>6319</v>
      </c>
      <c r="E4707" t="str">
        <f>"MC"</f>
        <v>MC</v>
      </c>
      <c r="F4707" t="str">
        <f>"936"</f>
        <v>936</v>
      </c>
      <c r="G4707">
        <v>9</v>
      </c>
      <c r="H4707" t="str">
        <f>"99"</f>
        <v>99</v>
      </c>
      <c r="I4707" t="str">
        <f t="shared" si="996"/>
        <v>0</v>
      </c>
      <c r="J4707" t="str">
        <f>"81"</f>
        <v>81</v>
      </c>
      <c r="K4707">
        <v>20190208</v>
      </c>
      <c r="L4707" t="str">
        <f>"075614"</f>
        <v>075614</v>
      </c>
      <c r="M4707" t="str">
        <f>"49898"</f>
        <v>49898</v>
      </c>
      <c r="N4707" t="s">
        <v>2390</v>
      </c>
      <c r="O4707">
        <v>254.3</v>
      </c>
      <c r="P4707">
        <v>20190207</v>
      </c>
      <c r="Q4707" t="s">
        <v>2060</v>
      </c>
      <c r="R4707" t="s">
        <v>3808</v>
      </c>
      <c r="S4707" t="s">
        <v>1615</v>
      </c>
      <c r="T4707" t="s">
        <v>1713</v>
      </c>
    </row>
    <row r="4708" spans="1:20" x14ac:dyDescent="0.25">
      <c r="A4708">
        <v>9</v>
      </c>
      <c r="B4708">
        <v>199</v>
      </c>
      <c r="C4708" t="str">
        <f>"51"</f>
        <v>51</v>
      </c>
      <c r="D4708">
        <v>6319</v>
      </c>
      <c r="E4708" t="str">
        <f>"MC"</f>
        <v>MC</v>
      </c>
      <c r="F4708" t="str">
        <f>"936"</f>
        <v>936</v>
      </c>
      <c r="G4708">
        <v>9</v>
      </c>
      <c r="H4708" t="str">
        <f>"99"</f>
        <v>99</v>
      </c>
      <c r="I4708" t="str">
        <f t="shared" si="996"/>
        <v>0</v>
      </c>
      <c r="J4708" t="str">
        <f>"81"</f>
        <v>81</v>
      </c>
      <c r="K4708">
        <v>20190208</v>
      </c>
      <c r="L4708" t="str">
        <f>"075614"</f>
        <v>075614</v>
      </c>
      <c r="M4708" t="str">
        <f>"49898"</f>
        <v>49898</v>
      </c>
      <c r="N4708" t="s">
        <v>2390</v>
      </c>
      <c r="O4708" s="1">
        <v>1175.8</v>
      </c>
      <c r="P4708">
        <v>20190207</v>
      </c>
      <c r="Q4708" t="s">
        <v>2060</v>
      </c>
      <c r="R4708" t="s">
        <v>2188</v>
      </c>
      <c r="S4708" t="s">
        <v>1615</v>
      </c>
      <c r="T4708" t="s">
        <v>1713</v>
      </c>
    </row>
    <row r="4709" spans="1:20" x14ac:dyDescent="0.25">
      <c r="A4709">
        <v>9</v>
      </c>
      <c r="B4709">
        <v>199</v>
      </c>
      <c r="C4709" t="str">
        <f>"51"</f>
        <v>51</v>
      </c>
      <c r="D4709">
        <v>6319</v>
      </c>
      <c r="E4709" t="str">
        <f>"MC"</f>
        <v>MC</v>
      </c>
      <c r="F4709" t="str">
        <f>"936"</f>
        <v>936</v>
      </c>
      <c r="G4709">
        <v>9</v>
      </c>
      <c r="H4709" t="str">
        <f>"99"</f>
        <v>99</v>
      </c>
      <c r="I4709" t="str">
        <f t="shared" si="996"/>
        <v>0</v>
      </c>
      <c r="J4709" t="str">
        <f>"81"</f>
        <v>81</v>
      </c>
      <c r="K4709">
        <v>20190208</v>
      </c>
      <c r="L4709" t="str">
        <f>"075614"</f>
        <v>075614</v>
      </c>
      <c r="M4709" t="str">
        <f>"49898"</f>
        <v>49898</v>
      </c>
      <c r="N4709" t="s">
        <v>2390</v>
      </c>
      <c r="O4709">
        <v>144.41999999999999</v>
      </c>
      <c r="P4709">
        <v>20190207</v>
      </c>
      <c r="Q4709" t="s">
        <v>2060</v>
      </c>
      <c r="R4709" t="s">
        <v>3809</v>
      </c>
      <c r="S4709" t="s">
        <v>1615</v>
      </c>
      <c r="T4709" t="s">
        <v>1713</v>
      </c>
    </row>
    <row r="4710" spans="1:20" x14ac:dyDescent="0.25">
      <c r="A4710">
        <v>9</v>
      </c>
      <c r="B4710">
        <v>199</v>
      </c>
      <c r="C4710" t="str">
        <f>"51"</f>
        <v>51</v>
      </c>
      <c r="D4710">
        <v>6249</v>
      </c>
      <c r="E4710" t="str">
        <f>"M8"</f>
        <v>M8</v>
      </c>
      <c r="F4710" t="str">
        <f>"936"</f>
        <v>936</v>
      </c>
      <c r="G4710">
        <v>9</v>
      </c>
      <c r="H4710" t="str">
        <f>"99"</f>
        <v>99</v>
      </c>
      <c r="I4710" t="str">
        <f t="shared" si="996"/>
        <v>0</v>
      </c>
      <c r="J4710" t="str">
        <f>"81"</f>
        <v>81</v>
      </c>
      <c r="K4710">
        <v>20190208</v>
      </c>
      <c r="L4710" t="str">
        <f>"075617"</f>
        <v>075617</v>
      </c>
      <c r="M4710" t="str">
        <f>"52185"</f>
        <v>52185</v>
      </c>
      <c r="N4710" t="s">
        <v>1748</v>
      </c>
      <c r="O4710" s="1">
        <v>1474.73</v>
      </c>
      <c r="P4710">
        <v>20190207</v>
      </c>
      <c r="Q4710" t="s">
        <v>2096</v>
      </c>
      <c r="R4710" t="s">
        <v>3810</v>
      </c>
      <c r="S4710" t="s">
        <v>1615</v>
      </c>
      <c r="T4710" t="s">
        <v>1713</v>
      </c>
    </row>
    <row r="4711" spans="1:20" x14ac:dyDescent="0.25">
      <c r="A4711">
        <v>9</v>
      </c>
      <c r="B4711">
        <v>199</v>
      </c>
      <c r="C4711" t="str">
        <f>"31"</f>
        <v>31</v>
      </c>
      <c r="D4711">
        <v>6411</v>
      </c>
      <c r="E4711" t="str">
        <f>"00"</f>
        <v>00</v>
      </c>
      <c r="F4711" t="str">
        <f>"875"</f>
        <v>875</v>
      </c>
      <c r="G4711">
        <v>9</v>
      </c>
      <c r="H4711" t="str">
        <f>"23"</f>
        <v>23</v>
      </c>
      <c r="I4711" t="str">
        <f>"1"</f>
        <v>1</v>
      </c>
      <c r="J4711" t="str">
        <f>"23"</f>
        <v>23</v>
      </c>
      <c r="K4711">
        <v>20190208</v>
      </c>
      <c r="L4711" t="str">
        <f>"075618"</f>
        <v>075618</v>
      </c>
      <c r="M4711" t="str">
        <f>"00066"</f>
        <v>00066</v>
      </c>
      <c r="N4711" t="s">
        <v>3811</v>
      </c>
      <c r="O4711">
        <v>120.76</v>
      </c>
      <c r="P4711">
        <v>20190207</v>
      </c>
      <c r="Q4711" t="s">
        <v>3656</v>
      </c>
      <c r="R4711" t="s">
        <v>3812</v>
      </c>
      <c r="S4711" t="s">
        <v>1615</v>
      </c>
      <c r="T4711" t="s">
        <v>2041</v>
      </c>
    </row>
    <row r="4712" spans="1:20" x14ac:dyDescent="0.25">
      <c r="A4712">
        <v>9</v>
      </c>
      <c r="B4712">
        <v>199</v>
      </c>
      <c r="C4712" t="str">
        <f>"41"</f>
        <v>41</v>
      </c>
      <c r="D4712">
        <v>6213</v>
      </c>
      <c r="E4712" t="str">
        <f>"11"</f>
        <v>11</v>
      </c>
      <c r="F4712" t="str">
        <f>"703"</f>
        <v>703</v>
      </c>
      <c r="G4712">
        <v>9</v>
      </c>
      <c r="H4712" t="str">
        <f>"99"</f>
        <v>99</v>
      </c>
      <c r="I4712" t="str">
        <f t="shared" ref="I4712:I4723" si="1004">"0"</f>
        <v>0</v>
      </c>
      <c r="J4712" t="str">
        <f>"91"</f>
        <v>91</v>
      </c>
      <c r="K4712">
        <v>20190208</v>
      </c>
      <c r="L4712" t="str">
        <f>"075625"</f>
        <v>075625</v>
      </c>
      <c r="M4712" t="str">
        <f>"61166"</f>
        <v>61166</v>
      </c>
      <c r="N4712" t="s">
        <v>2892</v>
      </c>
      <c r="O4712" s="1">
        <v>1105.06</v>
      </c>
      <c r="P4712">
        <v>20190207</v>
      </c>
      <c r="Q4712" t="s">
        <v>2893</v>
      </c>
      <c r="R4712" t="s">
        <v>2894</v>
      </c>
      <c r="S4712" t="s">
        <v>1615</v>
      </c>
      <c r="T4712" t="s">
        <v>1761</v>
      </c>
    </row>
    <row r="4713" spans="1:20" x14ac:dyDescent="0.25">
      <c r="A4713">
        <v>9</v>
      </c>
      <c r="B4713">
        <v>199</v>
      </c>
      <c r="C4713" t="str">
        <f>"51"</f>
        <v>51</v>
      </c>
      <c r="D4713">
        <v>6249</v>
      </c>
      <c r="E4713" t="str">
        <f>"M1"</f>
        <v>M1</v>
      </c>
      <c r="F4713" t="str">
        <f>"936"</f>
        <v>936</v>
      </c>
      <c r="G4713">
        <v>9</v>
      </c>
      <c r="H4713" t="str">
        <f>"99"</f>
        <v>99</v>
      </c>
      <c r="I4713" t="str">
        <f t="shared" si="1004"/>
        <v>0</v>
      </c>
      <c r="J4713" t="str">
        <f>"81"</f>
        <v>81</v>
      </c>
      <c r="K4713">
        <v>20190208</v>
      </c>
      <c r="L4713" t="str">
        <f>"075626"</f>
        <v>075626</v>
      </c>
      <c r="M4713" t="str">
        <f>"00181"</f>
        <v>00181</v>
      </c>
      <c r="N4713" t="s">
        <v>1762</v>
      </c>
      <c r="O4713">
        <v>320</v>
      </c>
      <c r="P4713">
        <v>20190207</v>
      </c>
      <c r="Q4713" t="s">
        <v>1763</v>
      </c>
      <c r="R4713" s="2">
        <v>43497</v>
      </c>
      <c r="S4713" t="s">
        <v>1615</v>
      </c>
      <c r="T4713" t="s">
        <v>1713</v>
      </c>
    </row>
    <row r="4714" spans="1:20" x14ac:dyDescent="0.25">
      <c r="A4714">
        <v>9</v>
      </c>
      <c r="B4714">
        <v>199</v>
      </c>
      <c r="C4714" t="str">
        <f>"11"</f>
        <v>11</v>
      </c>
      <c r="D4714">
        <v>6399</v>
      </c>
      <c r="E4714" t="str">
        <f>"VR"</f>
        <v>VR</v>
      </c>
      <c r="F4714" t="str">
        <f>"001"</f>
        <v>001</v>
      </c>
      <c r="G4714">
        <v>9</v>
      </c>
      <c r="H4714" t="str">
        <f>"22"</f>
        <v>22</v>
      </c>
      <c r="I4714" t="str">
        <f t="shared" si="1004"/>
        <v>0</v>
      </c>
      <c r="J4714" t="str">
        <f>"22"</f>
        <v>22</v>
      </c>
      <c r="K4714">
        <v>20190208</v>
      </c>
      <c r="L4714" t="str">
        <f>"075628"</f>
        <v>075628</v>
      </c>
      <c r="M4714" t="str">
        <f>"00155"</f>
        <v>00155</v>
      </c>
      <c r="N4714" t="s">
        <v>3813</v>
      </c>
      <c r="O4714">
        <v>456</v>
      </c>
      <c r="P4714">
        <v>20190207</v>
      </c>
      <c r="Q4714" t="s">
        <v>1863</v>
      </c>
      <c r="R4714" t="s">
        <v>3814</v>
      </c>
      <c r="S4714" t="s">
        <v>1615</v>
      </c>
      <c r="T4714" t="s">
        <v>301</v>
      </c>
    </row>
    <row r="4715" spans="1:20" x14ac:dyDescent="0.25">
      <c r="A4715">
        <v>9</v>
      </c>
      <c r="B4715">
        <v>199</v>
      </c>
      <c r="C4715" t="str">
        <f>"34"</f>
        <v>34</v>
      </c>
      <c r="D4715">
        <v>6219</v>
      </c>
      <c r="E4715" t="str">
        <f>"10"</f>
        <v>10</v>
      </c>
      <c r="F4715" t="str">
        <f>"937"</f>
        <v>937</v>
      </c>
      <c r="G4715">
        <v>9</v>
      </c>
      <c r="H4715" t="str">
        <f>"99"</f>
        <v>99</v>
      </c>
      <c r="I4715" t="str">
        <f t="shared" si="1004"/>
        <v>0</v>
      </c>
      <c r="J4715" t="str">
        <f>"82"</f>
        <v>82</v>
      </c>
      <c r="K4715">
        <v>20190208</v>
      </c>
      <c r="L4715" t="str">
        <f>"075633"</f>
        <v>075633</v>
      </c>
      <c r="M4715" t="str">
        <f>"58190"</f>
        <v>58190</v>
      </c>
      <c r="N4715" t="s">
        <v>3815</v>
      </c>
      <c r="O4715">
        <v>628.80999999999995</v>
      </c>
      <c r="P4715">
        <v>20190207</v>
      </c>
      <c r="Q4715" t="s">
        <v>1808</v>
      </c>
      <c r="R4715" t="s">
        <v>3816</v>
      </c>
      <c r="S4715" t="s">
        <v>1615</v>
      </c>
      <c r="T4715" t="s">
        <v>1810</v>
      </c>
    </row>
    <row r="4716" spans="1:20" x14ac:dyDescent="0.25">
      <c r="A4716">
        <v>9</v>
      </c>
      <c r="B4716">
        <v>199</v>
      </c>
      <c r="C4716" t="str">
        <f>"00"</f>
        <v>00</v>
      </c>
      <c r="D4716">
        <v>1415</v>
      </c>
      <c r="E4716" t="str">
        <f>"01"</f>
        <v>01</v>
      </c>
      <c r="F4716" t="str">
        <f>"000"</f>
        <v>000</v>
      </c>
      <c r="G4716">
        <v>9</v>
      </c>
      <c r="H4716" t="str">
        <f>"00"</f>
        <v>00</v>
      </c>
      <c r="I4716" t="str">
        <f t="shared" si="1004"/>
        <v>0</v>
      </c>
      <c r="J4716" t="str">
        <f>"00"</f>
        <v>00</v>
      </c>
      <c r="K4716">
        <v>20190208</v>
      </c>
      <c r="L4716" t="str">
        <f>"075636"</f>
        <v>075636</v>
      </c>
      <c r="M4716" t="str">
        <f>"60362"</f>
        <v>60362</v>
      </c>
      <c r="N4716" t="s">
        <v>2296</v>
      </c>
      <c r="O4716" s="1">
        <v>4081</v>
      </c>
      <c r="P4716">
        <v>20190207</v>
      </c>
      <c r="Q4716" t="s">
        <v>2297</v>
      </c>
      <c r="R4716" t="s">
        <v>3817</v>
      </c>
      <c r="S4716" t="s">
        <v>1615</v>
      </c>
      <c r="T4716" t="s">
        <v>296</v>
      </c>
    </row>
    <row r="4717" spans="1:20" x14ac:dyDescent="0.25">
      <c r="A4717">
        <v>9</v>
      </c>
      <c r="B4717">
        <v>199</v>
      </c>
      <c r="C4717" t="str">
        <f>"51"</f>
        <v>51</v>
      </c>
      <c r="D4717">
        <v>6259</v>
      </c>
      <c r="E4717" t="str">
        <f>"10"</f>
        <v>10</v>
      </c>
      <c r="F4717" t="str">
        <f>"936"</f>
        <v>936</v>
      </c>
      <c r="G4717">
        <v>9</v>
      </c>
      <c r="H4717" t="str">
        <f t="shared" ref="H4717:H4723" si="1005">"99"</f>
        <v>99</v>
      </c>
      <c r="I4717" t="str">
        <f t="shared" si="1004"/>
        <v>0</v>
      </c>
      <c r="J4717" t="str">
        <f>"73"</f>
        <v>73</v>
      </c>
      <c r="K4717">
        <v>20190208</v>
      </c>
      <c r="L4717" t="str">
        <f>"075639"</f>
        <v>075639</v>
      </c>
      <c r="M4717" t="str">
        <f>"62340"</f>
        <v>62340</v>
      </c>
      <c r="N4717" t="s">
        <v>1787</v>
      </c>
      <c r="O4717" s="1">
        <v>4877.5200000000004</v>
      </c>
      <c r="P4717">
        <v>20190207</v>
      </c>
      <c r="Q4717" t="s">
        <v>1789</v>
      </c>
      <c r="R4717" t="s">
        <v>3818</v>
      </c>
      <c r="S4717" t="s">
        <v>1615</v>
      </c>
      <c r="T4717" t="s">
        <v>1713</v>
      </c>
    </row>
    <row r="4718" spans="1:20" x14ac:dyDescent="0.25">
      <c r="A4718">
        <v>9</v>
      </c>
      <c r="B4718">
        <v>199</v>
      </c>
      <c r="C4718" t="str">
        <f>"51"</f>
        <v>51</v>
      </c>
      <c r="D4718">
        <v>6259</v>
      </c>
      <c r="E4718" t="str">
        <f>"10"</f>
        <v>10</v>
      </c>
      <c r="F4718" t="str">
        <f>"936"</f>
        <v>936</v>
      </c>
      <c r="G4718">
        <v>9</v>
      </c>
      <c r="H4718" t="str">
        <f t="shared" si="1005"/>
        <v>99</v>
      </c>
      <c r="I4718" t="str">
        <f t="shared" si="1004"/>
        <v>0</v>
      </c>
      <c r="J4718" t="str">
        <f>"81"</f>
        <v>81</v>
      </c>
      <c r="K4718">
        <v>20190208</v>
      </c>
      <c r="L4718" t="str">
        <f>"075639"</f>
        <v>075639</v>
      </c>
      <c r="M4718" t="str">
        <f>"62340"</f>
        <v>62340</v>
      </c>
      <c r="N4718" t="s">
        <v>1787</v>
      </c>
      <c r="O4718">
        <v>635.86</v>
      </c>
      <c r="P4718">
        <v>20190207</v>
      </c>
      <c r="Q4718" t="s">
        <v>3819</v>
      </c>
      <c r="R4718" t="s">
        <v>3820</v>
      </c>
      <c r="S4718" t="s">
        <v>1615</v>
      </c>
      <c r="T4718" t="s">
        <v>1713</v>
      </c>
    </row>
    <row r="4719" spans="1:20" x14ac:dyDescent="0.25">
      <c r="A4719">
        <v>9</v>
      </c>
      <c r="B4719">
        <v>199</v>
      </c>
      <c r="C4719" t="str">
        <f>"36"</f>
        <v>36</v>
      </c>
      <c r="D4719">
        <v>6399</v>
      </c>
      <c r="E4719" t="str">
        <f>"09"</f>
        <v>09</v>
      </c>
      <c r="F4719" t="str">
        <f>"001"</f>
        <v>001</v>
      </c>
      <c r="G4719">
        <v>9</v>
      </c>
      <c r="H4719" t="str">
        <f t="shared" si="1005"/>
        <v>99</v>
      </c>
      <c r="I4719" t="str">
        <f t="shared" si="1004"/>
        <v>0</v>
      </c>
      <c r="J4719" t="str">
        <f>"01"</f>
        <v>01</v>
      </c>
      <c r="K4719">
        <v>20190208</v>
      </c>
      <c r="L4719" t="str">
        <f>"075645"</f>
        <v>075645</v>
      </c>
      <c r="M4719" t="str">
        <f>"64955"</f>
        <v>64955</v>
      </c>
      <c r="N4719" t="s">
        <v>3451</v>
      </c>
      <c r="O4719">
        <v>254</v>
      </c>
      <c r="P4719">
        <v>20190207</v>
      </c>
      <c r="Q4719" t="s">
        <v>2177</v>
      </c>
      <c r="R4719" t="s">
        <v>3821</v>
      </c>
      <c r="S4719" t="s">
        <v>1615</v>
      </c>
      <c r="T4719" t="s">
        <v>301</v>
      </c>
    </row>
    <row r="4720" spans="1:20" x14ac:dyDescent="0.25">
      <c r="A4720">
        <v>9</v>
      </c>
      <c r="B4720">
        <v>199</v>
      </c>
      <c r="C4720" t="str">
        <f>"36"</f>
        <v>36</v>
      </c>
      <c r="D4720">
        <v>6399</v>
      </c>
      <c r="E4720" t="str">
        <f>"09"</f>
        <v>09</v>
      </c>
      <c r="F4720" t="str">
        <f>"001"</f>
        <v>001</v>
      </c>
      <c r="G4720">
        <v>9</v>
      </c>
      <c r="H4720" t="str">
        <f t="shared" si="1005"/>
        <v>99</v>
      </c>
      <c r="I4720" t="str">
        <f t="shared" si="1004"/>
        <v>0</v>
      </c>
      <c r="J4720" t="str">
        <f>"01"</f>
        <v>01</v>
      </c>
      <c r="K4720">
        <v>20190208</v>
      </c>
      <c r="L4720" t="str">
        <f>"075645"</f>
        <v>075645</v>
      </c>
      <c r="M4720" t="str">
        <f>"64955"</f>
        <v>64955</v>
      </c>
      <c r="N4720" t="s">
        <v>3451</v>
      </c>
      <c r="O4720">
        <v>152.80000000000001</v>
      </c>
      <c r="P4720">
        <v>20190207</v>
      </c>
      <c r="Q4720" t="s">
        <v>2177</v>
      </c>
      <c r="R4720" t="s">
        <v>3822</v>
      </c>
      <c r="S4720" t="s">
        <v>1615</v>
      </c>
      <c r="T4720" t="s">
        <v>301</v>
      </c>
    </row>
    <row r="4721" spans="1:20" x14ac:dyDescent="0.25">
      <c r="A4721">
        <v>9</v>
      </c>
      <c r="B4721">
        <v>199</v>
      </c>
      <c r="C4721" t="str">
        <f>"51"</f>
        <v>51</v>
      </c>
      <c r="D4721">
        <v>6249</v>
      </c>
      <c r="E4721" t="str">
        <f>"WF"</f>
        <v>WF</v>
      </c>
      <c r="F4721" t="str">
        <f>"936"</f>
        <v>936</v>
      </c>
      <c r="G4721">
        <v>9</v>
      </c>
      <c r="H4721" t="str">
        <f t="shared" si="1005"/>
        <v>99</v>
      </c>
      <c r="I4721" t="str">
        <f t="shared" si="1004"/>
        <v>0</v>
      </c>
      <c r="J4721" t="str">
        <f>"82"</f>
        <v>82</v>
      </c>
      <c r="K4721">
        <v>20190208</v>
      </c>
      <c r="L4721" t="str">
        <f>"075655"</f>
        <v>075655</v>
      </c>
      <c r="M4721" t="str">
        <f>"71225"</f>
        <v>71225</v>
      </c>
      <c r="N4721" t="s">
        <v>1803</v>
      </c>
      <c r="O4721">
        <v>27.5</v>
      </c>
      <c r="P4721">
        <v>20190207</v>
      </c>
      <c r="Q4721" t="s">
        <v>2127</v>
      </c>
      <c r="R4721" t="s">
        <v>3823</v>
      </c>
      <c r="S4721" t="s">
        <v>1615</v>
      </c>
      <c r="T4721" t="s">
        <v>1713</v>
      </c>
    </row>
    <row r="4722" spans="1:20" x14ac:dyDescent="0.25">
      <c r="A4722">
        <v>9</v>
      </c>
      <c r="B4722">
        <v>199</v>
      </c>
      <c r="C4722" t="str">
        <f>"51"</f>
        <v>51</v>
      </c>
      <c r="D4722">
        <v>6256</v>
      </c>
      <c r="E4722" t="str">
        <f>"10"</f>
        <v>10</v>
      </c>
      <c r="F4722" t="str">
        <f>"936"</f>
        <v>936</v>
      </c>
      <c r="G4722">
        <v>9</v>
      </c>
      <c r="H4722" t="str">
        <f t="shared" si="1005"/>
        <v>99</v>
      </c>
      <c r="I4722" t="str">
        <f t="shared" si="1004"/>
        <v>0</v>
      </c>
      <c r="J4722" t="str">
        <f>"81"</f>
        <v>81</v>
      </c>
      <c r="K4722">
        <v>20190208</v>
      </c>
      <c r="L4722" t="str">
        <f>"075657"</f>
        <v>075657</v>
      </c>
      <c r="M4722" t="str">
        <f>"72340"</f>
        <v>72340</v>
      </c>
      <c r="N4722" t="s">
        <v>1652</v>
      </c>
      <c r="O4722">
        <v>223.36</v>
      </c>
      <c r="P4722">
        <v>20190207</v>
      </c>
      <c r="Q4722" t="s">
        <v>2679</v>
      </c>
      <c r="R4722" t="s">
        <v>3824</v>
      </c>
      <c r="S4722" t="s">
        <v>1615</v>
      </c>
      <c r="T4722" t="s">
        <v>1713</v>
      </c>
    </row>
    <row r="4723" spans="1:20" x14ac:dyDescent="0.25">
      <c r="A4723">
        <v>9</v>
      </c>
      <c r="B4723">
        <v>199</v>
      </c>
      <c r="C4723" t="str">
        <f>"36"</f>
        <v>36</v>
      </c>
      <c r="D4723">
        <v>6411</v>
      </c>
      <c r="E4723" t="str">
        <f>"09"</f>
        <v>09</v>
      </c>
      <c r="F4723" t="str">
        <f>"041"</f>
        <v>041</v>
      </c>
      <c r="G4723">
        <v>9</v>
      </c>
      <c r="H4723" t="str">
        <f t="shared" si="1005"/>
        <v>99</v>
      </c>
      <c r="I4723" t="str">
        <f t="shared" si="1004"/>
        <v>0</v>
      </c>
      <c r="J4723" t="str">
        <f>"03"</f>
        <v>03</v>
      </c>
      <c r="K4723">
        <v>20190208</v>
      </c>
      <c r="L4723" t="str">
        <f>"075658"</f>
        <v>075658</v>
      </c>
      <c r="M4723" t="str">
        <f>"73550"</f>
        <v>73550</v>
      </c>
      <c r="N4723" t="s">
        <v>3825</v>
      </c>
      <c r="O4723">
        <v>550</v>
      </c>
      <c r="P4723">
        <v>20190207</v>
      </c>
      <c r="Q4723" t="s">
        <v>3826</v>
      </c>
      <c r="R4723" t="s">
        <v>3827</v>
      </c>
      <c r="S4723" t="s">
        <v>1615</v>
      </c>
      <c r="T4723" t="s">
        <v>106</v>
      </c>
    </row>
    <row r="4724" spans="1:20" x14ac:dyDescent="0.25">
      <c r="A4724">
        <v>9</v>
      </c>
      <c r="B4724">
        <v>199</v>
      </c>
      <c r="C4724" t="str">
        <f>"11"</f>
        <v>11</v>
      </c>
      <c r="D4724">
        <v>6412</v>
      </c>
      <c r="E4724" t="str">
        <f>"NL"</f>
        <v>NL</v>
      </c>
      <c r="F4724" t="str">
        <f>"001"</f>
        <v>001</v>
      </c>
      <c r="G4724">
        <v>9</v>
      </c>
      <c r="H4724" t="str">
        <f>"22"</f>
        <v>22</v>
      </c>
      <c r="I4724" t="str">
        <f>"1"</f>
        <v>1</v>
      </c>
      <c r="J4724" t="str">
        <f>"22"</f>
        <v>22</v>
      </c>
      <c r="K4724">
        <v>20190208</v>
      </c>
      <c r="L4724" t="str">
        <f>"075659"</f>
        <v>075659</v>
      </c>
      <c r="M4724" t="str">
        <f>"75515"</f>
        <v>75515</v>
      </c>
      <c r="N4724" t="s">
        <v>3828</v>
      </c>
      <c r="O4724">
        <v>260</v>
      </c>
      <c r="P4724">
        <v>20190207</v>
      </c>
      <c r="Q4724" t="s">
        <v>2708</v>
      </c>
      <c r="R4724" t="s">
        <v>3747</v>
      </c>
      <c r="S4724" t="s">
        <v>1615</v>
      </c>
      <c r="T4724" t="s">
        <v>301</v>
      </c>
    </row>
    <row r="4725" spans="1:20" x14ac:dyDescent="0.25">
      <c r="A4725">
        <v>9</v>
      </c>
      <c r="B4725">
        <v>199</v>
      </c>
      <c r="C4725" t="str">
        <f>"36"</f>
        <v>36</v>
      </c>
      <c r="D4725">
        <v>6411</v>
      </c>
      <c r="E4725" t="str">
        <f>"NL"</f>
        <v>NL</v>
      </c>
      <c r="F4725" t="str">
        <f>"001"</f>
        <v>001</v>
      </c>
      <c r="G4725">
        <v>9</v>
      </c>
      <c r="H4725" t="str">
        <f>"22"</f>
        <v>22</v>
      </c>
      <c r="I4725" t="str">
        <f t="shared" ref="I4725:I4771" si="1006">"0"</f>
        <v>0</v>
      </c>
      <c r="J4725" t="str">
        <f>"22"</f>
        <v>22</v>
      </c>
      <c r="K4725">
        <v>20190208</v>
      </c>
      <c r="L4725" t="str">
        <f>"075659"</f>
        <v>075659</v>
      </c>
      <c r="M4725" t="str">
        <f>"75515"</f>
        <v>75515</v>
      </c>
      <c r="N4725" t="s">
        <v>3828</v>
      </c>
      <c r="O4725">
        <v>66.66</v>
      </c>
      <c r="P4725">
        <v>20190207</v>
      </c>
      <c r="Q4725" t="s">
        <v>2710</v>
      </c>
      <c r="R4725" t="s">
        <v>3747</v>
      </c>
      <c r="S4725" t="s">
        <v>1615</v>
      </c>
      <c r="T4725" t="s">
        <v>301</v>
      </c>
    </row>
    <row r="4726" spans="1:20" x14ac:dyDescent="0.25">
      <c r="A4726">
        <v>9</v>
      </c>
      <c r="B4726">
        <v>199</v>
      </c>
      <c r="C4726" t="str">
        <f>"41"</f>
        <v>41</v>
      </c>
      <c r="D4726">
        <v>6498</v>
      </c>
      <c r="E4726" t="str">
        <f>"10"</f>
        <v>10</v>
      </c>
      <c r="F4726" t="str">
        <f>"701"</f>
        <v>701</v>
      </c>
      <c r="G4726">
        <v>9</v>
      </c>
      <c r="H4726" t="str">
        <f>"99"</f>
        <v>99</v>
      </c>
      <c r="I4726" t="str">
        <f t="shared" si="1006"/>
        <v>0</v>
      </c>
      <c r="J4726" t="str">
        <f>"92"</f>
        <v>92</v>
      </c>
      <c r="K4726">
        <v>20190208</v>
      </c>
      <c r="L4726" t="str">
        <f>"075660"</f>
        <v>075660</v>
      </c>
      <c r="M4726" t="str">
        <f>"00539"</f>
        <v>00539</v>
      </c>
      <c r="N4726" t="s">
        <v>2332</v>
      </c>
      <c r="O4726">
        <v>40.99</v>
      </c>
      <c r="P4726">
        <v>20190207</v>
      </c>
      <c r="Q4726" t="s">
        <v>2202</v>
      </c>
      <c r="R4726" t="s">
        <v>3829</v>
      </c>
      <c r="S4726" t="s">
        <v>1615</v>
      </c>
      <c r="T4726" t="s">
        <v>1841</v>
      </c>
    </row>
    <row r="4727" spans="1:20" x14ac:dyDescent="0.25">
      <c r="A4727">
        <v>9</v>
      </c>
      <c r="B4727">
        <v>199</v>
      </c>
      <c r="C4727" t="str">
        <f>"11"</f>
        <v>11</v>
      </c>
      <c r="D4727">
        <v>6399</v>
      </c>
      <c r="E4727" t="str">
        <f>"V8"</f>
        <v>V8</v>
      </c>
      <c r="F4727" t="str">
        <f>"001"</f>
        <v>001</v>
      </c>
      <c r="G4727">
        <v>9</v>
      </c>
      <c r="H4727" t="str">
        <f>"22"</f>
        <v>22</v>
      </c>
      <c r="I4727" t="str">
        <f t="shared" si="1006"/>
        <v>0</v>
      </c>
      <c r="J4727" t="str">
        <f>"22"</f>
        <v>22</v>
      </c>
      <c r="K4727">
        <v>20190208</v>
      </c>
      <c r="L4727" t="str">
        <f>"075666"</f>
        <v>075666</v>
      </c>
      <c r="M4727" t="str">
        <f>"80500"</f>
        <v>80500</v>
      </c>
      <c r="N4727" t="s">
        <v>2340</v>
      </c>
      <c r="O4727">
        <v>120.32</v>
      </c>
      <c r="P4727">
        <v>20190207</v>
      </c>
      <c r="Q4727" t="s">
        <v>2001</v>
      </c>
      <c r="R4727" t="s">
        <v>3152</v>
      </c>
      <c r="S4727" t="s">
        <v>1615</v>
      </c>
      <c r="T4727" t="s">
        <v>301</v>
      </c>
    </row>
    <row r="4728" spans="1:20" x14ac:dyDescent="0.25">
      <c r="A4728">
        <v>9</v>
      </c>
      <c r="B4728">
        <v>199</v>
      </c>
      <c r="C4728" t="str">
        <f>"36"</f>
        <v>36</v>
      </c>
      <c r="D4728">
        <v>6412</v>
      </c>
      <c r="E4728" t="str">
        <f>"7B"</f>
        <v>7B</v>
      </c>
      <c r="F4728" t="str">
        <f>"001"</f>
        <v>001</v>
      </c>
      <c r="G4728">
        <v>9</v>
      </c>
      <c r="H4728" t="str">
        <f>"99"</f>
        <v>99</v>
      </c>
      <c r="I4728" t="str">
        <f t="shared" si="1006"/>
        <v>0</v>
      </c>
      <c r="J4728" t="str">
        <f>"32"</f>
        <v>32</v>
      </c>
      <c r="K4728">
        <v>20190208</v>
      </c>
      <c r="L4728" t="str">
        <f>"075672"</f>
        <v>075672</v>
      </c>
      <c r="M4728" t="str">
        <f>"82511"</f>
        <v>82511</v>
      </c>
      <c r="N4728" t="s">
        <v>582</v>
      </c>
      <c r="O4728">
        <v>418</v>
      </c>
      <c r="P4728">
        <v>20190207</v>
      </c>
      <c r="Q4728" t="s">
        <v>1658</v>
      </c>
      <c r="R4728" t="s">
        <v>3830</v>
      </c>
      <c r="S4728" t="s">
        <v>1615</v>
      </c>
      <c r="T4728" t="s">
        <v>301</v>
      </c>
    </row>
    <row r="4729" spans="1:20" x14ac:dyDescent="0.25">
      <c r="A4729">
        <v>9</v>
      </c>
      <c r="B4729">
        <v>199</v>
      </c>
      <c r="C4729" t="str">
        <f>"11"</f>
        <v>11</v>
      </c>
      <c r="D4729">
        <v>6299</v>
      </c>
      <c r="E4729" t="str">
        <f>"00"</f>
        <v>00</v>
      </c>
      <c r="F4729" t="str">
        <f>"104"</f>
        <v>104</v>
      </c>
      <c r="G4729">
        <v>9</v>
      </c>
      <c r="H4729" t="str">
        <f>"11"</f>
        <v>11</v>
      </c>
      <c r="I4729" t="str">
        <f t="shared" si="1006"/>
        <v>0</v>
      </c>
      <c r="J4729" t="str">
        <f>"05"</f>
        <v>05</v>
      </c>
      <c r="K4729">
        <v>20190208</v>
      </c>
      <c r="L4729" t="str">
        <f>"075673"</f>
        <v>075673</v>
      </c>
      <c r="M4729" t="str">
        <f>"83060"</f>
        <v>83060</v>
      </c>
      <c r="N4729" t="s">
        <v>2151</v>
      </c>
      <c r="O4729" s="1">
        <v>1280</v>
      </c>
      <c r="P4729">
        <v>20190207</v>
      </c>
      <c r="Q4729" t="s">
        <v>2152</v>
      </c>
      <c r="R4729" t="s">
        <v>3831</v>
      </c>
      <c r="S4729" t="s">
        <v>1615</v>
      </c>
      <c r="T4729" t="s">
        <v>46</v>
      </c>
    </row>
    <row r="4730" spans="1:20" x14ac:dyDescent="0.25">
      <c r="A4730">
        <v>9</v>
      </c>
      <c r="B4730">
        <v>199</v>
      </c>
      <c r="C4730" t="str">
        <f>"52"</f>
        <v>52</v>
      </c>
      <c r="D4730">
        <v>6219</v>
      </c>
      <c r="E4730" t="str">
        <f>"00"</f>
        <v>00</v>
      </c>
      <c r="F4730" t="str">
        <f>"101"</f>
        <v>101</v>
      </c>
      <c r="G4730">
        <v>9</v>
      </c>
      <c r="H4730" t="str">
        <f>"99"</f>
        <v>99</v>
      </c>
      <c r="I4730" t="str">
        <f t="shared" si="1006"/>
        <v>0</v>
      </c>
      <c r="J4730" t="str">
        <f>"00"</f>
        <v>00</v>
      </c>
      <c r="K4730">
        <v>20190208</v>
      </c>
      <c r="L4730" t="str">
        <f>"075677"</f>
        <v>075677</v>
      </c>
      <c r="M4730" t="str">
        <f>"00242"</f>
        <v>00242</v>
      </c>
      <c r="N4730" t="s">
        <v>1669</v>
      </c>
      <c r="O4730">
        <v>300</v>
      </c>
      <c r="P4730">
        <v>20190207</v>
      </c>
      <c r="Q4730" t="s">
        <v>1854</v>
      </c>
      <c r="R4730" t="s">
        <v>3832</v>
      </c>
      <c r="S4730" t="s">
        <v>1615</v>
      </c>
      <c r="T4730" t="s">
        <v>1479</v>
      </c>
    </row>
    <row r="4731" spans="1:20" x14ac:dyDescent="0.25">
      <c r="A4731">
        <v>9</v>
      </c>
      <c r="B4731">
        <v>199</v>
      </c>
      <c r="C4731" t="str">
        <f t="shared" ref="C4731:C4736" si="1007">"11"</f>
        <v>11</v>
      </c>
      <c r="D4731">
        <v>6399</v>
      </c>
      <c r="E4731" t="str">
        <f>"10"</f>
        <v>10</v>
      </c>
      <c r="F4731" t="str">
        <f>"041"</f>
        <v>041</v>
      </c>
      <c r="G4731">
        <v>9</v>
      </c>
      <c r="H4731" t="str">
        <f t="shared" ref="H4731:H4736" si="1008">"11"</f>
        <v>11</v>
      </c>
      <c r="I4731" t="str">
        <f t="shared" si="1006"/>
        <v>0</v>
      </c>
      <c r="J4731" t="str">
        <f>"03"</f>
        <v>03</v>
      </c>
      <c r="K4731">
        <v>20190215</v>
      </c>
      <c r="L4731" t="str">
        <f t="shared" ref="L4731:L4737" si="1009">"075678"</f>
        <v>075678</v>
      </c>
      <c r="M4731" t="str">
        <f t="shared" ref="M4731:M4737" si="1010">"03710"</f>
        <v>03710</v>
      </c>
      <c r="N4731" t="s">
        <v>1385</v>
      </c>
      <c r="O4731">
        <v>124.82</v>
      </c>
      <c r="P4731">
        <v>20190213</v>
      </c>
      <c r="Q4731" t="s">
        <v>2956</v>
      </c>
      <c r="R4731" t="s">
        <v>2793</v>
      </c>
      <c r="S4731" t="s">
        <v>1615</v>
      </c>
      <c r="T4731" t="s">
        <v>106</v>
      </c>
    </row>
    <row r="4732" spans="1:20" x14ac:dyDescent="0.25">
      <c r="A4732">
        <v>9</v>
      </c>
      <c r="B4732">
        <v>199</v>
      </c>
      <c r="C4732" t="str">
        <f t="shared" si="1007"/>
        <v>11</v>
      </c>
      <c r="D4732">
        <v>6399</v>
      </c>
      <c r="E4732" t="str">
        <f>"45"</f>
        <v>45</v>
      </c>
      <c r="F4732" t="str">
        <f>"101"</f>
        <v>101</v>
      </c>
      <c r="G4732">
        <v>9</v>
      </c>
      <c r="H4732" t="str">
        <f t="shared" si="1008"/>
        <v>11</v>
      </c>
      <c r="I4732" t="str">
        <f t="shared" si="1006"/>
        <v>0</v>
      </c>
      <c r="J4732" t="str">
        <f>"04"</f>
        <v>04</v>
      </c>
      <c r="K4732">
        <v>20190215</v>
      </c>
      <c r="L4732" t="str">
        <f t="shared" si="1009"/>
        <v>075678</v>
      </c>
      <c r="M4732" t="str">
        <f t="shared" si="1010"/>
        <v>03710</v>
      </c>
      <c r="N4732" t="s">
        <v>1385</v>
      </c>
      <c r="O4732">
        <v>338.01</v>
      </c>
      <c r="P4732">
        <v>20190213</v>
      </c>
      <c r="Q4732" t="s">
        <v>1859</v>
      </c>
      <c r="R4732" t="s">
        <v>641</v>
      </c>
      <c r="S4732" t="s">
        <v>1615</v>
      </c>
      <c r="T4732" t="s">
        <v>1479</v>
      </c>
    </row>
    <row r="4733" spans="1:20" x14ac:dyDescent="0.25">
      <c r="A4733">
        <v>9</v>
      </c>
      <c r="B4733">
        <v>199</v>
      </c>
      <c r="C4733" t="str">
        <f t="shared" si="1007"/>
        <v>11</v>
      </c>
      <c r="D4733">
        <v>6399</v>
      </c>
      <c r="E4733" t="str">
        <f>"78"</f>
        <v>78</v>
      </c>
      <c r="F4733" t="str">
        <f>"041"</f>
        <v>041</v>
      </c>
      <c r="G4733">
        <v>9</v>
      </c>
      <c r="H4733" t="str">
        <f t="shared" si="1008"/>
        <v>11</v>
      </c>
      <c r="I4733" t="str">
        <f t="shared" si="1006"/>
        <v>0</v>
      </c>
      <c r="J4733" t="str">
        <f>"03"</f>
        <v>03</v>
      </c>
      <c r="K4733">
        <v>20190215</v>
      </c>
      <c r="L4733" t="str">
        <f t="shared" si="1009"/>
        <v>075678</v>
      </c>
      <c r="M4733" t="str">
        <f t="shared" si="1010"/>
        <v>03710</v>
      </c>
      <c r="N4733" t="s">
        <v>1385</v>
      </c>
      <c r="O4733">
        <v>456.19</v>
      </c>
      <c r="P4733">
        <v>20190213</v>
      </c>
      <c r="Q4733" t="s">
        <v>3444</v>
      </c>
      <c r="R4733" t="s">
        <v>3833</v>
      </c>
      <c r="S4733" t="s">
        <v>1615</v>
      </c>
      <c r="T4733" t="s">
        <v>106</v>
      </c>
    </row>
    <row r="4734" spans="1:20" x14ac:dyDescent="0.25">
      <c r="A4734">
        <v>9</v>
      </c>
      <c r="B4734">
        <v>199</v>
      </c>
      <c r="C4734" t="str">
        <f t="shared" si="1007"/>
        <v>11</v>
      </c>
      <c r="D4734">
        <v>6399</v>
      </c>
      <c r="E4734" t="str">
        <f>"78"</f>
        <v>78</v>
      </c>
      <c r="F4734" t="str">
        <f>"041"</f>
        <v>041</v>
      </c>
      <c r="G4734">
        <v>9</v>
      </c>
      <c r="H4734" t="str">
        <f t="shared" si="1008"/>
        <v>11</v>
      </c>
      <c r="I4734" t="str">
        <f t="shared" si="1006"/>
        <v>0</v>
      </c>
      <c r="J4734" t="str">
        <f>"03"</f>
        <v>03</v>
      </c>
      <c r="K4734">
        <v>20190215</v>
      </c>
      <c r="L4734" t="str">
        <f t="shared" si="1009"/>
        <v>075678</v>
      </c>
      <c r="M4734" t="str">
        <f t="shared" si="1010"/>
        <v>03710</v>
      </c>
      <c r="N4734" t="s">
        <v>1385</v>
      </c>
      <c r="O4734">
        <v>19.38</v>
      </c>
      <c r="P4734">
        <v>20190213</v>
      </c>
      <c r="Q4734" t="s">
        <v>3444</v>
      </c>
      <c r="R4734" t="s">
        <v>3834</v>
      </c>
      <c r="S4734" t="s">
        <v>1615</v>
      </c>
      <c r="T4734" t="s">
        <v>106</v>
      </c>
    </row>
    <row r="4735" spans="1:20" x14ac:dyDescent="0.25">
      <c r="A4735">
        <v>9</v>
      </c>
      <c r="B4735">
        <v>199</v>
      </c>
      <c r="C4735" t="str">
        <f t="shared" si="1007"/>
        <v>11</v>
      </c>
      <c r="D4735">
        <v>6399</v>
      </c>
      <c r="E4735" t="str">
        <f>"78"</f>
        <v>78</v>
      </c>
      <c r="F4735" t="str">
        <f>"041"</f>
        <v>041</v>
      </c>
      <c r="G4735">
        <v>9</v>
      </c>
      <c r="H4735" t="str">
        <f t="shared" si="1008"/>
        <v>11</v>
      </c>
      <c r="I4735" t="str">
        <f t="shared" si="1006"/>
        <v>0</v>
      </c>
      <c r="J4735" t="str">
        <f>"03"</f>
        <v>03</v>
      </c>
      <c r="K4735">
        <v>20190215</v>
      </c>
      <c r="L4735" t="str">
        <f t="shared" si="1009"/>
        <v>075678</v>
      </c>
      <c r="M4735" t="str">
        <f t="shared" si="1010"/>
        <v>03710</v>
      </c>
      <c r="N4735" t="s">
        <v>1385</v>
      </c>
      <c r="O4735">
        <v>-30.22</v>
      </c>
      <c r="P4735">
        <v>20190207</v>
      </c>
      <c r="Q4735" t="s">
        <v>3444</v>
      </c>
      <c r="R4735" t="s">
        <v>3835</v>
      </c>
      <c r="S4735" t="s">
        <v>1615</v>
      </c>
      <c r="T4735" t="s">
        <v>106</v>
      </c>
    </row>
    <row r="4736" spans="1:20" x14ac:dyDescent="0.25">
      <c r="A4736">
        <v>9</v>
      </c>
      <c r="B4736">
        <v>199</v>
      </c>
      <c r="C4736" t="str">
        <f t="shared" si="1007"/>
        <v>11</v>
      </c>
      <c r="D4736">
        <v>6399</v>
      </c>
      <c r="E4736" t="str">
        <f>"7K"</f>
        <v>7K</v>
      </c>
      <c r="F4736" t="str">
        <f>"041"</f>
        <v>041</v>
      </c>
      <c r="G4736">
        <v>9</v>
      </c>
      <c r="H4736" t="str">
        <f t="shared" si="1008"/>
        <v>11</v>
      </c>
      <c r="I4736" t="str">
        <f t="shared" si="1006"/>
        <v>0</v>
      </c>
      <c r="J4736" t="str">
        <f>"03"</f>
        <v>03</v>
      </c>
      <c r="K4736">
        <v>20190215</v>
      </c>
      <c r="L4736" t="str">
        <f t="shared" si="1009"/>
        <v>075678</v>
      </c>
      <c r="M4736" t="str">
        <f t="shared" si="1010"/>
        <v>03710</v>
      </c>
      <c r="N4736" t="s">
        <v>1385</v>
      </c>
      <c r="O4736">
        <v>266.13</v>
      </c>
      <c r="P4736">
        <v>20190213</v>
      </c>
      <c r="Q4736" t="s">
        <v>2666</v>
      </c>
      <c r="R4736" t="s">
        <v>2793</v>
      </c>
      <c r="S4736" t="s">
        <v>1615</v>
      </c>
      <c r="T4736" t="s">
        <v>106</v>
      </c>
    </row>
    <row r="4737" spans="1:20" x14ac:dyDescent="0.25">
      <c r="A4737">
        <v>9</v>
      </c>
      <c r="B4737">
        <v>199</v>
      </c>
      <c r="C4737" t="str">
        <f>"41"</f>
        <v>41</v>
      </c>
      <c r="D4737">
        <v>6649</v>
      </c>
      <c r="E4737" t="str">
        <f>"10"</f>
        <v>10</v>
      </c>
      <c r="F4737" t="str">
        <f>"701"</f>
        <v>701</v>
      </c>
      <c r="G4737">
        <v>9</v>
      </c>
      <c r="H4737" t="str">
        <f>"99"</f>
        <v>99</v>
      </c>
      <c r="I4737" t="str">
        <f t="shared" si="1006"/>
        <v>0</v>
      </c>
      <c r="J4737" t="str">
        <f>"92"</f>
        <v>92</v>
      </c>
      <c r="K4737">
        <v>20190215</v>
      </c>
      <c r="L4737" t="str">
        <f t="shared" si="1009"/>
        <v>075678</v>
      </c>
      <c r="M4737" t="str">
        <f t="shared" si="1010"/>
        <v>03710</v>
      </c>
      <c r="N4737" t="s">
        <v>1385</v>
      </c>
      <c r="O4737">
        <v>805.03</v>
      </c>
      <c r="P4737">
        <v>20190213</v>
      </c>
      <c r="Q4737" t="s">
        <v>3836</v>
      </c>
      <c r="R4737" t="s">
        <v>3837</v>
      </c>
      <c r="S4737" t="s">
        <v>1615</v>
      </c>
      <c r="T4737" t="s">
        <v>1841</v>
      </c>
    </row>
    <row r="4738" spans="1:20" x14ac:dyDescent="0.25">
      <c r="A4738">
        <v>9</v>
      </c>
      <c r="B4738">
        <v>199</v>
      </c>
      <c r="C4738" t="str">
        <f t="shared" ref="C4738:C4743" si="1011">"11"</f>
        <v>11</v>
      </c>
      <c r="D4738">
        <v>6269</v>
      </c>
      <c r="E4738" t="str">
        <f>"V8"</f>
        <v>V8</v>
      </c>
      <c r="F4738" t="str">
        <f t="shared" ref="F4738:F4743" si="1012">"001"</f>
        <v>001</v>
      </c>
      <c r="G4738">
        <v>9</v>
      </c>
      <c r="H4738" t="str">
        <f>"22"</f>
        <v>22</v>
      </c>
      <c r="I4738" t="str">
        <f t="shared" si="1006"/>
        <v>0</v>
      </c>
      <c r="J4738" t="str">
        <f>"22"</f>
        <v>22</v>
      </c>
      <c r="K4738">
        <v>20190215</v>
      </c>
      <c r="L4738" t="str">
        <f>"075680"</f>
        <v>075680</v>
      </c>
      <c r="M4738" t="str">
        <f>"02230"</f>
        <v>02230</v>
      </c>
      <c r="N4738" t="s">
        <v>1673</v>
      </c>
      <c r="O4738">
        <v>680.99</v>
      </c>
      <c r="P4738">
        <v>20190213</v>
      </c>
      <c r="Q4738" t="s">
        <v>2154</v>
      </c>
      <c r="R4738" t="s">
        <v>3838</v>
      </c>
      <c r="S4738" t="s">
        <v>1615</v>
      </c>
      <c r="T4738" t="s">
        <v>301</v>
      </c>
    </row>
    <row r="4739" spans="1:20" x14ac:dyDescent="0.25">
      <c r="A4739">
        <v>9</v>
      </c>
      <c r="B4739">
        <v>199</v>
      </c>
      <c r="C4739" t="str">
        <f t="shared" si="1011"/>
        <v>11</v>
      </c>
      <c r="D4739">
        <v>6269</v>
      </c>
      <c r="E4739" t="str">
        <f>"V8"</f>
        <v>V8</v>
      </c>
      <c r="F4739" t="str">
        <f t="shared" si="1012"/>
        <v>001</v>
      </c>
      <c r="G4739">
        <v>9</v>
      </c>
      <c r="H4739" t="str">
        <f>"22"</f>
        <v>22</v>
      </c>
      <c r="I4739" t="str">
        <f t="shared" si="1006"/>
        <v>0</v>
      </c>
      <c r="J4739" t="str">
        <f>"22"</f>
        <v>22</v>
      </c>
      <c r="K4739">
        <v>20190215</v>
      </c>
      <c r="L4739" t="str">
        <f>"075680"</f>
        <v>075680</v>
      </c>
      <c r="M4739" t="str">
        <f>"02230"</f>
        <v>02230</v>
      </c>
      <c r="N4739" t="s">
        <v>1673</v>
      </c>
      <c r="O4739">
        <v>88.37</v>
      </c>
      <c r="P4739">
        <v>20190213</v>
      </c>
      <c r="Q4739" t="s">
        <v>2154</v>
      </c>
      <c r="R4739" t="s">
        <v>3324</v>
      </c>
      <c r="S4739" t="s">
        <v>1615</v>
      </c>
      <c r="T4739" t="s">
        <v>301</v>
      </c>
    </row>
    <row r="4740" spans="1:20" x14ac:dyDescent="0.25">
      <c r="A4740">
        <v>9</v>
      </c>
      <c r="B4740">
        <v>199</v>
      </c>
      <c r="C4740" t="str">
        <f t="shared" si="1011"/>
        <v>11</v>
      </c>
      <c r="D4740">
        <v>6321</v>
      </c>
      <c r="E4740" t="str">
        <f>"10"</f>
        <v>10</v>
      </c>
      <c r="F4740" t="str">
        <f t="shared" si="1012"/>
        <v>001</v>
      </c>
      <c r="G4740">
        <v>9</v>
      </c>
      <c r="H4740" t="str">
        <f>"11"</f>
        <v>11</v>
      </c>
      <c r="I4740" t="str">
        <f t="shared" si="1006"/>
        <v>0</v>
      </c>
      <c r="J4740" t="str">
        <f>"01"</f>
        <v>01</v>
      </c>
      <c r="K4740">
        <v>20190215</v>
      </c>
      <c r="L4740" t="str">
        <f>"075681"</f>
        <v>075681</v>
      </c>
      <c r="M4740" t="str">
        <f>"04410"</f>
        <v>04410</v>
      </c>
      <c r="N4740" t="s">
        <v>410</v>
      </c>
      <c r="O4740">
        <v>461.4</v>
      </c>
      <c r="P4740">
        <v>20190213</v>
      </c>
      <c r="Q4740" t="s">
        <v>1861</v>
      </c>
      <c r="R4740" t="s">
        <v>3839</v>
      </c>
      <c r="S4740" t="s">
        <v>1615</v>
      </c>
      <c r="T4740" t="s">
        <v>301</v>
      </c>
    </row>
    <row r="4741" spans="1:20" x14ac:dyDescent="0.25">
      <c r="A4741">
        <v>9</v>
      </c>
      <c r="B4741">
        <v>199</v>
      </c>
      <c r="C4741" t="str">
        <f t="shared" si="1011"/>
        <v>11</v>
      </c>
      <c r="D4741">
        <v>6399</v>
      </c>
      <c r="E4741" t="str">
        <f>"10"</f>
        <v>10</v>
      </c>
      <c r="F4741" t="str">
        <f t="shared" si="1012"/>
        <v>001</v>
      </c>
      <c r="G4741">
        <v>9</v>
      </c>
      <c r="H4741" t="str">
        <f>"11"</f>
        <v>11</v>
      </c>
      <c r="I4741" t="str">
        <f t="shared" si="1006"/>
        <v>0</v>
      </c>
      <c r="J4741" t="str">
        <f>"01"</f>
        <v>01</v>
      </c>
      <c r="K4741">
        <v>20190215</v>
      </c>
      <c r="L4741" t="str">
        <f>"075681"</f>
        <v>075681</v>
      </c>
      <c r="M4741" t="str">
        <f>"04410"</f>
        <v>04410</v>
      </c>
      <c r="N4741" t="s">
        <v>410</v>
      </c>
      <c r="O4741">
        <v>243.64</v>
      </c>
      <c r="P4741">
        <v>20190213</v>
      </c>
      <c r="Q4741" t="s">
        <v>1675</v>
      </c>
      <c r="R4741" t="s">
        <v>3840</v>
      </c>
      <c r="S4741" t="s">
        <v>1615</v>
      </c>
      <c r="T4741" t="s">
        <v>301</v>
      </c>
    </row>
    <row r="4742" spans="1:20" x14ac:dyDescent="0.25">
      <c r="A4742">
        <v>9</v>
      </c>
      <c r="B4742">
        <v>199</v>
      </c>
      <c r="C4742" t="str">
        <f t="shared" si="1011"/>
        <v>11</v>
      </c>
      <c r="D4742">
        <v>6399</v>
      </c>
      <c r="E4742" t="str">
        <f>"72"</f>
        <v>72</v>
      </c>
      <c r="F4742" t="str">
        <f t="shared" si="1012"/>
        <v>001</v>
      </c>
      <c r="G4742">
        <v>9</v>
      </c>
      <c r="H4742" t="str">
        <f>"11"</f>
        <v>11</v>
      </c>
      <c r="I4742" t="str">
        <f t="shared" si="1006"/>
        <v>0</v>
      </c>
      <c r="J4742" t="str">
        <f>"01"</f>
        <v>01</v>
      </c>
      <c r="K4742">
        <v>20190215</v>
      </c>
      <c r="L4742" t="str">
        <f>"075681"</f>
        <v>075681</v>
      </c>
      <c r="M4742" t="str">
        <f>"04410"</f>
        <v>04410</v>
      </c>
      <c r="N4742" t="s">
        <v>410</v>
      </c>
      <c r="O4742">
        <v>67.72</v>
      </c>
      <c r="P4742">
        <v>20190213</v>
      </c>
      <c r="Q4742" t="s">
        <v>3841</v>
      </c>
      <c r="R4742" t="s">
        <v>3842</v>
      </c>
      <c r="S4742" t="s">
        <v>1615</v>
      </c>
      <c r="T4742" t="s">
        <v>301</v>
      </c>
    </row>
    <row r="4743" spans="1:20" x14ac:dyDescent="0.25">
      <c r="A4743">
        <v>9</v>
      </c>
      <c r="B4743">
        <v>199</v>
      </c>
      <c r="C4743" t="str">
        <f t="shared" si="1011"/>
        <v>11</v>
      </c>
      <c r="D4743">
        <v>6399</v>
      </c>
      <c r="E4743" t="str">
        <f>"N1"</f>
        <v>N1</v>
      </c>
      <c r="F4743" t="str">
        <f t="shared" si="1012"/>
        <v>001</v>
      </c>
      <c r="G4743">
        <v>9</v>
      </c>
      <c r="H4743" t="str">
        <f>"11"</f>
        <v>11</v>
      </c>
      <c r="I4743" t="str">
        <f t="shared" si="1006"/>
        <v>0</v>
      </c>
      <c r="J4743" t="str">
        <f>"01"</f>
        <v>01</v>
      </c>
      <c r="K4743">
        <v>20190215</v>
      </c>
      <c r="L4743" t="str">
        <f>"075681"</f>
        <v>075681</v>
      </c>
      <c r="M4743" t="str">
        <f>"04410"</f>
        <v>04410</v>
      </c>
      <c r="N4743" t="s">
        <v>410</v>
      </c>
      <c r="O4743">
        <v>154.34</v>
      </c>
      <c r="P4743">
        <v>20190213</v>
      </c>
      <c r="Q4743" t="s">
        <v>2637</v>
      </c>
      <c r="R4743" t="s">
        <v>3843</v>
      </c>
      <c r="S4743" t="s">
        <v>1615</v>
      </c>
      <c r="T4743" t="s">
        <v>301</v>
      </c>
    </row>
    <row r="4744" spans="1:20" x14ac:dyDescent="0.25">
      <c r="A4744">
        <v>9</v>
      </c>
      <c r="B4744">
        <v>199</v>
      </c>
      <c r="C4744" t="str">
        <f>"51"</f>
        <v>51</v>
      </c>
      <c r="D4744">
        <v>6249</v>
      </c>
      <c r="E4744" t="str">
        <f>"WF"</f>
        <v>WF</v>
      </c>
      <c r="F4744" t="str">
        <f>"936"</f>
        <v>936</v>
      </c>
      <c r="G4744">
        <v>9</v>
      </c>
      <c r="H4744" t="str">
        <f>"99"</f>
        <v>99</v>
      </c>
      <c r="I4744" t="str">
        <f t="shared" si="1006"/>
        <v>0</v>
      </c>
      <c r="J4744" t="str">
        <f>"82"</f>
        <v>82</v>
      </c>
      <c r="K4744">
        <v>20190215</v>
      </c>
      <c r="L4744" t="str">
        <f>"075682"</f>
        <v>075682</v>
      </c>
      <c r="M4744" t="str">
        <f>"24208"</f>
        <v>24208</v>
      </c>
      <c r="N4744" t="s">
        <v>2356</v>
      </c>
      <c r="O4744">
        <v>65</v>
      </c>
      <c r="P4744">
        <v>20190213</v>
      </c>
      <c r="Q4744" t="s">
        <v>2127</v>
      </c>
      <c r="R4744" t="s">
        <v>3844</v>
      </c>
      <c r="S4744" t="s">
        <v>1615</v>
      </c>
      <c r="T4744" t="s">
        <v>1713</v>
      </c>
    </row>
    <row r="4745" spans="1:20" x14ac:dyDescent="0.25">
      <c r="A4745">
        <v>9</v>
      </c>
      <c r="B4745">
        <v>199</v>
      </c>
      <c r="C4745" t="str">
        <f>"11"</f>
        <v>11</v>
      </c>
      <c r="D4745">
        <v>6399</v>
      </c>
      <c r="E4745" t="str">
        <f>"VA"</f>
        <v>VA</v>
      </c>
      <c r="F4745" t="str">
        <f>"001"</f>
        <v>001</v>
      </c>
      <c r="G4745">
        <v>9</v>
      </c>
      <c r="H4745" t="str">
        <f>"22"</f>
        <v>22</v>
      </c>
      <c r="I4745" t="str">
        <f t="shared" si="1006"/>
        <v>0</v>
      </c>
      <c r="J4745" t="str">
        <f>"22"</f>
        <v>22</v>
      </c>
      <c r="K4745">
        <v>20190215</v>
      </c>
      <c r="L4745" t="str">
        <f>"075687"</f>
        <v>075687</v>
      </c>
      <c r="M4745" t="str">
        <f>"08196"</f>
        <v>08196</v>
      </c>
      <c r="N4745" t="s">
        <v>2185</v>
      </c>
      <c r="O4745">
        <v>99.96</v>
      </c>
      <c r="P4745">
        <v>20190213</v>
      </c>
      <c r="Q4745" t="s">
        <v>2186</v>
      </c>
      <c r="R4745" t="s">
        <v>3845</v>
      </c>
      <c r="S4745" t="s">
        <v>1615</v>
      </c>
      <c r="T4745" t="s">
        <v>301</v>
      </c>
    </row>
    <row r="4746" spans="1:20" x14ac:dyDescent="0.25">
      <c r="A4746">
        <v>9</v>
      </c>
      <c r="B4746">
        <v>199</v>
      </c>
      <c r="C4746" t="str">
        <f>"11"</f>
        <v>11</v>
      </c>
      <c r="D4746">
        <v>6399</v>
      </c>
      <c r="E4746" t="str">
        <f>"VA"</f>
        <v>VA</v>
      </c>
      <c r="F4746" t="str">
        <f>"001"</f>
        <v>001</v>
      </c>
      <c r="G4746">
        <v>9</v>
      </c>
      <c r="H4746" t="str">
        <f>"22"</f>
        <v>22</v>
      </c>
      <c r="I4746" t="str">
        <f t="shared" si="1006"/>
        <v>0</v>
      </c>
      <c r="J4746" t="str">
        <f>"22"</f>
        <v>22</v>
      </c>
      <c r="K4746">
        <v>20190215</v>
      </c>
      <c r="L4746" t="str">
        <f>"075687"</f>
        <v>075687</v>
      </c>
      <c r="M4746" t="str">
        <f>"08196"</f>
        <v>08196</v>
      </c>
      <c r="N4746" t="s">
        <v>2185</v>
      </c>
      <c r="O4746">
        <v>121.98</v>
      </c>
      <c r="P4746">
        <v>20190213</v>
      </c>
      <c r="Q4746" t="s">
        <v>2186</v>
      </c>
      <c r="R4746" t="s">
        <v>3846</v>
      </c>
      <c r="S4746" t="s">
        <v>1615</v>
      </c>
      <c r="T4746" t="s">
        <v>301</v>
      </c>
    </row>
    <row r="4747" spans="1:20" x14ac:dyDescent="0.25">
      <c r="A4747">
        <v>9</v>
      </c>
      <c r="B4747">
        <v>199</v>
      </c>
      <c r="C4747" t="str">
        <f>"34"</f>
        <v>34</v>
      </c>
      <c r="D4747">
        <v>6399</v>
      </c>
      <c r="E4747" t="str">
        <f>"11"</f>
        <v>11</v>
      </c>
      <c r="F4747" t="str">
        <f>"937"</f>
        <v>937</v>
      </c>
      <c r="G4747">
        <v>9</v>
      </c>
      <c r="H4747" t="str">
        <f>"99"</f>
        <v>99</v>
      </c>
      <c r="I4747" t="str">
        <f t="shared" si="1006"/>
        <v>0</v>
      </c>
      <c r="J4747" t="str">
        <f>"82"</f>
        <v>82</v>
      </c>
      <c r="K4747">
        <v>20190215</v>
      </c>
      <c r="L4747" t="str">
        <f>"075687"</f>
        <v>075687</v>
      </c>
      <c r="M4747" t="str">
        <f>"08196"</f>
        <v>08196</v>
      </c>
      <c r="N4747" t="s">
        <v>2185</v>
      </c>
      <c r="O4747">
        <v>286.45</v>
      </c>
      <c r="P4747">
        <v>20190213</v>
      </c>
      <c r="Q4747" t="s">
        <v>2210</v>
      </c>
      <c r="R4747" t="s">
        <v>2211</v>
      </c>
      <c r="S4747" t="s">
        <v>1615</v>
      </c>
      <c r="T4747" t="s">
        <v>1810</v>
      </c>
    </row>
    <row r="4748" spans="1:20" x14ac:dyDescent="0.25">
      <c r="A4748">
        <v>9</v>
      </c>
      <c r="B4748">
        <v>199</v>
      </c>
      <c r="C4748" t="str">
        <f>"34"</f>
        <v>34</v>
      </c>
      <c r="D4748">
        <v>6399</v>
      </c>
      <c r="E4748" t="str">
        <f>"11"</f>
        <v>11</v>
      </c>
      <c r="F4748" t="str">
        <f>"937"</f>
        <v>937</v>
      </c>
      <c r="G4748">
        <v>9</v>
      </c>
      <c r="H4748" t="str">
        <f>"99"</f>
        <v>99</v>
      </c>
      <c r="I4748" t="str">
        <f t="shared" si="1006"/>
        <v>0</v>
      </c>
      <c r="J4748" t="str">
        <f>"82"</f>
        <v>82</v>
      </c>
      <c r="K4748">
        <v>20190215</v>
      </c>
      <c r="L4748" t="str">
        <f>"075687"</f>
        <v>075687</v>
      </c>
      <c r="M4748" t="str">
        <f>"08196"</f>
        <v>08196</v>
      </c>
      <c r="N4748" t="s">
        <v>2185</v>
      </c>
      <c r="O4748">
        <v>54.69</v>
      </c>
      <c r="P4748">
        <v>20190213</v>
      </c>
      <c r="Q4748" t="s">
        <v>2210</v>
      </c>
      <c r="R4748" t="s">
        <v>2211</v>
      </c>
      <c r="S4748" t="s">
        <v>1615</v>
      </c>
      <c r="T4748" t="s">
        <v>1810</v>
      </c>
    </row>
    <row r="4749" spans="1:20" x14ac:dyDescent="0.25">
      <c r="A4749">
        <v>9</v>
      </c>
      <c r="B4749">
        <v>199</v>
      </c>
      <c r="C4749" t="str">
        <f>"36"</f>
        <v>36</v>
      </c>
      <c r="D4749">
        <v>6412</v>
      </c>
      <c r="E4749" t="str">
        <f>"09"</f>
        <v>09</v>
      </c>
      <c r="F4749" t="str">
        <f>"001"</f>
        <v>001</v>
      </c>
      <c r="G4749">
        <v>9</v>
      </c>
      <c r="H4749" t="str">
        <f>"99"</f>
        <v>99</v>
      </c>
      <c r="I4749" t="str">
        <f t="shared" si="1006"/>
        <v>0</v>
      </c>
      <c r="J4749" t="str">
        <f>"01"</f>
        <v>01</v>
      </c>
      <c r="K4749">
        <v>20190215</v>
      </c>
      <c r="L4749" t="str">
        <f>"075693"</f>
        <v>075693</v>
      </c>
      <c r="M4749" t="str">
        <f>"18251"</f>
        <v>18251</v>
      </c>
      <c r="N4749" t="s">
        <v>302</v>
      </c>
      <c r="O4749">
        <v>708</v>
      </c>
      <c r="P4749">
        <v>20190213</v>
      </c>
      <c r="Q4749" t="s">
        <v>2427</v>
      </c>
      <c r="R4749" t="s">
        <v>3847</v>
      </c>
      <c r="S4749" t="s">
        <v>1615</v>
      </c>
      <c r="T4749" t="s">
        <v>301</v>
      </c>
    </row>
    <row r="4750" spans="1:20" x14ac:dyDescent="0.25">
      <c r="A4750">
        <v>9</v>
      </c>
      <c r="B4750">
        <v>199</v>
      </c>
      <c r="C4750" t="str">
        <f>"11"</f>
        <v>11</v>
      </c>
      <c r="D4750">
        <v>6399</v>
      </c>
      <c r="E4750" t="str">
        <f>"VR"</f>
        <v>VR</v>
      </c>
      <c r="F4750" t="str">
        <f>"001"</f>
        <v>001</v>
      </c>
      <c r="G4750">
        <v>9</v>
      </c>
      <c r="H4750" t="str">
        <f>"22"</f>
        <v>22</v>
      </c>
      <c r="I4750" t="str">
        <f t="shared" si="1006"/>
        <v>0</v>
      </c>
      <c r="J4750" t="str">
        <f>"22"</f>
        <v>22</v>
      </c>
      <c r="K4750">
        <v>20190215</v>
      </c>
      <c r="L4750" t="str">
        <f>"075695"</f>
        <v>075695</v>
      </c>
      <c r="M4750" t="str">
        <f>"19160"</f>
        <v>19160</v>
      </c>
      <c r="N4750" t="s">
        <v>3097</v>
      </c>
      <c r="O4750">
        <v>705.65</v>
      </c>
      <c r="P4750">
        <v>20190213</v>
      </c>
      <c r="Q4750" t="s">
        <v>1863</v>
      </c>
      <c r="R4750" t="s">
        <v>3848</v>
      </c>
      <c r="S4750" t="s">
        <v>1615</v>
      </c>
      <c r="T4750" t="s">
        <v>301</v>
      </c>
    </row>
    <row r="4751" spans="1:20" x14ac:dyDescent="0.25">
      <c r="A4751">
        <v>9</v>
      </c>
      <c r="B4751">
        <v>199</v>
      </c>
      <c r="C4751" t="str">
        <f>"11"</f>
        <v>11</v>
      </c>
      <c r="D4751">
        <v>6399</v>
      </c>
      <c r="E4751" t="str">
        <f>"VR"</f>
        <v>VR</v>
      </c>
      <c r="F4751" t="str">
        <f>"001"</f>
        <v>001</v>
      </c>
      <c r="G4751">
        <v>9</v>
      </c>
      <c r="H4751" t="str">
        <f>"22"</f>
        <v>22</v>
      </c>
      <c r="I4751" t="str">
        <f t="shared" si="1006"/>
        <v>0</v>
      </c>
      <c r="J4751" t="str">
        <f>"22"</f>
        <v>22</v>
      </c>
      <c r="K4751">
        <v>20190215</v>
      </c>
      <c r="L4751" t="str">
        <f>"075695"</f>
        <v>075695</v>
      </c>
      <c r="M4751" t="str">
        <f>"19160"</f>
        <v>19160</v>
      </c>
      <c r="N4751" t="s">
        <v>3097</v>
      </c>
      <c r="O4751">
        <v>98.75</v>
      </c>
      <c r="P4751">
        <v>20190213</v>
      </c>
      <c r="Q4751" t="s">
        <v>1863</v>
      </c>
      <c r="R4751" t="s">
        <v>3849</v>
      </c>
      <c r="S4751" t="s">
        <v>1615</v>
      </c>
      <c r="T4751" t="s">
        <v>301</v>
      </c>
    </row>
    <row r="4752" spans="1:20" x14ac:dyDescent="0.25">
      <c r="A4752">
        <v>9</v>
      </c>
      <c r="B4752">
        <v>199</v>
      </c>
      <c r="C4752" t="str">
        <f>"11"</f>
        <v>11</v>
      </c>
      <c r="D4752">
        <v>6399</v>
      </c>
      <c r="E4752" t="str">
        <f>"VR"</f>
        <v>VR</v>
      </c>
      <c r="F4752" t="str">
        <f>"001"</f>
        <v>001</v>
      </c>
      <c r="G4752">
        <v>9</v>
      </c>
      <c r="H4752" t="str">
        <f>"22"</f>
        <v>22</v>
      </c>
      <c r="I4752" t="str">
        <f t="shared" si="1006"/>
        <v>0</v>
      </c>
      <c r="J4752" t="str">
        <f>"22"</f>
        <v>22</v>
      </c>
      <c r="K4752">
        <v>20190215</v>
      </c>
      <c r="L4752" t="str">
        <f>"075695"</f>
        <v>075695</v>
      </c>
      <c r="M4752" t="str">
        <f>"19160"</f>
        <v>19160</v>
      </c>
      <c r="N4752" t="s">
        <v>3097</v>
      </c>
      <c r="O4752">
        <v>133.85</v>
      </c>
      <c r="P4752">
        <v>20190213</v>
      </c>
      <c r="Q4752" t="s">
        <v>1863</v>
      </c>
      <c r="R4752" t="s">
        <v>3850</v>
      </c>
      <c r="S4752" t="s">
        <v>1615</v>
      </c>
      <c r="T4752" t="s">
        <v>301</v>
      </c>
    </row>
    <row r="4753" spans="1:20" x14ac:dyDescent="0.25">
      <c r="A4753">
        <v>9</v>
      </c>
      <c r="B4753">
        <v>199</v>
      </c>
      <c r="C4753" t="str">
        <f>"00"</f>
        <v>00</v>
      </c>
      <c r="D4753">
        <v>1312</v>
      </c>
      <c r="E4753" t="str">
        <f>"00"</f>
        <v>00</v>
      </c>
      <c r="F4753" t="str">
        <f>"000"</f>
        <v>000</v>
      </c>
      <c r="G4753">
        <v>9</v>
      </c>
      <c r="H4753" t="str">
        <f>"00"</f>
        <v>00</v>
      </c>
      <c r="I4753" t="str">
        <f t="shared" si="1006"/>
        <v>0</v>
      </c>
      <c r="J4753" t="str">
        <f>"00"</f>
        <v>00</v>
      </c>
      <c r="K4753">
        <v>20190215</v>
      </c>
      <c r="L4753" t="str">
        <f>"075696"</f>
        <v>075696</v>
      </c>
      <c r="M4753" t="str">
        <f>"14821"</f>
        <v>14821</v>
      </c>
      <c r="N4753" t="s">
        <v>1224</v>
      </c>
      <c r="O4753">
        <v>622.6</v>
      </c>
      <c r="P4753">
        <v>20190213</v>
      </c>
      <c r="Q4753" t="s">
        <v>1860</v>
      </c>
      <c r="R4753" t="s">
        <v>1225</v>
      </c>
      <c r="S4753" t="s">
        <v>1615</v>
      </c>
      <c r="T4753" t="s">
        <v>296</v>
      </c>
    </row>
    <row r="4754" spans="1:20" x14ac:dyDescent="0.25">
      <c r="A4754">
        <v>9</v>
      </c>
      <c r="B4754">
        <v>199</v>
      </c>
      <c r="C4754" t="str">
        <f t="shared" ref="C4754:C4767" si="1013">"11"</f>
        <v>11</v>
      </c>
      <c r="D4754">
        <v>6399</v>
      </c>
      <c r="E4754" t="str">
        <f>"45"</f>
        <v>45</v>
      </c>
      <c r="F4754" t="str">
        <f>"041"</f>
        <v>041</v>
      </c>
      <c r="G4754">
        <v>9</v>
      </c>
      <c r="H4754" t="str">
        <f>"11"</f>
        <v>11</v>
      </c>
      <c r="I4754" t="str">
        <f t="shared" si="1006"/>
        <v>0</v>
      </c>
      <c r="J4754" t="str">
        <f>"03"</f>
        <v>03</v>
      </c>
      <c r="K4754">
        <v>20190215</v>
      </c>
      <c r="L4754" t="str">
        <f>"075696"</f>
        <v>075696</v>
      </c>
      <c r="M4754" t="str">
        <f>"14821"</f>
        <v>14821</v>
      </c>
      <c r="N4754" t="s">
        <v>1224</v>
      </c>
      <c r="O4754" s="1">
        <v>1245.2</v>
      </c>
      <c r="P4754">
        <v>20190213</v>
      </c>
      <c r="Q4754" t="s">
        <v>2204</v>
      </c>
      <c r="R4754" t="s">
        <v>1225</v>
      </c>
      <c r="S4754" t="s">
        <v>1615</v>
      </c>
      <c r="T4754" t="s">
        <v>106</v>
      </c>
    </row>
    <row r="4755" spans="1:20" x14ac:dyDescent="0.25">
      <c r="A4755">
        <v>9</v>
      </c>
      <c r="B4755">
        <v>199</v>
      </c>
      <c r="C4755" t="str">
        <f t="shared" si="1013"/>
        <v>11</v>
      </c>
      <c r="D4755">
        <v>6399</v>
      </c>
      <c r="E4755" t="str">
        <f>"45"</f>
        <v>45</v>
      </c>
      <c r="F4755" t="str">
        <f>"101"</f>
        <v>101</v>
      </c>
      <c r="G4755">
        <v>9</v>
      </c>
      <c r="H4755" t="str">
        <f>"11"</f>
        <v>11</v>
      </c>
      <c r="I4755" t="str">
        <f t="shared" si="1006"/>
        <v>0</v>
      </c>
      <c r="J4755" t="str">
        <f>"04"</f>
        <v>04</v>
      </c>
      <c r="K4755">
        <v>20190215</v>
      </c>
      <c r="L4755" t="str">
        <f>"075696"</f>
        <v>075696</v>
      </c>
      <c r="M4755" t="str">
        <f>"14821"</f>
        <v>14821</v>
      </c>
      <c r="N4755" t="s">
        <v>1224</v>
      </c>
      <c r="O4755" s="1">
        <v>1393</v>
      </c>
      <c r="P4755">
        <v>20190213</v>
      </c>
      <c r="Q4755" t="s">
        <v>1859</v>
      </c>
      <c r="R4755" t="s">
        <v>1225</v>
      </c>
      <c r="S4755" t="s">
        <v>1615</v>
      </c>
      <c r="T4755" t="s">
        <v>1479</v>
      </c>
    </row>
    <row r="4756" spans="1:20" x14ac:dyDescent="0.25">
      <c r="A4756">
        <v>9</v>
      </c>
      <c r="B4756">
        <v>199</v>
      </c>
      <c r="C4756" t="str">
        <f t="shared" si="1013"/>
        <v>11</v>
      </c>
      <c r="D4756">
        <v>6399</v>
      </c>
      <c r="E4756" t="str">
        <f>"45"</f>
        <v>45</v>
      </c>
      <c r="F4756" t="str">
        <f>"104"</f>
        <v>104</v>
      </c>
      <c r="G4756">
        <v>9</v>
      </c>
      <c r="H4756" t="str">
        <f>"11"</f>
        <v>11</v>
      </c>
      <c r="I4756" t="str">
        <f t="shared" si="1006"/>
        <v>0</v>
      </c>
      <c r="J4756" t="str">
        <f>"05"</f>
        <v>05</v>
      </c>
      <c r="K4756">
        <v>20190215</v>
      </c>
      <c r="L4756" t="str">
        <f>"075696"</f>
        <v>075696</v>
      </c>
      <c r="M4756" t="str">
        <f>"14821"</f>
        <v>14821</v>
      </c>
      <c r="N4756" t="s">
        <v>1224</v>
      </c>
      <c r="O4756" s="1">
        <v>1556.5</v>
      </c>
      <c r="P4756">
        <v>20190213</v>
      </c>
      <c r="Q4756" t="s">
        <v>2069</v>
      </c>
      <c r="R4756" t="s">
        <v>1225</v>
      </c>
      <c r="S4756" t="s">
        <v>1615</v>
      </c>
      <c r="T4756" t="s">
        <v>46</v>
      </c>
    </row>
    <row r="4757" spans="1:20" x14ac:dyDescent="0.25">
      <c r="A4757">
        <v>9</v>
      </c>
      <c r="B4757">
        <v>199</v>
      </c>
      <c r="C4757" t="str">
        <f t="shared" si="1013"/>
        <v>11</v>
      </c>
      <c r="D4757">
        <v>6399</v>
      </c>
      <c r="E4757" t="str">
        <f>"8U"</f>
        <v>8U</v>
      </c>
      <c r="F4757" t="str">
        <f t="shared" ref="F4757:F4767" si="1014">"001"</f>
        <v>001</v>
      </c>
      <c r="G4757">
        <v>9</v>
      </c>
      <c r="H4757" t="str">
        <f>"11"</f>
        <v>11</v>
      </c>
      <c r="I4757" t="str">
        <f t="shared" si="1006"/>
        <v>0</v>
      </c>
      <c r="J4757" t="str">
        <f>"01"</f>
        <v>01</v>
      </c>
      <c r="K4757">
        <v>20190215</v>
      </c>
      <c r="L4757" t="str">
        <f>"075696"</f>
        <v>075696</v>
      </c>
      <c r="M4757" t="str">
        <f>"14821"</f>
        <v>14821</v>
      </c>
      <c r="N4757" t="s">
        <v>1224</v>
      </c>
      <c r="O4757" s="1">
        <v>1867.8</v>
      </c>
      <c r="P4757">
        <v>20190213</v>
      </c>
      <c r="Q4757" t="s">
        <v>2205</v>
      </c>
      <c r="R4757" t="s">
        <v>1225</v>
      </c>
      <c r="S4757" t="s">
        <v>1615</v>
      </c>
      <c r="T4757" t="s">
        <v>301</v>
      </c>
    </row>
    <row r="4758" spans="1:20" x14ac:dyDescent="0.25">
      <c r="A4758">
        <v>9</v>
      </c>
      <c r="B4758">
        <v>199</v>
      </c>
      <c r="C4758" t="str">
        <f t="shared" si="1013"/>
        <v>11</v>
      </c>
      <c r="D4758">
        <v>6269</v>
      </c>
      <c r="E4758" t="str">
        <f>"VA"</f>
        <v>VA</v>
      </c>
      <c r="F4758" t="str">
        <f t="shared" si="1014"/>
        <v>001</v>
      </c>
      <c r="G4758">
        <v>9</v>
      </c>
      <c r="H4758" t="str">
        <f t="shared" ref="H4758:H4767" si="1015">"22"</f>
        <v>22</v>
      </c>
      <c r="I4758" t="str">
        <f t="shared" si="1006"/>
        <v>0</v>
      </c>
      <c r="J4758" t="str">
        <f t="shared" ref="J4758:J4767" si="1016">"22"</f>
        <v>22</v>
      </c>
      <c r="K4758">
        <v>20190215</v>
      </c>
      <c r="L4758" t="str">
        <f t="shared" ref="L4758:L4767" si="1017">"075698"</f>
        <v>075698</v>
      </c>
      <c r="M4758" t="str">
        <f t="shared" ref="M4758:M4767" si="1018">"20683"</f>
        <v>20683</v>
      </c>
      <c r="N4758" t="s">
        <v>1697</v>
      </c>
      <c r="O4758">
        <v>48.65</v>
      </c>
      <c r="P4758">
        <v>20190213</v>
      </c>
      <c r="Q4758" t="s">
        <v>2213</v>
      </c>
      <c r="R4758" t="s">
        <v>3851</v>
      </c>
      <c r="S4758" t="s">
        <v>1615</v>
      </c>
      <c r="T4758" t="s">
        <v>301</v>
      </c>
    </row>
    <row r="4759" spans="1:20" x14ac:dyDescent="0.25">
      <c r="A4759">
        <v>9</v>
      </c>
      <c r="B4759">
        <v>199</v>
      </c>
      <c r="C4759" t="str">
        <f t="shared" si="1013"/>
        <v>11</v>
      </c>
      <c r="D4759">
        <v>6269</v>
      </c>
      <c r="E4759" t="str">
        <f>"VA"</f>
        <v>VA</v>
      </c>
      <c r="F4759" t="str">
        <f t="shared" si="1014"/>
        <v>001</v>
      </c>
      <c r="G4759">
        <v>9</v>
      </c>
      <c r="H4759" t="str">
        <f t="shared" si="1015"/>
        <v>22</v>
      </c>
      <c r="I4759" t="str">
        <f t="shared" si="1006"/>
        <v>0</v>
      </c>
      <c r="J4759" t="str">
        <f t="shared" si="1016"/>
        <v>22</v>
      </c>
      <c r="K4759">
        <v>20190215</v>
      </c>
      <c r="L4759" t="str">
        <f t="shared" si="1017"/>
        <v>075698</v>
      </c>
      <c r="M4759" t="str">
        <f t="shared" si="1018"/>
        <v>20683</v>
      </c>
      <c r="N4759" t="s">
        <v>1697</v>
      </c>
      <c r="O4759">
        <v>49.76</v>
      </c>
      <c r="P4759">
        <v>20190213</v>
      </c>
      <c r="Q4759" t="s">
        <v>2213</v>
      </c>
      <c r="R4759" t="s">
        <v>3852</v>
      </c>
      <c r="S4759" t="s">
        <v>1615</v>
      </c>
      <c r="T4759" t="s">
        <v>301</v>
      </c>
    </row>
    <row r="4760" spans="1:20" x14ac:dyDescent="0.25">
      <c r="A4760">
        <v>9</v>
      </c>
      <c r="B4760">
        <v>199</v>
      </c>
      <c r="C4760" t="str">
        <f t="shared" si="1013"/>
        <v>11</v>
      </c>
      <c r="D4760">
        <v>6269</v>
      </c>
      <c r="E4760" t="str">
        <f>"VA"</f>
        <v>VA</v>
      </c>
      <c r="F4760" t="str">
        <f t="shared" si="1014"/>
        <v>001</v>
      </c>
      <c r="G4760">
        <v>9</v>
      </c>
      <c r="H4760" t="str">
        <f t="shared" si="1015"/>
        <v>22</v>
      </c>
      <c r="I4760" t="str">
        <f t="shared" si="1006"/>
        <v>0</v>
      </c>
      <c r="J4760" t="str">
        <f t="shared" si="1016"/>
        <v>22</v>
      </c>
      <c r="K4760">
        <v>20190215</v>
      </c>
      <c r="L4760" t="str">
        <f t="shared" si="1017"/>
        <v>075698</v>
      </c>
      <c r="M4760" t="str">
        <f t="shared" si="1018"/>
        <v>20683</v>
      </c>
      <c r="N4760" t="s">
        <v>1697</v>
      </c>
      <c r="O4760">
        <v>49.76</v>
      </c>
      <c r="P4760">
        <v>20190213</v>
      </c>
      <c r="Q4760" t="s">
        <v>2213</v>
      </c>
      <c r="R4760" t="s">
        <v>3853</v>
      </c>
      <c r="S4760" t="s">
        <v>1615</v>
      </c>
      <c r="T4760" t="s">
        <v>301</v>
      </c>
    </row>
    <row r="4761" spans="1:20" x14ac:dyDescent="0.25">
      <c r="A4761">
        <v>9</v>
      </c>
      <c r="B4761">
        <v>199</v>
      </c>
      <c r="C4761" t="str">
        <f t="shared" si="1013"/>
        <v>11</v>
      </c>
      <c r="D4761">
        <v>6269</v>
      </c>
      <c r="E4761" t="str">
        <f>"VA"</f>
        <v>VA</v>
      </c>
      <c r="F4761" t="str">
        <f t="shared" si="1014"/>
        <v>001</v>
      </c>
      <c r="G4761">
        <v>9</v>
      </c>
      <c r="H4761" t="str">
        <f t="shared" si="1015"/>
        <v>22</v>
      </c>
      <c r="I4761" t="str">
        <f t="shared" si="1006"/>
        <v>0</v>
      </c>
      <c r="J4761" t="str">
        <f t="shared" si="1016"/>
        <v>22</v>
      </c>
      <c r="K4761">
        <v>20190215</v>
      </c>
      <c r="L4761" t="str">
        <f t="shared" si="1017"/>
        <v>075698</v>
      </c>
      <c r="M4761" t="str">
        <f t="shared" si="1018"/>
        <v>20683</v>
      </c>
      <c r="N4761" t="s">
        <v>1697</v>
      </c>
      <c r="O4761">
        <v>97.37</v>
      </c>
      <c r="P4761">
        <v>20190213</v>
      </c>
      <c r="Q4761" t="s">
        <v>2213</v>
      </c>
      <c r="R4761" t="s">
        <v>3854</v>
      </c>
      <c r="S4761" t="s">
        <v>1615</v>
      </c>
      <c r="T4761" t="s">
        <v>301</v>
      </c>
    </row>
    <row r="4762" spans="1:20" x14ac:dyDescent="0.25">
      <c r="A4762">
        <v>9</v>
      </c>
      <c r="B4762">
        <v>199</v>
      </c>
      <c r="C4762" t="str">
        <f t="shared" si="1013"/>
        <v>11</v>
      </c>
      <c r="D4762">
        <v>6269</v>
      </c>
      <c r="E4762" t="str">
        <f>"VA"</f>
        <v>VA</v>
      </c>
      <c r="F4762" t="str">
        <f t="shared" si="1014"/>
        <v>001</v>
      </c>
      <c r="G4762">
        <v>9</v>
      </c>
      <c r="H4762" t="str">
        <f t="shared" si="1015"/>
        <v>22</v>
      </c>
      <c r="I4762" t="str">
        <f t="shared" si="1006"/>
        <v>0</v>
      </c>
      <c r="J4762" t="str">
        <f t="shared" si="1016"/>
        <v>22</v>
      </c>
      <c r="K4762">
        <v>20190215</v>
      </c>
      <c r="L4762" t="str">
        <f t="shared" si="1017"/>
        <v>075698</v>
      </c>
      <c r="M4762" t="str">
        <f t="shared" si="1018"/>
        <v>20683</v>
      </c>
      <c r="N4762" t="s">
        <v>1697</v>
      </c>
      <c r="O4762">
        <v>49.76</v>
      </c>
      <c r="P4762">
        <v>20190213</v>
      </c>
      <c r="Q4762" t="s">
        <v>2213</v>
      </c>
      <c r="R4762" t="s">
        <v>3855</v>
      </c>
      <c r="S4762" t="s">
        <v>1615</v>
      </c>
      <c r="T4762" t="s">
        <v>301</v>
      </c>
    </row>
    <row r="4763" spans="1:20" x14ac:dyDescent="0.25">
      <c r="A4763">
        <v>9</v>
      </c>
      <c r="B4763">
        <v>199</v>
      </c>
      <c r="C4763" t="str">
        <f t="shared" si="1013"/>
        <v>11</v>
      </c>
      <c r="D4763">
        <v>6399</v>
      </c>
      <c r="E4763" t="str">
        <f>"V8"</f>
        <v>V8</v>
      </c>
      <c r="F4763" t="str">
        <f t="shared" si="1014"/>
        <v>001</v>
      </c>
      <c r="G4763">
        <v>9</v>
      </c>
      <c r="H4763" t="str">
        <f t="shared" si="1015"/>
        <v>22</v>
      </c>
      <c r="I4763" t="str">
        <f t="shared" si="1006"/>
        <v>0</v>
      </c>
      <c r="J4763" t="str">
        <f t="shared" si="1016"/>
        <v>22</v>
      </c>
      <c r="K4763">
        <v>20190215</v>
      </c>
      <c r="L4763" t="str">
        <f t="shared" si="1017"/>
        <v>075698</v>
      </c>
      <c r="M4763" t="str">
        <f t="shared" si="1018"/>
        <v>20683</v>
      </c>
      <c r="N4763" t="s">
        <v>1697</v>
      </c>
      <c r="O4763">
        <v>13.69</v>
      </c>
      <c r="P4763">
        <v>20190213</v>
      </c>
      <c r="Q4763" t="s">
        <v>2001</v>
      </c>
      <c r="R4763" t="s">
        <v>3851</v>
      </c>
      <c r="S4763" t="s">
        <v>1615</v>
      </c>
      <c r="T4763" t="s">
        <v>301</v>
      </c>
    </row>
    <row r="4764" spans="1:20" x14ac:dyDescent="0.25">
      <c r="A4764">
        <v>9</v>
      </c>
      <c r="B4764">
        <v>199</v>
      </c>
      <c r="C4764" t="str">
        <f t="shared" si="1013"/>
        <v>11</v>
      </c>
      <c r="D4764">
        <v>6399</v>
      </c>
      <c r="E4764" t="str">
        <f>"V8"</f>
        <v>V8</v>
      </c>
      <c r="F4764" t="str">
        <f t="shared" si="1014"/>
        <v>001</v>
      </c>
      <c r="G4764">
        <v>9</v>
      </c>
      <c r="H4764" t="str">
        <f t="shared" si="1015"/>
        <v>22</v>
      </c>
      <c r="I4764" t="str">
        <f t="shared" si="1006"/>
        <v>0</v>
      </c>
      <c r="J4764" t="str">
        <f t="shared" si="1016"/>
        <v>22</v>
      </c>
      <c r="K4764">
        <v>20190215</v>
      </c>
      <c r="L4764" t="str">
        <f t="shared" si="1017"/>
        <v>075698</v>
      </c>
      <c r="M4764" t="str">
        <f t="shared" si="1018"/>
        <v>20683</v>
      </c>
      <c r="N4764" t="s">
        <v>1697</v>
      </c>
      <c r="O4764">
        <v>13.69</v>
      </c>
      <c r="P4764">
        <v>20190213</v>
      </c>
      <c r="Q4764" t="s">
        <v>2001</v>
      </c>
      <c r="R4764" t="s">
        <v>3852</v>
      </c>
      <c r="S4764" t="s">
        <v>1615</v>
      </c>
      <c r="T4764" t="s">
        <v>301</v>
      </c>
    </row>
    <row r="4765" spans="1:20" x14ac:dyDescent="0.25">
      <c r="A4765">
        <v>9</v>
      </c>
      <c r="B4765">
        <v>199</v>
      </c>
      <c r="C4765" t="str">
        <f t="shared" si="1013"/>
        <v>11</v>
      </c>
      <c r="D4765">
        <v>6399</v>
      </c>
      <c r="E4765" t="str">
        <f>"V8"</f>
        <v>V8</v>
      </c>
      <c r="F4765" t="str">
        <f t="shared" si="1014"/>
        <v>001</v>
      </c>
      <c r="G4765">
        <v>9</v>
      </c>
      <c r="H4765" t="str">
        <f t="shared" si="1015"/>
        <v>22</v>
      </c>
      <c r="I4765" t="str">
        <f t="shared" si="1006"/>
        <v>0</v>
      </c>
      <c r="J4765" t="str">
        <f t="shared" si="1016"/>
        <v>22</v>
      </c>
      <c r="K4765">
        <v>20190215</v>
      </c>
      <c r="L4765" t="str">
        <f t="shared" si="1017"/>
        <v>075698</v>
      </c>
      <c r="M4765" t="str">
        <f t="shared" si="1018"/>
        <v>20683</v>
      </c>
      <c r="N4765" t="s">
        <v>1697</v>
      </c>
      <c r="O4765">
        <v>13.69</v>
      </c>
      <c r="P4765">
        <v>20190213</v>
      </c>
      <c r="Q4765" t="s">
        <v>2001</v>
      </c>
      <c r="R4765" t="s">
        <v>3853</v>
      </c>
      <c r="S4765" t="s">
        <v>1615</v>
      </c>
      <c r="T4765" t="s">
        <v>301</v>
      </c>
    </row>
    <row r="4766" spans="1:20" x14ac:dyDescent="0.25">
      <c r="A4766">
        <v>9</v>
      </c>
      <c r="B4766">
        <v>199</v>
      </c>
      <c r="C4766" t="str">
        <f t="shared" si="1013"/>
        <v>11</v>
      </c>
      <c r="D4766">
        <v>6399</v>
      </c>
      <c r="E4766" t="str">
        <f>"V8"</f>
        <v>V8</v>
      </c>
      <c r="F4766" t="str">
        <f t="shared" si="1014"/>
        <v>001</v>
      </c>
      <c r="G4766">
        <v>9</v>
      </c>
      <c r="H4766" t="str">
        <f t="shared" si="1015"/>
        <v>22</v>
      </c>
      <c r="I4766" t="str">
        <f t="shared" si="1006"/>
        <v>0</v>
      </c>
      <c r="J4766" t="str">
        <f t="shared" si="1016"/>
        <v>22</v>
      </c>
      <c r="K4766">
        <v>20190215</v>
      </c>
      <c r="L4766" t="str">
        <f t="shared" si="1017"/>
        <v>075698</v>
      </c>
      <c r="M4766" t="str">
        <f t="shared" si="1018"/>
        <v>20683</v>
      </c>
      <c r="N4766" t="s">
        <v>1697</v>
      </c>
      <c r="O4766">
        <v>13.69</v>
      </c>
      <c r="P4766">
        <v>20190213</v>
      </c>
      <c r="Q4766" t="s">
        <v>2001</v>
      </c>
      <c r="R4766" t="s">
        <v>3854</v>
      </c>
      <c r="S4766" t="s">
        <v>1615</v>
      </c>
      <c r="T4766" t="s">
        <v>301</v>
      </c>
    </row>
    <row r="4767" spans="1:20" x14ac:dyDescent="0.25">
      <c r="A4767">
        <v>9</v>
      </c>
      <c r="B4767">
        <v>199</v>
      </c>
      <c r="C4767" t="str">
        <f t="shared" si="1013"/>
        <v>11</v>
      </c>
      <c r="D4767">
        <v>6399</v>
      </c>
      <c r="E4767" t="str">
        <f>"V8"</f>
        <v>V8</v>
      </c>
      <c r="F4767" t="str">
        <f t="shared" si="1014"/>
        <v>001</v>
      </c>
      <c r="G4767">
        <v>9</v>
      </c>
      <c r="H4767" t="str">
        <f t="shared" si="1015"/>
        <v>22</v>
      </c>
      <c r="I4767" t="str">
        <f t="shared" si="1006"/>
        <v>0</v>
      </c>
      <c r="J4767" t="str">
        <f t="shared" si="1016"/>
        <v>22</v>
      </c>
      <c r="K4767">
        <v>20190215</v>
      </c>
      <c r="L4767" t="str">
        <f t="shared" si="1017"/>
        <v>075698</v>
      </c>
      <c r="M4767" t="str">
        <f t="shared" si="1018"/>
        <v>20683</v>
      </c>
      <c r="N4767" t="s">
        <v>1697</v>
      </c>
      <c r="O4767">
        <v>13.69</v>
      </c>
      <c r="P4767">
        <v>20190213</v>
      </c>
      <c r="Q4767" t="s">
        <v>2001</v>
      </c>
      <c r="R4767" t="s">
        <v>3855</v>
      </c>
      <c r="S4767" t="s">
        <v>1615</v>
      </c>
      <c r="T4767" t="s">
        <v>301</v>
      </c>
    </row>
    <row r="4768" spans="1:20" x14ac:dyDescent="0.25">
      <c r="A4768">
        <v>9</v>
      </c>
      <c r="B4768">
        <v>199</v>
      </c>
      <c r="C4768" t="str">
        <f>"51"</f>
        <v>51</v>
      </c>
      <c r="D4768">
        <v>6256</v>
      </c>
      <c r="E4768" t="str">
        <f>"13"</f>
        <v>13</v>
      </c>
      <c r="F4768" t="str">
        <f>"880"</f>
        <v>880</v>
      </c>
      <c r="G4768">
        <v>9</v>
      </c>
      <c r="H4768" t="str">
        <f>"99"</f>
        <v>99</v>
      </c>
      <c r="I4768" t="str">
        <f t="shared" si="1006"/>
        <v>0</v>
      </c>
      <c r="J4768" t="str">
        <f>"80"</f>
        <v>80</v>
      </c>
      <c r="K4768">
        <v>20190215</v>
      </c>
      <c r="L4768" t="str">
        <f>"075700"</f>
        <v>075700</v>
      </c>
      <c r="M4768" t="str">
        <f>"21146"</f>
        <v>21146</v>
      </c>
      <c r="N4768" t="s">
        <v>2367</v>
      </c>
      <c r="O4768">
        <v>412.8</v>
      </c>
      <c r="P4768">
        <v>20190213</v>
      </c>
      <c r="Q4768" t="s">
        <v>2368</v>
      </c>
      <c r="R4768" t="s">
        <v>3818</v>
      </c>
      <c r="S4768" t="s">
        <v>1615</v>
      </c>
      <c r="T4768" t="s">
        <v>1866</v>
      </c>
    </row>
    <row r="4769" spans="1:20" x14ac:dyDescent="0.25">
      <c r="A4769">
        <v>9</v>
      </c>
      <c r="B4769">
        <v>199</v>
      </c>
      <c r="C4769" t="str">
        <f>"11"</f>
        <v>11</v>
      </c>
      <c r="D4769">
        <v>6399</v>
      </c>
      <c r="E4769" t="str">
        <f>"DC"</f>
        <v>DC</v>
      </c>
      <c r="F4769" t="str">
        <f>"001"</f>
        <v>001</v>
      </c>
      <c r="G4769">
        <v>9</v>
      </c>
      <c r="H4769" t="str">
        <f>"31"</f>
        <v>31</v>
      </c>
      <c r="I4769" t="str">
        <f t="shared" si="1006"/>
        <v>0</v>
      </c>
      <c r="J4769" t="str">
        <f>"34"</f>
        <v>34</v>
      </c>
      <c r="K4769">
        <v>20190215</v>
      </c>
      <c r="L4769" t="str">
        <f>"075701"</f>
        <v>075701</v>
      </c>
      <c r="M4769" t="str">
        <f>"21283"</f>
        <v>21283</v>
      </c>
      <c r="N4769" t="s">
        <v>3856</v>
      </c>
      <c r="O4769">
        <v>875</v>
      </c>
      <c r="P4769">
        <v>20190213</v>
      </c>
      <c r="Q4769" t="s">
        <v>3857</v>
      </c>
      <c r="R4769" t="s">
        <v>3858</v>
      </c>
      <c r="S4769" t="s">
        <v>1615</v>
      </c>
      <c r="T4769" t="s">
        <v>301</v>
      </c>
    </row>
    <row r="4770" spans="1:20" x14ac:dyDescent="0.25">
      <c r="A4770">
        <v>9</v>
      </c>
      <c r="B4770">
        <v>199</v>
      </c>
      <c r="C4770" t="str">
        <f>"31"</f>
        <v>31</v>
      </c>
      <c r="D4770">
        <v>6219</v>
      </c>
      <c r="E4770" t="str">
        <f>"00"</f>
        <v>00</v>
      </c>
      <c r="F4770" t="str">
        <f>"875"</f>
        <v>875</v>
      </c>
      <c r="G4770">
        <v>9</v>
      </c>
      <c r="H4770" t="str">
        <f>"23"</f>
        <v>23</v>
      </c>
      <c r="I4770" t="str">
        <f t="shared" si="1006"/>
        <v>0</v>
      </c>
      <c r="J4770" t="str">
        <f>"23"</f>
        <v>23</v>
      </c>
      <c r="K4770">
        <v>20190215</v>
      </c>
      <c r="L4770" t="str">
        <f>"075703"</f>
        <v>075703</v>
      </c>
      <c r="M4770" t="str">
        <f>"21769"</f>
        <v>21769</v>
      </c>
      <c r="N4770" t="s">
        <v>1701</v>
      </c>
      <c r="O4770" s="1">
        <v>2445</v>
      </c>
      <c r="P4770">
        <v>20190213</v>
      </c>
      <c r="Q4770" t="s">
        <v>2207</v>
      </c>
      <c r="R4770" t="s">
        <v>3859</v>
      </c>
      <c r="S4770" t="s">
        <v>1615</v>
      </c>
      <c r="T4770" t="s">
        <v>2041</v>
      </c>
    </row>
    <row r="4771" spans="1:20" x14ac:dyDescent="0.25">
      <c r="A4771">
        <v>9</v>
      </c>
      <c r="B4771">
        <v>199</v>
      </c>
      <c r="C4771" t="str">
        <f>"41"</f>
        <v>41</v>
      </c>
      <c r="D4771">
        <v>6491</v>
      </c>
      <c r="E4771" t="str">
        <f>"10"</f>
        <v>10</v>
      </c>
      <c r="F4771" t="str">
        <f>"939"</f>
        <v>939</v>
      </c>
      <c r="G4771">
        <v>9</v>
      </c>
      <c r="H4771" t="str">
        <f>"99"</f>
        <v>99</v>
      </c>
      <c r="I4771" t="str">
        <f t="shared" si="1006"/>
        <v>0</v>
      </c>
      <c r="J4771" t="str">
        <f>"87"</f>
        <v>87</v>
      </c>
      <c r="K4771">
        <v>20190215</v>
      </c>
      <c r="L4771" t="str">
        <f>"075704"</f>
        <v>075704</v>
      </c>
      <c r="M4771" t="str">
        <f>"21860"</f>
        <v>21860</v>
      </c>
      <c r="N4771" t="s">
        <v>3860</v>
      </c>
      <c r="O4771">
        <v>979.7</v>
      </c>
      <c r="P4771">
        <v>20190214</v>
      </c>
      <c r="Q4771" t="s">
        <v>3861</v>
      </c>
      <c r="R4771" t="s">
        <v>3862</v>
      </c>
      <c r="S4771" t="s">
        <v>1615</v>
      </c>
      <c r="T4771" t="s">
        <v>2985</v>
      </c>
    </row>
    <row r="4772" spans="1:20" x14ac:dyDescent="0.25">
      <c r="A4772">
        <v>9</v>
      </c>
      <c r="B4772">
        <v>199</v>
      </c>
      <c r="C4772" t="str">
        <f>"36"</f>
        <v>36</v>
      </c>
      <c r="D4772">
        <v>6411</v>
      </c>
      <c r="E4772" t="str">
        <f>"7M"</f>
        <v>7M</v>
      </c>
      <c r="F4772" t="str">
        <f>"041"</f>
        <v>041</v>
      </c>
      <c r="G4772">
        <v>9</v>
      </c>
      <c r="H4772" t="str">
        <f>"99"</f>
        <v>99</v>
      </c>
      <c r="I4772" t="str">
        <f>"5"</f>
        <v>5</v>
      </c>
      <c r="J4772" t="str">
        <f>"74"</f>
        <v>74</v>
      </c>
      <c r="K4772">
        <v>20190215</v>
      </c>
      <c r="L4772" t="str">
        <f>"075709"</f>
        <v>075709</v>
      </c>
      <c r="M4772" t="str">
        <f>"25021"</f>
        <v>25021</v>
      </c>
      <c r="N4772" t="s">
        <v>3542</v>
      </c>
      <c r="O4772">
        <v>24.67</v>
      </c>
      <c r="P4772">
        <v>20190213</v>
      </c>
      <c r="Q4772" t="s">
        <v>3863</v>
      </c>
      <c r="R4772" t="s">
        <v>3544</v>
      </c>
      <c r="S4772" t="s">
        <v>1615</v>
      </c>
      <c r="T4772" t="s">
        <v>106</v>
      </c>
    </row>
    <row r="4773" spans="1:20" x14ac:dyDescent="0.25">
      <c r="A4773">
        <v>9</v>
      </c>
      <c r="B4773">
        <v>199</v>
      </c>
      <c r="C4773" t="str">
        <f>"13"</f>
        <v>13</v>
      </c>
      <c r="D4773">
        <v>6411</v>
      </c>
      <c r="E4773" t="str">
        <f>"PD"</f>
        <v>PD</v>
      </c>
      <c r="F4773" t="str">
        <f>"001"</f>
        <v>001</v>
      </c>
      <c r="G4773">
        <v>9</v>
      </c>
      <c r="H4773" t="str">
        <f>"31"</f>
        <v>31</v>
      </c>
      <c r="I4773" t="str">
        <f t="shared" ref="I4773:I4794" si="1019">"0"</f>
        <v>0</v>
      </c>
      <c r="J4773" t="str">
        <f>"34"</f>
        <v>34</v>
      </c>
      <c r="K4773">
        <v>20190215</v>
      </c>
      <c r="L4773" t="str">
        <f>"075710"</f>
        <v>075710</v>
      </c>
      <c r="M4773" t="str">
        <f>"26390"</f>
        <v>26390</v>
      </c>
      <c r="N4773" t="s">
        <v>3021</v>
      </c>
      <c r="O4773">
        <v>938.49</v>
      </c>
      <c r="P4773">
        <v>20190213</v>
      </c>
      <c r="Q4773" t="s">
        <v>2220</v>
      </c>
      <c r="R4773" t="s">
        <v>3864</v>
      </c>
      <c r="S4773" t="s">
        <v>1615</v>
      </c>
      <c r="T4773" t="s">
        <v>301</v>
      </c>
    </row>
    <row r="4774" spans="1:20" x14ac:dyDescent="0.25">
      <c r="A4774">
        <v>9</v>
      </c>
      <c r="B4774">
        <v>199</v>
      </c>
      <c r="C4774" t="str">
        <f>"11"</f>
        <v>11</v>
      </c>
      <c r="D4774">
        <v>6411</v>
      </c>
      <c r="E4774" t="str">
        <f>"V8"</f>
        <v>V8</v>
      </c>
      <c r="F4774" t="str">
        <f>"001"</f>
        <v>001</v>
      </c>
      <c r="G4774">
        <v>9</v>
      </c>
      <c r="H4774" t="str">
        <f>"22"</f>
        <v>22</v>
      </c>
      <c r="I4774" t="str">
        <f t="shared" si="1019"/>
        <v>0</v>
      </c>
      <c r="J4774" t="str">
        <f>"22"</f>
        <v>22</v>
      </c>
      <c r="K4774">
        <v>20190215</v>
      </c>
      <c r="L4774" t="str">
        <f>"075711"</f>
        <v>075711</v>
      </c>
      <c r="M4774" t="str">
        <f>"26387"</f>
        <v>26387</v>
      </c>
      <c r="N4774" t="s">
        <v>305</v>
      </c>
      <c r="O4774">
        <v>785.88</v>
      </c>
      <c r="P4774">
        <v>20190213</v>
      </c>
      <c r="Q4774" t="s">
        <v>3579</v>
      </c>
      <c r="R4774" t="s">
        <v>3865</v>
      </c>
      <c r="S4774" t="s">
        <v>1615</v>
      </c>
      <c r="T4774" t="s">
        <v>301</v>
      </c>
    </row>
    <row r="4775" spans="1:20" x14ac:dyDescent="0.25">
      <c r="A4775">
        <v>9</v>
      </c>
      <c r="B4775">
        <v>199</v>
      </c>
      <c r="C4775" t="str">
        <f>"11"</f>
        <v>11</v>
      </c>
      <c r="D4775">
        <v>6411</v>
      </c>
      <c r="E4775" t="str">
        <f>"V8"</f>
        <v>V8</v>
      </c>
      <c r="F4775" t="str">
        <f>"001"</f>
        <v>001</v>
      </c>
      <c r="G4775">
        <v>9</v>
      </c>
      <c r="H4775" t="str">
        <f>"22"</f>
        <v>22</v>
      </c>
      <c r="I4775" t="str">
        <f t="shared" si="1019"/>
        <v>0</v>
      </c>
      <c r="J4775" t="str">
        <f>"22"</f>
        <v>22</v>
      </c>
      <c r="K4775">
        <v>20190314</v>
      </c>
      <c r="L4775" t="str">
        <f>"075711"</f>
        <v>075711</v>
      </c>
      <c r="M4775" t="str">
        <f>"26387"</f>
        <v>26387</v>
      </c>
      <c r="N4775" t="s">
        <v>305</v>
      </c>
      <c r="O4775">
        <v>-785.88</v>
      </c>
      <c r="P4775">
        <v>20190314</v>
      </c>
      <c r="Q4775" t="s">
        <v>3579</v>
      </c>
      <c r="R4775" t="s">
        <v>3866</v>
      </c>
      <c r="S4775" t="s">
        <v>1615</v>
      </c>
      <c r="T4775" t="s">
        <v>301</v>
      </c>
    </row>
    <row r="4776" spans="1:20" x14ac:dyDescent="0.25">
      <c r="A4776">
        <v>9</v>
      </c>
      <c r="B4776">
        <v>199</v>
      </c>
      <c r="C4776" t="str">
        <f>"36"</f>
        <v>36</v>
      </c>
      <c r="D4776">
        <v>6399</v>
      </c>
      <c r="E4776" t="str">
        <f>"09"</f>
        <v>09</v>
      </c>
      <c r="F4776" t="str">
        <f>"041"</f>
        <v>041</v>
      </c>
      <c r="G4776">
        <v>9</v>
      </c>
      <c r="H4776" t="str">
        <f>"99"</f>
        <v>99</v>
      </c>
      <c r="I4776" t="str">
        <f t="shared" si="1019"/>
        <v>0</v>
      </c>
      <c r="J4776" t="str">
        <f>"03"</f>
        <v>03</v>
      </c>
      <c r="K4776">
        <v>20190215</v>
      </c>
      <c r="L4776" t="str">
        <f>"075712"</f>
        <v>075712</v>
      </c>
      <c r="M4776" t="str">
        <f>"26876"</f>
        <v>26876</v>
      </c>
      <c r="N4776" t="s">
        <v>3550</v>
      </c>
      <c r="O4776">
        <v>70</v>
      </c>
      <c r="P4776">
        <v>20190213</v>
      </c>
      <c r="Q4776" t="s">
        <v>3867</v>
      </c>
      <c r="R4776" t="s">
        <v>3868</v>
      </c>
      <c r="S4776" t="s">
        <v>1615</v>
      </c>
      <c r="T4776" t="s">
        <v>106</v>
      </c>
    </row>
    <row r="4777" spans="1:20" x14ac:dyDescent="0.25">
      <c r="A4777">
        <v>9</v>
      </c>
      <c r="B4777">
        <v>199</v>
      </c>
      <c r="C4777" t="str">
        <f>"13"</f>
        <v>13</v>
      </c>
      <c r="D4777">
        <v>6239</v>
      </c>
      <c r="E4777" t="str">
        <f>"01"</f>
        <v>01</v>
      </c>
      <c r="F4777" t="str">
        <f>"001"</f>
        <v>001</v>
      </c>
      <c r="G4777">
        <v>9</v>
      </c>
      <c r="H4777" t="str">
        <f>"25"</f>
        <v>25</v>
      </c>
      <c r="I4777" t="str">
        <f t="shared" si="1019"/>
        <v>0</v>
      </c>
      <c r="J4777" t="str">
        <f>"25"</f>
        <v>25</v>
      </c>
      <c r="K4777">
        <v>20190215</v>
      </c>
      <c r="L4777" t="str">
        <f t="shared" ref="L4777:L4782" si="1020">"075713"</f>
        <v>075713</v>
      </c>
      <c r="M4777" t="str">
        <f t="shared" ref="M4777:M4782" si="1021">"27900"</f>
        <v>27900</v>
      </c>
      <c r="N4777" t="s">
        <v>1490</v>
      </c>
      <c r="O4777" s="1">
        <v>1220</v>
      </c>
      <c r="P4777">
        <v>20190213</v>
      </c>
      <c r="Q4777" t="s">
        <v>3869</v>
      </c>
      <c r="R4777" t="s">
        <v>3870</v>
      </c>
      <c r="S4777" t="s">
        <v>1615</v>
      </c>
      <c r="T4777" t="s">
        <v>301</v>
      </c>
    </row>
    <row r="4778" spans="1:20" x14ac:dyDescent="0.25">
      <c r="A4778">
        <v>9</v>
      </c>
      <c r="B4778">
        <v>199</v>
      </c>
      <c r="C4778" t="str">
        <f>"13"</f>
        <v>13</v>
      </c>
      <c r="D4778">
        <v>6239</v>
      </c>
      <c r="E4778" t="str">
        <f>"01"</f>
        <v>01</v>
      </c>
      <c r="F4778" t="str">
        <f>"002"</f>
        <v>002</v>
      </c>
      <c r="G4778">
        <v>9</v>
      </c>
      <c r="H4778" t="str">
        <f>"25"</f>
        <v>25</v>
      </c>
      <c r="I4778" t="str">
        <f t="shared" si="1019"/>
        <v>0</v>
      </c>
      <c r="J4778" t="str">
        <f>"25"</f>
        <v>25</v>
      </c>
      <c r="K4778">
        <v>20190215</v>
      </c>
      <c r="L4778" t="str">
        <f t="shared" si="1020"/>
        <v>075713</v>
      </c>
      <c r="M4778" t="str">
        <f t="shared" si="1021"/>
        <v>27900</v>
      </c>
      <c r="N4778" t="s">
        <v>1490</v>
      </c>
      <c r="O4778" s="1">
        <v>1220</v>
      </c>
      <c r="P4778">
        <v>20190213</v>
      </c>
      <c r="Q4778" t="s">
        <v>3871</v>
      </c>
      <c r="R4778" t="s">
        <v>3870</v>
      </c>
      <c r="S4778" t="s">
        <v>1615</v>
      </c>
      <c r="T4778" t="s">
        <v>1485</v>
      </c>
    </row>
    <row r="4779" spans="1:20" x14ac:dyDescent="0.25">
      <c r="A4779">
        <v>9</v>
      </c>
      <c r="B4779">
        <v>199</v>
      </c>
      <c r="C4779" t="str">
        <f>"13"</f>
        <v>13</v>
      </c>
      <c r="D4779">
        <v>6239</v>
      </c>
      <c r="E4779" t="str">
        <f>"01"</f>
        <v>01</v>
      </c>
      <c r="F4779" t="str">
        <f>"041"</f>
        <v>041</v>
      </c>
      <c r="G4779">
        <v>9</v>
      </c>
      <c r="H4779" t="str">
        <f>"25"</f>
        <v>25</v>
      </c>
      <c r="I4779" t="str">
        <f t="shared" si="1019"/>
        <v>0</v>
      </c>
      <c r="J4779" t="str">
        <f>"25"</f>
        <v>25</v>
      </c>
      <c r="K4779">
        <v>20190215</v>
      </c>
      <c r="L4779" t="str">
        <f t="shared" si="1020"/>
        <v>075713</v>
      </c>
      <c r="M4779" t="str">
        <f t="shared" si="1021"/>
        <v>27900</v>
      </c>
      <c r="N4779" t="s">
        <v>1490</v>
      </c>
      <c r="O4779" s="1">
        <v>1220</v>
      </c>
      <c r="P4779">
        <v>20190213</v>
      </c>
      <c r="Q4779" t="s">
        <v>3872</v>
      </c>
      <c r="R4779" t="s">
        <v>3870</v>
      </c>
      <c r="S4779" t="s">
        <v>1615</v>
      </c>
      <c r="T4779" t="s">
        <v>106</v>
      </c>
    </row>
    <row r="4780" spans="1:20" x14ac:dyDescent="0.25">
      <c r="A4780">
        <v>9</v>
      </c>
      <c r="B4780">
        <v>199</v>
      </c>
      <c r="C4780" t="str">
        <f>"13"</f>
        <v>13</v>
      </c>
      <c r="D4780">
        <v>6239</v>
      </c>
      <c r="E4780" t="str">
        <f>"01"</f>
        <v>01</v>
      </c>
      <c r="F4780" t="str">
        <f>"101"</f>
        <v>101</v>
      </c>
      <c r="G4780">
        <v>9</v>
      </c>
      <c r="H4780" t="str">
        <f>"25"</f>
        <v>25</v>
      </c>
      <c r="I4780" t="str">
        <f t="shared" si="1019"/>
        <v>0</v>
      </c>
      <c r="J4780" t="str">
        <f>"25"</f>
        <v>25</v>
      </c>
      <c r="K4780">
        <v>20190215</v>
      </c>
      <c r="L4780" t="str">
        <f t="shared" si="1020"/>
        <v>075713</v>
      </c>
      <c r="M4780" t="str">
        <f t="shared" si="1021"/>
        <v>27900</v>
      </c>
      <c r="N4780" t="s">
        <v>1490</v>
      </c>
      <c r="O4780" s="1">
        <v>1220</v>
      </c>
      <c r="P4780">
        <v>20190213</v>
      </c>
      <c r="Q4780" t="s">
        <v>3873</v>
      </c>
      <c r="R4780" t="s">
        <v>3870</v>
      </c>
      <c r="S4780" t="s">
        <v>1615</v>
      </c>
      <c r="T4780" t="s">
        <v>1479</v>
      </c>
    </row>
    <row r="4781" spans="1:20" x14ac:dyDescent="0.25">
      <c r="A4781">
        <v>9</v>
      </c>
      <c r="B4781">
        <v>199</v>
      </c>
      <c r="C4781" t="str">
        <f>"13"</f>
        <v>13</v>
      </c>
      <c r="D4781">
        <v>6239</v>
      </c>
      <c r="E4781" t="str">
        <f>"01"</f>
        <v>01</v>
      </c>
      <c r="F4781" t="str">
        <f>"104"</f>
        <v>104</v>
      </c>
      <c r="G4781">
        <v>9</v>
      </c>
      <c r="H4781" t="str">
        <f>"25"</f>
        <v>25</v>
      </c>
      <c r="I4781" t="str">
        <f t="shared" si="1019"/>
        <v>0</v>
      </c>
      <c r="J4781" t="str">
        <f>"25"</f>
        <v>25</v>
      </c>
      <c r="K4781">
        <v>20190215</v>
      </c>
      <c r="L4781" t="str">
        <f t="shared" si="1020"/>
        <v>075713</v>
      </c>
      <c r="M4781" t="str">
        <f t="shared" si="1021"/>
        <v>27900</v>
      </c>
      <c r="N4781" t="s">
        <v>1490</v>
      </c>
      <c r="O4781" s="1">
        <v>1220</v>
      </c>
      <c r="P4781">
        <v>20190213</v>
      </c>
      <c r="Q4781" t="s">
        <v>3874</v>
      </c>
      <c r="R4781" t="s">
        <v>3870</v>
      </c>
      <c r="S4781" t="s">
        <v>1615</v>
      </c>
      <c r="T4781" t="s">
        <v>46</v>
      </c>
    </row>
    <row r="4782" spans="1:20" x14ac:dyDescent="0.25">
      <c r="A4782">
        <v>9</v>
      </c>
      <c r="B4782">
        <v>199</v>
      </c>
      <c r="C4782" t="str">
        <f>"41"</f>
        <v>41</v>
      </c>
      <c r="D4782">
        <v>6239</v>
      </c>
      <c r="E4782" t="str">
        <f>"11"</f>
        <v>11</v>
      </c>
      <c r="F4782" t="str">
        <f>"730"</f>
        <v>730</v>
      </c>
      <c r="G4782">
        <v>9</v>
      </c>
      <c r="H4782" t="str">
        <f>"99"</f>
        <v>99</v>
      </c>
      <c r="I4782" t="str">
        <f t="shared" si="1019"/>
        <v>0</v>
      </c>
      <c r="J4782" t="str">
        <f>"95"</f>
        <v>95</v>
      </c>
      <c r="K4782">
        <v>20190215</v>
      </c>
      <c r="L4782" t="str">
        <f t="shared" si="1020"/>
        <v>075713</v>
      </c>
      <c r="M4782" t="str">
        <f t="shared" si="1021"/>
        <v>27900</v>
      </c>
      <c r="N4782" t="s">
        <v>1490</v>
      </c>
      <c r="O4782" s="1">
        <v>2282.5</v>
      </c>
      <c r="P4782">
        <v>20190213</v>
      </c>
      <c r="Q4782" t="s">
        <v>3875</v>
      </c>
      <c r="R4782" t="s">
        <v>3876</v>
      </c>
      <c r="S4782" t="s">
        <v>1615</v>
      </c>
      <c r="T4782" t="s">
        <v>1794</v>
      </c>
    </row>
    <row r="4783" spans="1:20" x14ac:dyDescent="0.25">
      <c r="A4783">
        <v>9</v>
      </c>
      <c r="B4783">
        <v>199</v>
      </c>
      <c r="C4783" t="str">
        <f>"36"</f>
        <v>36</v>
      </c>
      <c r="D4783">
        <v>6412</v>
      </c>
      <c r="E4783" t="str">
        <f>"09"</f>
        <v>09</v>
      </c>
      <c r="F4783" t="str">
        <f>"001"</f>
        <v>001</v>
      </c>
      <c r="G4783">
        <v>9</v>
      </c>
      <c r="H4783" t="str">
        <f>"99"</f>
        <v>99</v>
      </c>
      <c r="I4783" t="str">
        <f t="shared" si="1019"/>
        <v>0</v>
      </c>
      <c r="J4783" t="str">
        <f>"01"</f>
        <v>01</v>
      </c>
      <c r="K4783">
        <v>20190215</v>
      </c>
      <c r="L4783" t="str">
        <f>"075714"</f>
        <v>075714</v>
      </c>
      <c r="M4783" t="str">
        <f>"28680"</f>
        <v>28680</v>
      </c>
      <c r="N4783" t="s">
        <v>482</v>
      </c>
      <c r="O4783">
        <v>136.83000000000001</v>
      </c>
      <c r="P4783">
        <v>20190213</v>
      </c>
      <c r="Q4783" t="s">
        <v>2427</v>
      </c>
      <c r="R4783" t="s">
        <v>3022</v>
      </c>
      <c r="S4783" t="s">
        <v>1615</v>
      </c>
      <c r="T4783" t="s">
        <v>301</v>
      </c>
    </row>
    <row r="4784" spans="1:20" x14ac:dyDescent="0.25">
      <c r="A4784">
        <v>9</v>
      </c>
      <c r="B4784">
        <v>199</v>
      </c>
      <c r="C4784" t="str">
        <f>"36"</f>
        <v>36</v>
      </c>
      <c r="D4784">
        <v>6412</v>
      </c>
      <c r="E4784" t="str">
        <f>"7B"</f>
        <v>7B</v>
      </c>
      <c r="F4784" t="str">
        <f>"001"</f>
        <v>001</v>
      </c>
      <c r="G4784">
        <v>9</v>
      </c>
      <c r="H4784" t="str">
        <f>"99"</f>
        <v>99</v>
      </c>
      <c r="I4784" t="str">
        <f t="shared" si="1019"/>
        <v>0</v>
      </c>
      <c r="J4784" t="str">
        <f>"32"</f>
        <v>32</v>
      </c>
      <c r="K4784">
        <v>20190215</v>
      </c>
      <c r="L4784" t="str">
        <f>"075714"</f>
        <v>075714</v>
      </c>
      <c r="M4784" t="str">
        <f>"28680"</f>
        <v>28680</v>
      </c>
      <c r="N4784" t="s">
        <v>482</v>
      </c>
      <c r="O4784">
        <v>124.55</v>
      </c>
      <c r="P4784">
        <v>20190213</v>
      </c>
      <c r="Q4784" t="s">
        <v>1658</v>
      </c>
      <c r="R4784" t="s">
        <v>1659</v>
      </c>
      <c r="S4784" t="s">
        <v>1615</v>
      </c>
      <c r="T4784" t="s">
        <v>301</v>
      </c>
    </row>
    <row r="4785" spans="1:20" x14ac:dyDescent="0.25">
      <c r="A4785">
        <v>9</v>
      </c>
      <c r="B4785">
        <v>199</v>
      </c>
      <c r="C4785" t="str">
        <f>"36"</f>
        <v>36</v>
      </c>
      <c r="D4785">
        <v>6412</v>
      </c>
      <c r="E4785" t="str">
        <f>"7E"</f>
        <v>7E</v>
      </c>
      <c r="F4785" t="str">
        <f>"001"</f>
        <v>001</v>
      </c>
      <c r="G4785">
        <v>9</v>
      </c>
      <c r="H4785" t="str">
        <f>"99"</f>
        <v>99</v>
      </c>
      <c r="I4785" t="str">
        <f t="shared" si="1019"/>
        <v>0</v>
      </c>
      <c r="J4785" t="str">
        <f>"31"</f>
        <v>31</v>
      </c>
      <c r="K4785">
        <v>20190215</v>
      </c>
      <c r="L4785" t="str">
        <f>"075714"</f>
        <v>075714</v>
      </c>
      <c r="M4785" t="str">
        <f>"28680"</f>
        <v>28680</v>
      </c>
      <c r="N4785" t="s">
        <v>482</v>
      </c>
      <c r="O4785">
        <v>156</v>
      </c>
      <c r="P4785">
        <v>20190213</v>
      </c>
      <c r="Q4785" t="s">
        <v>1655</v>
      </c>
      <c r="R4785" t="s">
        <v>3257</v>
      </c>
      <c r="S4785" t="s">
        <v>1615</v>
      </c>
      <c r="T4785" t="s">
        <v>301</v>
      </c>
    </row>
    <row r="4786" spans="1:20" x14ac:dyDescent="0.25">
      <c r="A4786">
        <v>9</v>
      </c>
      <c r="B4786">
        <v>199</v>
      </c>
      <c r="C4786" t="str">
        <f>"41"</f>
        <v>41</v>
      </c>
      <c r="D4786">
        <v>6411</v>
      </c>
      <c r="E4786" t="str">
        <f>"10"</f>
        <v>10</v>
      </c>
      <c r="F4786" t="str">
        <f>"726"</f>
        <v>726</v>
      </c>
      <c r="G4786">
        <v>9</v>
      </c>
      <c r="H4786" t="str">
        <f>"99"</f>
        <v>99</v>
      </c>
      <c r="I4786" t="str">
        <f t="shared" si="1019"/>
        <v>0</v>
      </c>
      <c r="J4786" t="str">
        <f>"91"</f>
        <v>91</v>
      </c>
      <c r="K4786">
        <v>20190215</v>
      </c>
      <c r="L4786" t="str">
        <f>"075714"</f>
        <v>075714</v>
      </c>
      <c r="M4786" t="str">
        <f>"28680"</f>
        <v>28680</v>
      </c>
      <c r="N4786" t="s">
        <v>482</v>
      </c>
      <c r="O4786">
        <v>74</v>
      </c>
      <c r="P4786">
        <v>20190213</v>
      </c>
      <c r="Q4786" t="s">
        <v>3313</v>
      </c>
      <c r="R4786" t="s">
        <v>3314</v>
      </c>
      <c r="S4786" t="s">
        <v>1615</v>
      </c>
      <c r="T4786" t="s">
        <v>2608</v>
      </c>
    </row>
    <row r="4787" spans="1:20" x14ac:dyDescent="0.25">
      <c r="A4787">
        <v>9</v>
      </c>
      <c r="B4787">
        <v>199</v>
      </c>
      <c r="C4787" t="str">
        <f t="shared" ref="C4787:C4794" si="1022">"00"</f>
        <v>00</v>
      </c>
      <c r="D4787">
        <v>1312</v>
      </c>
      <c r="E4787" t="str">
        <f t="shared" ref="E4787:E4794" si="1023">"00"</f>
        <v>00</v>
      </c>
      <c r="F4787" t="str">
        <f t="shared" ref="F4787:F4794" si="1024">"000"</f>
        <v>000</v>
      </c>
      <c r="G4787">
        <v>9</v>
      </c>
      <c r="H4787" t="str">
        <f t="shared" ref="H4787:H4794" si="1025">"00"</f>
        <v>00</v>
      </c>
      <c r="I4787" t="str">
        <f t="shared" si="1019"/>
        <v>0</v>
      </c>
      <c r="J4787" t="str">
        <f t="shared" ref="J4787:J4794" si="1026">"00"</f>
        <v>00</v>
      </c>
      <c r="K4787">
        <v>20190215</v>
      </c>
      <c r="L4787" t="str">
        <f t="shared" ref="L4787:L4794" si="1027">"075715"</f>
        <v>075715</v>
      </c>
      <c r="M4787" t="str">
        <f t="shared" ref="M4787:M4794" si="1028">"29628"</f>
        <v>29628</v>
      </c>
      <c r="N4787" t="s">
        <v>2071</v>
      </c>
      <c r="O4787">
        <v>286.98</v>
      </c>
      <c r="P4787">
        <v>20190213</v>
      </c>
      <c r="Q4787" t="s">
        <v>1860</v>
      </c>
      <c r="R4787" t="s">
        <v>3877</v>
      </c>
      <c r="S4787" t="s">
        <v>1615</v>
      </c>
      <c r="T4787" t="s">
        <v>296</v>
      </c>
    </row>
    <row r="4788" spans="1:20" x14ac:dyDescent="0.25">
      <c r="A4788">
        <v>9</v>
      </c>
      <c r="B4788">
        <v>199</v>
      </c>
      <c r="C4788" t="str">
        <f t="shared" si="1022"/>
        <v>00</v>
      </c>
      <c r="D4788">
        <v>1312</v>
      </c>
      <c r="E4788" t="str">
        <f t="shared" si="1023"/>
        <v>00</v>
      </c>
      <c r="F4788" t="str">
        <f t="shared" si="1024"/>
        <v>000</v>
      </c>
      <c r="G4788">
        <v>9</v>
      </c>
      <c r="H4788" t="str">
        <f t="shared" si="1025"/>
        <v>00</v>
      </c>
      <c r="I4788" t="str">
        <f t="shared" si="1019"/>
        <v>0</v>
      </c>
      <c r="J4788" t="str">
        <f t="shared" si="1026"/>
        <v>00</v>
      </c>
      <c r="K4788">
        <v>20190215</v>
      </c>
      <c r="L4788" t="str">
        <f t="shared" si="1027"/>
        <v>075715</v>
      </c>
      <c r="M4788" t="str">
        <f t="shared" si="1028"/>
        <v>29628</v>
      </c>
      <c r="N4788" t="s">
        <v>2071</v>
      </c>
      <c r="O4788">
        <v>136.99</v>
      </c>
      <c r="P4788">
        <v>20190213</v>
      </c>
      <c r="Q4788" t="s">
        <v>1860</v>
      </c>
      <c r="R4788" t="s">
        <v>3878</v>
      </c>
      <c r="S4788" t="s">
        <v>1615</v>
      </c>
      <c r="T4788" t="s">
        <v>296</v>
      </c>
    </row>
    <row r="4789" spans="1:20" x14ac:dyDescent="0.25">
      <c r="A4789">
        <v>9</v>
      </c>
      <c r="B4789">
        <v>199</v>
      </c>
      <c r="C4789" t="str">
        <f t="shared" si="1022"/>
        <v>00</v>
      </c>
      <c r="D4789">
        <v>1312</v>
      </c>
      <c r="E4789" t="str">
        <f t="shared" si="1023"/>
        <v>00</v>
      </c>
      <c r="F4789" t="str">
        <f t="shared" si="1024"/>
        <v>000</v>
      </c>
      <c r="G4789">
        <v>9</v>
      </c>
      <c r="H4789" t="str">
        <f t="shared" si="1025"/>
        <v>00</v>
      </c>
      <c r="I4789" t="str">
        <f t="shared" si="1019"/>
        <v>0</v>
      </c>
      <c r="J4789" t="str">
        <f t="shared" si="1026"/>
        <v>00</v>
      </c>
      <c r="K4789">
        <v>20190215</v>
      </c>
      <c r="L4789" t="str">
        <f t="shared" si="1027"/>
        <v>075715</v>
      </c>
      <c r="M4789" t="str">
        <f t="shared" si="1028"/>
        <v>29628</v>
      </c>
      <c r="N4789" t="s">
        <v>2071</v>
      </c>
      <c r="O4789">
        <v>136.99</v>
      </c>
      <c r="P4789">
        <v>20190213</v>
      </c>
      <c r="Q4789" t="s">
        <v>1860</v>
      </c>
      <c r="R4789" t="s">
        <v>3878</v>
      </c>
      <c r="S4789" t="s">
        <v>1615</v>
      </c>
      <c r="T4789" t="s">
        <v>296</v>
      </c>
    </row>
    <row r="4790" spans="1:20" x14ac:dyDescent="0.25">
      <c r="A4790">
        <v>9</v>
      </c>
      <c r="B4790">
        <v>199</v>
      </c>
      <c r="C4790" t="str">
        <f t="shared" si="1022"/>
        <v>00</v>
      </c>
      <c r="D4790">
        <v>1312</v>
      </c>
      <c r="E4790" t="str">
        <f t="shared" si="1023"/>
        <v>00</v>
      </c>
      <c r="F4790" t="str">
        <f t="shared" si="1024"/>
        <v>000</v>
      </c>
      <c r="G4790">
        <v>9</v>
      </c>
      <c r="H4790" t="str">
        <f t="shared" si="1025"/>
        <v>00</v>
      </c>
      <c r="I4790" t="str">
        <f t="shared" si="1019"/>
        <v>0</v>
      </c>
      <c r="J4790" t="str">
        <f t="shared" si="1026"/>
        <v>00</v>
      </c>
      <c r="K4790">
        <v>20190215</v>
      </c>
      <c r="L4790" t="str">
        <f t="shared" si="1027"/>
        <v>075715</v>
      </c>
      <c r="M4790" t="str">
        <f t="shared" si="1028"/>
        <v>29628</v>
      </c>
      <c r="N4790" t="s">
        <v>2071</v>
      </c>
      <c r="O4790">
        <v>559.98</v>
      </c>
      <c r="P4790">
        <v>20190213</v>
      </c>
      <c r="Q4790" t="s">
        <v>1860</v>
      </c>
      <c r="R4790" t="s">
        <v>3879</v>
      </c>
      <c r="S4790" t="s">
        <v>1615</v>
      </c>
      <c r="T4790" t="s">
        <v>296</v>
      </c>
    </row>
    <row r="4791" spans="1:20" x14ac:dyDescent="0.25">
      <c r="A4791">
        <v>9</v>
      </c>
      <c r="B4791">
        <v>199</v>
      </c>
      <c r="C4791" t="str">
        <f t="shared" si="1022"/>
        <v>00</v>
      </c>
      <c r="D4791">
        <v>1312</v>
      </c>
      <c r="E4791" t="str">
        <f t="shared" si="1023"/>
        <v>00</v>
      </c>
      <c r="F4791" t="str">
        <f t="shared" si="1024"/>
        <v>000</v>
      </c>
      <c r="G4791">
        <v>9</v>
      </c>
      <c r="H4791" t="str">
        <f t="shared" si="1025"/>
        <v>00</v>
      </c>
      <c r="I4791" t="str">
        <f t="shared" si="1019"/>
        <v>0</v>
      </c>
      <c r="J4791" t="str">
        <f t="shared" si="1026"/>
        <v>00</v>
      </c>
      <c r="K4791">
        <v>20190215</v>
      </c>
      <c r="L4791" t="str">
        <f t="shared" si="1027"/>
        <v>075715</v>
      </c>
      <c r="M4791" t="str">
        <f t="shared" si="1028"/>
        <v>29628</v>
      </c>
      <c r="N4791" t="s">
        <v>2071</v>
      </c>
      <c r="O4791">
        <v>136.99</v>
      </c>
      <c r="P4791">
        <v>20190213</v>
      </c>
      <c r="Q4791" t="s">
        <v>1860</v>
      </c>
      <c r="R4791" t="s">
        <v>3878</v>
      </c>
      <c r="S4791" t="s">
        <v>1615</v>
      </c>
      <c r="T4791" t="s">
        <v>296</v>
      </c>
    </row>
    <row r="4792" spans="1:20" x14ac:dyDescent="0.25">
      <c r="A4792">
        <v>9</v>
      </c>
      <c r="B4792">
        <v>199</v>
      </c>
      <c r="C4792" t="str">
        <f t="shared" si="1022"/>
        <v>00</v>
      </c>
      <c r="D4792">
        <v>1312</v>
      </c>
      <c r="E4792" t="str">
        <f t="shared" si="1023"/>
        <v>00</v>
      </c>
      <c r="F4792" t="str">
        <f t="shared" si="1024"/>
        <v>000</v>
      </c>
      <c r="G4792">
        <v>9</v>
      </c>
      <c r="H4792" t="str">
        <f t="shared" si="1025"/>
        <v>00</v>
      </c>
      <c r="I4792" t="str">
        <f t="shared" si="1019"/>
        <v>0</v>
      </c>
      <c r="J4792" t="str">
        <f t="shared" si="1026"/>
        <v>00</v>
      </c>
      <c r="K4792">
        <v>20190215</v>
      </c>
      <c r="L4792" t="str">
        <f t="shared" si="1027"/>
        <v>075715</v>
      </c>
      <c r="M4792" t="str">
        <f t="shared" si="1028"/>
        <v>29628</v>
      </c>
      <c r="N4792" t="s">
        <v>2071</v>
      </c>
      <c r="O4792">
        <v>136.99</v>
      </c>
      <c r="P4792">
        <v>20190213</v>
      </c>
      <c r="Q4792" t="s">
        <v>1860</v>
      </c>
      <c r="R4792" t="s">
        <v>3878</v>
      </c>
      <c r="S4792" t="s">
        <v>1615</v>
      </c>
      <c r="T4792" t="s">
        <v>296</v>
      </c>
    </row>
    <row r="4793" spans="1:20" x14ac:dyDescent="0.25">
      <c r="A4793">
        <v>9</v>
      </c>
      <c r="B4793">
        <v>199</v>
      </c>
      <c r="C4793" t="str">
        <f t="shared" si="1022"/>
        <v>00</v>
      </c>
      <c r="D4793">
        <v>1312</v>
      </c>
      <c r="E4793" t="str">
        <f t="shared" si="1023"/>
        <v>00</v>
      </c>
      <c r="F4793" t="str">
        <f t="shared" si="1024"/>
        <v>000</v>
      </c>
      <c r="G4793">
        <v>9</v>
      </c>
      <c r="H4793" t="str">
        <f t="shared" si="1025"/>
        <v>00</v>
      </c>
      <c r="I4793" t="str">
        <f t="shared" si="1019"/>
        <v>0</v>
      </c>
      <c r="J4793" t="str">
        <f t="shared" si="1026"/>
        <v>00</v>
      </c>
      <c r="K4793">
        <v>20190215</v>
      </c>
      <c r="L4793" t="str">
        <f t="shared" si="1027"/>
        <v>075715</v>
      </c>
      <c r="M4793" t="str">
        <f t="shared" si="1028"/>
        <v>29628</v>
      </c>
      <c r="N4793" t="s">
        <v>2071</v>
      </c>
      <c r="O4793">
        <v>136.99</v>
      </c>
      <c r="P4793">
        <v>20190213</v>
      </c>
      <c r="Q4793" t="s">
        <v>1860</v>
      </c>
      <c r="R4793" t="s">
        <v>3878</v>
      </c>
      <c r="S4793" t="s">
        <v>1615</v>
      </c>
      <c r="T4793" t="s">
        <v>296</v>
      </c>
    </row>
    <row r="4794" spans="1:20" x14ac:dyDescent="0.25">
      <c r="A4794">
        <v>9</v>
      </c>
      <c r="B4794">
        <v>199</v>
      </c>
      <c r="C4794" t="str">
        <f t="shared" si="1022"/>
        <v>00</v>
      </c>
      <c r="D4794">
        <v>1312</v>
      </c>
      <c r="E4794" t="str">
        <f t="shared" si="1023"/>
        <v>00</v>
      </c>
      <c r="F4794" t="str">
        <f t="shared" si="1024"/>
        <v>000</v>
      </c>
      <c r="G4794">
        <v>9</v>
      </c>
      <c r="H4794" t="str">
        <f t="shared" si="1025"/>
        <v>00</v>
      </c>
      <c r="I4794" t="str">
        <f t="shared" si="1019"/>
        <v>0</v>
      </c>
      <c r="J4794" t="str">
        <f t="shared" si="1026"/>
        <v>00</v>
      </c>
      <c r="K4794">
        <v>20190215</v>
      </c>
      <c r="L4794" t="str">
        <f t="shared" si="1027"/>
        <v>075715</v>
      </c>
      <c r="M4794" t="str">
        <f t="shared" si="1028"/>
        <v>29628</v>
      </c>
      <c r="N4794" t="s">
        <v>2071</v>
      </c>
      <c r="O4794">
        <v>305.98</v>
      </c>
      <c r="P4794">
        <v>20190213</v>
      </c>
      <c r="Q4794" t="s">
        <v>1860</v>
      </c>
      <c r="R4794" t="s">
        <v>3880</v>
      </c>
      <c r="S4794" t="s">
        <v>1615</v>
      </c>
      <c r="T4794" t="s">
        <v>296</v>
      </c>
    </row>
    <row r="4795" spans="1:20" x14ac:dyDescent="0.25">
      <c r="A4795">
        <v>9</v>
      </c>
      <c r="B4795">
        <v>199</v>
      </c>
      <c r="C4795" t="str">
        <f>"36"</f>
        <v>36</v>
      </c>
      <c r="D4795">
        <v>6412</v>
      </c>
      <c r="E4795" t="str">
        <f>"09"</f>
        <v>09</v>
      </c>
      <c r="F4795" t="str">
        <f t="shared" ref="F4795:F4811" si="1029">"001"</f>
        <v>001</v>
      </c>
      <c r="G4795">
        <v>9</v>
      </c>
      <c r="H4795" t="str">
        <f>"23"</f>
        <v>23</v>
      </c>
      <c r="I4795" t="str">
        <f>"5"</f>
        <v>5</v>
      </c>
      <c r="J4795" t="str">
        <f>"74"</f>
        <v>74</v>
      </c>
      <c r="K4795">
        <v>20190215</v>
      </c>
      <c r="L4795" t="str">
        <f>"075716"</f>
        <v>075716</v>
      </c>
      <c r="M4795" t="str">
        <f>"30744"</f>
        <v>30744</v>
      </c>
      <c r="N4795" t="s">
        <v>422</v>
      </c>
      <c r="O4795">
        <v>24.16</v>
      </c>
      <c r="P4795">
        <v>20190213</v>
      </c>
      <c r="Q4795" t="s">
        <v>3384</v>
      </c>
      <c r="R4795" t="s">
        <v>3385</v>
      </c>
      <c r="S4795" t="s">
        <v>1615</v>
      </c>
      <c r="T4795" t="s">
        <v>301</v>
      </c>
    </row>
    <row r="4796" spans="1:20" x14ac:dyDescent="0.25">
      <c r="A4796">
        <v>9</v>
      </c>
      <c r="B4796">
        <v>199</v>
      </c>
      <c r="C4796" t="str">
        <f>"36"</f>
        <v>36</v>
      </c>
      <c r="D4796">
        <v>6412</v>
      </c>
      <c r="E4796" t="str">
        <f>"09"</f>
        <v>09</v>
      </c>
      <c r="F4796" t="str">
        <f t="shared" si="1029"/>
        <v>001</v>
      </c>
      <c r="G4796">
        <v>9</v>
      </c>
      <c r="H4796" t="str">
        <f>"23"</f>
        <v>23</v>
      </c>
      <c r="I4796" t="str">
        <f>"5"</f>
        <v>5</v>
      </c>
      <c r="J4796" t="str">
        <f>"74"</f>
        <v>74</v>
      </c>
      <c r="K4796">
        <v>20190215</v>
      </c>
      <c r="L4796" t="str">
        <f>"075716"</f>
        <v>075716</v>
      </c>
      <c r="M4796" t="str">
        <f>"30744"</f>
        <v>30744</v>
      </c>
      <c r="N4796" t="s">
        <v>422</v>
      </c>
      <c r="O4796">
        <v>22.57</v>
      </c>
      <c r="P4796">
        <v>20190213</v>
      </c>
      <c r="Q4796" t="s">
        <v>3384</v>
      </c>
      <c r="R4796" t="s">
        <v>3385</v>
      </c>
      <c r="S4796" t="s">
        <v>1615</v>
      </c>
      <c r="T4796" t="s">
        <v>301</v>
      </c>
    </row>
    <row r="4797" spans="1:20" x14ac:dyDescent="0.25">
      <c r="A4797">
        <v>9</v>
      </c>
      <c r="B4797">
        <v>199</v>
      </c>
      <c r="C4797" t="str">
        <f>"11"</f>
        <v>11</v>
      </c>
      <c r="D4797">
        <v>6329</v>
      </c>
      <c r="E4797" t="str">
        <f>"VA"</f>
        <v>VA</v>
      </c>
      <c r="F4797" t="str">
        <f t="shared" si="1029"/>
        <v>001</v>
      </c>
      <c r="G4797">
        <v>9</v>
      </c>
      <c r="H4797" t="str">
        <f>"22"</f>
        <v>22</v>
      </c>
      <c r="I4797" t="str">
        <f t="shared" ref="I4797:I4816" si="1030">"0"</f>
        <v>0</v>
      </c>
      <c r="J4797" t="str">
        <f>"22"</f>
        <v>22</v>
      </c>
      <c r="K4797">
        <v>20190215</v>
      </c>
      <c r="L4797" t="str">
        <f>"075718"</f>
        <v>075718</v>
      </c>
      <c r="M4797" t="str">
        <f>"33850"</f>
        <v>33850</v>
      </c>
      <c r="N4797" t="s">
        <v>3881</v>
      </c>
      <c r="O4797" s="1">
        <v>1802.85</v>
      </c>
      <c r="P4797">
        <v>20190213</v>
      </c>
      <c r="Q4797" t="s">
        <v>3172</v>
      </c>
      <c r="R4797" t="s">
        <v>3882</v>
      </c>
      <c r="S4797" t="s">
        <v>1615</v>
      </c>
      <c r="T4797" t="s">
        <v>301</v>
      </c>
    </row>
    <row r="4798" spans="1:20" x14ac:dyDescent="0.25">
      <c r="A4798">
        <v>9</v>
      </c>
      <c r="B4798">
        <v>199</v>
      </c>
      <c r="C4798" t="str">
        <f>"36"</f>
        <v>36</v>
      </c>
      <c r="D4798">
        <v>6299</v>
      </c>
      <c r="E4798" t="str">
        <f>"7E"</f>
        <v>7E</v>
      </c>
      <c r="F4798" t="str">
        <f t="shared" si="1029"/>
        <v>001</v>
      </c>
      <c r="G4798">
        <v>9</v>
      </c>
      <c r="H4798" t="str">
        <f>"99"</f>
        <v>99</v>
      </c>
      <c r="I4798" t="str">
        <f t="shared" si="1030"/>
        <v>0</v>
      </c>
      <c r="J4798" t="str">
        <f>"31"</f>
        <v>31</v>
      </c>
      <c r="K4798">
        <v>20190215</v>
      </c>
      <c r="L4798" t="str">
        <f>"075719"</f>
        <v>075719</v>
      </c>
      <c r="M4798" t="str">
        <f>"34525"</f>
        <v>34525</v>
      </c>
      <c r="N4798" t="s">
        <v>3389</v>
      </c>
      <c r="O4798">
        <v>750</v>
      </c>
      <c r="P4798">
        <v>20190213</v>
      </c>
      <c r="Q4798" t="s">
        <v>3883</v>
      </c>
      <c r="R4798" t="s">
        <v>3327</v>
      </c>
      <c r="S4798" t="s">
        <v>1615</v>
      </c>
      <c r="T4798" t="s">
        <v>301</v>
      </c>
    </row>
    <row r="4799" spans="1:20" x14ac:dyDescent="0.25">
      <c r="A4799">
        <v>9</v>
      </c>
      <c r="B4799">
        <v>199</v>
      </c>
      <c r="C4799" t="str">
        <f>"36"</f>
        <v>36</v>
      </c>
      <c r="D4799">
        <v>6299</v>
      </c>
      <c r="E4799" t="str">
        <f>"7E"</f>
        <v>7E</v>
      </c>
      <c r="F4799" t="str">
        <f t="shared" si="1029"/>
        <v>001</v>
      </c>
      <c r="G4799">
        <v>9</v>
      </c>
      <c r="H4799" t="str">
        <f>"99"</f>
        <v>99</v>
      </c>
      <c r="I4799" t="str">
        <f t="shared" si="1030"/>
        <v>0</v>
      </c>
      <c r="J4799" t="str">
        <f>"31"</f>
        <v>31</v>
      </c>
      <c r="K4799">
        <v>20190215</v>
      </c>
      <c r="L4799" t="str">
        <f>"075722"</f>
        <v>075722</v>
      </c>
      <c r="M4799" t="str">
        <f>"37260"</f>
        <v>37260</v>
      </c>
      <c r="N4799" t="s">
        <v>1890</v>
      </c>
      <c r="O4799" s="1">
        <v>2100</v>
      </c>
      <c r="P4799">
        <v>20190213</v>
      </c>
      <c r="Q4799" t="s">
        <v>3883</v>
      </c>
      <c r="R4799" t="s">
        <v>3327</v>
      </c>
      <c r="S4799" t="s">
        <v>1615</v>
      </c>
      <c r="T4799" t="s">
        <v>301</v>
      </c>
    </row>
    <row r="4800" spans="1:20" x14ac:dyDescent="0.25">
      <c r="A4800">
        <v>9</v>
      </c>
      <c r="B4800">
        <v>199</v>
      </c>
      <c r="C4800" t="str">
        <f t="shared" ref="C4800:C4811" si="1031">"11"</f>
        <v>11</v>
      </c>
      <c r="D4800">
        <v>6249</v>
      </c>
      <c r="E4800" t="str">
        <f t="shared" ref="E4800:E4810" si="1032">"7B"</f>
        <v>7B</v>
      </c>
      <c r="F4800" t="str">
        <f t="shared" si="1029"/>
        <v>001</v>
      </c>
      <c r="G4800">
        <v>9</v>
      </c>
      <c r="H4800" t="str">
        <f t="shared" ref="H4800:H4811" si="1033">"11"</f>
        <v>11</v>
      </c>
      <c r="I4800" t="str">
        <f t="shared" si="1030"/>
        <v>0</v>
      </c>
      <c r="J4800" t="str">
        <f t="shared" ref="J4800:J4810" si="1034">"32"</f>
        <v>32</v>
      </c>
      <c r="K4800">
        <v>20190215</v>
      </c>
      <c r="L4800" t="str">
        <f t="shared" ref="L4800:L4810" si="1035">"075723"</f>
        <v>075723</v>
      </c>
      <c r="M4800" t="str">
        <f t="shared" ref="M4800:M4810" si="1036">"39572"</f>
        <v>39572</v>
      </c>
      <c r="N4800" t="s">
        <v>2233</v>
      </c>
      <c r="O4800">
        <v>145</v>
      </c>
      <c r="P4800">
        <v>20190213</v>
      </c>
      <c r="Q4800" t="s">
        <v>2234</v>
      </c>
      <c r="R4800" t="s">
        <v>3884</v>
      </c>
      <c r="S4800" t="s">
        <v>1615</v>
      </c>
      <c r="T4800" t="s">
        <v>301</v>
      </c>
    </row>
    <row r="4801" spans="1:20" x14ac:dyDescent="0.25">
      <c r="A4801">
        <v>9</v>
      </c>
      <c r="B4801">
        <v>199</v>
      </c>
      <c r="C4801" t="str">
        <f t="shared" si="1031"/>
        <v>11</v>
      </c>
      <c r="D4801">
        <v>6249</v>
      </c>
      <c r="E4801" t="str">
        <f t="shared" si="1032"/>
        <v>7B</v>
      </c>
      <c r="F4801" t="str">
        <f t="shared" si="1029"/>
        <v>001</v>
      </c>
      <c r="G4801">
        <v>9</v>
      </c>
      <c r="H4801" t="str">
        <f t="shared" si="1033"/>
        <v>11</v>
      </c>
      <c r="I4801" t="str">
        <f t="shared" si="1030"/>
        <v>0</v>
      </c>
      <c r="J4801" t="str">
        <f t="shared" si="1034"/>
        <v>32</v>
      </c>
      <c r="K4801">
        <v>20190215</v>
      </c>
      <c r="L4801" t="str">
        <f t="shared" si="1035"/>
        <v>075723</v>
      </c>
      <c r="M4801" t="str">
        <f t="shared" si="1036"/>
        <v>39572</v>
      </c>
      <c r="N4801" t="s">
        <v>2233</v>
      </c>
      <c r="O4801">
        <v>165</v>
      </c>
      <c r="P4801">
        <v>20190213</v>
      </c>
      <c r="Q4801" t="s">
        <v>2234</v>
      </c>
      <c r="R4801" t="s">
        <v>3576</v>
      </c>
      <c r="S4801" t="s">
        <v>1615</v>
      </c>
      <c r="T4801" t="s">
        <v>301</v>
      </c>
    </row>
    <row r="4802" spans="1:20" x14ac:dyDescent="0.25">
      <c r="A4802">
        <v>9</v>
      </c>
      <c r="B4802">
        <v>199</v>
      </c>
      <c r="C4802" t="str">
        <f t="shared" si="1031"/>
        <v>11</v>
      </c>
      <c r="D4802">
        <v>6249</v>
      </c>
      <c r="E4802" t="str">
        <f t="shared" si="1032"/>
        <v>7B</v>
      </c>
      <c r="F4802" t="str">
        <f t="shared" si="1029"/>
        <v>001</v>
      </c>
      <c r="G4802">
        <v>9</v>
      </c>
      <c r="H4802" t="str">
        <f t="shared" si="1033"/>
        <v>11</v>
      </c>
      <c r="I4802" t="str">
        <f t="shared" si="1030"/>
        <v>0</v>
      </c>
      <c r="J4802" t="str">
        <f t="shared" si="1034"/>
        <v>32</v>
      </c>
      <c r="K4802">
        <v>20190215</v>
      </c>
      <c r="L4802" t="str">
        <f t="shared" si="1035"/>
        <v>075723</v>
      </c>
      <c r="M4802" t="str">
        <f t="shared" si="1036"/>
        <v>39572</v>
      </c>
      <c r="N4802" t="s">
        <v>2233</v>
      </c>
      <c r="O4802">
        <v>165</v>
      </c>
      <c r="P4802">
        <v>20190213</v>
      </c>
      <c r="Q4802" t="s">
        <v>2234</v>
      </c>
      <c r="R4802" t="s">
        <v>3576</v>
      </c>
      <c r="S4802" t="s">
        <v>1615</v>
      </c>
      <c r="T4802" t="s">
        <v>301</v>
      </c>
    </row>
    <row r="4803" spans="1:20" x14ac:dyDescent="0.25">
      <c r="A4803">
        <v>9</v>
      </c>
      <c r="B4803">
        <v>199</v>
      </c>
      <c r="C4803" t="str">
        <f t="shared" si="1031"/>
        <v>11</v>
      </c>
      <c r="D4803">
        <v>6249</v>
      </c>
      <c r="E4803" t="str">
        <f t="shared" si="1032"/>
        <v>7B</v>
      </c>
      <c r="F4803" t="str">
        <f t="shared" si="1029"/>
        <v>001</v>
      </c>
      <c r="G4803">
        <v>9</v>
      </c>
      <c r="H4803" t="str">
        <f t="shared" si="1033"/>
        <v>11</v>
      </c>
      <c r="I4803" t="str">
        <f t="shared" si="1030"/>
        <v>0</v>
      </c>
      <c r="J4803" t="str">
        <f t="shared" si="1034"/>
        <v>32</v>
      </c>
      <c r="K4803">
        <v>20190215</v>
      </c>
      <c r="L4803" t="str">
        <f t="shared" si="1035"/>
        <v>075723</v>
      </c>
      <c r="M4803" t="str">
        <f t="shared" si="1036"/>
        <v>39572</v>
      </c>
      <c r="N4803" t="s">
        <v>2233</v>
      </c>
      <c r="O4803">
        <v>145</v>
      </c>
      <c r="P4803">
        <v>20190213</v>
      </c>
      <c r="Q4803" t="s">
        <v>2234</v>
      </c>
      <c r="R4803" t="s">
        <v>3576</v>
      </c>
      <c r="S4803" t="s">
        <v>1615</v>
      </c>
      <c r="T4803" t="s">
        <v>301</v>
      </c>
    </row>
    <row r="4804" spans="1:20" x14ac:dyDescent="0.25">
      <c r="A4804">
        <v>9</v>
      </c>
      <c r="B4804">
        <v>199</v>
      </c>
      <c r="C4804" t="str">
        <f t="shared" si="1031"/>
        <v>11</v>
      </c>
      <c r="D4804">
        <v>6249</v>
      </c>
      <c r="E4804" t="str">
        <f t="shared" si="1032"/>
        <v>7B</v>
      </c>
      <c r="F4804" t="str">
        <f t="shared" si="1029"/>
        <v>001</v>
      </c>
      <c r="G4804">
        <v>9</v>
      </c>
      <c r="H4804" t="str">
        <f t="shared" si="1033"/>
        <v>11</v>
      </c>
      <c r="I4804" t="str">
        <f t="shared" si="1030"/>
        <v>0</v>
      </c>
      <c r="J4804" t="str">
        <f t="shared" si="1034"/>
        <v>32</v>
      </c>
      <c r="K4804">
        <v>20190215</v>
      </c>
      <c r="L4804" t="str">
        <f t="shared" si="1035"/>
        <v>075723</v>
      </c>
      <c r="M4804" t="str">
        <f t="shared" si="1036"/>
        <v>39572</v>
      </c>
      <c r="N4804" t="s">
        <v>2233</v>
      </c>
      <c r="O4804">
        <v>155</v>
      </c>
      <c r="P4804">
        <v>20190213</v>
      </c>
      <c r="Q4804" t="s">
        <v>2234</v>
      </c>
      <c r="R4804" t="s">
        <v>3885</v>
      </c>
      <c r="S4804" t="s">
        <v>1615</v>
      </c>
      <c r="T4804" t="s">
        <v>301</v>
      </c>
    </row>
    <row r="4805" spans="1:20" x14ac:dyDescent="0.25">
      <c r="A4805">
        <v>9</v>
      </c>
      <c r="B4805">
        <v>199</v>
      </c>
      <c r="C4805" t="str">
        <f t="shared" si="1031"/>
        <v>11</v>
      </c>
      <c r="D4805">
        <v>6249</v>
      </c>
      <c r="E4805" t="str">
        <f t="shared" si="1032"/>
        <v>7B</v>
      </c>
      <c r="F4805" t="str">
        <f t="shared" si="1029"/>
        <v>001</v>
      </c>
      <c r="G4805">
        <v>9</v>
      </c>
      <c r="H4805" t="str">
        <f t="shared" si="1033"/>
        <v>11</v>
      </c>
      <c r="I4805" t="str">
        <f t="shared" si="1030"/>
        <v>0</v>
      </c>
      <c r="J4805" t="str">
        <f t="shared" si="1034"/>
        <v>32</v>
      </c>
      <c r="K4805">
        <v>20190215</v>
      </c>
      <c r="L4805" t="str">
        <f t="shared" si="1035"/>
        <v>075723</v>
      </c>
      <c r="M4805" t="str">
        <f t="shared" si="1036"/>
        <v>39572</v>
      </c>
      <c r="N4805" t="s">
        <v>2233</v>
      </c>
      <c r="O4805">
        <v>150</v>
      </c>
      <c r="P4805">
        <v>20190213</v>
      </c>
      <c r="Q4805" t="s">
        <v>2234</v>
      </c>
      <c r="R4805" t="s">
        <v>3886</v>
      </c>
      <c r="S4805" t="s">
        <v>1615</v>
      </c>
      <c r="T4805" t="s">
        <v>301</v>
      </c>
    </row>
    <row r="4806" spans="1:20" x14ac:dyDescent="0.25">
      <c r="A4806">
        <v>9</v>
      </c>
      <c r="B4806">
        <v>199</v>
      </c>
      <c r="C4806" t="str">
        <f t="shared" si="1031"/>
        <v>11</v>
      </c>
      <c r="D4806">
        <v>6249</v>
      </c>
      <c r="E4806" t="str">
        <f t="shared" si="1032"/>
        <v>7B</v>
      </c>
      <c r="F4806" t="str">
        <f t="shared" si="1029"/>
        <v>001</v>
      </c>
      <c r="G4806">
        <v>9</v>
      </c>
      <c r="H4806" t="str">
        <f t="shared" si="1033"/>
        <v>11</v>
      </c>
      <c r="I4806" t="str">
        <f t="shared" si="1030"/>
        <v>0</v>
      </c>
      <c r="J4806" t="str">
        <f t="shared" si="1034"/>
        <v>32</v>
      </c>
      <c r="K4806">
        <v>20190215</v>
      </c>
      <c r="L4806" t="str">
        <f t="shared" si="1035"/>
        <v>075723</v>
      </c>
      <c r="M4806" t="str">
        <f t="shared" si="1036"/>
        <v>39572</v>
      </c>
      <c r="N4806" t="s">
        <v>2233</v>
      </c>
      <c r="O4806">
        <v>145</v>
      </c>
      <c r="P4806">
        <v>20190213</v>
      </c>
      <c r="Q4806" t="s">
        <v>2234</v>
      </c>
      <c r="R4806" t="s">
        <v>3887</v>
      </c>
      <c r="S4806" t="s">
        <v>1615</v>
      </c>
      <c r="T4806" t="s">
        <v>301</v>
      </c>
    </row>
    <row r="4807" spans="1:20" x14ac:dyDescent="0.25">
      <c r="A4807">
        <v>9</v>
      </c>
      <c r="B4807">
        <v>199</v>
      </c>
      <c r="C4807" t="str">
        <f t="shared" si="1031"/>
        <v>11</v>
      </c>
      <c r="D4807">
        <v>6249</v>
      </c>
      <c r="E4807" t="str">
        <f t="shared" si="1032"/>
        <v>7B</v>
      </c>
      <c r="F4807" t="str">
        <f t="shared" si="1029"/>
        <v>001</v>
      </c>
      <c r="G4807">
        <v>9</v>
      </c>
      <c r="H4807" t="str">
        <f t="shared" si="1033"/>
        <v>11</v>
      </c>
      <c r="I4807" t="str">
        <f t="shared" si="1030"/>
        <v>0</v>
      </c>
      <c r="J4807" t="str">
        <f t="shared" si="1034"/>
        <v>32</v>
      </c>
      <c r="K4807">
        <v>20190215</v>
      </c>
      <c r="L4807" t="str">
        <f t="shared" si="1035"/>
        <v>075723</v>
      </c>
      <c r="M4807" t="str">
        <f t="shared" si="1036"/>
        <v>39572</v>
      </c>
      <c r="N4807" t="s">
        <v>2233</v>
      </c>
      <c r="O4807">
        <v>145</v>
      </c>
      <c r="P4807">
        <v>20190213</v>
      </c>
      <c r="Q4807" t="s">
        <v>2234</v>
      </c>
      <c r="R4807" t="s">
        <v>3888</v>
      </c>
      <c r="S4807" t="s">
        <v>1615</v>
      </c>
      <c r="T4807" t="s">
        <v>301</v>
      </c>
    </row>
    <row r="4808" spans="1:20" x14ac:dyDescent="0.25">
      <c r="A4808">
        <v>9</v>
      </c>
      <c r="B4808">
        <v>199</v>
      </c>
      <c r="C4808" t="str">
        <f t="shared" si="1031"/>
        <v>11</v>
      </c>
      <c r="D4808">
        <v>6249</v>
      </c>
      <c r="E4808" t="str">
        <f t="shared" si="1032"/>
        <v>7B</v>
      </c>
      <c r="F4808" t="str">
        <f t="shared" si="1029"/>
        <v>001</v>
      </c>
      <c r="G4808">
        <v>9</v>
      </c>
      <c r="H4808" t="str">
        <f t="shared" si="1033"/>
        <v>11</v>
      </c>
      <c r="I4808" t="str">
        <f t="shared" si="1030"/>
        <v>0</v>
      </c>
      <c r="J4808" t="str">
        <f t="shared" si="1034"/>
        <v>32</v>
      </c>
      <c r="K4808">
        <v>20190215</v>
      </c>
      <c r="L4808" t="str">
        <f t="shared" si="1035"/>
        <v>075723</v>
      </c>
      <c r="M4808" t="str">
        <f t="shared" si="1036"/>
        <v>39572</v>
      </c>
      <c r="N4808" t="s">
        <v>2233</v>
      </c>
      <c r="O4808">
        <v>155</v>
      </c>
      <c r="P4808">
        <v>20190213</v>
      </c>
      <c r="Q4808" t="s">
        <v>2234</v>
      </c>
      <c r="R4808" t="s">
        <v>3889</v>
      </c>
      <c r="S4808" t="s">
        <v>1615</v>
      </c>
      <c r="T4808" t="s">
        <v>301</v>
      </c>
    </row>
    <row r="4809" spans="1:20" x14ac:dyDescent="0.25">
      <c r="A4809">
        <v>9</v>
      </c>
      <c r="B4809">
        <v>199</v>
      </c>
      <c r="C4809" t="str">
        <f t="shared" si="1031"/>
        <v>11</v>
      </c>
      <c r="D4809">
        <v>6249</v>
      </c>
      <c r="E4809" t="str">
        <f t="shared" si="1032"/>
        <v>7B</v>
      </c>
      <c r="F4809" t="str">
        <f t="shared" si="1029"/>
        <v>001</v>
      </c>
      <c r="G4809">
        <v>9</v>
      </c>
      <c r="H4809" t="str">
        <f t="shared" si="1033"/>
        <v>11</v>
      </c>
      <c r="I4809" t="str">
        <f t="shared" si="1030"/>
        <v>0</v>
      </c>
      <c r="J4809" t="str">
        <f t="shared" si="1034"/>
        <v>32</v>
      </c>
      <c r="K4809">
        <v>20190215</v>
      </c>
      <c r="L4809" t="str">
        <f t="shared" si="1035"/>
        <v>075723</v>
      </c>
      <c r="M4809" t="str">
        <f t="shared" si="1036"/>
        <v>39572</v>
      </c>
      <c r="N4809" t="s">
        <v>2233</v>
      </c>
      <c r="O4809">
        <v>165</v>
      </c>
      <c r="P4809">
        <v>20190213</v>
      </c>
      <c r="Q4809" t="s">
        <v>2234</v>
      </c>
      <c r="R4809" t="s">
        <v>3890</v>
      </c>
      <c r="S4809" t="s">
        <v>1615</v>
      </c>
      <c r="T4809" t="s">
        <v>301</v>
      </c>
    </row>
    <row r="4810" spans="1:20" x14ac:dyDescent="0.25">
      <c r="A4810">
        <v>9</v>
      </c>
      <c r="B4810">
        <v>199</v>
      </c>
      <c r="C4810" t="str">
        <f t="shared" si="1031"/>
        <v>11</v>
      </c>
      <c r="D4810">
        <v>6249</v>
      </c>
      <c r="E4810" t="str">
        <f t="shared" si="1032"/>
        <v>7B</v>
      </c>
      <c r="F4810" t="str">
        <f t="shared" si="1029"/>
        <v>001</v>
      </c>
      <c r="G4810">
        <v>9</v>
      </c>
      <c r="H4810" t="str">
        <f t="shared" si="1033"/>
        <v>11</v>
      </c>
      <c r="I4810" t="str">
        <f t="shared" si="1030"/>
        <v>0</v>
      </c>
      <c r="J4810" t="str">
        <f t="shared" si="1034"/>
        <v>32</v>
      </c>
      <c r="K4810">
        <v>20190215</v>
      </c>
      <c r="L4810" t="str">
        <f t="shared" si="1035"/>
        <v>075723</v>
      </c>
      <c r="M4810" t="str">
        <f t="shared" si="1036"/>
        <v>39572</v>
      </c>
      <c r="N4810" t="s">
        <v>2233</v>
      </c>
      <c r="O4810">
        <v>155</v>
      </c>
      <c r="P4810">
        <v>20190213</v>
      </c>
      <c r="Q4810" t="s">
        <v>2234</v>
      </c>
      <c r="R4810" t="s">
        <v>3891</v>
      </c>
      <c r="S4810" t="s">
        <v>1615</v>
      </c>
      <c r="T4810" t="s">
        <v>301</v>
      </c>
    </row>
    <row r="4811" spans="1:20" x14ac:dyDescent="0.25">
      <c r="A4811">
        <v>9</v>
      </c>
      <c r="B4811">
        <v>199</v>
      </c>
      <c r="C4811" t="str">
        <f t="shared" si="1031"/>
        <v>11</v>
      </c>
      <c r="D4811">
        <v>6399</v>
      </c>
      <c r="E4811" t="str">
        <f>"7K"</f>
        <v>7K</v>
      </c>
      <c r="F4811" t="str">
        <f t="shared" si="1029"/>
        <v>001</v>
      </c>
      <c r="G4811">
        <v>9</v>
      </c>
      <c r="H4811" t="str">
        <f t="shared" si="1033"/>
        <v>11</v>
      </c>
      <c r="I4811" t="str">
        <f t="shared" si="1030"/>
        <v>0</v>
      </c>
      <c r="J4811" t="str">
        <f>"01"</f>
        <v>01</v>
      </c>
      <c r="K4811">
        <v>20190215</v>
      </c>
      <c r="L4811" t="str">
        <f>"075724"</f>
        <v>075724</v>
      </c>
      <c r="M4811" t="str">
        <f>"40550"</f>
        <v>40550</v>
      </c>
      <c r="N4811" t="s">
        <v>2645</v>
      </c>
      <c r="O4811">
        <v>134.76</v>
      </c>
      <c r="P4811">
        <v>20190213</v>
      </c>
      <c r="Q4811" t="s">
        <v>1671</v>
      </c>
      <c r="R4811" t="s">
        <v>3892</v>
      </c>
      <c r="S4811" t="s">
        <v>1615</v>
      </c>
      <c r="T4811" t="s">
        <v>301</v>
      </c>
    </row>
    <row r="4812" spans="1:20" x14ac:dyDescent="0.25">
      <c r="A4812">
        <v>9</v>
      </c>
      <c r="B4812">
        <v>199</v>
      </c>
      <c r="C4812" t="str">
        <f>"41"</f>
        <v>41</v>
      </c>
      <c r="D4812">
        <v>6498</v>
      </c>
      <c r="E4812" t="str">
        <f>"10"</f>
        <v>10</v>
      </c>
      <c r="F4812" t="str">
        <f>"702"</f>
        <v>702</v>
      </c>
      <c r="G4812">
        <v>9</v>
      </c>
      <c r="H4812" t="str">
        <f>"99"</f>
        <v>99</v>
      </c>
      <c r="I4812" t="str">
        <f t="shared" si="1030"/>
        <v>0</v>
      </c>
      <c r="J4812" t="str">
        <f>"93"</f>
        <v>93</v>
      </c>
      <c r="K4812">
        <v>20190215</v>
      </c>
      <c r="L4812" t="str">
        <f>"075724"</f>
        <v>075724</v>
      </c>
      <c r="M4812" t="str">
        <f>"40550"</f>
        <v>40550</v>
      </c>
      <c r="N4812" t="s">
        <v>2645</v>
      </c>
      <c r="O4812">
        <v>122.94</v>
      </c>
      <c r="P4812">
        <v>20190213</v>
      </c>
      <c r="Q4812" t="s">
        <v>2458</v>
      </c>
      <c r="R4812" t="s">
        <v>3893</v>
      </c>
      <c r="S4812" t="s">
        <v>1615</v>
      </c>
      <c r="T4812" t="s">
        <v>1611</v>
      </c>
    </row>
    <row r="4813" spans="1:20" x14ac:dyDescent="0.25">
      <c r="A4813">
        <v>9</v>
      </c>
      <c r="B4813">
        <v>199</v>
      </c>
      <c r="C4813" t="str">
        <f>"41"</f>
        <v>41</v>
      </c>
      <c r="D4813">
        <v>6498</v>
      </c>
      <c r="E4813" t="str">
        <f>"10"</f>
        <v>10</v>
      </c>
      <c r="F4813" t="str">
        <f>"702"</f>
        <v>702</v>
      </c>
      <c r="G4813">
        <v>9</v>
      </c>
      <c r="H4813" t="str">
        <f>"99"</f>
        <v>99</v>
      </c>
      <c r="I4813" t="str">
        <f t="shared" si="1030"/>
        <v>0</v>
      </c>
      <c r="J4813" t="str">
        <f>"93"</f>
        <v>93</v>
      </c>
      <c r="K4813">
        <v>20190215</v>
      </c>
      <c r="L4813" t="str">
        <f>"075724"</f>
        <v>075724</v>
      </c>
      <c r="M4813" t="str">
        <f>"40550"</f>
        <v>40550</v>
      </c>
      <c r="N4813" t="s">
        <v>2645</v>
      </c>
      <c r="O4813">
        <v>29.12</v>
      </c>
      <c r="P4813">
        <v>20190213</v>
      </c>
      <c r="Q4813" t="s">
        <v>2458</v>
      </c>
      <c r="R4813" t="s">
        <v>3893</v>
      </c>
      <c r="S4813" t="s">
        <v>1615</v>
      </c>
      <c r="T4813" t="s">
        <v>1611</v>
      </c>
    </row>
    <row r="4814" spans="1:20" x14ac:dyDescent="0.25">
      <c r="A4814">
        <v>9</v>
      </c>
      <c r="B4814">
        <v>199</v>
      </c>
      <c r="C4814" t="str">
        <f>"11"</f>
        <v>11</v>
      </c>
      <c r="D4814">
        <v>6412</v>
      </c>
      <c r="E4814" t="str">
        <f>"TA"</f>
        <v>TA</v>
      </c>
      <c r="F4814" t="str">
        <f>"001"</f>
        <v>001</v>
      </c>
      <c r="G4814">
        <v>9</v>
      </c>
      <c r="H4814" t="str">
        <f>"31"</f>
        <v>31</v>
      </c>
      <c r="I4814" t="str">
        <f t="shared" si="1030"/>
        <v>0</v>
      </c>
      <c r="J4814" t="str">
        <f>"34"</f>
        <v>34</v>
      </c>
      <c r="K4814">
        <v>20190215</v>
      </c>
      <c r="L4814" t="str">
        <f>"075725"</f>
        <v>075725</v>
      </c>
      <c r="M4814" t="str">
        <f>"40565"</f>
        <v>40565</v>
      </c>
      <c r="N4814" t="s">
        <v>3894</v>
      </c>
      <c r="O4814">
        <v>60</v>
      </c>
      <c r="P4814">
        <v>20190213</v>
      </c>
      <c r="Q4814" t="s">
        <v>3895</v>
      </c>
      <c r="R4814" t="s">
        <v>3896</v>
      </c>
      <c r="S4814" t="s">
        <v>1615</v>
      </c>
      <c r="T4814" t="s">
        <v>301</v>
      </c>
    </row>
    <row r="4815" spans="1:20" x14ac:dyDescent="0.25">
      <c r="A4815">
        <v>9</v>
      </c>
      <c r="B4815">
        <v>199</v>
      </c>
      <c r="C4815" t="str">
        <f>"11"</f>
        <v>11</v>
      </c>
      <c r="D4815">
        <v>6412</v>
      </c>
      <c r="E4815" t="str">
        <f>"TA"</f>
        <v>TA</v>
      </c>
      <c r="F4815" t="str">
        <f>"001"</f>
        <v>001</v>
      </c>
      <c r="G4815">
        <v>9</v>
      </c>
      <c r="H4815" t="str">
        <f>"31"</f>
        <v>31</v>
      </c>
      <c r="I4815" t="str">
        <f t="shared" si="1030"/>
        <v>0</v>
      </c>
      <c r="J4815" t="str">
        <f>"34"</f>
        <v>34</v>
      </c>
      <c r="K4815">
        <v>20190215</v>
      </c>
      <c r="L4815" t="str">
        <f>"075725"</f>
        <v>075725</v>
      </c>
      <c r="M4815" t="str">
        <f>"40565"</f>
        <v>40565</v>
      </c>
      <c r="N4815" t="s">
        <v>3894</v>
      </c>
      <c r="O4815">
        <v>30</v>
      </c>
      <c r="P4815">
        <v>20190213</v>
      </c>
      <c r="Q4815" t="s">
        <v>3895</v>
      </c>
      <c r="R4815" t="s">
        <v>3896</v>
      </c>
      <c r="S4815" t="s">
        <v>1615</v>
      </c>
      <c r="T4815" t="s">
        <v>301</v>
      </c>
    </row>
    <row r="4816" spans="1:20" x14ac:dyDescent="0.25">
      <c r="A4816">
        <v>9</v>
      </c>
      <c r="B4816">
        <v>199</v>
      </c>
      <c r="C4816" t="str">
        <f>"36"</f>
        <v>36</v>
      </c>
      <c r="D4816">
        <v>6411</v>
      </c>
      <c r="E4816" t="str">
        <f>"09"</f>
        <v>09</v>
      </c>
      <c r="F4816" t="str">
        <f>"001"</f>
        <v>001</v>
      </c>
      <c r="G4816">
        <v>9</v>
      </c>
      <c r="H4816" t="str">
        <f>"99"</f>
        <v>99</v>
      </c>
      <c r="I4816" t="str">
        <f t="shared" si="1030"/>
        <v>0</v>
      </c>
      <c r="J4816" t="str">
        <f>"01"</f>
        <v>01</v>
      </c>
      <c r="K4816">
        <v>20190215</v>
      </c>
      <c r="L4816" t="str">
        <f>"075729"</f>
        <v>075729</v>
      </c>
      <c r="M4816" t="str">
        <f>"46348"</f>
        <v>46348</v>
      </c>
      <c r="N4816" t="s">
        <v>1631</v>
      </c>
      <c r="O4816">
        <v>66.64</v>
      </c>
      <c r="P4816">
        <v>20190213</v>
      </c>
      <c r="Q4816" t="s">
        <v>2513</v>
      </c>
      <c r="R4816" t="s">
        <v>3847</v>
      </c>
      <c r="S4816" t="s">
        <v>1615</v>
      </c>
      <c r="T4816" t="s">
        <v>301</v>
      </c>
    </row>
    <row r="4817" spans="1:20" x14ac:dyDescent="0.25">
      <c r="A4817">
        <v>9</v>
      </c>
      <c r="B4817">
        <v>199</v>
      </c>
      <c r="C4817" t="str">
        <f>"36"</f>
        <v>36</v>
      </c>
      <c r="D4817">
        <v>6412</v>
      </c>
      <c r="E4817" t="str">
        <f>"09"</f>
        <v>09</v>
      </c>
      <c r="F4817" t="str">
        <f>"001"</f>
        <v>001</v>
      </c>
      <c r="G4817">
        <v>9</v>
      </c>
      <c r="H4817" t="str">
        <f>"99"</f>
        <v>99</v>
      </c>
      <c r="I4817" t="str">
        <f>"1"</f>
        <v>1</v>
      </c>
      <c r="J4817" t="str">
        <f>"01"</f>
        <v>01</v>
      </c>
      <c r="K4817">
        <v>20190215</v>
      </c>
      <c r="L4817" t="str">
        <f>"075729"</f>
        <v>075729</v>
      </c>
      <c r="M4817" t="str">
        <f>"46348"</f>
        <v>46348</v>
      </c>
      <c r="N4817" t="s">
        <v>1631</v>
      </c>
      <c r="O4817">
        <v>450</v>
      </c>
      <c r="P4817">
        <v>20190213</v>
      </c>
      <c r="Q4817" t="s">
        <v>2514</v>
      </c>
      <c r="R4817" t="s">
        <v>3847</v>
      </c>
      <c r="S4817" t="s">
        <v>1615</v>
      </c>
      <c r="T4817" t="s">
        <v>301</v>
      </c>
    </row>
    <row r="4818" spans="1:20" x14ac:dyDescent="0.25">
      <c r="A4818">
        <v>9</v>
      </c>
      <c r="B4818">
        <v>199</v>
      </c>
      <c r="C4818" t="str">
        <f>"00"</f>
        <v>00</v>
      </c>
      <c r="D4818">
        <v>1291</v>
      </c>
      <c r="E4818" t="str">
        <f>"05"</f>
        <v>05</v>
      </c>
      <c r="F4818" t="str">
        <f>"000"</f>
        <v>000</v>
      </c>
      <c r="G4818">
        <v>9</v>
      </c>
      <c r="H4818" t="str">
        <f>"00"</f>
        <v>00</v>
      </c>
      <c r="I4818" t="str">
        <f t="shared" ref="I4818:I4865" si="1037">"0"</f>
        <v>0</v>
      </c>
      <c r="J4818" t="str">
        <f>"00"</f>
        <v>00</v>
      </c>
      <c r="K4818">
        <v>20190215</v>
      </c>
      <c r="L4818" t="str">
        <f>"075731"</f>
        <v>075731</v>
      </c>
      <c r="M4818" t="str">
        <f>"46398"</f>
        <v>46398</v>
      </c>
      <c r="N4818" t="s">
        <v>1636</v>
      </c>
      <c r="O4818" s="1">
        <v>1820</v>
      </c>
      <c r="P4818">
        <v>20190213</v>
      </c>
      <c r="Q4818" t="s">
        <v>1637</v>
      </c>
      <c r="R4818" t="s">
        <v>3897</v>
      </c>
      <c r="S4818" t="s">
        <v>1615</v>
      </c>
      <c r="T4818" t="s">
        <v>296</v>
      </c>
    </row>
    <row r="4819" spans="1:20" x14ac:dyDescent="0.25">
      <c r="A4819">
        <v>9</v>
      </c>
      <c r="B4819">
        <v>199</v>
      </c>
      <c r="C4819" t="str">
        <f>"11"</f>
        <v>11</v>
      </c>
      <c r="D4819">
        <v>6339</v>
      </c>
      <c r="E4819" t="str">
        <f>"NL"</f>
        <v>NL</v>
      </c>
      <c r="F4819" t="str">
        <f>"001"</f>
        <v>001</v>
      </c>
      <c r="G4819">
        <v>9</v>
      </c>
      <c r="H4819" t="str">
        <f>"22"</f>
        <v>22</v>
      </c>
      <c r="I4819" t="str">
        <f t="shared" si="1037"/>
        <v>0</v>
      </c>
      <c r="J4819" t="str">
        <f>"22"</f>
        <v>22</v>
      </c>
      <c r="K4819">
        <v>20190215</v>
      </c>
      <c r="L4819" t="str">
        <f>"075736"</f>
        <v>075736</v>
      </c>
      <c r="M4819" t="str">
        <f>"49786"</f>
        <v>49786</v>
      </c>
      <c r="N4819" t="s">
        <v>3898</v>
      </c>
      <c r="O4819">
        <v>72.87</v>
      </c>
      <c r="P4819">
        <v>20190213</v>
      </c>
      <c r="Q4819" t="s">
        <v>3183</v>
      </c>
      <c r="R4819" t="s">
        <v>1895</v>
      </c>
      <c r="S4819" t="s">
        <v>1615</v>
      </c>
      <c r="T4819" t="s">
        <v>301</v>
      </c>
    </row>
    <row r="4820" spans="1:20" x14ac:dyDescent="0.25">
      <c r="A4820">
        <v>9</v>
      </c>
      <c r="B4820">
        <v>199</v>
      </c>
      <c r="C4820" t="str">
        <f>"34"</f>
        <v>34</v>
      </c>
      <c r="D4820">
        <v>6311</v>
      </c>
      <c r="E4820" t="str">
        <f>"10"</f>
        <v>10</v>
      </c>
      <c r="F4820" t="str">
        <f>"937"</f>
        <v>937</v>
      </c>
      <c r="G4820">
        <v>9</v>
      </c>
      <c r="H4820" t="str">
        <f>"99"</f>
        <v>99</v>
      </c>
      <c r="I4820" t="str">
        <f t="shared" si="1037"/>
        <v>0</v>
      </c>
      <c r="J4820" t="str">
        <f>"82"</f>
        <v>82</v>
      </c>
      <c r="K4820">
        <v>20190215</v>
      </c>
      <c r="L4820" t="str">
        <f>"075740"</f>
        <v>075740</v>
      </c>
      <c r="M4820" t="str">
        <f>"56255"</f>
        <v>56255</v>
      </c>
      <c r="N4820" t="s">
        <v>2399</v>
      </c>
      <c r="O4820" s="1">
        <v>13972.7</v>
      </c>
      <c r="P4820">
        <v>20190213</v>
      </c>
      <c r="Q4820" t="s">
        <v>1914</v>
      </c>
      <c r="R4820" t="s">
        <v>3899</v>
      </c>
      <c r="S4820" t="s">
        <v>1615</v>
      </c>
      <c r="T4820" t="s">
        <v>1810</v>
      </c>
    </row>
    <row r="4821" spans="1:20" x14ac:dyDescent="0.25">
      <c r="A4821">
        <v>9</v>
      </c>
      <c r="B4821">
        <v>199</v>
      </c>
      <c r="C4821" t="str">
        <f>"11"</f>
        <v>11</v>
      </c>
      <c r="D4821">
        <v>6399</v>
      </c>
      <c r="E4821" t="str">
        <f>"10"</f>
        <v>10</v>
      </c>
      <c r="F4821" t="str">
        <f>"001"</f>
        <v>001</v>
      </c>
      <c r="G4821">
        <v>9</v>
      </c>
      <c r="H4821" t="str">
        <f>"11"</f>
        <v>11</v>
      </c>
      <c r="I4821" t="str">
        <f t="shared" si="1037"/>
        <v>0</v>
      </c>
      <c r="J4821" t="str">
        <f>"01"</f>
        <v>01</v>
      </c>
      <c r="K4821">
        <v>20190215</v>
      </c>
      <c r="L4821" t="str">
        <f>"075742"</f>
        <v>075742</v>
      </c>
      <c r="M4821" t="str">
        <f>"58204"</f>
        <v>58204</v>
      </c>
      <c r="N4821" t="s">
        <v>1767</v>
      </c>
      <c r="O4821">
        <v>13.98</v>
      </c>
      <c r="P4821">
        <v>20190213</v>
      </c>
      <c r="Q4821" t="s">
        <v>1675</v>
      </c>
      <c r="R4821" t="s">
        <v>2793</v>
      </c>
      <c r="S4821" t="s">
        <v>1615</v>
      </c>
      <c r="T4821" t="s">
        <v>301</v>
      </c>
    </row>
    <row r="4822" spans="1:20" x14ac:dyDescent="0.25">
      <c r="A4822">
        <v>9</v>
      </c>
      <c r="B4822">
        <v>199</v>
      </c>
      <c r="C4822" t="str">
        <f>"11"</f>
        <v>11</v>
      </c>
      <c r="D4822">
        <v>6499</v>
      </c>
      <c r="E4822" t="str">
        <f>"8M"</f>
        <v>8M</v>
      </c>
      <c r="F4822" t="str">
        <f>"001"</f>
        <v>001</v>
      </c>
      <c r="G4822">
        <v>9</v>
      </c>
      <c r="H4822" t="str">
        <f>"11"</f>
        <v>11</v>
      </c>
      <c r="I4822" t="str">
        <f t="shared" si="1037"/>
        <v>0</v>
      </c>
      <c r="J4822" t="str">
        <f>"33"</f>
        <v>33</v>
      </c>
      <c r="K4822">
        <v>20190215</v>
      </c>
      <c r="L4822" t="str">
        <f>"075742"</f>
        <v>075742</v>
      </c>
      <c r="M4822" t="str">
        <f>"58204"</f>
        <v>58204</v>
      </c>
      <c r="N4822" t="s">
        <v>1767</v>
      </c>
      <c r="O4822">
        <v>138.51</v>
      </c>
      <c r="P4822">
        <v>20190213</v>
      </c>
      <c r="Q4822" t="s">
        <v>3900</v>
      </c>
      <c r="R4822" t="s">
        <v>3901</v>
      </c>
      <c r="S4822" t="s">
        <v>1615</v>
      </c>
      <c r="T4822" t="s">
        <v>301</v>
      </c>
    </row>
    <row r="4823" spans="1:20" x14ac:dyDescent="0.25">
      <c r="A4823">
        <v>9</v>
      </c>
      <c r="B4823">
        <v>199</v>
      </c>
      <c r="C4823" t="str">
        <f>"36"</f>
        <v>36</v>
      </c>
      <c r="D4823">
        <v>6399</v>
      </c>
      <c r="E4823" t="str">
        <f>"09"</f>
        <v>09</v>
      </c>
      <c r="F4823" t="str">
        <f>"001"</f>
        <v>001</v>
      </c>
      <c r="G4823">
        <v>9</v>
      </c>
      <c r="H4823" t="str">
        <f t="shared" ref="H4823:H4831" si="1038">"99"</f>
        <v>99</v>
      </c>
      <c r="I4823" t="str">
        <f t="shared" si="1037"/>
        <v>0</v>
      </c>
      <c r="J4823" t="str">
        <f>"01"</f>
        <v>01</v>
      </c>
      <c r="K4823">
        <v>20190215</v>
      </c>
      <c r="L4823" t="str">
        <f>"075742"</f>
        <v>075742</v>
      </c>
      <c r="M4823" t="str">
        <f>"58204"</f>
        <v>58204</v>
      </c>
      <c r="N4823" t="s">
        <v>1767</v>
      </c>
      <c r="O4823">
        <v>120</v>
      </c>
      <c r="P4823">
        <v>20190213</v>
      </c>
      <c r="Q4823" t="s">
        <v>2177</v>
      </c>
      <c r="R4823" t="s">
        <v>3902</v>
      </c>
      <c r="S4823" t="s">
        <v>1615</v>
      </c>
      <c r="T4823" t="s">
        <v>301</v>
      </c>
    </row>
    <row r="4824" spans="1:20" x14ac:dyDescent="0.25">
      <c r="A4824">
        <v>9</v>
      </c>
      <c r="B4824">
        <v>199</v>
      </c>
      <c r="C4824" t="str">
        <f>"36"</f>
        <v>36</v>
      </c>
      <c r="D4824">
        <v>6411</v>
      </c>
      <c r="E4824" t="str">
        <f>"7A"</f>
        <v>7A</v>
      </c>
      <c r="F4824" t="str">
        <f>"001"</f>
        <v>001</v>
      </c>
      <c r="G4824">
        <v>9</v>
      </c>
      <c r="H4824" t="str">
        <f t="shared" si="1038"/>
        <v>99</v>
      </c>
      <c r="I4824" t="str">
        <f t="shared" si="1037"/>
        <v>0</v>
      </c>
      <c r="J4824" t="str">
        <f>"01"</f>
        <v>01</v>
      </c>
      <c r="K4824">
        <v>20190215</v>
      </c>
      <c r="L4824" t="str">
        <f>"075742"</f>
        <v>075742</v>
      </c>
      <c r="M4824" t="str">
        <f>"58204"</f>
        <v>58204</v>
      </c>
      <c r="N4824" t="s">
        <v>1767</v>
      </c>
      <c r="O4824">
        <v>55</v>
      </c>
      <c r="P4824">
        <v>20190213</v>
      </c>
      <c r="Q4824" t="s">
        <v>3903</v>
      </c>
      <c r="R4824" t="s">
        <v>3904</v>
      </c>
      <c r="S4824" t="s">
        <v>1615</v>
      </c>
      <c r="T4824" t="s">
        <v>301</v>
      </c>
    </row>
    <row r="4825" spans="1:20" x14ac:dyDescent="0.25">
      <c r="A4825">
        <v>9</v>
      </c>
      <c r="B4825">
        <v>199</v>
      </c>
      <c r="C4825" t="str">
        <f>"23"</f>
        <v>23</v>
      </c>
      <c r="D4825">
        <v>6498</v>
      </c>
      <c r="E4825" t="str">
        <f>"99"</f>
        <v>99</v>
      </c>
      <c r="F4825" t="str">
        <f>"041"</f>
        <v>041</v>
      </c>
      <c r="G4825">
        <v>9</v>
      </c>
      <c r="H4825" t="str">
        <f t="shared" si="1038"/>
        <v>99</v>
      </c>
      <c r="I4825" t="str">
        <f t="shared" si="1037"/>
        <v>0</v>
      </c>
      <c r="J4825" t="str">
        <f>"03"</f>
        <v>03</v>
      </c>
      <c r="K4825">
        <v>20190215</v>
      </c>
      <c r="L4825" t="str">
        <f>"075743"</f>
        <v>075743</v>
      </c>
      <c r="M4825" t="str">
        <f>"58202"</f>
        <v>58202</v>
      </c>
      <c r="N4825" t="s">
        <v>2781</v>
      </c>
      <c r="O4825">
        <v>32</v>
      </c>
      <c r="P4825">
        <v>20190214</v>
      </c>
      <c r="Q4825" t="s">
        <v>2140</v>
      </c>
      <c r="R4825" t="s">
        <v>3905</v>
      </c>
      <c r="S4825" t="s">
        <v>1615</v>
      </c>
      <c r="T4825" t="s">
        <v>106</v>
      </c>
    </row>
    <row r="4826" spans="1:20" x14ac:dyDescent="0.25">
      <c r="A4826">
        <v>9</v>
      </c>
      <c r="B4826">
        <v>199</v>
      </c>
      <c r="C4826" t="str">
        <f>"23"</f>
        <v>23</v>
      </c>
      <c r="D4826">
        <v>6498</v>
      </c>
      <c r="E4826" t="str">
        <f>"99"</f>
        <v>99</v>
      </c>
      <c r="F4826" t="str">
        <f>"041"</f>
        <v>041</v>
      </c>
      <c r="G4826">
        <v>9</v>
      </c>
      <c r="H4826" t="str">
        <f t="shared" si="1038"/>
        <v>99</v>
      </c>
      <c r="I4826" t="str">
        <f t="shared" si="1037"/>
        <v>0</v>
      </c>
      <c r="J4826" t="str">
        <f>"03"</f>
        <v>03</v>
      </c>
      <c r="K4826">
        <v>20190215</v>
      </c>
      <c r="L4826" t="str">
        <f>"075743"</f>
        <v>075743</v>
      </c>
      <c r="M4826" t="str">
        <f>"58202"</f>
        <v>58202</v>
      </c>
      <c r="N4826" t="s">
        <v>2781</v>
      </c>
      <c r="O4826">
        <v>81.900000000000006</v>
      </c>
      <c r="P4826">
        <v>20190214</v>
      </c>
      <c r="Q4826" t="s">
        <v>2140</v>
      </c>
      <c r="R4826" t="s">
        <v>3905</v>
      </c>
      <c r="S4826" t="s">
        <v>1615</v>
      </c>
      <c r="T4826" t="s">
        <v>106</v>
      </c>
    </row>
    <row r="4827" spans="1:20" x14ac:dyDescent="0.25">
      <c r="A4827">
        <v>9</v>
      </c>
      <c r="B4827">
        <v>199</v>
      </c>
      <c r="C4827" t="str">
        <f>"23"</f>
        <v>23</v>
      </c>
      <c r="D4827">
        <v>6498</v>
      </c>
      <c r="E4827" t="str">
        <f>"99"</f>
        <v>99</v>
      </c>
      <c r="F4827" t="str">
        <f>"041"</f>
        <v>041</v>
      </c>
      <c r="G4827">
        <v>9</v>
      </c>
      <c r="H4827" t="str">
        <f t="shared" si="1038"/>
        <v>99</v>
      </c>
      <c r="I4827" t="str">
        <f t="shared" si="1037"/>
        <v>0</v>
      </c>
      <c r="J4827" t="str">
        <f>"03"</f>
        <v>03</v>
      </c>
      <c r="K4827">
        <v>20190215</v>
      </c>
      <c r="L4827" t="str">
        <f>"075743"</f>
        <v>075743</v>
      </c>
      <c r="M4827" t="str">
        <f>"58202"</f>
        <v>58202</v>
      </c>
      <c r="N4827" t="s">
        <v>2781</v>
      </c>
      <c r="O4827">
        <v>27.95</v>
      </c>
      <c r="P4827">
        <v>20190214</v>
      </c>
      <c r="Q4827" t="s">
        <v>2140</v>
      </c>
      <c r="R4827" t="s">
        <v>3905</v>
      </c>
      <c r="S4827" t="s">
        <v>1615</v>
      </c>
      <c r="T4827" t="s">
        <v>106</v>
      </c>
    </row>
    <row r="4828" spans="1:20" x14ac:dyDescent="0.25">
      <c r="A4828">
        <v>9</v>
      </c>
      <c r="B4828">
        <v>199</v>
      </c>
      <c r="C4828" t="str">
        <f>"23"</f>
        <v>23</v>
      </c>
      <c r="D4828">
        <v>6498</v>
      </c>
      <c r="E4828" t="str">
        <f>"99"</f>
        <v>99</v>
      </c>
      <c r="F4828" t="str">
        <f>"041"</f>
        <v>041</v>
      </c>
      <c r="G4828">
        <v>9</v>
      </c>
      <c r="H4828" t="str">
        <f t="shared" si="1038"/>
        <v>99</v>
      </c>
      <c r="I4828" t="str">
        <f t="shared" si="1037"/>
        <v>0</v>
      </c>
      <c r="J4828" t="str">
        <f>"03"</f>
        <v>03</v>
      </c>
      <c r="K4828">
        <v>20190215</v>
      </c>
      <c r="L4828" t="str">
        <f>"075743"</f>
        <v>075743</v>
      </c>
      <c r="M4828" t="str">
        <f>"58202"</f>
        <v>58202</v>
      </c>
      <c r="N4828" t="s">
        <v>2781</v>
      </c>
      <c r="O4828">
        <v>100</v>
      </c>
      <c r="P4828">
        <v>20190214</v>
      </c>
      <c r="Q4828" t="s">
        <v>2140</v>
      </c>
      <c r="R4828" t="s">
        <v>3906</v>
      </c>
      <c r="S4828" t="s">
        <v>1615</v>
      </c>
      <c r="T4828" t="s">
        <v>106</v>
      </c>
    </row>
    <row r="4829" spans="1:20" x14ac:dyDescent="0.25">
      <c r="A4829">
        <v>9</v>
      </c>
      <c r="B4829">
        <v>199</v>
      </c>
      <c r="C4829" t="str">
        <f>"34"</f>
        <v>34</v>
      </c>
      <c r="D4829">
        <v>6299</v>
      </c>
      <c r="E4829" t="str">
        <f>"10"</f>
        <v>10</v>
      </c>
      <c r="F4829" t="str">
        <f>"937"</f>
        <v>937</v>
      </c>
      <c r="G4829">
        <v>9</v>
      </c>
      <c r="H4829" t="str">
        <f t="shared" si="1038"/>
        <v>99</v>
      </c>
      <c r="I4829" t="str">
        <f t="shared" si="1037"/>
        <v>0</v>
      </c>
      <c r="J4829" t="str">
        <f>"82"</f>
        <v>82</v>
      </c>
      <c r="K4829">
        <v>20190215</v>
      </c>
      <c r="L4829" t="str">
        <f>"075744"</f>
        <v>075744</v>
      </c>
      <c r="M4829" t="str">
        <f>"58927"</f>
        <v>58927</v>
      </c>
      <c r="N4829" t="s">
        <v>1772</v>
      </c>
      <c r="O4829">
        <v>60</v>
      </c>
      <c r="P4829">
        <v>20190213</v>
      </c>
      <c r="Q4829" t="s">
        <v>2292</v>
      </c>
      <c r="R4829" t="s">
        <v>1774</v>
      </c>
      <c r="S4829" t="s">
        <v>1615</v>
      </c>
      <c r="T4829" t="s">
        <v>1810</v>
      </c>
    </row>
    <row r="4830" spans="1:20" x14ac:dyDescent="0.25">
      <c r="A4830">
        <v>9</v>
      </c>
      <c r="B4830">
        <v>199</v>
      </c>
      <c r="C4830" t="str">
        <f>"34"</f>
        <v>34</v>
      </c>
      <c r="D4830">
        <v>6299</v>
      </c>
      <c r="E4830" t="str">
        <f>"10"</f>
        <v>10</v>
      </c>
      <c r="F4830" t="str">
        <f>"937"</f>
        <v>937</v>
      </c>
      <c r="G4830">
        <v>9</v>
      </c>
      <c r="H4830" t="str">
        <f t="shared" si="1038"/>
        <v>99</v>
      </c>
      <c r="I4830" t="str">
        <f t="shared" si="1037"/>
        <v>0</v>
      </c>
      <c r="J4830" t="str">
        <f>"82"</f>
        <v>82</v>
      </c>
      <c r="K4830">
        <v>20190215</v>
      </c>
      <c r="L4830" t="str">
        <f>"075744"</f>
        <v>075744</v>
      </c>
      <c r="M4830" t="str">
        <f>"58927"</f>
        <v>58927</v>
      </c>
      <c r="N4830" t="s">
        <v>1772</v>
      </c>
      <c r="O4830">
        <v>55</v>
      </c>
      <c r="P4830">
        <v>20190213</v>
      </c>
      <c r="Q4830" t="s">
        <v>2292</v>
      </c>
      <c r="R4830" t="s">
        <v>1773</v>
      </c>
      <c r="S4830" t="s">
        <v>1615</v>
      </c>
      <c r="T4830" t="s">
        <v>1810</v>
      </c>
    </row>
    <row r="4831" spans="1:20" x14ac:dyDescent="0.25">
      <c r="A4831">
        <v>9</v>
      </c>
      <c r="B4831">
        <v>199</v>
      </c>
      <c r="C4831" t="str">
        <f>"34"</f>
        <v>34</v>
      </c>
      <c r="D4831">
        <v>6299</v>
      </c>
      <c r="E4831" t="str">
        <f>"10"</f>
        <v>10</v>
      </c>
      <c r="F4831" t="str">
        <f>"937"</f>
        <v>937</v>
      </c>
      <c r="G4831">
        <v>9</v>
      </c>
      <c r="H4831" t="str">
        <f t="shared" si="1038"/>
        <v>99</v>
      </c>
      <c r="I4831" t="str">
        <f t="shared" si="1037"/>
        <v>0</v>
      </c>
      <c r="J4831" t="str">
        <f>"82"</f>
        <v>82</v>
      </c>
      <c r="K4831">
        <v>20190215</v>
      </c>
      <c r="L4831" t="str">
        <f>"075744"</f>
        <v>075744</v>
      </c>
      <c r="M4831" t="str">
        <f>"58927"</f>
        <v>58927</v>
      </c>
      <c r="N4831" t="s">
        <v>1772</v>
      </c>
      <c r="O4831">
        <v>60</v>
      </c>
      <c r="P4831">
        <v>20190213</v>
      </c>
      <c r="Q4831" t="s">
        <v>2292</v>
      </c>
      <c r="R4831" t="s">
        <v>1774</v>
      </c>
      <c r="S4831" t="s">
        <v>1615</v>
      </c>
      <c r="T4831" t="s">
        <v>1810</v>
      </c>
    </row>
    <row r="4832" spans="1:20" x14ac:dyDescent="0.25">
      <c r="A4832">
        <v>9</v>
      </c>
      <c r="B4832">
        <v>199</v>
      </c>
      <c r="C4832" t="str">
        <f>"11"</f>
        <v>11</v>
      </c>
      <c r="D4832">
        <v>6399</v>
      </c>
      <c r="E4832" t="str">
        <f>"AP"</f>
        <v>AP</v>
      </c>
      <c r="F4832" t="str">
        <f>"001"</f>
        <v>001</v>
      </c>
      <c r="G4832">
        <v>9</v>
      </c>
      <c r="H4832" t="str">
        <f>"31"</f>
        <v>31</v>
      </c>
      <c r="I4832" t="str">
        <f t="shared" si="1037"/>
        <v>0</v>
      </c>
      <c r="J4832" t="str">
        <f>"34"</f>
        <v>34</v>
      </c>
      <c r="K4832">
        <v>20190215</v>
      </c>
      <c r="L4832" t="str">
        <f>"075745"</f>
        <v>075745</v>
      </c>
      <c r="M4832" t="str">
        <f>"60070"</f>
        <v>60070</v>
      </c>
      <c r="N4832" t="s">
        <v>1575</v>
      </c>
      <c r="O4832">
        <v>859.98</v>
      </c>
      <c r="P4832">
        <v>20190213</v>
      </c>
      <c r="Q4832" t="s">
        <v>1677</v>
      </c>
      <c r="R4832" t="s">
        <v>3907</v>
      </c>
      <c r="S4832" t="s">
        <v>1615</v>
      </c>
      <c r="T4832" t="s">
        <v>301</v>
      </c>
    </row>
    <row r="4833" spans="1:20" x14ac:dyDescent="0.25">
      <c r="A4833">
        <v>9</v>
      </c>
      <c r="B4833">
        <v>199</v>
      </c>
      <c r="C4833" t="str">
        <f>"41"</f>
        <v>41</v>
      </c>
      <c r="D4833">
        <v>6399</v>
      </c>
      <c r="E4833" t="str">
        <f>"10"</f>
        <v>10</v>
      </c>
      <c r="F4833" t="str">
        <f>"720"</f>
        <v>720</v>
      </c>
      <c r="G4833">
        <v>9</v>
      </c>
      <c r="H4833" t="str">
        <f>"99"</f>
        <v>99</v>
      </c>
      <c r="I4833" t="str">
        <f t="shared" si="1037"/>
        <v>0</v>
      </c>
      <c r="J4833" t="str">
        <f>"91"</f>
        <v>91</v>
      </c>
      <c r="K4833">
        <v>20190215</v>
      </c>
      <c r="L4833" t="str">
        <f>"075746"</f>
        <v>075746</v>
      </c>
      <c r="M4833" t="str">
        <f>"60179"</f>
        <v>60179</v>
      </c>
      <c r="N4833" t="s">
        <v>3908</v>
      </c>
      <c r="O4833">
        <v>324.14999999999998</v>
      </c>
      <c r="P4833">
        <v>20190213</v>
      </c>
      <c r="Q4833" t="s">
        <v>2132</v>
      </c>
      <c r="R4833" t="s">
        <v>3909</v>
      </c>
      <c r="S4833" t="s">
        <v>1615</v>
      </c>
      <c r="T4833" t="s">
        <v>2045</v>
      </c>
    </row>
    <row r="4834" spans="1:20" x14ac:dyDescent="0.25">
      <c r="A4834">
        <v>9</v>
      </c>
      <c r="B4834">
        <v>199</v>
      </c>
      <c r="C4834" t="str">
        <f>"41"</f>
        <v>41</v>
      </c>
      <c r="D4834">
        <v>6411</v>
      </c>
      <c r="E4834" t="str">
        <f>"10"</f>
        <v>10</v>
      </c>
      <c r="F4834" t="str">
        <f>"726"</f>
        <v>726</v>
      </c>
      <c r="G4834">
        <v>9</v>
      </c>
      <c r="H4834" t="str">
        <f>"99"</f>
        <v>99</v>
      </c>
      <c r="I4834" t="str">
        <f t="shared" si="1037"/>
        <v>0</v>
      </c>
      <c r="J4834" t="str">
        <f>"91"</f>
        <v>91</v>
      </c>
      <c r="K4834">
        <v>20190215</v>
      </c>
      <c r="L4834" t="str">
        <f>"075748"</f>
        <v>075748</v>
      </c>
      <c r="M4834" t="str">
        <f>"00731"</f>
        <v>00731</v>
      </c>
      <c r="N4834" t="s">
        <v>3910</v>
      </c>
      <c r="O4834">
        <v>25.76</v>
      </c>
      <c r="P4834">
        <v>20190213</v>
      </c>
      <c r="Q4834" t="s">
        <v>3313</v>
      </c>
      <c r="R4834" t="s">
        <v>3314</v>
      </c>
      <c r="S4834" t="s">
        <v>1615</v>
      </c>
      <c r="T4834" t="s">
        <v>2608</v>
      </c>
    </row>
    <row r="4835" spans="1:20" x14ac:dyDescent="0.25">
      <c r="A4835">
        <v>9</v>
      </c>
      <c r="B4835">
        <v>199</v>
      </c>
      <c r="C4835" t="str">
        <f>"33"</f>
        <v>33</v>
      </c>
      <c r="D4835">
        <v>6399</v>
      </c>
      <c r="E4835" t="str">
        <f>"8F"</f>
        <v>8F</v>
      </c>
      <c r="F4835" t="str">
        <f>"101"</f>
        <v>101</v>
      </c>
      <c r="G4835">
        <v>9</v>
      </c>
      <c r="H4835" t="str">
        <f>"99"</f>
        <v>99</v>
      </c>
      <c r="I4835" t="str">
        <f t="shared" si="1037"/>
        <v>0</v>
      </c>
      <c r="J4835" t="str">
        <f>"04"</f>
        <v>04</v>
      </c>
      <c r="K4835">
        <v>20190215</v>
      </c>
      <c r="L4835" t="str">
        <f>"075750"</f>
        <v>075750</v>
      </c>
      <c r="M4835" t="str">
        <f>"65817"</f>
        <v>65817</v>
      </c>
      <c r="N4835" t="s">
        <v>2321</v>
      </c>
      <c r="O4835">
        <v>279.18</v>
      </c>
      <c r="P4835">
        <v>20190213</v>
      </c>
      <c r="Q4835" t="s">
        <v>2322</v>
      </c>
      <c r="R4835" t="s">
        <v>2323</v>
      </c>
      <c r="S4835" t="s">
        <v>1615</v>
      </c>
      <c r="T4835" t="s">
        <v>1479</v>
      </c>
    </row>
    <row r="4836" spans="1:20" x14ac:dyDescent="0.25">
      <c r="A4836">
        <v>9</v>
      </c>
      <c r="B4836">
        <v>199</v>
      </c>
      <c r="C4836" t="str">
        <f>"11"</f>
        <v>11</v>
      </c>
      <c r="D4836">
        <v>6399</v>
      </c>
      <c r="E4836" t="str">
        <f>"V8"</f>
        <v>V8</v>
      </c>
      <c r="F4836" t="str">
        <f>"001"</f>
        <v>001</v>
      </c>
      <c r="G4836">
        <v>9</v>
      </c>
      <c r="H4836" t="str">
        <f>"22"</f>
        <v>22</v>
      </c>
      <c r="I4836" t="str">
        <f t="shared" si="1037"/>
        <v>0</v>
      </c>
      <c r="J4836" t="str">
        <f>"22"</f>
        <v>22</v>
      </c>
      <c r="K4836">
        <v>20190215</v>
      </c>
      <c r="L4836" t="str">
        <f>"075752"</f>
        <v>075752</v>
      </c>
      <c r="M4836" t="str">
        <f>"71250"</f>
        <v>71250</v>
      </c>
      <c r="N4836" t="s">
        <v>1389</v>
      </c>
      <c r="O4836">
        <v>297.08</v>
      </c>
      <c r="P4836">
        <v>20190213</v>
      </c>
      <c r="Q4836" t="s">
        <v>2001</v>
      </c>
      <c r="R4836" t="s">
        <v>2646</v>
      </c>
      <c r="S4836" t="s">
        <v>1615</v>
      </c>
      <c r="T4836" t="s">
        <v>301</v>
      </c>
    </row>
    <row r="4837" spans="1:20" x14ac:dyDescent="0.25">
      <c r="A4837">
        <v>9</v>
      </c>
      <c r="B4837">
        <v>199</v>
      </c>
      <c r="C4837" t="str">
        <f>"36"</f>
        <v>36</v>
      </c>
      <c r="D4837">
        <v>6499</v>
      </c>
      <c r="E4837" t="str">
        <f>"8E"</f>
        <v>8E</v>
      </c>
      <c r="F4837" t="str">
        <f>"001"</f>
        <v>001</v>
      </c>
      <c r="G4837">
        <v>9</v>
      </c>
      <c r="H4837" t="str">
        <f>"99"</f>
        <v>99</v>
      </c>
      <c r="I4837" t="str">
        <f t="shared" si="1037"/>
        <v>0</v>
      </c>
      <c r="J4837" t="str">
        <f>"01"</f>
        <v>01</v>
      </c>
      <c r="K4837">
        <v>20190215</v>
      </c>
      <c r="L4837" t="str">
        <f>"075752"</f>
        <v>075752</v>
      </c>
      <c r="M4837" t="str">
        <f>"71250"</f>
        <v>71250</v>
      </c>
      <c r="N4837" t="s">
        <v>1389</v>
      </c>
      <c r="O4837">
        <v>271.27</v>
      </c>
      <c r="P4837">
        <v>20190213</v>
      </c>
      <c r="Q4837" t="s">
        <v>3788</v>
      </c>
      <c r="R4837" t="s">
        <v>3911</v>
      </c>
      <c r="S4837" t="s">
        <v>1615</v>
      </c>
      <c r="T4837" t="s">
        <v>301</v>
      </c>
    </row>
    <row r="4838" spans="1:20" x14ac:dyDescent="0.25">
      <c r="A4838">
        <v>9</v>
      </c>
      <c r="B4838">
        <v>199</v>
      </c>
      <c r="C4838" t="str">
        <f>"11"</f>
        <v>11</v>
      </c>
      <c r="D4838">
        <v>6412</v>
      </c>
      <c r="E4838" t="str">
        <f>"TA"</f>
        <v>TA</v>
      </c>
      <c r="F4838" t="str">
        <f>"001"</f>
        <v>001</v>
      </c>
      <c r="G4838">
        <v>9</v>
      </c>
      <c r="H4838" t="str">
        <f>"31"</f>
        <v>31</v>
      </c>
      <c r="I4838" t="str">
        <f t="shared" si="1037"/>
        <v>0</v>
      </c>
      <c r="J4838" t="str">
        <f>"34"</f>
        <v>34</v>
      </c>
      <c r="K4838">
        <v>20190215</v>
      </c>
      <c r="L4838" t="str">
        <f>"075754"</f>
        <v>075754</v>
      </c>
      <c r="M4838" t="str">
        <f>"67546"</f>
        <v>67546</v>
      </c>
      <c r="N4838" t="s">
        <v>3912</v>
      </c>
      <c r="O4838" s="1">
        <v>1000</v>
      </c>
      <c r="P4838">
        <v>20190213</v>
      </c>
      <c r="Q4838" t="s">
        <v>3895</v>
      </c>
      <c r="R4838" t="s">
        <v>3896</v>
      </c>
      <c r="S4838" t="s">
        <v>1615</v>
      </c>
      <c r="T4838" t="s">
        <v>301</v>
      </c>
    </row>
    <row r="4839" spans="1:20" x14ac:dyDescent="0.25">
      <c r="A4839">
        <v>9</v>
      </c>
      <c r="B4839">
        <v>199</v>
      </c>
      <c r="C4839" t="str">
        <f>"11"</f>
        <v>11</v>
      </c>
      <c r="D4839">
        <v>6412</v>
      </c>
      <c r="E4839" t="str">
        <f>"TA"</f>
        <v>TA</v>
      </c>
      <c r="F4839" t="str">
        <f>"001"</f>
        <v>001</v>
      </c>
      <c r="G4839">
        <v>9</v>
      </c>
      <c r="H4839" t="str">
        <f>"31"</f>
        <v>31</v>
      </c>
      <c r="I4839" t="str">
        <f t="shared" si="1037"/>
        <v>0</v>
      </c>
      <c r="J4839" t="str">
        <f>"34"</f>
        <v>34</v>
      </c>
      <c r="K4839">
        <v>20190227</v>
      </c>
      <c r="L4839" t="str">
        <f>"075754"</f>
        <v>075754</v>
      </c>
      <c r="M4839" t="str">
        <f>"67546"</f>
        <v>67546</v>
      </c>
      <c r="N4839" t="s">
        <v>3912</v>
      </c>
      <c r="O4839" s="1">
        <v>-1000</v>
      </c>
      <c r="P4839">
        <v>20190227</v>
      </c>
      <c r="Q4839" t="s">
        <v>3895</v>
      </c>
      <c r="R4839" t="s">
        <v>409</v>
      </c>
      <c r="S4839" t="s">
        <v>1615</v>
      </c>
      <c r="T4839" t="s">
        <v>301</v>
      </c>
    </row>
    <row r="4840" spans="1:20" x14ac:dyDescent="0.25">
      <c r="A4840">
        <v>9</v>
      </c>
      <c r="B4840">
        <v>199</v>
      </c>
      <c r="C4840" t="str">
        <f>"41"</f>
        <v>41</v>
      </c>
      <c r="D4840">
        <v>6411</v>
      </c>
      <c r="E4840" t="str">
        <f>"10"</f>
        <v>10</v>
      </c>
      <c r="F4840" t="str">
        <f>"730"</f>
        <v>730</v>
      </c>
      <c r="G4840">
        <v>9</v>
      </c>
      <c r="H4840" t="str">
        <f>"99"</f>
        <v>99</v>
      </c>
      <c r="I4840" t="str">
        <f t="shared" si="1037"/>
        <v>0</v>
      </c>
      <c r="J4840" t="str">
        <f>"95"</f>
        <v>95</v>
      </c>
      <c r="K4840">
        <v>20190215</v>
      </c>
      <c r="L4840" t="str">
        <f>"075755"</f>
        <v>075755</v>
      </c>
      <c r="M4840" t="str">
        <f>"76476"</f>
        <v>76476</v>
      </c>
      <c r="N4840" t="s">
        <v>312</v>
      </c>
      <c r="O4840">
        <v>347</v>
      </c>
      <c r="P4840">
        <v>20190213</v>
      </c>
      <c r="Q4840" t="s">
        <v>3913</v>
      </c>
      <c r="R4840" t="s">
        <v>3914</v>
      </c>
      <c r="S4840" t="s">
        <v>1615</v>
      </c>
      <c r="T4840" t="s">
        <v>1794</v>
      </c>
    </row>
    <row r="4841" spans="1:20" x14ac:dyDescent="0.25">
      <c r="A4841">
        <v>9</v>
      </c>
      <c r="B4841">
        <v>199</v>
      </c>
      <c r="C4841" t="str">
        <f>"41"</f>
        <v>41</v>
      </c>
      <c r="D4841">
        <v>6411</v>
      </c>
      <c r="E4841" t="str">
        <f>"10"</f>
        <v>10</v>
      </c>
      <c r="F4841" t="str">
        <f>"730"</f>
        <v>730</v>
      </c>
      <c r="G4841">
        <v>9</v>
      </c>
      <c r="H4841" t="str">
        <f>"99"</f>
        <v>99</v>
      </c>
      <c r="I4841" t="str">
        <f t="shared" si="1037"/>
        <v>0</v>
      </c>
      <c r="J4841" t="str">
        <f>"95"</f>
        <v>95</v>
      </c>
      <c r="K4841">
        <v>20190215</v>
      </c>
      <c r="L4841" t="str">
        <f>"075756"</f>
        <v>075756</v>
      </c>
      <c r="M4841" t="str">
        <f>"76508"</f>
        <v>76508</v>
      </c>
      <c r="N4841" t="s">
        <v>312</v>
      </c>
      <c r="O4841">
        <v>330</v>
      </c>
      <c r="P4841">
        <v>20190213</v>
      </c>
      <c r="Q4841" t="s">
        <v>3913</v>
      </c>
      <c r="R4841" t="s">
        <v>3915</v>
      </c>
      <c r="S4841" t="s">
        <v>1615</v>
      </c>
      <c r="T4841" t="s">
        <v>1794</v>
      </c>
    </row>
    <row r="4842" spans="1:20" x14ac:dyDescent="0.25">
      <c r="A4842">
        <v>9</v>
      </c>
      <c r="B4842">
        <v>199</v>
      </c>
      <c r="C4842" t="str">
        <f t="shared" ref="C4842:C4848" si="1039">"11"</f>
        <v>11</v>
      </c>
      <c r="D4842">
        <v>6399</v>
      </c>
      <c r="E4842" t="str">
        <f>"H1"</f>
        <v>H1</v>
      </c>
      <c r="F4842" t="str">
        <f>"041"</f>
        <v>041</v>
      </c>
      <c r="G4842">
        <v>9</v>
      </c>
      <c r="H4842" t="str">
        <f t="shared" ref="H4842:H4848" si="1040">"11"</f>
        <v>11</v>
      </c>
      <c r="I4842" t="str">
        <f t="shared" si="1037"/>
        <v>0</v>
      </c>
      <c r="J4842" t="str">
        <f>"03"</f>
        <v>03</v>
      </c>
      <c r="K4842">
        <v>20190215</v>
      </c>
      <c r="L4842" t="str">
        <f>"075757"</f>
        <v>075757</v>
      </c>
      <c r="M4842" t="str">
        <f>"76491"</f>
        <v>76491</v>
      </c>
      <c r="N4842" t="s">
        <v>1835</v>
      </c>
      <c r="O4842">
        <v>900</v>
      </c>
      <c r="P4842">
        <v>20190213</v>
      </c>
      <c r="Q4842" t="s">
        <v>3916</v>
      </c>
      <c r="R4842" t="s">
        <v>3917</v>
      </c>
      <c r="S4842" t="s">
        <v>1615</v>
      </c>
      <c r="T4842" t="s">
        <v>106</v>
      </c>
    </row>
    <row r="4843" spans="1:20" x14ac:dyDescent="0.25">
      <c r="A4843">
        <v>9</v>
      </c>
      <c r="B4843">
        <v>199</v>
      </c>
      <c r="C4843" t="str">
        <f t="shared" si="1039"/>
        <v>11</v>
      </c>
      <c r="D4843">
        <v>6395</v>
      </c>
      <c r="E4843" t="str">
        <f>"10"</f>
        <v>10</v>
      </c>
      <c r="F4843" t="str">
        <f>"001"</f>
        <v>001</v>
      </c>
      <c r="G4843">
        <v>9</v>
      </c>
      <c r="H4843" t="str">
        <f t="shared" si="1040"/>
        <v>11</v>
      </c>
      <c r="I4843" t="str">
        <f t="shared" si="1037"/>
        <v>0</v>
      </c>
      <c r="J4843" t="str">
        <f>"01"</f>
        <v>01</v>
      </c>
      <c r="K4843">
        <v>20190215</v>
      </c>
      <c r="L4843" t="str">
        <f t="shared" ref="L4843:L4850" si="1041">"075760"</f>
        <v>075760</v>
      </c>
      <c r="M4843" t="str">
        <f t="shared" ref="M4843:M4850" si="1042">"81303"</f>
        <v>81303</v>
      </c>
      <c r="N4843" t="s">
        <v>66</v>
      </c>
      <c r="O4843">
        <v>15</v>
      </c>
      <c r="P4843">
        <v>20190213</v>
      </c>
      <c r="Q4843" t="s">
        <v>1929</v>
      </c>
      <c r="R4843" t="s">
        <v>3918</v>
      </c>
      <c r="S4843" t="s">
        <v>1615</v>
      </c>
      <c r="T4843" t="s">
        <v>301</v>
      </c>
    </row>
    <row r="4844" spans="1:20" x14ac:dyDescent="0.25">
      <c r="A4844">
        <v>9</v>
      </c>
      <c r="B4844">
        <v>199</v>
      </c>
      <c r="C4844" t="str">
        <f t="shared" si="1039"/>
        <v>11</v>
      </c>
      <c r="D4844">
        <v>6395</v>
      </c>
      <c r="E4844" t="str">
        <f>"10"</f>
        <v>10</v>
      </c>
      <c r="F4844" t="str">
        <f>"001"</f>
        <v>001</v>
      </c>
      <c r="G4844">
        <v>9</v>
      </c>
      <c r="H4844" t="str">
        <f t="shared" si="1040"/>
        <v>11</v>
      </c>
      <c r="I4844" t="str">
        <f t="shared" si="1037"/>
        <v>0</v>
      </c>
      <c r="J4844" t="str">
        <f>"01"</f>
        <v>01</v>
      </c>
      <c r="K4844">
        <v>20190215</v>
      </c>
      <c r="L4844" t="str">
        <f t="shared" si="1041"/>
        <v>075760</v>
      </c>
      <c r="M4844" t="str">
        <f t="shared" si="1042"/>
        <v>81303</v>
      </c>
      <c r="N4844" t="s">
        <v>66</v>
      </c>
      <c r="O4844">
        <v>392.7</v>
      </c>
      <c r="P4844">
        <v>20190213</v>
      </c>
      <c r="Q4844" t="s">
        <v>1929</v>
      </c>
      <c r="R4844" t="s">
        <v>3919</v>
      </c>
      <c r="S4844" t="s">
        <v>1615</v>
      </c>
      <c r="T4844" t="s">
        <v>301</v>
      </c>
    </row>
    <row r="4845" spans="1:20" x14ac:dyDescent="0.25">
      <c r="A4845">
        <v>9</v>
      </c>
      <c r="B4845">
        <v>199</v>
      </c>
      <c r="C4845" t="str">
        <f t="shared" si="1039"/>
        <v>11</v>
      </c>
      <c r="D4845">
        <v>6395</v>
      </c>
      <c r="E4845" t="str">
        <f>"10"</f>
        <v>10</v>
      </c>
      <c r="F4845" t="str">
        <f>"001"</f>
        <v>001</v>
      </c>
      <c r="G4845">
        <v>9</v>
      </c>
      <c r="H4845" t="str">
        <f t="shared" si="1040"/>
        <v>11</v>
      </c>
      <c r="I4845" t="str">
        <f t="shared" si="1037"/>
        <v>0</v>
      </c>
      <c r="J4845" t="str">
        <f>"01"</f>
        <v>01</v>
      </c>
      <c r="K4845">
        <v>20190215</v>
      </c>
      <c r="L4845" t="str">
        <f t="shared" si="1041"/>
        <v>075760</v>
      </c>
      <c r="M4845" t="str">
        <f t="shared" si="1042"/>
        <v>81303</v>
      </c>
      <c r="N4845" t="s">
        <v>66</v>
      </c>
      <c r="O4845">
        <v>728</v>
      </c>
      <c r="P4845">
        <v>20190213</v>
      </c>
      <c r="Q4845" t="s">
        <v>1929</v>
      </c>
      <c r="R4845" t="s">
        <v>3920</v>
      </c>
      <c r="S4845" t="s">
        <v>1615</v>
      </c>
      <c r="T4845" t="s">
        <v>301</v>
      </c>
    </row>
    <row r="4846" spans="1:20" x14ac:dyDescent="0.25">
      <c r="A4846">
        <v>9</v>
      </c>
      <c r="B4846">
        <v>199</v>
      </c>
      <c r="C4846" t="str">
        <f t="shared" si="1039"/>
        <v>11</v>
      </c>
      <c r="D4846">
        <v>6395</v>
      </c>
      <c r="E4846" t="str">
        <f>"10"</f>
        <v>10</v>
      </c>
      <c r="F4846" t="str">
        <f>"001"</f>
        <v>001</v>
      </c>
      <c r="G4846">
        <v>9</v>
      </c>
      <c r="H4846" t="str">
        <f t="shared" si="1040"/>
        <v>11</v>
      </c>
      <c r="I4846" t="str">
        <f t="shared" si="1037"/>
        <v>0</v>
      </c>
      <c r="J4846" t="str">
        <f>"01"</f>
        <v>01</v>
      </c>
      <c r="K4846">
        <v>20190215</v>
      </c>
      <c r="L4846" t="str">
        <f t="shared" si="1041"/>
        <v>075760</v>
      </c>
      <c r="M4846" t="str">
        <f t="shared" si="1042"/>
        <v>81303</v>
      </c>
      <c r="N4846" t="s">
        <v>66</v>
      </c>
      <c r="O4846">
        <v>27.5</v>
      </c>
      <c r="P4846">
        <v>20190213</v>
      </c>
      <c r="Q4846" t="s">
        <v>1929</v>
      </c>
      <c r="R4846" t="s">
        <v>3921</v>
      </c>
      <c r="S4846" t="s">
        <v>1615</v>
      </c>
      <c r="T4846" t="s">
        <v>301</v>
      </c>
    </row>
    <row r="4847" spans="1:20" x14ac:dyDescent="0.25">
      <c r="A4847">
        <v>9</v>
      </c>
      <c r="B4847">
        <v>199</v>
      </c>
      <c r="C4847" t="str">
        <f t="shared" si="1039"/>
        <v>11</v>
      </c>
      <c r="D4847">
        <v>6395</v>
      </c>
      <c r="E4847" t="str">
        <f>"45"</f>
        <v>45</v>
      </c>
      <c r="F4847" t="str">
        <f>"104"</f>
        <v>104</v>
      </c>
      <c r="G4847">
        <v>9</v>
      </c>
      <c r="H4847" t="str">
        <f t="shared" si="1040"/>
        <v>11</v>
      </c>
      <c r="I4847" t="str">
        <f t="shared" si="1037"/>
        <v>0</v>
      </c>
      <c r="J4847" t="str">
        <f>"05"</f>
        <v>05</v>
      </c>
      <c r="K4847">
        <v>20190215</v>
      </c>
      <c r="L4847" t="str">
        <f t="shared" si="1041"/>
        <v>075760</v>
      </c>
      <c r="M4847" t="str">
        <f t="shared" si="1042"/>
        <v>81303</v>
      </c>
      <c r="N4847" t="s">
        <v>66</v>
      </c>
      <c r="O4847">
        <v>86.4</v>
      </c>
      <c r="P4847">
        <v>20190213</v>
      </c>
      <c r="Q4847" t="s">
        <v>3480</v>
      </c>
      <c r="R4847" t="s">
        <v>3922</v>
      </c>
      <c r="S4847" t="s">
        <v>1615</v>
      </c>
      <c r="T4847" t="s">
        <v>46</v>
      </c>
    </row>
    <row r="4848" spans="1:20" x14ac:dyDescent="0.25">
      <c r="A4848">
        <v>9</v>
      </c>
      <c r="B4848">
        <v>199</v>
      </c>
      <c r="C4848" t="str">
        <f t="shared" si="1039"/>
        <v>11</v>
      </c>
      <c r="D4848">
        <v>6399</v>
      </c>
      <c r="E4848" t="str">
        <f>"8E"</f>
        <v>8E</v>
      </c>
      <c r="F4848" t="str">
        <f>"001"</f>
        <v>001</v>
      </c>
      <c r="G4848">
        <v>9</v>
      </c>
      <c r="H4848" t="str">
        <f t="shared" si="1040"/>
        <v>11</v>
      </c>
      <c r="I4848" t="str">
        <f t="shared" si="1037"/>
        <v>0</v>
      </c>
      <c r="J4848" t="str">
        <f>"01"</f>
        <v>01</v>
      </c>
      <c r="K4848">
        <v>20190215</v>
      </c>
      <c r="L4848" t="str">
        <f t="shared" si="1041"/>
        <v>075760</v>
      </c>
      <c r="M4848" t="str">
        <f t="shared" si="1042"/>
        <v>81303</v>
      </c>
      <c r="N4848" t="s">
        <v>66</v>
      </c>
      <c r="O4848">
        <v>83.75</v>
      </c>
      <c r="P4848">
        <v>20190213</v>
      </c>
      <c r="Q4848" t="s">
        <v>3519</v>
      </c>
      <c r="R4848" t="s">
        <v>3923</v>
      </c>
      <c r="S4848" t="s">
        <v>1615</v>
      </c>
      <c r="T4848" t="s">
        <v>301</v>
      </c>
    </row>
    <row r="4849" spans="1:20" x14ac:dyDescent="0.25">
      <c r="A4849">
        <v>9</v>
      </c>
      <c r="B4849">
        <v>199</v>
      </c>
      <c r="C4849" t="str">
        <f>"33"</f>
        <v>33</v>
      </c>
      <c r="D4849">
        <v>6399</v>
      </c>
      <c r="E4849" t="str">
        <f>"8F"</f>
        <v>8F</v>
      </c>
      <c r="F4849" t="str">
        <f>"041"</f>
        <v>041</v>
      </c>
      <c r="G4849">
        <v>9</v>
      </c>
      <c r="H4849" t="str">
        <f>"99"</f>
        <v>99</v>
      </c>
      <c r="I4849" t="str">
        <f t="shared" si="1037"/>
        <v>0</v>
      </c>
      <c r="J4849" t="str">
        <f>"03"</f>
        <v>03</v>
      </c>
      <c r="K4849">
        <v>20190215</v>
      </c>
      <c r="L4849" t="str">
        <f t="shared" si="1041"/>
        <v>075760</v>
      </c>
      <c r="M4849" t="str">
        <f t="shared" si="1042"/>
        <v>81303</v>
      </c>
      <c r="N4849" t="s">
        <v>66</v>
      </c>
      <c r="O4849">
        <v>49.5</v>
      </c>
      <c r="P4849">
        <v>20190213</v>
      </c>
      <c r="Q4849" t="s">
        <v>2431</v>
      </c>
      <c r="R4849" t="s">
        <v>3923</v>
      </c>
      <c r="S4849" t="s">
        <v>1615</v>
      </c>
      <c r="T4849" t="s">
        <v>106</v>
      </c>
    </row>
    <row r="4850" spans="1:20" x14ac:dyDescent="0.25">
      <c r="A4850">
        <v>9</v>
      </c>
      <c r="B4850">
        <v>199</v>
      </c>
      <c r="C4850" t="str">
        <f>"41"</f>
        <v>41</v>
      </c>
      <c r="D4850">
        <v>6395</v>
      </c>
      <c r="E4850" t="str">
        <f>"10"</f>
        <v>10</v>
      </c>
      <c r="F4850" t="str">
        <f>"735"</f>
        <v>735</v>
      </c>
      <c r="G4850">
        <v>9</v>
      </c>
      <c r="H4850" t="str">
        <f>"99"</f>
        <v>99</v>
      </c>
      <c r="I4850" t="str">
        <f t="shared" si="1037"/>
        <v>0</v>
      </c>
      <c r="J4850" t="str">
        <f>"96"</f>
        <v>96</v>
      </c>
      <c r="K4850">
        <v>20190215</v>
      </c>
      <c r="L4850" t="str">
        <f t="shared" si="1041"/>
        <v>075760</v>
      </c>
      <c r="M4850" t="str">
        <f t="shared" si="1042"/>
        <v>81303</v>
      </c>
      <c r="N4850" t="s">
        <v>66</v>
      </c>
      <c r="O4850">
        <v>460.8</v>
      </c>
      <c r="P4850">
        <v>20190213</v>
      </c>
      <c r="Q4850" t="s">
        <v>3488</v>
      </c>
      <c r="R4850" t="s">
        <v>3924</v>
      </c>
      <c r="S4850" t="s">
        <v>1615</v>
      </c>
      <c r="T4850" t="s">
        <v>151</v>
      </c>
    </row>
    <row r="4851" spans="1:20" x14ac:dyDescent="0.25">
      <c r="A4851">
        <v>9</v>
      </c>
      <c r="B4851">
        <v>199</v>
      </c>
      <c r="C4851" t="str">
        <f>"36"</f>
        <v>36</v>
      </c>
      <c r="D4851">
        <v>6495</v>
      </c>
      <c r="E4851" t="str">
        <f>"7B"</f>
        <v>7B</v>
      </c>
      <c r="F4851" t="str">
        <f>"041"</f>
        <v>041</v>
      </c>
      <c r="G4851">
        <v>9</v>
      </c>
      <c r="H4851" t="str">
        <f>"99"</f>
        <v>99</v>
      </c>
      <c r="I4851" t="str">
        <f t="shared" si="1037"/>
        <v>0</v>
      </c>
      <c r="J4851" t="str">
        <f>"36"</f>
        <v>36</v>
      </c>
      <c r="K4851">
        <v>20190215</v>
      </c>
      <c r="L4851" t="str">
        <f>"075761"</f>
        <v>075761</v>
      </c>
      <c r="M4851" t="str">
        <f>"82126"</f>
        <v>82126</v>
      </c>
      <c r="N4851" t="s">
        <v>1850</v>
      </c>
      <c r="O4851">
        <v>700</v>
      </c>
      <c r="P4851">
        <v>20190213</v>
      </c>
      <c r="Q4851" t="s">
        <v>2537</v>
      </c>
      <c r="R4851" t="s">
        <v>3925</v>
      </c>
      <c r="S4851" t="s">
        <v>1615</v>
      </c>
      <c r="T4851" t="s">
        <v>106</v>
      </c>
    </row>
    <row r="4852" spans="1:20" x14ac:dyDescent="0.25">
      <c r="A4852">
        <v>9</v>
      </c>
      <c r="B4852">
        <v>199</v>
      </c>
      <c r="C4852" t="str">
        <f>"36"</f>
        <v>36</v>
      </c>
      <c r="D4852">
        <v>6495</v>
      </c>
      <c r="E4852" t="str">
        <f>"7B"</f>
        <v>7B</v>
      </c>
      <c r="F4852" t="str">
        <f>"041"</f>
        <v>041</v>
      </c>
      <c r="G4852">
        <v>9</v>
      </c>
      <c r="H4852" t="str">
        <f>"99"</f>
        <v>99</v>
      </c>
      <c r="I4852" t="str">
        <f t="shared" si="1037"/>
        <v>0</v>
      </c>
      <c r="J4852" t="str">
        <f>"36"</f>
        <v>36</v>
      </c>
      <c r="K4852">
        <v>20190215</v>
      </c>
      <c r="L4852" t="str">
        <f>"075761"</f>
        <v>075761</v>
      </c>
      <c r="M4852" t="str">
        <f>"82126"</f>
        <v>82126</v>
      </c>
      <c r="N4852" t="s">
        <v>1850</v>
      </c>
      <c r="O4852">
        <v>350</v>
      </c>
      <c r="P4852">
        <v>20190213</v>
      </c>
      <c r="Q4852" t="s">
        <v>2537</v>
      </c>
      <c r="R4852" t="s">
        <v>3925</v>
      </c>
      <c r="S4852" t="s">
        <v>1615</v>
      </c>
      <c r="T4852" t="s">
        <v>106</v>
      </c>
    </row>
    <row r="4853" spans="1:20" x14ac:dyDescent="0.25">
      <c r="A4853">
        <v>9</v>
      </c>
      <c r="B4853">
        <v>199</v>
      </c>
      <c r="C4853" t="str">
        <f>"00"</f>
        <v>00</v>
      </c>
      <c r="D4853">
        <v>1415</v>
      </c>
      <c r="E4853" t="str">
        <f>"03"</f>
        <v>03</v>
      </c>
      <c r="F4853" t="str">
        <f>"000"</f>
        <v>000</v>
      </c>
      <c r="G4853">
        <v>9</v>
      </c>
      <c r="H4853" t="str">
        <f>"00"</f>
        <v>00</v>
      </c>
      <c r="I4853" t="str">
        <f t="shared" si="1037"/>
        <v>0</v>
      </c>
      <c r="J4853" t="str">
        <f>"00"</f>
        <v>00</v>
      </c>
      <c r="K4853">
        <v>20190215</v>
      </c>
      <c r="L4853" t="str">
        <f>"075762"</f>
        <v>075762</v>
      </c>
      <c r="M4853" t="str">
        <f>"58986"</f>
        <v>58986</v>
      </c>
      <c r="N4853" t="s">
        <v>2347</v>
      </c>
      <c r="O4853">
        <v>250</v>
      </c>
      <c r="P4853">
        <v>20190213</v>
      </c>
      <c r="Q4853" t="s">
        <v>3926</v>
      </c>
      <c r="R4853" t="s">
        <v>3927</v>
      </c>
      <c r="S4853" t="s">
        <v>1615</v>
      </c>
      <c r="T4853" t="s">
        <v>296</v>
      </c>
    </row>
    <row r="4854" spans="1:20" x14ac:dyDescent="0.25">
      <c r="A4854">
        <v>9</v>
      </c>
      <c r="B4854">
        <v>199</v>
      </c>
      <c r="C4854" t="str">
        <f>"11"</f>
        <v>11</v>
      </c>
      <c r="D4854">
        <v>6399</v>
      </c>
      <c r="E4854" t="str">
        <f>"VD"</f>
        <v>VD</v>
      </c>
      <c r="F4854" t="str">
        <f>"001"</f>
        <v>001</v>
      </c>
      <c r="G4854">
        <v>9</v>
      </c>
      <c r="H4854" t="str">
        <f>"22"</f>
        <v>22</v>
      </c>
      <c r="I4854" t="str">
        <f t="shared" si="1037"/>
        <v>0</v>
      </c>
      <c r="J4854" t="str">
        <f>"22"</f>
        <v>22</v>
      </c>
      <c r="K4854">
        <v>20190215</v>
      </c>
      <c r="L4854" t="str">
        <f>"075765"</f>
        <v>075765</v>
      </c>
      <c r="M4854" t="str">
        <f>"82494"</f>
        <v>82494</v>
      </c>
      <c r="N4854" t="s">
        <v>2687</v>
      </c>
      <c r="O4854">
        <v>507.67</v>
      </c>
      <c r="P4854">
        <v>20190213</v>
      </c>
      <c r="Q4854" t="s">
        <v>1862</v>
      </c>
      <c r="R4854" t="s">
        <v>1967</v>
      </c>
      <c r="S4854" t="s">
        <v>1615</v>
      </c>
      <c r="T4854" t="s">
        <v>301</v>
      </c>
    </row>
    <row r="4855" spans="1:20" x14ac:dyDescent="0.25">
      <c r="A4855">
        <v>9</v>
      </c>
      <c r="B4855">
        <v>199</v>
      </c>
      <c r="C4855" t="str">
        <f>"11"</f>
        <v>11</v>
      </c>
      <c r="D4855">
        <v>6399</v>
      </c>
      <c r="E4855" t="str">
        <f>"VD"</f>
        <v>VD</v>
      </c>
      <c r="F4855" t="str">
        <f>"001"</f>
        <v>001</v>
      </c>
      <c r="G4855">
        <v>9</v>
      </c>
      <c r="H4855" t="str">
        <f>"22"</f>
        <v>22</v>
      </c>
      <c r="I4855" t="str">
        <f t="shared" si="1037"/>
        <v>0</v>
      </c>
      <c r="J4855" t="str">
        <f>"22"</f>
        <v>22</v>
      </c>
      <c r="K4855">
        <v>20190215</v>
      </c>
      <c r="L4855" t="str">
        <f>"075765"</f>
        <v>075765</v>
      </c>
      <c r="M4855" t="str">
        <f>"82494"</f>
        <v>82494</v>
      </c>
      <c r="N4855" t="s">
        <v>2687</v>
      </c>
      <c r="O4855">
        <v>270.94</v>
      </c>
      <c r="P4855">
        <v>20190213</v>
      </c>
      <c r="Q4855" t="s">
        <v>1862</v>
      </c>
      <c r="R4855" t="s">
        <v>1967</v>
      </c>
      <c r="S4855" t="s">
        <v>1615</v>
      </c>
      <c r="T4855" t="s">
        <v>301</v>
      </c>
    </row>
    <row r="4856" spans="1:20" x14ac:dyDescent="0.25">
      <c r="A4856">
        <v>9</v>
      </c>
      <c r="B4856">
        <v>199</v>
      </c>
      <c r="C4856" t="str">
        <f>"53"</f>
        <v>53</v>
      </c>
      <c r="D4856">
        <v>6411</v>
      </c>
      <c r="E4856" t="str">
        <f t="shared" ref="E4856:E4864" si="1043">"10"</f>
        <v>10</v>
      </c>
      <c r="F4856" t="str">
        <f>"880"</f>
        <v>880</v>
      </c>
      <c r="G4856">
        <v>9</v>
      </c>
      <c r="H4856" t="str">
        <f t="shared" ref="H4856:H4866" si="1044">"99"</f>
        <v>99</v>
      </c>
      <c r="I4856" t="str">
        <f t="shared" si="1037"/>
        <v>0</v>
      </c>
      <c r="J4856" t="str">
        <f>"80"</f>
        <v>80</v>
      </c>
      <c r="K4856">
        <v>20190215</v>
      </c>
      <c r="L4856" t="str">
        <f>"075769"</f>
        <v>075769</v>
      </c>
      <c r="M4856" t="str">
        <f>"84607"</f>
        <v>84607</v>
      </c>
      <c r="N4856" t="s">
        <v>2802</v>
      </c>
      <c r="O4856">
        <v>16.55</v>
      </c>
      <c r="P4856">
        <v>20190213</v>
      </c>
      <c r="Q4856" t="s">
        <v>1901</v>
      </c>
      <c r="R4856" t="s">
        <v>3515</v>
      </c>
      <c r="S4856" t="s">
        <v>1615</v>
      </c>
      <c r="T4856" t="s">
        <v>1866</v>
      </c>
    </row>
    <row r="4857" spans="1:20" x14ac:dyDescent="0.25">
      <c r="A4857">
        <v>9</v>
      </c>
      <c r="B4857">
        <v>199</v>
      </c>
      <c r="C4857" t="str">
        <f>"53"</f>
        <v>53</v>
      </c>
      <c r="D4857">
        <v>6411</v>
      </c>
      <c r="E4857" t="str">
        <f t="shared" si="1043"/>
        <v>10</v>
      </c>
      <c r="F4857" t="str">
        <f>"880"</f>
        <v>880</v>
      </c>
      <c r="G4857">
        <v>9</v>
      </c>
      <c r="H4857" t="str">
        <f t="shared" si="1044"/>
        <v>99</v>
      </c>
      <c r="I4857" t="str">
        <f t="shared" si="1037"/>
        <v>0</v>
      </c>
      <c r="J4857" t="str">
        <f>"80"</f>
        <v>80</v>
      </c>
      <c r="K4857">
        <v>20190218</v>
      </c>
      <c r="L4857" t="str">
        <f>"075769"</f>
        <v>075769</v>
      </c>
      <c r="M4857" t="str">
        <f>"84607"</f>
        <v>84607</v>
      </c>
      <c r="N4857" t="s">
        <v>2802</v>
      </c>
      <c r="O4857">
        <v>-16.55</v>
      </c>
      <c r="P4857">
        <v>20190218</v>
      </c>
      <c r="Q4857" t="s">
        <v>1901</v>
      </c>
      <c r="R4857" t="s">
        <v>3928</v>
      </c>
      <c r="S4857" t="s">
        <v>1615</v>
      </c>
      <c r="T4857" t="s">
        <v>1866</v>
      </c>
    </row>
    <row r="4858" spans="1:20" x14ac:dyDescent="0.25">
      <c r="A4858">
        <v>9</v>
      </c>
      <c r="B4858">
        <v>199</v>
      </c>
      <c r="C4858" t="str">
        <f>"53"</f>
        <v>53</v>
      </c>
      <c r="D4858">
        <v>6411</v>
      </c>
      <c r="E4858" t="str">
        <f t="shared" si="1043"/>
        <v>10</v>
      </c>
      <c r="F4858" t="str">
        <f>"880"</f>
        <v>880</v>
      </c>
      <c r="G4858">
        <v>9</v>
      </c>
      <c r="H4858" t="str">
        <f t="shared" si="1044"/>
        <v>99</v>
      </c>
      <c r="I4858" t="str">
        <f t="shared" si="1037"/>
        <v>0</v>
      </c>
      <c r="J4858" t="str">
        <f>"80"</f>
        <v>80</v>
      </c>
      <c r="K4858">
        <v>20190215</v>
      </c>
      <c r="L4858" t="str">
        <f>"075770"</f>
        <v>075770</v>
      </c>
      <c r="M4858" t="str">
        <f>"84607"</f>
        <v>84607</v>
      </c>
      <c r="N4858" t="s">
        <v>2802</v>
      </c>
      <c r="O4858">
        <v>16.55</v>
      </c>
      <c r="P4858">
        <v>20190214</v>
      </c>
      <c r="Q4858" t="s">
        <v>1901</v>
      </c>
      <c r="R4858" t="s">
        <v>3515</v>
      </c>
      <c r="S4858" t="s">
        <v>1615</v>
      </c>
      <c r="T4858" t="s">
        <v>1866</v>
      </c>
    </row>
    <row r="4859" spans="1:20" x14ac:dyDescent="0.25">
      <c r="A4859">
        <v>9</v>
      </c>
      <c r="B4859">
        <v>199</v>
      </c>
      <c r="C4859" t="str">
        <f t="shared" ref="C4859:C4864" si="1045">"34"</f>
        <v>34</v>
      </c>
      <c r="D4859">
        <v>6249</v>
      </c>
      <c r="E4859" t="str">
        <f t="shared" si="1043"/>
        <v>10</v>
      </c>
      <c r="F4859" t="str">
        <f t="shared" ref="F4859:F4864" si="1046">"937"</f>
        <v>937</v>
      </c>
      <c r="G4859">
        <v>9</v>
      </c>
      <c r="H4859" t="str">
        <f t="shared" si="1044"/>
        <v>99</v>
      </c>
      <c r="I4859" t="str">
        <f t="shared" si="1037"/>
        <v>0</v>
      </c>
      <c r="J4859" t="str">
        <f t="shared" ref="J4859:J4864" si="1047">"82"</f>
        <v>82</v>
      </c>
      <c r="K4859">
        <v>20190222</v>
      </c>
      <c r="L4859" t="str">
        <f t="shared" ref="L4859:L4864" si="1048">"075773"</f>
        <v>075773</v>
      </c>
      <c r="M4859" t="str">
        <f t="shared" ref="M4859:M4864" si="1049">"06267"</f>
        <v>06267</v>
      </c>
      <c r="N4859" t="s">
        <v>1867</v>
      </c>
      <c r="O4859">
        <v>79.5</v>
      </c>
      <c r="P4859">
        <v>20190221</v>
      </c>
      <c r="Q4859" t="s">
        <v>2036</v>
      </c>
      <c r="R4859" t="s">
        <v>3929</v>
      </c>
      <c r="S4859" t="s">
        <v>1615</v>
      </c>
      <c r="T4859" t="s">
        <v>1810</v>
      </c>
    </row>
    <row r="4860" spans="1:20" x14ac:dyDescent="0.25">
      <c r="A4860">
        <v>9</v>
      </c>
      <c r="B4860">
        <v>199</v>
      </c>
      <c r="C4860" t="str">
        <f t="shared" si="1045"/>
        <v>34</v>
      </c>
      <c r="D4860">
        <v>6249</v>
      </c>
      <c r="E4860" t="str">
        <f t="shared" si="1043"/>
        <v>10</v>
      </c>
      <c r="F4860" t="str">
        <f t="shared" si="1046"/>
        <v>937</v>
      </c>
      <c r="G4860">
        <v>9</v>
      </c>
      <c r="H4860" t="str">
        <f t="shared" si="1044"/>
        <v>99</v>
      </c>
      <c r="I4860" t="str">
        <f t="shared" si="1037"/>
        <v>0</v>
      </c>
      <c r="J4860" t="str">
        <f t="shared" si="1047"/>
        <v>82</v>
      </c>
      <c r="K4860">
        <v>20190222</v>
      </c>
      <c r="L4860" t="str">
        <f t="shared" si="1048"/>
        <v>075773</v>
      </c>
      <c r="M4860" t="str">
        <f t="shared" si="1049"/>
        <v>06267</v>
      </c>
      <c r="N4860" t="s">
        <v>1867</v>
      </c>
      <c r="O4860">
        <v>79.5</v>
      </c>
      <c r="P4860">
        <v>20190221</v>
      </c>
      <c r="Q4860" t="s">
        <v>2036</v>
      </c>
      <c r="R4860" t="s">
        <v>3930</v>
      </c>
      <c r="S4860" t="s">
        <v>1615</v>
      </c>
      <c r="T4860" t="s">
        <v>1810</v>
      </c>
    </row>
    <row r="4861" spans="1:20" x14ac:dyDescent="0.25">
      <c r="A4861">
        <v>9</v>
      </c>
      <c r="B4861">
        <v>199</v>
      </c>
      <c r="C4861" t="str">
        <f t="shared" si="1045"/>
        <v>34</v>
      </c>
      <c r="D4861">
        <v>6249</v>
      </c>
      <c r="E4861" t="str">
        <f t="shared" si="1043"/>
        <v>10</v>
      </c>
      <c r="F4861" t="str">
        <f t="shared" si="1046"/>
        <v>937</v>
      </c>
      <c r="G4861">
        <v>9</v>
      </c>
      <c r="H4861" t="str">
        <f t="shared" si="1044"/>
        <v>99</v>
      </c>
      <c r="I4861" t="str">
        <f t="shared" si="1037"/>
        <v>0</v>
      </c>
      <c r="J4861" t="str">
        <f t="shared" si="1047"/>
        <v>82</v>
      </c>
      <c r="K4861">
        <v>20190222</v>
      </c>
      <c r="L4861" t="str">
        <f t="shared" si="1048"/>
        <v>075773</v>
      </c>
      <c r="M4861" t="str">
        <f t="shared" si="1049"/>
        <v>06267</v>
      </c>
      <c r="N4861" t="s">
        <v>1867</v>
      </c>
      <c r="O4861">
        <v>238.5</v>
      </c>
      <c r="P4861">
        <v>20190221</v>
      </c>
      <c r="Q4861" t="s">
        <v>2036</v>
      </c>
      <c r="R4861" t="s">
        <v>3931</v>
      </c>
      <c r="S4861" t="s">
        <v>1615</v>
      </c>
      <c r="T4861" t="s">
        <v>1810</v>
      </c>
    </row>
    <row r="4862" spans="1:20" x14ac:dyDescent="0.25">
      <c r="A4862">
        <v>9</v>
      </c>
      <c r="B4862">
        <v>199</v>
      </c>
      <c r="C4862" t="str">
        <f t="shared" si="1045"/>
        <v>34</v>
      </c>
      <c r="D4862">
        <v>6249</v>
      </c>
      <c r="E4862" t="str">
        <f t="shared" si="1043"/>
        <v>10</v>
      </c>
      <c r="F4862" t="str">
        <f t="shared" si="1046"/>
        <v>937</v>
      </c>
      <c r="G4862">
        <v>9</v>
      </c>
      <c r="H4862" t="str">
        <f t="shared" si="1044"/>
        <v>99</v>
      </c>
      <c r="I4862" t="str">
        <f t="shared" si="1037"/>
        <v>0</v>
      </c>
      <c r="J4862" t="str">
        <f t="shared" si="1047"/>
        <v>82</v>
      </c>
      <c r="K4862">
        <v>20190222</v>
      </c>
      <c r="L4862" t="str">
        <f t="shared" si="1048"/>
        <v>075773</v>
      </c>
      <c r="M4862" t="str">
        <f t="shared" si="1049"/>
        <v>06267</v>
      </c>
      <c r="N4862" t="s">
        <v>1867</v>
      </c>
      <c r="O4862">
        <v>238.5</v>
      </c>
      <c r="P4862">
        <v>20190221</v>
      </c>
      <c r="Q4862" t="s">
        <v>2036</v>
      </c>
      <c r="R4862" t="s">
        <v>3932</v>
      </c>
      <c r="S4862" t="s">
        <v>1615</v>
      </c>
      <c r="T4862" t="s">
        <v>1810</v>
      </c>
    </row>
    <row r="4863" spans="1:20" x14ac:dyDescent="0.25">
      <c r="A4863">
        <v>9</v>
      </c>
      <c r="B4863">
        <v>199</v>
      </c>
      <c r="C4863" t="str">
        <f t="shared" si="1045"/>
        <v>34</v>
      </c>
      <c r="D4863">
        <v>6249</v>
      </c>
      <c r="E4863" t="str">
        <f t="shared" si="1043"/>
        <v>10</v>
      </c>
      <c r="F4863" t="str">
        <f t="shared" si="1046"/>
        <v>937</v>
      </c>
      <c r="G4863">
        <v>9</v>
      </c>
      <c r="H4863" t="str">
        <f t="shared" si="1044"/>
        <v>99</v>
      </c>
      <c r="I4863" t="str">
        <f t="shared" si="1037"/>
        <v>0</v>
      </c>
      <c r="J4863" t="str">
        <f t="shared" si="1047"/>
        <v>82</v>
      </c>
      <c r="K4863">
        <v>20190222</v>
      </c>
      <c r="L4863" t="str">
        <f t="shared" si="1048"/>
        <v>075773</v>
      </c>
      <c r="M4863" t="str">
        <f t="shared" si="1049"/>
        <v>06267</v>
      </c>
      <c r="N4863" t="s">
        <v>1867</v>
      </c>
      <c r="O4863">
        <v>238.5</v>
      </c>
      <c r="P4863">
        <v>20190221</v>
      </c>
      <c r="Q4863" t="s">
        <v>2036</v>
      </c>
      <c r="R4863" t="s">
        <v>3933</v>
      </c>
      <c r="S4863" t="s">
        <v>1615</v>
      </c>
      <c r="T4863" t="s">
        <v>1810</v>
      </c>
    </row>
    <row r="4864" spans="1:20" x14ac:dyDescent="0.25">
      <c r="A4864">
        <v>9</v>
      </c>
      <c r="B4864">
        <v>199</v>
      </c>
      <c r="C4864" t="str">
        <f t="shared" si="1045"/>
        <v>34</v>
      </c>
      <c r="D4864">
        <v>6249</v>
      </c>
      <c r="E4864" t="str">
        <f t="shared" si="1043"/>
        <v>10</v>
      </c>
      <c r="F4864" t="str">
        <f t="shared" si="1046"/>
        <v>937</v>
      </c>
      <c r="G4864">
        <v>9</v>
      </c>
      <c r="H4864" t="str">
        <f t="shared" si="1044"/>
        <v>99</v>
      </c>
      <c r="I4864" t="str">
        <f t="shared" si="1037"/>
        <v>0</v>
      </c>
      <c r="J4864" t="str">
        <f t="shared" si="1047"/>
        <v>82</v>
      </c>
      <c r="K4864">
        <v>20190222</v>
      </c>
      <c r="L4864" t="str">
        <f t="shared" si="1048"/>
        <v>075773</v>
      </c>
      <c r="M4864" t="str">
        <f t="shared" si="1049"/>
        <v>06267</v>
      </c>
      <c r="N4864" t="s">
        <v>1867</v>
      </c>
      <c r="O4864">
        <v>694.93</v>
      </c>
      <c r="P4864">
        <v>20190221</v>
      </c>
      <c r="Q4864" t="s">
        <v>2036</v>
      </c>
      <c r="R4864" t="s">
        <v>3934</v>
      </c>
      <c r="S4864" t="s">
        <v>1615</v>
      </c>
      <c r="T4864" t="s">
        <v>1810</v>
      </c>
    </row>
    <row r="4865" spans="1:20" x14ac:dyDescent="0.25">
      <c r="A4865">
        <v>9</v>
      </c>
      <c r="B4865">
        <v>199</v>
      </c>
      <c r="C4865" t="str">
        <f>"51"</f>
        <v>51</v>
      </c>
      <c r="D4865">
        <v>6319</v>
      </c>
      <c r="E4865" t="str">
        <f>"MC"</f>
        <v>MC</v>
      </c>
      <c r="F4865" t="str">
        <f>"936"</f>
        <v>936</v>
      </c>
      <c r="G4865">
        <v>9</v>
      </c>
      <c r="H4865" t="str">
        <f t="shared" si="1044"/>
        <v>99</v>
      </c>
      <c r="I4865" t="str">
        <f t="shared" si="1037"/>
        <v>0</v>
      </c>
      <c r="J4865" t="str">
        <f>"81"</f>
        <v>81</v>
      </c>
      <c r="K4865">
        <v>20190222</v>
      </c>
      <c r="L4865" t="str">
        <f>"075774"</f>
        <v>075774</v>
      </c>
      <c r="M4865" t="str">
        <f>"08132"</f>
        <v>08132</v>
      </c>
      <c r="N4865" t="s">
        <v>2449</v>
      </c>
      <c r="O4865">
        <v>101.4</v>
      </c>
      <c r="P4865">
        <v>20190221</v>
      </c>
      <c r="Q4865" t="s">
        <v>2060</v>
      </c>
      <c r="R4865" t="s">
        <v>3935</v>
      </c>
      <c r="S4865" t="s">
        <v>1615</v>
      </c>
      <c r="T4865" t="s">
        <v>1713</v>
      </c>
    </row>
    <row r="4866" spans="1:20" x14ac:dyDescent="0.25">
      <c r="A4866">
        <v>9</v>
      </c>
      <c r="B4866">
        <v>199</v>
      </c>
      <c r="C4866" t="str">
        <f>"23"</f>
        <v>23</v>
      </c>
      <c r="D4866">
        <v>6411</v>
      </c>
      <c r="E4866" t="str">
        <f>"8K"</f>
        <v>8K</v>
      </c>
      <c r="F4866" t="str">
        <f>"104"</f>
        <v>104</v>
      </c>
      <c r="G4866">
        <v>9</v>
      </c>
      <c r="H4866" t="str">
        <f t="shared" si="1044"/>
        <v>99</v>
      </c>
      <c r="I4866" t="str">
        <f>"1"</f>
        <v>1</v>
      </c>
      <c r="J4866" t="str">
        <f>"05"</f>
        <v>05</v>
      </c>
      <c r="K4866">
        <v>20190222</v>
      </c>
      <c r="L4866" t="str">
        <f>"075777"</f>
        <v>075777</v>
      </c>
      <c r="M4866" t="str">
        <f>"21158"</f>
        <v>21158</v>
      </c>
      <c r="N4866" t="s">
        <v>2719</v>
      </c>
      <c r="O4866">
        <v>53.6</v>
      </c>
      <c r="P4866">
        <v>20190221</v>
      </c>
      <c r="Q4866" t="s">
        <v>2720</v>
      </c>
      <c r="R4866" t="s">
        <v>3936</v>
      </c>
      <c r="S4866" t="s">
        <v>1615</v>
      </c>
      <c r="T4866" t="s">
        <v>46</v>
      </c>
    </row>
    <row r="4867" spans="1:20" x14ac:dyDescent="0.25">
      <c r="A4867">
        <v>9</v>
      </c>
      <c r="B4867">
        <v>199</v>
      </c>
      <c r="C4867" t="str">
        <f>"31"</f>
        <v>31</v>
      </c>
      <c r="D4867">
        <v>6219</v>
      </c>
      <c r="E4867" t="str">
        <f>"00"</f>
        <v>00</v>
      </c>
      <c r="F4867" t="str">
        <f>"875"</f>
        <v>875</v>
      </c>
      <c r="G4867">
        <v>9</v>
      </c>
      <c r="H4867" t="str">
        <f>"23"</f>
        <v>23</v>
      </c>
      <c r="I4867" t="str">
        <f>"0"</f>
        <v>0</v>
      </c>
      <c r="J4867" t="str">
        <f>"23"</f>
        <v>23</v>
      </c>
      <c r="K4867">
        <v>20190222</v>
      </c>
      <c r="L4867" t="str">
        <f>"075779"</f>
        <v>075779</v>
      </c>
      <c r="M4867" t="str">
        <f>"74150"</f>
        <v>74150</v>
      </c>
      <c r="N4867" t="s">
        <v>1691</v>
      </c>
      <c r="O4867">
        <v>939.3</v>
      </c>
      <c r="P4867">
        <v>20190221</v>
      </c>
      <c r="Q4867" t="s">
        <v>2207</v>
      </c>
      <c r="R4867" t="s">
        <v>3937</v>
      </c>
      <c r="S4867" t="s">
        <v>1615</v>
      </c>
      <c r="T4867" t="s">
        <v>2041</v>
      </c>
    </row>
    <row r="4868" spans="1:20" x14ac:dyDescent="0.25">
      <c r="A4868">
        <v>9</v>
      </c>
      <c r="B4868">
        <v>199</v>
      </c>
      <c r="C4868" t="str">
        <f>"36"</f>
        <v>36</v>
      </c>
      <c r="D4868">
        <v>6499</v>
      </c>
      <c r="E4868" t="str">
        <f>"H1"</f>
        <v>H1</v>
      </c>
      <c r="F4868" t="str">
        <f>"001"</f>
        <v>001</v>
      </c>
      <c r="G4868">
        <v>9</v>
      </c>
      <c r="H4868" t="str">
        <f>"31"</f>
        <v>31</v>
      </c>
      <c r="I4868" t="str">
        <f>"0"</f>
        <v>0</v>
      </c>
      <c r="J4868" t="str">
        <f>"34"</f>
        <v>34</v>
      </c>
      <c r="K4868">
        <v>20190222</v>
      </c>
      <c r="L4868" t="str">
        <f>"075782"</f>
        <v>075782</v>
      </c>
      <c r="M4868" t="str">
        <f>"00196"</f>
        <v>00196</v>
      </c>
      <c r="N4868" t="s">
        <v>3938</v>
      </c>
      <c r="O4868">
        <v>300</v>
      </c>
      <c r="P4868">
        <v>20190221</v>
      </c>
      <c r="Q4868" t="s">
        <v>3939</v>
      </c>
      <c r="R4868" t="s">
        <v>3940</v>
      </c>
      <c r="S4868" t="s">
        <v>1615</v>
      </c>
      <c r="T4868" t="s">
        <v>301</v>
      </c>
    </row>
    <row r="4869" spans="1:20" x14ac:dyDescent="0.25">
      <c r="A4869">
        <v>9</v>
      </c>
      <c r="B4869">
        <v>199</v>
      </c>
      <c r="C4869" t="str">
        <f>"36"</f>
        <v>36</v>
      </c>
      <c r="D4869">
        <v>6411</v>
      </c>
      <c r="E4869" t="str">
        <f>"V8"</f>
        <v>V8</v>
      </c>
      <c r="F4869" t="str">
        <f>"001"</f>
        <v>001</v>
      </c>
      <c r="G4869">
        <v>9</v>
      </c>
      <c r="H4869" t="str">
        <f>"22"</f>
        <v>22</v>
      </c>
      <c r="I4869" t="str">
        <f>"0"</f>
        <v>0</v>
      </c>
      <c r="J4869" t="str">
        <f>"22"</f>
        <v>22</v>
      </c>
      <c r="K4869">
        <v>20190222</v>
      </c>
      <c r="L4869" t="str">
        <f>"075788"</f>
        <v>075788</v>
      </c>
      <c r="M4869" t="str">
        <f>"25460"</f>
        <v>25460</v>
      </c>
      <c r="N4869" t="s">
        <v>2600</v>
      </c>
      <c r="O4869">
        <v>100</v>
      </c>
      <c r="P4869">
        <v>20190221</v>
      </c>
      <c r="Q4869" t="s">
        <v>2602</v>
      </c>
      <c r="R4869" t="s">
        <v>3865</v>
      </c>
      <c r="S4869" t="s">
        <v>1615</v>
      </c>
      <c r="T4869" t="s">
        <v>301</v>
      </c>
    </row>
    <row r="4870" spans="1:20" x14ac:dyDescent="0.25">
      <c r="A4870">
        <v>9</v>
      </c>
      <c r="B4870">
        <v>199</v>
      </c>
      <c r="C4870" t="str">
        <f>"36"</f>
        <v>36</v>
      </c>
      <c r="D4870">
        <v>6412</v>
      </c>
      <c r="E4870" t="str">
        <f>"8S"</f>
        <v>8S</v>
      </c>
      <c r="F4870" t="str">
        <f>"001"</f>
        <v>001</v>
      </c>
      <c r="G4870">
        <v>9</v>
      </c>
      <c r="H4870" t="str">
        <f>"99"</f>
        <v>99</v>
      </c>
      <c r="I4870" t="str">
        <f>"5"</f>
        <v>5</v>
      </c>
      <c r="J4870" t="str">
        <f>"74"</f>
        <v>74</v>
      </c>
      <c r="K4870">
        <v>20190222</v>
      </c>
      <c r="L4870" t="str">
        <f>"075789"</f>
        <v>075789</v>
      </c>
      <c r="M4870" t="str">
        <f>"25853"</f>
        <v>25853</v>
      </c>
      <c r="N4870" t="s">
        <v>3941</v>
      </c>
      <c r="O4870" s="1">
        <v>1200</v>
      </c>
      <c r="P4870">
        <v>20190221</v>
      </c>
      <c r="Q4870" t="s">
        <v>3942</v>
      </c>
      <c r="R4870" t="s">
        <v>3943</v>
      </c>
      <c r="S4870" t="s">
        <v>1615</v>
      </c>
      <c r="T4870" t="s">
        <v>301</v>
      </c>
    </row>
    <row r="4871" spans="1:20" x14ac:dyDescent="0.25">
      <c r="A4871">
        <v>9</v>
      </c>
      <c r="B4871">
        <v>199</v>
      </c>
      <c r="C4871" t="str">
        <f>"36"</f>
        <v>36</v>
      </c>
      <c r="D4871">
        <v>6412</v>
      </c>
      <c r="E4871" t="str">
        <f>"H1"</f>
        <v>H1</v>
      </c>
      <c r="F4871" t="str">
        <f>"001"</f>
        <v>001</v>
      </c>
      <c r="G4871">
        <v>9</v>
      </c>
      <c r="H4871" t="str">
        <f>"99"</f>
        <v>99</v>
      </c>
      <c r="I4871" t="str">
        <f>"5"</f>
        <v>5</v>
      </c>
      <c r="J4871" t="str">
        <f>"74"</f>
        <v>74</v>
      </c>
      <c r="K4871">
        <v>20190222</v>
      </c>
      <c r="L4871" t="str">
        <f>"075789"</f>
        <v>075789</v>
      </c>
      <c r="M4871" t="str">
        <f>"25853"</f>
        <v>25853</v>
      </c>
      <c r="N4871" t="s">
        <v>3941</v>
      </c>
      <c r="O4871" s="1">
        <v>3780</v>
      </c>
      <c r="P4871">
        <v>20190221</v>
      </c>
      <c r="Q4871" t="s">
        <v>3944</v>
      </c>
      <c r="R4871" t="s">
        <v>3940</v>
      </c>
      <c r="S4871" t="s">
        <v>1615</v>
      </c>
      <c r="T4871" t="s">
        <v>301</v>
      </c>
    </row>
    <row r="4872" spans="1:20" x14ac:dyDescent="0.25">
      <c r="A4872">
        <v>9</v>
      </c>
      <c r="B4872">
        <v>199</v>
      </c>
      <c r="C4872" t="str">
        <f>"36"</f>
        <v>36</v>
      </c>
      <c r="D4872">
        <v>6412</v>
      </c>
      <c r="E4872" t="str">
        <f>"09"</f>
        <v>09</v>
      </c>
      <c r="F4872" t="str">
        <f>"041"</f>
        <v>041</v>
      </c>
      <c r="G4872">
        <v>9</v>
      </c>
      <c r="H4872" t="str">
        <f>"99"</f>
        <v>99</v>
      </c>
      <c r="I4872" t="str">
        <f>"0"</f>
        <v>0</v>
      </c>
      <c r="J4872" t="str">
        <f>"03"</f>
        <v>03</v>
      </c>
      <c r="K4872">
        <v>20190222</v>
      </c>
      <c r="L4872" t="str">
        <f>"075792"</f>
        <v>075792</v>
      </c>
      <c r="M4872" t="str">
        <f>"28733"</f>
        <v>28733</v>
      </c>
      <c r="N4872" t="s">
        <v>2223</v>
      </c>
      <c r="O4872">
        <v>270</v>
      </c>
      <c r="P4872">
        <v>20190221</v>
      </c>
      <c r="Q4872" t="s">
        <v>3945</v>
      </c>
      <c r="R4872" t="s">
        <v>3946</v>
      </c>
      <c r="S4872" t="s">
        <v>1615</v>
      </c>
      <c r="T4872" t="s">
        <v>106</v>
      </c>
    </row>
    <row r="4873" spans="1:20" x14ac:dyDescent="0.25">
      <c r="A4873">
        <v>9</v>
      </c>
      <c r="B4873">
        <v>199</v>
      </c>
      <c r="C4873" t="str">
        <f>"11"</f>
        <v>11</v>
      </c>
      <c r="D4873">
        <v>6412</v>
      </c>
      <c r="E4873" t="str">
        <f>"V8"</f>
        <v>V8</v>
      </c>
      <c r="F4873" t="str">
        <f t="shared" ref="F4873:F4879" si="1050">"001"</f>
        <v>001</v>
      </c>
      <c r="G4873">
        <v>9</v>
      </c>
      <c r="H4873" t="str">
        <f>"22"</f>
        <v>22</v>
      </c>
      <c r="I4873" t="str">
        <f>"0"</f>
        <v>0</v>
      </c>
      <c r="J4873" t="str">
        <f>"22"</f>
        <v>22</v>
      </c>
      <c r="K4873">
        <v>20190222</v>
      </c>
      <c r="L4873" t="str">
        <f>"075793"</f>
        <v>075793</v>
      </c>
      <c r="M4873" t="str">
        <f>"21049"</f>
        <v>21049</v>
      </c>
      <c r="N4873" t="s">
        <v>1883</v>
      </c>
      <c r="O4873">
        <v>10</v>
      </c>
      <c r="P4873">
        <v>20190221</v>
      </c>
      <c r="Q4873" t="s">
        <v>1884</v>
      </c>
      <c r="R4873" t="s">
        <v>3379</v>
      </c>
      <c r="S4873" t="s">
        <v>1615</v>
      </c>
      <c r="T4873" t="s">
        <v>301</v>
      </c>
    </row>
    <row r="4874" spans="1:20" x14ac:dyDescent="0.25">
      <c r="A4874">
        <v>9</v>
      </c>
      <c r="B4874">
        <v>199</v>
      </c>
      <c r="C4874" t="str">
        <f>"11"</f>
        <v>11</v>
      </c>
      <c r="D4874">
        <v>6411</v>
      </c>
      <c r="E4874" t="str">
        <f>"VJ"</f>
        <v>VJ</v>
      </c>
      <c r="F4874" t="str">
        <f t="shared" si="1050"/>
        <v>001</v>
      </c>
      <c r="G4874">
        <v>9</v>
      </c>
      <c r="H4874" t="str">
        <f>"22"</f>
        <v>22</v>
      </c>
      <c r="I4874" t="str">
        <f>"1"</f>
        <v>1</v>
      </c>
      <c r="J4874" t="str">
        <f>"22"</f>
        <v>22</v>
      </c>
      <c r="K4874">
        <v>20190222</v>
      </c>
      <c r="L4874" t="str">
        <f>"075796"</f>
        <v>075796</v>
      </c>
      <c r="M4874" t="str">
        <f>"00084"</f>
        <v>00084</v>
      </c>
      <c r="N4874" t="s">
        <v>3947</v>
      </c>
      <c r="O4874">
        <v>41.29</v>
      </c>
      <c r="P4874">
        <v>20190221</v>
      </c>
      <c r="Q4874" t="s">
        <v>2569</v>
      </c>
      <c r="R4874" t="s">
        <v>3948</v>
      </c>
      <c r="S4874" t="s">
        <v>1615</v>
      </c>
      <c r="T4874" t="s">
        <v>301</v>
      </c>
    </row>
    <row r="4875" spans="1:20" x14ac:dyDescent="0.25">
      <c r="A4875">
        <v>9</v>
      </c>
      <c r="B4875">
        <v>199</v>
      </c>
      <c r="C4875" t="str">
        <f>"36"</f>
        <v>36</v>
      </c>
      <c r="D4875">
        <v>6411</v>
      </c>
      <c r="E4875" t="str">
        <f>"VJ"</f>
        <v>VJ</v>
      </c>
      <c r="F4875" t="str">
        <f t="shared" si="1050"/>
        <v>001</v>
      </c>
      <c r="G4875">
        <v>9</v>
      </c>
      <c r="H4875" t="str">
        <f>"22"</f>
        <v>22</v>
      </c>
      <c r="I4875" t="str">
        <f>"5"</f>
        <v>5</v>
      </c>
      <c r="J4875" t="str">
        <f>"74"</f>
        <v>74</v>
      </c>
      <c r="K4875">
        <v>20190222</v>
      </c>
      <c r="L4875" t="str">
        <f>"075796"</f>
        <v>075796</v>
      </c>
      <c r="M4875" t="str">
        <f>"00084"</f>
        <v>00084</v>
      </c>
      <c r="N4875" t="s">
        <v>3947</v>
      </c>
      <c r="O4875">
        <v>402.11</v>
      </c>
      <c r="P4875">
        <v>20190221</v>
      </c>
      <c r="Q4875" t="s">
        <v>3949</v>
      </c>
      <c r="R4875" t="s">
        <v>3948</v>
      </c>
      <c r="S4875" t="s">
        <v>1615</v>
      </c>
      <c r="T4875" t="s">
        <v>301</v>
      </c>
    </row>
    <row r="4876" spans="1:20" x14ac:dyDescent="0.25">
      <c r="A4876">
        <v>9</v>
      </c>
      <c r="B4876">
        <v>199</v>
      </c>
      <c r="C4876" t="str">
        <f>"36"</f>
        <v>36</v>
      </c>
      <c r="D4876">
        <v>6412</v>
      </c>
      <c r="E4876" t="str">
        <f>"VJ"</f>
        <v>VJ</v>
      </c>
      <c r="F4876" t="str">
        <f t="shared" si="1050"/>
        <v>001</v>
      </c>
      <c r="G4876">
        <v>9</v>
      </c>
      <c r="H4876" t="str">
        <f>"22"</f>
        <v>22</v>
      </c>
      <c r="I4876" t="str">
        <f>"1"</f>
        <v>1</v>
      </c>
      <c r="J4876" t="str">
        <f>"22"</f>
        <v>22</v>
      </c>
      <c r="K4876">
        <v>20190222</v>
      </c>
      <c r="L4876" t="str">
        <f>"075796"</f>
        <v>075796</v>
      </c>
      <c r="M4876" t="str">
        <f>"00084"</f>
        <v>00084</v>
      </c>
      <c r="N4876" t="s">
        <v>3947</v>
      </c>
      <c r="O4876">
        <v>177.19</v>
      </c>
      <c r="P4876">
        <v>20190221</v>
      </c>
      <c r="Q4876" t="s">
        <v>3950</v>
      </c>
      <c r="R4876" t="s">
        <v>3948</v>
      </c>
      <c r="S4876" t="s">
        <v>1615</v>
      </c>
      <c r="T4876" t="s">
        <v>301</v>
      </c>
    </row>
    <row r="4877" spans="1:20" x14ac:dyDescent="0.25">
      <c r="A4877">
        <v>9</v>
      </c>
      <c r="B4877">
        <v>199</v>
      </c>
      <c r="C4877" t="str">
        <f>"36"</f>
        <v>36</v>
      </c>
      <c r="D4877">
        <v>6412</v>
      </c>
      <c r="E4877" t="str">
        <f>"VJ"</f>
        <v>VJ</v>
      </c>
      <c r="F4877" t="str">
        <f t="shared" si="1050"/>
        <v>001</v>
      </c>
      <c r="G4877">
        <v>9</v>
      </c>
      <c r="H4877" t="str">
        <f>"22"</f>
        <v>22</v>
      </c>
      <c r="I4877" t="str">
        <f>"5"</f>
        <v>5</v>
      </c>
      <c r="J4877" t="str">
        <f>"74"</f>
        <v>74</v>
      </c>
      <c r="K4877">
        <v>20190222</v>
      </c>
      <c r="L4877" t="str">
        <f>"075796"</f>
        <v>075796</v>
      </c>
      <c r="M4877" t="str">
        <f>"00084"</f>
        <v>00084</v>
      </c>
      <c r="N4877" t="s">
        <v>3947</v>
      </c>
      <c r="O4877">
        <v>487.91</v>
      </c>
      <c r="P4877">
        <v>20190221</v>
      </c>
      <c r="Q4877" t="s">
        <v>3951</v>
      </c>
      <c r="R4877" t="s">
        <v>3948</v>
      </c>
      <c r="S4877" t="s">
        <v>1615</v>
      </c>
      <c r="T4877" t="s">
        <v>301</v>
      </c>
    </row>
    <row r="4878" spans="1:20" x14ac:dyDescent="0.25">
      <c r="A4878">
        <v>9</v>
      </c>
      <c r="B4878">
        <v>199</v>
      </c>
      <c r="C4878" t="str">
        <f>"36"</f>
        <v>36</v>
      </c>
      <c r="D4878">
        <v>6299</v>
      </c>
      <c r="E4878" t="str">
        <f>"7C"</f>
        <v>7C</v>
      </c>
      <c r="F4878" t="str">
        <f t="shared" si="1050"/>
        <v>001</v>
      </c>
      <c r="G4878">
        <v>9</v>
      </c>
      <c r="H4878" t="str">
        <f>"99"</f>
        <v>99</v>
      </c>
      <c r="I4878" t="str">
        <f>"0"</f>
        <v>0</v>
      </c>
      <c r="J4878" t="str">
        <f>"01"</f>
        <v>01</v>
      </c>
      <c r="K4878">
        <v>20190222</v>
      </c>
      <c r="L4878" t="str">
        <f>"075797"</f>
        <v>075797</v>
      </c>
      <c r="M4878" t="str">
        <f>"34968"</f>
        <v>34968</v>
      </c>
      <c r="N4878" t="s">
        <v>3952</v>
      </c>
      <c r="O4878">
        <v>200</v>
      </c>
      <c r="P4878">
        <v>20190221</v>
      </c>
      <c r="Q4878" t="s">
        <v>3953</v>
      </c>
      <c r="R4878" t="s">
        <v>3954</v>
      </c>
      <c r="S4878" t="s">
        <v>1615</v>
      </c>
      <c r="T4878" t="s">
        <v>301</v>
      </c>
    </row>
    <row r="4879" spans="1:20" x14ac:dyDescent="0.25">
      <c r="A4879">
        <v>9</v>
      </c>
      <c r="B4879">
        <v>199</v>
      </c>
      <c r="C4879" t="str">
        <f>"36"</f>
        <v>36</v>
      </c>
      <c r="D4879">
        <v>6412</v>
      </c>
      <c r="E4879" t="str">
        <f>"8S"</f>
        <v>8S</v>
      </c>
      <c r="F4879" t="str">
        <f t="shared" si="1050"/>
        <v>001</v>
      </c>
      <c r="G4879">
        <v>9</v>
      </c>
      <c r="H4879" t="str">
        <f>"99"</f>
        <v>99</v>
      </c>
      <c r="I4879" t="str">
        <f>"5"</f>
        <v>5</v>
      </c>
      <c r="J4879" t="str">
        <f>"74"</f>
        <v>74</v>
      </c>
      <c r="K4879">
        <v>20190222</v>
      </c>
      <c r="L4879" t="str">
        <f>"075799"</f>
        <v>075799</v>
      </c>
      <c r="M4879" t="str">
        <f>"00733"</f>
        <v>00733</v>
      </c>
      <c r="N4879" t="s">
        <v>3955</v>
      </c>
      <c r="O4879" s="1">
        <v>4169.88</v>
      </c>
      <c r="P4879">
        <v>20190221</v>
      </c>
      <c r="Q4879" t="s">
        <v>3942</v>
      </c>
      <c r="R4879" t="s">
        <v>3943</v>
      </c>
      <c r="S4879" t="s">
        <v>1615</v>
      </c>
      <c r="T4879" t="s">
        <v>301</v>
      </c>
    </row>
    <row r="4880" spans="1:20" x14ac:dyDescent="0.25">
      <c r="A4880">
        <v>9</v>
      </c>
      <c r="B4880">
        <v>199</v>
      </c>
      <c r="C4880" t="str">
        <f>"51"</f>
        <v>51</v>
      </c>
      <c r="D4880">
        <v>6254</v>
      </c>
      <c r="E4880" t="str">
        <f>"ME"</f>
        <v>ME</v>
      </c>
      <c r="F4880" t="str">
        <f>"936"</f>
        <v>936</v>
      </c>
      <c r="G4880">
        <v>9</v>
      </c>
      <c r="H4880" t="str">
        <f>"99"</f>
        <v>99</v>
      </c>
      <c r="I4880" t="str">
        <f>"1"</f>
        <v>1</v>
      </c>
      <c r="J4880" t="str">
        <f>"73"</f>
        <v>73</v>
      </c>
      <c r="K4880">
        <v>20190222</v>
      </c>
      <c r="L4880" t="str">
        <f>"075801"</f>
        <v>075801</v>
      </c>
      <c r="M4880" t="str">
        <f>"42194"</f>
        <v>42194</v>
      </c>
      <c r="N4880" t="s">
        <v>1736</v>
      </c>
      <c r="O4880" s="1">
        <v>63681.81</v>
      </c>
      <c r="P4880">
        <v>20190221</v>
      </c>
      <c r="Q4880" t="s">
        <v>1891</v>
      </c>
      <c r="R4880" t="s">
        <v>3956</v>
      </c>
      <c r="S4880" t="s">
        <v>1615</v>
      </c>
      <c r="T4880" t="s">
        <v>1713</v>
      </c>
    </row>
    <row r="4881" spans="1:20" x14ac:dyDescent="0.25">
      <c r="A4881">
        <v>9</v>
      </c>
      <c r="B4881">
        <v>199</v>
      </c>
      <c r="C4881" t="str">
        <f>"51"</f>
        <v>51</v>
      </c>
      <c r="D4881">
        <v>6254</v>
      </c>
      <c r="E4881" t="str">
        <f>"ME"</f>
        <v>ME</v>
      </c>
      <c r="F4881" t="str">
        <f>"936"</f>
        <v>936</v>
      </c>
      <c r="G4881">
        <v>9</v>
      </c>
      <c r="H4881" t="str">
        <f>"99"</f>
        <v>99</v>
      </c>
      <c r="I4881" t="str">
        <f>"1"</f>
        <v>1</v>
      </c>
      <c r="J4881" t="str">
        <f>"73"</f>
        <v>73</v>
      </c>
      <c r="K4881">
        <v>20190222</v>
      </c>
      <c r="L4881" t="str">
        <f>"075801"</f>
        <v>075801</v>
      </c>
      <c r="M4881" t="str">
        <f>"42194"</f>
        <v>42194</v>
      </c>
      <c r="N4881" t="s">
        <v>1736</v>
      </c>
      <c r="O4881" s="1">
        <v>2409.1</v>
      </c>
      <c r="P4881">
        <v>20190221</v>
      </c>
      <c r="Q4881" t="s">
        <v>1891</v>
      </c>
      <c r="R4881" t="s">
        <v>3957</v>
      </c>
      <c r="S4881" t="s">
        <v>1615</v>
      </c>
      <c r="T4881" t="s">
        <v>1713</v>
      </c>
    </row>
    <row r="4882" spans="1:20" x14ac:dyDescent="0.25">
      <c r="A4882">
        <v>9</v>
      </c>
      <c r="B4882">
        <v>199</v>
      </c>
      <c r="C4882" t="str">
        <f>"11"</f>
        <v>11</v>
      </c>
      <c r="D4882">
        <v>6412</v>
      </c>
      <c r="E4882" t="str">
        <f>"VB"</f>
        <v>VB</v>
      </c>
      <c r="F4882" t="str">
        <f>"001"</f>
        <v>001</v>
      </c>
      <c r="G4882">
        <v>9</v>
      </c>
      <c r="H4882" t="str">
        <f>"22"</f>
        <v>22</v>
      </c>
      <c r="I4882" t="str">
        <f>"0"</f>
        <v>0</v>
      </c>
      <c r="J4882" t="str">
        <f>"22"</f>
        <v>22</v>
      </c>
      <c r="K4882">
        <v>20190222</v>
      </c>
      <c r="L4882" t="str">
        <f>"075802"</f>
        <v>075802</v>
      </c>
      <c r="M4882" t="str">
        <f>"42212"</f>
        <v>42212</v>
      </c>
      <c r="N4882" t="s">
        <v>1892</v>
      </c>
      <c r="O4882" s="1">
        <v>1320</v>
      </c>
      <c r="P4882">
        <v>20190221</v>
      </c>
      <c r="Q4882" t="s">
        <v>2971</v>
      </c>
      <c r="R4882" t="s">
        <v>3733</v>
      </c>
      <c r="S4882" t="s">
        <v>1615</v>
      </c>
      <c r="T4882" t="s">
        <v>301</v>
      </c>
    </row>
    <row r="4883" spans="1:20" x14ac:dyDescent="0.25">
      <c r="A4883">
        <v>9</v>
      </c>
      <c r="B4883">
        <v>199</v>
      </c>
      <c r="C4883" t="str">
        <f>"36"</f>
        <v>36</v>
      </c>
      <c r="D4883">
        <v>6411</v>
      </c>
      <c r="E4883" t="str">
        <f>"VB"</f>
        <v>VB</v>
      </c>
      <c r="F4883" t="str">
        <f>"001"</f>
        <v>001</v>
      </c>
      <c r="G4883">
        <v>9</v>
      </c>
      <c r="H4883" t="str">
        <f>"22"</f>
        <v>22</v>
      </c>
      <c r="I4883" t="str">
        <f>"0"</f>
        <v>0</v>
      </c>
      <c r="J4883" t="str">
        <f>"22"</f>
        <v>22</v>
      </c>
      <c r="K4883">
        <v>20190222</v>
      </c>
      <c r="L4883" t="str">
        <f>"075802"</f>
        <v>075802</v>
      </c>
      <c r="M4883" t="str">
        <f>"42212"</f>
        <v>42212</v>
      </c>
      <c r="N4883" t="s">
        <v>1892</v>
      </c>
      <c r="O4883">
        <v>400</v>
      </c>
      <c r="P4883">
        <v>20190221</v>
      </c>
      <c r="Q4883" t="s">
        <v>3734</v>
      </c>
      <c r="R4883" t="s">
        <v>3733</v>
      </c>
      <c r="S4883" t="s">
        <v>1615</v>
      </c>
      <c r="T4883" t="s">
        <v>301</v>
      </c>
    </row>
    <row r="4884" spans="1:20" x14ac:dyDescent="0.25">
      <c r="A4884">
        <v>9</v>
      </c>
      <c r="B4884">
        <v>199</v>
      </c>
      <c r="C4884" t="str">
        <f>"36"</f>
        <v>36</v>
      </c>
      <c r="D4884">
        <v>6412</v>
      </c>
      <c r="E4884" t="str">
        <f>"8S"</f>
        <v>8S</v>
      </c>
      <c r="F4884" t="str">
        <f>"001"</f>
        <v>001</v>
      </c>
      <c r="G4884">
        <v>9</v>
      </c>
      <c r="H4884" t="str">
        <f>"99"</f>
        <v>99</v>
      </c>
      <c r="I4884" t="str">
        <f>"5"</f>
        <v>5</v>
      </c>
      <c r="J4884" t="str">
        <f>"74"</f>
        <v>74</v>
      </c>
      <c r="K4884">
        <v>20190222</v>
      </c>
      <c r="L4884" t="str">
        <f>"075804"</f>
        <v>075804</v>
      </c>
      <c r="M4884" t="str">
        <f>"46348"</f>
        <v>46348</v>
      </c>
      <c r="N4884" t="s">
        <v>1631</v>
      </c>
      <c r="O4884" s="1">
        <v>1800</v>
      </c>
      <c r="P4884">
        <v>20190221</v>
      </c>
      <c r="Q4884" t="s">
        <v>3942</v>
      </c>
      <c r="R4884" t="s">
        <v>3943</v>
      </c>
      <c r="S4884" t="s">
        <v>1615</v>
      </c>
      <c r="T4884" t="s">
        <v>301</v>
      </c>
    </row>
    <row r="4885" spans="1:20" x14ac:dyDescent="0.25">
      <c r="A4885">
        <v>9</v>
      </c>
      <c r="B4885">
        <v>199</v>
      </c>
      <c r="C4885" t="str">
        <f>"36"</f>
        <v>36</v>
      </c>
      <c r="D4885">
        <v>6412</v>
      </c>
      <c r="E4885" t="str">
        <f>"8S"</f>
        <v>8S</v>
      </c>
      <c r="F4885" t="str">
        <f>"001"</f>
        <v>001</v>
      </c>
      <c r="G4885">
        <v>9</v>
      </c>
      <c r="H4885" t="str">
        <f>"99"</f>
        <v>99</v>
      </c>
      <c r="I4885" t="str">
        <f>"5"</f>
        <v>5</v>
      </c>
      <c r="J4885" t="str">
        <f>"74"</f>
        <v>74</v>
      </c>
      <c r="K4885">
        <v>20190222</v>
      </c>
      <c r="L4885" t="str">
        <f>"075804"</f>
        <v>075804</v>
      </c>
      <c r="M4885" t="str">
        <f>"46348"</f>
        <v>46348</v>
      </c>
      <c r="N4885" t="s">
        <v>1631</v>
      </c>
      <c r="O4885">
        <v>250</v>
      </c>
      <c r="P4885">
        <v>20190221</v>
      </c>
      <c r="Q4885" t="s">
        <v>3942</v>
      </c>
      <c r="R4885" t="s">
        <v>3943</v>
      </c>
      <c r="S4885" t="s">
        <v>1615</v>
      </c>
      <c r="T4885" t="s">
        <v>301</v>
      </c>
    </row>
    <row r="4886" spans="1:20" x14ac:dyDescent="0.25">
      <c r="A4886">
        <v>9</v>
      </c>
      <c r="B4886">
        <v>199</v>
      </c>
      <c r="C4886" t="str">
        <f>"00"</f>
        <v>00</v>
      </c>
      <c r="D4886">
        <v>1291</v>
      </c>
      <c r="E4886" t="str">
        <f>"05"</f>
        <v>05</v>
      </c>
      <c r="F4886" t="str">
        <f>"000"</f>
        <v>000</v>
      </c>
      <c r="G4886">
        <v>9</v>
      </c>
      <c r="H4886" t="str">
        <f>"00"</f>
        <v>00</v>
      </c>
      <c r="I4886" t="str">
        <f t="shared" ref="I4886:I4910" si="1051">"0"</f>
        <v>0</v>
      </c>
      <c r="J4886" t="str">
        <f>"00"</f>
        <v>00</v>
      </c>
      <c r="K4886">
        <v>20190222</v>
      </c>
      <c r="L4886" t="str">
        <f>"075805"</f>
        <v>075805</v>
      </c>
      <c r="M4886" t="str">
        <f>"46351"</f>
        <v>46351</v>
      </c>
      <c r="N4886" t="s">
        <v>1639</v>
      </c>
      <c r="O4886" s="1">
        <v>11075.67</v>
      </c>
      <c r="P4886">
        <v>20190221</v>
      </c>
      <c r="Q4886" t="s">
        <v>1637</v>
      </c>
      <c r="R4886" t="s">
        <v>3958</v>
      </c>
      <c r="S4886" t="s">
        <v>1615</v>
      </c>
      <c r="T4886" t="s">
        <v>296</v>
      </c>
    </row>
    <row r="4887" spans="1:20" x14ac:dyDescent="0.25">
      <c r="A4887">
        <v>9</v>
      </c>
      <c r="B4887">
        <v>199</v>
      </c>
      <c r="C4887" t="str">
        <f>"41"</f>
        <v>41</v>
      </c>
      <c r="D4887">
        <v>6269</v>
      </c>
      <c r="E4887" t="str">
        <f>"10"</f>
        <v>10</v>
      </c>
      <c r="F4887" t="str">
        <f>"933"</f>
        <v>933</v>
      </c>
      <c r="G4887">
        <v>9</v>
      </c>
      <c r="H4887" t="str">
        <f>"99"</f>
        <v>99</v>
      </c>
      <c r="I4887" t="str">
        <f t="shared" si="1051"/>
        <v>0</v>
      </c>
      <c r="J4887" t="str">
        <f>"85"</f>
        <v>85</v>
      </c>
      <c r="K4887">
        <v>20190222</v>
      </c>
      <c r="L4887" t="str">
        <f>"075805"</f>
        <v>075805</v>
      </c>
      <c r="M4887" t="str">
        <f>"46351"</f>
        <v>46351</v>
      </c>
      <c r="N4887" t="s">
        <v>1639</v>
      </c>
      <c r="O4887" s="1">
        <v>4248.04</v>
      </c>
      <c r="P4887">
        <v>20190221</v>
      </c>
      <c r="Q4887" t="s">
        <v>1642</v>
      </c>
      <c r="R4887" t="s">
        <v>3958</v>
      </c>
      <c r="S4887" t="s">
        <v>1615</v>
      </c>
      <c r="T4887" t="s">
        <v>1643</v>
      </c>
    </row>
    <row r="4888" spans="1:20" x14ac:dyDescent="0.25">
      <c r="A4888">
        <v>9</v>
      </c>
      <c r="B4888">
        <v>199</v>
      </c>
      <c r="C4888" t="str">
        <f>"51"</f>
        <v>51</v>
      </c>
      <c r="D4888">
        <v>6249</v>
      </c>
      <c r="E4888" t="str">
        <f>"WF"</f>
        <v>WF</v>
      </c>
      <c r="F4888" t="str">
        <f>"936"</f>
        <v>936</v>
      </c>
      <c r="G4888">
        <v>9</v>
      </c>
      <c r="H4888" t="str">
        <f>"99"</f>
        <v>99</v>
      </c>
      <c r="I4888" t="str">
        <f t="shared" si="1051"/>
        <v>0</v>
      </c>
      <c r="J4888" t="str">
        <f>"82"</f>
        <v>82</v>
      </c>
      <c r="K4888">
        <v>20190222</v>
      </c>
      <c r="L4888" t="str">
        <f>"075806"</f>
        <v>075806</v>
      </c>
      <c r="M4888" t="str">
        <f>"00322"</f>
        <v>00322</v>
      </c>
      <c r="N4888" t="s">
        <v>3959</v>
      </c>
      <c r="O4888" s="1">
        <v>1278.67</v>
      </c>
      <c r="P4888">
        <v>20190221</v>
      </c>
      <c r="Q4888" t="s">
        <v>2127</v>
      </c>
      <c r="R4888" t="s">
        <v>3960</v>
      </c>
      <c r="S4888" t="s">
        <v>1615</v>
      </c>
      <c r="T4888" t="s">
        <v>1713</v>
      </c>
    </row>
    <row r="4889" spans="1:20" x14ac:dyDescent="0.25">
      <c r="A4889">
        <v>9</v>
      </c>
      <c r="B4889">
        <v>199</v>
      </c>
      <c r="C4889" t="str">
        <f>"11"</f>
        <v>11</v>
      </c>
      <c r="D4889">
        <v>6329</v>
      </c>
      <c r="E4889" t="str">
        <f>"VA"</f>
        <v>VA</v>
      </c>
      <c r="F4889" t="str">
        <f>"001"</f>
        <v>001</v>
      </c>
      <c r="G4889">
        <v>9</v>
      </c>
      <c r="H4889" t="str">
        <f>"22"</f>
        <v>22</v>
      </c>
      <c r="I4889" t="str">
        <f t="shared" si="1051"/>
        <v>0</v>
      </c>
      <c r="J4889" t="str">
        <f>"22"</f>
        <v>22</v>
      </c>
      <c r="K4889">
        <v>20190222</v>
      </c>
      <c r="L4889" t="str">
        <f>"075807"</f>
        <v>075807</v>
      </c>
      <c r="M4889" t="str">
        <f>"49670"</f>
        <v>49670</v>
      </c>
      <c r="N4889" t="s">
        <v>3961</v>
      </c>
      <c r="O4889">
        <v>132.87</v>
      </c>
      <c r="P4889">
        <v>20190221</v>
      </c>
      <c r="Q4889" t="s">
        <v>3172</v>
      </c>
      <c r="R4889" t="s">
        <v>3962</v>
      </c>
      <c r="S4889" t="s">
        <v>1615</v>
      </c>
      <c r="T4889" t="s">
        <v>301</v>
      </c>
    </row>
    <row r="4890" spans="1:20" x14ac:dyDescent="0.25">
      <c r="A4890">
        <v>9</v>
      </c>
      <c r="B4890">
        <v>199</v>
      </c>
      <c r="C4890" t="str">
        <f>"41"</f>
        <v>41</v>
      </c>
      <c r="D4890">
        <v>6299</v>
      </c>
      <c r="E4890" t="str">
        <f>"10"</f>
        <v>10</v>
      </c>
      <c r="F4890" t="str">
        <f>"735"</f>
        <v>735</v>
      </c>
      <c r="G4890">
        <v>9</v>
      </c>
      <c r="H4890" t="str">
        <f t="shared" ref="H4890:H4897" si="1052">"99"</f>
        <v>99</v>
      </c>
      <c r="I4890" t="str">
        <f t="shared" si="1051"/>
        <v>0</v>
      </c>
      <c r="J4890" t="str">
        <f>"96"</f>
        <v>96</v>
      </c>
      <c r="K4890">
        <v>20190222</v>
      </c>
      <c r="L4890" t="str">
        <f>"075808"</f>
        <v>075808</v>
      </c>
      <c r="M4890" t="str">
        <f>"00522"</f>
        <v>00522</v>
      </c>
      <c r="N4890" t="s">
        <v>1647</v>
      </c>
      <c r="O4890" s="1">
        <v>2100</v>
      </c>
      <c r="P4890">
        <v>20190221</v>
      </c>
      <c r="Q4890" t="s">
        <v>2101</v>
      </c>
      <c r="R4890" t="s">
        <v>3818</v>
      </c>
      <c r="S4890" t="s">
        <v>1615</v>
      </c>
      <c r="T4890" t="s">
        <v>151</v>
      </c>
    </row>
    <row r="4891" spans="1:20" x14ac:dyDescent="0.25">
      <c r="A4891">
        <v>9</v>
      </c>
      <c r="B4891">
        <v>199</v>
      </c>
      <c r="C4891" t="str">
        <f>"41"</f>
        <v>41</v>
      </c>
      <c r="D4891">
        <v>6439</v>
      </c>
      <c r="E4891" t="str">
        <f>"10"</f>
        <v>10</v>
      </c>
      <c r="F4891" t="str">
        <f>"702"</f>
        <v>702</v>
      </c>
      <c r="G4891">
        <v>9</v>
      </c>
      <c r="H4891" t="str">
        <f t="shared" si="1052"/>
        <v>99</v>
      </c>
      <c r="I4891" t="str">
        <f t="shared" si="1051"/>
        <v>0</v>
      </c>
      <c r="J4891" t="str">
        <f>"93"</f>
        <v>93</v>
      </c>
      <c r="K4891">
        <v>20190222</v>
      </c>
      <c r="L4891" t="str">
        <f>"075809"</f>
        <v>075809</v>
      </c>
      <c r="M4891" t="str">
        <f>"22291"</f>
        <v>22291</v>
      </c>
      <c r="N4891" t="s">
        <v>3963</v>
      </c>
      <c r="O4891" s="1">
        <v>4403.6400000000003</v>
      </c>
      <c r="P4891">
        <v>20190221</v>
      </c>
      <c r="Q4891" t="s">
        <v>3964</v>
      </c>
      <c r="R4891" t="s">
        <v>3965</v>
      </c>
      <c r="S4891" t="s">
        <v>1615</v>
      </c>
      <c r="T4891" t="s">
        <v>1611</v>
      </c>
    </row>
    <row r="4892" spans="1:20" x14ac:dyDescent="0.25">
      <c r="A4892">
        <v>9</v>
      </c>
      <c r="B4892">
        <v>199</v>
      </c>
      <c r="C4892" t="str">
        <f>"41"</f>
        <v>41</v>
      </c>
      <c r="D4892">
        <v>6213</v>
      </c>
      <c r="E4892" t="str">
        <f>"11"</f>
        <v>11</v>
      </c>
      <c r="F4892" t="str">
        <f>"703"</f>
        <v>703</v>
      </c>
      <c r="G4892">
        <v>9</v>
      </c>
      <c r="H4892" t="str">
        <f t="shared" si="1052"/>
        <v>99</v>
      </c>
      <c r="I4892" t="str">
        <f t="shared" si="1051"/>
        <v>0</v>
      </c>
      <c r="J4892" t="str">
        <f>"91"</f>
        <v>91</v>
      </c>
      <c r="K4892">
        <v>20190222</v>
      </c>
      <c r="L4892" t="str">
        <f>"075810"</f>
        <v>075810</v>
      </c>
      <c r="M4892" t="str">
        <f>"61166"</f>
        <v>61166</v>
      </c>
      <c r="N4892" t="s">
        <v>2892</v>
      </c>
      <c r="O4892" s="1">
        <v>2377.88</v>
      </c>
      <c r="P4892">
        <v>20190221</v>
      </c>
      <c r="Q4892" t="s">
        <v>2893</v>
      </c>
      <c r="R4892" t="s">
        <v>2894</v>
      </c>
      <c r="S4892" t="s">
        <v>1615</v>
      </c>
      <c r="T4892" t="s">
        <v>1761</v>
      </c>
    </row>
    <row r="4893" spans="1:20" x14ac:dyDescent="0.25">
      <c r="A4893">
        <v>9</v>
      </c>
      <c r="B4893">
        <v>199</v>
      </c>
      <c r="C4893" t="str">
        <f>"36"</f>
        <v>36</v>
      </c>
      <c r="D4893">
        <v>6299</v>
      </c>
      <c r="E4893" t="str">
        <f>"7C"</f>
        <v>7C</v>
      </c>
      <c r="F4893" t="str">
        <f>"001"</f>
        <v>001</v>
      </c>
      <c r="G4893">
        <v>9</v>
      </c>
      <c r="H4893" t="str">
        <f t="shared" si="1052"/>
        <v>99</v>
      </c>
      <c r="I4893" t="str">
        <f t="shared" si="1051"/>
        <v>0</v>
      </c>
      <c r="J4893" t="str">
        <f>"01"</f>
        <v>01</v>
      </c>
      <c r="K4893">
        <v>20190222</v>
      </c>
      <c r="L4893" t="str">
        <f>"075811"</f>
        <v>075811</v>
      </c>
      <c r="M4893" t="str">
        <f>"00728"</f>
        <v>00728</v>
      </c>
      <c r="N4893" t="s">
        <v>3966</v>
      </c>
      <c r="O4893">
        <v>125</v>
      </c>
      <c r="P4893">
        <v>20190221</v>
      </c>
      <c r="Q4893" t="s">
        <v>3953</v>
      </c>
      <c r="R4893" t="s">
        <v>3954</v>
      </c>
      <c r="S4893" t="s">
        <v>1615</v>
      </c>
      <c r="T4893" t="s">
        <v>301</v>
      </c>
    </row>
    <row r="4894" spans="1:20" x14ac:dyDescent="0.25">
      <c r="A4894">
        <v>9</v>
      </c>
      <c r="B4894">
        <v>199</v>
      </c>
      <c r="C4894" t="str">
        <f>"36"</f>
        <v>36</v>
      </c>
      <c r="D4894">
        <v>6299</v>
      </c>
      <c r="E4894" t="str">
        <f>"7C"</f>
        <v>7C</v>
      </c>
      <c r="F4894" t="str">
        <f>"001"</f>
        <v>001</v>
      </c>
      <c r="G4894">
        <v>9</v>
      </c>
      <c r="H4894" t="str">
        <f t="shared" si="1052"/>
        <v>99</v>
      </c>
      <c r="I4894" t="str">
        <f t="shared" si="1051"/>
        <v>0</v>
      </c>
      <c r="J4894" t="str">
        <f>"01"</f>
        <v>01</v>
      </c>
      <c r="K4894">
        <v>20190222</v>
      </c>
      <c r="L4894" t="str">
        <f>"075812"</f>
        <v>075812</v>
      </c>
      <c r="M4894" t="str">
        <f>"00738"</f>
        <v>00738</v>
      </c>
      <c r="N4894" t="s">
        <v>3967</v>
      </c>
      <c r="O4894">
        <v>300</v>
      </c>
      <c r="P4894">
        <v>20190221</v>
      </c>
      <c r="Q4894" t="s">
        <v>3953</v>
      </c>
      <c r="R4894" t="s">
        <v>3954</v>
      </c>
      <c r="S4894" t="s">
        <v>1615</v>
      </c>
      <c r="T4894" t="s">
        <v>301</v>
      </c>
    </row>
    <row r="4895" spans="1:20" x14ac:dyDescent="0.25">
      <c r="A4895">
        <v>9</v>
      </c>
      <c r="B4895">
        <v>199</v>
      </c>
      <c r="C4895" t="str">
        <f>"36"</f>
        <v>36</v>
      </c>
      <c r="D4895">
        <v>6399</v>
      </c>
      <c r="E4895" t="str">
        <f>"09"</f>
        <v>09</v>
      </c>
      <c r="F4895" t="str">
        <f>"001"</f>
        <v>001</v>
      </c>
      <c r="G4895">
        <v>9</v>
      </c>
      <c r="H4895" t="str">
        <f t="shared" si="1052"/>
        <v>99</v>
      </c>
      <c r="I4895" t="str">
        <f t="shared" si="1051"/>
        <v>0</v>
      </c>
      <c r="J4895" t="str">
        <f>"01"</f>
        <v>01</v>
      </c>
      <c r="K4895">
        <v>20190222</v>
      </c>
      <c r="L4895" t="str">
        <f>"075813"</f>
        <v>075813</v>
      </c>
      <c r="M4895" t="str">
        <f>"57343"</f>
        <v>57343</v>
      </c>
      <c r="N4895" t="s">
        <v>3968</v>
      </c>
      <c r="O4895" s="1">
        <v>1209.5999999999999</v>
      </c>
      <c r="P4895">
        <v>20190221</v>
      </c>
      <c r="Q4895" t="s">
        <v>2177</v>
      </c>
      <c r="R4895" t="s">
        <v>3969</v>
      </c>
      <c r="S4895" t="s">
        <v>1615</v>
      </c>
      <c r="T4895" t="s">
        <v>301</v>
      </c>
    </row>
    <row r="4896" spans="1:20" x14ac:dyDescent="0.25">
      <c r="A4896">
        <v>9</v>
      </c>
      <c r="B4896">
        <v>199</v>
      </c>
      <c r="C4896" t="str">
        <f>"36"</f>
        <v>36</v>
      </c>
      <c r="D4896">
        <v>6412</v>
      </c>
      <c r="E4896" t="str">
        <f>"09"</f>
        <v>09</v>
      </c>
      <c r="F4896" t="str">
        <f>"001"</f>
        <v>001</v>
      </c>
      <c r="G4896">
        <v>9</v>
      </c>
      <c r="H4896" t="str">
        <f t="shared" si="1052"/>
        <v>99</v>
      </c>
      <c r="I4896" t="str">
        <f t="shared" si="1051"/>
        <v>0</v>
      </c>
      <c r="J4896" t="str">
        <f>"01"</f>
        <v>01</v>
      </c>
      <c r="K4896">
        <v>20190222</v>
      </c>
      <c r="L4896" t="str">
        <f>"075815"</f>
        <v>075815</v>
      </c>
      <c r="M4896" t="str">
        <f>"58975"</f>
        <v>58975</v>
      </c>
      <c r="N4896" t="s">
        <v>3597</v>
      </c>
      <c r="O4896">
        <v>192</v>
      </c>
      <c r="P4896">
        <v>20190221</v>
      </c>
      <c r="Q4896" t="s">
        <v>2427</v>
      </c>
      <c r="R4896" t="s">
        <v>3538</v>
      </c>
      <c r="S4896" t="s">
        <v>1615</v>
      </c>
      <c r="T4896" t="s">
        <v>301</v>
      </c>
    </row>
    <row r="4897" spans="1:20" x14ac:dyDescent="0.25">
      <c r="A4897">
        <v>9</v>
      </c>
      <c r="B4897">
        <v>199</v>
      </c>
      <c r="C4897" t="str">
        <f>"36"</f>
        <v>36</v>
      </c>
      <c r="D4897">
        <v>6299</v>
      </c>
      <c r="E4897" t="str">
        <f>"7C"</f>
        <v>7C</v>
      </c>
      <c r="F4897" t="str">
        <f>"001"</f>
        <v>001</v>
      </c>
      <c r="G4897">
        <v>9</v>
      </c>
      <c r="H4897" t="str">
        <f t="shared" si="1052"/>
        <v>99</v>
      </c>
      <c r="I4897" t="str">
        <f t="shared" si="1051"/>
        <v>0</v>
      </c>
      <c r="J4897" t="str">
        <f>"01"</f>
        <v>01</v>
      </c>
      <c r="K4897">
        <v>20190222</v>
      </c>
      <c r="L4897" t="str">
        <f>"075816"</f>
        <v>075816</v>
      </c>
      <c r="M4897" t="str">
        <f>"00727"</f>
        <v>00727</v>
      </c>
      <c r="N4897" t="s">
        <v>3970</v>
      </c>
      <c r="O4897">
        <v>125</v>
      </c>
      <c r="P4897">
        <v>20190221</v>
      </c>
      <c r="Q4897" t="s">
        <v>3953</v>
      </c>
      <c r="R4897" t="s">
        <v>3954</v>
      </c>
      <c r="S4897" t="s">
        <v>1615</v>
      </c>
      <c r="T4897" t="s">
        <v>301</v>
      </c>
    </row>
    <row r="4898" spans="1:20" x14ac:dyDescent="0.25">
      <c r="A4898">
        <v>9</v>
      </c>
      <c r="B4898">
        <v>199</v>
      </c>
      <c r="C4898" t="str">
        <f>"11"</f>
        <v>11</v>
      </c>
      <c r="D4898">
        <v>6399</v>
      </c>
      <c r="E4898" t="str">
        <f>"45"</f>
        <v>45</v>
      </c>
      <c r="F4898" t="str">
        <f>"104"</f>
        <v>104</v>
      </c>
      <c r="G4898">
        <v>9</v>
      </c>
      <c r="H4898" t="str">
        <f>"11"</f>
        <v>11</v>
      </c>
      <c r="I4898" t="str">
        <f t="shared" si="1051"/>
        <v>0</v>
      </c>
      <c r="J4898" t="str">
        <f>"05"</f>
        <v>05</v>
      </c>
      <c r="K4898">
        <v>20190222</v>
      </c>
      <c r="L4898" t="str">
        <f>"075817"</f>
        <v>075817</v>
      </c>
      <c r="M4898" t="str">
        <f>"60603"</f>
        <v>60603</v>
      </c>
      <c r="N4898" t="s">
        <v>1909</v>
      </c>
      <c r="O4898">
        <v>17.78</v>
      </c>
      <c r="P4898">
        <v>20190221</v>
      </c>
      <c r="Q4898" t="s">
        <v>2069</v>
      </c>
      <c r="R4898" t="s">
        <v>2325</v>
      </c>
      <c r="S4898" t="s">
        <v>1615</v>
      </c>
      <c r="T4898" t="s">
        <v>46</v>
      </c>
    </row>
    <row r="4899" spans="1:20" x14ac:dyDescent="0.25">
      <c r="A4899">
        <v>9</v>
      </c>
      <c r="B4899">
        <v>199</v>
      </c>
      <c r="C4899" t="str">
        <f>"11"</f>
        <v>11</v>
      </c>
      <c r="D4899">
        <v>6399</v>
      </c>
      <c r="E4899" t="str">
        <f>"45"</f>
        <v>45</v>
      </c>
      <c r="F4899" t="str">
        <f>"104"</f>
        <v>104</v>
      </c>
      <c r="G4899">
        <v>9</v>
      </c>
      <c r="H4899" t="str">
        <f>"11"</f>
        <v>11</v>
      </c>
      <c r="I4899" t="str">
        <f t="shared" si="1051"/>
        <v>0</v>
      </c>
      <c r="J4899" t="str">
        <f>"05"</f>
        <v>05</v>
      </c>
      <c r="K4899">
        <v>20190222</v>
      </c>
      <c r="L4899" t="str">
        <f>"075817"</f>
        <v>075817</v>
      </c>
      <c r="M4899" t="str">
        <f>"60603"</f>
        <v>60603</v>
      </c>
      <c r="N4899" t="s">
        <v>1909</v>
      </c>
      <c r="O4899">
        <v>75.42</v>
      </c>
      <c r="P4899">
        <v>20190221</v>
      </c>
      <c r="Q4899" t="s">
        <v>2069</v>
      </c>
      <c r="R4899" t="s">
        <v>2692</v>
      </c>
      <c r="S4899" t="s">
        <v>1615</v>
      </c>
      <c r="T4899" t="s">
        <v>46</v>
      </c>
    </row>
    <row r="4900" spans="1:20" x14ac:dyDescent="0.25">
      <c r="A4900">
        <v>9</v>
      </c>
      <c r="B4900">
        <v>199</v>
      </c>
      <c r="C4900" t="str">
        <f>"23"</f>
        <v>23</v>
      </c>
      <c r="D4900">
        <v>6399</v>
      </c>
      <c r="E4900" t="str">
        <f>"8K"</f>
        <v>8K</v>
      </c>
      <c r="F4900" t="str">
        <f>"104"</f>
        <v>104</v>
      </c>
      <c r="G4900">
        <v>9</v>
      </c>
      <c r="H4900" t="str">
        <f>"99"</f>
        <v>99</v>
      </c>
      <c r="I4900" t="str">
        <f t="shared" si="1051"/>
        <v>0</v>
      </c>
      <c r="J4900" t="str">
        <f>"05"</f>
        <v>05</v>
      </c>
      <c r="K4900">
        <v>20190222</v>
      </c>
      <c r="L4900" t="str">
        <f>"075817"</f>
        <v>075817</v>
      </c>
      <c r="M4900" t="str">
        <f>"60603"</f>
        <v>60603</v>
      </c>
      <c r="N4900" t="s">
        <v>1909</v>
      </c>
      <c r="O4900">
        <v>220.5</v>
      </c>
      <c r="P4900">
        <v>20190221</v>
      </c>
      <c r="Q4900" t="s">
        <v>2326</v>
      </c>
      <c r="R4900" t="s">
        <v>2793</v>
      </c>
      <c r="S4900" t="s">
        <v>1615</v>
      </c>
      <c r="T4900" t="s">
        <v>46</v>
      </c>
    </row>
    <row r="4901" spans="1:20" x14ac:dyDescent="0.25">
      <c r="A4901">
        <v>9</v>
      </c>
      <c r="B4901">
        <v>199</v>
      </c>
      <c r="C4901" t="str">
        <f>"41"</f>
        <v>41</v>
      </c>
      <c r="D4901">
        <v>6219</v>
      </c>
      <c r="E4901" t="str">
        <f>"10"</f>
        <v>10</v>
      </c>
      <c r="F4901" t="str">
        <f>"726"</f>
        <v>726</v>
      </c>
      <c r="G4901">
        <v>9</v>
      </c>
      <c r="H4901" t="str">
        <f>"99"</f>
        <v>99</v>
      </c>
      <c r="I4901" t="str">
        <f t="shared" si="1051"/>
        <v>0</v>
      </c>
      <c r="J4901" t="str">
        <f>"91"</f>
        <v>91</v>
      </c>
      <c r="K4901">
        <v>20190222</v>
      </c>
      <c r="L4901" t="str">
        <f>"075819"</f>
        <v>075819</v>
      </c>
      <c r="M4901" t="str">
        <f>"61275"</f>
        <v>61275</v>
      </c>
      <c r="N4901" t="s">
        <v>2299</v>
      </c>
      <c r="O4901">
        <v>147</v>
      </c>
      <c r="P4901">
        <v>20190221</v>
      </c>
      <c r="Q4901" t="s">
        <v>3971</v>
      </c>
      <c r="R4901" t="s">
        <v>2300</v>
      </c>
      <c r="S4901" t="s">
        <v>1615</v>
      </c>
      <c r="T4901" t="s">
        <v>2608</v>
      </c>
    </row>
    <row r="4902" spans="1:20" x14ac:dyDescent="0.25">
      <c r="A4902">
        <v>9</v>
      </c>
      <c r="B4902">
        <v>199</v>
      </c>
      <c r="C4902" t="str">
        <f>"41"</f>
        <v>41</v>
      </c>
      <c r="D4902">
        <v>6299</v>
      </c>
      <c r="E4902" t="str">
        <f>"10"</f>
        <v>10</v>
      </c>
      <c r="F4902" t="str">
        <f>"702"</f>
        <v>702</v>
      </c>
      <c r="G4902">
        <v>9</v>
      </c>
      <c r="H4902" t="str">
        <f>"99"</f>
        <v>99</v>
      </c>
      <c r="I4902" t="str">
        <f t="shared" si="1051"/>
        <v>0</v>
      </c>
      <c r="J4902" t="str">
        <f>"93"</f>
        <v>93</v>
      </c>
      <c r="K4902">
        <v>20190222</v>
      </c>
      <c r="L4902" t="str">
        <f>"075820"</f>
        <v>075820</v>
      </c>
      <c r="M4902" t="str">
        <f>"60852"</f>
        <v>60852</v>
      </c>
      <c r="N4902" t="s">
        <v>3972</v>
      </c>
      <c r="O4902" s="1">
        <v>4838</v>
      </c>
      <c r="P4902">
        <v>20190221</v>
      </c>
      <c r="Q4902" t="s">
        <v>3973</v>
      </c>
      <c r="R4902" t="s">
        <v>3974</v>
      </c>
      <c r="S4902" t="s">
        <v>1615</v>
      </c>
      <c r="T4902" t="s">
        <v>1611</v>
      </c>
    </row>
    <row r="4903" spans="1:20" x14ac:dyDescent="0.25">
      <c r="A4903">
        <v>9</v>
      </c>
      <c r="B4903">
        <v>199</v>
      </c>
      <c r="C4903" t="str">
        <f>"00"</f>
        <v>00</v>
      </c>
      <c r="D4903">
        <v>1312</v>
      </c>
      <c r="E4903" t="str">
        <f>"00"</f>
        <v>00</v>
      </c>
      <c r="F4903" t="str">
        <f>"000"</f>
        <v>000</v>
      </c>
      <c r="G4903">
        <v>9</v>
      </c>
      <c r="H4903" t="str">
        <f>"00"</f>
        <v>00</v>
      </c>
      <c r="I4903" t="str">
        <f t="shared" si="1051"/>
        <v>0</v>
      </c>
      <c r="J4903" t="str">
        <f>"00"</f>
        <v>00</v>
      </c>
      <c r="K4903">
        <v>20190222</v>
      </c>
      <c r="L4903" t="str">
        <f>"075821"</f>
        <v>075821</v>
      </c>
      <c r="M4903" t="str">
        <f>"00608"</f>
        <v>00608</v>
      </c>
      <c r="N4903" t="s">
        <v>2785</v>
      </c>
      <c r="O4903" s="1">
        <v>1844.6</v>
      </c>
      <c r="P4903">
        <v>20190221</v>
      </c>
      <c r="Q4903" t="s">
        <v>1860</v>
      </c>
      <c r="R4903" t="s">
        <v>3975</v>
      </c>
      <c r="S4903" t="s">
        <v>1615</v>
      </c>
      <c r="T4903" t="s">
        <v>296</v>
      </c>
    </row>
    <row r="4904" spans="1:20" x14ac:dyDescent="0.25">
      <c r="A4904">
        <v>9</v>
      </c>
      <c r="B4904">
        <v>199</v>
      </c>
      <c r="C4904" t="str">
        <f>"11"</f>
        <v>11</v>
      </c>
      <c r="D4904">
        <v>6399</v>
      </c>
      <c r="E4904" t="str">
        <f>"10"</f>
        <v>10</v>
      </c>
      <c r="F4904" t="str">
        <f>"001"</f>
        <v>001</v>
      </c>
      <c r="G4904">
        <v>9</v>
      </c>
      <c r="H4904" t="str">
        <f>"11"</f>
        <v>11</v>
      </c>
      <c r="I4904" t="str">
        <f t="shared" si="1051"/>
        <v>0</v>
      </c>
      <c r="J4904" t="str">
        <f>"01"</f>
        <v>01</v>
      </c>
      <c r="K4904">
        <v>20190222</v>
      </c>
      <c r="L4904" t="str">
        <f t="shared" ref="L4904:L4912" si="1053">"075823"</f>
        <v>075823</v>
      </c>
      <c r="M4904" t="str">
        <f t="shared" ref="M4904:M4912" si="1054">"65106"</f>
        <v>65106</v>
      </c>
      <c r="N4904" t="s">
        <v>1175</v>
      </c>
      <c r="O4904">
        <v>398.98</v>
      </c>
      <c r="P4904">
        <v>20190221</v>
      </c>
      <c r="Q4904" t="s">
        <v>1675</v>
      </c>
      <c r="R4904" t="s">
        <v>3976</v>
      </c>
      <c r="S4904" t="s">
        <v>1615</v>
      </c>
      <c r="T4904" t="s">
        <v>301</v>
      </c>
    </row>
    <row r="4905" spans="1:20" x14ac:dyDescent="0.25">
      <c r="A4905">
        <v>9</v>
      </c>
      <c r="B4905">
        <v>199</v>
      </c>
      <c r="C4905" t="str">
        <f>"11"</f>
        <v>11</v>
      </c>
      <c r="D4905">
        <v>6399</v>
      </c>
      <c r="E4905" t="str">
        <f>"CR"</f>
        <v>CR</v>
      </c>
      <c r="F4905" t="str">
        <f>"001"</f>
        <v>001</v>
      </c>
      <c r="G4905">
        <v>9</v>
      </c>
      <c r="H4905" t="str">
        <f>"11"</f>
        <v>11</v>
      </c>
      <c r="I4905" t="str">
        <f t="shared" si="1051"/>
        <v>0</v>
      </c>
      <c r="J4905" t="str">
        <f>"01"</f>
        <v>01</v>
      </c>
      <c r="K4905">
        <v>20190222</v>
      </c>
      <c r="L4905" t="str">
        <f t="shared" si="1053"/>
        <v>075823</v>
      </c>
      <c r="M4905" t="str">
        <f t="shared" si="1054"/>
        <v>65106</v>
      </c>
      <c r="N4905" t="s">
        <v>1175</v>
      </c>
      <c r="O4905">
        <v>468.9</v>
      </c>
      <c r="P4905">
        <v>20190221</v>
      </c>
      <c r="Q4905" t="s">
        <v>3977</v>
      </c>
      <c r="R4905" t="s">
        <v>3978</v>
      </c>
      <c r="S4905" t="s">
        <v>1615</v>
      </c>
      <c r="T4905" t="s">
        <v>301</v>
      </c>
    </row>
    <row r="4906" spans="1:20" x14ac:dyDescent="0.25">
      <c r="A4906">
        <v>9</v>
      </c>
      <c r="B4906">
        <v>199</v>
      </c>
      <c r="C4906" t="str">
        <f>"11"</f>
        <v>11</v>
      </c>
      <c r="D4906">
        <v>6399</v>
      </c>
      <c r="E4906" t="str">
        <f>"N1"</f>
        <v>N1</v>
      </c>
      <c r="F4906" t="str">
        <f>"001"</f>
        <v>001</v>
      </c>
      <c r="G4906">
        <v>9</v>
      </c>
      <c r="H4906" t="str">
        <f>"11"</f>
        <v>11</v>
      </c>
      <c r="I4906" t="str">
        <f t="shared" si="1051"/>
        <v>0</v>
      </c>
      <c r="J4906" t="str">
        <f>"01"</f>
        <v>01</v>
      </c>
      <c r="K4906">
        <v>20190222</v>
      </c>
      <c r="L4906" t="str">
        <f t="shared" si="1053"/>
        <v>075823</v>
      </c>
      <c r="M4906" t="str">
        <f t="shared" si="1054"/>
        <v>65106</v>
      </c>
      <c r="N4906" t="s">
        <v>1175</v>
      </c>
      <c r="O4906">
        <v>178.2</v>
      </c>
      <c r="P4906">
        <v>20190221</v>
      </c>
      <c r="Q4906" t="s">
        <v>2637</v>
      </c>
      <c r="R4906" t="s">
        <v>3979</v>
      </c>
      <c r="S4906" t="s">
        <v>1615</v>
      </c>
      <c r="T4906" t="s">
        <v>301</v>
      </c>
    </row>
    <row r="4907" spans="1:20" x14ac:dyDescent="0.25">
      <c r="A4907">
        <v>9</v>
      </c>
      <c r="B4907">
        <v>199</v>
      </c>
      <c r="C4907" t="str">
        <f>"23"</f>
        <v>23</v>
      </c>
      <c r="D4907">
        <v>6498</v>
      </c>
      <c r="E4907" t="str">
        <f>"10"</f>
        <v>10</v>
      </c>
      <c r="F4907" t="str">
        <f>"104"</f>
        <v>104</v>
      </c>
      <c r="G4907">
        <v>9</v>
      </c>
      <c r="H4907" t="str">
        <f>"99"</f>
        <v>99</v>
      </c>
      <c r="I4907" t="str">
        <f t="shared" si="1051"/>
        <v>0</v>
      </c>
      <c r="J4907" t="str">
        <f>"05"</f>
        <v>05</v>
      </c>
      <c r="K4907">
        <v>20190222</v>
      </c>
      <c r="L4907" t="str">
        <f t="shared" si="1053"/>
        <v>075823</v>
      </c>
      <c r="M4907" t="str">
        <f t="shared" si="1054"/>
        <v>65106</v>
      </c>
      <c r="N4907" t="s">
        <v>1175</v>
      </c>
      <c r="O4907">
        <v>257.33999999999997</v>
      </c>
      <c r="P4907">
        <v>20190221</v>
      </c>
      <c r="Q4907" t="s">
        <v>2402</v>
      </c>
      <c r="R4907" t="s">
        <v>3980</v>
      </c>
      <c r="S4907" t="s">
        <v>1615</v>
      </c>
      <c r="T4907" t="s">
        <v>46</v>
      </c>
    </row>
    <row r="4908" spans="1:20" x14ac:dyDescent="0.25">
      <c r="A4908">
        <v>9</v>
      </c>
      <c r="B4908">
        <v>199</v>
      </c>
      <c r="C4908" t="str">
        <f>"23"</f>
        <v>23</v>
      </c>
      <c r="D4908">
        <v>6498</v>
      </c>
      <c r="E4908" t="str">
        <f>"10"</f>
        <v>10</v>
      </c>
      <c r="F4908" t="str">
        <f>"104"</f>
        <v>104</v>
      </c>
      <c r="G4908">
        <v>9</v>
      </c>
      <c r="H4908" t="str">
        <f>"99"</f>
        <v>99</v>
      </c>
      <c r="I4908" t="str">
        <f t="shared" si="1051"/>
        <v>0</v>
      </c>
      <c r="J4908" t="str">
        <f>"05"</f>
        <v>05</v>
      </c>
      <c r="K4908">
        <v>20190222</v>
      </c>
      <c r="L4908" t="str">
        <f t="shared" si="1053"/>
        <v>075823</v>
      </c>
      <c r="M4908" t="str">
        <f t="shared" si="1054"/>
        <v>65106</v>
      </c>
      <c r="N4908" t="s">
        <v>1175</v>
      </c>
      <c r="O4908">
        <v>175</v>
      </c>
      <c r="P4908">
        <v>20190221</v>
      </c>
      <c r="Q4908" t="s">
        <v>2402</v>
      </c>
      <c r="R4908" t="s">
        <v>3981</v>
      </c>
      <c r="S4908" t="s">
        <v>1615</v>
      </c>
      <c r="T4908" t="s">
        <v>46</v>
      </c>
    </row>
    <row r="4909" spans="1:20" x14ac:dyDescent="0.25">
      <c r="A4909">
        <v>9</v>
      </c>
      <c r="B4909">
        <v>199</v>
      </c>
      <c r="C4909" t="str">
        <f>"31"</f>
        <v>31</v>
      </c>
      <c r="D4909">
        <v>6399</v>
      </c>
      <c r="E4909" t="str">
        <f>"7F"</f>
        <v>7F</v>
      </c>
      <c r="F4909" t="str">
        <f>"001"</f>
        <v>001</v>
      </c>
      <c r="G4909">
        <v>9</v>
      </c>
      <c r="H4909" t="str">
        <f>"31"</f>
        <v>31</v>
      </c>
      <c r="I4909" t="str">
        <f t="shared" si="1051"/>
        <v>0</v>
      </c>
      <c r="J4909" t="str">
        <f>"34"</f>
        <v>34</v>
      </c>
      <c r="K4909">
        <v>20190222</v>
      </c>
      <c r="L4909" t="str">
        <f t="shared" si="1053"/>
        <v>075823</v>
      </c>
      <c r="M4909" t="str">
        <f t="shared" si="1054"/>
        <v>65106</v>
      </c>
      <c r="N4909" t="s">
        <v>1175</v>
      </c>
      <c r="O4909">
        <v>113.5</v>
      </c>
      <c r="P4909">
        <v>20190221</v>
      </c>
      <c r="Q4909" t="s">
        <v>1864</v>
      </c>
      <c r="R4909" t="s">
        <v>2133</v>
      </c>
      <c r="S4909" t="s">
        <v>1615</v>
      </c>
      <c r="T4909" t="s">
        <v>301</v>
      </c>
    </row>
    <row r="4910" spans="1:20" x14ac:dyDescent="0.25">
      <c r="A4910">
        <v>9</v>
      </c>
      <c r="B4910">
        <v>199</v>
      </c>
      <c r="C4910" t="str">
        <f>"31"</f>
        <v>31</v>
      </c>
      <c r="D4910">
        <v>6499</v>
      </c>
      <c r="E4910" t="str">
        <f>"7F"</f>
        <v>7F</v>
      </c>
      <c r="F4910" t="str">
        <f>"001"</f>
        <v>001</v>
      </c>
      <c r="G4910">
        <v>9</v>
      </c>
      <c r="H4910" t="str">
        <f>"31"</f>
        <v>31</v>
      </c>
      <c r="I4910" t="str">
        <f t="shared" si="1051"/>
        <v>0</v>
      </c>
      <c r="J4910" t="str">
        <f>"34"</f>
        <v>34</v>
      </c>
      <c r="K4910">
        <v>20190222</v>
      </c>
      <c r="L4910" t="str">
        <f t="shared" si="1053"/>
        <v>075823</v>
      </c>
      <c r="M4910" t="str">
        <f t="shared" si="1054"/>
        <v>65106</v>
      </c>
      <c r="N4910" t="s">
        <v>1175</v>
      </c>
      <c r="O4910">
        <v>254.12</v>
      </c>
      <c r="P4910">
        <v>20190221</v>
      </c>
      <c r="Q4910" t="s">
        <v>2880</v>
      </c>
      <c r="R4910" t="s">
        <v>3982</v>
      </c>
      <c r="S4910" t="s">
        <v>1615</v>
      </c>
      <c r="T4910" t="s">
        <v>301</v>
      </c>
    </row>
    <row r="4911" spans="1:20" x14ac:dyDescent="0.25">
      <c r="A4911">
        <v>9</v>
      </c>
      <c r="B4911">
        <v>199</v>
      </c>
      <c r="C4911" t="str">
        <f>"36"</f>
        <v>36</v>
      </c>
      <c r="D4911">
        <v>6412</v>
      </c>
      <c r="E4911" t="str">
        <f>"09"</f>
        <v>09</v>
      </c>
      <c r="F4911" t="str">
        <f>"001"</f>
        <v>001</v>
      </c>
      <c r="G4911">
        <v>9</v>
      </c>
      <c r="H4911" t="str">
        <f>"99"</f>
        <v>99</v>
      </c>
      <c r="I4911" t="str">
        <f>"1"</f>
        <v>1</v>
      </c>
      <c r="J4911" t="str">
        <f>"01"</f>
        <v>01</v>
      </c>
      <c r="K4911">
        <v>20190222</v>
      </c>
      <c r="L4911" t="str">
        <f t="shared" si="1053"/>
        <v>075823</v>
      </c>
      <c r="M4911" t="str">
        <f t="shared" si="1054"/>
        <v>65106</v>
      </c>
      <c r="N4911" t="s">
        <v>1175</v>
      </c>
      <c r="O4911">
        <v>480.19</v>
      </c>
      <c r="P4911">
        <v>20190221</v>
      </c>
      <c r="Q4911" t="s">
        <v>2514</v>
      </c>
      <c r="R4911" t="s">
        <v>3983</v>
      </c>
      <c r="S4911" t="s">
        <v>1615</v>
      </c>
      <c r="T4911" t="s">
        <v>301</v>
      </c>
    </row>
    <row r="4912" spans="1:20" x14ac:dyDescent="0.25">
      <c r="A4912">
        <v>9</v>
      </c>
      <c r="B4912">
        <v>199</v>
      </c>
      <c r="C4912" t="str">
        <f>"36"</f>
        <v>36</v>
      </c>
      <c r="D4912">
        <v>6499</v>
      </c>
      <c r="E4912" t="str">
        <f>"09"</f>
        <v>09</v>
      </c>
      <c r="F4912" t="str">
        <f>"001"</f>
        <v>001</v>
      </c>
      <c r="G4912">
        <v>9</v>
      </c>
      <c r="H4912" t="str">
        <f>"99"</f>
        <v>99</v>
      </c>
      <c r="I4912" t="str">
        <f t="shared" ref="I4912:I4921" si="1055">"0"</f>
        <v>0</v>
      </c>
      <c r="J4912" t="str">
        <f>"01"</f>
        <v>01</v>
      </c>
      <c r="K4912">
        <v>20190222</v>
      </c>
      <c r="L4912" t="str">
        <f t="shared" si="1053"/>
        <v>075823</v>
      </c>
      <c r="M4912" t="str">
        <f t="shared" si="1054"/>
        <v>65106</v>
      </c>
      <c r="N4912" t="s">
        <v>1175</v>
      </c>
      <c r="O4912">
        <v>480.19</v>
      </c>
      <c r="P4912">
        <v>20190221</v>
      </c>
      <c r="Q4912" t="s">
        <v>3984</v>
      </c>
      <c r="R4912" t="s">
        <v>3983</v>
      </c>
      <c r="S4912" t="s">
        <v>1615</v>
      </c>
      <c r="T4912" t="s">
        <v>301</v>
      </c>
    </row>
    <row r="4913" spans="1:20" x14ac:dyDescent="0.25">
      <c r="A4913">
        <v>9</v>
      </c>
      <c r="B4913">
        <v>199</v>
      </c>
      <c r="C4913" t="str">
        <f>"11"</f>
        <v>11</v>
      </c>
      <c r="D4913">
        <v>6339</v>
      </c>
      <c r="E4913" t="str">
        <f>"GT"</f>
        <v>GT</v>
      </c>
      <c r="F4913" t="str">
        <f>"101"</f>
        <v>101</v>
      </c>
      <c r="G4913">
        <v>9</v>
      </c>
      <c r="H4913" t="str">
        <f>"21"</f>
        <v>21</v>
      </c>
      <c r="I4913" t="str">
        <f t="shared" si="1055"/>
        <v>0</v>
      </c>
      <c r="J4913" t="str">
        <f>"21"</f>
        <v>21</v>
      </c>
      <c r="K4913">
        <v>20190222</v>
      </c>
      <c r="L4913" t="str">
        <f>"075824"</f>
        <v>075824</v>
      </c>
      <c r="M4913" t="str">
        <f>"64562"</f>
        <v>64562</v>
      </c>
      <c r="N4913" t="s">
        <v>3985</v>
      </c>
      <c r="O4913">
        <v>254.4</v>
      </c>
      <c r="P4913">
        <v>20190221</v>
      </c>
      <c r="Q4913" t="s">
        <v>3439</v>
      </c>
      <c r="R4913" t="s">
        <v>3986</v>
      </c>
      <c r="S4913" t="s">
        <v>1615</v>
      </c>
      <c r="T4913" t="s">
        <v>1479</v>
      </c>
    </row>
    <row r="4914" spans="1:20" x14ac:dyDescent="0.25">
      <c r="A4914">
        <v>9</v>
      </c>
      <c r="B4914">
        <v>199</v>
      </c>
      <c r="C4914" t="str">
        <f>"11"</f>
        <v>11</v>
      </c>
      <c r="D4914">
        <v>6412</v>
      </c>
      <c r="E4914" t="str">
        <f>"VB"</f>
        <v>VB</v>
      </c>
      <c r="F4914" t="str">
        <f>"001"</f>
        <v>001</v>
      </c>
      <c r="G4914">
        <v>9</v>
      </c>
      <c r="H4914" t="str">
        <f>"22"</f>
        <v>22</v>
      </c>
      <c r="I4914" t="str">
        <f t="shared" si="1055"/>
        <v>0</v>
      </c>
      <c r="J4914" t="str">
        <f>"22"</f>
        <v>22</v>
      </c>
      <c r="K4914">
        <v>20190222</v>
      </c>
      <c r="L4914" t="str">
        <f>"075825"</f>
        <v>075825</v>
      </c>
      <c r="M4914" t="str">
        <f>"67580"</f>
        <v>67580</v>
      </c>
      <c r="N4914" t="s">
        <v>3987</v>
      </c>
      <c r="O4914" s="1">
        <v>3771.9</v>
      </c>
      <c r="P4914">
        <v>20190221</v>
      </c>
      <c r="Q4914" t="s">
        <v>2971</v>
      </c>
      <c r="R4914" t="s">
        <v>3733</v>
      </c>
      <c r="S4914" t="s">
        <v>1615</v>
      </c>
      <c r="T4914" t="s">
        <v>301</v>
      </c>
    </row>
    <row r="4915" spans="1:20" x14ac:dyDescent="0.25">
      <c r="A4915">
        <v>9</v>
      </c>
      <c r="B4915">
        <v>199</v>
      </c>
      <c r="C4915" t="str">
        <f>"36"</f>
        <v>36</v>
      </c>
      <c r="D4915">
        <v>6411</v>
      </c>
      <c r="E4915" t="str">
        <f>"VB"</f>
        <v>VB</v>
      </c>
      <c r="F4915" t="str">
        <f>"001"</f>
        <v>001</v>
      </c>
      <c r="G4915">
        <v>9</v>
      </c>
      <c r="H4915" t="str">
        <f>"22"</f>
        <v>22</v>
      </c>
      <c r="I4915" t="str">
        <f t="shared" si="1055"/>
        <v>0</v>
      </c>
      <c r="J4915" t="str">
        <f>"22"</f>
        <v>22</v>
      </c>
      <c r="K4915">
        <v>20190222</v>
      </c>
      <c r="L4915" t="str">
        <f>"075825"</f>
        <v>075825</v>
      </c>
      <c r="M4915" t="str">
        <f>"67580"</f>
        <v>67580</v>
      </c>
      <c r="N4915" t="s">
        <v>3987</v>
      </c>
      <c r="O4915" s="1">
        <v>1126.32</v>
      </c>
      <c r="P4915">
        <v>20190221</v>
      </c>
      <c r="Q4915" t="s">
        <v>3734</v>
      </c>
      <c r="R4915" t="s">
        <v>3733</v>
      </c>
      <c r="S4915" t="s">
        <v>1615</v>
      </c>
      <c r="T4915" t="s">
        <v>301</v>
      </c>
    </row>
    <row r="4916" spans="1:20" x14ac:dyDescent="0.25">
      <c r="A4916">
        <v>9</v>
      </c>
      <c r="B4916">
        <v>199</v>
      </c>
      <c r="C4916" t="str">
        <f>"11"</f>
        <v>11</v>
      </c>
      <c r="D4916">
        <v>6412</v>
      </c>
      <c r="E4916" t="str">
        <f>"VB"</f>
        <v>VB</v>
      </c>
      <c r="F4916" t="str">
        <f>"001"</f>
        <v>001</v>
      </c>
      <c r="G4916">
        <v>9</v>
      </c>
      <c r="H4916" t="str">
        <f>"22"</f>
        <v>22</v>
      </c>
      <c r="I4916" t="str">
        <f t="shared" si="1055"/>
        <v>0</v>
      </c>
      <c r="J4916" t="str">
        <f>"22"</f>
        <v>22</v>
      </c>
      <c r="K4916">
        <v>20190222</v>
      </c>
      <c r="L4916" t="str">
        <f>"075828"</f>
        <v>075828</v>
      </c>
      <c r="M4916" t="str">
        <f>"00701"</f>
        <v>00701</v>
      </c>
      <c r="N4916" t="s">
        <v>3988</v>
      </c>
      <c r="O4916">
        <v>392.69</v>
      </c>
      <c r="P4916">
        <v>20190221</v>
      </c>
      <c r="Q4916" t="s">
        <v>2971</v>
      </c>
      <c r="R4916" t="s">
        <v>3733</v>
      </c>
      <c r="S4916" t="s">
        <v>1615</v>
      </c>
      <c r="T4916" t="s">
        <v>301</v>
      </c>
    </row>
    <row r="4917" spans="1:20" x14ac:dyDescent="0.25">
      <c r="A4917">
        <v>9</v>
      </c>
      <c r="B4917">
        <v>199</v>
      </c>
      <c r="C4917" t="str">
        <f>"12"</f>
        <v>12</v>
      </c>
      <c r="D4917">
        <v>6396</v>
      </c>
      <c r="E4917" t="str">
        <f>"7U"</f>
        <v>7U</v>
      </c>
      <c r="F4917" t="str">
        <f>"101"</f>
        <v>101</v>
      </c>
      <c r="G4917">
        <v>9</v>
      </c>
      <c r="H4917" t="str">
        <f>"11"</f>
        <v>11</v>
      </c>
      <c r="I4917" t="str">
        <f t="shared" si="1055"/>
        <v>0</v>
      </c>
      <c r="J4917" t="str">
        <f>"04"</f>
        <v>04</v>
      </c>
      <c r="K4917">
        <v>20190222</v>
      </c>
      <c r="L4917" t="str">
        <f>"075829"</f>
        <v>075829</v>
      </c>
      <c r="M4917" t="str">
        <f>"53995"</f>
        <v>53995</v>
      </c>
      <c r="N4917" t="s">
        <v>3989</v>
      </c>
      <c r="O4917">
        <v>491</v>
      </c>
      <c r="P4917">
        <v>20190221</v>
      </c>
      <c r="Q4917" t="s">
        <v>3990</v>
      </c>
      <c r="R4917" t="s">
        <v>3991</v>
      </c>
      <c r="S4917" t="s">
        <v>1615</v>
      </c>
      <c r="T4917" t="s">
        <v>1479</v>
      </c>
    </row>
    <row r="4918" spans="1:20" x14ac:dyDescent="0.25">
      <c r="A4918">
        <v>9</v>
      </c>
      <c r="B4918">
        <v>199</v>
      </c>
      <c r="C4918" t="str">
        <f>"41"</f>
        <v>41</v>
      </c>
      <c r="D4918">
        <v>6417</v>
      </c>
      <c r="E4918" t="str">
        <f>"10"</f>
        <v>10</v>
      </c>
      <c r="F4918" t="str">
        <f>"702"</f>
        <v>702</v>
      </c>
      <c r="G4918">
        <v>9</v>
      </c>
      <c r="H4918" t="str">
        <f>"99"</f>
        <v>99</v>
      </c>
      <c r="I4918" t="str">
        <f t="shared" si="1055"/>
        <v>0</v>
      </c>
      <c r="J4918" t="str">
        <f>"93"</f>
        <v>93</v>
      </c>
      <c r="K4918">
        <v>20190222</v>
      </c>
      <c r="L4918" t="str">
        <f>"075831"</f>
        <v>075831</v>
      </c>
      <c r="M4918" t="str">
        <f>"76542"</f>
        <v>76542</v>
      </c>
      <c r="N4918" t="s">
        <v>3992</v>
      </c>
      <c r="O4918">
        <v>750</v>
      </c>
      <c r="P4918">
        <v>20190221</v>
      </c>
      <c r="Q4918" t="s">
        <v>2682</v>
      </c>
      <c r="R4918" t="s">
        <v>1646</v>
      </c>
      <c r="S4918" t="s">
        <v>1615</v>
      </c>
      <c r="T4918" t="s">
        <v>1611</v>
      </c>
    </row>
    <row r="4919" spans="1:20" x14ac:dyDescent="0.25">
      <c r="A4919">
        <v>9</v>
      </c>
      <c r="B4919">
        <v>199</v>
      </c>
      <c r="C4919" t="str">
        <f>"41"</f>
        <v>41</v>
      </c>
      <c r="D4919">
        <v>6495</v>
      </c>
      <c r="E4919" t="str">
        <f>"10"</f>
        <v>10</v>
      </c>
      <c r="F4919" t="str">
        <f>"702"</f>
        <v>702</v>
      </c>
      <c r="G4919">
        <v>9</v>
      </c>
      <c r="H4919" t="str">
        <f>"99"</f>
        <v>99</v>
      </c>
      <c r="I4919" t="str">
        <f t="shared" si="1055"/>
        <v>0</v>
      </c>
      <c r="J4919" t="str">
        <f>"93"</f>
        <v>93</v>
      </c>
      <c r="K4919">
        <v>20190222</v>
      </c>
      <c r="L4919" t="str">
        <f>"075832"</f>
        <v>075832</v>
      </c>
      <c r="M4919" t="str">
        <f>"74385"</f>
        <v>74385</v>
      </c>
      <c r="N4919" t="s">
        <v>1812</v>
      </c>
      <c r="O4919" s="1">
        <v>1097.6400000000001</v>
      </c>
      <c r="P4919">
        <v>20190221</v>
      </c>
      <c r="Q4919" t="s">
        <v>1813</v>
      </c>
      <c r="R4919" t="s">
        <v>3993</v>
      </c>
      <c r="S4919" t="s">
        <v>1615</v>
      </c>
      <c r="T4919" t="s">
        <v>1611</v>
      </c>
    </row>
    <row r="4920" spans="1:20" x14ac:dyDescent="0.25">
      <c r="A4920">
        <v>9</v>
      </c>
      <c r="B4920">
        <v>199</v>
      </c>
      <c r="C4920" t="str">
        <f>"23"</f>
        <v>23</v>
      </c>
      <c r="D4920">
        <v>6495</v>
      </c>
      <c r="E4920" t="str">
        <f>"10"</f>
        <v>10</v>
      </c>
      <c r="F4920" t="str">
        <f>"041"</f>
        <v>041</v>
      </c>
      <c r="G4920">
        <v>9</v>
      </c>
      <c r="H4920" t="str">
        <f>"99"</f>
        <v>99</v>
      </c>
      <c r="I4920" t="str">
        <f t="shared" si="1055"/>
        <v>0</v>
      </c>
      <c r="J4920" t="str">
        <f>"03"</f>
        <v>03</v>
      </c>
      <c r="K4920">
        <v>20190222</v>
      </c>
      <c r="L4920" t="str">
        <f>"075833"</f>
        <v>075833</v>
      </c>
      <c r="M4920" t="str">
        <f>"76505"</f>
        <v>76505</v>
      </c>
      <c r="N4920" t="s">
        <v>1823</v>
      </c>
      <c r="O4920">
        <v>240</v>
      </c>
      <c r="P4920">
        <v>20190221</v>
      </c>
      <c r="Q4920" t="s">
        <v>3994</v>
      </c>
      <c r="R4920" t="s">
        <v>3995</v>
      </c>
      <c r="S4920" t="s">
        <v>1615</v>
      </c>
      <c r="T4920" t="s">
        <v>106</v>
      </c>
    </row>
    <row r="4921" spans="1:20" x14ac:dyDescent="0.25">
      <c r="A4921">
        <v>9</v>
      </c>
      <c r="B4921">
        <v>199</v>
      </c>
      <c r="C4921" t="str">
        <f>"36"</f>
        <v>36</v>
      </c>
      <c r="D4921">
        <v>6412</v>
      </c>
      <c r="E4921" t="str">
        <f>"H1"</f>
        <v>H1</v>
      </c>
      <c r="F4921" t="str">
        <f>"001"</f>
        <v>001</v>
      </c>
      <c r="G4921">
        <v>9</v>
      </c>
      <c r="H4921" t="str">
        <f>"31"</f>
        <v>31</v>
      </c>
      <c r="I4921" t="str">
        <f t="shared" si="1055"/>
        <v>0</v>
      </c>
      <c r="J4921" t="str">
        <f>"34"</f>
        <v>34</v>
      </c>
      <c r="K4921">
        <v>20190222</v>
      </c>
      <c r="L4921" t="str">
        <f>"075834"</f>
        <v>075834</v>
      </c>
      <c r="M4921" t="str">
        <f>"76491"</f>
        <v>76491</v>
      </c>
      <c r="N4921" t="s">
        <v>1835</v>
      </c>
      <c r="O4921">
        <v>200</v>
      </c>
      <c r="P4921">
        <v>20190221</v>
      </c>
      <c r="Q4921" t="s">
        <v>2410</v>
      </c>
      <c r="R4921" t="s">
        <v>3940</v>
      </c>
      <c r="S4921" t="s">
        <v>1615</v>
      </c>
      <c r="T4921" t="s">
        <v>301</v>
      </c>
    </row>
    <row r="4922" spans="1:20" x14ac:dyDescent="0.25">
      <c r="A4922">
        <v>9</v>
      </c>
      <c r="B4922">
        <v>199</v>
      </c>
      <c r="C4922" t="str">
        <f>"36"</f>
        <v>36</v>
      </c>
      <c r="D4922">
        <v>6412</v>
      </c>
      <c r="E4922" t="str">
        <f>"8S"</f>
        <v>8S</v>
      </c>
      <c r="F4922" t="str">
        <f>"001"</f>
        <v>001</v>
      </c>
      <c r="G4922">
        <v>9</v>
      </c>
      <c r="H4922" t="str">
        <f>"99"</f>
        <v>99</v>
      </c>
      <c r="I4922" t="str">
        <f>"5"</f>
        <v>5</v>
      </c>
      <c r="J4922" t="str">
        <f>"74"</f>
        <v>74</v>
      </c>
      <c r="K4922">
        <v>20190222</v>
      </c>
      <c r="L4922" t="str">
        <f>"075835"</f>
        <v>075835</v>
      </c>
      <c r="M4922" t="str">
        <f>"78340"</f>
        <v>78340</v>
      </c>
      <c r="N4922" t="s">
        <v>2795</v>
      </c>
      <c r="O4922" s="1">
        <v>1460</v>
      </c>
      <c r="P4922">
        <v>20190221</v>
      </c>
      <c r="Q4922" t="s">
        <v>3942</v>
      </c>
      <c r="R4922" t="s">
        <v>3943</v>
      </c>
      <c r="S4922" t="s">
        <v>1615</v>
      </c>
      <c r="T4922" t="s">
        <v>301</v>
      </c>
    </row>
    <row r="4923" spans="1:20" x14ac:dyDescent="0.25">
      <c r="A4923">
        <v>9</v>
      </c>
      <c r="B4923">
        <v>199</v>
      </c>
      <c r="C4923" t="str">
        <f>"36"</f>
        <v>36</v>
      </c>
      <c r="D4923">
        <v>6411</v>
      </c>
      <c r="E4923" t="str">
        <f>"VJ"</f>
        <v>VJ</v>
      </c>
      <c r="F4923" t="str">
        <f>"001"</f>
        <v>001</v>
      </c>
      <c r="G4923">
        <v>9</v>
      </c>
      <c r="H4923" t="str">
        <f>"22"</f>
        <v>22</v>
      </c>
      <c r="I4923" t="str">
        <f>"5"</f>
        <v>5</v>
      </c>
      <c r="J4923" t="str">
        <f>"74"</f>
        <v>74</v>
      </c>
      <c r="K4923">
        <v>20190222</v>
      </c>
      <c r="L4923" t="str">
        <f>"075836"</f>
        <v>075836</v>
      </c>
      <c r="M4923" t="str">
        <f>"00734"</f>
        <v>00734</v>
      </c>
      <c r="N4923" t="s">
        <v>3996</v>
      </c>
      <c r="O4923">
        <v>60</v>
      </c>
      <c r="P4923">
        <v>20190221</v>
      </c>
      <c r="Q4923" t="s">
        <v>3949</v>
      </c>
      <c r="R4923" t="s">
        <v>3948</v>
      </c>
      <c r="S4923" t="s">
        <v>1615</v>
      </c>
      <c r="T4923" t="s">
        <v>301</v>
      </c>
    </row>
    <row r="4924" spans="1:20" x14ac:dyDescent="0.25">
      <c r="A4924">
        <v>9</v>
      </c>
      <c r="B4924">
        <v>199</v>
      </c>
      <c r="C4924" t="str">
        <f>"36"</f>
        <v>36</v>
      </c>
      <c r="D4924">
        <v>6412</v>
      </c>
      <c r="E4924" t="str">
        <f>"VJ"</f>
        <v>VJ</v>
      </c>
      <c r="F4924" t="str">
        <f>"001"</f>
        <v>001</v>
      </c>
      <c r="G4924">
        <v>9</v>
      </c>
      <c r="H4924" t="str">
        <f>"22"</f>
        <v>22</v>
      </c>
      <c r="I4924" t="str">
        <f>"5"</f>
        <v>5</v>
      </c>
      <c r="J4924" t="str">
        <f>"74"</f>
        <v>74</v>
      </c>
      <c r="K4924">
        <v>20190222</v>
      </c>
      <c r="L4924" t="str">
        <f>"075836"</f>
        <v>075836</v>
      </c>
      <c r="M4924" t="str">
        <f>"00734"</f>
        <v>00734</v>
      </c>
      <c r="N4924" t="s">
        <v>3996</v>
      </c>
      <c r="O4924">
        <v>280</v>
      </c>
      <c r="P4924">
        <v>20190221</v>
      </c>
      <c r="Q4924" t="s">
        <v>3951</v>
      </c>
      <c r="R4924" t="s">
        <v>3948</v>
      </c>
      <c r="S4924" t="s">
        <v>1615</v>
      </c>
      <c r="T4924" t="s">
        <v>301</v>
      </c>
    </row>
    <row r="4925" spans="1:20" x14ac:dyDescent="0.25">
      <c r="A4925">
        <v>9</v>
      </c>
      <c r="B4925">
        <v>199</v>
      </c>
      <c r="C4925" t="str">
        <f>"41"</f>
        <v>41</v>
      </c>
      <c r="D4925">
        <v>6249</v>
      </c>
      <c r="E4925" t="str">
        <f>"10"</f>
        <v>10</v>
      </c>
      <c r="F4925" t="str">
        <f>"726"</f>
        <v>726</v>
      </c>
      <c r="G4925">
        <v>9</v>
      </c>
      <c r="H4925" t="str">
        <f>"99"</f>
        <v>99</v>
      </c>
      <c r="I4925" t="str">
        <f>"0"</f>
        <v>0</v>
      </c>
      <c r="J4925" t="str">
        <f>"91"</f>
        <v>91</v>
      </c>
      <c r="K4925">
        <v>20190222</v>
      </c>
      <c r="L4925" t="str">
        <f>"075838"</f>
        <v>075838</v>
      </c>
      <c r="M4925" t="str">
        <f>"24705"</f>
        <v>24705</v>
      </c>
      <c r="N4925" t="s">
        <v>3281</v>
      </c>
      <c r="O4925" s="1">
        <v>4831.3</v>
      </c>
      <c r="P4925">
        <v>20190221</v>
      </c>
      <c r="Q4925" t="s">
        <v>3997</v>
      </c>
      <c r="R4925" t="s">
        <v>3998</v>
      </c>
      <c r="S4925" t="s">
        <v>1615</v>
      </c>
      <c r="T4925" t="s">
        <v>2608</v>
      </c>
    </row>
    <row r="4926" spans="1:20" x14ac:dyDescent="0.25">
      <c r="A4926">
        <v>9</v>
      </c>
      <c r="B4926">
        <v>199</v>
      </c>
      <c r="C4926" t="str">
        <f>"36"</f>
        <v>36</v>
      </c>
      <c r="D4926">
        <v>6411</v>
      </c>
      <c r="E4926" t="str">
        <f>"H1"</f>
        <v>H1</v>
      </c>
      <c r="F4926" t="str">
        <f>"001"</f>
        <v>001</v>
      </c>
      <c r="G4926">
        <v>9</v>
      </c>
      <c r="H4926" t="str">
        <f>"31"</f>
        <v>31</v>
      </c>
      <c r="I4926" t="str">
        <f>"1"</f>
        <v>1</v>
      </c>
      <c r="J4926" t="str">
        <f>"34"</f>
        <v>34</v>
      </c>
      <c r="K4926">
        <v>20190222</v>
      </c>
      <c r="L4926" t="str">
        <f>"075841"</f>
        <v>075841</v>
      </c>
      <c r="M4926" t="str">
        <f>"83007"</f>
        <v>83007</v>
      </c>
      <c r="N4926" t="s">
        <v>2690</v>
      </c>
      <c r="O4926">
        <v>90</v>
      </c>
      <c r="P4926">
        <v>20190221</v>
      </c>
      <c r="Q4926" t="s">
        <v>2408</v>
      </c>
      <c r="R4926" t="s">
        <v>3940</v>
      </c>
      <c r="S4926" t="s">
        <v>1615</v>
      </c>
      <c r="T4926" t="s">
        <v>301</v>
      </c>
    </row>
    <row r="4927" spans="1:20" x14ac:dyDescent="0.25">
      <c r="A4927">
        <v>9</v>
      </c>
      <c r="B4927">
        <v>199</v>
      </c>
      <c r="C4927" t="str">
        <f>"36"</f>
        <v>36</v>
      </c>
      <c r="D4927">
        <v>6412</v>
      </c>
      <c r="E4927" t="str">
        <f>"H1"</f>
        <v>H1</v>
      </c>
      <c r="F4927" t="str">
        <f>"001"</f>
        <v>001</v>
      </c>
      <c r="G4927">
        <v>9</v>
      </c>
      <c r="H4927" t="str">
        <f>"31"</f>
        <v>31</v>
      </c>
      <c r="I4927" t="str">
        <f>"1"</f>
        <v>1</v>
      </c>
      <c r="J4927" t="str">
        <f>"34"</f>
        <v>34</v>
      </c>
      <c r="K4927">
        <v>20190222</v>
      </c>
      <c r="L4927" t="str">
        <f>"075841"</f>
        <v>075841</v>
      </c>
      <c r="M4927" t="str">
        <f>"83007"</f>
        <v>83007</v>
      </c>
      <c r="N4927" t="s">
        <v>2690</v>
      </c>
      <c r="O4927">
        <v>440</v>
      </c>
      <c r="P4927">
        <v>20190221</v>
      </c>
      <c r="Q4927" t="s">
        <v>2411</v>
      </c>
      <c r="R4927" t="s">
        <v>3940</v>
      </c>
      <c r="S4927" t="s">
        <v>1615</v>
      </c>
      <c r="T4927" t="s">
        <v>301</v>
      </c>
    </row>
    <row r="4928" spans="1:20" x14ac:dyDescent="0.25">
      <c r="A4928">
        <v>9</v>
      </c>
      <c r="B4928">
        <v>199</v>
      </c>
      <c r="C4928" t="str">
        <f>"36"</f>
        <v>36</v>
      </c>
      <c r="D4928">
        <v>6412</v>
      </c>
      <c r="E4928" t="str">
        <f>"H1"</f>
        <v>H1</v>
      </c>
      <c r="F4928" t="str">
        <f>"001"</f>
        <v>001</v>
      </c>
      <c r="G4928">
        <v>9</v>
      </c>
      <c r="H4928" t="str">
        <f>"99"</f>
        <v>99</v>
      </c>
      <c r="I4928" t="str">
        <f>"5"</f>
        <v>5</v>
      </c>
      <c r="J4928" t="str">
        <f>"74"</f>
        <v>74</v>
      </c>
      <c r="K4928">
        <v>20190222</v>
      </c>
      <c r="L4928" t="str">
        <f>"075841"</f>
        <v>075841</v>
      </c>
      <c r="M4928" t="str">
        <f>"83007"</f>
        <v>83007</v>
      </c>
      <c r="N4928" t="s">
        <v>2690</v>
      </c>
      <c r="O4928">
        <v>110</v>
      </c>
      <c r="P4928">
        <v>20190221</v>
      </c>
      <c r="Q4928" t="s">
        <v>3944</v>
      </c>
      <c r="R4928" t="s">
        <v>3940</v>
      </c>
      <c r="S4928" t="s">
        <v>1615</v>
      </c>
      <c r="T4928" t="s">
        <v>301</v>
      </c>
    </row>
    <row r="4929" spans="1:20" x14ac:dyDescent="0.25">
      <c r="A4929">
        <v>9</v>
      </c>
      <c r="B4929">
        <v>199</v>
      </c>
      <c r="C4929" t="str">
        <f>"11"</f>
        <v>11</v>
      </c>
      <c r="D4929">
        <v>6399</v>
      </c>
      <c r="E4929" t="str">
        <f>"10"</f>
        <v>10</v>
      </c>
      <c r="F4929" t="str">
        <f>"041"</f>
        <v>041</v>
      </c>
      <c r="G4929">
        <v>9</v>
      </c>
      <c r="H4929" t="str">
        <f>"11"</f>
        <v>11</v>
      </c>
      <c r="I4929" t="str">
        <f t="shared" ref="I4929:I4960" si="1056">"0"</f>
        <v>0</v>
      </c>
      <c r="J4929" t="str">
        <f>"03"</f>
        <v>03</v>
      </c>
      <c r="K4929">
        <v>20190222</v>
      </c>
      <c r="L4929" t="str">
        <f>"075843"</f>
        <v>075843</v>
      </c>
      <c r="M4929" t="str">
        <f>"83022"</f>
        <v>83022</v>
      </c>
      <c r="N4929" t="s">
        <v>691</v>
      </c>
      <c r="O4929">
        <v>19.98</v>
      </c>
      <c r="P4929">
        <v>20190221</v>
      </c>
      <c r="Q4929" t="s">
        <v>2956</v>
      </c>
      <c r="R4929" t="s">
        <v>3999</v>
      </c>
      <c r="S4929" t="s">
        <v>1615</v>
      </c>
      <c r="T4929" t="s">
        <v>106</v>
      </c>
    </row>
    <row r="4930" spans="1:20" x14ac:dyDescent="0.25">
      <c r="A4930">
        <v>9</v>
      </c>
      <c r="B4930">
        <v>199</v>
      </c>
      <c r="C4930" t="str">
        <f>"11"</f>
        <v>11</v>
      </c>
      <c r="D4930">
        <v>6399</v>
      </c>
      <c r="E4930" t="str">
        <f>"45"</f>
        <v>45</v>
      </c>
      <c r="F4930" t="str">
        <f>"041"</f>
        <v>041</v>
      </c>
      <c r="G4930">
        <v>9</v>
      </c>
      <c r="H4930" t="str">
        <f>"11"</f>
        <v>11</v>
      </c>
      <c r="I4930" t="str">
        <f t="shared" si="1056"/>
        <v>0</v>
      </c>
      <c r="J4930" t="str">
        <f>"03"</f>
        <v>03</v>
      </c>
      <c r="K4930">
        <v>20190222</v>
      </c>
      <c r="L4930" t="str">
        <f>"075843"</f>
        <v>075843</v>
      </c>
      <c r="M4930" t="str">
        <f>"83022"</f>
        <v>83022</v>
      </c>
      <c r="N4930" t="s">
        <v>691</v>
      </c>
      <c r="O4930">
        <v>142.19999999999999</v>
      </c>
      <c r="P4930">
        <v>20190221</v>
      </c>
      <c r="Q4930" t="s">
        <v>2204</v>
      </c>
      <c r="R4930" t="s">
        <v>2793</v>
      </c>
      <c r="S4930" t="s">
        <v>1615</v>
      </c>
      <c r="T4930" t="s">
        <v>106</v>
      </c>
    </row>
    <row r="4931" spans="1:20" x14ac:dyDescent="0.25">
      <c r="A4931">
        <v>9</v>
      </c>
      <c r="B4931">
        <v>199</v>
      </c>
      <c r="C4931" t="str">
        <f>"23"</f>
        <v>23</v>
      </c>
      <c r="D4931">
        <v>6498</v>
      </c>
      <c r="E4931" t="str">
        <f>"99"</f>
        <v>99</v>
      </c>
      <c r="F4931" t="str">
        <f>"041"</f>
        <v>041</v>
      </c>
      <c r="G4931">
        <v>9</v>
      </c>
      <c r="H4931" t="str">
        <f>"99"</f>
        <v>99</v>
      </c>
      <c r="I4931" t="str">
        <f t="shared" si="1056"/>
        <v>0</v>
      </c>
      <c r="J4931" t="str">
        <f>"03"</f>
        <v>03</v>
      </c>
      <c r="K4931">
        <v>20190222</v>
      </c>
      <c r="L4931" t="str">
        <f>"075843"</f>
        <v>075843</v>
      </c>
      <c r="M4931" t="str">
        <f>"83022"</f>
        <v>83022</v>
      </c>
      <c r="N4931" t="s">
        <v>691</v>
      </c>
      <c r="O4931">
        <v>212.02</v>
      </c>
      <c r="P4931">
        <v>20190221</v>
      </c>
      <c r="Q4931" t="s">
        <v>2140</v>
      </c>
      <c r="R4931" t="s">
        <v>2081</v>
      </c>
      <c r="S4931" t="s">
        <v>1615</v>
      </c>
      <c r="T4931" t="s">
        <v>106</v>
      </c>
    </row>
    <row r="4932" spans="1:20" x14ac:dyDescent="0.25">
      <c r="A4932">
        <v>9</v>
      </c>
      <c r="B4932">
        <v>199</v>
      </c>
      <c r="C4932" t="str">
        <f>"11"</f>
        <v>11</v>
      </c>
      <c r="D4932">
        <v>6299</v>
      </c>
      <c r="E4932" t="str">
        <f>"00"</f>
        <v>00</v>
      </c>
      <c r="F4932" t="str">
        <f>"104"</f>
        <v>104</v>
      </c>
      <c r="G4932">
        <v>9</v>
      </c>
      <c r="H4932" t="str">
        <f>"11"</f>
        <v>11</v>
      </c>
      <c r="I4932" t="str">
        <f t="shared" si="1056"/>
        <v>0</v>
      </c>
      <c r="J4932" t="str">
        <f>"05"</f>
        <v>05</v>
      </c>
      <c r="K4932">
        <v>20190222</v>
      </c>
      <c r="L4932" t="str">
        <f>"075844"</f>
        <v>075844</v>
      </c>
      <c r="M4932" t="str">
        <f>"83060"</f>
        <v>83060</v>
      </c>
      <c r="N4932" t="s">
        <v>2151</v>
      </c>
      <c r="O4932" s="1">
        <v>1540</v>
      </c>
      <c r="P4932">
        <v>20190221</v>
      </c>
      <c r="Q4932" t="s">
        <v>2152</v>
      </c>
      <c r="R4932" t="s">
        <v>4000</v>
      </c>
      <c r="S4932" t="s">
        <v>1615</v>
      </c>
      <c r="T4932" t="s">
        <v>46</v>
      </c>
    </row>
    <row r="4933" spans="1:20" x14ac:dyDescent="0.25">
      <c r="A4933">
        <v>9</v>
      </c>
      <c r="B4933">
        <v>199</v>
      </c>
      <c r="C4933" t="str">
        <f>"36"</f>
        <v>36</v>
      </c>
      <c r="D4933">
        <v>6412</v>
      </c>
      <c r="E4933" t="str">
        <f>"09"</f>
        <v>09</v>
      </c>
      <c r="F4933" t="str">
        <f>"101"</f>
        <v>101</v>
      </c>
      <c r="G4933">
        <v>9</v>
      </c>
      <c r="H4933" t="str">
        <f>"99"</f>
        <v>99</v>
      </c>
      <c r="I4933" t="str">
        <f t="shared" si="1056"/>
        <v>0</v>
      </c>
      <c r="J4933" t="str">
        <f>"04"</f>
        <v>04</v>
      </c>
      <c r="K4933">
        <v>20190222</v>
      </c>
      <c r="L4933" t="str">
        <f>"075847"</f>
        <v>075847</v>
      </c>
      <c r="M4933" t="str">
        <f>"84370"</f>
        <v>84370</v>
      </c>
      <c r="N4933" t="s">
        <v>395</v>
      </c>
      <c r="O4933">
        <v>34.93</v>
      </c>
      <c r="P4933">
        <v>20190221</v>
      </c>
      <c r="Q4933" t="s">
        <v>4001</v>
      </c>
      <c r="R4933" t="s">
        <v>4002</v>
      </c>
      <c r="S4933" t="s">
        <v>1615</v>
      </c>
      <c r="T4933" t="s">
        <v>1479</v>
      </c>
    </row>
    <row r="4934" spans="1:20" x14ac:dyDescent="0.25">
      <c r="A4934">
        <v>9</v>
      </c>
      <c r="B4934">
        <v>199</v>
      </c>
      <c r="C4934" t="str">
        <f>"33"</f>
        <v>33</v>
      </c>
      <c r="D4934">
        <v>6399</v>
      </c>
      <c r="E4934" t="str">
        <f>"8F"</f>
        <v>8F</v>
      </c>
      <c r="F4934" t="str">
        <f>"041"</f>
        <v>041</v>
      </c>
      <c r="G4934">
        <v>9</v>
      </c>
      <c r="H4934" t="str">
        <f>"99"</f>
        <v>99</v>
      </c>
      <c r="I4934" t="str">
        <f t="shared" si="1056"/>
        <v>0</v>
      </c>
      <c r="J4934" t="str">
        <f>"03"</f>
        <v>03</v>
      </c>
      <c r="K4934">
        <v>20190222</v>
      </c>
      <c r="L4934" t="str">
        <f>"075848"</f>
        <v>075848</v>
      </c>
      <c r="M4934" t="str">
        <f>"49589"</f>
        <v>49589</v>
      </c>
      <c r="N4934" t="s">
        <v>2430</v>
      </c>
      <c r="O4934">
        <v>208.74</v>
      </c>
      <c r="P4934">
        <v>20190221</v>
      </c>
      <c r="Q4934" t="s">
        <v>2431</v>
      </c>
      <c r="R4934" t="s">
        <v>2323</v>
      </c>
      <c r="S4934" t="s">
        <v>1615</v>
      </c>
      <c r="T4934" t="s">
        <v>106</v>
      </c>
    </row>
    <row r="4935" spans="1:20" x14ac:dyDescent="0.25">
      <c r="A4935">
        <v>9</v>
      </c>
      <c r="B4935">
        <v>199</v>
      </c>
      <c r="C4935" t="str">
        <f>"52"</f>
        <v>52</v>
      </c>
      <c r="D4935">
        <v>6219</v>
      </c>
      <c r="E4935" t="str">
        <f>"00"</f>
        <v>00</v>
      </c>
      <c r="F4935" t="str">
        <f>"101"</f>
        <v>101</v>
      </c>
      <c r="G4935">
        <v>9</v>
      </c>
      <c r="H4935" t="str">
        <f>"99"</f>
        <v>99</v>
      </c>
      <c r="I4935" t="str">
        <f t="shared" si="1056"/>
        <v>0</v>
      </c>
      <c r="J4935" t="str">
        <f>"00"</f>
        <v>00</v>
      </c>
      <c r="K4935">
        <v>20190222</v>
      </c>
      <c r="L4935" t="str">
        <f>"075849"</f>
        <v>075849</v>
      </c>
      <c r="M4935" t="str">
        <f>"00242"</f>
        <v>00242</v>
      </c>
      <c r="N4935" t="s">
        <v>1669</v>
      </c>
      <c r="O4935">
        <v>300</v>
      </c>
      <c r="P4935">
        <v>20190221</v>
      </c>
      <c r="Q4935" t="s">
        <v>1854</v>
      </c>
      <c r="R4935" t="s">
        <v>4003</v>
      </c>
      <c r="S4935" t="s">
        <v>1615</v>
      </c>
      <c r="T4935" t="s">
        <v>1479</v>
      </c>
    </row>
    <row r="4936" spans="1:20" x14ac:dyDescent="0.25">
      <c r="A4936">
        <v>9</v>
      </c>
      <c r="B4936">
        <v>199</v>
      </c>
      <c r="C4936" t="str">
        <f>"52"</f>
        <v>52</v>
      </c>
      <c r="D4936">
        <v>6219</v>
      </c>
      <c r="E4936" t="str">
        <f>"00"</f>
        <v>00</v>
      </c>
      <c r="F4936" t="str">
        <f>"101"</f>
        <v>101</v>
      </c>
      <c r="G4936">
        <v>9</v>
      </c>
      <c r="H4936" t="str">
        <f>"99"</f>
        <v>99</v>
      </c>
      <c r="I4936" t="str">
        <f t="shared" si="1056"/>
        <v>0</v>
      </c>
      <c r="J4936" t="str">
        <f>"00"</f>
        <v>00</v>
      </c>
      <c r="K4936">
        <v>20190222</v>
      </c>
      <c r="L4936" t="str">
        <f>"075849"</f>
        <v>075849</v>
      </c>
      <c r="M4936" t="str">
        <f>"00242"</f>
        <v>00242</v>
      </c>
      <c r="N4936" t="s">
        <v>1669</v>
      </c>
      <c r="O4936">
        <v>300</v>
      </c>
      <c r="P4936">
        <v>20190221</v>
      </c>
      <c r="Q4936" t="s">
        <v>1854</v>
      </c>
      <c r="R4936" t="s">
        <v>4004</v>
      </c>
      <c r="S4936" t="s">
        <v>1615</v>
      </c>
      <c r="T4936" t="s">
        <v>1479</v>
      </c>
    </row>
    <row r="4937" spans="1:20" x14ac:dyDescent="0.25">
      <c r="A4937">
        <v>9</v>
      </c>
      <c r="B4937">
        <v>199</v>
      </c>
      <c r="C4937" t="str">
        <f>"00"</f>
        <v>00</v>
      </c>
      <c r="D4937">
        <v>1411</v>
      </c>
      <c r="E4937" t="str">
        <f>"05"</f>
        <v>05</v>
      </c>
      <c r="F4937" t="str">
        <f>"000"</f>
        <v>000</v>
      </c>
      <c r="G4937">
        <v>9</v>
      </c>
      <c r="H4937" t="str">
        <f>"00"</f>
        <v>00</v>
      </c>
      <c r="I4937" t="str">
        <f t="shared" si="1056"/>
        <v>0</v>
      </c>
      <c r="J4937" t="str">
        <f>"00"</f>
        <v>00</v>
      </c>
      <c r="K4937">
        <v>20190213</v>
      </c>
      <c r="L4937" t="str">
        <f>"075850"</f>
        <v>075850</v>
      </c>
      <c r="M4937" t="str">
        <f>"19140"</f>
        <v>19140</v>
      </c>
      <c r="N4937" t="s">
        <v>4005</v>
      </c>
      <c r="O4937" s="1">
        <v>880132</v>
      </c>
      <c r="P4937">
        <v>20190225</v>
      </c>
      <c r="Q4937" t="s">
        <v>4006</v>
      </c>
      <c r="R4937" t="s">
        <v>4007</v>
      </c>
      <c r="S4937" t="s">
        <v>1615</v>
      </c>
      <c r="T4937" t="s">
        <v>296</v>
      </c>
    </row>
    <row r="4938" spans="1:20" x14ac:dyDescent="0.25">
      <c r="A4938">
        <v>9</v>
      </c>
      <c r="B4938">
        <v>199</v>
      </c>
      <c r="C4938" t="str">
        <f>"11"</f>
        <v>11</v>
      </c>
      <c r="D4938">
        <v>6399</v>
      </c>
      <c r="E4938" t="str">
        <f>"45"</f>
        <v>45</v>
      </c>
      <c r="F4938" t="str">
        <f>"041"</f>
        <v>041</v>
      </c>
      <c r="G4938">
        <v>9</v>
      </c>
      <c r="H4938" t="str">
        <f>"11"</f>
        <v>11</v>
      </c>
      <c r="I4938" t="str">
        <f t="shared" si="1056"/>
        <v>0</v>
      </c>
      <c r="J4938" t="str">
        <f>"03"</f>
        <v>03</v>
      </c>
      <c r="K4938">
        <v>20190308</v>
      </c>
      <c r="L4938" t="str">
        <f>"075853"</f>
        <v>075853</v>
      </c>
      <c r="M4938" t="str">
        <f>"03710"</f>
        <v>03710</v>
      </c>
      <c r="N4938" t="s">
        <v>1385</v>
      </c>
      <c r="O4938" s="1">
        <v>1437.62</v>
      </c>
      <c r="P4938">
        <v>20190305</v>
      </c>
      <c r="Q4938" t="s">
        <v>2204</v>
      </c>
      <c r="R4938" t="s">
        <v>641</v>
      </c>
      <c r="S4938" t="s">
        <v>1615</v>
      </c>
      <c r="T4938" t="s">
        <v>106</v>
      </c>
    </row>
    <row r="4939" spans="1:20" x14ac:dyDescent="0.25">
      <c r="A4939">
        <v>9</v>
      </c>
      <c r="B4939">
        <v>199</v>
      </c>
      <c r="C4939" t="str">
        <f>"23"</f>
        <v>23</v>
      </c>
      <c r="D4939">
        <v>6649</v>
      </c>
      <c r="E4939" t="str">
        <f>"10"</f>
        <v>10</v>
      </c>
      <c r="F4939" t="str">
        <f>"041"</f>
        <v>041</v>
      </c>
      <c r="G4939">
        <v>9</v>
      </c>
      <c r="H4939" t="str">
        <f>"99"</f>
        <v>99</v>
      </c>
      <c r="I4939" t="str">
        <f t="shared" si="1056"/>
        <v>0</v>
      </c>
      <c r="J4939" t="str">
        <f>"03"</f>
        <v>03</v>
      </c>
      <c r="K4939">
        <v>20190308</v>
      </c>
      <c r="L4939" t="str">
        <f>"075853"</f>
        <v>075853</v>
      </c>
      <c r="M4939" t="str">
        <f>"03710"</f>
        <v>03710</v>
      </c>
      <c r="N4939" t="s">
        <v>1385</v>
      </c>
      <c r="O4939">
        <v>328.25</v>
      </c>
      <c r="P4939">
        <v>20190305</v>
      </c>
      <c r="Q4939" t="s">
        <v>4008</v>
      </c>
      <c r="R4939" t="s">
        <v>4009</v>
      </c>
      <c r="S4939" t="s">
        <v>1615</v>
      </c>
      <c r="T4939" t="s">
        <v>106</v>
      </c>
    </row>
    <row r="4940" spans="1:20" x14ac:dyDescent="0.25">
      <c r="A4940">
        <v>9</v>
      </c>
      <c r="B4940">
        <v>199</v>
      </c>
      <c r="C4940" t="str">
        <f>"34"</f>
        <v>34</v>
      </c>
      <c r="D4940">
        <v>6249</v>
      </c>
      <c r="E4940" t="str">
        <f>"10"</f>
        <v>10</v>
      </c>
      <c r="F4940" t="str">
        <f>"937"</f>
        <v>937</v>
      </c>
      <c r="G4940">
        <v>9</v>
      </c>
      <c r="H4940" t="str">
        <f>"99"</f>
        <v>99</v>
      </c>
      <c r="I4940" t="str">
        <f t="shared" si="1056"/>
        <v>0</v>
      </c>
      <c r="J4940" t="str">
        <f>"82"</f>
        <v>82</v>
      </c>
      <c r="K4940">
        <v>20190308</v>
      </c>
      <c r="L4940" t="str">
        <f>"075854"</f>
        <v>075854</v>
      </c>
      <c r="M4940" t="str">
        <f>"00280"</f>
        <v>00280</v>
      </c>
      <c r="N4940" t="s">
        <v>1857</v>
      </c>
      <c r="O4940">
        <v>875</v>
      </c>
      <c r="P4940">
        <v>20190305</v>
      </c>
      <c r="Q4940" t="s">
        <v>2036</v>
      </c>
      <c r="R4940" t="s">
        <v>4010</v>
      </c>
      <c r="S4940" t="s">
        <v>1615</v>
      </c>
      <c r="T4940" t="s">
        <v>1810</v>
      </c>
    </row>
    <row r="4941" spans="1:20" x14ac:dyDescent="0.25">
      <c r="A4941">
        <v>9</v>
      </c>
      <c r="B4941">
        <v>199</v>
      </c>
      <c r="C4941" t="str">
        <f>"34"</f>
        <v>34</v>
      </c>
      <c r="D4941">
        <v>6249</v>
      </c>
      <c r="E4941" t="str">
        <f>"10"</f>
        <v>10</v>
      </c>
      <c r="F4941" t="str">
        <f>"937"</f>
        <v>937</v>
      </c>
      <c r="G4941">
        <v>9</v>
      </c>
      <c r="H4941" t="str">
        <f>"99"</f>
        <v>99</v>
      </c>
      <c r="I4941" t="str">
        <f t="shared" si="1056"/>
        <v>0</v>
      </c>
      <c r="J4941" t="str">
        <f>"82"</f>
        <v>82</v>
      </c>
      <c r="K4941">
        <v>20190308</v>
      </c>
      <c r="L4941" t="str">
        <f>"075854"</f>
        <v>075854</v>
      </c>
      <c r="M4941" t="str">
        <f>"00280"</f>
        <v>00280</v>
      </c>
      <c r="N4941" t="s">
        <v>1857</v>
      </c>
      <c r="O4941">
        <v>378.35</v>
      </c>
      <c r="P4941">
        <v>20190305</v>
      </c>
      <c r="Q4941" t="s">
        <v>2036</v>
      </c>
      <c r="R4941" t="s">
        <v>4011</v>
      </c>
      <c r="S4941" t="s">
        <v>1615</v>
      </c>
      <c r="T4941" t="s">
        <v>1810</v>
      </c>
    </row>
    <row r="4942" spans="1:20" x14ac:dyDescent="0.25">
      <c r="A4942">
        <v>9</v>
      </c>
      <c r="B4942">
        <v>199</v>
      </c>
      <c r="C4942" t="str">
        <f>"34"</f>
        <v>34</v>
      </c>
      <c r="D4942">
        <v>6249</v>
      </c>
      <c r="E4942" t="str">
        <f>"10"</f>
        <v>10</v>
      </c>
      <c r="F4942" t="str">
        <f>"937"</f>
        <v>937</v>
      </c>
      <c r="G4942">
        <v>9</v>
      </c>
      <c r="H4942" t="str">
        <f>"99"</f>
        <v>99</v>
      </c>
      <c r="I4942" t="str">
        <f t="shared" si="1056"/>
        <v>0</v>
      </c>
      <c r="J4942" t="str">
        <f>"82"</f>
        <v>82</v>
      </c>
      <c r="K4942">
        <v>20190308</v>
      </c>
      <c r="L4942" t="str">
        <f>"075854"</f>
        <v>075854</v>
      </c>
      <c r="M4942" t="str">
        <f>"00280"</f>
        <v>00280</v>
      </c>
      <c r="N4942" t="s">
        <v>1857</v>
      </c>
      <c r="O4942">
        <v>265</v>
      </c>
      <c r="P4942">
        <v>20190305</v>
      </c>
      <c r="Q4942" t="s">
        <v>2036</v>
      </c>
      <c r="R4942" t="s">
        <v>4012</v>
      </c>
      <c r="S4942" t="s">
        <v>1615</v>
      </c>
      <c r="T4942" t="s">
        <v>1810</v>
      </c>
    </row>
    <row r="4943" spans="1:20" x14ac:dyDescent="0.25">
      <c r="A4943">
        <v>9</v>
      </c>
      <c r="B4943">
        <v>199</v>
      </c>
      <c r="C4943" t="str">
        <f>"12"</f>
        <v>12</v>
      </c>
      <c r="D4943">
        <v>6399</v>
      </c>
      <c r="E4943" t="str">
        <f>"7U"</f>
        <v>7U</v>
      </c>
      <c r="F4943" t="str">
        <f>"001"</f>
        <v>001</v>
      </c>
      <c r="G4943">
        <v>9</v>
      </c>
      <c r="H4943" t="str">
        <f>"11"</f>
        <v>11</v>
      </c>
      <c r="I4943" t="str">
        <f t="shared" si="1056"/>
        <v>0</v>
      </c>
      <c r="J4943" t="str">
        <f>"01"</f>
        <v>01</v>
      </c>
      <c r="K4943">
        <v>20190308</v>
      </c>
      <c r="L4943" t="str">
        <f>"075856"</f>
        <v>075856</v>
      </c>
      <c r="M4943" t="str">
        <f>"00314"</f>
        <v>00314</v>
      </c>
      <c r="N4943" t="s">
        <v>1858</v>
      </c>
      <c r="O4943">
        <v>161.94</v>
      </c>
      <c r="P4943">
        <v>20190305</v>
      </c>
      <c r="Q4943" t="s">
        <v>2172</v>
      </c>
      <c r="R4943" t="s">
        <v>4013</v>
      </c>
      <c r="S4943" t="s">
        <v>1615</v>
      </c>
      <c r="T4943" t="s">
        <v>301</v>
      </c>
    </row>
    <row r="4944" spans="1:20" x14ac:dyDescent="0.25">
      <c r="A4944">
        <v>9</v>
      </c>
      <c r="B4944">
        <v>199</v>
      </c>
      <c r="C4944" t="str">
        <f>"41"</f>
        <v>41</v>
      </c>
      <c r="D4944">
        <v>6299</v>
      </c>
      <c r="E4944" t="str">
        <f>"10"</f>
        <v>10</v>
      </c>
      <c r="F4944" t="str">
        <f>"730"</f>
        <v>730</v>
      </c>
      <c r="G4944">
        <v>9</v>
      </c>
      <c r="H4944" t="str">
        <f>"99"</f>
        <v>99</v>
      </c>
      <c r="I4944" t="str">
        <f t="shared" si="1056"/>
        <v>0</v>
      </c>
      <c r="J4944" t="str">
        <f>"95"</f>
        <v>95</v>
      </c>
      <c r="K4944">
        <v>20190308</v>
      </c>
      <c r="L4944" t="str">
        <f>"075858"</f>
        <v>075858</v>
      </c>
      <c r="M4944" t="str">
        <f>"01530"</f>
        <v>01530</v>
      </c>
      <c r="N4944" t="s">
        <v>1672</v>
      </c>
      <c r="O4944">
        <v>56</v>
      </c>
      <c r="P4944">
        <v>20190305</v>
      </c>
      <c r="Q4944" t="s">
        <v>2434</v>
      </c>
      <c r="R4944" t="s">
        <v>3324</v>
      </c>
      <c r="S4944" t="s">
        <v>1615</v>
      </c>
      <c r="T4944" t="s">
        <v>1794</v>
      </c>
    </row>
    <row r="4945" spans="1:20" x14ac:dyDescent="0.25">
      <c r="A4945">
        <v>9</v>
      </c>
      <c r="B4945">
        <v>199</v>
      </c>
      <c r="C4945" t="str">
        <f t="shared" ref="C4945:C4953" si="1057">"11"</f>
        <v>11</v>
      </c>
      <c r="D4945">
        <v>6249</v>
      </c>
      <c r="E4945" t="str">
        <f>"57"</f>
        <v>57</v>
      </c>
      <c r="F4945" t="str">
        <f>"101"</f>
        <v>101</v>
      </c>
      <c r="G4945">
        <v>9</v>
      </c>
      <c r="H4945" t="str">
        <f t="shared" ref="H4945:H4951" si="1058">"11"</f>
        <v>11</v>
      </c>
      <c r="I4945" t="str">
        <f t="shared" si="1056"/>
        <v>0</v>
      </c>
      <c r="J4945" t="str">
        <f>"80"</f>
        <v>80</v>
      </c>
      <c r="K4945">
        <v>20190308</v>
      </c>
      <c r="L4945" t="str">
        <f>"075861"</f>
        <v>075861</v>
      </c>
      <c r="M4945" t="str">
        <f>"04240"</f>
        <v>04240</v>
      </c>
      <c r="N4945" t="s">
        <v>2565</v>
      </c>
      <c r="O4945">
        <v>59.5</v>
      </c>
      <c r="P4945">
        <v>20190305</v>
      </c>
      <c r="Q4945" t="s">
        <v>1799</v>
      </c>
      <c r="R4945" t="s">
        <v>4014</v>
      </c>
      <c r="S4945" t="s">
        <v>1615</v>
      </c>
      <c r="T4945" t="s">
        <v>1479</v>
      </c>
    </row>
    <row r="4946" spans="1:20" x14ac:dyDescent="0.25">
      <c r="A4946">
        <v>9</v>
      </c>
      <c r="B4946">
        <v>199</v>
      </c>
      <c r="C4946" t="str">
        <f t="shared" si="1057"/>
        <v>11</v>
      </c>
      <c r="D4946">
        <v>6399</v>
      </c>
      <c r="E4946" t="str">
        <f>"8P"</f>
        <v>8P</v>
      </c>
      <c r="F4946" t="str">
        <f t="shared" ref="F4946:F4954" si="1059">"001"</f>
        <v>001</v>
      </c>
      <c r="G4946">
        <v>9</v>
      </c>
      <c r="H4946" t="str">
        <f t="shared" si="1058"/>
        <v>11</v>
      </c>
      <c r="I4946" t="str">
        <f t="shared" si="1056"/>
        <v>0</v>
      </c>
      <c r="J4946" t="str">
        <f t="shared" ref="J4946:J4951" si="1060">"01"</f>
        <v>01</v>
      </c>
      <c r="K4946">
        <v>20190308</v>
      </c>
      <c r="L4946" t="str">
        <f t="shared" ref="L4946:L4958" si="1061">"075862"</f>
        <v>075862</v>
      </c>
      <c r="M4946" t="str">
        <f t="shared" ref="M4946:M4958" si="1062">"04410"</f>
        <v>04410</v>
      </c>
      <c r="N4946" t="s">
        <v>410</v>
      </c>
      <c r="O4946">
        <v>105.83</v>
      </c>
      <c r="P4946">
        <v>20190305</v>
      </c>
      <c r="Q4946" t="s">
        <v>2319</v>
      </c>
      <c r="R4946" t="s">
        <v>4015</v>
      </c>
      <c r="S4946" t="s">
        <v>1615</v>
      </c>
      <c r="T4946" t="s">
        <v>301</v>
      </c>
    </row>
    <row r="4947" spans="1:20" x14ac:dyDescent="0.25">
      <c r="A4947">
        <v>9</v>
      </c>
      <c r="B4947">
        <v>199</v>
      </c>
      <c r="C4947" t="str">
        <f t="shared" si="1057"/>
        <v>11</v>
      </c>
      <c r="D4947">
        <v>6399</v>
      </c>
      <c r="E4947" t="str">
        <f>"N1"</f>
        <v>N1</v>
      </c>
      <c r="F4947" t="str">
        <f t="shared" si="1059"/>
        <v>001</v>
      </c>
      <c r="G4947">
        <v>9</v>
      </c>
      <c r="H4947" t="str">
        <f t="shared" si="1058"/>
        <v>11</v>
      </c>
      <c r="I4947" t="str">
        <f t="shared" si="1056"/>
        <v>0</v>
      </c>
      <c r="J4947" t="str">
        <f t="shared" si="1060"/>
        <v>01</v>
      </c>
      <c r="K4947">
        <v>20190308</v>
      </c>
      <c r="L4947" t="str">
        <f t="shared" si="1061"/>
        <v>075862</v>
      </c>
      <c r="M4947" t="str">
        <f t="shared" si="1062"/>
        <v>04410</v>
      </c>
      <c r="N4947" t="s">
        <v>410</v>
      </c>
      <c r="O4947">
        <v>45.93</v>
      </c>
      <c r="P4947">
        <v>20190305</v>
      </c>
      <c r="Q4947" t="s">
        <v>2637</v>
      </c>
      <c r="R4947" t="s">
        <v>4016</v>
      </c>
      <c r="S4947" t="s">
        <v>1615</v>
      </c>
      <c r="T4947" t="s">
        <v>301</v>
      </c>
    </row>
    <row r="4948" spans="1:20" x14ac:dyDescent="0.25">
      <c r="A4948">
        <v>9</v>
      </c>
      <c r="B4948">
        <v>199</v>
      </c>
      <c r="C4948" t="str">
        <f t="shared" si="1057"/>
        <v>11</v>
      </c>
      <c r="D4948">
        <v>6399</v>
      </c>
      <c r="E4948" t="str">
        <f>"N9"</f>
        <v>N9</v>
      </c>
      <c r="F4948" t="str">
        <f t="shared" si="1059"/>
        <v>001</v>
      </c>
      <c r="G4948">
        <v>9</v>
      </c>
      <c r="H4948" t="str">
        <f t="shared" si="1058"/>
        <v>11</v>
      </c>
      <c r="I4948" t="str">
        <f t="shared" si="1056"/>
        <v>0</v>
      </c>
      <c r="J4948" t="str">
        <f t="shared" si="1060"/>
        <v>01</v>
      </c>
      <c r="K4948">
        <v>20190308</v>
      </c>
      <c r="L4948" t="str">
        <f t="shared" si="1061"/>
        <v>075862</v>
      </c>
      <c r="M4948" t="str">
        <f t="shared" si="1062"/>
        <v>04410</v>
      </c>
      <c r="N4948" t="s">
        <v>410</v>
      </c>
      <c r="O4948">
        <v>60</v>
      </c>
      <c r="P4948">
        <v>20190305</v>
      </c>
      <c r="Q4948" t="s">
        <v>2160</v>
      </c>
      <c r="R4948" t="s">
        <v>4017</v>
      </c>
      <c r="S4948" t="s">
        <v>1615</v>
      </c>
      <c r="T4948" t="s">
        <v>301</v>
      </c>
    </row>
    <row r="4949" spans="1:20" x14ac:dyDescent="0.25">
      <c r="A4949">
        <v>9</v>
      </c>
      <c r="B4949">
        <v>199</v>
      </c>
      <c r="C4949" t="str">
        <f t="shared" si="1057"/>
        <v>11</v>
      </c>
      <c r="D4949">
        <v>6399</v>
      </c>
      <c r="E4949" t="str">
        <f>"NC"</f>
        <v>NC</v>
      </c>
      <c r="F4949" t="str">
        <f t="shared" si="1059"/>
        <v>001</v>
      </c>
      <c r="G4949">
        <v>9</v>
      </c>
      <c r="H4949" t="str">
        <f t="shared" si="1058"/>
        <v>11</v>
      </c>
      <c r="I4949" t="str">
        <f t="shared" si="1056"/>
        <v>0</v>
      </c>
      <c r="J4949" t="str">
        <f t="shared" si="1060"/>
        <v>01</v>
      </c>
      <c r="K4949">
        <v>20190308</v>
      </c>
      <c r="L4949" t="str">
        <f t="shared" si="1061"/>
        <v>075862</v>
      </c>
      <c r="M4949" t="str">
        <f t="shared" si="1062"/>
        <v>04410</v>
      </c>
      <c r="N4949" t="s">
        <v>410</v>
      </c>
      <c r="O4949">
        <v>35.06</v>
      </c>
      <c r="P4949">
        <v>20190305</v>
      </c>
      <c r="Q4949" t="s">
        <v>3562</v>
      </c>
      <c r="R4949" t="s">
        <v>4018</v>
      </c>
      <c r="S4949" t="s">
        <v>1615</v>
      </c>
      <c r="T4949" t="s">
        <v>301</v>
      </c>
    </row>
    <row r="4950" spans="1:20" x14ac:dyDescent="0.25">
      <c r="A4950">
        <v>9</v>
      </c>
      <c r="B4950">
        <v>199</v>
      </c>
      <c r="C4950" t="str">
        <f t="shared" si="1057"/>
        <v>11</v>
      </c>
      <c r="D4950">
        <v>6399</v>
      </c>
      <c r="E4950" t="str">
        <f>"R1"</f>
        <v>R1</v>
      </c>
      <c r="F4950" t="str">
        <f t="shared" si="1059"/>
        <v>001</v>
      </c>
      <c r="G4950">
        <v>9</v>
      </c>
      <c r="H4950" t="str">
        <f t="shared" si="1058"/>
        <v>11</v>
      </c>
      <c r="I4950" t="str">
        <f t="shared" si="1056"/>
        <v>0</v>
      </c>
      <c r="J4950" t="str">
        <f t="shared" si="1060"/>
        <v>01</v>
      </c>
      <c r="K4950">
        <v>20190308</v>
      </c>
      <c r="L4950" t="str">
        <f t="shared" si="1061"/>
        <v>075862</v>
      </c>
      <c r="M4950" t="str">
        <f t="shared" si="1062"/>
        <v>04410</v>
      </c>
      <c r="N4950" t="s">
        <v>410</v>
      </c>
      <c r="O4950">
        <v>336.55</v>
      </c>
      <c r="P4950">
        <v>20190305</v>
      </c>
      <c r="Q4950" t="s">
        <v>2441</v>
      </c>
      <c r="R4950" t="s">
        <v>4019</v>
      </c>
      <c r="S4950" t="s">
        <v>1615</v>
      </c>
      <c r="T4950" t="s">
        <v>301</v>
      </c>
    </row>
    <row r="4951" spans="1:20" x14ac:dyDescent="0.25">
      <c r="A4951">
        <v>9</v>
      </c>
      <c r="B4951">
        <v>199</v>
      </c>
      <c r="C4951" t="str">
        <f t="shared" si="1057"/>
        <v>11</v>
      </c>
      <c r="D4951">
        <v>6399</v>
      </c>
      <c r="E4951" t="str">
        <f>"R1"</f>
        <v>R1</v>
      </c>
      <c r="F4951" t="str">
        <f t="shared" si="1059"/>
        <v>001</v>
      </c>
      <c r="G4951">
        <v>9</v>
      </c>
      <c r="H4951" t="str">
        <f t="shared" si="1058"/>
        <v>11</v>
      </c>
      <c r="I4951" t="str">
        <f t="shared" si="1056"/>
        <v>0</v>
      </c>
      <c r="J4951" t="str">
        <f t="shared" si="1060"/>
        <v>01</v>
      </c>
      <c r="K4951">
        <v>20190308</v>
      </c>
      <c r="L4951" t="str">
        <f t="shared" si="1061"/>
        <v>075862</v>
      </c>
      <c r="M4951" t="str">
        <f t="shared" si="1062"/>
        <v>04410</v>
      </c>
      <c r="N4951" t="s">
        <v>410</v>
      </c>
      <c r="O4951">
        <v>494.36</v>
      </c>
      <c r="P4951">
        <v>20190305</v>
      </c>
      <c r="Q4951" t="s">
        <v>2441</v>
      </c>
      <c r="R4951" t="s">
        <v>4019</v>
      </c>
      <c r="S4951" t="s">
        <v>1615</v>
      </c>
      <c r="T4951" t="s">
        <v>301</v>
      </c>
    </row>
    <row r="4952" spans="1:20" x14ac:dyDescent="0.25">
      <c r="A4952">
        <v>9</v>
      </c>
      <c r="B4952">
        <v>199</v>
      </c>
      <c r="C4952" t="str">
        <f t="shared" si="1057"/>
        <v>11</v>
      </c>
      <c r="D4952">
        <v>6399</v>
      </c>
      <c r="E4952" t="str">
        <f>"VD"</f>
        <v>VD</v>
      </c>
      <c r="F4952" t="str">
        <f t="shared" si="1059"/>
        <v>001</v>
      </c>
      <c r="G4952">
        <v>9</v>
      </c>
      <c r="H4952" t="str">
        <f>"22"</f>
        <v>22</v>
      </c>
      <c r="I4952" t="str">
        <f t="shared" si="1056"/>
        <v>0</v>
      </c>
      <c r="J4952" t="str">
        <f>"22"</f>
        <v>22</v>
      </c>
      <c r="K4952">
        <v>20190308</v>
      </c>
      <c r="L4952" t="str">
        <f t="shared" si="1061"/>
        <v>075862</v>
      </c>
      <c r="M4952" t="str">
        <f t="shared" si="1062"/>
        <v>04410</v>
      </c>
      <c r="N4952" t="s">
        <v>410</v>
      </c>
      <c r="O4952">
        <v>115.49</v>
      </c>
      <c r="P4952">
        <v>20190305</v>
      </c>
      <c r="Q4952" t="s">
        <v>1862</v>
      </c>
      <c r="R4952" t="s">
        <v>4020</v>
      </c>
      <c r="S4952" t="s">
        <v>1615</v>
      </c>
      <c r="T4952" t="s">
        <v>301</v>
      </c>
    </row>
    <row r="4953" spans="1:20" x14ac:dyDescent="0.25">
      <c r="A4953">
        <v>9</v>
      </c>
      <c r="B4953">
        <v>199</v>
      </c>
      <c r="C4953" t="str">
        <f t="shared" si="1057"/>
        <v>11</v>
      </c>
      <c r="D4953">
        <v>6399</v>
      </c>
      <c r="E4953" t="str">
        <f>"VD"</f>
        <v>VD</v>
      </c>
      <c r="F4953" t="str">
        <f t="shared" si="1059"/>
        <v>001</v>
      </c>
      <c r="G4953">
        <v>9</v>
      </c>
      <c r="H4953" t="str">
        <f>"22"</f>
        <v>22</v>
      </c>
      <c r="I4953" t="str">
        <f t="shared" si="1056"/>
        <v>0</v>
      </c>
      <c r="J4953" t="str">
        <f>"22"</f>
        <v>22</v>
      </c>
      <c r="K4953">
        <v>20190308</v>
      </c>
      <c r="L4953" t="str">
        <f t="shared" si="1061"/>
        <v>075862</v>
      </c>
      <c r="M4953" t="str">
        <f t="shared" si="1062"/>
        <v>04410</v>
      </c>
      <c r="N4953" t="s">
        <v>410</v>
      </c>
      <c r="O4953">
        <v>189.95</v>
      </c>
      <c r="P4953">
        <v>20190305</v>
      </c>
      <c r="Q4953" t="s">
        <v>1862</v>
      </c>
      <c r="R4953" t="s">
        <v>4021</v>
      </c>
      <c r="S4953" t="s">
        <v>1615</v>
      </c>
      <c r="T4953" t="s">
        <v>301</v>
      </c>
    </row>
    <row r="4954" spans="1:20" x14ac:dyDescent="0.25">
      <c r="A4954">
        <v>9</v>
      </c>
      <c r="B4954">
        <v>199</v>
      </c>
      <c r="C4954" t="str">
        <f>"12"</f>
        <v>12</v>
      </c>
      <c r="D4954">
        <v>6399</v>
      </c>
      <c r="E4954" t="str">
        <f>"7U"</f>
        <v>7U</v>
      </c>
      <c r="F4954" t="str">
        <f t="shared" si="1059"/>
        <v>001</v>
      </c>
      <c r="G4954">
        <v>9</v>
      </c>
      <c r="H4954" t="str">
        <f>"11"</f>
        <v>11</v>
      </c>
      <c r="I4954" t="str">
        <f t="shared" si="1056"/>
        <v>0</v>
      </c>
      <c r="J4954" t="str">
        <f>"01"</f>
        <v>01</v>
      </c>
      <c r="K4954">
        <v>20190308</v>
      </c>
      <c r="L4954" t="str">
        <f t="shared" si="1061"/>
        <v>075862</v>
      </c>
      <c r="M4954" t="str">
        <f t="shared" si="1062"/>
        <v>04410</v>
      </c>
      <c r="N4954" t="s">
        <v>410</v>
      </c>
      <c r="O4954">
        <v>199.75</v>
      </c>
      <c r="P4954">
        <v>20190305</v>
      </c>
      <c r="Q4954" t="s">
        <v>2172</v>
      </c>
      <c r="R4954" t="s">
        <v>2486</v>
      </c>
      <c r="S4954" t="s">
        <v>1615</v>
      </c>
      <c r="T4954" t="s">
        <v>301</v>
      </c>
    </row>
    <row r="4955" spans="1:20" x14ac:dyDescent="0.25">
      <c r="A4955">
        <v>9</v>
      </c>
      <c r="B4955">
        <v>199</v>
      </c>
      <c r="C4955" t="str">
        <f>"33"</f>
        <v>33</v>
      </c>
      <c r="D4955">
        <v>6399</v>
      </c>
      <c r="E4955" t="str">
        <f>"8F"</f>
        <v>8F</v>
      </c>
      <c r="F4955" t="str">
        <f>"104"</f>
        <v>104</v>
      </c>
      <c r="G4955">
        <v>9</v>
      </c>
      <c r="H4955" t="str">
        <f>"99"</f>
        <v>99</v>
      </c>
      <c r="I4955" t="str">
        <f t="shared" si="1056"/>
        <v>0</v>
      </c>
      <c r="J4955" t="str">
        <f>"05"</f>
        <v>05</v>
      </c>
      <c r="K4955">
        <v>20190308</v>
      </c>
      <c r="L4955" t="str">
        <f t="shared" si="1061"/>
        <v>075862</v>
      </c>
      <c r="M4955" t="str">
        <f t="shared" si="1062"/>
        <v>04410</v>
      </c>
      <c r="N4955" t="s">
        <v>410</v>
      </c>
      <c r="O4955">
        <v>109.34</v>
      </c>
      <c r="P4955">
        <v>20190305</v>
      </c>
      <c r="Q4955" t="s">
        <v>3600</v>
      </c>
      <c r="R4955" t="s">
        <v>2323</v>
      </c>
      <c r="S4955" t="s">
        <v>1615</v>
      </c>
      <c r="T4955" t="s">
        <v>46</v>
      </c>
    </row>
    <row r="4956" spans="1:20" x14ac:dyDescent="0.25">
      <c r="A4956">
        <v>9</v>
      </c>
      <c r="B4956">
        <v>199</v>
      </c>
      <c r="C4956" t="str">
        <f>"36"</f>
        <v>36</v>
      </c>
      <c r="D4956">
        <v>6399</v>
      </c>
      <c r="E4956" t="str">
        <f>"09"</f>
        <v>09</v>
      </c>
      <c r="F4956" t="str">
        <f>"001"</f>
        <v>001</v>
      </c>
      <c r="G4956">
        <v>9</v>
      </c>
      <c r="H4956" t="str">
        <f>"99"</f>
        <v>99</v>
      </c>
      <c r="I4956" t="str">
        <f t="shared" si="1056"/>
        <v>0</v>
      </c>
      <c r="J4956" t="str">
        <f>"01"</f>
        <v>01</v>
      </c>
      <c r="K4956">
        <v>20190308</v>
      </c>
      <c r="L4956" t="str">
        <f t="shared" si="1061"/>
        <v>075862</v>
      </c>
      <c r="M4956" t="str">
        <f t="shared" si="1062"/>
        <v>04410</v>
      </c>
      <c r="N4956" t="s">
        <v>410</v>
      </c>
      <c r="O4956">
        <v>779.19</v>
      </c>
      <c r="P4956">
        <v>20190305</v>
      </c>
      <c r="Q4956" t="s">
        <v>2177</v>
      </c>
      <c r="R4956" t="s">
        <v>3724</v>
      </c>
      <c r="S4956" t="s">
        <v>1615</v>
      </c>
      <c r="T4956" t="s">
        <v>301</v>
      </c>
    </row>
    <row r="4957" spans="1:20" x14ac:dyDescent="0.25">
      <c r="A4957">
        <v>9</v>
      </c>
      <c r="B4957">
        <v>199</v>
      </c>
      <c r="C4957" t="str">
        <f>"36"</f>
        <v>36</v>
      </c>
      <c r="D4957">
        <v>6399</v>
      </c>
      <c r="E4957" t="str">
        <f>"09"</f>
        <v>09</v>
      </c>
      <c r="F4957" t="str">
        <f>"001"</f>
        <v>001</v>
      </c>
      <c r="G4957">
        <v>9</v>
      </c>
      <c r="H4957" t="str">
        <f>"99"</f>
        <v>99</v>
      </c>
      <c r="I4957" t="str">
        <f t="shared" si="1056"/>
        <v>0</v>
      </c>
      <c r="J4957" t="str">
        <f>"01"</f>
        <v>01</v>
      </c>
      <c r="K4957">
        <v>20190308</v>
      </c>
      <c r="L4957" t="str">
        <f t="shared" si="1061"/>
        <v>075862</v>
      </c>
      <c r="M4957" t="str">
        <f t="shared" si="1062"/>
        <v>04410</v>
      </c>
      <c r="N4957" t="s">
        <v>410</v>
      </c>
      <c r="O4957">
        <v>56.25</v>
      </c>
      <c r="P4957">
        <v>20190305</v>
      </c>
      <c r="Q4957" t="s">
        <v>2177</v>
      </c>
      <c r="R4957" t="s">
        <v>4022</v>
      </c>
      <c r="S4957" t="s">
        <v>1615</v>
      </c>
      <c r="T4957" t="s">
        <v>301</v>
      </c>
    </row>
    <row r="4958" spans="1:20" x14ac:dyDescent="0.25">
      <c r="A4958">
        <v>9</v>
      </c>
      <c r="B4958">
        <v>199</v>
      </c>
      <c r="C4958" t="str">
        <f>"41"</f>
        <v>41</v>
      </c>
      <c r="D4958">
        <v>6398</v>
      </c>
      <c r="E4958" t="str">
        <f>"10"</f>
        <v>10</v>
      </c>
      <c r="F4958" t="str">
        <f>"934"</f>
        <v>934</v>
      </c>
      <c r="G4958">
        <v>9</v>
      </c>
      <c r="H4958" t="str">
        <f>"99"</f>
        <v>99</v>
      </c>
      <c r="I4958" t="str">
        <f t="shared" si="1056"/>
        <v>0</v>
      </c>
      <c r="J4958" t="str">
        <f>"91"</f>
        <v>91</v>
      </c>
      <c r="K4958">
        <v>20190308</v>
      </c>
      <c r="L4958" t="str">
        <f t="shared" si="1061"/>
        <v>075862</v>
      </c>
      <c r="M4958" t="str">
        <f t="shared" si="1062"/>
        <v>04410</v>
      </c>
      <c r="N4958" t="s">
        <v>410</v>
      </c>
      <c r="O4958">
        <v>49.9</v>
      </c>
      <c r="P4958">
        <v>20190305</v>
      </c>
      <c r="Q4958" t="s">
        <v>4023</v>
      </c>
      <c r="R4958" t="s">
        <v>4024</v>
      </c>
      <c r="S4958" t="s">
        <v>1615</v>
      </c>
      <c r="T4958" t="s">
        <v>1778</v>
      </c>
    </row>
    <row r="4959" spans="1:20" x14ac:dyDescent="0.25">
      <c r="A4959">
        <v>9</v>
      </c>
      <c r="B4959">
        <v>199</v>
      </c>
      <c r="C4959" t="str">
        <f>"36"</f>
        <v>36</v>
      </c>
      <c r="D4959">
        <v>6499</v>
      </c>
      <c r="E4959" t="str">
        <f>"H2"</f>
        <v>H2</v>
      </c>
      <c r="F4959" t="str">
        <f>"001"</f>
        <v>001</v>
      </c>
      <c r="G4959">
        <v>9</v>
      </c>
      <c r="H4959" t="str">
        <f>"99"</f>
        <v>99</v>
      </c>
      <c r="I4959" t="str">
        <f t="shared" si="1056"/>
        <v>0</v>
      </c>
      <c r="J4959" t="str">
        <f>"37"</f>
        <v>37</v>
      </c>
      <c r="K4959">
        <v>20190308</v>
      </c>
      <c r="L4959" t="str">
        <f>"075863"</f>
        <v>075863</v>
      </c>
      <c r="M4959" t="str">
        <f>"05530"</f>
        <v>05530</v>
      </c>
      <c r="N4959" t="s">
        <v>947</v>
      </c>
      <c r="O4959">
        <v>307.5</v>
      </c>
      <c r="P4959">
        <v>20190305</v>
      </c>
      <c r="Q4959" t="s">
        <v>2903</v>
      </c>
      <c r="R4959" t="s">
        <v>4025</v>
      </c>
      <c r="S4959" t="s">
        <v>1615</v>
      </c>
      <c r="T4959" t="s">
        <v>301</v>
      </c>
    </row>
    <row r="4960" spans="1:20" x14ac:dyDescent="0.25">
      <c r="A4960">
        <v>9</v>
      </c>
      <c r="B4960">
        <v>199</v>
      </c>
      <c r="C4960" t="str">
        <f>"11"</f>
        <v>11</v>
      </c>
      <c r="D4960">
        <v>6495</v>
      </c>
      <c r="E4960" t="str">
        <f>"V8"</f>
        <v>V8</v>
      </c>
      <c r="F4960" t="str">
        <f>"001"</f>
        <v>001</v>
      </c>
      <c r="G4960">
        <v>9</v>
      </c>
      <c r="H4960" t="str">
        <f>"22"</f>
        <v>22</v>
      </c>
      <c r="I4960" t="str">
        <f t="shared" si="1056"/>
        <v>0</v>
      </c>
      <c r="J4960" t="str">
        <f>"22"</f>
        <v>22</v>
      </c>
      <c r="K4960">
        <v>20190308</v>
      </c>
      <c r="L4960" t="str">
        <f>"075865"</f>
        <v>075865</v>
      </c>
      <c r="M4960" t="str">
        <f>"06776"</f>
        <v>06776</v>
      </c>
      <c r="N4960" t="s">
        <v>2358</v>
      </c>
      <c r="O4960">
        <v>16.5</v>
      </c>
      <c r="P4960">
        <v>20190305</v>
      </c>
      <c r="Q4960" t="s">
        <v>2338</v>
      </c>
      <c r="R4960" t="s">
        <v>4026</v>
      </c>
      <c r="S4960" t="s">
        <v>1615</v>
      </c>
      <c r="T4960" t="s">
        <v>301</v>
      </c>
    </row>
    <row r="4961" spans="1:20" x14ac:dyDescent="0.25">
      <c r="A4961">
        <v>9</v>
      </c>
      <c r="B4961">
        <v>199</v>
      </c>
      <c r="C4961" t="str">
        <f>"51"</f>
        <v>51</v>
      </c>
      <c r="D4961">
        <v>6256</v>
      </c>
      <c r="E4961" t="str">
        <f>"10"</f>
        <v>10</v>
      </c>
      <c r="F4961" t="str">
        <f>"880"</f>
        <v>880</v>
      </c>
      <c r="G4961">
        <v>9</v>
      </c>
      <c r="H4961" t="str">
        <f>"99"</f>
        <v>99</v>
      </c>
      <c r="I4961" t="str">
        <f t="shared" ref="I4961:I4982" si="1063">"0"</f>
        <v>0</v>
      </c>
      <c r="J4961" t="str">
        <f>"80"</f>
        <v>80</v>
      </c>
      <c r="K4961">
        <v>20190308</v>
      </c>
      <c r="L4961" t="str">
        <f>"075866"</f>
        <v>075866</v>
      </c>
      <c r="M4961" t="str">
        <f>"00390"</f>
        <v>00390</v>
      </c>
      <c r="N4961" t="s">
        <v>1869</v>
      </c>
      <c r="O4961">
        <v>86.74</v>
      </c>
      <c r="P4961">
        <v>20190305</v>
      </c>
      <c r="Q4961" t="s">
        <v>1870</v>
      </c>
      <c r="R4961" t="s">
        <v>4027</v>
      </c>
      <c r="S4961" t="s">
        <v>1615</v>
      </c>
      <c r="T4961" t="s">
        <v>1866</v>
      </c>
    </row>
    <row r="4962" spans="1:20" x14ac:dyDescent="0.25">
      <c r="A4962">
        <v>9</v>
      </c>
      <c r="B4962">
        <v>199</v>
      </c>
      <c r="C4962" t="str">
        <f>"51"</f>
        <v>51</v>
      </c>
      <c r="D4962">
        <v>6256</v>
      </c>
      <c r="E4962" t="str">
        <f>"10"</f>
        <v>10</v>
      </c>
      <c r="F4962" t="str">
        <f>"880"</f>
        <v>880</v>
      </c>
      <c r="G4962">
        <v>9</v>
      </c>
      <c r="H4962" t="str">
        <f>"99"</f>
        <v>99</v>
      </c>
      <c r="I4962" t="str">
        <f t="shared" si="1063"/>
        <v>0</v>
      </c>
      <c r="J4962" t="str">
        <f>"80"</f>
        <v>80</v>
      </c>
      <c r="K4962">
        <v>20190308</v>
      </c>
      <c r="L4962" t="str">
        <f>"075866"</f>
        <v>075866</v>
      </c>
      <c r="M4962" t="str">
        <f>"00390"</f>
        <v>00390</v>
      </c>
      <c r="N4962" t="s">
        <v>1869</v>
      </c>
      <c r="O4962" s="1">
        <v>4357.63</v>
      </c>
      <c r="P4962">
        <v>20190305</v>
      </c>
      <c r="Q4962" t="s">
        <v>1870</v>
      </c>
      <c r="R4962" t="s">
        <v>4027</v>
      </c>
      <c r="S4962" t="s">
        <v>1615</v>
      </c>
      <c r="T4962" t="s">
        <v>1866</v>
      </c>
    </row>
    <row r="4963" spans="1:20" x14ac:dyDescent="0.25">
      <c r="A4963">
        <v>9</v>
      </c>
      <c r="B4963">
        <v>199</v>
      </c>
      <c r="C4963" t="str">
        <f>"51"</f>
        <v>51</v>
      </c>
      <c r="D4963">
        <v>6256</v>
      </c>
      <c r="E4963" t="str">
        <f>"11"</f>
        <v>11</v>
      </c>
      <c r="F4963" t="str">
        <f>"880"</f>
        <v>880</v>
      </c>
      <c r="G4963">
        <v>9</v>
      </c>
      <c r="H4963" t="str">
        <f>"99"</f>
        <v>99</v>
      </c>
      <c r="I4963" t="str">
        <f t="shared" si="1063"/>
        <v>0</v>
      </c>
      <c r="J4963" t="str">
        <f>"80"</f>
        <v>80</v>
      </c>
      <c r="K4963">
        <v>20190308</v>
      </c>
      <c r="L4963" t="str">
        <f>"075867"</f>
        <v>075867</v>
      </c>
      <c r="M4963" t="str">
        <f>"00392"</f>
        <v>00392</v>
      </c>
      <c r="N4963" t="s">
        <v>1869</v>
      </c>
      <c r="O4963">
        <v>46.82</v>
      </c>
      <c r="P4963">
        <v>20190305</v>
      </c>
      <c r="Q4963" t="s">
        <v>1871</v>
      </c>
      <c r="R4963" t="s">
        <v>4027</v>
      </c>
      <c r="S4963" t="s">
        <v>1615</v>
      </c>
      <c r="T4963" t="s">
        <v>1866</v>
      </c>
    </row>
    <row r="4964" spans="1:20" x14ac:dyDescent="0.25">
      <c r="A4964">
        <v>9</v>
      </c>
      <c r="B4964">
        <v>199</v>
      </c>
      <c r="C4964" t="str">
        <f>"51"</f>
        <v>51</v>
      </c>
      <c r="D4964">
        <v>6319</v>
      </c>
      <c r="E4964" t="str">
        <f>"M2"</f>
        <v>M2</v>
      </c>
      <c r="F4964" t="str">
        <f>"936"</f>
        <v>936</v>
      </c>
      <c r="G4964">
        <v>9</v>
      </c>
      <c r="H4964" t="str">
        <f>"99"</f>
        <v>99</v>
      </c>
      <c r="I4964" t="str">
        <f t="shared" si="1063"/>
        <v>0</v>
      </c>
      <c r="J4964" t="str">
        <f>"81"</f>
        <v>81</v>
      </c>
      <c r="K4964">
        <v>20190308</v>
      </c>
      <c r="L4964" t="str">
        <f>"075868"</f>
        <v>075868</v>
      </c>
      <c r="M4964" t="str">
        <f>"08132"</f>
        <v>08132</v>
      </c>
      <c r="N4964" t="s">
        <v>2449</v>
      </c>
      <c r="O4964">
        <v>213.4</v>
      </c>
      <c r="P4964">
        <v>20190305</v>
      </c>
      <c r="Q4964" t="s">
        <v>2074</v>
      </c>
      <c r="R4964" t="s">
        <v>4028</v>
      </c>
      <c r="S4964" t="s">
        <v>1615</v>
      </c>
      <c r="T4964" t="s">
        <v>1713</v>
      </c>
    </row>
    <row r="4965" spans="1:20" x14ac:dyDescent="0.25">
      <c r="A4965">
        <v>9</v>
      </c>
      <c r="B4965">
        <v>199</v>
      </c>
      <c r="C4965" t="str">
        <f>"11"</f>
        <v>11</v>
      </c>
      <c r="D4965">
        <v>6249</v>
      </c>
      <c r="E4965" t="str">
        <f>"V8"</f>
        <v>V8</v>
      </c>
      <c r="F4965" t="str">
        <f t="shared" ref="F4965:F4970" si="1064">"001"</f>
        <v>001</v>
      </c>
      <c r="G4965">
        <v>9</v>
      </c>
      <c r="H4965" t="str">
        <f>"22"</f>
        <v>22</v>
      </c>
      <c r="I4965" t="str">
        <f t="shared" si="1063"/>
        <v>0</v>
      </c>
      <c r="J4965" t="str">
        <f>"22"</f>
        <v>22</v>
      </c>
      <c r="K4965">
        <v>20190308</v>
      </c>
      <c r="L4965" t="str">
        <f t="shared" ref="L4965:L4980" si="1065">"075869"</f>
        <v>075869</v>
      </c>
      <c r="M4965" t="str">
        <f t="shared" ref="M4965:M4980" si="1066">"09170"</f>
        <v>09170</v>
      </c>
      <c r="N4965" t="s">
        <v>679</v>
      </c>
      <c r="O4965">
        <v>12.95</v>
      </c>
      <c r="P4965">
        <v>20190305</v>
      </c>
      <c r="Q4965" t="s">
        <v>4029</v>
      </c>
      <c r="R4965" t="s">
        <v>4030</v>
      </c>
      <c r="S4965" t="s">
        <v>1615</v>
      </c>
      <c r="T4965" t="s">
        <v>301</v>
      </c>
    </row>
    <row r="4966" spans="1:20" x14ac:dyDescent="0.25">
      <c r="A4966">
        <v>9</v>
      </c>
      <c r="B4966">
        <v>199</v>
      </c>
      <c r="C4966" t="str">
        <f>"11"</f>
        <v>11</v>
      </c>
      <c r="D4966">
        <v>6299</v>
      </c>
      <c r="E4966" t="str">
        <f>"NL"</f>
        <v>NL</v>
      </c>
      <c r="F4966" t="str">
        <f t="shared" si="1064"/>
        <v>001</v>
      </c>
      <c r="G4966">
        <v>9</v>
      </c>
      <c r="H4966" t="str">
        <f>"22"</f>
        <v>22</v>
      </c>
      <c r="I4966" t="str">
        <f t="shared" si="1063"/>
        <v>0</v>
      </c>
      <c r="J4966" t="str">
        <f>"22"</f>
        <v>22</v>
      </c>
      <c r="K4966">
        <v>20190308</v>
      </c>
      <c r="L4966" t="str">
        <f t="shared" si="1065"/>
        <v>075869</v>
      </c>
      <c r="M4966" t="str">
        <f t="shared" si="1066"/>
        <v>09170</v>
      </c>
      <c r="N4966" t="s">
        <v>679</v>
      </c>
      <c r="O4966">
        <v>78.099999999999994</v>
      </c>
      <c r="P4966">
        <v>20190305</v>
      </c>
      <c r="Q4966" t="s">
        <v>2290</v>
      </c>
      <c r="R4966" t="s">
        <v>4031</v>
      </c>
      <c r="S4966" t="s">
        <v>1615</v>
      </c>
      <c r="T4966" t="s">
        <v>301</v>
      </c>
    </row>
    <row r="4967" spans="1:20" x14ac:dyDescent="0.25">
      <c r="A4967">
        <v>9</v>
      </c>
      <c r="B4967">
        <v>199</v>
      </c>
      <c r="C4967" t="str">
        <f>"11"</f>
        <v>11</v>
      </c>
      <c r="D4967">
        <v>6399</v>
      </c>
      <c r="E4967" t="str">
        <f>"AP"</f>
        <v>AP</v>
      </c>
      <c r="F4967" t="str">
        <f t="shared" si="1064"/>
        <v>001</v>
      </c>
      <c r="G4967">
        <v>9</v>
      </c>
      <c r="H4967" t="str">
        <f>"31"</f>
        <v>31</v>
      </c>
      <c r="I4967" t="str">
        <f t="shared" si="1063"/>
        <v>0</v>
      </c>
      <c r="J4967" t="str">
        <f>"34"</f>
        <v>34</v>
      </c>
      <c r="K4967">
        <v>20190308</v>
      </c>
      <c r="L4967" t="str">
        <f t="shared" si="1065"/>
        <v>075869</v>
      </c>
      <c r="M4967" t="str">
        <f t="shared" si="1066"/>
        <v>09170</v>
      </c>
      <c r="N4967" t="s">
        <v>679</v>
      </c>
      <c r="O4967">
        <v>189</v>
      </c>
      <c r="P4967">
        <v>20190305</v>
      </c>
      <c r="Q4967" t="s">
        <v>1677</v>
      </c>
      <c r="R4967" t="s">
        <v>4032</v>
      </c>
      <c r="S4967" t="s">
        <v>1615</v>
      </c>
      <c r="T4967" t="s">
        <v>301</v>
      </c>
    </row>
    <row r="4968" spans="1:20" x14ac:dyDescent="0.25">
      <c r="A4968">
        <v>9</v>
      </c>
      <c r="B4968">
        <v>199</v>
      </c>
      <c r="C4968" t="str">
        <f>"11"</f>
        <v>11</v>
      </c>
      <c r="D4968">
        <v>6399</v>
      </c>
      <c r="E4968" t="str">
        <f>"VR"</f>
        <v>VR</v>
      </c>
      <c r="F4968" t="str">
        <f t="shared" si="1064"/>
        <v>001</v>
      </c>
      <c r="G4968">
        <v>9</v>
      </c>
      <c r="H4968" t="str">
        <f>"22"</f>
        <v>22</v>
      </c>
      <c r="I4968" t="str">
        <f t="shared" si="1063"/>
        <v>0</v>
      </c>
      <c r="J4968" t="str">
        <f>"22"</f>
        <v>22</v>
      </c>
      <c r="K4968">
        <v>20190308</v>
      </c>
      <c r="L4968" t="str">
        <f t="shared" si="1065"/>
        <v>075869</v>
      </c>
      <c r="M4968" t="str">
        <f t="shared" si="1066"/>
        <v>09170</v>
      </c>
      <c r="N4968" t="s">
        <v>679</v>
      </c>
      <c r="O4968">
        <v>70.95</v>
      </c>
      <c r="P4968">
        <v>20190305</v>
      </c>
      <c r="Q4968" t="s">
        <v>1863</v>
      </c>
      <c r="R4968" t="s">
        <v>4033</v>
      </c>
      <c r="S4968" t="s">
        <v>1615</v>
      </c>
      <c r="T4968" t="s">
        <v>301</v>
      </c>
    </row>
    <row r="4969" spans="1:20" x14ac:dyDescent="0.25">
      <c r="A4969">
        <v>9</v>
      </c>
      <c r="B4969">
        <v>199</v>
      </c>
      <c r="C4969" t="str">
        <f>"11"</f>
        <v>11</v>
      </c>
      <c r="D4969">
        <v>6412</v>
      </c>
      <c r="E4969" t="str">
        <f>"VL"</f>
        <v>VL</v>
      </c>
      <c r="F4969" t="str">
        <f t="shared" si="1064"/>
        <v>001</v>
      </c>
      <c r="G4969">
        <v>9</v>
      </c>
      <c r="H4969" t="str">
        <f>"22"</f>
        <v>22</v>
      </c>
      <c r="I4969" t="str">
        <f t="shared" si="1063"/>
        <v>0</v>
      </c>
      <c r="J4969" t="str">
        <f>"22"</f>
        <v>22</v>
      </c>
      <c r="K4969">
        <v>20190308</v>
      </c>
      <c r="L4969" t="str">
        <f t="shared" si="1065"/>
        <v>075869</v>
      </c>
      <c r="M4969" t="str">
        <f t="shared" si="1066"/>
        <v>09170</v>
      </c>
      <c r="N4969" t="s">
        <v>679</v>
      </c>
      <c r="O4969" s="1">
        <v>1956.5</v>
      </c>
      <c r="P4969">
        <v>20190305</v>
      </c>
      <c r="Q4969" t="s">
        <v>1878</v>
      </c>
      <c r="R4969" t="s">
        <v>3671</v>
      </c>
      <c r="S4969" t="s">
        <v>1615</v>
      </c>
      <c r="T4969" t="s">
        <v>301</v>
      </c>
    </row>
    <row r="4970" spans="1:20" x14ac:dyDescent="0.25">
      <c r="A4970">
        <v>9</v>
      </c>
      <c r="B4970">
        <v>199</v>
      </c>
      <c r="C4970" t="str">
        <f>"12"</f>
        <v>12</v>
      </c>
      <c r="D4970">
        <v>6411</v>
      </c>
      <c r="E4970" t="str">
        <f>"00"</f>
        <v>00</v>
      </c>
      <c r="F4970" t="str">
        <f t="shared" si="1064"/>
        <v>001</v>
      </c>
      <c r="G4970">
        <v>9</v>
      </c>
      <c r="H4970" t="str">
        <f>"11"</f>
        <v>11</v>
      </c>
      <c r="I4970" t="str">
        <f t="shared" si="1063"/>
        <v>0</v>
      </c>
      <c r="J4970" t="str">
        <f>"94"</f>
        <v>94</v>
      </c>
      <c r="K4970">
        <v>20190308</v>
      </c>
      <c r="L4970" t="str">
        <f t="shared" si="1065"/>
        <v>075869</v>
      </c>
      <c r="M4970" t="str">
        <f t="shared" si="1066"/>
        <v>09170</v>
      </c>
      <c r="N4970" t="s">
        <v>679</v>
      </c>
      <c r="O4970">
        <v>330</v>
      </c>
      <c r="P4970">
        <v>20190305</v>
      </c>
      <c r="Q4970" t="s">
        <v>3129</v>
      </c>
      <c r="R4970" t="s">
        <v>4034</v>
      </c>
      <c r="S4970" t="s">
        <v>1615</v>
      </c>
      <c r="T4970" t="s">
        <v>301</v>
      </c>
    </row>
    <row r="4971" spans="1:20" x14ac:dyDescent="0.25">
      <c r="A4971">
        <v>9</v>
      </c>
      <c r="B4971">
        <v>199</v>
      </c>
      <c r="C4971" t="str">
        <f>"12"</f>
        <v>12</v>
      </c>
      <c r="D4971">
        <v>6411</v>
      </c>
      <c r="E4971" t="str">
        <f>"00"</f>
        <v>00</v>
      </c>
      <c r="F4971" t="str">
        <f>"041"</f>
        <v>041</v>
      </c>
      <c r="G4971">
        <v>9</v>
      </c>
      <c r="H4971" t="str">
        <f>"11"</f>
        <v>11</v>
      </c>
      <c r="I4971" t="str">
        <f t="shared" si="1063"/>
        <v>0</v>
      </c>
      <c r="J4971" t="str">
        <f>"94"</f>
        <v>94</v>
      </c>
      <c r="K4971">
        <v>20190308</v>
      </c>
      <c r="L4971" t="str">
        <f t="shared" si="1065"/>
        <v>075869</v>
      </c>
      <c r="M4971" t="str">
        <f t="shared" si="1066"/>
        <v>09170</v>
      </c>
      <c r="N4971" t="s">
        <v>679</v>
      </c>
      <c r="O4971">
        <v>360</v>
      </c>
      <c r="P4971">
        <v>20190305</v>
      </c>
      <c r="Q4971" t="s">
        <v>4035</v>
      </c>
      <c r="R4971" t="s">
        <v>4034</v>
      </c>
      <c r="S4971" t="s">
        <v>1615</v>
      </c>
      <c r="T4971" t="s">
        <v>106</v>
      </c>
    </row>
    <row r="4972" spans="1:20" x14ac:dyDescent="0.25">
      <c r="A4972">
        <v>9</v>
      </c>
      <c r="B4972">
        <v>199</v>
      </c>
      <c r="C4972" t="str">
        <f>"12"</f>
        <v>12</v>
      </c>
      <c r="D4972">
        <v>6411</v>
      </c>
      <c r="E4972" t="str">
        <f>"00"</f>
        <v>00</v>
      </c>
      <c r="F4972" t="str">
        <f>"101"</f>
        <v>101</v>
      </c>
      <c r="G4972">
        <v>9</v>
      </c>
      <c r="H4972" t="str">
        <f>"11"</f>
        <v>11</v>
      </c>
      <c r="I4972" t="str">
        <f t="shared" si="1063"/>
        <v>0</v>
      </c>
      <c r="J4972" t="str">
        <f>"94"</f>
        <v>94</v>
      </c>
      <c r="K4972">
        <v>20190308</v>
      </c>
      <c r="L4972" t="str">
        <f t="shared" si="1065"/>
        <v>075869</v>
      </c>
      <c r="M4972" t="str">
        <f t="shared" si="1066"/>
        <v>09170</v>
      </c>
      <c r="N4972" t="s">
        <v>679</v>
      </c>
      <c r="O4972">
        <v>340</v>
      </c>
      <c r="P4972">
        <v>20190305</v>
      </c>
      <c r="Q4972" t="s">
        <v>4036</v>
      </c>
      <c r="R4972" t="s">
        <v>4034</v>
      </c>
      <c r="S4972" t="s">
        <v>1615</v>
      </c>
      <c r="T4972" t="s">
        <v>1479</v>
      </c>
    </row>
    <row r="4973" spans="1:20" x14ac:dyDescent="0.25">
      <c r="A4973">
        <v>9</v>
      </c>
      <c r="B4973">
        <v>199</v>
      </c>
      <c r="C4973" t="str">
        <f>"12"</f>
        <v>12</v>
      </c>
      <c r="D4973">
        <v>6411</v>
      </c>
      <c r="E4973" t="str">
        <f>"00"</f>
        <v>00</v>
      </c>
      <c r="F4973" t="str">
        <f>"104"</f>
        <v>104</v>
      </c>
      <c r="G4973">
        <v>9</v>
      </c>
      <c r="H4973" t="str">
        <f>"11"</f>
        <v>11</v>
      </c>
      <c r="I4973" t="str">
        <f t="shared" si="1063"/>
        <v>0</v>
      </c>
      <c r="J4973" t="str">
        <f>"94"</f>
        <v>94</v>
      </c>
      <c r="K4973">
        <v>20190308</v>
      </c>
      <c r="L4973" t="str">
        <f t="shared" si="1065"/>
        <v>075869</v>
      </c>
      <c r="M4973" t="str">
        <f t="shared" si="1066"/>
        <v>09170</v>
      </c>
      <c r="N4973" t="s">
        <v>679</v>
      </c>
      <c r="O4973">
        <v>340</v>
      </c>
      <c r="P4973">
        <v>20190305</v>
      </c>
      <c r="Q4973" t="s">
        <v>4037</v>
      </c>
      <c r="R4973" t="s">
        <v>4034</v>
      </c>
      <c r="S4973" t="s">
        <v>1615</v>
      </c>
      <c r="T4973" t="s">
        <v>46</v>
      </c>
    </row>
    <row r="4974" spans="1:20" x14ac:dyDescent="0.25">
      <c r="A4974">
        <v>9</v>
      </c>
      <c r="B4974">
        <v>199</v>
      </c>
      <c r="C4974" t="str">
        <f>"13"</f>
        <v>13</v>
      </c>
      <c r="D4974">
        <v>6411</v>
      </c>
      <c r="E4974" t="str">
        <f>"8C"</f>
        <v>8C</v>
      </c>
      <c r="F4974" t="str">
        <f>"104"</f>
        <v>104</v>
      </c>
      <c r="G4974">
        <v>9</v>
      </c>
      <c r="H4974" t="str">
        <f>"11"</f>
        <v>11</v>
      </c>
      <c r="I4974" t="str">
        <f t="shared" si="1063"/>
        <v>0</v>
      </c>
      <c r="J4974" t="str">
        <f>"05"</f>
        <v>05</v>
      </c>
      <c r="K4974">
        <v>20190308</v>
      </c>
      <c r="L4974" t="str">
        <f t="shared" si="1065"/>
        <v>075869</v>
      </c>
      <c r="M4974" t="str">
        <f t="shared" si="1066"/>
        <v>09170</v>
      </c>
      <c r="N4974" t="s">
        <v>679</v>
      </c>
      <c r="O4974">
        <v>110</v>
      </c>
      <c r="P4974">
        <v>20190305</v>
      </c>
      <c r="Q4974" t="s">
        <v>3649</v>
      </c>
      <c r="R4974" t="s">
        <v>4038</v>
      </c>
      <c r="S4974" t="s">
        <v>1615</v>
      </c>
      <c r="T4974" t="s">
        <v>46</v>
      </c>
    </row>
    <row r="4975" spans="1:20" x14ac:dyDescent="0.25">
      <c r="A4975">
        <v>9</v>
      </c>
      <c r="B4975">
        <v>199</v>
      </c>
      <c r="C4975" t="str">
        <f>"36"</f>
        <v>36</v>
      </c>
      <c r="D4975">
        <v>6411</v>
      </c>
      <c r="E4975" t="str">
        <f>"VL"</f>
        <v>VL</v>
      </c>
      <c r="F4975" t="str">
        <f>"001"</f>
        <v>001</v>
      </c>
      <c r="G4975">
        <v>9</v>
      </c>
      <c r="H4975" t="str">
        <f>"22"</f>
        <v>22</v>
      </c>
      <c r="I4975" t="str">
        <f t="shared" si="1063"/>
        <v>0</v>
      </c>
      <c r="J4975" t="str">
        <f>"22"</f>
        <v>22</v>
      </c>
      <c r="K4975">
        <v>20190308</v>
      </c>
      <c r="L4975" t="str">
        <f t="shared" si="1065"/>
        <v>075869</v>
      </c>
      <c r="M4975" t="str">
        <f t="shared" si="1066"/>
        <v>09170</v>
      </c>
      <c r="N4975" t="s">
        <v>679</v>
      </c>
      <c r="O4975">
        <v>279.5</v>
      </c>
      <c r="P4975">
        <v>20190305</v>
      </c>
      <c r="Q4975" t="s">
        <v>1879</v>
      </c>
      <c r="R4975" t="s">
        <v>3671</v>
      </c>
      <c r="S4975" t="s">
        <v>1615</v>
      </c>
      <c r="T4975" t="s">
        <v>301</v>
      </c>
    </row>
    <row r="4976" spans="1:20" x14ac:dyDescent="0.25">
      <c r="A4976">
        <v>9</v>
      </c>
      <c r="B4976">
        <v>199</v>
      </c>
      <c r="C4976" t="str">
        <f>"41"</f>
        <v>41</v>
      </c>
      <c r="D4976">
        <v>6299</v>
      </c>
      <c r="E4976" t="str">
        <f>"10"</f>
        <v>10</v>
      </c>
      <c r="F4976" t="str">
        <f>"730"</f>
        <v>730</v>
      </c>
      <c r="G4976">
        <v>9</v>
      </c>
      <c r="H4976" t="str">
        <f>"99"</f>
        <v>99</v>
      </c>
      <c r="I4976" t="str">
        <f t="shared" si="1063"/>
        <v>0</v>
      </c>
      <c r="J4976" t="str">
        <f>"95"</f>
        <v>95</v>
      </c>
      <c r="K4976">
        <v>20190308</v>
      </c>
      <c r="L4976" t="str">
        <f t="shared" si="1065"/>
        <v>075869</v>
      </c>
      <c r="M4976" t="str">
        <f t="shared" si="1066"/>
        <v>09170</v>
      </c>
      <c r="N4976" t="s">
        <v>679</v>
      </c>
      <c r="O4976">
        <v>197</v>
      </c>
      <c r="P4976">
        <v>20190305</v>
      </c>
      <c r="Q4976" t="s">
        <v>2434</v>
      </c>
      <c r="R4976" t="s">
        <v>4039</v>
      </c>
      <c r="S4976" t="s">
        <v>1615</v>
      </c>
      <c r="T4976" t="s">
        <v>1794</v>
      </c>
    </row>
    <row r="4977" spans="1:20" x14ac:dyDescent="0.25">
      <c r="A4977">
        <v>9</v>
      </c>
      <c r="B4977">
        <v>199</v>
      </c>
      <c r="C4977" t="str">
        <f>"41"</f>
        <v>41</v>
      </c>
      <c r="D4977">
        <v>6498</v>
      </c>
      <c r="E4977" t="str">
        <f>"10"</f>
        <v>10</v>
      </c>
      <c r="F4977" t="str">
        <f>"701"</f>
        <v>701</v>
      </c>
      <c r="G4977">
        <v>9</v>
      </c>
      <c r="H4977" t="str">
        <f>"99"</f>
        <v>99</v>
      </c>
      <c r="I4977" t="str">
        <f t="shared" si="1063"/>
        <v>0</v>
      </c>
      <c r="J4977" t="str">
        <f>"92"</f>
        <v>92</v>
      </c>
      <c r="K4977">
        <v>20190308</v>
      </c>
      <c r="L4977" t="str">
        <f t="shared" si="1065"/>
        <v>075869</v>
      </c>
      <c r="M4977" t="str">
        <f t="shared" si="1066"/>
        <v>09170</v>
      </c>
      <c r="N4977" t="s">
        <v>679</v>
      </c>
      <c r="O4977">
        <v>88.1</v>
      </c>
      <c r="P4977">
        <v>20190305</v>
      </c>
      <c r="Q4977" t="s">
        <v>2202</v>
      </c>
      <c r="R4977" t="s">
        <v>4040</v>
      </c>
      <c r="S4977" t="s">
        <v>1615</v>
      </c>
      <c r="T4977" t="s">
        <v>1841</v>
      </c>
    </row>
    <row r="4978" spans="1:20" x14ac:dyDescent="0.25">
      <c r="A4978">
        <v>9</v>
      </c>
      <c r="B4978">
        <v>199</v>
      </c>
      <c r="C4978" t="str">
        <f>"51"</f>
        <v>51</v>
      </c>
      <c r="D4978">
        <v>6248</v>
      </c>
      <c r="E4978" t="str">
        <f>"M2"</f>
        <v>M2</v>
      </c>
      <c r="F4978" t="str">
        <f>"936"</f>
        <v>936</v>
      </c>
      <c r="G4978">
        <v>9</v>
      </c>
      <c r="H4978" t="str">
        <f>"99"</f>
        <v>99</v>
      </c>
      <c r="I4978" t="str">
        <f t="shared" si="1063"/>
        <v>0</v>
      </c>
      <c r="J4978" t="str">
        <f>"81"</f>
        <v>81</v>
      </c>
      <c r="K4978">
        <v>20190308</v>
      </c>
      <c r="L4978" t="str">
        <f t="shared" si="1065"/>
        <v>075869</v>
      </c>
      <c r="M4978" t="str">
        <f t="shared" si="1066"/>
        <v>09170</v>
      </c>
      <c r="N4978" t="s">
        <v>679</v>
      </c>
      <c r="O4978">
        <v>638</v>
      </c>
      <c r="P4978">
        <v>20190305</v>
      </c>
      <c r="Q4978" t="s">
        <v>4041</v>
      </c>
      <c r="R4978" t="s">
        <v>4042</v>
      </c>
      <c r="S4978" t="s">
        <v>1615</v>
      </c>
      <c r="T4978" t="s">
        <v>1713</v>
      </c>
    </row>
    <row r="4979" spans="1:20" x14ac:dyDescent="0.25">
      <c r="A4979">
        <v>9</v>
      </c>
      <c r="B4979">
        <v>199</v>
      </c>
      <c r="C4979" t="str">
        <f>"51"</f>
        <v>51</v>
      </c>
      <c r="D4979">
        <v>6319</v>
      </c>
      <c r="E4979" t="str">
        <f>"MC"</f>
        <v>MC</v>
      </c>
      <c r="F4979" t="str">
        <f>"936"</f>
        <v>936</v>
      </c>
      <c r="G4979">
        <v>9</v>
      </c>
      <c r="H4979" t="str">
        <f>"99"</f>
        <v>99</v>
      </c>
      <c r="I4979" t="str">
        <f t="shared" si="1063"/>
        <v>0</v>
      </c>
      <c r="J4979" t="str">
        <f>"81"</f>
        <v>81</v>
      </c>
      <c r="K4979">
        <v>20190308</v>
      </c>
      <c r="L4979" t="str">
        <f t="shared" si="1065"/>
        <v>075869</v>
      </c>
      <c r="M4979" t="str">
        <f t="shared" si="1066"/>
        <v>09170</v>
      </c>
      <c r="N4979" t="s">
        <v>679</v>
      </c>
      <c r="O4979" s="1">
        <v>1663.13</v>
      </c>
      <c r="P4979">
        <v>20190305</v>
      </c>
      <c r="Q4979" t="s">
        <v>2060</v>
      </c>
      <c r="R4979" t="s">
        <v>4043</v>
      </c>
      <c r="S4979" t="s">
        <v>1615</v>
      </c>
      <c r="T4979" t="s">
        <v>1713</v>
      </c>
    </row>
    <row r="4980" spans="1:20" x14ac:dyDescent="0.25">
      <c r="A4980">
        <v>9</v>
      </c>
      <c r="B4980">
        <v>199</v>
      </c>
      <c r="C4980" t="str">
        <f>"53"</f>
        <v>53</v>
      </c>
      <c r="D4980">
        <v>6411</v>
      </c>
      <c r="E4980" t="str">
        <f>"10"</f>
        <v>10</v>
      </c>
      <c r="F4980" t="str">
        <f>"880"</f>
        <v>880</v>
      </c>
      <c r="G4980">
        <v>9</v>
      </c>
      <c r="H4980" t="str">
        <f>"99"</f>
        <v>99</v>
      </c>
      <c r="I4980" t="str">
        <f t="shared" si="1063"/>
        <v>0</v>
      </c>
      <c r="J4980" t="str">
        <f>"80"</f>
        <v>80</v>
      </c>
      <c r="K4980">
        <v>20190308</v>
      </c>
      <c r="L4980" t="str">
        <f t="shared" si="1065"/>
        <v>075869</v>
      </c>
      <c r="M4980" t="str">
        <f t="shared" si="1066"/>
        <v>09170</v>
      </c>
      <c r="N4980" t="s">
        <v>679</v>
      </c>
      <c r="O4980">
        <v>214.7</v>
      </c>
      <c r="P4980">
        <v>20190305</v>
      </c>
      <c r="Q4980" t="s">
        <v>1901</v>
      </c>
      <c r="R4980" t="s">
        <v>3515</v>
      </c>
      <c r="S4980" t="s">
        <v>1615</v>
      </c>
      <c r="T4980" t="s">
        <v>1866</v>
      </c>
    </row>
    <row r="4981" spans="1:20" x14ac:dyDescent="0.25">
      <c r="A4981">
        <v>9</v>
      </c>
      <c r="B4981">
        <v>199</v>
      </c>
      <c r="C4981" t="str">
        <f>"31"</f>
        <v>31</v>
      </c>
      <c r="D4981">
        <v>6498</v>
      </c>
      <c r="E4981" t="str">
        <f>"00"</f>
        <v>00</v>
      </c>
      <c r="F4981" t="str">
        <f>"875"</f>
        <v>875</v>
      </c>
      <c r="G4981">
        <v>9</v>
      </c>
      <c r="H4981" t="str">
        <f>"23"</f>
        <v>23</v>
      </c>
      <c r="I4981" t="str">
        <f t="shared" si="1063"/>
        <v>0</v>
      </c>
      <c r="J4981" t="str">
        <f>"23"</f>
        <v>23</v>
      </c>
      <c r="K4981">
        <v>20190308</v>
      </c>
      <c r="L4981" t="str">
        <f>"075870"</f>
        <v>075870</v>
      </c>
      <c r="M4981" t="str">
        <f>"09981"</f>
        <v>09981</v>
      </c>
      <c r="N4981" t="s">
        <v>4044</v>
      </c>
      <c r="O4981">
        <v>50</v>
      </c>
      <c r="P4981">
        <v>20190305</v>
      </c>
      <c r="Q4981" t="s">
        <v>4045</v>
      </c>
      <c r="R4981" t="s">
        <v>4046</v>
      </c>
      <c r="S4981" t="s">
        <v>1615</v>
      </c>
      <c r="T4981" t="s">
        <v>2041</v>
      </c>
    </row>
    <row r="4982" spans="1:20" x14ac:dyDescent="0.25">
      <c r="A4982">
        <v>9</v>
      </c>
      <c r="B4982">
        <v>199</v>
      </c>
      <c r="C4982" t="str">
        <f>"11"</f>
        <v>11</v>
      </c>
      <c r="D4982">
        <v>6399</v>
      </c>
      <c r="E4982" t="str">
        <f>"7A"</f>
        <v>7A</v>
      </c>
      <c r="F4982" t="str">
        <f>"001"</f>
        <v>001</v>
      </c>
      <c r="G4982">
        <v>9</v>
      </c>
      <c r="H4982" t="str">
        <f>"11"</f>
        <v>11</v>
      </c>
      <c r="I4982" t="str">
        <f t="shared" si="1063"/>
        <v>0</v>
      </c>
      <c r="J4982" t="str">
        <f>"01"</f>
        <v>01</v>
      </c>
      <c r="K4982">
        <v>20190308</v>
      </c>
      <c r="L4982" t="str">
        <f>"075875"</f>
        <v>075875</v>
      </c>
      <c r="M4982" t="str">
        <f>"11210"</f>
        <v>11210</v>
      </c>
      <c r="N4982" t="s">
        <v>2465</v>
      </c>
      <c r="O4982">
        <v>65.52</v>
      </c>
      <c r="P4982">
        <v>20190305</v>
      </c>
      <c r="Q4982" t="s">
        <v>2157</v>
      </c>
      <c r="R4982" t="s">
        <v>2466</v>
      </c>
      <c r="S4982" t="s">
        <v>1615</v>
      </c>
      <c r="T4982" t="s">
        <v>301</v>
      </c>
    </row>
    <row r="4983" spans="1:20" x14ac:dyDescent="0.25">
      <c r="A4983">
        <v>9</v>
      </c>
      <c r="B4983">
        <v>199</v>
      </c>
      <c r="C4983" t="str">
        <f>"36"</f>
        <v>36</v>
      </c>
      <c r="D4983">
        <v>6399</v>
      </c>
      <c r="E4983" t="str">
        <f>"3K"</f>
        <v>3K</v>
      </c>
      <c r="F4983" t="str">
        <f>"001"</f>
        <v>001</v>
      </c>
      <c r="G4983">
        <v>9</v>
      </c>
      <c r="H4983" t="str">
        <f>"91"</f>
        <v>91</v>
      </c>
      <c r="I4983" t="str">
        <f>"2"</f>
        <v>2</v>
      </c>
      <c r="J4983" t="str">
        <f>"74"</f>
        <v>74</v>
      </c>
      <c r="K4983">
        <v>20190308</v>
      </c>
      <c r="L4983" t="str">
        <f>"075876"</f>
        <v>075876</v>
      </c>
      <c r="M4983" t="str">
        <f>"08788"</f>
        <v>08788</v>
      </c>
      <c r="N4983" t="s">
        <v>473</v>
      </c>
      <c r="O4983" s="1">
        <v>1975.03</v>
      </c>
      <c r="P4983">
        <v>20190305</v>
      </c>
      <c r="Q4983" t="s">
        <v>4047</v>
      </c>
      <c r="R4983" t="s">
        <v>1084</v>
      </c>
      <c r="S4983" t="s">
        <v>1615</v>
      </c>
      <c r="T4983" t="s">
        <v>301</v>
      </c>
    </row>
    <row r="4984" spans="1:20" x14ac:dyDescent="0.25">
      <c r="A4984">
        <v>9</v>
      </c>
      <c r="B4984">
        <v>199</v>
      </c>
      <c r="C4984" t="str">
        <f>"36"</f>
        <v>36</v>
      </c>
      <c r="D4984">
        <v>6399</v>
      </c>
      <c r="E4984" t="str">
        <f>"3P"</f>
        <v>3P</v>
      </c>
      <c r="F4984" t="str">
        <f>"001"</f>
        <v>001</v>
      </c>
      <c r="G4984">
        <v>9</v>
      </c>
      <c r="H4984" t="str">
        <f>"91"</f>
        <v>91</v>
      </c>
      <c r="I4984" t="str">
        <f>"2"</f>
        <v>2</v>
      </c>
      <c r="J4984" t="str">
        <f>"74"</f>
        <v>74</v>
      </c>
      <c r="K4984">
        <v>20190308</v>
      </c>
      <c r="L4984" t="str">
        <f>"075876"</f>
        <v>075876</v>
      </c>
      <c r="M4984" t="str">
        <f>"08788"</f>
        <v>08788</v>
      </c>
      <c r="N4984" t="s">
        <v>473</v>
      </c>
      <c r="O4984" s="1">
        <v>2000</v>
      </c>
      <c r="P4984">
        <v>20190305</v>
      </c>
      <c r="Q4984" t="s">
        <v>4048</v>
      </c>
      <c r="R4984" t="s">
        <v>4049</v>
      </c>
      <c r="S4984" t="s">
        <v>1615</v>
      </c>
      <c r="T4984" t="s">
        <v>301</v>
      </c>
    </row>
    <row r="4985" spans="1:20" x14ac:dyDescent="0.25">
      <c r="A4985">
        <v>9</v>
      </c>
      <c r="B4985">
        <v>199</v>
      </c>
      <c r="C4985" t="str">
        <f>"53"</f>
        <v>53</v>
      </c>
      <c r="D4985">
        <v>6411</v>
      </c>
      <c r="E4985" t="str">
        <f>"10"</f>
        <v>10</v>
      </c>
      <c r="F4985" t="str">
        <f>"880"</f>
        <v>880</v>
      </c>
      <c r="G4985">
        <v>9</v>
      </c>
      <c r="H4985" t="str">
        <f>"99"</f>
        <v>99</v>
      </c>
      <c r="I4985" t="str">
        <f>"0"</f>
        <v>0</v>
      </c>
      <c r="J4985" t="str">
        <f>"80"</f>
        <v>80</v>
      </c>
      <c r="K4985">
        <v>20190308</v>
      </c>
      <c r="L4985" t="str">
        <f>"075877"</f>
        <v>075877</v>
      </c>
      <c r="M4985" t="str">
        <f>"13880"</f>
        <v>13880</v>
      </c>
      <c r="N4985" t="s">
        <v>4050</v>
      </c>
      <c r="O4985">
        <v>313.55</v>
      </c>
      <c r="P4985">
        <v>20190305</v>
      </c>
      <c r="Q4985" t="s">
        <v>1901</v>
      </c>
      <c r="R4985" t="s">
        <v>1493</v>
      </c>
      <c r="S4985" t="s">
        <v>1615</v>
      </c>
      <c r="T4985" t="s">
        <v>1866</v>
      </c>
    </row>
    <row r="4986" spans="1:20" x14ac:dyDescent="0.25">
      <c r="A4986">
        <v>9</v>
      </c>
      <c r="B4986">
        <v>199</v>
      </c>
      <c r="C4986" t="str">
        <f>"51"</f>
        <v>51</v>
      </c>
      <c r="D4986">
        <v>6254</v>
      </c>
      <c r="E4986" t="str">
        <f>"ME"</f>
        <v>ME</v>
      </c>
      <c r="F4986" t="str">
        <f>"936"</f>
        <v>936</v>
      </c>
      <c r="G4986">
        <v>9</v>
      </c>
      <c r="H4986" t="str">
        <f>"99"</f>
        <v>99</v>
      </c>
      <c r="I4986" t="str">
        <f>"1"</f>
        <v>1</v>
      </c>
      <c r="J4986" t="str">
        <f>"73"</f>
        <v>73</v>
      </c>
      <c r="K4986">
        <v>20190308</v>
      </c>
      <c r="L4986" t="str">
        <f>"075881"</f>
        <v>075881</v>
      </c>
      <c r="M4986" t="str">
        <f>"19310"</f>
        <v>19310</v>
      </c>
      <c r="N4986" t="s">
        <v>1689</v>
      </c>
      <c r="O4986" s="1">
        <v>2575.11</v>
      </c>
      <c r="P4986">
        <v>20190305</v>
      </c>
      <c r="Q4986" t="s">
        <v>1891</v>
      </c>
      <c r="R4986" t="s">
        <v>4051</v>
      </c>
      <c r="S4986" t="s">
        <v>1615</v>
      </c>
      <c r="T4986" t="s">
        <v>1713</v>
      </c>
    </row>
    <row r="4987" spans="1:20" x14ac:dyDescent="0.25">
      <c r="A4987">
        <v>9</v>
      </c>
      <c r="B4987">
        <v>199</v>
      </c>
      <c r="C4987" t="str">
        <f>"51"</f>
        <v>51</v>
      </c>
      <c r="D4987">
        <v>6254</v>
      </c>
      <c r="E4987" t="str">
        <f>"ME"</f>
        <v>ME</v>
      </c>
      <c r="F4987" t="str">
        <f>"936"</f>
        <v>936</v>
      </c>
      <c r="G4987">
        <v>9</v>
      </c>
      <c r="H4987" t="str">
        <f>"99"</f>
        <v>99</v>
      </c>
      <c r="I4987" t="str">
        <f>"1"</f>
        <v>1</v>
      </c>
      <c r="J4987" t="str">
        <f>"73"</f>
        <v>73</v>
      </c>
      <c r="K4987">
        <v>20190308</v>
      </c>
      <c r="L4987" t="str">
        <f>"075881"</f>
        <v>075881</v>
      </c>
      <c r="M4987" t="str">
        <f>"19310"</f>
        <v>19310</v>
      </c>
      <c r="N4987" t="s">
        <v>1689</v>
      </c>
      <c r="O4987">
        <v>581.02</v>
      </c>
      <c r="P4987">
        <v>20190305</v>
      </c>
      <c r="Q4987" t="s">
        <v>1891</v>
      </c>
      <c r="R4987" t="s">
        <v>4052</v>
      </c>
      <c r="S4987" t="s">
        <v>1615</v>
      </c>
      <c r="T4987" t="s">
        <v>1713</v>
      </c>
    </row>
    <row r="4988" spans="1:20" x14ac:dyDescent="0.25">
      <c r="A4988">
        <v>9</v>
      </c>
      <c r="B4988">
        <v>199</v>
      </c>
      <c r="C4988" t="str">
        <f>"11"</f>
        <v>11</v>
      </c>
      <c r="D4988">
        <v>6399</v>
      </c>
      <c r="E4988" t="str">
        <f>"45"</f>
        <v>45</v>
      </c>
      <c r="F4988" t="str">
        <f>"041"</f>
        <v>041</v>
      </c>
      <c r="G4988">
        <v>9</v>
      </c>
      <c r="H4988" t="str">
        <f>"11"</f>
        <v>11</v>
      </c>
      <c r="I4988" t="str">
        <f t="shared" ref="I4988:I5029" si="1067">"0"</f>
        <v>0</v>
      </c>
      <c r="J4988" t="str">
        <f>"03"</f>
        <v>03</v>
      </c>
      <c r="K4988">
        <v>20190308</v>
      </c>
      <c r="L4988" t="str">
        <f>"075882"</f>
        <v>075882</v>
      </c>
      <c r="M4988" t="str">
        <f>"14821"</f>
        <v>14821</v>
      </c>
      <c r="N4988" t="s">
        <v>1224</v>
      </c>
      <c r="O4988" s="1">
        <v>1253.2</v>
      </c>
      <c r="P4988">
        <v>20190305</v>
      </c>
      <c r="Q4988" t="s">
        <v>2204</v>
      </c>
      <c r="R4988" t="s">
        <v>1225</v>
      </c>
      <c r="S4988" t="s">
        <v>1615</v>
      </c>
      <c r="T4988" t="s">
        <v>106</v>
      </c>
    </row>
    <row r="4989" spans="1:20" x14ac:dyDescent="0.25">
      <c r="A4989">
        <v>9</v>
      </c>
      <c r="B4989">
        <v>199</v>
      </c>
      <c r="C4989" t="str">
        <f>"11"</f>
        <v>11</v>
      </c>
      <c r="D4989">
        <v>6399</v>
      </c>
      <c r="E4989" t="str">
        <f>"45"</f>
        <v>45</v>
      </c>
      <c r="F4989" t="str">
        <f>"101"</f>
        <v>101</v>
      </c>
      <c r="G4989">
        <v>9</v>
      </c>
      <c r="H4989" t="str">
        <f>"11"</f>
        <v>11</v>
      </c>
      <c r="I4989" t="str">
        <f t="shared" si="1067"/>
        <v>0</v>
      </c>
      <c r="J4989" t="str">
        <f>"04"</f>
        <v>04</v>
      </c>
      <c r="K4989">
        <v>20190308</v>
      </c>
      <c r="L4989" t="str">
        <f>"075882"</f>
        <v>075882</v>
      </c>
      <c r="M4989" t="str">
        <f>"14821"</f>
        <v>14821</v>
      </c>
      <c r="N4989" t="s">
        <v>1224</v>
      </c>
      <c r="O4989">
        <v>155.65</v>
      </c>
      <c r="P4989">
        <v>20190305</v>
      </c>
      <c r="Q4989" t="s">
        <v>1859</v>
      </c>
      <c r="R4989" t="s">
        <v>1225</v>
      </c>
      <c r="S4989" t="s">
        <v>1615</v>
      </c>
      <c r="T4989" t="s">
        <v>1479</v>
      </c>
    </row>
    <row r="4990" spans="1:20" x14ac:dyDescent="0.25">
      <c r="A4990">
        <v>9</v>
      </c>
      <c r="B4990">
        <v>199</v>
      </c>
      <c r="C4990" t="str">
        <f>"11"</f>
        <v>11</v>
      </c>
      <c r="D4990">
        <v>6399</v>
      </c>
      <c r="E4990" t="str">
        <f>"45"</f>
        <v>45</v>
      </c>
      <c r="F4990" t="str">
        <f>"101"</f>
        <v>101</v>
      </c>
      <c r="G4990">
        <v>9</v>
      </c>
      <c r="H4990" t="str">
        <f>"11"</f>
        <v>11</v>
      </c>
      <c r="I4990" t="str">
        <f t="shared" si="1067"/>
        <v>0</v>
      </c>
      <c r="J4990" t="str">
        <f>"04"</f>
        <v>04</v>
      </c>
      <c r="K4990">
        <v>20190308</v>
      </c>
      <c r="L4990" t="str">
        <f>"075882"</f>
        <v>075882</v>
      </c>
      <c r="M4990" t="str">
        <f>"14821"</f>
        <v>14821</v>
      </c>
      <c r="N4990" t="s">
        <v>1224</v>
      </c>
      <c r="O4990" s="1">
        <v>1566.5</v>
      </c>
      <c r="P4990">
        <v>20190305</v>
      </c>
      <c r="Q4990" t="s">
        <v>1859</v>
      </c>
      <c r="R4990" t="s">
        <v>1225</v>
      </c>
      <c r="S4990" t="s">
        <v>1615</v>
      </c>
      <c r="T4990" t="s">
        <v>1479</v>
      </c>
    </row>
    <row r="4991" spans="1:20" x14ac:dyDescent="0.25">
      <c r="A4991">
        <v>9</v>
      </c>
      <c r="B4991">
        <v>199</v>
      </c>
      <c r="C4991" t="str">
        <f>"41"</f>
        <v>41</v>
      </c>
      <c r="D4991">
        <v>6399</v>
      </c>
      <c r="E4991" t="str">
        <f>"10"</f>
        <v>10</v>
      </c>
      <c r="F4991" t="str">
        <f>"720"</f>
        <v>720</v>
      </c>
      <c r="G4991">
        <v>9</v>
      </c>
      <c r="H4991" t="str">
        <f>"99"</f>
        <v>99</v>
      </c>
      <c r="I4991" t="str">
        <f t="shared" si="1067"/>
        <v>0</v>
      </c>
      <c r="J4991" t="str">
        <f>"91"</f>
        <v>91</v>
      </c>
      <c r="K4991">
        <v>20190308</v>
      </c>
      <c r="L4991" t="str">
        <f>"075882"</f>
        <v>075882</v>
      </c>
      <c r="M4991" t="str">
        <f>"14821"</f>
        <v>14821</v>
      </c>
      <c r="N4991" t="s">
        <v>1224</v>
      </c>
      <c r="O4991">
        <v>311.3</v>
      </c>
      <c r="P4991">
        <v>20190305</v>
      </c>
      <c r="Q4991" t="s">
        <v>2132</v>
      </c>
      <c r="R4991" t="s">
        <v>1225</v>
      </c>
      <c r="S4991" t="s">
        <v>1615</v>
      </c>
      <c r="T4991" t="s">
        <v>2045</v>
      </c>
    </row>
    <row r="4992" spans="1:20" x14ac:dyDescent="0.25">
      <c r="A4992">
        <v>9</v>
      </c>
      <c r="B4992">
        <v>199</v>
      </c>
      <c r="C4992" t="str">
        <f>"11"</f>
        <v>11</v>
      </c>
      <c r="D4992">
        <v>6399</v>
      </c>
      <c r="E4992" t="str">
        <f>"45"</f>
        <v>45</v>
      </c>
      <c r="F4992" t="str">
        <f>"101"</f>
        <v>101</v>
      </c>
      <c r="G4992">
        <v>9</v>
      </c>
      <c r="H4992" t="str">
        <f>"11"</f>
        <v>11</v>
      </c>
      <c r="I4992" t="str">
        <f t="shared" si="1067"/>
        <v>0</v>
      </c>
      <c r="J4992" t="str">
        <f>"04"</f>
        <v>04</v>
      </c>
      <c r="K4992">
        <v>20190308</v>
      </c>
      <c r="L4992" t="str">
        <f>"075883"</f>
        <v>075883</v>
      </c>
      <c r="M4992" t="str">
        <f>"16807"</f>
        <v>16807</v>
      </c>
      <c r="N4992" t="s">
        <v>1581</v>
      </c>
      <c r="O4992">
        <v>545</v>
      </c>
      <c r="P4992">
        <v>20190305</v>
      </c>
      <c r="Q4992" t="s">
        <v>1859</v>
      </c>
      <c r="R4992" t="s">
        <v>1997</v>
      </c>
      <c r="S4992" t="s">
        <v>1615</v>
      </c>
      <c r="T4992" t="s">
        <v>1479</v>
      </c>
    </row>
    <row r="4993" spans="1:20" x14ac:dyDescent="0.25">
      <c r="A4993">
        <v>9</v>
      </c>
      <c r="B4993">
        <v>199</v>
      </c>
      <c r="C4993" t="str">
        <f>"41"</f>
        <v>41</v>
      </c>
      <c r="D4993">
        <v>6649</v>
      </c>
      <c r="E4993" t="str">
        <f>"00"</f>
        <v>00</v>
      </c>
      <c r="F4993" t="str">
        <f>"726"</f>
        <v>726</v>
      </c>
      <c r="G4993">
        <v>9</v>
      </c>
      <c r="H4993" t="str">
        <f t="shared" ref="H4993:H5015" si="1068">"99"</f>
        <v>99</v>
      </c>
      <c r="I4993" t="str">
        <f t="shared" si="1067"/>
        <v>0</v>
      </c>
      <c r="J4993" t="str">
        <f>"91"</f>
        <v>91</v>
      </c>
      <c r="K4993">
        <v>20190308</v>
      </c>
      <c r="L4993" t="str">
        <f>"075883"</f>
        <v>075883</v>
      </c>
      <c r="M4993" t="str">
        <f>"16807"</f>
        <v>16807</v>
      </c>
      <c r="N4993" t="s">
        <v>1581</v>
      </c>
      <c r="O4993" s="1">
        <v>1331.32</v>
      </c>
      <c r="P4993">
        <v>20190305</v>
      </c>
      <c r="Q4993" t="s">
        <v>3568</v>
      </c>
      <c r="R4993" t="s">
        <v>4053</v>
      </c>
      <c r="S4993" t="s">
        <v>1615</v>
      </c>
      <c r="T4993" t="s">
        <v>2608</v>
      </c>
    </row>
    <row r="4994" spans="1:20" x14ac:dyDescent="0.25">
      <c r="A4994">
        <v>9</v>
      </c>
      <c r="B4994">
        <v>199</v>
      </c>
      <c r="C4994" t="str">
        <f>"51"</f>
        <v>51</v>
      </c>
      <c r="D4994">
        <v>6319</v>
      </c>
      <c r="E4994" t="str">
        <f>"MC"</f>
        <v>MC</v>
      </c>
      <c r="F4994" t="str">
        <f>"936"</f>
        <v>936</v>
      </c>
      <c r="G4994">
        <v>9</v>
      </c>
      <c r="H4994" t="str">
        <f t="shared" si="1068"/>
        <v>99</v>
      </c>
      <c r="I4994" t="str">
        <f t="shared" si="1067"/>
        <v>0</v>
      </c>
      <c r="J4994" t="str">
        <f>"81"</f>
        <v>81</v>
      </c>
      <c r="K4994">
        <v>20190308</v>
      </c>
      <c r="L4994" t="str">
        <f>"075883"</f>
        <v>075883</v>
      </c>
      <c r="M4994" t="str">
        <f>"16807"</f>
        <v>16807</v>
      </c>
      <c r="N4994" t="s">
        <v>1581</v>
      </c>
      <c r="O4994">
        <v>539.19000000000005</v>
      </c>
      <c r="P4994">
        <v>20190305</v>
      </c>
      <c r="Q4994" t="s">
        <v>2060</v>
      </c>
      <c r="R4994" t="s">
        <v>4054</v>
      </c>
      <c r="S4994" t="s">
        <v>1615</v>
      </c>
      <c r="T4994" t="s">
        <v>1713</v>
      </c>
    </row>
    <row r="4995" spans="1:20" x14ac:dyDescent="0.25">
      <c r="A4995">
        <v>9</v>
      </c>
      <c r="B4995">
        <v>199</v>
      </c>
      <c r="C4995" t="str">
        <f>"34"</f>
        <v>34</v>
      </c>
      <c r="D4995">
        <v>6399</v>
      </c>
      <c r="E4995" t="str">
        <f>"11"</f>
        <v>11</v>
      </c>
      <c r="F4995" t="str">
        <f>"937"</f>
        <v>937</v>
      </c>
      <c r="G4995">
        <v>9</v>
      </c>
      <c r="H4995" t="str">
        <f t="shared" si="1068"/>
        <v>99</v>
      </c>
      <c r="I4995" t="str">
        <f t="shared" si="1067"/>
        <v>0</v>
      </c>
      <c r="J4995" t="str">
        <f>"82"</f>
        <v>82</v>
      </c>
      <c r="K4995">
        <v>20190308</v>
      </c>
      <c r="L4995" t="str">
        <f>"075886"</f>
        <v>075886</v>
      </c>
      <c r="M4995" t="str">
        <f>"19425"</f>
        <v>19425</v>
      </c>
      <c r="N4995" t="s">
        <v>2209</v>
      </c>
      <c r="O4995">
        <v>95.5</v>
      </c>
      <c r="P4995">
        <v>20190305</v>
      </c>
      <c r="Q4995" t="s">
        <v>2210</v>
      </c>
      <c r="R4995" t="s">
        <v>4055</v>
      </c>
      <c r="S4995" t="s">
        <v>1615</v>
      </c>
      <c r="T4995" t="s">
        <v>1810</v>
      </c>
    </row>
    <row r="4996" spans="1:20" x14ac:dyDescent="0.25">
      <c r="A4996">
        <v>9</v>
      </c>
      <c r="B4996">
        <v>199</v>
      </c>
      <c r="C4996" t="str">
        <f>"34"</f>
        <v>34</v>
      </c>
      <c r="D4996">
        <v>6399</v>
      </c>
      <c r="E4996" t="str">
        <f>"11"</f>
        <v>11</v>
      </c>
      <c r="F4996" t="str">
        <f>"937"</f>
        <v>937</v>
      </c>
      <c r="G4996">
        <v>9</v>
      </c>
      <c r="H4996" t="str">
        <f t="shared" si="1068"/>
        <v>99</v>
      </c>
      <c r="I4996" t="str">
        <f t="shared" si="1067"/>
        <v>0</v>
      </c>
      <c r="J4996" t="str">
        <f>"82"</f>
        <v>82</v>
      </c>
      <c r="K4996">
        <v>20190308</v>
      </c>
      <c r="L4996" t="str">
        <f>"075886"</f>
        <v>075886</v>
      </c>
      <c r="M4996" t="str">
        <f>"19425"</f>
        <v>19425</v>
      </c>
      <c r="N4996" t="s">
        <v>2209</v>
      </c>
      <c r="O4996">
        <v>96</v>
      </c>
      <c r="P4996">
        <v>20190305</v>
      </c>
      <c r="Q4996" t="s">
        <v>2210</v>
      </c>
      <c r="R4996" t="s">
        <v>4056</v>
      </c>
      <c r="S4996" t="s">
        <v>1615</v>
      </c>
      <c r="T4996" t="s">
        <v>1810</v>
      </c>
    </row>
    <row r="4997" spans="1:20" x14ac:dyDescent="0.25">
      <c r="A4997">
        <v>9</v>
      </c>
      <c r="B4997">
        <v>199</v>
      </c>
      <c r="C4997" t="str">
        <f>"34"</f>
        <v>34</v>
      </c>
      <c r="D4997">
        <v>6399</v>
      </c>
      <c r="E4997" t="str">
        <f>"11"</f>
        <v>11</v>
      </c>
      <c r="F4997" t="str">
        <f>"937"</f>
        <v>937</v>
      </c>
      <c r="G4997">
        <v>9</v>
      </c>
      <c r="H4997" t="str">
        <f t="shared" si="1068"/>
        <v>99</v>
      </c>
      <c r="I4997" t="str">
        <f t="shared" si="1067"/>
        <v>0</v>
      </c>
      <c r="J4997" t="str">
        <f>"82"</f>
        <v>82</v>
      </c>
      <c r="K4997">
        <v>20190308</v>
      </c>
      <c r="L4997" t="str">
        <f>"075886"</f>
        <v>075886</v>
      </c>
      <c r="M4997" t="str">
        <f>"19425"</f>
        <v>19425</v>
      </c>
      <c r="N4997" t="s">
        <v>2209</v>
      </c>
      <c r="O4997">
        <v>185.41</v>
      </c>
      <c r="P4997">
        <v>20190305</v>
      </c>
      <c r="Q4997" t="s">
        <v>2210</v>
      </c>
      <c r="R4997" t="s">
        <v>4057</v>
      </c>
      <c r="S4997" t="s">
        <v>1615</v>
      </c>
      <c r="T4997" t="s">
        <v>1810</v>
      </c>
    </row>
    <row r="4998" spans="1:20" x14ac:dyDescent="0.25">
      <c r="A4998">
        <v>9</v>
      </c>
      <c r="B4998">
        <v>199</v>
      </c>
      <c r="C4998" t="str">
        <f>"34"</f>
        <v>34</v>
      </c>
      <c r="D4998">
        <v>6399</v>
      </c>
      <c r="E4998" t="str">
        <f>"11"</f>
        <v>11</v>
      </c>
      <c r="F4998" t="str">
        <f>"937"</f>
        <v>937</v>
      </c>
      <c r="G4998">
        <v>9</v>
      </c>
      <c r="H4998" t="str">
        <f t="shared" si="1068"/>
        <v>99</v>
      </c>
      <c r="I4998" t="str">
        <f t="shared" si="1067"/>
        <v>0</v>
      </c>
      <c r="J4998" t="str">
        <f>"82"</f>
        <v>82</v>
      </c>
      <c r="K4998">
        <v>20190308</v>
      </c>
      <c r="L4998" t="str">
        <f>"075886"</f>
        <v>075886</v>
      </c>
      <c r="M4998" t="str">
        <f>"19425"</f>
        <v>19425</v>
      </c>
      <c r="N4998" t="s">
        <v>2209</v>
      </c>
      <c r="O4998">
        <v>669.7</v>
      </c>
      <c r="P4998">
        <v>20190305</v>
      </c>
      <c r="Q4998" t="s">
        <v>2210</v>
      </c>
      <c r="R4998" t="s">
        <v>4058</v>
      </c>
      <c r="S4998" t="s">
        <v>1615</v>
      </c>
      <c r="T4998" t="s">
        <v>1810</v>
      </c>
    </row>
    <row r="4999" spans="1:20" x14ac:dyDescent="0.25">
      <c r="A4999">
        <v>9</v>
      </c>
      <c r="B4999">
        <v>199</v>
      </c>
      <c r="C4999" t="str">
        <f>"34"</f>
        <v>34</v>
      </c>
      <c r="D4999">
        <v>6399</v>
      </c>
      <c r="E4999" t="str">
        <f>"11"</f>
        <v>11</v>
      </c>
      <c r="F4999" t="str">
        <f>"937"</f>
        <v>937</v>
      </c>
      <c r="G4999">
        <v>9</v>
      </c>
      <c r="H4999" t="str">
        <f t="shared" si="1068"/>
        <v>99</v>
      </c>
      <c r="I4999" t="str">
        <f t="shared" si="1067"/>
        <v>0</v>
      </c>
      <c r="J4999" t="str">
        <f>"82"</f>
        <v>82</v>
      </c>
      <c r="K4999">
        <v>20190308</v>
      </c>
      <c r="L4999" t="str">
        <f>"075886"</f>
        <v>075886</v>
      </c>
      <c r="M4999" t="str">
        <f>"19425"</f>
        <v>19425</v>
      </c>
      <c r="N4999" t="s">
        <v>2209</v>
      </c>
      <c r="O4999">
        <v>-223.48</v>
      </c>
      <c r="P4999">
        <v>20190102</v>
      </c>
      <c r="Q4999" t="s">
        <v>2210</v>
      </c>
      <c r="R4999" t="s">
        <v>4059</v>
      </c>
      <c r="S4999" t="s">
        <v>1615</v>
      </c>
      <c r="T4999" t="s">
        <v>1810</v>
      </c>
    </row>
    <row r="5000" spans="1:20" x14ac:dyDescent="0.25">
      <c r="A5000">
        <v>9</v>
      </c>
      <c r="B5000">
        <v>199</v>
      </c>
      <c r="C5000" t="str">
        <f>"36"</f>
        <v>36</v>
      </c>
      <c r="D5000">
        <v>6411</v>
      </c>
      <c r="E5000" t="str">
        <f>"7B"</f>
        <v>7B</v>
      </c>
      <c r="F5000" t="str">
        <f>"001"</f>
        <v>001</v>
      </c>
      <c r="G5000">
        <v>9</v>
      </c>
      <c r="H5000" t="str">
        <f t="shared" si="1068"/>
        <v>99</v>
      </c>
      <c r="I5000" t="str">
        <f t="shared" si="1067"/>
        <v>0</v>
      </c>
      <c r="J5000" t="str">
        <f>"32"</f>
        <v>32</v>
      </c>
      <c r="K5000">
        <v>20190308</v>
      </c>
      <c r="L5000" t="str">
        <f>"075888"</f>
        <v>075888</v>
      </c>
      <c r="M5000" t="str">
        <f>"20416"</f>
        <v>20416</v>
      </c>
      <c r="N5000" t="s">
        <v>1693</v>
      </c>
      <c r="O5000">
        <v>118.04</v>
      </c>
      <c r="P5000">
        <v>20190305</v>
      </c>
      <c r="Q5000" t="s">
        <v>1694</v>
      </c>
      <c r="R5000" t="s">
        <v>2912</v>
      </c>
      <c r="S5000" t="s">
        <v>1615</v>
      </c>
      <c r="T5000" t="s">
        <v>301</v>
      </c>
    </row>
    <row r="5001" spans="1:20" x14ac:dyDescent="0.25">
      <c r="A5001">
        <v>9</v>
      </c>
      <c r="B5001">
        <v>199</v>
      </c>
      <c r="C5001" t="str">
        <f t="shared" ref="C5001:C5015" si="1069">"51"</f>
        <v>51</v>
      </c>
      <c r="D5001">
        <v>6255</v>
      </c>
      <c r="E5001" t="str">
        <f t="shared" ref="E5001:E5007" si="1070">"10"</f>
        <v>10</v>
      </c>
      <c r="F5001" t="str">
        <f>"001"</f>
        <v>001</v>
      </c>
      <c r="G5001">
        <v>9</v>
      </c>
      <c r="H5001" t="str">
        <f t="shared" si="1068"/>
        <v>99</v>
      </c>
      <c r="I5001" t="str">
        <f t="shared" si="1067"/>
        <v>0</v>
      </c>
      <c r="J5001" t="str">
        <f t="shared" ref="J5001:J5015" si="1071">"73"</f>
        <v>73</v>
      </c>
      <c r="K5001">
        <v>20190308</v>
      </c>
      <c r="L5001" t="str">
        <f t="shared" ref="L5001:L5015" si="1072">"075894"</f>
        <v>075894</v>
      </c>
      <c r="M5001" t="str">
        <f t="shared" ref="M5001:M5015" si="1073">"20706"</f>
        <v>20706</v>
      </c>
      <c r="N5001" t="s">
        <v>2003</v>
      </c>
      <c r="O5001" s="1">
        <v>4592.38</v>
      </c>
      <c r="P5001">
        <v>20190305</v>
      </c>
      <c r="Q5001" t="s">
        <v>2004</v>
      </c>
      <c r="R5001" t="s">
        <v>4060</v>
      </c>
      <c r="S5001" t="s">
        <v>1615</v>
      </c>
      <c r="T5001" t="s">
        <v>301</v>
      </c>
    </row>
    <row r="5002" spans="1:20" x14ac:dyDescent="0.25">
      <c r="A5002">
        <v>9</v>
      </c>
      <c r="B5002">
        <v>199</v>
      </c>
      <c r="C5002" t="str">
        <f t="shared" si="1069"/>
        <v>51</v>
      </c>
      <c r="D5002">
        <v>6255</v>
      </c>
      <c r="E5002" t="str">
        <f t="shared" si="1070"/>
        <v>10</v>
      </c>
      <c r="F5002" t="str">
        <f>"002"</f>
        <v>002</v>
      </c>
      <c r="G5002">
        <v>9</v>
      </c>
      <c r="H5002" t="str">
        <f t="shared" si="1068"/>
        <v>99</v>
      </c>
      <c r="I5002" t="str">
        <f t="shared" si="1067"/>
        <v>0</v>
      </c>
      <c r="J5002" t="str">
        <f t="shared" si="1071"/>
        <v>73</v>
      </c>
      <c r="K5002">
        <v>20190308</v>
      </c>
      <c r="L5002" t="str">
        <f t="shared" si="1072"/>
        <v>075894</v>
      </c>
      <c r="M5002" t="str">
        <f t="shared" si="1073"/>
        <v>20706</v>
      </c>
      <c r="N5002" t="s">
        <v>2003</v>
      </c>
      <c r="O5002">
        <v>46.85</v>
      </c>
      <c r="P5002">
        <v>20190305</v>
      </c>
      <c r="Q5002" t="s">
        <v>2006</v>
      </c>
      <c r="R5002" t="s">
        <v>4061</v>
      </c>
      <c r="S5002" t="s">
        <v>1615</v>
      </c>
      <c r="T5002" t="s">
        <v>1485</v>
      </c>
    </row>
    <row r="5003" spans="1:20" x14ac:dyDescent="0.25">
      <c r="A5003">
        <v>9</v>
      </c>
      <c r="B5003">
        <v>199</v>
      </c>
      <c r="C5003" t="str">
        <f t="shared" si="1069"/>
        <v>51</v>
      </c>
      <c r="D5003">
        <v>6255</v>
      </c>
      <c r="E5003" t="str">
        <f t="shared" si="1070"/>
        <v>10</v>
      </c>
      <c r="F5003" t="str">
        <f>"041"</f>
        <v>041</v>
      </c>
      <c r="G5003">
        <v>9</v>
      </c>
      <c r="H5003" t="str">
        <f t="shared" si="1068"/>
        <v>99</v>
      </c>
      <c r="I5003" t="str">
        <f t="shared" si="1067"/>
        <v>0</v>
      </c>
      <c r="J5003" t="str">
        <f t="shared" si="1071"/>
        <v>73</v>
      </c>
      <c r="K5003">
        <v>20190308</v>
      </c>
      <c r="L5003" t="str">
        <f t="shared" si="1072"/>
        <v>075894</v>
      </c>
      <c r="M5003" t="str">
        <f t="shared" si="1073"/>
        <v>20706</v>
      </c>
      <c r="N5003" t="s">
        <v>2003</v>
      </c>
      <c r="O5003">
        <v>721.75</v>
      </c>
      <c r="P5003">
        <v>20190305</v>
      </c>
      <c r="Q5003" t="s">
        <v>2008</v>
      </c>
      <c r="R5003" t="s">
        <v>4062</v>
      </c>
      <c r="S5003" t="s">
        <v>1615</v>
      </c>
      <c r="T5003" t="s">
        <v>106</v>
      </c>
    </row>
    <row r="5004" spans="1:20" x14ac:dyDescent="0.25">
      <c r="A5004">
        <v>9</v>
      </c>
      <c r="B5004">
        <v>199</v>
      </c>
      <c r="C5004" t="str">
        <f t="shared" si="1069"/>
        <v>51</v>
      </c>
      <c r="D5004">
        <v>6255</v>
      </c>
      <c r="E5004" t="str">
        <f t="shared" si="1070"/>
        <v>10</v>
      </c>
      <c r="F5004" t="str">
        <f>"101"</f>
        <v>101</v>
      </c>
      <c r="G5004">
        <v>9</v>
      </c>
      <c r="H5004" t="str">
        <f t="shared" si="1068"/>
        <v>99</v>
      </c>
      <c r="I5004" t="str">
        <f t="shared" si="1067"/>
        <v>0</v>
      </c>
      <c r="J5004" t="str">
        <f t="shared" si="1071"/>
        <v>73</v>
      </c>
      <c r="K5004">
        <v>20190308</v>
      </c>
      <c r="L5004" t="str">
        <f t="shared" si="1072"/>
        <v>075894</v>
      </c>
      <c r="M5004" t="str">
        <f t="shared" si="1073"/>
        <v>20706</v>
      </c>
      <c r="N5004" t="s">
        <v>2003</v>
      </c>
      <c r="O5004" s="1">
        <v>1823.55</v>
      </c>
      <c r="P5004">
        <v>20190305</v>
      </c>
      <c r="Q5004" t="s">
        <v>2010</v>
      </c>
      <c r="R5004" t="s">
        <v>4063</v>
      </c>
      <c r="S5004" t="s">
        <v>1615</v>
      </c>
      <c r="T5004" t="s">
        <v>1479</v>
      </c>
    </row>
    <row r="5005" spans="1:20" x14ac:dyDescent="0.25">
      <c r="A5005">
        <v>9</v>
      </c>
      <c r="B5005">
        <v>199</v>
      </c>
      <c r="C5005" t="str">
        <f t="shared" si="1069"/>
        <v>51</v>
      </c>
      <c r="D5005">
        <v>6255</v>
      </c>
      <c r="E5005" t="str">
        <f t="shared" si="1070"/>
        <v>10</v>
      </c>
      <c r="F5005" t="str">
        <f>"104"</f>
        <v>104</v>
      </c>
      <c r="G5005">
        <v>9</v>
      </c>
      <c r="H5005" t="str">
        <f t="shared" si="1068"/>
        <v>99</v>
      </c>
      <c r="I5005" t="str">
        <f t="shared" si="1067"/>
        <v>0</v>
      </c>
      <c r="J5005" t="str">
        <f t="shared" si="1071"/>
        <v>73</v>
      </c>
      <c r="K5005">
        <v>20190308</v>
      </c>
      <c r="L5005" t="str">
        <f t="shared" si="1072"/>
        <v>075894</v>
      </c>
      <c r="M5005" t="str">
        <f t="shared" si="1073"/>
        <v>20706</v>
      </c>
      <c r="N5005" t="s">
        <v>2003</v>
      </c>
      <c r="O5005" s="1">
        <v>1239.4000000000001</v>
      </c>
      <c r="P5005">
        <v>20190305</v>
      </c>
      <c r="Q5005" t="s">
        <v>2012</v>
      </c>
      <c r="R5005" t="s">
        <v>4064</v>
      </c>
      <c r="S5005" t="s">
        <v>1615</v>
      </c>
      <c r="T5005" t="s">
        <v>46</v>
      </c>
    </row>
    <row r="5006" spans="1:20" x14ac:dyDescent="0.25">
      <c r="A5006">
        <v>9</v>
      </c>
      <c r="B5006">
        <v>199</v>
      </c>
      <c r="C5006" t="str">
        <f t="shared" si="1069"/>
        <v>51</v>
      </c>
      <c r="D5006">
        <v>6255</v>
      </c>
      <c r="E5006" t="str">
        <f t="shared" si="1070"/>
        <v>10</v>
      </c>
      <c r="F5006" t="str">
        <f>"935"</f>
        <v>935</v>
      </c>
      <c r="G5006">
        <v>9</v>
      </c>
      <c r="H5006" t="str">
        <f t="shared" si="1068"/>
        <v>99</v>
      </c>
      <c r="I5006" t="str">
        <f t="shared" si="1067"/>
        <v>0</v>
      </c>
      <c r="J5006" t="str">
        <f t="shared" si="1071"/>
        <v>73</v>
      </c>
      <c r="K5006">
        <v>20190308</v>
      </c>
      <c r="L5006" t="str">
        <f t="shared" si="1072"/>
        <v>075894</v>
      </c>
      <c r="M5006" t="str">
        <f t="shared" si="1073"/>
        <v>20706</v>
      </c>
      <c r="N5006" t="s">
        <v>2003</v>
      </c>
      <c r="O5006">
        <v>543.36</v>
      </c>
      <c r="P5006">
        <v>20190305</v>
      </c>
      <c r="Q5006" t="s">
        <v>2014</v>
      </c>
      <c r="R5006" t="s">
        <v>4065</v>
      </c>
      <c r="S5006" t="s">
        <v>1615</v>
      </c>
      <c r="T5006" t="s">
        <v>1876</v>
      </c>
    </row>
    <row r="5007" spans="1:20" x14ac:dyDescent="0.25">
      <c r="A5007">
        <v>9</v>
      </c>
      <c r="B5007">
        <v>199</v>
      </c>
      <c r="C5007" t="str">
        <f t="shared" si="1069"/>
        <v>51</v>
      </c>
      <c r="D5007">
        <v>6255</v>
      </c>
      <c r="E5007" t="str">
        <f t="shared" si="1070"/>
        <v>10</v>
      </c>
      <c r="F5007" t="str">
        <f>"936"</f>
        <v>936</v>
      </c>
      <c r="G5007">
        <v>9</v>
      </c>
      <c r="H5007" t="str">
        <f t="shared" si="1068"/>
        <v>99</v>
      </c>
      <c r="I5007" t="str">
        <f t="shared" si="1067"/>
        <v>0</v>
      </c>
      <c r="J5007" t="str">
        <f t="shared" si="1071"/>
        <v>73</v>
      </c>
      <c r="K5007">
        <v>20190308</v>
      </c>
      <c r="L5007" t="str">
        <f t="shared" si="1072"/>
        <v>075894</v>
      </c>
      <c r="M5007" t="str">
        <f t="shared" si="1073"/>
        <v>20706</v>
      </c>
      <c r="N5007" t="s">
        <v>2003</v>
      </c>
      <c r="O5007">
        <v>22.73</v>
      </c>
      <c r="P5007">
        <v>20190305</v>
      </c>
      <c r="Q5007" t="s">
        <v>2016</v>
      </c>
      <c r="R5007" t="s">
        <v>4066</v>
      </c>
      <c r="S5007" t="s">
        <v>1615</v>
      </c>
      <c r="T5007" t="s">
        <v>1713</v>
      </c>
    </row>
    <row r="5008" spans="1:20" x14ac:dyDescent="0.25">
      <c r="A5008">
        <v>9</v>
      </c>
      <c r="B5008">
        <v>199</v>
      </c>
      <c r="C5008" t="str">
        <f t="shared" si="1069"/>
        <v>51</v>
      </c>
      <c r="D5008">
        <v>6255</v>
      </c>
      <c r="E5008" t="str">
        <f>"11"</f>
        <v>11</v>
      </c>
      <c r="F5008" t="str">
        <f>"001"</f>
        <v>001</v>
      </c>
      <c r="G5008">
        <v>9</v>
      </c>
      <c r="H5008" t="str">
        <f t="shared" si="1068"/>
        <v>99</v>
      </c>
      <c r="I5008" t="str">
        <f t="shared" si="1067"/>
        <v>0</v>
      </c>
      <c r="J5008" t="str">
        <f t="shared" si="1071"/>
        <v>73</v>
      </c>
      <c r="K5008">
        <v>20190308</v>
      </c>
      <c r="L5008" t="str">
        <f t="shared" si="1072"/>
        <v>075894</v>
      </c>
      <c r="M5008" t="str">
        <f t="shared" si="1073"/>
        <v>20706</v>
      </c>
      <c r="N5008" t="s">
        <v>2003</v>
      </c>
      <c r="O5008">
        <v>148.44999999999999</v>
      </c>
      <c r="P5008">
        <v>20190305</v>
      </c>
      <c r="Q5008" t="s">
        <v>2018</v>
      </c>
      <c r="R5008" t="s">
        <v>4067</v>
      </c>
      <c r="S5008" t="s">
        <v>1615</v>
      </c>
      <c r="T5008" t="s">
        <v>301</v>
      </c>
    </row>
    <row r="5009" spans="1:20" x14ac:dyDescent="0.25">
      <c r="A5009">
        <v>9</v>
      </c>
      <c r="B5009">
        <v>199</v>
      </c>
      <c r="C5009" t="str">
        <f t="shared" si="1069"/>
        <v>51</v>
      </c>
      <c r="D5009">
        <v>6255</v>
      </c>
      <c r="E5009" t="str">
        <f>"11"</f>
        <v>11</v>
      </c>
      <c r="F5009" t="str">
        <f>"104"</f>
        <v>104</v>
      </c>
      <c r="G5009">
        <v>9</v>
      </c>
      <c r="H5009" t="str">
        <f t="shared" si="1068"/>
        <v>99</v>
      </c>
      <c r="I5009" t="str">
        <f t="shared" si="1067"/>
        <v>0</v>
      </c>
      <c r="J5009" t="str">
        <f t="shared" si="1071"/>
        <v>73</v>
      </c>
      <c r="K5009">
        <v>20190308</v>
      </c>
      <c r="L5009" t="str">
        <f t="shared" si="1072"/>
        <v>075894</v>
      </c>
      <c r="M5009" t="str">
        <f t="shared" si="1073"/>
        <v>20706</v>
      </c>
      <c r="N5009" t="s">
        <v>2003</v>
      </c>
      <c r="O5009">
        <v>63.4</v>
      </c>
      <c r="P5009">
        <v>20190305</v>
      </c>
      <c r="Q5009" t="s">
        <v>2020</v>
      </c>
      <c r="R5009" t="s">
        <v>4068</v>
      </c>
      <c r="S5009" t="s">
        <v>1615</v>
      </c>
      <c r="T5009" t="s">
        <v>46</v>
      </c>
    </row>
    <row r="5010" spans="1:20" x14ac:dyDescent="0.25">
      <c r="A5010">
        <v>9</v>
      </c>
      <c r="B5010">
        <v>199</v>
      </c>
      <c r="C5010" t="str">
        <f t="shared" si="1069"/>
        <v>51</v>
      </c>
      <c r="D5010">
        <v>6255</v>
      </c>
      <c r="E5010" t="str">
        <f>"3F"</f>
        <v>3F</v>
      </c>
      <c r="F5010" t="str">
        <f>"877"</f>
        <v>877</v>
      </c>
      <c r="G5010">
        <v>9</v>
      </c>
      <c r="H5010" t="str">
        <f t="shared" si="1068"/>
        <v>99</v>
      </c>
      <c r="I5010" t="str">
        <f t="shared" si="1067"/>
        <v>0</v>
      </c>
      <c r="J5010" t="str">
        <f t="shared" si="1071"/>
        <v>73</v>
      </c>
      <c r="K5010">
        <v>20190308</v>
      </c>
      <c r="L5010" t="str">
        <f t="shared" si="1072"/>
        <v>075894</v>
      </c>
      <c r="M5010" t="str">
        <f t="shared" si="1073"/>
        <v>20706</v>
      </c>
      <c r="N5010" t="s">
        <v>2003</v>
      </c>
      <c r="O5010" s="1">
        <v>1778.33</v>
      </c>
      <c r="P5010">
        <v>20190305</v>
      </c>
      <c r="Q5010" t="s">
        <v>2022</v>
      </c>
      <c r="R5010" t="s">
        <v>4069</v>
      </c>
      <c r="S5010" t="s">
        <v>1615</v>
      </c>
      <c r="T5010" t="s">
        <v>2024</v>
      </c>
    </row>
    <row r="5011" spans="1:20" x14ac:dyDescent="0.25">
      <c r="A5011">
        <v>9</v>
      </c>
      <c r="B5011">
        <v>199</v>
      </c>
      <c r="C5011" t="str">
        <f t="shared" si="1069"/>
        <v>51</v>
      </c>
      <c r="D5011">
        <v>6258</v>
      </c>
      <c r="E5011" t="str">
        <f>"10"</f>
        <v>10</v>
      </c>
      <c r="F5011" t="str">
        <f>"001"</f>
        <v>001</v>
      </c>
      <c r="G5011">
        <v>9</v>
      </c>
      <c r="H5011" t="str">
        <f t="shared" si="1068"/>
        <v>99</v>
      </c>
      <c r="I5011" t="str">
        <f t="shared" si="1067"/>
        <v>0</v>
      </c>
      <c r="J5011" t="str">
        <f t="shared" si="1071"/>
        <v>73</v>
      </c>
      <c r="K5011">
        <v>20190308</v>
      </c>
      <c r="L5011" t="str">
        <f t="shared" si="1072"/>
        <v>075894</v>
      </c>
      <c r="M5011" t="str">
        <f t="shared" si="1073"/>
        <v>20706</v>
      </c>
      <c r="N5011" t="s">
        <v>2003</v>
      </c>
      <c r="O5011" s="1">
        <v>2980.02</v>
      </c>
      <c r="P5011">
        <v>20190305</v>
      </c>
      <c r="Q5011" t="s">
        <v>2025</v>
      </c>
      <c r="R5011" t="s">
        <v>4070</v>
      </c>
      <c r="S5011" t="s">
        <v>1615</v>
      </c>
      <c r="T5011" t="s">
        <v>301</v>
      </c>
    </row>
    <row r="5012" spans="1:20" x14ac:dyDescent="0.25">
      <c r="A5012">
        <v>9</v>
      </c>
      <c r="B5012">
        <v>199</v>
      </c>
      <c r="C5012" t="str">
        <f t="shared" si="1069"/>
        <v>51</v>
      </c>
      <c r="D5012">
        <v>6258</v>
      </c>
      <c r="E5012" t="str">
        <f>"10"</f>
        <v>10</v>
      </c>
      <c r="F5012" t="str">
        <f>"041"</f>
        <v>041</v>
      </c>
      <c r="G5012">
        <v>9</v>
      </c>
      <c r="H5012" t="str">
        <f t="shared" si="1068"/>
        <v>99</v>
      </c>
      <c r="I5012" t="str">
        <f t="shared" si="1067"/>
        <v>0</v>
      </c>
      <c r="J5012" t="str">
        <f t="shared" si="1071"/>
        <v>73</v>
      </c>
      <c r="K5012">
        <v>20190308</v>
      </c>
      <c r="L5012" t="str">
        <f t="shared" si="1072"/>
        <v>075894</v>
      </c>
      <c r="M5012" t="str">
        <f t="shared" si="1073"/>
        <v>20706</v>
      </c>
      <c r="N5012" t="s">
        <v>2003</v>
      </c>
      <c r="O5012">
        <v>951.02</v>
      </c>
      <c r="P5012">
        <v>20190305</v>
      </c>
      <c r="Q5012" t="s">
        <v>2027</v>
      </c>
      <c r="R5012" t="s">
        <v>4071</v>
      </c>
      <c r="S5012" t="s">
        <v>1615</v>
      </c>
      <c r="T5012" t="s">
        <v>106</v>
      </c>
    </row>
    <row r="5013" spans="1:20" x14ac:dyDescent="0.25">
      <c r="A5013">
        <v>9</v>
      </c>
      <c r="B5013">
        <v>199</v>
      </c>
      <c r="C5013" t="str">
        <f t="shared" si="1069"/>
        <v>51</v>
      </c>
      <c r="D5013">
        <v>6258</v>
      </c>
      <c r="E5013" t="str">
        <f>"10"</f>
        <v>10</v>
      </c>
      <c r="F5013" t="str">
        <f>"101"</f>
        <v>101</v>
      </c>
      <c r="G5013">
        <v>9</v>
      </c>
      <c r="H5013" t="str">
        <f t="shared" si="1068"/>
        <v>99</v>
      </c>
      <c r="I5013" t="str">
        <f t="shared" si="1067"/>
        <v>0</v>
      </c>
      <c r="J5013" t="str">
        <f t="shared" si="1071"/>
        <v>73</v>
      </c>
      <c r="K5013">
        <v>20190308</v>
      </c>
      <c r="L5013" t="str">
        <f t="shared" si="1072"/>
        <v>075894</v>
      </c>
      <c r="M5013" t="str">
        <f t="shared" si="1073"/>
        <v>20706</v>
      </c>
      <c r="N5013" t="s">
        <v>2003</v>
      </c>
      <c r="O5013">
        <v>229.51</v>
      </c>
      <c r="P5013">
        <v>20190305</v>
      </c>
      <c r="Q5013" t="s">
        <v>2029</v>
      </c>
      <c r="R5013" t="s">
        <v>4072</v>
      </c>
      <c r="S5013" t="s">
        <v>1615</v>
      </c>
      <c r="T5013" t="s">
        <v>1479</v>
      </c>
    </row>
    <row r="5014" spans="1:20" x14ac:dyDescent="0.25">
      <c r="A5014">
        <v>9</v>
      </c>
      <c r="B5014">
        <v>199</v>
      </c>
      <c r="C5014" t="str">
        <f t="shared" si="1069"/>
        <v>51</v>
      </c>
      <c r="D5014">
        <v>6258</v>
      </c>
      <c r="E5014" t="str">
        <f>"10"</f>
        <v>10</v>
      </c>
      <c r="F5014" t="str">
        <f>"104"</f>
        <v>104</v>
      </c>
      <c r="G5014">
        <v>9</v>
      </c>
      <c r="H5014" t="str">
        <f t="shared" si="1068"/>
        <v>99</v>
      </c>
      <c r="I5014" t="str">
        <f t="shared" si="1067"/>
        <v>0</v>
      </c>
      <c r="J5014" t="str">
        <f t="shared" si="1071"/>
        <v>73</v>
      </c>
      <c r="K5014">
        <v>20190308</v>
      </c>
      <c r="L5014" t="str">
        <f t="shared" si="1072"/>
        <v>075894</v>
      </c>
      <c r="M5014" t="str">
        <f t="shared" si="1073"/>
        <v>20706</v>
      </c>
      <c r="N5014" t="s">
        <v>2003</v>
      </c>
      <c r="O5014">
        <v>359.11</v>
      </c>
      <c r="P5014">
        <v>20190305</v>
      </c>
      <c r="Q5014" t="s">
        <v>2031</v>
      </c>
      <c r="R5014" t="s">
        <v>4073</v>
      </c>
      <c r="S5014" t="s">
        <v>1615</v>
      </c>
      <c r="T5014" t="s">
        <v>46</v>
      </c>
    </row>
    <row r="5015" spans="1:20" x14ac:dyDescent="0.25">
      <c r="A5015">
        <v>9</v>
      </c>
      <c r="B5015">
        <v>199</v>
      </c>
      <c r="C5015" t="str">
        <f t="shared" si="1069"/>
        <v>51</v>
      </c>
      <c r="D5015">
        <v>6258</v>
      </c>
      <c r="E5015" t="str">
        <f>"11"</f>
        <v>11</v>
      </c>
      <c r="F5015" t="str">
        <f>"001"</f>
        <v>001</v>
      </c>
      <c r="G5015">
        <v>9</v>
      </c>
      <c r="H5015" t="str">
        <f t="shared" si="1068"/>
        <v>99</v>
      </c>
      <c r="I5015" t="str">
        <f t="shared" si="1067"/>
        <v>0</v>
      </c>
      <c r="J5015" t="str">
        <f t="shared" si="1071"/>
        <v>73</v>
      </c>
      <c r="K5015">
        <v>20190308</v>
      </c>
      <c r="L5015" t="str">
        <f t="shared" si="1072"/>
        <v>075894</v>
      </c>
      <c r="M5015" t="str">
        <f t="shared" si="1073"/>
        <v>20706</v>
      </c>
      <c r="N5015" t="s">
        <v>2003</v>
      </c>
      <c r="O5015">
        <v>209.93</v>
      </c>
      <c r="P5015">
        <v>20190305</v>
      </c>
      <c r="Q5015" t="s">
        <v>2033</v>
      </c>
      <c r="R5015" t="s">
        <v>4074</v>
      </c>
      <c r="S5015" t="s">
        <v>1615</v>
      </c>
      <c r="T5015" t="s">
        <v>301</v>
      </c>
    </row>
    <row r="5016" spans="1:20" x14ac:dyDescent="0.25">
      <c r="A5016">
        <v>9</v>
      </c>
      <c r="B5016">
        <v>199</v>
      </c>
      <c r="C5016" t="str">
        <f>"11"</f>
        <v>11</v>
      </c>
      <c r="D5016">
        <v>6495</v>
      </c>
      <c r="E5016" t="str">
        <f>"V8"</f>
        <v>V8</v>
      </c>
      <c r="F5016" t="str">
        <f>"001"</f>
        <v>001</v>
      </c>
      <c r="G5016">
        <v>9</v>
      </c>
      <c r="H5016" t="str">
        <f>"22"</f>
        <v>22</v>
      </c>
      <c r="I5016" t="str">
        <f t="shared" si="1067"/>
        <v>0</v>
      </c>
      <c r="J5016" t="str">
        <f>"22"</f>
        <v>22</v>
      </c>
      <c r="K5016">
        <v>20190308</v>
      </c>
      <c r="L5016" t="str">
        <f>"075895"</f>
        <v>075895</v>
      </c>
      <c r="M5016" t="str">
        <f>"21084"</f>
        <v>21084</v>
      </c>
      <c r="N5016" t="s">
        <v>2366</v>
      </c>
      <c r="O5016">
        <v>11</v>
      </c>
      <c r="P5016">
        <v>20190306</v>
      </c>
      <c r="Q5016" t="s">
        <v>2338</v>
      </c>
      <c r="R5016" t="s">
        <v>4026</v>
      </c>
      <c r="S5016" t="s">
        <v>1615</v>
      </c>
      <c r="T5016" t="s">
        <v>301</v>
      </c>
    </row>
    <row r="5017" spans="1:20" x14ac:dyDescent="0.25">
      <c r="A5017">
        <v>9</v>
      </c>
      <c r="B5017">
        <v>199</v>
      </c>
      <c r="C5017" t="str">
        <f>"11"</f>
        <v>11</v>
      </c>
      <c r="D5017">
        <v>6399</v>
      </c>
      <c r="E5017" t="str">
        <f>"45"</f>
        <v>45</v>
      </c>
      <c r="F5017" t="str">
        <f>"104"</f>
        <v>104</v>
      </c>
      <c r="G5017">
        <v>9</v>
      </c>
      <c r="H5017" t="str">
        <f>"11"</f>
        <v>11</v>
      </c>
      <c r="I5017" t="str">
        <f t="shared" si="1067"/>
        <v>0</v>
      </c>
      <c r="J5017" t="str">
        <f>"05"</f>
        <v>05</v>
      </c>
      <c r="K5017">
        <v>20190308</v>
      </c>
      <c r="L5017" t="str">
        <f>"075897"</f>
        <v>075897</v>
      </c>
      <c r="M5017" t="str">
        <f>"21098"</f>
        <v>21098</v>
      </c>
      <c r="N5017" t="s">
        <v>2038</v>
      </c>
      <c r="O5017">
        <v>299.55</v>
      </c>
      <c r="P5017">
        <v>20190306</v>
      </c>
      <c r="Q5017" t="s">
        <v>2069</v>
      </c>
      <c r="R5017" t="s">
        <v>641</v>
      </c>
      <c r="S5017" t="s">
        <v>1615</v>
      </c>
      <c r="T5017" t="s">
        <v>46</v>
      </c>
    </row>
    <row r="5018" spans="1:20" x14ac:dyDescent="0.25">
      <c r="A5018">
        <v>9</v>
      </c>
      <c r="B5018">
        <v>199</v>
      </c>
      <c r="C5018" t="str">
        <f>"23"</f>
        <v>23</v>
      </c>
      <c r="D5018">
        <v>6399</v>
      </c>
      <c r="E5018" t="str">
        <f>"8K"</f>
        <v>8K</v>
      </c>
      <c r="F5018" t="str">
        <f>"104"</f>
        <v>104</v>
      </c>
      <c r="G5018">
        <v>9</v>
      </c>
      <c r="H5018" t="str">
        <f t="shared" ref="H5018:H5029" si="1074">"99"</f>
        <v>99</v>
      </c>
      <c r="I5018" t="str">
        <f t="shared" si="1067"/>
        <v>0</v>
      </c>
      <c r="J5018" t="str">
        <f>"05"</f>
        <v>05</v>
      </c>
      <c r="K5018">
        <v>20190308</v>
      </c>
      <c r="L5018" t="str">
        <f>"075897"</f>
        <v>075897</v>
      </c>
      <c r="M5018" t="str">
        <f>"21098"</f>
        <v>21098</v>
      </c>
      <c r="N5018" t="s">
        <v>2038</v>
      </c>
      <c r="O5018">
        <v>87.86</v>
      </c>
      <c r="P5018">
        <v>20190306</v>
      </c>
      <c r="Q5018" t="s">
        <v>2326</v>
      </c>
      <c r="R5018" t="s">
        <v>641</v>
      </c>
      <c r="S5018" t="s">
        <v>1615</v>
      </c>
      <c r="T5018" t="s">
        <v>46</v>
      </c>
    </row>
    <row r="5019" spans="1:20" x14ac:dyDescent="0.25">
      <c r="A5019">
        <v>9</v>
      </c>
      <c r="B5019">
        <v>199</v>
      </c>
      <c r="C5019" t="str">
        <f>"34"</f>
        <v>34</v>
      </c>
      <c r="D5019">
        <v>6399</v>
      </c>
      <c r="E5019" t="str">
        <f t="shared" ref="E5019:E5026" si="1075">"10"</f>
        <v>10</v>
      </c>
      <c r="F5019" t="str">
        <f>"937"</f>
        <v>937</v>
      </c>
      <c r="G5019">
        <v>9</v>
      </c>
      <c r="H5019" t="str">
        <f t="shared" si="1074"/>
        <v>99</v>
      </c>
      <c r="I5019" t="str">
        <f t="shared" si="1067"/>
        <v>0</v>
      </c>
      <c r="J5019" t="str">
        <f>"82"</f>
        <v>82</v>
      </c>
      <c r="K5019">
        <v>20190308</v>
      </c>
      <c r="L5019" t="str">
        <f>"075897"</f>
        <v>075897</v>
      </c>
      <c r="M5019" t="str">
        <f>"21098"</f>
        <v>21098</v>
      </c>
      <c r="N5019" t="s">
        <v>2038</v>
      </c>
      <c r="O5019">
        <v>100.93</v>
      </c>
      <c r="P5019">
        <v>20190306</v>
      </c>
      <c r="Q5019" t="s">
        <v>4075</v>
      </c>
      <c r="R5019" t="s">
        <v>4018</v>
      </c>
      <c r="S5019" t="s">
        <v>1615</v>
      </c>
      <c r="T5019" t="s">
        <v>1810</v>
      </c>
    </row>
    <row r="5020" spans="1:20" x14ac:dyDescent="0.25">
      <c r="A5020">
        <v>9</v>
      </c>
      <c r="B5020">
        <v>199</v>
      </c>
      <c r="C5020" t="str">
        <f>"51"</f>
        <v>51</v>
      </c>
      <c r="D5020">
        <v>6399</v>
      </c>
      <c r="E5020" t="str">
        <f t="shared" si="1075"/>
        <v>10</v>
      </c>
      <c r="F5020" t="str">
        <f>"936"</f>
        <v>936</v>
      </c>
      <c r="G5020">
        <v>9</v>
      </c>
      <c r="H5020" t="str">
        <f t="shared" si="1074"/>
        <v>99</v>
      </c>
      <c r="I5020" t="str">
        <f t="shared" si="1067"/>
        <v>0</v>
      </c>
      <c r="J5020" t="str">
        <f>"81"</f>
        <v>81</v>
      </c>
      <c r="K5020">
        <v>20190308</v>
      </c>
      <c r="L5020" t="str">
        <f>"075897"</f>
        <v>075897</v>
      </c>
      <c r="M5020" t="str">
        <f>"21098"</f>
        <v>21098</v>
      </c>
      <c r="N5020" t="s">
        <v>2038</v>
      </c>
      <c r="O5020">
        <v>123.44</v>
      </c>
      <c r="P5020">
        <v>20190306</v>
      </c>
      <c r="Q5020" t="s">
        <v>3264</v>
      </c>
      <c r="R5020" t="s">
        <v>641</v>
      </c>
      <c r="S5020" t="s">
        <v>1615</v>
      </c>
      <c r="T5020" t="s">
        <v>1713</v>
      </c>
    </row>
    <row r="5021" spans="1:20" x14ac:dyDescent="0.25">
      <c r="A5021">
        <v>9</v>
      </c>
      <c r="B5021">
        <v>199</v>
      </c>
      <c r="C5021" t="str">
        <f t="shared" ref="C5021:C5026" si="1076">"34"</f>
        <v>34</v>
      </c>
      <c r="D5021">
        <v>6249</v>
      </c>
      <c r="E5021" t="str">
        <f t="shared" si="1075"/>
        <v>10</v>
      </c>
      <c r="F5021" t="str">
        <f t="shared" ref="F5021:F5026" si="1077">"937"</f>
        <v>937</v>
      </c>
      <c r="G5021">
        <v>9</v>
      </c>
      <c r="H5021" t="str">
        <f t="shared" si="1074"/>
        <v>99</v>
      </c>
      <c r="I5021" t="str">
        <f t="shared" si="1067"/>
        <v>0</v>
      </c>
      <c r="J5021" t="str">
        <f t="shared" ref="J5021:J5026" si="1078">"82"</f>
        <v>82</v>
      </c>
      <c r="K5021">
        <v>20190308</v>
      </c>
      <c r="L5021" t="str">
        <f t="shared" ref="L5021:L5026" si="1079">"075900"</f>
        <v>075900</v>
      </c>
      <c r="M5021" t="str">
        <f t="shared" ref="M5021:M5026" si="1080">"21901"</f>
        <v>21901</v>
      </c>
      <c r="N5021" t="s">
        <v>2046</v>
      </c>
      <c r="O5021">
        <v>759.23</v>
      </c>
      <c r="P5021">
        <v>20190306</v>
      </c>
      <c r="Q5021" t="s">
        <v>2036</v>
      </c>
      <c r="R5021" t="s">
        <v>4076</v>
      </c>
      <c r="S5021" t="s">
        <v>1615</v>
      </c>
      <c r="T5021" t="s">
        <v>1810</v>
      </c>
    </row>
    <row r="5022" spans="1:20" x14ac:dyDescent="0.25">
      <c r="A5022">
        <v>9</v>
      </c>
      <c r="B5022">
        <v>199</v>
      </c>
      <c r="C5022" t="str">
        <f t="shared" si="1076"/>
        <v>34</v>
      </c>
      <c r="D5022">
        <v>6249</v>
      </c>
      <c r="E5022" t="str">
        <f t="shared" si="1075"/>
        <v>10</v>
      </c>
      <c r="F5022" t="str">
        <f t="shared" si="1077"/>
        <v>937</v>
      </c>
      <c r="G5022">
        <v>9</v>
      </c>
      <c r="H5022" t="str">
        <f t="shared" si="1074"/>
        <v>99</v>
      </c>
      <c r="I5022" t="str">
        <f t="shared" si="1067"/>
        <v>0</v>
      </c>
      <c r="J5022" t="str">
        <f t="shared" si="1078"/>
        <v>82</v>
      </c>
      <c r="K5022">
        <v>20190308</v>
      </c>
      <c r="L5022" t="str">
        <f t="shared" si="1079"/>
        <v>075900</v>
      </c>
      <c r="M5022" t="str">
        <f t="shared" si="1080"/>
        <v>21901</v>
      </c>
      <c r="N5022" t="s">
        <v>2046</v>
      </c>
      <c r="O5022">
        <v>190</v>
      </c>
      <c r="P5022">
        <v>20190306</v>
      </c>
      <c r="Q5022" t="s">
        <v>2036</v>
      </c>
      <c r="R5022" t="s">
        <v>4077</v>
      </c>
      <c r="S5022" t="s">
        <v>1615</v>
      </c>
      <c r="T5022" t="s">
        <v>1810</v>
      </c>
    </row>
    <row r="5023" spans="1:20" x14ac:dyDescent="0.25">
      <c r="A5023">
        <v>9</v>
      </c>
      <c r="B5023">
        <v>199</v>
      </c>
      <c r="C5023" t="str">
        <f t="shared" si="1076"/>
        <v>34</v>
      </c>
      <c r="D5023">
        <v>6249</v>
      </c>
      <c r="E5023" t="str">
        <f t="shared" si="1075"/>
        <v>10</v>
      </c>
      <c r="F5023" t="str">
        <f t="shared" si="1077"/>
        <v>937</v>
      </c>
      <c r="G5023">
        <v>9</v>
      </c>
      <c r="H5023" t="str">
        <f t="shared" si="1074"/>
        <v>99</v>
      </c>
      <c r="I5023" t="str">
        <f t="shared" si="1067"/>
        <v>0</v>
      </c>
      <c r="J5023" t="str">
        <f t="shared" si="1078"/>
        <v>82</v>
      </c>
      <c r="K5023">
        <v>20190308</v>
      </c>
      <c r="L5023" t="str">
        <f t="shared" si="1079"/>
        <v>075900</v>
      </c>
      <c r="M5023" t="str">
        <f t="shared" si="1080"/>
        <v>21901</v>
      </c>
      <c r="N5023" t="s">
        <v>2046</v>
      </c>
      <c r="O5023">
        <v>190</v>
      </c>
      <c r="P5023">
        <v>20190306</v>
      </c>
      <c r="Q5023" t="s">
        <v>2036</v>
      </c>
      <c r="R5023" t="s">
        <v>4078</v>
      </c>
      <c r="S5023" t="s">
        <v>1615</v>
      </c>
      <c r="T5023" t="s">
        <v>1810</v>
      </c>
    </row>
    <row r="5024" spans="1:20" x14ac:dyDescent="0.25">
      <c r="A5024">
        <v>9</v>
      </c>
      <c r="B5024">
        <v>199</v>
      </c>
      <c r="C5024" t="str">
        <f t="shared" si="1076"/>
        <v>34</v>
      </c>
      <c r="D5024">
        <v>6249</v>
      </c>
      <c r="E5024" t="str">
        <f t="shared" si="1075"/>
        <v>10</v>
      </c>
      <c r="F5024" t="str">
        <f t="shared" si="1077"/>
        <v>937</v>
      </c>
      <c r="G5024">
        <v>9</v>
      </c>
      <c r="H5024" t="str">
        <f t="shared" si="1074"/>
        <v>99</v>
      </c>
      <c r="I5024" t="str">
        <f t="shared" si="1067"/>
        <v>0</v>
      </c>
      <c r="J5024" t="str">
        <f t="shared" si="1078"/>
        <v>82</v>
      </c>
      <c r="K5024">
        <v>20190308</v>
      </c>
      <c r="L5024" t="str">
        <f t="shared" si="1079"/>
        <v>075900</v>
      </c>
      <c r="M5024" t="str">
        <f t="shared" si="1080"/>
        <v>21901</v>
      </c>
      <c r="N5024" t="s">
        <v>2046</v>
      </c>
      <c r="O5024">
        <v>190</v>
      </c>
      <c r="P5024">
        <v>20190306</v>
      </c>
      <c r="Q5024" t="s">
        <v>2036</v>
      </c>
      <c r="R5024" t="s">
        <v>4079</v>
      </c>
      <c r="S5024" t="s">
        <v>1615</v>
      </c>
      <c r="T5024" t="s">
        <v>1810</v>
      </c>
    </row>
    <row r="5025" spans="1:20" x14ac:dyDescent="0.25">
      <c r="A5025">
        <v>9</v>
      </c>
      <c r="B5025">
        <v>199</v>
      </c>
      <c r="C5025" t="str">
        <f t="shared" si="1076"/>
        <v>34</v>
      </c>
      <c r="D5025">
        <v>6249</v>
      </c>
      <c r="E5025" t="str">
        <f t="shared" si="1075"/>
        <v>10</v>
      </c>
      <c r="F5025" t="str">
        <f t="shared" si="1077"/>
        <v>937</v>
      </c>
      <c r="G5025">
        <v>9</v>
      </c>
      <c r="H5025" t="str">
        <f t="shared" si="1074"/>
        <v>99</v>
      </c>
      <c r="I5025" t="str">
        <f t="shared" si="1067"/>
        <v>0</v>
      </c>
      <c r="J5025" t="str">
        <f t="shared" si="1078"/>
        <v>82</v>
      </c>
      <c r="K5025">
        <v>20190308</v>
      </c>
      <c r="L5025" t="str">
        <f t="shared" si="1079"/>
        <v>075900</v>
      </c>
      <c r="M5025" t="str">
        <f t="shared" si="1080"/>
        <v>21901</v>
      </c>
      <c r="N5025" t="s">
        <v>2046</v>
      </c>
      <c r="O5025">
        <v>190</v>
      </c>
      <c r="P5025">
        <v>20190306</v>
      </c>
      <c r="Q5025" t="s">
        <v>2036</v>
      </c>
      <c r="R5025" t="s">
        <v>4080</v>
      </c>
      <c r="S5025" t="s">
        <v>1615</v>
      </c>
      <c r="T5025" t="s">
        <v>1810</v>
      </c>
    </row>
    <row r="5026" spans="1:20" x14ac:dyDescent="0.25">
      <c r="A5026">
        <v>9</v>
      </c>
      <c r="B5026">
        <v>199</v>
      </c>
      <c r="C5026" t="str">
        <f t="shared" si="1076"/>
        <v>34</v>
      </c>
      <c r="D5026">
        <v>6249</v>
      </c>
      <c r="E5026" t="str">
        <f t="shared" si="1075"/>
        <v>10</v>
      </c>
      <c r="F5026" t="str">
        <f t="shared" si="1077"/>
        <v>937</v>
      </c>
      <c r="G5026">
        <v>9</v>
      </c>
      <c r="H5026" t="str">
        <f t="shared" si="1074"/>
        <v>99</v>
      </c>
      <c r="I5026" t="str">
        <f t="shared" si="1067"/>
        <v>0</v>
      </c>
      <c r="J5026" t="str">
        <f t="shared" si="1078"/>
        <v>82</v>
      </c>
      <c r="K5026">
        <v>20190308</v>
      </c>
      <c r="L5026" t="str">
        <f t="shared" si="1079"/>
        <v>075900</v>
      </c>
      <c r="M5026" t="str">
        <f t="shared" si="1080"/>
        <v>21901</v>
      </c>
      <c r="N5026" t="s">
        <v>2046</v>
      </c>
      <c r="O5026">
        <v>190</v>
      </c>
      <c r="P5026">
        <v>20190306</v>
      </c>
      <c r="Q5026" t="s">
        <v>2036</v>
      </c>
      <c r="R5026" t="s">
        <v>4081</v>
      </c>
      <c r="S5026" t="s">
        <v>1615</v>
      </c>
      <c r="T5026" t="s">
        <v>1810</v>
      </c>
    </row>
    <row r="5027" spans="1:20" x14ac:dyDescent="0.25">
      <c r="A5027">
        <v>9</v>
      </c>
      <c r="B5027">
        <v>199</v>
      </c>
      <c r="C5027" t="str">
        <f>"51"</f>
        <v>51</v>
      </c>
      <c r="D5027">
        <v>6249</v>
      </c>
      <c r="E5027" t="str">
        <f>"MC"</f>
        <v>MC</v>
      </c>
      <c r="F5027" t="str">
        <f>"001"</f>
        <v>001</v>
      </c>
      <c r="G5027">
        <v>9</v>
      </c>
      <c r="H5027" t="str">
        <f t="shared" si="1074"/>
        <v>99</v>
      </c>
      <c r="I5027" t="str">
        <f t="shared" si="1067"/>
        <v>0</v>
      </c>
      <c r="J5027" t="str">
        <f>"81"</f>
        <v>81</v>
      </c>
      <c r="K5027">
        <v>20190308</v>
      </c>
      <c r="L5027" t="str">
        <f>"075904"</f>
        <v>075904</v>
      </c>
      <c r="M5027" t="str">
        <f>"24130"</f>
        <v>24130</v>
      </c>
      <c r="N5027" t="s">
        <v>567</v>
      </c>
      <c r="O5027" s="1">
        <v>1488.74</v>
      </c>
      <c r="P5027">
        <v>20190306</v>
      </c>
      <c r="Q5027" t="s">
        <v>2386</v>
      </c>
      <c r="R5027" t="s">
        <v>4082</v>
      </c>
      <c r="S5027" t="s">
        <v>1615</v>
      </c>
      <c r="T5027" t="s">
        <v>301</v>
      </c>
    </row>
    <row r="5028" spans="1:20" x14ac:dyDescent="0.25">
      <c r="A5028">
        <v>9</v>
      </c>
      <c r="B5028">
        <v>199</v>
      </c>
      <c r="C5028" t="str">
        <f>"51"</f>
        <v>51</v>
      </c>
      <c r="D5028">
        <v>6249</v>
      </c>
      <c r="E5028" t="str">
        <f>"MC"</f>
        <v>MC</v>
      </c>
      <c r="F5028" t="str">
        <f>"041"</f>
        <v>041</v>
      </c>
      <c r="G5028">
        <v>9</v>
      </c>
      <c r="H5028" t="str">
        <f t="shared" si="1074"/>
        <v>99</v>
      </c>
      <c r="I5028" t="str">
        <f t="shared" si="1067"/>
        <v>0</v>
      </c>
      <c r="J5028" t="str">
        <f>"81"</f>
        <v>81</v>
      </c>
      <c r="K5028">
        <v>20190308</v>
      </c>
      <c r="L5028" t="str">
        <f>"075904"</f>
        <v>075904</v>
      </c>
      <c r="M5028" t="str">
        <f>"24130"</f>
        <v>24130</v>
      </c>
      <c r="N5028" t="s">
        <v>567</v>
      </c>
      <c r="O5028">
        <v>600.87</v>
      </c>
      <c r="P5028">
        <v>20190306</v>
      </c>
      <c r="Q5028" t="s">
        <v>1707</v>
      </c>
      <c r="R5028" t="s">
        <v>4083</v>
      </c>
      <c r="S5028" t="s">
        <v>1615</v>
      </c>
      <c r="T5028" t="s">
        <v>106</v>
      </c>
    </row>
    <row r="5029" spans="1:20" x14ac:dyDescent="0.25">
      <c r="A5029">
        <v>9</v>
      </c>
      <c r="B5029">
        <v>199</v>
      </c>
      <c r="C5029" t="str">
        <f>"51"</f>
        <v>51</v>
      </c>
      <c r="D5029">
        <v>6249</v>
      </c>
      <c r="E5029" t="str">
        <f>"M8"</f>
        <v>M8</v>
      </c>
      <c r="F5029" t="str">
        <f>"936"</f>
        <v>936</v>
      </c>
      <c r="G5029">
        <v>9</v>
      </c>
      <c r="H5029" t="str">
        <f t="shared" si="1074"/>
        <v>99</v>
      </c>
      <c r="I5029" t="str">
        <f t="shared" si="1067"/>
        <v>0</v>
      </c>
      <c r="J5029" t="str">
        <f>"81"</f>
        <v>81</v>
      </c>
      <c r="K5029">
        <v>20190308</v>
      </c>
      <c r="L5029" t="str">
        <f>"075905"</f>
        <v>075905</v>
      </c>
      <c r="M5029" t="str">
        <f>"00679"</f>
        <v>00679</v>
      </c>
      <c r="N5029" t="s">
        <v>4084</v>
      </c>
      <c r="O5029" s="1">
        <v>1962</v>
      </c>
      <c r="P5029">
        <v>20190306</v>
      </c>
      <c r="Q5029" t="s">
        <v>2096</v>
      </c>
      <c r="R5029" t="s">
        <v>3321</v>
      </c>
      <c r="S5029" t="s">
        <v>1615</v>
      </c>
      <c r="T5029" t="s">
        <v>1713</v>
      </c>
    </row>
    <row r="5030" spans="1:20" x14ac:dyDescent="0.25">
      <c r="A5030">
        <v>9</v>
      </c>
      <c r="B5030">
        <v>199</v>
      </c>
      <c r="C5030" t="str">
        <f>"11"</f>
        <v>11</v>
      </c>
      <c r="D5030">
        <v>6649</v>
      </c>
      <c r="E5030" t="str">
        <f>"00"</f>
        <v>00</v>
      </c>
      <c r="F5030" t="str">
        <f>"001"</f>
        <v>001</v>
      </c>
      <c r="G5030">
        <v>9</v>
      </c>
      <c r="H5030" t="str">
        <f>"11"</f>
        <v>11</v>
      </c>
      <c r="I5030" t="str">
        <f>"Z"</f>
        <v>Z</v>
      </c>
      <c r="J5030" t="str">
        <f>"80"</f>
        <v>80</v>
      </c>
      <c r="K5030">
        <v>20190308</v>
      </c>
      <c r="L5030" t="str">
        <f>"075910"</f>
        <v>075910</v>
      </c>
      <c r="M5030" t="str">
        <f>"25165"</f>
        <v>25165</v>
      </c>
      <c r="N5030" t="s">
        <v>2860</v>
      </c>
      <c r="O5030" s="1">
        <v>24750</v>
      </c>
      <c r="P5030">
        <v>20190306</v>
      </c>
      <c r="Q5030" t="s">
        <v>4085</v>
      </c>
      <c r="R5030" t="s">
        <v>4086</v>
      </c>
      <c r="S5030" t="s">
        <v>1615</v>
      </c>
      <c r="T5030" t="s">
        <v>301</v>
      </c>
    </row>
    <row r="5031" spans="1:20" x14ac:dyDescent="0.25">
      <c r="A5031">
        <v>9</v>
      </c>
      <c r="B5031">
        <v>199</v>
      </c>
      <c r="C5031" t="str">
        <f>"11"</f>
        <v>11</v>
      </c>
      <c r="D5031">
        <v>6649</v>
      </c>
      <c r="E5031" t="str">
        <f>"00"</f>
        <v>00</v>
      </c>
      <c r="F5031" t="str">
        <f>"001"</f>
        <v>001</v>
      </c>
      <c r="G5031">
        <v>9</v>
      </c>
      <c r="H5031" t="str">
        <f>"11"</f>
        <v>11</v>
      </c>
      <c r="I5031" t="str">
        <f>"Z"</f>
        <v>Z</v>
      </c>
      <c r="J5031" t="str">
        <f>"80"</f>
        <v>80</v>
      </c>
      <c r="K5031">
        <v>20190308</v>
      </c>
      <c r="L5031" t="str">
        <f>"075910"</f>
        <v>075910</v>
      </c>
      <c r="M5031" t="str">
        <f>"25165"</f>
        <v>25165</v>
      </c>
      <c r="N5031" t="s">
        <v>2860</v>
      </c>
      <c r="O5031" s="1">
        <v>30079.279999999999</v>
      </c>
      <c r="P5031">
        <v>20190306</v>
      </c>
      <c r="Q5031" t="s">
        <v>4085</v>
      </c>
      <c r="R5031" t="s">
        <v>4086</v>
      </c>
      <c r="S5031" t="s">
        <v>1615</v>
      </c>
      <c r="T5031" t="s">
        <v>301</v>
      </c>
    </row>
    <row r="5032" spans="1:20" x14ac:dyDescent="0.25">
      <c r="A5032">
        <v>9</v>
      </c>
      <c r="B5032">
        <v>199</v>
      </c>
      <c r="C5032" t="str">
        <f>"23"</f>
        <v>23</v>
      </c>
      <c r="D5032">
        <v>6649</v>
      </c>
      <c r="E5032" t="str">
        <f>"10"</f>
        <v>10</v>
      </c>
      <c r="F5032" t="str">
        <f>"104"</f>
        <v>104</v>
      </c>
      <c r="G5032">
        <v>9</v>
      </c>
      <c r="H5032" t="str">
        <f>"99"</f>
        <v>99</v>
      </c>
      <c r="I5032" t="str">
        <f t="shared" ref="I5032:I5039" si="1081">"0"</f>
        <v>0</v>
      </c>
      <c r="J5032" t="str">
        <f>"05"</f>
        <v>05</v>
      </c>
      <c r="K5032">
        <v>20190308</v>
      </c>
      <c r="L5032" t="str">
        <f>"075910"</f>
        <v>075910</v>
      </c>
      <c r="M5032" t="str">
        <f>"25165"</f>
        <v>25165</v>
      </c>
      <c r="N5032" t="s">
        <v>2860</v>
      </c>
      <c r="O5032" s="1">
        <v>1145.75</v>
      </c>
      <c r="P5032">
        <v>20190306</v>
      </c>
      <c r="Q5032" t="s">
        <v>3545</v>
      </c>
      <c r="R5032" t="s">
        <v>4086</v>
      </c>
      <c r="S5032" t="s">
        <v>1615</v>
      </c>
      <c r="T5032" t="s">
        <v>46</v>
      </c>
    </row>
    <row r="5033" spans="1:20" x14ac:dyDescent="0.25">
      <c r="A5033">
        <v>9</v>
      </c>
      <c r="B5033">
        <v>199</v>
      </c>
      <c r="C5033" t="str">
        <f>"51"</f>
        <v>51</v>
      </c>
      <c r="D5033">
        <v>6256</v>
      </c>
      <c r="E5033" t="str">
        <f>"15"</f>
        <v>15</v>
      </c>
      <c r="F5033" t="str">
        <f>"880"</f>
        <v>880</v>
      </c>
      <c r="G5033">
        <v>9</v>
      </c>
      <c r="H5033" t="str">
        <f>"99"</f>
        <v>99</v>
      </c>
      <c r="I5033" t="str">
        <f t="shared" si="1081"/>
        <v>0</v>
      </c>
      <c r="J5033" t="str">
        <f>"80"</f>
        <v>80</v>
      </c>
      <c r="K5033">
        <v>20190308</v>
      </c>
      <c r="L5033" t="str">
        <f>"075911"</f>
        <v>075911</v>
      </c>
      <c r="M5033" t="str">
        <f>"77113"</f>
        <v>77113</v>
      </c>
      <c r="N5033" t="s">
        <v>1880</v>
      </c>
      <c r="O5033">
        <v>87.6</v>
      </c>
      <c r="P5033">
        <v>20190306</v>
      </c>
      <c r="Q5033" t="s">
        <v>2487</v>
      </c>
      <c r="R5033" t="s">
        <v>3324</v>
      </c>
      <c r="S5033" t="s">
        <v>1615</v>
      </c>
      <c r="T5033" t="s">
        <v>1866</v>
      </c>
    </row>
    <row r="5034" spans="1:20" x14ac:dyDescent="0.25">
      <c r="A5034">
        <v>9</v>
      </c>
      <c r="B5034">
        <v>199</v>
      </c>
      <c r="C5034" t="str">
        <f>"36"</f>
        <v>36</v>
      </c>
      <c r="D5034">
        <v>6499</v>
      </c>
      <c r="E5034" t="str">
        <f>"09"</f>
        <v>09</v>
      </c>
      <c r="F5034" t="str">
        <f t="shared" ref="F5034:F5044" si="1082">"001"</f>
        <v>001</v>
      </c>
      <c r="G5034">
        <v>9</v>
      </c>
      <c r="H5034" t="str">
        <f>"99"</f>
        <v>99</v>
      </c>
      <c r="I5034" t="str">
        <f t="shared" si="1081"/>
        <v>0</v>
      </c>
      <c r="J5034" t="str">
        <f>"01"</f>
        <v>01</v>
      </c>
      <c r="K5034">
        <v>20190308</v>
      </c>
      <c r="L5034" t="str">
        <f>"075913"</f>
        <v>075913</v>
      </c>
      <c r="M5034" t="str">
        <f>"25871"</f>
        <v>25871</v>
      </c>
      <c r="N5034" t="s">
        <v>1150</v>
      </c>
      <c r="O5034">
        <v>76.930000000000007</v>
      </c>
      <c r="P5034">
        <v>20190306</v>
      </c>
      <c r="Q5034" t="s">
        <v>3984</v>
      </c>
      <c r="R5034" t="s">
        <v>4087</v>
      </c>
      <c r="S5034" t="s">
        <v>1615</v>
      </c>
      <c r="T5034" t="s">
        <v>301</v>
      </c>
    </row>
    <row r="5035" spans="1:20" x14ac:dyDescent="0.25">
      <c r="A5035">
        <v>9</v>
      </c>
      <c r="B5035">
        <v>199</v>
      </c>
      <c r="C5035" t="str">
        <f>"11"</f>
        <v>11</v>
      </c>
      <c r="D5035">
        <v>6412</v>
      </c>
      <c r="E5035" t="str">
        <f>"TA"</f>
        <v>TA</v>
      </c>
      <c r="F5035" t="str">
        <f t="shared" si="1082"/>
        <v>001</v>
      </c>
      <c r="G5035">
        <v>9</v>
      </c>
      <c r="H5035" t="str">
        <f>"31"</f>
        <v>31</v>
      </c>
      <c r="I5035" t="str">
        <f t="shared" si="1081"/>
        <v>0</v>
      </c>
      <c r="J5035" t="str">
        <f>"34"</f>
        <v>34</v>
      </c>
      <c r="K5035">
        <v>20190308</v>
      </c>
      <c r="L5035" t="str">
        <f t="shared" ref="L5035:L5043" si="1083">"075915"</f>
        <v>075915</v>
      </c>
      <c r="M5035" t="str">
        <f t="shared" ref="M5035:M5043" si="1084">"28680"</f>
        <v>28680</v>
      </c>
      <c r="N5035" t="s">
        <v>482</v>
      </c>
      <c r="O5035">
        <v>103.39</v>
      </c>
      <c r="P5035">
        <v>20190306</v>
      </c>
      <c r="Q5035" t="s">
        <v>3895</v>
      </c>
      <c r="R5035" t="s">
        <v>3896</v>
      </c>
      <c r="S5035" t="s">
        <v>1615</v>
      </c>
      <c r="T5035" t="s">
        <v>301</v>
      </c>
    </row>
    <row r="5036" spans="1:20" x14ac:dyDescent="0.25">
      <c r="A5036">
        <v>9</v>
      </c>
      <c r="B5036">
        <v>199</v>
      </c>
      <c r="C5036" t="str">
        <f>"11"</f>
        <v>11</v>
      </c>
      <c r="D5036">
        <v>6412</v>
      </c>
      <c r="E5036" t="str">
        <f>"V8"</f>
        <v>V8</v>
      </c>
      <c r="F5036" t="str">
        <f t="shared" si="1082"/>
        <v>001</v>
      </c>
      <c r="G5036">
        <v>9</v>
      </c>
      <c r="H5036" t="str">
        <f>"22"</f>
        <v>22</v>
      </c>
      <c r="I5036" t="str">
        <f t="shared" si="1081"/>
        <v>0</v>
      </c>
      <c r="J5036" t="str">
        <f>"22"</f>
        <v>22</v>
      </c>
      <c r="K5036">
        <v>20190308</v>
      </c>
      <c r="L5036" t="str">
        <f t="shared" si="1083"/>
        <v>075915</v>
      </c>
      <c r="M5036" t="str">
        <f t="shared" si="1084"/>
        <v>28680</v>
      </c>
      <c r="N5036" t="s">
        <v>482</v>
      </c>
      <c r="O5036">
        <v>62.28</v>
      </c>
      <c r="P5036">
        <v>20190306</v>
      </c>
      <c r="Q5036" t="s">
        <v>1884</v>
      </c>
      <c r="R5036" t="s">
        <v>3652</v>
      </c>
      <c r="S5036" t="s">
        <v>1615</v>
      </c>
      <c r="T5036" t="s">
        <v>301</v>
      </c>
    </row>
    <row r="5037" spans="1:20" x14ac:dyDescent="0.25">
      <c r="A5037">
        <v>9</v>
      </c>
      <c r="B5037">
        <v>199</v>
      </c>
      <c r="C5037" t="str">
        <f>"21"</f>
        <v>21</v>
      </c>
      <c r="D5037">
        <v>6411</v>
      </c>
      <c r="E5037" t="str">
        <f>"V1"</f>
        <v>V1</v>
      </c>
      <c r="F5037" t="str">
        <f t="shared" si="1082"/>
        <v>001</v>
      </c>
      <c r="G5037">
        <v>9</v>
      </c>
      <c r="H5037" t="str">
        <f>"22"</f>
        <v>22</v>
      </c>
      <c r="I5037" t="str">
        <f t="shared" si="1081"/>
        <v>0</v>
      </c>
      <c r="J5037" t="str">
        <f>"22"</f>
        <v>22</v>
      </c>
      <c r="K5037">
        <v>20190308</v>
      </c>
      <c r="L5037" t="str">
        <f t="shared" si="1083"/>
        <v>075915</v>
      </c>
      <c r="M5037" t="str">
        <f t="shared" si="1084"/>
        <v>28680</v>
      </c>
      <c r="N5037" t="s">
        <v>482</v>
      </c>
      <c r="O5037">
        <v>182.44</v>
      </c>
      <c r="P5037">
        <v>20190306</v>
      </c>
      <c r="Q5037" t="s">
        <v>2728</v>
      </c>
      <c r="R5037" t="s">
        <v>2850</v>
      </c>
      <c r="S5037" t="s">
        <v>1615</v>
      </c>
      <c r="T5037" t="s">
        <v>301</v>
      </c>
    </row>
    <row r="5038" spans="1:20" x14ac:dyDescent="0.25">
      <c r="A5038">
        <v>9</v>
      </c>
      <c r="B5038">
        <v>199</v>
      </c>
      <c r="C5038" t="str">
        <f>"23"</f>
        <v>23</v>
      </c>
      <c r="D5038">
        <v>6411</v>
      </c>
      <c r="E5038" t="str">
        <f>"10"</f>
        <v>10</v>
      </c>
      <c r="F5038" t="str">
        <f t="shared" si="1082"/>
        <v>001</v>
      </c>
      <c r="G5038">
        <v>9</v>
      </c>
      <c r="H5038" t="str">
        <f>"99"</f>
        <v>99</v>
      </c>
      <c r="I5038" t="str">
        <f t="shared" si="1081"/>
        <v>0</v>
      </c>
      <c r="J5038" t="str">
        <f>"01"</f>
        <v>01</v>
      </c>
      <c r="K5038">
        <v>20190308</v>
      </c>
      <c r="L5038" t="str">
        <f t="shared" si="1083"/>
        <v>075915</v>
      </c>
      <c r="M5038" t="str">
        <f t="shared" si="1084"/>
        <v>28680</v>
      </c>
      <c r="N5038" t="s">
        <v>482</v>
      </c>
      <c r="O5038">
        <v>74</v>
      </c>
      <c r="P5038">
        <v>20190306</v>
      </c>
      <c r="Q5038" t="s">
        <v>2389</v>
      </c>
      <c r="R5038" t="s">
        <v>3864</v>
      </c>
      <c r="S5038" t="s">
        <v>1615</v>
      </c>
      <c r="T5038" t="s">
        <v>301</v>
      </c>
    </row>
    <row r="5039" spans="1:20" x14ac:dyDescent="0.25">
      <c r="A5039">
        <v>9</v>
      </c>
      <c r="B5039">
        <v>199</v>
      </c>
      <c r="C5039" t="str">
        <f>"36"</f>
        <v>36</v>
      </c>
      <c r="D5039">
        <v>6411</v>
      </c>
      <c r="E5039" t="str">
        <f>"VH"</f>
        <v>VH</v>
      </c>
      <c r="F5039" t="str">
        <f t="shared" si="1082"/>
        <v>001</v>
      </c>
      <c r="G5039">
        <v>9</v>
      </c>
      <c r="H5039" t="str">
        <f>"22"</f>
        <v>22</v>
      </c>
      <c r="I5039" t="str">
        <f t="shared" si="1081"/>
        <v>0</v>
      </c>
      <c r="J5039" t="str">
        <f>"22"</f>
        <v>22</v>
      </c>
      <c r="K5039">
        <v>20190308</v>
      </c>
      <c r="L5039" t="str">
        <f t="shared" si="1083"/>
        <v>075915</v>
      </c>
      <c r="M5039" t="str">
        <f t="shared" si="1084"/>
        <v>28680</v>
      </c>
      <c r="N5039" t="s">
        <v>482</v>
      </c>
      <c r="O5039">
        <v>95.59</v>
      </c>
      <c r="P5039">
        <v>20190306</v>
      </c>
      <c r="Q5039" t="s">
        <v>2377</v>
      </c>
      <c r="R5039" t="s">
        <v>4088</v>
      </c>
      <c r="S5039" t="s">
        <v>1615</v>
      </c>
      <c r="T5039" t="s">
        <v>301</v>
      </c>
    </row>
    <row r="5040" spans="1:20" x14ac:dyDescent="0.25">
      <c r="A5040">
        <v>9</v>
      </c>
      <c r="B5040">
        <v>199</v>
      </c>
      <c r="C5040" t="str">
        <f>"36"</f>
        <v>36</v>
      </c>
      <c r="D5040">
        <v>6412</v>
      </c>
      <c r="E5040" t="str">
        <f>"09"</f>
        <v>09</v>
      </c>
      <c r="F5040" t="str">
        <f t="shared" si="1082"/>
        <v>001</v>
      </c>
      <c r="G5040">
        <v>9</v>
      </c>
      <c r="H5040" t="str">
        <f>"23"</f>
        <v>23</v>
      </c>
      <c r="I5040" t="str">
        <f>"5"</f>
        <v>5</v>
      </c>
      <c r="J5040" t="str">
        <f>"74"</f>
        <v>74</v>
      </c>
      <c r="K5040">
        <v>20190308</v>
      </c>
      <c r="L5040" t="str">
        <f t="shared" si="1083"/>
        <v>075915</v>
      </c>
      <c r="M5040" t="str">
        <f t="shared" si="1084"/>
        <v>28680</v>
      </c>
      <c r="N5040" t="s">
        <v>482</v>
      </c>
      <c r="O5040">
        <v>186.83</v>
      </c>
      <c r="P5040">
        <v>20190306</v>
      </c>
      <c r="Q5040" t="s">
        <v>3384</v>
      </c>
      <c r="R5040" t="s">
        <v>3385</v>
      </c>
      <c r="S5040" t="s">
        <v>1615</v>
      </c>
      <c r="T5040" t="s">
        <v>301</v>
      </c>
    </row>
    <row r="5041" spans="1:20" x14ac:dyDescent="0.25">
      <c r="A5041">
        <v>9</v>
      </c>
      <c r="B5041">
        <v>199</v>
      </c>
      <c r="C5041" t="str">
        <f>"36"</f>
        <v>36</v>
      </c>
      <c r="D5041">
        <v>6412</v>
      </c>
      <c r="E5041" t="str">
        <f>"09"</f>
        <v>09</v>
      </c>
      <c r="F5041" t="str">
        <f t="shared" si="1082"/>
        <v>001</v>
      </c>
      <c r="G5041">
        <v>9</v>
      </c>
      <c r="H5041" t="str">
        <f>"23"</f>
        <v>23</v>
      </c>
      <c r="I5041" t="str">
        <f>"5"</f>
        <v>5</v>
      </c>
      <c r="J5041" t="str">
        <f>"74"</f>
        <v>74</v>
      </c>
      <c r="K5041">
        <v>20190308</v>
      </c>
      <c r="L5041" t="str">
        <f t="shared" si="1083"/>
        <v>075915</v>
      </c>
      <c r="M5041" t="str">
        <f t="shared" si="1084"/>
        <v>28680</v>
      </c>
      <c r="N5041" t="s">
        <v>482</v>
      </c>
      <c r="O5041">
        <v>186.83</v>
      </c>
      <c r="P5041">
        <v>20190306</v>
      </c>
      <c r="Q5041" t="s">
        <v>3384</v>
      </c>
      <c r="R5041" t="s">
        <v>3385</v>
      </c>
      <c r="S5041" t="s">
        <v>1615</v>
      </c>
      <c r="T5041" t="s">
        <v>301</v>
      </c>
    </row>
    <row r="5042" spans="1:20" x14ac:dyDescent="0.25">
      <c r="A5042">
        <v>9</v>
      </c>
      <c r="B5042">
        <v>199</v>
      </c>
      <c r="C5042" t="str">
        <f>"36"</f>
        <v>36</v>
      </c>
      <c r="D5042">
        <v>6412</v>
      </c>
      <c r="E5042" t="str">
        <f>"7B"</f>
        <v>7B</v>
      </c>
      <c r="F5042" t="str">
        <f t="shared" si="1082"/>
        <v>001</v>
      </c>
      <c r="G5042">
        <v>9</v>
      </c>
      <c r="H5042" t="str">
        <f>"99"</f>
        <v>99</v>
      </c>
      <c r="I5042" t="str">
        <f t="shared" ref="I5042:I5073" si="1085">"0"</f>
        <v>0</v>
      </c>
      <c r="J5042" t="str">
        <f>"32"</f>
        <v>32</v>
      </c>
      <c r="K5042">
        <v>20190308</v>
      </c>
      <c r="L5042" t="str">
        <f t="shared" si="1083"/>
        <v>075915</v>
      </c>
      <c r="M5042" t="str">
        <f t="shared" si="1084"/>
        <v>28680</v>
      </c>
      <c r="N5042" t="s">
        <v>482</v>
      </c>
      <c r="O5042">
        <v>228.05</v>
      </c>
      <c r="P5042">
        <v>20190306</v>
      </c>
      <c r="Q5042" t="s">
        <v>1658</v>
      </c>
      <c r="R5042" t="s">
        <v>2912</v>
      </c>
      <c r="S5042" t="s">
        <v>1615</v>
      </c>
      <c r="T5042" t="s">
        <v>301</v>
      </c>
    </row>
    <row r="5043" spans="1:20" x14ac:dyDescent="0.25">
      <c r="A5043">
        <v>9</v>
      </c>
      <c r="B5043">
        <v>199</v>
      </c>
      <c r="C5043" t="str">
        <f>"36"</f>
        <v>36</v>
      </c>
      <c r="D5043">
        <v>6412</v>
      </c>
      <c r="E5043" t="str">
        <f>"7E"</f>
        <v>7E</v>
      </c>
      <c r="F5043" t="str">
        <f t="shared" si="1082"/>
        <v>001</v>
      </c>
      <c r="G5043">
        <v>9</v>
      </c>
      <c r="H5043" t="str">
        <f>"99"</f>
        <v>99</v>
      </c>
      <c r="I5043" t="str">
        <f t="shared" si="1085"/>
        <v>0</v>
      </c>
      <c r="J5043" t="str">
        <f>"31"</f>
        <v>31</v>
      </c>
      <c r="K5043">
        <v>20190308</v>
      </c>
      <c r="L5043" t="str">
        <f t="shared" si="1083"/>
        <v>075915</v>
      </c>
      <c r="M5043" t="str">
        <f t="shared" si="1084"/>
        <v>28680</v>
      </c>
      <c r="N5043" t="s">
        <v>482</v>
      </c>
      <c r="O5043">
        <v>239.16</v>
      </c>
      <c r="P5043">
        <v>20190306</v>
      </c>
      <c r="Q5043" t="s">
        <v>1655</v>
      </c>
      <c r="R5043" t="s">
        <v>2912</v>
      </c>
      <c r="S5043" t="s">
        <v>1615</v>
      </c>
      <c r="T5043" t="s">
        <v>301</v>
      </c>
    </row>
    <row r="5044" spans="1:20" x14ac:dyDescent="0.25">
      <c r="A5044">
        <v>9</v>
      </c>
      <c r="B5044">
        <v>199</v>
      </c>
      <c r="C5044" t="str">
        <f>"11"</f>
        <v>11</v>
      </c>
      <c r="D5044">
        <v>6249</v>
      </c>
      <c r="E5044" t="str">
        <f>"10"</f>
        <v>10</v>
      </c>
      <c r="F5044" t="str">
        <f t="shared" si="1082"/>
        <v>001</v>
      </c>
      <c r="G5044">
        <v>9</v>
      </c>
      <c r="H5044" t="str">
        <f>"11"</f>
        <v>11</v>
      </c>
      <c r="I5044" t="str">
        <f t="shared" si="1085"/>
        <v>0</v>
      </c>
      <c r="J5044" t="str">
        <f>"01"</f>
        <v>01</v>
      </c>
      <c r="K5044">
        <v>20190308</v>
      </c>
      <c r="L5044" t="str">
        <f>"075916"</f>
        <v>075916</v>
      </c>
      <c r="M5044" t="str">
        <f>"28825"</f>
        <v>28825</v>
      </c>
      <c r="N5044" t="s">
        <v>1722</v>
      </c>
      <c r="O5044">
        <v>278.8</v>
      </c>
      <c r="P5044">
        <v>20190306</v>
      </c>
      <c r="Q5044" t="s">
        <v>3674</v>
      </c>
      <c r="R5044" t="s">
        <v>4089</v>
      </c>
      <c r="S5044" t="s">
        <v>1615</v>
      </c>
      <c r="T5044" t="s">
        <v>301</v>
      </c>
    </row>
    <row r="5045" spans="1:20" x14ac:dyDescent="0.25">
      <c r="A5045">
        <v>9</v>
      </c>
      <c r="B5045">
        <v>199</v>
      </c>
      <c r="C5045" t="str">
        <f>"51"</f>
        <v>51</v>
      </c>
      <c r="D5045">
        <v>6319</v>
      </c>
      <c r="E5045" t="str">
        <f>"M2"</f>
        <v>M2</v>
      </c>
      <c r="F5045" t="str">
        <f>"936"</f>
        <v>936</v>
      </c>
      <c r="G5045">
        <v>9</v>
      </c>
      <c r="H5045" t="str">
        <f>"99"</f>
        <v>99</v>
      </c>
      <c r="I5045" t="str">
        <f t="shared" si="1085"/>
        <v>0</v>
      </c>
      <c r="J5045" t="str">
        <f>"81"</f>
        <v>81</v>
      </c>
      <c r="K5045">
        <v>20190308</v>
      </c>
      <c r="L5045" t="str">
        <f>"075917"</f>
        <v>075917</v>
      </c>
      <c r="M5045" t="str">
        <f>"28828"</f>
        <v>28828</v>
      </c>
      <c r="N5045" t="s">
        <v>4090</v>
      </c>
      <c r="O5045" s="1">
        <v>2068.77</v>
      </c>
      <c r="P5045">
        <v>20190306</v>
      </c>
      <c r="Q5045" t="s">
        <v>2074</v>
      </c>
      <c r="R5045" t="s">
        <v>4091</v>
      </c>
      <c r="S5045" t="s">
        <v>1615</v>
      </c>
      <c r="T5045" t="s">
        <v>1713</v>
      </c>
    </row>
    <row r="5046" spans="1:20" x14ac:dyDescent="0.25">
      <c r="A5046">
        <v>9</v>
      </c>
      <c r="B5046">
        <v>199</v>
      </c>
      <c r="C5046" t="str">
        <f>"51"</f>
        <v>51</v>
      </c>
      <c r="D5046">
        <v>6319</v>
      </c>
      <c r="E5046" t="str">
        <f>"MC"</f>
        <v>MC</v>
      </c>
      <c r="F5046" t="str">
        <f>"936"</f>
        <v>936</v>
      </c>
      <c r="G5046">
        <v>9</v>
      </c>
      <c r="H5046" t="str">
        <f>"99"</f>
        <v>99</v>
      </c>
      <c r="I5046" t="str">
        <f t="shared" si="1085"/>
        <v>0</v>
      </c>
      <c r="J5046" t="str">
        <f>"81"</f>
        <v>81</v>
      </c>
      <c r="K5046">
        <v>20190308</v>
      </c>
      <c r="L5046" t="str">
        <f>"075917"</f>
        <v>075917</v>
      </c>
      <c r="M5046" t="str">
        <f>"28828"</f>
        <v>28828</v>
      </c>
      <c r="N5046" t="s">
        <v>4090</v>
      </c>
      <c r="O5046">
        <v>556.6</v>
      </c>
      <c r="P5046">
        <v>20190306</v>
      </c>
      <c r="Q5046" t="s">
        <v>2060</v>
      </c>
      <c r="R5046" t="s">
        <v>4092</v>
      </c>
      <c r="S5046" t="s">
        <v>1615</v>
      </c>
      <c r="T5046" t="s">
        <v>1713</v>
      </c>
    </row>
    <row r="5047" spans="1:20" x14ac:dyDescent="0.25">
      <c r="A5047">
        <v>9</v>
      </c>
      <c r="B5047">
        <v>199</v>
      </c>
      <c r="C5047" t="str">
        <f>"00"</f>
        <v>00</v>
      </c>
      <c r="D5047">
        <v>1312</v>
      </c>
      <c r="E5047" t="str">
        <f>"00"</f>
        <v>00</v>
      </c>
      <c r="F5047" t="str">
        <f>"000"</f>
        <v>000</v>
      </c>
      <c r="G5047">
        <v>9</v>
      </c>
      <c r="H5047" t="str">
        <f>"00"</f>
        <v>00</v>
      </c>
      <c r="I5047" t="str">
        <f t="shared" si="1085"/>
        <v>0</v>
      </c>
      <c r="J5047" t="str">
        <f>"00"</f>
        <v>00</v>
      </c>
      <c r="K5047">
        <v>20190308</v>
      </c>
      <c r="L5047" t="str">
        <f>"075918"</f>
        <v>075918</v>
      </c>
      <c r="M5047" t="str">
        <f>"29610"</f>
        <v>29610</v>
      </c>
      <c r="N5047" t="s">
        <v>2067</v>
      </c>
      <c r="O5047">
        <v>270.95</v>
      </c>
      <c r="P5047">
        <v>20190306</v>
      </c>
      <c r="Q5047" t="s">
        <v>1860</v>
      </c>
      <c r="R5047" t="s">
        <v>4093</v>
      </c>
      <c r="S5047" t="s">
        <v>1615</v>
      </c>
      <c r="T5047" t="s">
        <v>296</v>
      </c>
    </row>
    <row r="5048" spans="1:20" x14ac:dyDescent="0.25">
      <c r="A5048">
        <v>9</v>
      </c>
      <c r="B5048">
        <v>199</v>
      </c>
      <c r="C5048" t="str">
        <f>"00"</f>
        <v>00</v>
      </c>
      <c r="D5048">
        <v>1312</v>
      </c>
      <c r="E5048" t="str">
        <f>"00"</f>
        <v>00</v>
      </c>
      <c r="F5048" t="str">
        <f>"000"</f>
        <v>000</v>
      </c>
      <c r="G5048">
        <v>9</v>
      </c>
      <c r="H5048" t="str">
        <f>"00"</f>
        <v>00</v>
      </c>
      <c r="I5048" t="str">
        <f t="shared" si="1085"/>
        <v>0</v>
      </c>
      <c r="J5048" t="str">
        <f>"00"</f>
        <v>00</v>
      </c>
      <c r="K5048">
        <v>20190308</v>
      </c>
      <c r="L5048" t="str">
        <f>"075918"</f>
        <v>075918</v>
      </c>
      <c r="M5048" t="str">
        <f>"29610"</f>
        <v>29610</v>
      </c>
      <c r="N5048" t="s">
        <v>2067</v>
      </c>
      <c r="O5048">
        <v>485</v>
      </c>
      <c r="P5048">
        <v>20190306</v>
      </c>
      <c r="Q5048" t="s">
        <v>1860</v>
      </c>
      <c r="R5048" t="s">
        <v>4094</v>
      </c>
      <c r="S5048" t="s">
        <v>1615</v>
      </c>
      <c r="T5048" t="s">
        <v>296</v>
      </c>
    </row>
    <row r="5049" spans="1:20" x14ac:dyDescent="0.25">
      <c r="A5049">
        <v>9</v>
      </c>
      <c r="B5049">
        <v>199</v>
      </c>
      <c r="C5049" t="str">
        <f>"00"</f>
        <v>00</v>
      </c>
      <c r="D5049">
        <v>1312</v>
      </c>
      <c r="E5049" t="str">
        <f>"00"</f>
        <v>00</v>
      </c>
      <c r="F5049" t="str">
        <f>"000"</f>
        <v>000</v>
      </c>
      <c r="G5049">
        <v>9</v>
      </c>
      <c r="H5049" t="str">
        <f>"00"</f>
        <v>00</v>
      </c>
      <c r="I5049" t="str">
        <f t="shared" si="1085"/>
        <v>0</v>
      </c>
      <c r="J5049" t="str">
        <f>"00"</f>
        <v>00</v>
      </c>
      <c r="K5049">
        <v>20190308</v>
      </c>
      <c r="L5049" t="str">
        <f>"075918"</f>
        <v>075918</v>
      </c>
      <c r="M5049" t="str">
        <f>"29610"</f>
        <v>29610</v>
      </c>
      <c r="N5049" t="s">
        <v>2067</v>
      </c>
      <c r="O5049">
        <v>480</v>
      </c>
      <c r="P5049">
        <v>20190306</v>
      </c>
      <c r="Q5049" t="s">
        <v>1860</v>
      </c>
      <c r="R5049" t="s">
        <v>4095</v>
      </c>
      <c r="S5049" t="s">
        <v>1615</v>
      </c>
      <c r="T5049" t="s">
        <v>296</v>
      </c>
    </row>
    <row r="5050" spans="1:20" x14ac:dyDescent="0.25">
      <c r="A5050">
        <v>9</v>
      </c>
      <c r="B5050">
        <v>199</v>
      </c>
      <c r="C5050" t="str">
        <f>"51"</f>
        <v>51</v>
      </c>
      <c r="D5050">
        <v>6319</v>
      </c>
      <c r="E5050" t="str">
        <f>"MC"</f>
        <v>MC</v>
      </c>
      <c r="F5050" t="str">
        <f>"936"</f>
        <v>936</v>
      </c>
      <c r="G5050">
        <v>9</v>
      </c>
      <c r="H5050" t="str">
        <f>"99"</f>
        <v>99</v>
      </c>
      <c r="I5050" t="str">
        <f t="shared" si="1085"/>
        <v>0</v>
      </c>
      <c r="J5050" t="str">
        <f>"81"</f>
        <v>81</v>
      </c>
      <c r="K5050">
        <v>20190308</v>
      </c>
      <c r="L5050" t="str">
        <f>"075919"</f>
        <v>075919</v>
      </c>
      <c r="M5050" t="str">
        <f>"00696"</f>
        <v>00696</v>
      </c>
      <c r="N5050" t="s">
        <v>4096</v>
      </c>
      <c r="O5050">
        <v>395.7</v>
      </c>
      <c r="P5050">
        <v>20190306</v>
      </c>
      <c r="Q5050" t="s">
        <v>2060</v>
      </c>
      <c r="R5050" t="s">
        <v>4097</v>
      </c>
      <c r="S5050" t="s">
        <v>1615</v>
      </c>
      <c r="T5050" t="s">
        <v>1713</v>
      </c>
    </row>
    <row r="5051" spans="1:20" x14ac:dyDescent="0.25">
      <c r="A5051">
        <v>9</v>
      </c>
      <c r="B5051">
        <v>199</v>
      </c>
      <c r="C5051" t="str">
        <f>"11"</f>
        <v>11</v>
      </c>
      <c r="D5051">
        <v>6399</v>
      </c>
      <c r="E5051" t="str">
        <f>"V8"</f>
        <v>V8</v>
      </c>
      <c r="F5051" t="str">
        <f>"001"</f>
        <v>001</v>
      </c>
      <c r="G5051">
        <v>9</v>
      </c>
      <c r="H5051" t="str">
        <f>"22"</f>
        <v>22</v>
      </c>
      <c r="I5051" t="str">
        <f t="shared" si="1085"/>
        <v>0</v>
      </c>
      <c r="J5051" t="str">
        <f>"22"</f>
        <v>22</v>
      </c>
      <c r="K5051">
        <v>20190308</v>
      </c>
      <c r="L5051" t="str">
        <f>"075920"</f>
        <v>075920</v>
      </c>
      <c r="M5051" t="str">
        <f>"29624"</f>
        <v>29624</v>
      </c>
      <c r="N5051" t="s">
        <v>2753</v>
      </c>
      <c r="O5051">
        <v>362.36</v>
      </c>
      <c r="P5051">
        <v>20190306</v>
      </c>
      <c r="Q5051" t="s">
        <v>2001</v>
      </c>
      <c r="R5051" t="s">
        <v>4098</v>
      </c>
      <c r="S5051" t="s">
        <v>1615</v>
      </c>
      <c r="T5051" t="s">
        <v>301</v>
      </c>
    </row>
    <row r="5052" spans="1:20" x14ac:dyDescent="0.25">
      <c r="A5052">
        <v>9</v>
      </c>
      <c r="B5052">
        <v>199</v>
      </c>
      <c r="C5052" t="str">
        <f>"11"</f>
        <v>11</v>
      </c>
      <c r="D5052">
        <v>6399</v>
      </c>
      <c r="E5052" t="str">
        <f>"AP"</f>
        <v>AP</v>
      </c>
      <c r="F5052" t="str">
        <f>"001"</f>
        <v>001</v>
      </c>
      <c r="G5052">
        <v>9</v>
      </c>
      <c r="H5052" t="str">
        <f>"31"</f>
        <v>31</v>
      </c>
      <c r="I5052" t="str">
        <f t="shared" si="1085"/>
        <v>0</v>
      </c>
      <c r="J5052" t="str">
        <f>"34"</f>
        <v>34</v>
      </c>
      <c r="K5052">
        <v>20190308</v>
      </c>
      <c r="L5052" t="str">
        <f>"075921"</f>
        <v>075921</v>
      </c>
      <c r="M5052" t="str">
        <f>"29781"</f>
        <v>29781</v>
      </c>
      <c r="N5052" t="s">
        <v>4099</v>
      </c>
      <c r="O5052">
        <v>120.74</v>
      </c>
      <c r="P5052">
        <v>20190306</v>
      </c>
      <c r="Q5052" t="s">
        <v>1677</v>
      </c>
      <c r="R5052" t="s">
        <v>4100</v>
      </c>
      <c r="S5052" t="s">
        <v>1615</v>
      </c>
      <c r="T5052" t="s">
        <v>301</v>
      </c>
    </row>
    <row r="5053" spans="1:20" x14ac:dyDescent="0.25">
      <c r="A5053">
        <v>9</v>
      </c>
      <c r="B5053">
        <v>199</v>
      </c>
      <c r="C5053" t="str">
        <f>"11"</f>
        <v>11</v>
      </c>
      <c r="D5053">
        <v>6399</v>
      </c>
      <c r="E5053" t="str">
        <f>"NC"</f>
        <v>NC</v>
      </c>
      <c r="F5053" t="str">
        <f>"001"</f>
        <v>001</v>
      </c>
      <c r="G5053">
        <v>9</v>
      </c>
      <c r="H5053" t="str">
        <f>"11"</f>
        <v>11</v>
      </c>
      <c r="I5053" t="str">
        <f t="shared" si="1085"/>
        <v>0</v>
      </c>
      <c r="J5053" t="str">
        <f>"01"</f>
        <v>01</v>
      </c>
      <c r="K5053">
        <v>20190308</v>
      </c>
      <c r="L5053" t="str">
        <f>"075921"</f>
        <v>075921</v>
      </c>
      <c r="M5053" t="str">
        <f>"29781"</f>
        <v>29781</v>
      </c>
      <c r="N5053" t="s">
        <v>4099</v>
      </c>
      <c r="O5053">
        <v>90.69</v>
      </c>
      <c r="P5053">
        <v>20190306</v>
      </c>
      <c r="Q5053" t="s">
        <v>3562</v>
      </c>
      <c r="R5053" t="s">
        <v>4101</v>
      </c>
      <c r="S5053" t="s">
        <v>1615</v>
      </c>
      <c r="T5053" t="s">
        <v>301</v>
      </c>
    </row>
    <row r="5054" spans="1:20" x14ac:dyDescent="0.25">
      <c r="A5054">
        <v>9</v>
      </c>
      <c r="B5054">
        <v>199</v>
      </c>
      <c r="C5054" t="str">
        <f>"11"</f>
        <v>11</v>
      </c>
      <c r="D5054">
        <v>6399</v>
      </c>
      <c r="E5054" t="str">
        <f>"NC"</f>
        <v>NC</v>
      </c>
      <c r="F5054" t="str">
        <f>"001"</f>
        <v>001</v>
      </c>
      <c r="G5054">
        <v>9</v>
      </c>
      <c r="H5054" t="str">
        <f>"11"</f>
        <v>11</v>
      </c>
      <c r="I5054" t="str">
        <f t="shared" si="1085"/>
        <v>0</v>
      </c>
      <c r="J5054" t="str">
        <f>"01"</f>
        <v>01</v>
      </c>
      <c r="K5054">
        <v>20190308</v>
      </c>
      <c r="L5054" t="str">
        <f>"075921"</f>
        <v>075921</v>
      </c>
      <c r="M5054" t="str">
        <f>"29781"</f>
        <v>29781</v>
      </c>
      <c r="N5054" t="s">
        <v>4099</v>
      </c>
      <c r="O5054">
        <v>-30.23</v>
      </c>
      <c r="P5054">
        <v>20190213</v>
      </c>
      <c r="Q5054" t="s">
        <v>3562</v>
      </c>
      <c r="R5054" t="s">
        <v>4102</v>
      </c>
      <c r="S5054" t="s">
        <v>1615</v>
      </c>
      <c r="T5054" t="s">
        <v>301</v>
      </c>
    </row>
    <row r="5055" spans="1:20" x14ac:dyDescent="0.25">
      <c r="A5055">
        <v>9</v>
      </c>
      <c r="B5055">
        <v>199</v>
      </c>
      <c r="C5055" t="str">
        <f>"11"</f>
        <v>11</v>
      </c>
      <c r="D5055">
        <v>6399</v>
      </c>
      <c r="E5055" t="str">
        <f>"74"</f>
        <v>74</v>
      </c>
      <c r="F5055" t="str">
        <f>"041"</f>
        <v>041</v>
      </c>
      <c r="G5055">
        <v>9</v>
      </c>
      <c r="H5055" t="str">
        <f>"11"</f>
        <v>11</v>
      </c>
      <c r="I5055" t="str">
        <f t="shared" si="1085"/>
        <v>0</v>
      </c>
      <c r="J5055" t="str">
        <f>"03"</f>
        <v>03</v>
      </c>
      <c r="K5055">
        <v>20190308</v>
      </c>
      <c r="L5055" t="str">
        <f>"075922"</f>
        <v>075922</v>
      </c>
      <c r="M5055" t="str">
        <f>"30132"</f>
        <v>30132</v>
      </c>
      <c r="N5055" t="s">
        <v>2756</v>
      </c>
      <c r="O5055">
        <v>387.69</v>
      </c>
      <c r="P5055">
        <v>20190306</v>
      </c>
      <c r="Q5055" t="s">
        <v>2302</v>
      </c>
      <c r="R5055" t="s">
        <v>3456</v>
      </c>
      <c r="S5055" t="s">
        <v>1615</v>
      </c>
      <c r="T5055" t="s">
        <v>106</v>
      </c>
    </row>
    <row r="5056" spans="1:20" x14ac:dyDescent="0.25">
      <c r="A5056">
        <v>9</v>
      </c>
      <c r="B5056">
        <v>199</v>
      </c>
      <c r="C5056" t="str">
        <f>"53"</f>
        <v>53</v>
      </c>
      <c r="D5056">
        <v>6411</v>
      </c>
      <c r="E5056" t="str">
        <f>"10"</f>
        <v>10</v>
      </c>
      <c r="F5056" t="str">
        <f>"880"</f>
        <v>880</v>
      </c>
      <c r="G5056">
        <v>9</v>
      </c>
      <c r="H5056" t="str">
        <f>"99"</f>
        <v>99</v>
      </c>
      <c r="I5056" t="str">
        <f t="shared" si="1085"/>
        <v>0</v>
      </c>
      <c r="J5056" t="str">
        <f>"80"</f>
        <v>80</v>
      </c>
      <c r="K5056">
        <v>20190308</v>
      </c>
      <c r="L5056" t="str">
        <f>"075926"</f>
        <v>075926</v>
      </c>
      <c r="M5056" t="str">
        <f>"31803"</f>
        <v>31803</v>
      </c>
      <c r="N5056" t="s">
        <v>4103</v>
      </c>
      <c r="O5056">
        <v>208</v>
      </c>
      <c r="P5056">
        <v>20190306</v>
      </c>
      <c r="Q5056" t="s">
        <v>1901</v>
      </c>
      <c r="R5056" t="s">
        <v>3515</v>
      </c>
      <c r="S5056" t="s">
        <v>1615</v>
      </c>
      <c r="T5056" t="s">
        <v>1866</v>
      </c>
    </row>
    <row r="5057" spans="1:20" x14ac:dyDescent="0.25">
      <c r="A5057">
        <v>9</v>
      </c>
      <c r="B5057">
        <v>199</v>
      </c>
      <c r="C5057" t="str">
        <f t="shared" ref="C5057:C5069" si="1086">"11"</f>
        <v>11</v>
      </c>
      <c r="D5057">
        <v>6399</v>
      </c>
      <c r="E5057" t="str">
        <f>"10"</f>
        <v>10</v>
      </c>
      <c r="F5057" t="str">
        <f>"041"</f>
        <v>041</v>
      </c>
      <c r="G5057">
        <v>9</v>
      </c>
      <c r="H5057" t="str">
        <f t="shared" ref="H5057:H5069" si="1087">"11"</f>
        <v>11</v>
      </c>
      <c r="I5057" t="str">
        <f t="shared" si="1085"/>
        <v>0</v>
      </c>
      <c r="J5057" t="str">
        <f>"03"</f>
        <v>03</v>
      </c>
      <c r="K5057">
        <v>20190308</v>
      </c>
      <c r="L5057" t="str">
        <f>"075928"</f>
        <v>075928</v>
      </c>
      <c r="M5057" t="str">
        <f>"34680"</f>
        <v>34680</v>
      </c>
      <c r="N5057" t="s">
        <v>2228</v>
      </c>
      <c r="O5057">
        <v>331.18</v>
      </c>
      <c r="P5057">
        <v>20190306</v>
      </c>
      <c r="Q5057" t="s">
        <v>2956</v>
      </c>
      <c r="R5057" t="s">
        <v>3148</v>
      </c>
      <c r="S5057" t="s">
        <v>1615</v>
      </c>
      <c r="T5057" t="s">
        <v>106</v>
      </c>
    </row>
    <row r="5058" spans="1:20" x14ac:dyDescent="0.25">
      <c r="A5058">
        <v>9</v>
      </c>
      <c r="B5058">
        <v>199</v>
      </c>
      <c r="C5058" t="str">
        <f t="shared" si="1086"/>
        <v>11</v>
      </c>
      <c r="D5058">
        <v>6399</v>
      </c>
      <c r="E5058" t="str">
        <f>"10"</f>
        <v>10</v>
      </c>
      <c r="F5058" t="str">
        <f>"041"</f>
        <v>041</v>
      </c>
      <c r="G5058">
        <v>9</v>
      </c>
      <c r="H5058" t="str">
        <f t="shared" si="1087"/>
        <v>11</v>
      </c>
      <c r="I5058" t="str">
        <f t="shared" si="1085"/>
        <v>0</v>
      </c>
      <c r="J5058" t="str">
        <f>"03"</f>
        <v>03</v>
      </c>
      <c r="K5058">
        <v>20190308</v>
      </c>
      <c r="L5058" t="str">
        <f>"075928"</f>
        <v>075928</v>
      </c>
      <c r="M5058" t="str">
        <f>"34680"</f>
        <v>34680</v>
      </c>
      <c r="N5058" t="s">
        <v>2228</v>
      </c>
      <c r="O5058">
        <v>396.85</v>
      </c>
      <c r="P5058">
        <v>20190306</v>
      </c>
      <c r="Q5058" t="s">
        <v>2956</v>
      </c>
      <c r="R5058" t="s">
        <v>3148</v>
      </c>
      <c r="S5058" t="s">
        <v>1615</v>
      </c>
      <c r="T5058" t="s">
        <v>106</v>
      </c>
    </row>
    <row r="5059" spans="1:20" x14ac:dyDescent="0.25">
      <c r="A5059">
        <v>9</v>
      </c>
      <c r="B5059">
        <v>199</v>
      </c>
      <c r="C5059" t="str">
        <f t="shared" si="1086"/>
        <v>11</v>
      </c>
      <c r="D5059">
        <v>6299</v>
      </c>
      <c r="E5059" t="str">
        <f>"7E"</f>
        <v>7E</v>
      </c>
      <c r="F5059" t="str">
        <f>"041"</f>
        <v>041</v>
      </c>
      <c r="G5059">
        <v>9</v>
      </c>
      <c r="H5059" t="str">
        <f t="shared" si="1087"/>
        <v>11</v>
      </c>
      <c r="I5059" t="str">
        <f t="shared" si="1085"/>
        <v>0</v>
      </c>
      <c r="J5059" t="str">
        <f>"35"</f>
        <v>35</v>
      </c>
      <c r="K5059">
        <v>20190308</v>
      </c>
      <c r="L5059" t="str">
        <f>"075931"</f>
        <v>075931</v>
      </c>
      <c r="M5059" t="str">
        <f>"37570"</f>
        <v>37570</v>
      </c>
      <c r="N5059" t="s">
        <v>2876</v>
      </c>
      <c r="O5059">
        <v>360</v>
      </c>
      <c r="P5059">
        <v>20190306</v>
      </c>
      <c r="Q5059" t="s">
        <v>2877</v>
      </c>
      <c r="R5059" t="s">
        <v>3327</v>
      </c>
      <c r="S5059" t="s">
        <v>1615</v>
      </c>
      <c r="T5059" t="s">
        <v>106</v>
      </c>
    </row>
    <row r="5060" spans="1:20" x14ac:dyDescent="0.25">
      <c r="A5060">
        <v>9</v>
      </c>
      <c r="B5060">
        <v>199</v>
      </c>
      <c r="C5060" t="str">
        <f t="shared" si="1086"/>
        <v>11</v>
      </c>
      <c r="D5060">
        <v>6249</v>
      </c>
      <c r="E5060" t="str">
        <f t="shared" ref="E5060:E5069" si="1088">"7B"</f>
        <v>7B</v>
      </c>
      <c r="F5060" t="str">
        <f>"001"</f>
        <v>001</v>
      </c>
      <c r="G5060">
        <v>9</v>
      </c>
      <c r="H5060" t="str">
        <f t="shared" si="1087"/>
        <v>11</v>
      </c>
      <c r="I5060" t="str">
        <f t="shared" si="1085"/>
        <v>0</v>
      </c>
      <c r="J5060" t="str">
        <f>"32"</f>
        <v>32</v>
      </c>
      <c r="K5060">
        <v>20190308</v>
      </c>
      <c r="L5060" t="str">
        <f t="shared" ref="L5060:L5069" si="1089">"075934"</f>
        <v>075934</v>
      </c>
      <c r="M5060" t="str">
        <f t="shared" ref="M5060:M5069" si="1090">"39572"</f>
        <v>39572</v>
      </c>
      <c r="N5060" t="s">
        <v>2233</v>
      </c>
      <c r="O5060">
        <v>95</v>
      </c>
      <c r="P5060">
        <v>20190306</v>
      </c>
      <c r="Q5060" t="s">
        <v>2234</v>
      </c>
      <c r="R5060" t="s">
        <v>4104</v>
      </c>
      <c r="S5060" t="s">
        <v>1615</v>
      </c>
      <c r="T5060" t="s">
        <v>301</v>
      </c>
    </row>
    <row r="5061" spans="1:20" x14ac:dyDescent="0.25">
      <c r="A5061">
        <v>9</v>
      </c>
      <c r="B5061">
        <v>199</v>
      </c>
      <c r="C5061" t="str">
        <f t="shared" si="1086"/>
        <v>11</v>
      </c>
      <c r="D5061">
        <v>6249</v>
      </c>
      <c r="E5061" t="str">
        <f t="shared" si="1088"/>
        <v>7B</v>
      </c>
      <c r="F5061" t="str">
        <f>"001"</f>
        <v>001</v>
      </c>
      <c r="G5061">
        <v>9</v>
      </c>
      <c r="H5061" t="str">
        <f t="shared" si="1087"/>
        <v>11</v>
      </c>
      <c r="I5061" t="str">
        <f t="shared" si="1085"/>
        <v>0</v>
      </c>
      <c r="J5061" t="str">
        <f>"32"</f>
        <v>32</v>
      </c>
      <c r="K5061">
        <v>20190308</v>
      </c>
      <c r="L5061" t="str">
        <f t="shared" si="1089"/>
        <v>075934</v>
      </c>
      <c r="M5061" t="str">
        <f t="shared" si="1090"/>
        <v>39572</v>
      </c>
      <c r="N5061" t="s">
        <v>2233</v>
      </c>
      <c r="O5061">
        <v>145</v>
      </c>
      <c r="P5061">
        <v>20190306</v>
      </c>
      <c r="Q5061" t="s">
        <v>2234</v>
      </c>
      <c r="R5061" t="s">
        <v>4105</v>
      </c>
      <c r="S5061" t="s">
        <v>1615</v>
      </c>
      <c r="T5061" t="s">
        <v>301</v>
      </c>
    </row>
    <row r="5062" spans="1:20" x14ac:dyDescent="0.25">
      <c r="A5062">
        <v>9</v>
      </c>
      <c r="B5062">
        <v>199</v>
      </c>
      <c r="C5062" t="str">
        <f t="shared" si="1086"/>
        <v>11</v>
      </c>
      <c r="D5062">
        <v>6249</v>
      </c>
      <c r="E5062" t="str">
        <f t="shared" si="1088"/>
        <v>7B</v>
      </c>
      <c r="F5062" t="str">
        <f>"001"</f>
        <v>001</v>
      </c>
      <c r="G5062">
        <v>9</v>
      </c>
      <c r="H5062" t="str">
        <f t="shared" si="1087"/>
        <v>11</v>
      </c>
      <c r="I5062" t="str">
        <f t="shared" si="1085"/>
        <v>0</v>
      </c>
      <c r="J5062" t="str">
        <f>"32"</f>
        <v>32</v>
      </c>
      <c r="K5062">
        <v>20190308</v>
      </c>
      <c r="L5062" t="str">
        <f t="shared" si="1089"/>
        <v>075934</v>
      </c>
      <c r="M5062" t="str">
        <f t="shared" si="1090"/>
        <v>39572</v>
      </c>
      <c r="N5062" t="s">
        <v>2233</v>
      </c>
      <c r="O5062">
        <v>40</v>
      </c>
      <c r="P5062">
        <v>20190306</v>
      </c>
      <c r="Q5062" t="s">
        <v>2234</v>
      </c>
      <c r="R5062" t="s">
        <v>4106</v>
      </c>
      <c r="S5062" t="s">
        <v>1615</v>
      </c>
      <c r="T5062" t="s">
        <v>301</v>
      </c>
    </row>
    <row r="5063" spans="1:20" x14ac:dyDescent="0.25">
      <c r="A5063">
        <v>9</v>
      </c>
      <c r="B5063">
        <v>199</v>
      </c>
      <c r="C5063" t="str">
        <f t="shared" si="1086"/>
        <v>11</v>
      </c>
      <c r="D5063">
        <v>6249</v>
      </c>
      <c r="E5063" t="str">
        <f t="shared" si="1088"/>
        <v>7B</v>
      </c>
      <c r="F5063" t="str">
        <f>"001"</f>
        <v>001</v>
      </c>
      <c r="G5063">
        <v>9</v>
      </c>
      <c r="H5063" t="str">
        <f t="shared" si="1087"/>
        <v>11</v>
      </c>
      <c r="I5063" t="str">
        <f t="shared" si="1085"/>
        <v>0</v>
      </c>
      <c r="J5063" t="str">
        <f>"32"</f>
        <v>32</v>
      </c>
      <c r="K5063">
        <v>20190308</v>
      </c>
      <c r="L5063" t="str">
        <f t="shared" si="1089"/>
        <v>075934</v>
      </c>
      <c r="M5063" t="str">
        <f t="shared" si="1090"/>
        <v>39572</v>
      </c>
      <c r="N5063" t="s">
        <v>2233</v>
      </c>
      <c r="O5063">
        <v>135</v>
      </c>
      <c r="P5063">
        <v>20190306</v>
      </c>
      <c r="Q5063" t="s">
        <v>2234</v>
      </c>
      <c r="R5063" t="s">
        <v>4107</v>
      </c>
      <c r="S5063" t="s">
        <v>1615</v>
      </c>
      <c r="T5063" t="s">
        <v>301</v>
      </c>
    </row>
    <row r="5064" spans="1:20" x14ac:dyDescent="0.25">
      <c r="A5064">
        <v>9</v>
      </c>
      <c r="B5064">
        <v>199</v>
      </c>
      <c r="C5064" t="str">
        <f t="shared" si="1086"/>
        <v>11</v>
      </c>
      <c r="D5064">
        <v>6249</v>
      </c>
      <c r="E5064" t="str">
        <f t="shared" si="1088"/>
        <v>7B</v>
      </c>
      <c r="F5064" t="str">
        <f>"001"</f>
        <v>001</v>
      </c>
      <c r="G5064">
        <v>9</v>
      </c>
      <c r="H5064" t="str">
        <f t="shared" si="1087"/>
        <v>11</v>
      </c>
      <c r="I5064" t="str">
        <f t="shared" si="1085"/>
        <v>0</v>
      </c>
      <c r="J5064" t="str">
        <f>"32"</f>
        <v>32</v>
      </c>
      <c r="K5064">
        <v>20190308</v>
      </c>
      <c r="L5064" t="str">
        <f t="shared" si="1089"/>
        <v>075934</v>
      </c>
      <c r="M5064" t="str">
        <f t="shared" si="1090"/>
        <v>39572</v>
      </c>
      <c r="N5064" t="s">
        <v>2233</v>
      </c>
      <c r="O5064">
        <v>135</v>
      </c>
      <c r="P5064">
        <v>20190306</v>
      </c>
      <c r="Q5064" t="s">
        <v>2234</v>
      </c>
      <c r="R5064" t="s">
        <v>4108</v>
      </c>
      <c r="S5064" t="s">
        <v>1615</v>
      </c>
      <c r="T5064" t="s">
        <v>301</v>
      </c>
    </row>
    <row r="5065" spans="1:20" x14ac:dyDescent="0.25">
      <c r="A5065">
        <v>9</v>
      </c>
      <c r="B5065">
        <v>199</v>
      </c>
      <c r="C5065" t="str">
        <f t="shared" si="1086"/>
        <v>11</v>
      </c>
      <c r="D5065">
        <v>6249</v>
      </c>
      <c r="E5065" t="str">
        <f t="shared" si="1088"/>
        <v>7B</v>
      </c>
      <c r="F5065" t="str">
        <f>"041"</f>
        <v>041</v>
      </c>
      <c r="G5065">
        <v>9</v>
      </c>
      <c r="H5065" t="str">
        <f t="shared" si="1087"/>
        <v>11</v>
      </c>
      <c r="I5065" t="str">
        <f t="shared" si="1085"/>
        <v>0</v>
      </c>
      <c r="J5065" t="str">
        <f>"36"</f>
        <v>36</v>
      </c>
      <c r="K5065">
        <v>20190308</v>
      </c>
      <c r="L5065" t="str">
        <f t="shared" si="1089"/>
        <v>075934</v>
      </c>
      <c r="M5065" t="str">
        <f t="shared" si="1090"/>
        <v>39572</v>
      </c>
      <c r="N5065" t="s">
        <v>2233</v>
      </c>
      <c r="O5065">
        <v>95</v>
      </c>
      <c r="P5065">
        <v>20190306</v>
      </c>
      <c r="Q5065" t="s">
        <v>2672</v>
      </c>
      <c r="R5065" t="s">
        <v>4109</v>
      </c>
      <c r="S5065" t="s">
        <v>1615</v>
      </c>
      <c r="T5065" t="s">
        <v>106</v>
      </c>
    </row>
    <row r="5066" spans="1:20" x14ac:dyDescent="0.25">
      <c r="A5066">
        <v>9</v>
      </c>
      <c r="B5066">
        <v>199</v>
      </c>
      <c r="C5066" t="str">
        <f t="shared" si="1086"/>
        <v>11</v>
      </c>
      <c r="D5066">
        <v>6249</v>
      </c>
      <c r="E5066" t="str">
        <f t="shared" si="1088"/>
        <v>7B</v>
      </c>
      <c r="F5066" t="str">
        <f>"041"</f>
        <v>041</v>
      </c>
      <c r="G5066">
        <v>9</v>
      </c>
      <c r="H5066" t="str">
        <f t="shared" si="1087"/>
        <v>11</v>
      </c>
      <c r="I5066" t="str">
        <f t="shared" si="1085"/>
        <v>0</v>
      </c>
      <c r="J5066" t="str">
        <f>"36"</f>
        <v>36</v>
      </c>
      <c r="K5066">
        <v>20190308</v>
      </c>
      <c r="L5066" t="str">
        <f t="shared" si="1089"/>
        <v>075934</v>
      </c>
      <c r="M5066" t="str">
        <f t="shared" si="1090"/>
        <v>39572</v>
      </c>
      <c r="N5066" t="s">
        <v>2233</v>
      </c>
      <c r="O5066">
        <v>95</v>
      </c>
      <c r="P5066">
        <v>20190306</v>
      </c>
      <c r="Q5066" t="s">
        <v>2672</v>
      </c>
      <c r="R5066" t="s">
        <v>4110</v>
      </c>
      <c r="S5066" t="s">
        <v>1615</v>
      </c>
      <c r="T5066" t="s">
        <v>106</v>
      </c>
    </row>
    <row r="5067" spans="1:20" x14ac:dyDescent="0.25">
      <c r="A5067">
        <v>9</v>
      </c>
      <c r="B5067">
        <v>199</v>
      </c>
      <c r="C5067" t="str">
        <f t="shared" si="1086"/>
        <v>11</v>
      </c>
      <c r="D5067">
        <v>6249</v>
      </c>
      <c r="E5067" t="str">
        <f t="shared" si="1088"/>
        <v>7B</v>
      </c>
      <c r="F5067" t="str">
        <f>"041"</f>
        <v>041</v>
      </c>
      <c r="G5067">
        <v>9</v>
      </c>
      <c r="H5067" t="str">
        <f t="shared" si="1087"/>
        <v>11</v>
      </c>
      <c r="I5067" t="str">
        <f t="shared" si="1085"/>
        <v>0</v>
      </c>
      <c r="J5067" t="str">
        <f>"36"</f>
        <v>36</v>
      </c>
      <c r="K5067">
        <v>20190308</v>
      </c>
      <c r="L5067" t="str">
        <f t="shared" si="1089"/>
        <v>075934</v>
      </c>
      <c r="M5067" t="str">
        <f t="shared" si="1090"/>
        <v>39572</v>
      </c>
      <c r="N5067" t="s">
        <v>2233</v>
      </c>
      <c r="O5067">
        <v>105</v>
      </c>
      <c r="P5067">
        <v>20190306</v>
      </c>
      <c r="Q5067" t="s">
        <v>2672</v>
      </c>
      <c r="R5067" t="s">
        <v>4111</v>
      </c>
      <c r="S5067" t="s">
        <v>1615</v>
      </c>
      <c r="T5067" t="s">
        <v>106</v>
      </c>
    </row>
    <row r="5068" spans="1:20" x14ac:dyDescent="0.25">
      <c r="A5068">
        <v>9</v>
      </c>
      <c r="B5068">
        <v>199</v>
      </c>
      <c r="C5068" t="str">
        <f t="shared" si="1086"/>
        <v>11</v>
      </c>
      <c r="D5068">
        <v>6249</v>
      </c>
      <c r="E5068" t="str">
        <f t="shared" si="1088"/>
        <v>7B</v>
      </c>
      <c r="F5068" t="str">
        <f>"041"</f>
        <v>041</v>
      </c>
      <c r="G5068">
        <v>9</v>
      </c>
      <c r="H5068" t="str">
        <f t="shared" si="1087"/>
        <v>11</v>
      </c>
      <c r="I5068" t="str">
        <f t="shared" si="1085"/>
        <v>0</v>
      </c>
      <c r="J5068" t="str">
        <f>"36"</f>
        <v>36</v>
      </c>
      <c r="K5068">
        <v>20190308</v>
      </c>
      <c r="L5068" t="str">
        <f t="shared" si="1089"/>
        <v>075934</v>
      </c>
      <c r="M5068" t="str">
        <f t="shared" si="1090"/>
        <v>39572</v>
      </c>
      <c r="N5068" t="s">
        <v>2233</v>
      </c>
      <c r="O5068">
        <v>105</v>
      </c>
      <c r="P5068">
        <v>20190306</v>
      </c>
      <c r="Q5068" t="s">
        <v>2672</v>
      </c>
      <c r="R5068" t="s">
        <v>4112</v>
      </c>
      <c r="S5068" t="s">
        <v>1615</v>
      </c>
      <c r="T5068" t="s">
        <v>106</v>
      </c>
    </row>
    <row r="5069" spans="1:20" x14ac:dyDescent="0.25">
      <c r="A5069">
        <v>9</v>
      </c>
      <c r="B5069">
        <v>199</v>
      </c>
      <c r="C5069" t="str">
        <f t="shared" si="1086"/>
        <v>11</v>
      </c>
      <c r="D5069">
        <v>6399</v>
      </c>
      <c r="E5069" t="str">
        <f t="shared" si="1088"/>
        <v>7B</v>
      </c>
      <c r="F5069" t="str">
        <f>"041"</f>
        <v>041</v>
      </c>
      <c r="G5069">
        <v>9</v>
      </c>
      <c r="H5069" t="str">
        <f t="shared" si="1087"/>
        <v>11</v>
      </c>
      <c r="I5069" t="str">
        <f t="shared" si="1085"/>
        <v>0</v>
      </c>
      <c r="J5069" t="str">
        <f>"36"</f>
        <v>36</v>
      </c>
      <c r="K5069">
        <v>20190308</v>
      </c>
      <c r="L5069" t="str">
        <f t="shared" si="1089"/>
        <v>075934</v>
      </c>
      <c r="M5069" t="str">
        <f t="shared" si="1090"/>
        <v>39572</v>
      </c>
      <c r="N5069" t="s">
        <v>2233</v>
      </c>
      <c r="O5069">
        <v>36.99</v>
      </c>
      <c r="P5069">
        <v>20190306</v>
      </c>
      <c r="Q5069" t="s">
        <v>1921</v>
      </c>
      <c r="R5069" t="s">
        <v>4113</v>
      </c>
      <c r="S5069" t="s">
        <v>1615</v>
      </c>
      <c r="T5069" t="s">
        <v>106</v>
      </c>
    </row>
    <row r="5070" spans="1:20" x14ac:dyDescent="0.25">
      <c r="A5070">
        <v>9</v>
      </c>
      <c r="B5070">
        <v>199</v>
      </c>
      <c r="C5070" t="str">
        <f>"36"</f>
        <v>36</v>
      </c>
      <c r="D5070">
        <v>6412</v>
      </c>
      <c r="E5070" t="str">
        <f>"09"</f>
        <v>09</v>
      </c>
      <c r="F5070" t="str">
        <f>"001"</f>
        <v>001</v>
      </c>
      <c r="G5070">
        <v>9</v>
      </c>
      <c r="H5070" t="str">
        <f>"99"</f>
        <v>99</v>
      </c>
      <c r="I5070" t="str">
        <f t="shared" si="1085"/>
        <v>0</v>
      </c>
      <c r="J5070" t="str">
        <f>"01"</f>
        <v>01</v>
      </c>
      <c r="K5070">
        <v>20190308</v>
      </c>
      <c r="L5070" t="str">
        <f>"075935"</f>
        <v>075935</v>
      </c>
      <c r="M5070" t="str">
        <f>"00700"</f>
        <v>00700</v>
      </c>
      <c r="N5070" t="s">
        <v>4114</v>
      </c>
      <c r="O5070" s="1">
        <v>1754.61</v>
      </c>
      <c r="P5070">
        <v>20190306</v>
      </c>
      <c r="Q5070" t="s">
        <v>2427</v>
      </c>
      <c r="R5070" t="s">
        <v>4115</v>
      </c>
      <c r="S5070" t="s">
        <v>1615</v>
      </c>
      <c r="T5070" t="s">
        <v>301</v>
      </c>
    </row>
    <row r="5071" spans="1:20" x14ac:dyDescent="0.25">
      <c r="A5071">
        <v>9</v>
      </c>
      <c r="B5071">
        <v>199</v>
      </c>
      <c r="C5071" t="str">
        <f>"11"</f>
        <v>11</v>
      </c>
      <c r="D5071">
        <v>6399</v>
      </c>
      <c r="E5071" t="str">
        <f>"00"</f>
        <v>00</v>
      </c>
      <c r="F5071" t="str">
        <f>"041"</f>
        <v>041</v>
      </c>
      <c r="G5071">
        <v>9</v>
      </c>
      <c r="H5071" t="str">
        <f>"23"</f>
        <v>23</v>
      </c>
      <c r="I5071" t="str">
        <f t="shared" si="1085"/>
        <v>0</v>
      </c>
      <c r="J5071" t="str">
        <f>"23"</f>
        <v>23</v>
      </c>
      <c r="K5071">
        <v>20190308</v>
      </c>
      <c r="L5071" t="str">
        <f t="shared" ref="L5071:L5081" si="1091">"075938"</f>
        <v>075938</v>
      </c>
      <c r="M5071" t="str">
        <f t="shared" ref="M5071:M5081" si="1092">"41230"</f>
        <v>41230</v>
      </c>
      <c r="N5071" t="s">
        <v>1350</v>
      </c>
      <c r="O5071">
        <v>100</v>
      </c>
      <c r="P5071">
        <v>20190306</v>
      </c>
      <c r="Q5071" t="s">
        <v>4116</v>
      </c>
      <c r="R5071" t="s">
        <v>4117</v>
      </c>
      <c r="S5071" t="s">
        <v>1615</v>
      </c>
      <c r="T5071" t="s">
        <v>106</v>
      </c>
    </row>
    <row r="5072" spans="1:20" x14ac:dyDescent="0.25">
      <c r="A5072">
        <v>9</v>
      </c>
      <c r="B5072">
        <v>199</v>
      </c>
      <c r="C5072" t="str">
        <f t="shared" ref="C5072:C5079" si="1093">"36"</f>
        <v>36</v>
      </c>
      <c r="D5072">
        <v>6399</v>
      </c>
      <c r="E5072" t="str">
        <f t="shared" ref="E5072:E5079" si="1094">"09"</f>
        <v>09</v>
      </c>
      <c r="F5072" t="str">
        <f t="shared" ref="F5072:F5079" si="1095">"001"</f>
        <v>001</v>
      </c>
      <c r="G5072">
        <v>9</v>
      </c>
      <c r="H5072" t="str">
        <f t="shared" ref="H5072:H5081" si="1096">"99"</f>
        <v>99</v>
      </c>
      <c r="I5072" t="str">
        <f t="shared" si="1085"/>
        <v>0</v>
      </c>
      <c r="J5072" t="str">
        <f t="shared" ref="J5072:J5079" si="1097">"01"</f>
        <v>01</v>
      </c>
      <c r="K5072">
        <v>20190308</v>
      </c>
      <c r="L5072" t="str">
        <f t="shared" si="1091"/>
        <v>075938</v>
      </c>
      <c r="M5072" t="str">
        <f t="shared" si="1092"/>
        <v>41230</v>
      </c>
      <c r="N5072" t="s">
        <v>1350</v>
      </c>
      <c r="O5072">
        <v>257.56</v>
      </c>
      <c r="P5072">
        <v>20190306</v>
      </c>
      <c r="Q5072" t="s">
        <v>2177</v>
      </c>
      <c r="R5072" t="s">
        <v>4118</v>
      </c>
      <c r="S5072" t="s">
        <v>1615</v>
      </c>
      <c r="T5072" t="s">
        <v>301</v>
      </c>
    </row>
    <row r="5073" spans="1:20" x14ac:dyDescent="0.25">
      <c r="A5073">
        <v>9</v>
      </c>
      <c r="B5073">
        <v>199</v>
      </c>
      <c r="C5073" t="str">
        <f t="shared" si="1093"/>
        <v>36</v>
      </c>
      <c r="D5073">
        <v>6399</v>
      </c>
      <c r="E5073" t="str">
        <f t="shared" si="1094"/>
        <v>09</v>
      </c>
      <c r="F5073" t="str">
        <f t="shared" si="1095"/>
        <v>001</v>
      </c>
      <c r="G5073">
        <v>9</v>
      </c>
      <c r="H5073" t="str">
        <f t="shared" si="1096"/>
        <v>99</v>
      </c>
      <c r="I5073" t="str">
        <f t="shared" si="1085"/>
        <v>0</v>
      </c>
      <c r="J5073" t="str">
        <f t="shared" si="1097"/>
        <v>01</v>
      </c>
      <c r="K5073">
        <v>20190308</v>
      </c>
      <c r="L5073" t="str">
        <f t="shared" si="1091"/>
        <v>075938</v>
      </c>
      <c r="M5073" t="str">
        <f t="shared" si="1092"/>
        <v>41230</v>
      </c>
      <c r="N5073" t="s">
        <v>1350</v>
      </c>
      <c r="O5073">
        <v>542.91</v>
      </c>
      <c r="P5073">
        <v>20190306</v>
      </c>
      <c r="Q5073" t="s">
        <v>2177</v>
      </c>
      <c r="R5073" t="s">
        <v>4118</v>
      </c>
      <c r="S5073" t="s">
        <v>1615</v>
      </c>
      <c r="T5073" t="s">
        <v>301</v>
      </c>
    </row>
    <row r="5074" spans="1:20" x14ac:dyDescent="0.25">
      <c r="A5074">
        <v>9</v>
      </c>
      <c r="B5074">
        <v>199</v>
      </c>
      <c r="C5074" t="str">
        <f t="shared" si="1093"/>
        <v>36</v>
      </c>
      <c r="D5074">
        <v>6399</v>
      </c>
      <c r="E5074" t="str">
        <f t="shared" si="1094"/>
        <v>09</v>
      </c>
      <c r="F5074" t="str">
        <f t="shared" si="1095"/>
        <v>001</v>
      </c>
      <c r="G5074">
        <v>9</v>
      </c>
      <c r="H5074" t="str">
        <f t="shared" si="1096"/>
        <v>99</v>
      </c>
      <c r="I5074" t="str">
        <f t="shared" ref="I5074:I5099" si="1098">"0"</f>
        <v>0</v>
      </c>
      <c r="J5074" t="str">
        <f t="shared" si="1097"/>
        <v>01</v>
      </c>
      <c r="K5074">
        <v>20190308</v>
      </c>
      <c r="L5074" t="str">
        <f t="shared" si="1091"/>
        <v>075938</v>
      </c>
      <c r="M5074" t="str">
        <f t="shared" si="1092"/>
        <v>41230</v>
      </c>
      <c r="N5074" t="s">
        <v>1350</v>
      </c>
      <c r="O5074">
        <v>122.08</v>
      </c>
      <c r="P5074">
        <v>20190306</v>
      </c>
      <c r="Q5074" t="s">
        <v>2177</v>
      </c>
      <c r="R5074" t="s">
        <v>4118</v>
      </c>
      <c r="S5074" t="s">
        <v>1615</v>
      </c>
      <c r="T5074" t="s">
        <v>301</v>
      </c>
    </row>
    <row r="5075" spans="1:20" x14ac:dyDescent="0.25">
      <c r="A5075">
        <v>9</v>
      </c>
      <c r="B5075">
        <v>199</v>
      </c>
      <c r="C5075" t="str">
        <f t="shared" si="1093"/>
        <v>36</v>
      </c>
      <c r="D5075">
        <v>6399</v>
      </c>
      <c r="E5075" t="str">
        <f t="shared" si="1094"/>
        <v>09</v>
      </c>
      <c r="F5075" t="str">
        <f t="shared" si="1095"/>
        <v>001</v>
      </c>
      <c r="G5075">
        <v>9</v>
      </c>
      <c r="H5075" t="str">
        <f t="shared" si="1096"/>
        <v>99</v>
      </c>
      <c r="I5075" t="str">
        <f t="shared" si="1098"/>
        <v>0</v>
      </c>
      <c r="J5075" t="str">
        <f t="shared" si="1097"/>
        <v>01</v>
      </c>
      <c r="K5075">
        <v>20190308</v>
      </c>
      <c r="L5075" t="str">
        <f t="shared" si="1091"/>
        <v>075938</v>
      </c>
      <c r="M5075" t="str">
        <f t="shared" si="1092"/>
        <v>41230</v>
      </c>
      <c r="N5075" t="s">
        <v>1350</v>
      </c>
      <c r="O5075">
        <v>41.88</v>
      </c>
      <c r="P5075">
        <v>20190306</v>
      </c>
      <c r="Q5075" t="s">
        <v>2177</v>
      </c>
      <c r="R5075" t="s">
        <v>4118</v>
      </c>
      <c r="S5075" t="s">
        <v>1615</v>
      </c>
      <c r="T5075" t="s">
        <v>301</v>
      </c>
    </row>
    <row r="5076" spans="1:20" x14ac:dyDescent="0.25">
      <c r="A5076">
        <v>9</v>
      </c>
      <c r="B5076">
        <v>199</v>
      </c>
      <c r="C5076" t="str">
        <f t="shared" si="1093"/>
        <v>36</v>
      </c>
      <c r="D5076">
        <v>6399</v>
      </c>
      <c r="E5076" t="str">
        <f t="shared" si="1094"/>
        <v>09</v>
      </c>
      <c r="F5076" t="str">
        <f t="shared" si="1095"/>
        <v>001</v>
      </c>
      <c r="G5076">
        <v>9</v>
      </c>
      <c r="H5076" t="str">
        <f t="shared" si="1096"/>
        <v>99</v>
      </c>
      <c r="I5076" t="str">
        <f t="shared" si="1098"/>
        <v>0</v>
      </c>
      <c r="J5076" t="str">
        <f t="shared" si="1097"/>
        <v>01</v>
      </c>
      <c r="K5076">
        <v>20190308</v>
      </c>
      <c r="L5076" t="str">
        <f t="shared" si="1091"/>
        <v>075938</v>
      </c>
      <c r="M5076" t="str">
        <f t="shared" si="1092"/>
        <v>41230</v>
      </c>
      <c r="N5076" t="s">
        <v>1350</v>
      </c>
      <c r="O5076">
        <v>54.85</v>
      </c>
      <c r="P5076">
        <v>20190306</v>
      </c>
      <c r="Q5076" t="s">
        <v>2177</v>
      </c>
      <c r="R5076" t="s">
        <v>4118</v>
      </c>
      <c r="S5076" t="s">
        <v>1615</v>
      </c>
      <c r="T5076" t="s">
        <v>301</v>
      </c>
    </row>
    <row r="5077" spans="1:20" x14ac:dyDescent="0.25">
      <c r="A5077">
        <v>9</v>
      </c>
      <c r="B5077">
        <v>199</v>
      </c>
      <c r="C5077" t="str">
        <f t="shared" si="1093"/>
        <v>36</v>
      </c>
      <c r="D5077">
        <v>6399</v>
      </c>
      <c r="E5077" t="str">
        <f t="shared" si="1094"/>
        <v>09</v>
      </c>
      <c r="F5077" t="str">
        <f t="shared" si="1095"/>
        <v>001</v>
      </c>
      <c r="G5077">
        <v>9</v>
      </c>
      <c r="H5077" t="str">
        <f t="shared" si="1096"/>
        <v>99</v>
      </c>
      <c r="I5077" t="str">
        <f t="shared" si="1098"/>
        <v>0</v>
      </c>
      <c r="J5077" t="str">
        <f t="shared" si="1097"/>
        <v>01</v>
      </c>
      <c r="K5077">
        <v>20190308</v>
      </c>
      <c r="L5077" t="str">
        <f t="shared" si="1091"/>
        <v>075938</v>
      </c>
      <c r="M5077" t="str">
        <f t="shared" si="1092"/>
        <v>41230</v>
      </c>
      <c r="N5077" t="s">
        <v>1350</v>
      </c>
      <c r="O5077">
        <v>33.9</v>
      </c>
      <c r="P5077">
        <v>20190306</v>
      </c>
      <c r="Q5077" t="s">
        <v>2177</v>
      </c>
      <c r="R5077" t="s">
        <v>4118</v>
      </c>
      <c r="S5077" t="s">
        <v>1615</v>
      </c>
      <c r="T5077" t="s">
        <v>301</v>
      </c>
    </row>
    <row r="5078" spans="1:20" x14ac:dyDescent="0.25">
      <c r="A5078">
        <v>9</v>
      </c>
      <c r="B5078">
        <v>199</v>
      </c>
      <c r="C5078" t="str">
        <f t="shared" si="1093"/>
        <v>36</v>
      </c>
      <c r="D5078">
        <v>6399</v>
      </c>
      <c r="E5078" t="str">
        <f t="shared" si="1094"/>
        <v>09</v>
      </c>
      <c r="F5078" t="str">
        <f t="shared" si="1095"/>
        <v>001</v>
      </c>
      <c r="G5078">
        <v>9</v>
      </c>
      <c r="H5078" t="str">
        <f t="shared" si="1096"/>
        <v>99</v>
      </c>
      <c r="I5078" t="str">
        <f t="shared" si="1098"/>
        <v>0</v>
      </c>
      <c r="J5078" t="str">
        <f t="shared" si="1097"/>
        <v>01</v>
      </c>
      <c r="K5078">
        <v>20190308</v>
      </c>
      <c r="L5078" t="str">
        <f t="shared" si="1091"/>
        <v>075938</v>
      </c>
      <c r="M5078" t="str">
        <f t="shared" si="1092"/>
        <v>41230</v>
      </c>
      <c r="N5078" t="s">
        <v>1350</v>
      </c>
      <c r="O5078">
        <v>110.29</v>
      </c>
      <c r="P5078">
        <v>20190306</v>
      </c>
      <c r="Q5078" t="s">
        <v>2177</v>
      </c>
      <c r="R5078" t="s">
        <v>4118</v>
      </c>
      <c r="S5078" t="s">
        <v>1615</v>
      </c>
      <c r="T5078" t="s">
        <v>301</v>
      </c>
    </row>
    <row r="5079" spans="1:20" x14ac:dyDescent="0.25">
      <c r="A5079">
        <v>9</v>
      </c>
      <c r="B5079">
        <v>199</v>
      </c>
      <c r="C5079" t="str">
        <f t="shared" si="1093"/>
        <v>36</v>
      </c>
      <c r="D5079">
        <v>6399</v>
      </c>
      <c r="E5079" t="str">
        <f t="shared" si="1094"/>
        <v>09</v>
      </c>
      <c r="F5079" t="str">
        <f t="shared" si="1095"/>
        <v>001</v>
      </c>
      <c r="G5079">
        <v>9</v>
      </c>
      <c r="H5079" t="str">
        <f t="shared" si="1096"/>
        <v>99</v>
      </c>
      <c r="I5079" t="str">
        <f t="shared" si="1098"/>
        <v>0</v>
      </c>
      <c r="J5079" t="str">
        <f t="shared" si="1097"/>
        <v>01</v>
      </c>
      <c r="K5079">
        <v>20190308</v>
      </c>
      <c r="L5079" t="str">
        <f t="shared" si="1091"/>
        <v>075938</v>
      </c>
      <c r="M5079" t="str">
        <f t="shared" si="1092"/>
        <v>41230</v>
      </c>
      <c r="N5079" t="s">
        <v>1350</v>
      </c>
      <c r="O5079">
        <v>16.91</v>
      </c>
      <c r="P5079">
        <v>20190306</v>
      </c>
      <c r="Q5079" t="s">
        <v>2177</v>
      </c>
      <c r="R5079" t="s">
        <v>4118</v>
      </c>
      <c r="S5079" t="s">
        <v>1615</v>
      </c>
      <c r="T5079" t="s">
        <v>301</v>
      </c>
    </row>
    <row r="5080" spans="1:20" x14ac:dyDescent="0.25">
      <c r="A5080">
        <v>9</v>
      </c>
      <c r="B5080">
        <v>199</v>
      </c>
      <c r="C5080" t="str">
        <f>"51"</f>
        <v>51</v>
      </c>
      <c r="D5080">
        <v>6319</v>
      </c>
      <c r="E5080" t="str">
        <f>"MC"</f>
        <v>MC</v>
      </c>
      <c r="F5080" t="str">
        <f>"936"</f>
        <v>936</v>
      </c>
      <c r="G5080">
        <v>9</v>
      </c>
      <c r="H5080" t="str">
        <f t="shared" si="1096"/>
        <v>99</v>
      </c>
      <c r="I5080" t="str">
        <f t="shared" si="1098"/>
        <v>0</v>
      </c>
      <c r="J5080" t="str">
        <f>"81"</f>
        <v>81</v>
      </c>
      <c r="K5080">
        <v>20190308</v>
      </c>
      <c r="L5080" t="str">
        <f t="shared" si="1091"/>
        <v>075938</v>
      </c>
      <c r="M5080" t="str">
        <f t="shared" si="1092"/>
        <v>41230</v>
      </c>
      <c r="N5080" t="s">
        <v>1350</v>
      </c>
      <c r="O5080">
        <v>226.62</v>
      </c>
      <c r="P5080">
        <v>20190306</v>
      </c>
      <c r="Q5080" t="s">
        <v>2060</v>
      </c>
      <c r="R5080" t="s">
        <v>2188</v>
      </c>
      <c r="S5080" t="s">
        <v>1615</v>
      </c>
      <c r="T5080" t="s">
        <v>1713</v>
      </c>
    </row>
    <row r="5081" spans="1:20" x14ac:dyDescent="0.25">
      <c r="A5081">
        <v>9</v>
      </c>
      <c r="B5081">
        <v>199</v>
      </c>
      <c r="C5081" t="str">
        <f>"51"</f>
        <v>51</v>
      </c>
      <c r="D5081">
        <v>6319</v>
      </c>
      <c r="E5081" t="str">
        <f>"MC"</f>
        <v>MC</v>
      </c>
      <c r="F5081" t="str">
        <f>"936"</f>
        <v>936</v>
      </c>
      <c r="G5081">
        <v>9</v>
      </c>
      <c r="H5081" t="str">
        <f t="shared" si="1096"/>
        <v>99</v>
      </c>
      <c r="I5081" t="str">
        <f t="shared" si="1098"/>
        <v>0</v>
      </c>
      <c r="J5081" t="str">
        <f>"81"</f>
        <v>81</v>
      </c>
      <c r="K5081">
        <v>20190308</v>
      </c>
      <c r="L5081" t="str">
        <f t="shared" si="1091"/>
        <v>075938</v>
      </c>
      <c r="M5081" t="str">
        <f t="shared" si="1092"/>
        <v>41230</v>
      </c>
      <c r="N5081" t="s">
        <v>1350</v>
      </c>
      <c r="O5081">
        <v>293.27</v>
      </c>
      <c r="P5081">
        <v>20190306</v>
      </c>
      <c r="Q5081" t="s">
        <v>2060</v>
      </c>
      <c r="R5081" t="s">
        <v>2188</v>
      </c>
      <c r="S5081" t="s">
        <v>1615</v>
      </c>
      <c r="T5081" t="s">
        <v>1713</v>
      </c>
    </row>
    <row r="5082" spans="1:20" x14ac:dyDescent="0.25">
      <c r="A5082">
        <v>9</v>
      </c>
      <c r="B5082">
        <v>199</v>
      </c>
      <c r="C5082" t="str">
        <f>"11"</f>
        <v>11</v>
      </c>
      <c r="D5082">
        <v>6249</v>
      </c>
      <c r="E5082" t="str">
        <f>"57"</f>
        <v>57</v>
      </c>
      <c r="F5082" t="str">
        <f>"001"</f>
        <v>001</v>
      </c>
      <c r="G5082">
        <v>9</v>
      </c>
      <c r="H5082" t="str">
        <f>"11"</f>
        <v>11</v>
      </c>
      <c r="I5082" t="str">
        <f t="shared" si="1098"/>
        <v>0</v>
      </c>
      <c r="J5082" t="str">
        <f>"80"</f>
        <v>80</v>
      </c>
      <c r="K5082">
        <v>20190308</v>
      </c>
      <c r="L5082" t="str">
        <f>"075939"</f>
        <v>075939</v>
      </c>
      <c r="M5082" t="str">
        <f>"43532"</f>
        <v>43532</v>
      </c>
      <c r="N5082" t="s">
        <v>2261</v>
      </c>
      <c r="O5082" s="1">
        <v>3738.35</v>
      </c>
      <c r="P5082">
        <v>20190306</v>
      </c>
      <c r="Q5082" t="s">
        <v>1796</v>
      </c>
      <c r="R5082" t="s">
        <v>4119</v>
      </c>
      <c r="S5082" t="s">
        <v>1615</v>
      </c>
      <c r="T5082" t="s">
        <v>301</v>
      </c>
    </row>
    <row r="5083" spans="1:20" x14ac:dyDescent="0.25">
      <c r="A5083">
        <v>9</v>
      </c>
      <c r="B5083">
        <v>199</v>
      </c>
      <c r="C5083" t="str">
        <f>"11"</f>
        <v>11</v>
      </c>
      <c r="D5083">
        <v>6249</v>
      </c>
      <c r="E5083" t="str">
        <f>"57"</f>
        <v>57</v>
      </c>
      <c r="F5083" t="str">
        <f>"041"</f>
        <v>041</v>
      </c>
      <c r="G5083">
        <v>9</v>
      </c>
      <c r="H5083" t="str">
        <f>"11"</f>
        <v>11</v>
      </c>
      <c r="I5083" t="str">
        <f t="shared" si="1098"/>
        <v>0</v>
      </c>
      <c r="J5083" t="str">
        <f>"80"</f>
        <v>80</v>
      </c>
      <c r="K5083">
        <v>20190308</v>
      </c>
      <c r="L5083" t="str">
        <f>"075939"</f>
        <v>075939</v>
      </c>
      <c r="M5083" t="str">
        <f>"43532"</f>
        <v>43532</v>
      </c>
      <c r="N5083" t="s">
        <v>2261</v>
      </c>
      <c r="O5083" s="1">
        <v>3738.35</v>
      </c>
      <c r="P5083">
        <v>20190306</v>
      </c>
      <c r="Q5083" t="s">
        <v>1798</v>
      </c>
      <c r="R5083" t="s">
        <v>4119</v>
      </c>
      <c r="S5083" t="s">
        <v>1615</v>
      </c>
      <c r="T5083" t="s">
        <v>106</v>
      </c>
    </row>
    <row r="5084" spans="1:20" x14ac:dyDescent="0.25">
      <c r="A5084">
        <v>9</v>
      </c>
      <c r="B5084">
        <v>199</v>
      </c>
      <c r="C5084" t="str">
        <f>"11"</f>
        <v>11</v>
      </c>
      <c r="D5084">
        <v>6249</v>
      </c>
      <c r="E5084" t="str">
        <f>"57"</f>
        <v>57</v>
      </c>
      <c r="F5084" t="str">
        <f>"101"</f>
        <v>101</v>
      </c>
      <c r="G5084">
        <v>9</v>
      </c>
      <c r="H5084" t="str">
        <f>"11"</f>
        <v>11</v>
      </c>
      <c r="I5084" t="str">
        <f t="shared" si="1098"/>
        <v>0</v>
      </c>
      <c r="J5084" t="str">
        <f>"80"</f>
        <v>80</v>
      </c>
      <c r="K5084">
        <v>20190308</v>
      </c>
      <c r="L5084" t="str">
        <f>"075939"</f>
        <v>075939</v>
      </c>
      <c r="M5084" t="str">
        <f>"43532"</f>
        <v>43532</v>
      </c>
      <c r="N5084" t="s">
        <v>2261</v>
      </c>
      <c r="O5084" s="1">
        <v>3738.35</v>
      </c>
      <c r="P5084">
        <v>20190306</v>
      </c>
      <c r="Q5084" t="s">
        <v>1799</v>
      </c>
      <c r="R5084" t="s">
        <v>4119</v>
      </c>
      <c r="S5084" t="s">
        <v>1615</v>
      </c>
      <c r="T5084" t="s">
        <v>1479</v>
      </c>
    </row>
    <row r="5085" spans="1:20" x14ac:dyDescent="0.25">
      <c r="A5085">
        <v>9</v>
      </c>
      <c r="B5085">
        <v>199</v>
      </c>
      <c r="C5085" t="str">
        <f>"11"</f>
        <v>11</v>
      </c>
      <c r="D5085">
        <v>6249</v>
      </c>
      <c r="E5085" t="str">
        <f>"57"</f>
        <v>57</v>
      </c>
      <c r="F5085" t="str">
        <f>"104"</f>
        <v>104</v>
      </c>
      <c r="G5085">
        <v>9</v>
      </c>
      <c r="H5085" t="str">
        <f>"11"</f>
        <v>11</v>
      </c>
      <c r="I5085" t="str">
        <f t="shared" si="1098"/>
        <v>0</v>
      </c>
      <c r="J5085" t="str">
        <f>"80"</f>
        <v>80</v>
      </c>
      <c r="K5085">
        <v>20190308</v>
      </c>
      <c r="L5085" t="str">
        <f>"075939"</f>
        <v>075939</v>
      </c>
      <c r="M5085" t="str">
        <f>"43532"</f>
        <v>43532</v>
      </c>
      <c r="N5085" t="s">
        <v>2261</v>
      </c>
      <c r="O5085" s="1">
        <v>3738.35</v>
      </c>
      <c r="P5085">
        <v>20190306</v>
      </c>
      <c r="Q5085" t="s">
        <v>1800</v>
      </c>
      <c r="R5085" t="s">
        <v>4119</v>
      </c>
      <c r="S5085" t="s">
        <v>1615</v>
      </c>
      <c r="T5085" t="s">
        <v>46</v>
      </c>
    </row>
    <row r="5086" spans="1:20" x14ac:dyDescent="0.25">
      <c r="A5086">
        <v>9</v>
      </c>
      <c r="B5086">
        <v>199</v>
      </c>
      <c r="C5086" t="str">
        <f>"36"</f>
        <v>36</v>
      </c>
      <c r="D5086">
        <v>6399</v>
      </c>
      <c r="E5086" t="str">
        <f>"09"</f>
        <v>09</v>
      </c>
      <c r="F5086" t="str">
        <f>"001"</f>
        <v>001</v>
      </c>
      <c r="G5086">
        <v>9</v>
      </c>
      <c r="H5086" t="str">
        <f>"99"</f>
        <v>99</v>
      </c>
      <c r="I5086" t="str">
        <f t="shared" si="1098"/>
        <v>0</v>
      </c>
      <c r="J5086" t="str">
        <f>"01"</f>
        <v>01</v>
      </c>
      <c r="K5086">
        <v>20190308</v>
      </c>
      <c r="L5086" t="str">
        <f>"075940"</f>
        <v>075940</v>
      </c>
      <c r="M5086" t="str">
        <f>"39394"</f>
        <v>39394</v>
      </c>
      <c r="N5086" t="s">
        <v>4120</v>
      </c>
      <c r="O5086">
        <v>293.12</v>
      </c>
      <c r="P5086">
        <v>20190306</v>
      </c>
      <c r="Q5086" t="s">
        <v>2177</v>
      </c>
      <c r="R5086" t="s">
        <v>4121</v>
      </c>
      <c r="S5086" t="s">
        <v>1615</v>
      </c>
      <c r="T5086" t="s">
        <v>301</v>
      </c>
    </row>
    <row r="5087" spans="1:20" x14ac:dyDescent="0.25">
      <c r="A5087">
        <v>9</v>
      </c>
      <c r="B5087">
        <v>199</v>
      </c>
      <c r="C5087" t="str">
        <f>"36"</f>
        <v>36</v>
      </c>
      <c r="D5087">
        <v>6399</v>
      </c>
      <c r="E5087" t="str">
        <f>"09"</f>
        <v>09</v>
      </c>
      <c r="F5087" t="str">
        <f>"001"</f>
        <v>001</v>
      </c>
      <c r="G5087">
        <v>9</v>
      </c>
      <c r="H5087" t="str">
        <f>"99"</f>
        <v>99</v>
      </c>
      <c r="I5087" t="str">
        <f t="shared" si="1098"/>
        <v>0</v>
      </c>
      <c r="J5087" t="str">
        <f>"01"</f>
        <v>01</v>
      </c>
      <c r="K5087">
        <v>20190308</v>
      </c>
      <c r="L5087" t="str">
        <f>"075940"</f>
        <v>075940</v>
      </c>
      <c r="M5087" t="str">
        <f>"39394"</f>
        <v>39394</v>
      </c>
      <c r="N5087" t="s">
        <v>4120</v>
      </c>
      <c r="O5087">
        <v>9.5</v>
      </c>
      <c r="P5087">
        <v>20190306</v>
      </c>
      <c r="Q5087" t="s">
        <v>2177</v>
      </c>
      <c r="R5087" t="s">
        <v>4122</v>
      </c>
      <c r="S5087" t="s">
        <v>1615</v>
      </c>
      <c r="T5087" t="s">
        <v>301</v>
      </c>
    </row>
    <row r="5088" spans="1:20" x14ac:dyDescent="0.25">
      <c r="A5088">
        <v>9</v>
      </c>
      <c r="B5088">
        <v>199</v>
      </c>
      <c r="C5088" t="str">
        <f>"52"</f>
        <v>52</v>
      </c>
      <c r="D5088">
        <v>6299</v>
      </c>
      <c r="E5088" t="str">
        <f>"10"</f>
        <v>10</v>
      </c>
      <c r="F5088" t="str">
        <f>"001"</f>
        <v>001</v>
      </c>
      <c r="G5088">
        <v>9</v>
      </c>
      <c r="H5088" t="str">
        <f>"99"</f>
        <v>99</v>
      </c>
      <c r="I5088" t="str">
        <f t="shared" si="1098"/>
        <v>0</v>
      </c>
      <c r="J5088" t="str">
        <f>"87"</f>
        <v>87</v>
      </c>
      <c r="K5088">
        <v>20190308</v>
      </c>
      <c r="L5088" t="str">
        <f>"075941"</f>
        <v>075941</v>
      </c>
      <c r="M5088" t="str">
        <f>"44450"</f>
        <v>44450</v>
      </c>
      <c r="N5088" t="s">
        <v>2500</v>
      </c>
      <c r="O5088">
        <v>225</v>
      </c>
      <c r="P5088">
        <v>20190306</v>
      </c>
      <c r="Q5088" t="s">
        <v>2501</v>
      </c>
      <c r="R5088" t="s">
        <v>4123</v>
      </c>
      <c r="S5088" t="s">
        <v>1615</v>
      </c>
      <c r="T5088" t="s">
        <v>301</v>
      </c>
    </row>
    <row r="5089" spans="1:20" x14ac:dyDescent="0.25">
      <c r="A5089">
        <v>9</v>
      </c>
      <c r="B5089">
        <v>199</v>
      </c>
      <c r="C5089" t="str">
        <f>"31"</f>
        <v>31</v>
      </c>
      <c r="D5089">
        <v>6499</v>
      </c>
      <c r="E5089" t="str">
        <f>"7F"</f>
        <v>7F</v>
      </c>
      <c r="F5089" t="str">
        <f>"001"</f>
        <v>001</v>
      </c>
      <c r="G5089">
        <v>9</v>
      </c>
      <c r="H5089" t="str">
        <f>"31"</f>
        <v>31</v>
      </c>
      <c r="I5089" t="str">
        <f t="shared" si="1098"/>
        <v>0</v>
      </c>
      <c r="J5089" t="str">
        <f>"34"</f>
        <v>34</v>
      </c>
      <c r="K5089">
        <v>20190308</v>
      </c>
      <c r="L5089" t="str">
        <f>"075942"</f>
        <v>075942</v>
      </c>
      <c r="M5089" t="str">
        <f>"45093"</f>
        <v>45093</v>
      </c>
      <c r="N5089" t="s">
        <v>885</v>
      </c>
      <c r="O5089">
        <v>646.99</v>
      </c>
      <c r="P5089">
        <v>20190306</v>
      </c>
      <c r="Q5089" t="s">
        <v>2880</v>
      </c>
      <c r="R5089" t="s">
        <v>4124</v>
      </c>
      <c r="S5089" t="s">
        <v>1615</v>
      </c>
      <c r="T5089" t="s">
        <v>301</v>
      </c>
    </row>
    <row r="5090" spans="1:20" x14ac:dyDescent="0.25">
      <c r="A5090">
        <v>9</v>
      </c>
      <c r="B5090">
        <v>199</v>
      </c>
      <c r="C5090" t="str">
        <f>"31"</f>
        <v>31</v>
      </c>
      <c r="D5090">
        <v>6499</v>
      </c>
      <c r="E5090" t="str">
        <f>"7F"</f>
        <v>7F</v>
      </c>
      <c r="F5090" t="str">
        <f>"001"</f>
        <v>001</v>
      </c>
      <c r="G5090">
        <v>9</v>
      </c>
      <c r="H5090" t="str">
        <f>"31"</f>
        <v>31</v>
      </c>
      <c r="I5090" t="str">
        <f t="shared" si="1098"/>
        <v>0</v>
      </c>
      <c r="J5090" t="str">
        <f>"34"</f>
        <v>34</v>
      </c>
      <c r="K5090">
        <v>20190308</v>
      </c>
      <c r="L5090" t="str">
        <f>"075942"</f>
        <v>075942</v>
      </c>
      <c r="M5090" t="str">
        <f>"45093"</f>
        <v>45093</v>
      </c>
      <c r="N5090" t="s">
        <v>885</v>
      </c>
      <c r="O5090">
        <v>93.38</v>
      </c>
      <c r="P5090">
        <v>20190306</v>
      </c>
      <c r="Q5090" t="s">
        <v>2880</v>
      </c>
      <c r="R5090" t="s">
        <v>4125</v>
      </c>
      <c r="S5090" t="s">
        <v>1615</v>
      </c>
      <c r="T5090" t="s">
        <v>301</v>
      </c>
    </row>
    <row r="5091" spans="1:20" x14ac:dyDescent="0.25">
      <c r="A5091">
        <v>9</v>
      </c>
      <c r="B5091">
        <v>199</v>
      </c>
      <c r="C5091" t="str">
        <f>"51"</f>
        <v>51</v>
      </c>
      <c r="D5091">
        <v>6319</v>
      </c>
      <c r="E5091" t="str">
        <f>"MC"</f>
        <v>MC</v>
      </c>
      <c r="F5091" t="str">
        <f>"936"</f>
        <v>936</v>
      </c>
      <c r="G5091">
        <v>9</v>
      </c>
      <c r="H5091" t="str">
        <f t="shared" ref="H5091:H5112" si="1099">"99"</f>
        <v>99</v>
      </c>
      <c r="I5091" t="str">
        <f t="shared" si="1098"/>
        <v>0</v>
      </c>
      <c r="J5091" t="str">
        <f>"81"</f>
        <v>81</v>
      </c>
      <c r="K5091">
        <v>20190308</v>
      </c>
      <c r="L5091" t="str">
        <f>"075944"</f>
        <v>075944</v>
      </c>
      <c r="M5091" t="str">
        <f>"45492"</f>
        <v>45492</v>
      </c>
      <c r="N5091" t="s">
        <v>3410</v>
      </c>
      <c r="O5091">
        <v>346.97</v>
      </c>
      <c r="P5091">
        <v>20190306</v>
      </c>
      <c r="Q5091" t="s">
        <v>2060</v>
      </c>
      <c r="R5091" t="s">
        <v>4126</v>
      </c>
      <c r="S5091" t="s">
        <v>1615</v>
      </c>
      <c r="T5091" t="s">
        <v>1713</v>
      </c>
    </row>
    <row r="5092" spans="1:20" x14ac:dyDescent="0.25">
      <c r="A5092">
        <v>9</v>
      </c>
      <c r="B5092">
        <v>199</v>
      </c>
      <c r="C5092" t="str">
        <f>"51"</f>
        <v>51</v>
      </c>
      <c r="D5092">
        <v>6319</v>
      </c>
      <c r="E5092" t="str">
        <f>"MC"</f>
        <v>MC</v>
      </c>
      <c r="F5092" t="str">
        <f>"936"</f>
        <v>936</v>
      </c>
      <c r="G5092">
        <v>9</v>
      </c>
      <c r="H5092" t="str">
        <f t="shared" si="1099"/>
        <v>99</v>
      </c>
      <c r="I5092" t="str">
        <f t="shared" si="1098"/>
        <v>0</v>
      </c>
      <c r="J5092" t="str">
        <f>"81"</f>
        <v>81</v>
      </c>
      <c r="K5092">
        <v>20190308</v>
      </c>
      <c r="L5092" t="str">
        <f>"075944"</f>
        <v>075944</v>
      </c>
      <c r="M5092" t="str">
        <f>"45492"</f>
        <v>45492</v>
      </c>
      <c r="N5092" t="s">
        <v>3410</v>
      </c>
      <c r="O5092">
        <v>146.97999999999999</v>
      </c>
      <c r="P5092">
        <v>20190306</v>
      </c>
      <c r="Q5092" t="s">
        <v>2060</v>
      </c>
      <c r="R5092" t="s">
        <v>4127</v>
      </c>
      <c r="S5092" t="s">
        <v>1615</v>
      </c>
      <c r="T5092" t="s">
        <v>1713</v>
      </c>
    </row>
    <row r="5093" spans="1:20" x14ac:dyDescent="0.25">
      <c r="A5093">
        <v>9</v>
      </c>
      <c r="B5093">
        <v>199</v>
      </c>
      <c r="C5093" t="str">
        <f>"51"</f>
        <v>51</v>
      </c>
      <c r="D5093">
        <v>6319</v>
      </c>
      <c r="E5093" t="str">
        <f>"MC"</f>
        <v>MC</v>
      </c>
      <c r="F5093" t="str">
        <f>"936"</f>
        <v>936</v>
      </c>
      <c r="G5093">
        <v>9</v>
      </c>
      <c r="H5093" t="str">
        <f t="shared" si="1099"/>
        <v>99</v>
      </c>
      <c r="I5093" t="str">
        <f t="shared" si="1098"/>
        <v>0</v>
      </c>
      <c r="J5093" t="str">
        <f>"81"</f>
        <v>81</v>
      </c>
      <c r="K5093">
        <v>20190308</v>
      </c>
      <c r="L5093" t="str">
        <f>"075944"</f>
        <v>075944</v>
      </c>
      <c r="M5093" t="str">
        <f>"45492"</f>
        <v>45492</v>
      </c>
      <c r="N5093" t="s">
        <v>3410</v>
      </c>
      <c r="O5093">
        <v>496.99</v>
      </c>
      <c r="P5093">
        <v>20190306</v>
      </c>
      <c r="Q5093" t="s">
        <v>2060</v>
      </c>
      <c r="R5093" t="s">
        <v>4128</v>
      </c>
      <c r="S5093" t="s">
        <v>1615</v>
      </c>
      <c r="T5093" t="s">
        <v>1713</v>
      </c>
    </row>
    <row r="5094" spans="1:20" x14ac:dyDescent="0.25">
      <c r="A5094">
        <v>9</v>
      </c>
      <c r="B5094">
        <v>199</v>
      </c>
      <c r="C5094" t="str">
        <f>"51"</f>
        <v>51</v>
      </c>
      <c r="D5094">
        <v>6319</v>
      </c>
      <c r="E5094" t="str">
        <f>"MC"</f>
        <v>MC</v>
      </c>
      <c r="F5094" t="str">
        <f>"936"</f>
        <v>936</v>
      </c>
      <c r="G5094">
        <v>9</v>
      </c>
      <c r="H5094" t="str">
        <f t="shared" si="1099"/>
        <v>99</v>
      </c>
      <c r="I5094" t="str">
        <f t="shared" si="1098"/>
        <v>0</v>
      </c>
      <c r="J5094" t="str">
        <f>"81"</f>
        <v>81</v>
      </c>
      <c r="K5094">
        <v>20190308</v>
      </c>
      <c r="L5094" t="str">
        <f>"075944"</f>
        <v>075944</v>
      </c>
      <c r="M5094" t="str">
        <f>"45492"</f>
        <v>45492</v>
      </c>
      <c r="N5094" t="s">
        <v>3410</v>
      </c>
      <c r="O5094">
        <v>63.75</v>
      </c>
      <c r="P5094">
        <v>20190306</v>
      </c>
      <c r="Q5094" t="s">
        <v>2060</v>
      </c>
      <c r="R5094" t="s">
        <v>4129</v>
      </c>
      <c r="S5094" t="s">
        <v>1615</v>
      </c>
      <c r="T5094" t="s">
        <v>1713</v>
      </c>
    </row>
    <row r="5095" spans="1:20" x14ac:dyDescent="0.25">
      <c r="A5095">
        <v>9</v>
      </c>
      <c r="B5095">
        <v>199</v>
      </c>
      <c r="C5095" t="str">
        <f>"51"</f>
        <v>51</v>
      </c>
      <c r="D5095">
        <v>6319</v>
      </c>
      <c r="E5095" t="str">
        <f>"MC"</f>
        <v>MC</v>
      </c>
      <c r="F5095" t="str">
        <f>"936"</f>
        <v>936</v>
      </c>
      <c r="G5095">
        <v>9</v>
      </c>
      <c r="H5095" t="str">
        <f t="shared" si="1099"/>
        <v>99</v>
      </c>
      <c r="I5095" t="str">
        <f t="shared" si="1098"/>
        <v>0</v>
      </c>
      <c r="J5095" t="str">
        <f>"81"</f>
        <v>81</v>
      </c>
      <c r="K5095">
        <v>20190308</v>
      </c>
      <c r="L5095" t="str">
        <f>"075944"</f>
        <v>075944</v>
      </c>
      <c r="M5095" t="str">
        <f>"45492"</f>
        <v>45492</v>
      </c>
      <c r="N5095" t="s">
        <v>3410</v>
      </c>
      <c r="O5095">
        <v>150.97999999999999</v>
      </c>
      <c r="P5095">
        <v>20190306</v>
      </c>
      <c r="Q5095" t="s">
        <v>2060</v>
      </c>
      <c r="R5095" t="s">
        <v>4130</v>
      </c>
      <c r="S5095" t="s">
        <v>1615</v>
      </c>
      <c r="T5095" t="s">
        <v>1713</v>
      </c>
    </row>
    <row r="5096" spans="1:20" x14ac:dyDescent="0.25">
      <c r="A5096">
        <v>9</v>
      </c>
      <c r="B5096">
        <v>199</v>
      </c>
      <c r="C5096" t="str">
        <f>"41"</f>
        <v>41</v>
      </c>
      <c r="D5096">
        <v>6399</v>
      </c>
      <c r="E5096" t="str">
        <f>"10"</f>
        <v>10</v>
      </c>
      <c r="F5096" t="str">
        <f>"730"</f>
        <v>730</v>
      </c>
      <c r="G5096">
        <v>9</v>
      </c>
      <c r="H5096" t="str">
        <f t="shared" si="1099"/>
        <v>99</v>
      </c>
      <c r="I5096" t="str">
        <f t="shared" si="1098"/>
        <v>0</v>
      </c>
      <c r="J5096" t="str">
        <f>"95"</f>
        <v>95</v>
      </c>
      <c r="K5096">
        <v>20190308</v>
      </c>
      <c r="L5096" t="str">
        <f>"075945"</f>
        <v>075945</v>
      </c>
      <c r="M5096" t="str">
        <f>"45496"</f>
        <v>45496</v>
      </c>
      <c r="N5096" t="s">
        <v>3175</v>
      </c>
      <c r="O5096">
        <v>387.16</v>
      </c>
      <c r="P5096">
        <v>20190306</v>
      </c>
      <c r="Q5096" t="s">
        <v>1987</v>
      </c>
      <c r="R5096" t="s">
        <v>641</v>
      </c>
      <c r="S5096" t="s">
        <v>1615</v>
      </c>
      <c r="T5096" t="s">
        <v>1794</v>
      </c>
    </row>
    <row r="5097" spans="1:20" x14ac:dyDescent="0.25">
      <c r="A5097">
        <v>9</v>
      </c>
      <c r="B5097">
        <v>199</v>
      </c>
      <c r="C5097" t="str">
        <f>"41"</f>
        <v>41</v>
      </c>
      <c r="D5097">
        <v>6399</v>
      </c>
      <c r="E5097" t="str">
        <f>"10"</f>
        <v>10</v>
      </c>
      <c r="F5097" t="str">
        <f>"730"</f>
        <v>730</v>
      </c>
      <c r="G5097">
        <v>9</v>
      </c>
      <c r="H5097" t="str">
        <f t="shared" si="1099"/>
        <v>99</v>
      </c>
      <c r="I5097" t="str">
        <f t="shared" si="1098"/>
        <v>0</v>
      </c>
      <c r="J5097" t="str">
        <f>"95"</f>
        <v>95</v>
      </c>
      <c r="K5097">
        <v>20190308</v>
      </c>
      <c r="L5097" t="str">
        <f>"075945"</f>
        <v>075945</v>
      </c>
      <c r="M5097" t="str">
        <f>"45496"</f>
        <v>45496</v>
      </c>
      <c r="N5097" t="s">
        <v>3175</v>
      </c>
      <c r="O5097">
        <v>505.84</v>
      </c>
      <c r="P5097">
        <v>20190306</v>
      </c>
      <c r="Q5097" t="s">
        <v>1987</v>
      </c>
      <c r="R5097" t="s">
        <v>641</v>
      </c>
      <c r="S5097" t="s">
        <v>1615</v>
      </c>
      <c r="T5097" t="s">
        <v>1794</v>
      </c>
    </row>
    <row r="5098" spans="1:20" x14ac:dyDescent="0.25">
      <c r="A5098">
        <v>9</v>
      </c>
      <c r="B5098">
        <v>199</v>
      </c>
      <c r="C5098" t="str">
        <f>"41"</f>
        <v>41</v>
      </c>
      <c r="D5098">
        <v>6219</v>
      </c>
      <c r="E5098" t="str">
        <f>"11"</f>
        <v>11</v>
      </c>
      <c r="F5098" t="str">
        <f>"730"</f>
        <v>730</v>
      </c>
      <c r="G5098">
        <v>9</v>
      </c>
      <c r="H5098" t="str">
        <f t="shared" si="1099"/>
        <v>99</v>
      </c>
      <c r="I5098" t="str">
        <f t="shared" si="1098"/>
        <v>0</v>
      </c>
      <c r="J5098" t="str">
        <f>"95"</f>
        <v>95</v>
      </c>
      <c r="K5098">
        <v>20190308</v>
      </c>
      <c r="L5098" t="str">
        <f>"075946"</f>
        <v>075946</v>
      </c>
      <c r="M5098" t="str">
        <f>"46025"</f>
        <v>46025</v>
      </c>
      <c r="N5098" t="s">
        <v>1741</v>
      </c>
      <c r="O5098">
        <v>690</v>
      </c>
      <c r="P5098">
        <v>20190306</v>
      </c>
      <c r="Q5098" t="s">
        <v>2385</v>
      </c>
      <c r="R5098" s="2">
        <v>43466</v>
      </c>
      <c r="S5098" t="s">
        <v>1615</v>
      </c>
      <c r="T5098" t="s">
        <v>1794</v>
      </c>
    </row>
    <row r="5099" spans="1:20" x14ac:dyDescent="0.25">
      <c r="A5099">
        <v>9</v>
      </c>
      <c r="B5099">
        <v>199</v>
      </c>
      <c r="C5099" t="str">
        <f>"36"</f>
        <v>36</v>
      </c>
      <c r="D5099">
        <v>6411</v>
      </c>
      <c r="E5099" t="str">
        <f>"09"</f>
        <v>09</v>
      </c>
      <c r="F5099" t="str">
        <f>"001"</f>
        <v>001</v>
      </c>
      <c r="G5099">
        <v>9</v>
      </c>
      <c r="H5099" t="str">
        <f t="shared" si="1099"/>
        <v>99</v>
      </c>
      <c r="I5099" t="str">
        <f t="shared" si="1098"/>
        <v>0</v>
      </c>
      <c r="J5099" t="str">
        <f>"01"</f>
        <v>01</v>
      </c>
      <c r="K5099">
        <v>20190308</v>
      </c>
      <c r="L5099" t="str">
        <f>"075947"</f>
        <v>075947</v>
      </c>
      <c r="M5099" t="str">
        <f>"46348"</f>
        <v>46348</v>
      </c>
      <c r="N5099" t="s">
        <v>1631</v>
      </c>
      <c r="O5099">
        <v>100</v>
      </c>
      <c r="P5099">
        <v>20190306</v>
      </c>
      <c r="Q5099" t="s">
        <v>2513</v>
      </c>
      <c r="R5099" t="s">
        <v>4115</v>
      </c>
      <c r="S5099" t="s">
        <v>1615</v>
      </c>
      <c r="T5099" t="s">
        <v>301</v>
      </c>
    </row>
    <row r="5100" spans="1:20" x14ac:dyDescent="0.25">
      <c r="A5100">
        <v>9</v>
      </c>
      <c r="B5100">
        <v>199</v>
      </c>
      <c r="C5100" t="str">
        <f>"36"</f>
        <v>36</v>
      </c>
      <c r="D5100">
        <v>6412</v>
      </c>
      <c r="E5100" t="str">
        <f>"09"</f>
        <v>09</v>
      </c>
      <c r="F5100" t="str">
        <f>"001"</f>
        <v>001</v>
      </c>
      <c r="G5100">
        <v>9</v>
      </c>
      <c r="H5100" t="str">
        <f t="shared" si="1099"/>
        <v>99</v>
      </c>
      <c r="I5100" t="str">
        <f>"1"</f>
        <v>1</v>
      </c>
      <c r="J5100" t="str">
        <f>"01"</f>
        <v>01</v>
      </c>
      <c r="K5100">
        <v>20190308</v>
      </c>
      <c r="L5100" t="str">
        <f>"075947"</f>
        <v>075947</v>
      </c>
      <c r="M5100" t="str">
        <f>"46348"</f>
        <v>46348</v>
      </c>
      <c r="N5100" t="s">
        <v>1631</v>
      </c>
      <c r="O5100">
        <v>420</v>
      </c>
      <c r="P5100">
        <v>20190306</v>
      </c>
      <c r="Q5100" t="s">
        <v>2514</v>
      </c>
      <c r="R5100" t="s">
        <v>4115</v>
      </c>
      <c r="S5100" t="s">
        <v>1615</v>
      </c>
      <c r="T5100" t="s">
        <v>301</v>
      </c>
    </row>
    <row r="5101" spans="1:20" x14ac:dyDescent="0.25">
      <c r="A5101">
        <v>9</v>
      </c>
      <c r="B5101">
        <v>199</v>
      </c>
      <c r="C5101" t="str">
        <f t="shared" ref="C5101:C5112" si="1100">"51"</f>
        <v>51</v>
      </c>
      <c r="D5101">
        <v>6219</v>
      </c>
      <c r="E5101" t="str">
        <f t="shared" ref="E5101:E5107" si="1101">"M7"</f>
        <v>M7</v>
      </c>
      <c r="F5101" t="str">
        <f t="shared" ref="F5101:F5112" si="1102">"936"</f>
        <v>936</v>
      </c>
      <c r="G5101">
        <v>9</v>
      </c>
      <c r="H5101" t="str">
        <f t="shared" si="1099"/>
        <v>99</v>
      </c>
      <c r="I5101" t="str">
        <f t="shared" ref="I5101:I5138" si="1103">"0"</f>
        <v>0</v>
      </c>
      <c r="J5101" t="str">
        <f t="shared" ref="J5101:J5112" si="1104">"81"</f>
        <v>81</v>
      </c>
      <c r="K5101">
        <v>20190308</v>
      </c>
      <c r="L5101" t="str">
        <f t="shared" ref="L5101:L5112" si="1105">"075948"</f>
        <v>075948</v>
      </c>
      <c r="M5101" t="str">
        <f t="shared" ref="M5101:M5112" si="1106">"46369"</f>
        <v>46369</v>
      </c>
      <c r="N5101" t="s">
        <v>2086</v>
      </c>
      <c r="O5101">
        <v>130</v>
      </c>
      <c r="P5101">
        <v>20190306</v>
      </c>
      <c r="Q5101" t="s">
        <v>2259</v>
      </c>
      <c r="R5101" t="s">
        <v>4131</v>
      </c>
      <c r="S5101" t="s">
        <v>1615</v>
      </c>
      <c r="T5101" t="s">
        <v>1713</v>
      </c>
    </row>
    <row r="5102" spans="1:20" x14ac:dyDescent="0.25">
      <c r="A5102">
        <v>9</v>
      </c>
      <c r="B5102">
        <v>199</v>
      </c>
      <c r="C5102" t="str">
        <f t="shared" si="1100"/>
        <v>51</v>
      </c>
      <c r="D5102">
        <v>6219</v>
      </c>
      <c r="E5102" t="str">
        <f t="shared" si="1101"/>
        <v>M7</v>
      </c>
      <c r="F5102" t="str">
        <f t="shared" si="1102"/>
        <v>936</v>
      </c>
      <c r="G5102">
        <v>9</v>
      </c>
      <c r="H5102" t="str">
        <f t="shared" si="1099"/>
        <v>99</v>
      </c>
      <c r="I5102" t="str">
        <f t="shared" si="1103"/>
        <v>0</v>
      </c>
      <c r="J5102" t="str">
        <f t="shared" si="1104"/>
        <v>81</v>
      </c>
      <c r="K5102">
        <v>20190308</v>
      </c>
      <c r="L5102" t="str">
        <f t="shared" si="1105"/>
        <v>075948</v>
      </c>
      <c r="M5102" t="str">
        <f t="shared" si="1106"/>
        <v>46369</v>
      </c>
      <c r="N5102" t="s">
        <v>2086</v>
      </c>
      <c r="O5102">
        <v>250</v>
      </c>
      <c r="P5102">
        <v>20190306</v>
      </c>
      <c r="Q5102" t="s">
        <v>2259</v>
      </c>
      <c r="R5102" t="s">
        <v>4132</v>
      </c>
      <c r="S5102" t="s">
        <v>1615</v>
      </c>
      <c r="T5102" t="s">
        <v>1713</v>
      </c>
    </row>
    <row r="5103" spans="1:20" x14ac:dyDescent="0.25">
      <c r="A5103">
        <v>9</v>
      </c>
      <c r="B5103">
        <v>199</v>
      </c>
      <c r="C5103" t="str">
        <f t="shared" si="1100"/>
        <v>51</v>
      </c>
      <c r="D5103">
        <v>6219</v>
      </c>
      <c r="E5103" t="str">
        <f t="shared" si="1101"/>
        <v>M7</v>
      </c>
      <c r="F5103" t="str">
        <f t="shared" si="1102"/>
        <v>936</v>
      </c>
      <c r="G5103">
        <v>9</v>
      </c>
      <c r="H5103" t="str">
        <f t="shared" si="1099"/>
        <v>99</v>
      </c>
      <c r="I5103" t="str">
        <f t="shared" si="1103"/>
        <v>0</v>
      </c>
      <c r="J5103" t="str">
        <f t="shared" si="1104"/>
        <v>81</v>
      </c>
      <c r="K5103">
        <v>20190308</v>
      </c>
      <c r="L5103" t="str">
        <f t="shared" si="1105"/>
        <v>075948</v>
      </c>
      <c r="M5103" t="str">
        <f t="shared" si="1106"/>
        <v>46369</v>
      </c>
      <c r="N5103" t="s">
        <v>2086</v>
      </c>
      <c r="O5103">
        <v>260</v>
      </c>
      <c r="P5103">
        <v>20190306</v>
      </c>
      <c r="Q5103" t="s">
        <v>2259</v>
      </c>
      <c r="R5103" t="s">
        <v>4133</v>
      </c>
      <c r="S5103" t="s">
        <v>1615</v>
      </c>
      <c r="T5103" t="s">
        <v>1713</v>
      </c>
    </row>
    <row r="5104" spans="1:20" x14ac:dyDescent="0.25">
      <c r="A5104">
        <v>9</v>
      </c>
      <c r="B5104">
        <v>199</v>
      </c>
      <c r="C5104" t="str">
        <f t="shared" si="1100"/>
        <v>51</v>
      </c>
      <c r="D5104">
        <v>6219</v>
      </c>
      <c r="E5104" t="str">
        <f t="shared" si="1101"/>
        <v>M7</v>
      </c>
      <c r="F5104" t="str">
        <f t="shared" si="1102"/>
        <v>936</v>
      </c>
      <c r="G5104">
        <v>9</v>
      </c>
      <c r="H5104" t="str">
        <f t="shared" si="1099"/>
        <v>99</v>
      </c>
      <c r="I5104" t="str">
        <f t="shared" si="1103"/>
        <v>0</v>
      </c>
      <c r="J5104" t="str">
        <f t="shared" si="1104"/>
        <v>81</v>
      </c>
      <c r="K5104">
        <v>20190308</v>
      </c>
      <c r="L5104" t="str">
        <f t="shared" si="1105"/>
        <v>075948</v>
      </c>
      <c r="M5104" t="str">
        <f t="shared" si="1106"/>
        <v>46369</v>
      </c>
      <c r="N5104" t="s">
        <v>2086</v>
      </c>
      <c r="O5104">
        <v>260</v>
      </c>
      <c r="P5104">
        <v>20190306</v>
      </c>
      <c r="Q5104" t="s">
        <v>2259</v>
      </c>
      <c r="R5104" t="s">
        <v>4134</v>
      </c>
      <c r="S5104" t="s">
        <v>1615</v>
      </c>
      <c r="T5104" t="s">
        <v>1713</v>
      </c>
    </row>
    <row r="5105" spans="1:20" x14ac:dyDescent="0.25">
      <c r="A5105">
        <v>9</v>
      </c>
      <c r="B5105">
        <v>199</v>
      </c>
      <c r="C5105" t="str">
        <f t="shared" si="1100"/>
        <v>51</v>
      </c>
      <c r="D5105">
        <v>6219</v>
      </c>
      <c r="E5105" t="str">
        <f t="shared" si="1101"/>
        <v>M7</v>
      </c>
      <c r="F5105" t="str">
        <f t="shared" si="1102"/>
        <v>936</v>
      </c>
      <c r="G5105">
        <v>9</v>
      </c>
      <c r="H5105" t="str">
        <f t="shared" si="1099"/>
        <v>99</v>
      </c>
      <c r="I5105" t="str">
        <f t="shared" si="1103"/>
        <v>0</v>
      </c>
      <c r="J5105" t="str">
        <f t="shared" si="1104"/>
        <v>81</v>
      </c>
      <c r="K5105">
        <v>20190308</v>
      </c>
      <c r="L5105" t="str">
        <f t="shared" si="1105"/>
        <v>075948</v>
      </c>
      <c r="M5105" t="str">
        <f t="shared" si="1106"/>
        <v>46369</v>
      </c>
      <c r="N5105" t="s">
        <v>2086</v>
      </c>
      <c r="O5105">
        <v>260</v>
      </c>
      <c r="P5105">
        <v>20190306</v>
      </c>
      <c r="Q5105" t="s">
        <v>2259</v>
      </c>
      <c r="R5105" t="s">
        <v>4135</v>
      </c>
      <c r="S5105" t="s">
        <v>1615</v>
      </c>
      <c r="T5105" t="s">
        <v>1713</v>
      </c>
    </row>
    <row r="5106" spans="1:20" x14ac:dyDescent="0.25">
      <c r="A5106">
        <v>9</v>
      </c>
      <c r="B5106">
        <v>199</v>
      </c>
      <c r="C5106" t="str">
        <f t="shared" si="1100"/>
        <v>51</v>
      </c>
      <c r="D5106">
        <v>6219</v>
      </c>
      <c r="E5106" t="str">
        <f t="shared" si="1101"/>
        <v>M7</v>
      </c>
      <c r="F5106" t="str">
        <f t="shared" si="1102"/>
        <v>936</v>
      </c>
      <c r="G5106">
        <v>9</v>
      </c>
      <c r="H5106" t="str">
        <f t="shared" si="1099"/>
        <v>99</v>
      </c>
      <c r="I5106" t="str">
        <f t="shared" si="1103"/>
        <v>0</v>
      </c>
      <c r="J5106" t="str">
        <f t="shared" si="1104"/>
        <v>81</v>
      </c>
      <c r="K5106">
        <v>20190308</v>
      </c>
      <c r="L5106" t="str">
        <f t="shared" si="1105"/>
        <v>075948</v>
      </c>
      <c r="M5106" t="str">
        <f t="shared" si="1106"/>
        <v>46369</v>
      </c>
      <c r="N5106" t="s">
        <v>2086</v>
      </c>
      <c r="O5106">
        <v>130</v>
      </c>
      <c r="P5106">
        <v>20190306</v>
      </c>
      <c r="Q5106" t="s">
        <v>2259</v>
      </c>
      <c r="R5106" t="s">
        <v>4136</v>
      </c>
      <c r="S5106" t="s">
        <v>1615</v>
      </c>
      <c r="T5106" t="s">
        <v>1713</v>
      </c>
    </row>
    <row r="5107" spans="1:20" x14ac:dyDescent="0.25">
      <c r="A5107">
        <v>9</v>
      </c>
      <c r="B5107">
        <v>199</v>
      </c>
      <c r="C5107" t="str">
        <f t="shared" si="1100"/>
        <v>51</v>
      </c>
      <c r="D5107">
        <v>6219</v>
      </c>
      <c r="E5107" t="str">
        <f t="shared" si="1101"/>
        <v>M7</v>
      </c>
      <c r="F5107" t="str">
        <f t="shared" si="1102"/>
        <v>936</v>
      </c>
      <c r="G5107">
        <v>9</v>
      </c>
      <c r="H5107" t="str">
        <f t="shared" si="1099"/>
        <v>99</v>
      </c>
      <c r="I5107" t="str">
        <f t="shared" si="1103"/>
        <v>0</v>
      </c>
      <c r="J5107" t="str">
        <f t="shared" si="1104"/>
        <v>81</v>
      </c>
      <c r="K5107">
        <v>20190308</v>
      </c>
      <c r="L5107" t="str">
        <f t="shared" si="1105"/>
        <v>075948</v>
      </c>
      <c r="M5107" t="str">
        <f t="shared" si="1106"/>
        <v>46369</v>
      </c>
      <c r="N5107" t="s">
        <v>2086</v>
      </c>
      <c r="O5107" s="1">
        <v>1430</v>
      </c>
      <c r="P5107">
        <v>20190306</v>
      </c>
      <c r="Q5107" t="s">
        <v>2259</v>
      </c>
      <c r="R5107" t="s">
        <v>4137</v>
      </c>
      <c r="S5107" t="s">
        <v>1615</v>
      </c>
      <c r="T5107" t="s">
        <v>1713</v>
      </c>
    </row>
    <row r="5108" spans="1:20" x14ac:dyDescent="0.25">
      <c r="A5108">
        <v>9</v>
      </c>
      <c r="B5108">
        <v>199</v>
      </c>
      <c r="C5108" t="str">
        <f t="shared" si="1100"/>
        <v>51</v>
      </c>
      <c r="D5108">
        <v>6249</v>
      </c>
      <c r="E5108" t="str">
        <f>"M6"</f>
        <v>M6</v>
      </c>
      <c r="F5108" t="str">
        <f t="shared" si="1102"/>
        <v>936</v>
      </c>
      <c r="G5108">
        <v>9</v>
      </c>
      <c r="H5108" t="str">
        <f t="shared" si="1099"/>
        <v>99</v>
      </c>
      <c r="I5108" t="str">
        <f t="shared" si="1103"/>
        <v>0</v>
      </c>
      <c r="J5108" t="str">
        <f t="shared" si="1104"/>
        <v>81</v>
      </c>
      <c r="K5108">
        <v>20190308</v>
      </c>
      <c r="L5108" t="str">
        <f t="shared" si="1105"/>
        <v>075948</v>
      </c>
      <c r="M5108" t="str">
        <f t="shared" si="1106"/>
        <v>46369</v>
      </c>
      <c r="N5108" t="s">
        <v>2086</v>
      </c>
      <c r="O5108">
        <v>260</v>
      </c>
      <c r="P5108">
        <v>20190306</v>
      </c>
      <c r="Q5108" t="s">
        <v>2089</v>
      </c>
      <c r="R5108" t="s">
        <v>4138</v>
      </c>
      <c r="S5108" t="s">
        <v>1615</v>
      </c>
      <c r="T5108" t="s">
        <v>1713</v>
      </c>
    </row>
    <row r="5109" spans="1:20" x14ac:dyDescent="0.25">
      <c r="A5109">
        <v>9</v>
      </c>
      <c r="B5109">
        <v>199</v>
      </c>
      <c r="C5109" t="str">
        <f t="shared" si="1100"/>
        <v>51</v>
      </c>
      <c r="D5109">
        <v>6249</v>
      </c>
      <c r="E5109" t="str">
        <f>"M6"</f>
        <v>M6</v>
      </c>
      <c r="F5109" t="str">
        <f t="shared" si="1102"/>
        <v>936</v>
      </c>
      <c r="G5109">
        <v>9</v>
      </c>
      <c r="H5109" t="str">
        <f t="shared" si="1099"/>
        <v>99</v>
      </c>
      <c r="I5109" t="str">
        <f t="shared" si="1103"/>
        <v>0</v>
      </c>
      <c r="J5109" t="str">
        <f t="shared" si="1104"/>
        <v>81</v>
      </c>
      <c r="K5109">
        <v>20190308</v>
      </c>
      <c r="L5109" t="str">
        <f t="shared" si="1105"/>
        <v>075948</v>
      </c>
      <c r="M5109" t="str">
        <f t="shared" si="1106"/>
        <v>46369</v>
      </c>
      <c r="N5109" t="s">
        <v>2086</v>
      </c>
      <c r="O5109">
        <v>546</v>
      </c>
      <c r="P5109">
        <v>20190306</v>
      </c>
      <c r="Q5109" t="s">
        <v>2089</v>
      </c>
      <c r="R5109" t="s">
        <v>4139</v>
      </c>
      <c r="S5109" t="s">
        <v>1615</v>
      </c>
      <c r="T5109" t="s">
        <v>1713</v>
      </c>
    </row>
    <row r="5110" spans="1:20" x14ac:dyDescent="0.25">
      <c r="A5110">
        <v>9</v>
      </c>
      <c r="B5110">
        <v>199</v>
      </c>
      <c r="C5110" t="str">
        <f t="shared" si="1100"/>
        <v>51</v>
      </c>
      <c r="D5110">
        <v>6249</v>
      </c>
      <c r="E5110" t="str">
        <f>"M6"</f>
        <v>M6</v>
      </c>
      <c r="F5110" t="str">
        <f t="shared" si="1102"/>
        <v>936</v>
      </c>
      <c r="G5110">
        <v>9</v>
      </c>
      <c r="H5110" t="str">
        <f t="shared" si="1099"/>
        <v>99</v>
      </c>
      <c r="I5110" t="str">
        <f t="shared" si="1103"/>
        <v>0</v>
      </c>
      <c r="J5110" t="str">
        <f t="shared" si="1104"/>
        <v>81</v>
      </c>
      <c r="K5110">
        <v>20190308</v>
      </c>
      <c r="L5110" t="str">
        <f t="shared" si="1105"/>
        <v>075948</v>
      </c>
      <c r="M5110" t="str">
        <f t="shared" si="1106"/>
        <v>46369</v>
      </c>
      <c r="N5110" t="s">
        <v>2086</v>
      </c>
      <c r="O5110">
        <v>403.5</v>
      </c>
      <c r="P5110">
        <v>20190306</v>
      </c>
      <c r="Q5110" t="s">
        <v>2089</v>
      </c>
      <c r="R5110" t="s">
        <v>4140</v>
      </c>
      <c r="S5110" t="s">
        <v>1615</v>
      </c>
      <c r="T5110" t="s">
        <v>1713</v>
      </c>
    </row>
    <row r="5111" spans="1:20" x14ac:dyDescent="0.25">
      <c r="A5111">
        <v>9</v>
      </c>
      <c r="B5111">
        <v>199</v>
      </c>
      <c r="C5111" t="str">
        <f t="shared" si="1100"/>
        <v>51</v>
      </c>
      <c r="D5111">
        <v>6249</v>
      </c>
      <c r="E5111" t="str">
        <f>"M6"</f>
        <v>M6</v>
      </c>
      <c r="F5111" t="str">
        <f t="shared" si="1102"/>
        <v>936</v>
      </c>
      <c r="G5111">
        <v>9</v>
      </c>
      <c r="H5111" t="str">
        <f t="shared" si="1099"/>
        <v>99</v>
      </c>
      <c r="I5111" t="str">
        <f t="shared" si="1103"/>
        <v>0</v>
      </c>
      <c r="J5111" t="str">
        <f t="shared" si="1104"/>
        <v>81</v>
      </c>
      <c r="K5111">
        <v>20190308</v>
      </c>
      <c r="L5111" t="str">
        <f t="shared" si="1105"/>
        <v>075948</v>
      </c>
      <c r="M5111" t="str">
        <f t="shared" si="1106"/>
        <v>46369</v>
      </c>
      <c r="N5111" t="s">
        <v>2086</v>
      </c>
      <c r="O5111">
        <v>414.5</v>
      </c>
      <c r="P5111">
        <v>20190306</v>
      </c>
      <c r="Q5111" t="s">
        <v>2089</v>
      </c>
      <c r="R5111" t="s">
        <v>4141</v>
      </c>
      <c r="S5111" t="s">
        <v>1615</v>
      </c>
      <c r="T5111" t="s">
        <v>1713</v>
      </c>
    </row>
    <row r="5112" spans="1:20" x14ac:dyDescent="0.25">
      <c r="A5112">
        <v>9</v>
      </c>
      <c r="B5112">
        <v>199</v>
      </c>
      <c r="C5112" t="str">
        <f t="shared" si="1100"/>
        <v>51</v>
      </c>
      <c r="D5112">
        <v>6319</v>
      </c>
      <c r="E5112" t="str">
        <f>"MC"</f>
        <v>MC</v>
      </c>
      <c r="F5112" t="str">
        <f t="shared" si="1102"/>
        <v>936</v>
      </c>
      <c r="G5112">
        <v>9</v>
      </c>
      <c r="H5112" t="str">
        <f t="shared" si="1099"/>
        <v>99</v>
      </c>
      <c r="I5112" t="str">
        <f t="shared" si="1103"/>
        <v>0</v>
      </c>
      <c r="J5112" t="str">
        <f t="shared" si="1104"/>
        <v>81</v>
      </c>
      <c r="K5112">
        <v>20190308</v>
      </c>
      <c r="L5112" t="str">
        <f t="shared" si="1105"/>
        <v>075948</v>
      </c>
      <c r="M5112" t="str">
        <f t="shared" si="1106"/>
        <v>46369</v>
      </c>
      <c r="N5112" t="s">
        <v>2086</v>
      </c>
      <c r="O5112" s="1">
        <v>2185</v>
      </c>
      <c r="P5112">
        <v>20190306</v>
      </c>
      <c r="Q5112" t="s">
        <v>2060</v>
      </c>
      <c r="R5112" t="s">
        <v>4142</v>
      </c>
      <c r="S5112" t="s">
        <v>1615</v>
      </c>
      <c r="T5112" t="s">
        <v>1713</v>
      </c>
    </row>
    <row r="5113" spans="1:20" x14ac:dyDescent="0.25">
      <c r="A5113">
        <v>9</v>
      </c>
      <c r="B5113">
        <v>199</v>
      </c>
      <c r="C5113" t="str">
        <f>"00"</f>
        <v>00</v>
      </c>
      <c r="D5113">
        <v>1291</v>
      </c>
      <c r="E5113" t="str">
        <f>"05"</f>
        <v>05</v>
      </c>
      <c r="F5113" t="str">
        <f>"000"</f>
        <v>000</v>
      </c>
      <c r="G5113">
        <v>9</v>
      </c>
      <c r="H5113" t="str">
        <f>"00"</f>
        <v>00</v>
      </c>
      <c r="I5113" t="str">
        <f t="shared" si="1103"/>
        <v>0</v>
      </c>
      <c r="J5113" t="str">
        <f>"00"</f>
        <v>00</v>
      </c>
      <c r="K5113">
        <v>20190308</v>
      </c>
      <c r="L5113" t="str">
        <f>"075949"</f>
        <v>075949</v>
      </c>
      <c r="M5113" t="str">
        <f>"46398"</f>
        <v>46398</v>
      </c>
      <c r="N5113" t="s">
        <v>1636</v>
      </c>
      <c r="O5113">
        <v>144.37</v>
      </c>
      <c r="P5113">
        <v>20190306</v>
      </c>
      <c r="Q5113" t="s">
        <v>1637</v>
      </c>
      <c r="R5113" t="s">
        <v>4143</v>
      </c>
      <c r="S5113" t="s">
        <v>1615</v>
      </c>
      <c r="T5113" t="s">
        <v>296</v>
      </c>
    </row>
    <row r="5114" spans="1:20" x14ac:dyDescent="0.25">
      <c r="A5114">
        <v>9</v>
      </c>
      <c r="B5114">
        <v>199</v>
      </c>
      <c r="C5114" t="str">
        <f>"00"</f>
        <v>00</v>
      </c>
      <c r="D5114">
        <v>1291</v>
      </c>
      <c r="E5114" t="str">
        <f>"05"</f>
        <v>05</v>
      </c>
      <c r="F5114" t="str">
        <f>"000"</f>
        <v>000</v>
      </c>
      <c r="G5114">
        <v>9</v>
      </c>
      <c r="H5114" t="str">
        <f>"00"</f>
        <v>00</v>
      </c>
      <c r="I5114" t="str">
        <f t="shared" si="1103"/>
        <v>0</v>
      </c>
      <c r="J5114" t="str">
        <f>"00"</f>
        <v>00</v>
      </c>
      <c r="K5114">
        <v>20190308</v>
      </c>
      <c r="L5114" t="str">
        <f>"075949"</f>
        <v>075949</v>
      </c>
      <c r="M5114" t="str">
        <f>"46398"</f>
        <v>46398</v>
      </c>
      <c r="N5114" t="s">
        <v>1636</v>
      </c>
      <c r="O5114" s="1">
        <v>9479.43</v>
      </c>
      <c r="P5114">
        <v>20190306</v>
      </c>
      <c r="Q5114" t="s">
        <v>1637</v>
      </c>
      <c r="R5114" t="s">
        <v>4143</v>
      </c>
      <c r="S5114" t="s">
        <v>1615</v>
      </c>
      <c r="T5114" t="s">
        <v>296</v>
      </c>
    </row>
    <row r="5115" spans="1:20" x14ac:dyDescent="0.25">
      <c r="A5115">
        <v>9</v>
      </c>
      <c r="B5115">
        <v>199</v>
      </c>
      <c r="C5115" t="str">
        <f>"41"</f>
        <v>41</v>
      </c>
      <c r="D5115">
        <v>6245</v>
      </c>
      <c r="E5115" t="str">
        <f>"10"</f>
        <v>10</v>
      </c>
      <c r="F5115" t="str">
        <f>"933"</f>
        <v>933</v>
      </c>
      <c r="G5115">
        <v>9</v>
      </c>
      <c r="H5115" t="str">
        <f>"99"</f>
        <v>99</v>
      </c>
      <c r="I5115" t="str">
        <f t="shared" si="1103"/>
        <v>0</v>
      </c>
      <c r="J5115" t="str">
        <f>"85"</f>
        <v>85</v>
      </c>
      <c r="K5115">
        <v>20190308</v>
      </c>
      <c r="L5115" t="str">
        <f>"075949"</f>
        <v>075949</v>
      </c>
      <c r="M5115" t="str">
        <f>"46398"</f>
        <v>46398</v>
      </c>
      <c r="N5115" t="s">
        <v>1636</v>
      </c>
      <c r="O5115">
        <v>818.23</v>
      </c>
      <c r="P5115">
        <v>20190306</v>
      </c>
      <c r="Q5115" t="s">
        <v>2516</v>
      </c>
      <c r="R5115" t="s">
        <v>4143</v>
      </c>
      <c r="S5115" t="s">
        <v>1615</v>
      </c>
      <c r="T5115" t="s">
        <v>1643</v>
      </c>
    </row>
    <row r="5116" spans="1:20" x14ac:dyDescent="0.25">
      <c r="A5116">
        <v>9</v>
      </c>
      <c r="B5116">
        <v>199</v>
      </c>
      <c r="C5116" t="str">
        <f>"00"</f>
        <v>00</v>
      </c>
      <c r="D5116">
        <v>1291</v>
      </c>
      <c r="E5116" t="str">
        <f>"05"</f>
        <v>05</v>
      </c>
      <c r="F5116" t="str">
        <f>"000"</f>
        <v>000</v>
      </c>
      <c r="G5116">
        <v>9</v>
      </c>
      <c r="H5116" t="str">
        <f>"00"</f>
        <v>00</v>
      </c>
      <c r="I5116" t="str">
        <f t="shared" si="1103"/>
        <v>0</v>
      </c>
      <c r="J5116" t="str">
        <f>"00"</f>
        <v>00</v>
      </c>
      <c r="K5116">
        <v>20190308</v>
      </c>
      <c r="L5116" t="str">
        <f>"075950"</f>
        <v>075950</v>
      </c>
      <c r="M5116" t="str">
        <f>"46351"</f>
        <v>46351</v>
      </c>
      <c r="N5116" t="s">
        <v>1639</v>
      </c>
      <c r="O5116">
        <v>633.32000000000005</v>
      </c>
      <c r="P5116">
        <v>20190306</v>
      </c>
      <c r="Q5116" t="s">
        <v>1637</v>
      </c>
      <c r="R5116" t="s">
        <v>4144</v>
      </c>
      <c r="S5116" t="s">
        <v>1615</v>
      </c>
      <c r="T5116" t="s">
        <v>296</v>
      </c>
    </row>
    <row r="5117" spans="1:20" x14ac:dyDescent="0.25">
      <c r="A5117">
        <v>9</v>
      </c>
      <c r="B5117">
        <v>199</v>
      </c>
      <c r="C5117" t="str">
        <f>"51"</f>
        <v>51</v>
      </c>
      <c r="D5117">
        <v>6319</v>
      </c>
      <c r="E5117" t="str">
        <f>"MC"</f>
        <v>MC</v>
      </c>
      <c r="F5117" t="str">
        <f>"936"</f>
        <v>936</v>
      </c>
      <c r="G5117">
        <v>9</v>
      </c>
      <c r="H5117" t="str">
        <f>"99"</f>
        <v>99</v>
      </c>
      <c r="I5117" t="str">
        <f t="shared" si="1103"/>
        <v>0</v>
      </c>
      <c r="J5117" t="str">
        <f>"81"</f>
        <v>81</v>
      </c>
      <c r="K5117">
        <v>20190308</v>
      </c>
      <c r="L5117" t="str">
        <f>"075954"</f>
        <v>075954</v>
      </c>
      <c r="M5117" t="str">
        <f>"49898"</f>
        <v>49898</v>
      </c>
      <c r="N5117" t="s">
        <v>2390</v>
      </c>
      <c r="O5117">
        <v>940.61</v>
      </c>
      <c r="P5117">
        <v>20190306</v>
      </c>
      <c r="Q5117" t="s">
        <v>2060</v>
      </c>
      <c r="R5117" t="s">
        <v>4145</v>
      </c>
      <c r="S5117" t="s">
        <v>1615</v>
      </c>
      <c r="T5117" t="s">
        <v>1713</v>
      </c>
    </row>
    <row r="5118" spans="1:20" x14ac:dyDescent="0.25">
      <c r="A5118">
        <v>9</v>
      </c>
      <c r="B5118">
        <v>199</v>
      </c>
      <c r="C5118" t="str">
        <f>"51"</f>
        <v>51</v>
      </c>
      <c r="D5118">
        <v>6319</v>
      </c>
      <c r="E5118" t="str">
        <f>"M3"</f>
        <v>M3</v>
      </c>
      <c r="F5118" t="str">
        <f>"936"</f>
        <v>936</v>
      </c>
      <c r="G5118">
        <v>9</v>
      </c>
      <c r="H5118" t="str">
        <f>"99"</f>
        <v>99</v>
      </c>
      <c r="I5118" t="str">
        <f t="shared" si="1103"/>
        <v>0</v>
      </c>
      <c r="J5118" t="str">
        <f>"81"</f>
        <v>81</v>
      </c>
      <c r="K5118">
        <v>20190308</v>
      </c>
      <c r="L5118" t="str">
        <f>"075956"</f>
        <v>075956</v>
      </c>
      <c r="M5118" t="str">
        <f>"49970"</f>
        <v>49970</v>
      </c>
      <c r="N5118" t="s">
        <v>2273</v>
      </c>
      <c r="O5118">
        <v>733</v>
      </c>
      <c r="P5118">
        <v>20190306</v>
      </c>
      <c r="Q5118" t="s">
        <v>2246</v>
      </c>
      <c r="R5118" t="s">
        <v>3427</v>
      </c>
      <c r="S5118" t="s">
        <v>1615</v>
      </c>
      <c r="T5118" t="s">
        <v>1713</v>
      </c>
    </row>
    <row r="5119" spans="1:20" x14ac:dyDescent="0.25">
      <c r="A5119">
        <v>9</v>
      </c>
      <c r="B5119">
        <v>199</v>
      </c>
      <c r="C5119" t="str">
        <f>"51"</f>
        <v>51</v>
      </c>
      <c r="D5119">
        <v>6249</v>
      </c>
      <c r="E5119" t="str">
        <f>"M8"</f>
        <v>M8</v>
      </c>
      <c r="F5119" t="str">
        <f>"936"</f>
        <v>936</v>
      </c>
      <c r="G5119">
        <v>9</v>
      </c>
      <c r="H5119" t="str">
        <f>"99"</f>
        <v>99</v>
      </c>
      <c r="I5119" t="str">
        <f t="shared" si="1103"/>
        <v>0</v>
      </c>
      <c r="J5119" t="str">
        <f>"81"</f>
        <v>81</v>
      </c>
      <c r="K5119">
        <v>20190308</v>
      </c>
      <c r="L5119" t="str">
        <f>"075958"</f>
        <v>075958</v>
      </c>
      <c r="M5119" t="str">
        <f>"52185"</f>
        <v>52185</v>
      </c>
      <c r="N5119" t="s">
        <v>1748</v>
      </c>
      <c r="O5119">
        <v>705</v>
      </c>
      <c r="P5119">
        <v>20190306</v>
      </c>
      <c r="Q5119" t="s">
        <v>2096</v>
      </c>
      <c r="R5119" t="s">
        <v>4146</v>
      </c>
      <c r="S5119" t="s">
        <v>1615</v>
      </c>
      <c r="T5119" t="s">
        <v>1713</v>
      </c>
    </row>
    <row r="5120" spans="1:20" x14ac:dyDescent="0.25">
      <c r="A5120">
        <v>9</v>
      </c>
      <c r="B5120">
        <v>199</v>
      </c>
      <c r="C5120" t="str">
        <f>"11"</f>
        <v>11</v>
      </c>
      <c r="D5120">
        <v>6399</v>
      </c>
      <c r="E5120" t="str">
        <f>"V8"</f>
        <v>V8</v>
      </c>
      <c r="F5120" t="str">
        <f>"041"</f>
        <v>041</v>
      </c>
      <c r="G5120">
        <v>9</v>
      </c>
      <c r="H5120" t="str">
        <f>"11"</f>
        <v>11</v>
      </c>
      <c r="I5120" t="str">
        <f t="shared" si="1103"/>
        <v>0</v>
      </c>
      <c r="J5120" t="str">
        <f>"03"</f>
        <v>03</v>
      </c>
      <c r="K5120">
        <v>20190308</v>
      </c>
      <c r="L5120" t="str">
        <f>"075962"</f>
        <v>075962</v>
      </c>
      <c r="M5120" t="str">
        <f>"54082"</f>
        <v>54082</v>
      </c>
      <c r="N5120" t="s">
        <v>4147</v>
      </c>
      <c r="O5120">
        <v>68.2</v>
      </c>
      <c r="P5120">
        <v>20190306</v>
      </c>
      <c r="Q5120" t="s">
        <v>3721</v>
      </c>
      <c r="R5120" t="s">
        <v>4148</v>
      </c>
      <c r="S5120" t="s">
        <v>1615</v>
      </c>
      <c r="T5120" t="s">
        <v>106</v>
      </c>
    </row>
    <row r="5121" spans="1:20" x14ac:dyDescent="0.25">
      <c r="A5121">
        <v>9</v>
      </c>
      <c r="B5121">
        <v>199</v>
      </c>
      <c r="C5121" t="str">
        <f>"11"</f>
        <v>11</v>
      </c>
      <c r="D5121">
        <v>6399</v>
      </c>
      <c r="E5121" t="str">
        <f>"7E"</f>
        <v>7E</v>
      </c>
      <c r="F5121" t="str">
        <f>"041"</f>
        <v>041</v>
      </c>
      <c r="G5121">
        <v>9</v>
      </c>
      <c r="H5121" t="str">
        <f>"11"</f>
        <v>11</v>
      </c>
      <c r="I5121" t="str">
        <f t="shared" si="1103"/>
        <v>0</v>
      </c>
      <c r="J5121" t="str">
        <f>"35"</f>
        <v>35</v>
      </c>
      <c r="K5121">
        <v>20190308</v>
      </c>
      <c r="L5121" t="str">
        <f>"075963"</f>
        <v>075963</v>
      </c>
      <c r="M5121" t="str">
        <f>"54092"</f>
        <v>54092</v>
      </c>
      <c r="N5121" t="s">
        <v>4149</v>
      </c>
      <c r="O5121">
        <v>106.47</v>
      </c>
      <c r="P5121">
        <v>20190306</v>
      </c>
      <c r="Q5121" t="s">
        <v>2655</v>
      </c>
      <c r="R5121" t="s">
        <v>4150</v>
      </c>
      <c r="S5121" t="s">
        <v>1615</v>
      </c>
      <c r="T5121" t="s">
        <v>106</v>
      </c>
    </row>
    <row r="5122" spans="1:20" x14ac:dyDescent="0.25">
      <c r="A5122">
        <v>9</v>
      </c>
      <c r="B5122">
        <v>199</v>
      </c>
      <c r="C5122" t="str">
        <f>"11"</f>
        <v>11</v>
      </c>
      <c r="D5122">
        <v>6399</v>
      </c>
      <c r="E5122" t="str">
        <f>"8C"</f>
        <v>8C</v>
      </c>
      <c r="F5122" t="str">
        <f>"104"</f>
        <v>104</v>
      </c>
      <c r="G5122">
        <v>9</v>
      </c>
      <c r="H5122" t="str">
        <f>"11"</f>
        <v>11</v>
      </c>
      <c r="I5122" t="str">
        <f t="shared" si="1103"/>
        <v>0</v>
      </c>
      <c r="J5122" t="str">
        <f>"05"</f>
        <v>05</v>
      </c>
      <c r="K5122">
        <v>20190308</v>
      </c>
      <c r="L5122" t="str">
        <f>"075963"</f>
        <v>075963</v>
      </c>
      <c r="M5122" t="str">
        <f>"54092"</f>
        <v>54092</v>
      </c>
      <c r="N5122" t="s">
        <v>4149</v>
      </c>
      <c r="O5122">
        <v>169.88</v>
      </c>
      <c r="P5122">
        <v>20190306</v>
      </c>
      <c r="Q5122" t="s">
        <v>4151</v>
      </c>
      <c r="R5122" t="s">
        <v>4150</v>
      </c>
      <c r="S5122" t="s">
        <v>1615</v>
      </c>
      <c r="T5122" t="s">
        <v>46</v>
      </c>
    </row>
    <row r="5123" spans="1:20" x14ac:dyDescent="0.25">
      <c r="A5123">
        <v>9</v>
      </c>
      <c r="B5123">
        <v>199</v>
      </c>
      <c r="C5123" t="str">
        <f>"36"</f>
        <v>36</v>
      </c>
      <c r="D5123">
        <v>6399</v>
      </c>
      <c r="E5123" t="str">
        <f>"8S"</f>
        <v>8S</v>
      </c>
      <c r="F5123" t="str">
        <f>"001"</f>
        <v>001</v>
      </c>
      <c r="G5123">
        <v>9</v>
      </c>
      <c r="H5123" t="str">
        <f>"99"</f>
        <v>99</v>
      </c>
      <c r="I5123" t="str">
        <f t="shared" si="1103"/>
        <v>0</v>
      </c>
      <c r="J5123" t="str">
        <f>"01"</f>
        <v>01</v>
      </c>
      <c r="K5123">
        <v>20190308</v>
      </c>
      <c r="L5123" t="str">
        <f>"075964"</f>
        <v>075964</v>
      </c>
      <c r="M5123" t="str">
        <f>"54221"</f>
        <v>54221</v>
      </c>
      <c r="N5123" t="s">
        <v>2659</v>
      </c>
      <c r="O5123">
        <v>207.26</v>
      </c>
      <c r="P5123">
        <v>20190306</v>
      </c>
      <c r="Q5123" t="s">
        <v>1780</v>
      </c>
      <c r="R5123" t="s">
        <v>4152</v>
      </c>
      <c r="S5123" t="s">
        <v>1615</v>
      </c>
      <c r="T5123" t="s">
        <v>301</v>
      </c>
    </row>
    <row r="5124" spans="1:20" x14ac:dyDescent="0.25">
      <c r="A5124">
        <v>9</v>
      </c>
      <c r="B5124">
        <v>199</v>
      </c>
      <c r="C5124" t="str">
        <f>"99"</f>
        <v>99</v>
      </c>
      <c r="D5124">
        <v>6213</v>
      </c>
      <c r="E5124" t="str">
        <f>"10"</f>
        <v>10</v>
      </c>
      <c r="F5124" t="str">
        <f>"703"</f>
        <v>703</v>
      </c>
      <c r="G5124">
        <v>9</v>
      </c>
      <c r="H5124" t="str">
        <f>"99"</f>
        <v>99</v>
      </c>
      <c r="I5124" t="str">
        <f t="shared" si="1103"/>
        <v>0</v>
      </c>
      <c r="J5124" t="str">
        <f>"91"</f>
        <v>91</v>
      </c>
      <c r="K5124">
        <v>20190308</v>
      </c>
      <c r="L5124" t="str">
        <f>"075966"</f>
        <v>075966</v>
      </c>
      <c r="M5124" t="str">
        <f>"56002"</f>
        <v>56002</v>
      </c>
      <c r="N5124" t="s">
        <v>1758</v>
      </c>
      <c r="O5124" s="1">
        <v>109594</v>
      </c>
      <c r="P5124">
        <v>20190306</v>
      </c>
      <c r="Q5124" t="s">
        <v>1759</v>
      </c>
      <c r="R5124" t="s">
        <v>4153</v>
      </c>
      <c r="S5124" t="s">
        <v>1615</v>
      </c>
      <c r="T5124" t="s">
        <v>1761</v>
      </c>
    </row>
    <row r="5125" spans="1:20" x14ac:dyDescent="0.25">
      <c r="A5125">
        <v>9</v>
      </c>
      <c r="B5125">
        <v>199</v>
      </c>
      <c r="C5125" t="str">
        <f>"11"</f>
        <v>11</v>
      </c>
      <c r="D5125">
        <v>6249</v>
      </c>
      <c r="E5125" t="str">
        <f>"8M"</f>
        <v>8M</v>
      </c>
      <c r="F5125" t="str">
        <f>"001"</f>
        <v>001</v>
      </c>
      <c r="G5125">
        <v>9</v>
      </c>
      <c r="H5125" t="str">
        <f>"11"</f>
        <v>11</v>
      </c>
      <c r="I5125" t="str">
        <f t="shared" si="1103"/>
        <v>0</v>
      </c>
      <c r="J5125" t="str">
        <f>"33"</f>
        <v>33</v>
      </c>
      <c r="K5125">
        <v>20190308</v>
      </c>
      <c r="L5125" t="str">
        <f>"075970"</f>
        <v>075970</v>
      </c>
      <c r="M5125" t="str">
        <f>"57662"</f>
        <v>57662</v>
      </c>
      <c r="N5125" t="s">
        <v>2519</v>
      </c>
      <c r="O5125">
        <v>121.5</v>
      </c>
      <c r="P5125">
        <v>20190306</v>
      </c>
      <c r="Q5125" t="s">
        <v>3206</v>
      </c>
      <c r="R5125" t="s">
        <v>3207</v>
      </c>
      <c r="S5125" t="s">
        <v>1615</v>
      </c>
      <c r="T5125" t="s">
        <v>301</v>
      </c>
    </row>
    <row r="5126" spans="1:20" x14ac:dyDescent="0.25">
      <c r="A5126">
        <v>9</v>
      </c>
      <c r="B5126">
        <v>199</v>
      </c>
      <c r="C5126" t="str">
        <f>"51"</f>
        <v>51</v>
      </c>
      <c r="D5126">
        <v>6249</v>
      </c>
      <c r="E5126" t="str">
        <f>"M9"</f>
        <v>M9</v>
      </c>
      <c r="F5126" t="str">
        <f>"936"</f>
        <v>936</v>
      </c>
      <c r="G5126">
        <v>9</v>
      </c>
      <c r="H5126" t="str">
        <f t="shared" ref="H5126:H5131" si="1107">"99"</f>
        <v>99</v>
      </c>
      <c r="I5126" t="str">
        <f t="shared" si="1103"/>
        <v>0</v>
      </c>
      <c r="J5126" t="str">
        <f>"81"</f>
        <v>81</v>
      </c>
      <c r="K5126">
        <v>20190308</v>
      </c>
      <c r="L5126" t="str">
        <f>"075973"</f>
        <v>075973</v>
      </c>
      <c r="M5126" t="str">
        <f>"58173"</f>
        <v>58173</v>
      </c>
      <c r="N5126" t="s">
        <v>1764</v>
      </c>
      <c r="O5126">
        <v>412.5</v>
      </c>
      <c r="P5126">
        <v>20190306</v>
      </c>
      <c r="Q5126" t="s">
        <v>2289</v>
      </c>
      <c r="R5126" s="2">
        <v>43800</v>
      </c>
      <c r="S5126" t="s">
        <v>1615</v>
      </c>
      <c r="T5126" t="s">
        <v>1713</v>
      </c>
    </row>
    <row r="5127" spans="1:20" x14ac:dyDescent="0.25">
      <c r="A5127">
        <v>9</v>
      </c>
      <c r="B5127">
        <v>199</v>
      </c>
      <c r="C5127" t="str">
        <f>"51"</f>
        <v>51</v>
      </c>
      <c r="D5127">
        <v>6249</v>
      </c>
      <c r="E5127" t="str">
        <f>"M9"</f>
        <v>M9</v>
      </c>
      <c r="F5127" t="str">
        <f>"936"</f>
        <v>936</v>
      </c>
      <c r="G5127">
        <v>9</v>
      </c>
      <c r="H5127" t="str">
        <f t="shared" si="1107"/>
        <v>99</v>
      </c>
      <c r="I5127" t="str">
        <f t="shared" si="1103"/>
        <v>0</v>
      </c>
      <c r="J5127" t="str">
        <f>"81"</f>
        <v>81</v>
      </c>
      <c r="K5127">
        <v>20190308</v>
      </c>
      <c r="L5127" t="str">
        <f>"075973"</f>
        <v>075973</v>
      </c>
      <c r="M5127" t="str">
        <f>"58173"</f>
        <v>58173</v>
      </c>
      <c r="N5127" t="s">
        <v>1764</v>
      </c>
      <c r="O5127">
        <v>675</v>
      </c>
      <c r="P5127">
        <v>20190306</v>
      </c>
      <c r="Q5127" t="s">
        <v>2289</v>
      </c>
      <c r="R5127" s="2">
        <v>43466</v>
      </c>
      <c r="S5127" t="s">
        <v>1615</v>
      </c>
      <c r="T5127" t="s">
        <v>1713</v>
      </c>
    </row>
    <row r="5128" spans="1:20" x14ac:dyDescent="0.25">
      <c r="A5128">
        <v>9</v>
      </c>
      <c r="B5128">
        <v>199</v>
      </c>
      <c r="C5128" t="str">
        <f>"51"</f>
        <v>51</v>
      </c>
      <c r="D5128">
        <v>6249</v>
      </c>
      <c r="E5128" t="str">
        <f>"M9"</f>
        <v>M9</v>
      </c>
      <c r="F5128" t="str">
        <f>"936"</f>
        <v>936</v>
      </c>
      <c r="G5128">
        <v>9</v>
      </c>
      <c r="H5128" t="str">
        <f t="shared" si="1107"/>
        <v>99</v>
      </c>
      <c r="I5128" t="str">
        <f t="shared" si="1103"/>
        <v>0</v>
      </c>
      <c r="J5128" t="str">
        <f>"81"</f>
        <v>81</v>
      </c>
      <c r="K5128">
        <v>20190308</v>
      </c>
      <c r="L5128" t="str">
        <f>"075973"</f>
        <v>075973</v>
      </c>
      <c r="M5128" t="str">
        <f>"58173"</f>
        <v>58173</v>
      </c>
      <c r="N5128" t="s">
        <v>1764</v>
      </c>
      <c r="O5128">
        <v>600</v>
      </c>
      <c r="P5128">
        <v>20190306</v>
      </c>
      <c r="Q5128" t="s">
        <v>2289</v>
      </c>
      <c r="R5128" s="2">
        <v>43497</v>
      </c>
      <c r="S5128" t="s">
        <v>1615</v>
      </c>
      <c r="T5128" t="s">
        <v>1713</v>
      </c>
    </row>
    <row r="5129" spans="1:20" x14ac:dyDescent="0.25">
      <c r="A5129">
        <v>9</v>
      </c>
      <c r="B5129">
        <v>199</v>
      </c>
      <c r="C5129" t="str">
        <f>"36"</f>
        <v>36</v>
      </c>
      <c r="D5129">
        <v>6399</v>
      </c>
      <c r="E5129" t="str">
        <f>"09"</f>
        <v>09</v>
      </c>
      <c r="F5129" t="str">
        <f>"001"</f>
        <v>001</v>
      </c>
      <c r="G5129">
        <v>9</v>
      </c>
      <c r="H5129" t="str">
        <f t="shared" si="1107"/>
        <v>99</v>
      </c>
      <c r="I5129" t="str">
        <f t="shared" si="1103"/>
        <v>0</v>
      </c>
      <c r="J5129" t="str">
        <f>"01"</f>
        <v>01</v>
      </c>
      <c r="K5129">
        <v>20190308</v>
      </c>
      <c r="L5129" t="str">
        <f>"075974"</f>
        <v>075974</v>
      </c>
      <c r="M5129" t="str">
        <f>"58204"</f>
        <v>58204</v>
      </c>
      <c r="N5129" t="s">
        <v>1767</v>
      </c>
      <c r="O5129">
        <v>150</v>
      </c>
      <c r="P5129">
        <v>20190306</v>
      </c>
      <c r="Q5129" t="s">
        <v>2177</v>
      </c>
      <c r="R5129" t="s">
        <v>4154</v>
      </c>
      <c r="S5129" t="s">
        <v>1615</v>
      </c>
      <c r="T5129" t="s">
        <v>301</v>
      </c>
    </row>
    <row r="5130" spans="1:20" x14ac:dyDescent="0.25">
      <c r="A5130">
        <v>9</v>
      </c>
      <c r="B5130">
        <v>199</v>
      </c>
      <c r="C5130" t="str">
        <f>"36"</f>
        <v>36</v>
      </c>
      <c r="D5130">
        <v>6399</v>
      </c>
      <c r="E5130" t="str">
        <f>"09"</f>
        <v>09</v>
      </c>
      <c r="F5130" t="str">
        <f>"001"</f>
        <v>001</v>
      </c>
      <c r="G5130">
        <v>9</v>
      </c>
      <c r="H5130" t="str">
        <f t="shared" si="1107"/>
        <v>99</v>
      </c>
      <c r="I5130" t="str">
        <f t="shared" si="1103"/>
        <v>0</v>
      </c>
      <c r="J5130" t="str">
        <f>"01"</f>
        <v>01</v>
      </c>
      <c r="K5130">
        <v>20190308</v>
      </c>
      <c r="L5130" t="str">
        <f>"075974"</f>
        <v>075974</v>
      </c>
      <c r="M5130" t="str">
        <f>"58204"</f>
        <v>58204</v>
      </c>
      <c r="N5130" t="s">
        <v>1767</v>
      </c>
      <c r="O5130">
        <v>163.18</v>
      </c>
      <c r="P5130">
        <v>20190306</v>
      </c>
      <c r="Q5130" t="s">
        <v>2177</v>
      </c>
      <c r="R5130" t="s">
        <v>4155</v>
      </c>
      <c r="S5130" t="s">
        <v>1615</v>
      </c>
      <c r="T5130" t="s">
        <v>301</v>
      </c>
    </row>
    <row r="5131" spans="1:20" x14ac:dyDescent="0.25">
      <c r="A5131">
        <v>9</v>
      </c>
      <c r="B5131">
        <v>199</v>
      </c>
      <c r="C5131" t="str">
        <f>"36"</f>
        <v>36</v>
      </c>
      <c r="D5131">
        <v>6399</v>
      </c>
      <c r="E5131" t="str">
        <f>"8T"</f>
        <v>8T</v>
      </c>
      <c r="F5131" t="str">
        <f>"001"</f>
        <v>001</v>
      </c>
      <c r="G5131">
        <v>9</v>
      </c>
      <c r="H5131" t="str">
        <f t="shared" si="1107"/>
        <v>99</v>
      </c>
      <c r="I5131" t="str">
        <f t="shared" si="1103"/>
        <v>0</v>
      </c>
      <c r="J5131" t="str">
        <f>"01"</f>
        <v>01</v>
      </c>
      <c r="K5131">
        <v>20190308</v>
      </c>
      <c r="L5131" t="str">
        <f>"075974"</f>
        <v>075974</v>
      </c>
      <c r="M5131" t="str">
        <f>"58204"</f>
        <v>58204</v>
      </c>
      <c r="N5131" t="s">
        <v>1767</v>
      </c>
      <c r="O5131">
        <v>108.45</v>
      </c>
      <c r="P5131">
        <v>20190306</v>
      </c>
      <c r="Q5131" t="s">
        <v>2966</v>
      </c>
      <c r="R5131" t="s">
        <v>4156</v>
      </c>
      <c r="S5131" t="s">
        <v>1615</v>
      </c>
      <c r="T5131" t="s">
        <v>301</v>
      </c>
    </row>
    <row r="5132" spans="1:20" x14ac:dyDescent="0.25">
      <c r="A5132">
        <v>9</v>
      </c>
      <c r="B5132">
        <v>199</v>
      </c>
      <c r="C5132" t="str">
        <f>"11"</f>
        <v>11</v>
      </c>
      <c r="D5132">
        <v>6299</v>
      </c>
      <c r="E5132" t="str">
        <f>"NL"</f>
        <v>NL</v>
      </c>
      <c r="F5132" t="str">
        <f>"001"</f>
        <v>001</v>
      </c>
      <c r="G5132">
        <v>9</v>
      </c>
      <c r="H5132" t="str">
        <f>"22"</f>
        <v>22</v>
      </c>
      <c r="I5132" t="str">
        <f t="shared" si="1103"/>
        <v>0</v>
      </c>
      <c r="J5132" t="str">
        <f>"22"</f>
        <v>22</v>
      </c>
      <c r="K5132">
        <v>20190308</v>
      </c>
      <c r="L5132" t="str">
        <f>"075975"</f>
        <v>075975</v>
      </c>
      <c r="M5132" t="str">
        <f>"58927"</f>
        <v>58927</v>
      </c>
      <c r="N5132" t="s">
        <v>1772</v>
      </c>
      <c r="O5132">
        <v>80</v>
      </c>
      <c r="P5132">
        <v>20190306</v>
      </c>
      <c r="Q5132" t="s">
        <v>2290</v>
      </c>
      <c r="R5132" t="s">
        <v>4157</v>
      </c>
      <c r="S5132" t="s">
        <v>1615</v>
      </c>
      <c r="T5132" t="s">
        <v>301</v>
      </c>
    </row>
    <row r="5133" spans="1:20" x14ac:dyDescent="0.25">
      <c r="A5133">
        <v>9</v>
      </c>
      <c r="B5133">
        <v>199</v>
      </c>
      <c r="C5133" t="str">
        <f>"34"</f>
        <v>34</v>
      </c>
      <c r="D5133">
        <v>6299</v>
      </c>
      <c r="E5133" t="str">
        <f>"10"</f>
        <v>10</v>
      </c>
      <c r="F5133" t="str">
        <f>"937"</f>
        <v>937</v>
      </c>
      <c r="G5133">
        <v>9</v>
      </c>
      <c r="H5133" t="str">
        <f>"99"</f>
        <v>99</v>
      </c>
      <c r="I5133" t="str">
        <f t="shared" si="1103"/>
        <v>0</v>
      </c>
      <c r="J5133" t="str">
        <f>"82"</f>
        <v>82</v>
      </c>
      <c r="K5133">
        <v>20190308</v>
      </c>
      <c r="L5133" t="str">
        <f>"075975"</f>
        <v>075975</v>
      </c>
      <c r="M5133" t="str">
        <f>"58927"</f>
        <v>58927</v>
      </c>
      <c r="N5133" t="s">
        <v>1772</v>
      </c>
      <c r="O5133">
        <v>150</v>
      </c>
      <c r="P5133">
        <v>20190306</v>
      </c>
      <c r="Q5133" t="s">
        <v>2292</v>
      </c>
      <c r="R5133" t="s">
        <v>2293</v>
      </c>
      <c r="S5133" t="s">
        <v>1615</v>
      </c>
      <c r="T5133" t="s">
        <v>1810</v>
      </c>
    </row>
    <row r="5134" spans="1:20" x14ac:dyDescent="0.25">
      <c r="A5134">
        <v>9</v>
      </c>
      <c r="B5134">
        <v>199</v>
      </c>
      <c r="C5134" t="str">
        <f>"34"</f>
        <v>34</v>
      </c>
      <c r="D5134">
        <v>6299</v>
      </c>
      <c r="E5134" t="str">
        <f>"10"</f>
        <v>10</v>
      </c>
      <c r="F5134" t="str">
        <f>"937"</f>
        <v>937</v>
      </c>
      <c r="G5134">
        <v>9</v>
      </c>
      <c r="H5134" t="str">
        <f>"99"</f>
        <v>99</v>
      </c>
      <c r="I5134" t="str">
        <f t="shared" si="1103"/>
        <v>0</v>
      </c>
      <c r="J5134" t="str">
        <f>"82"</f>
        <v>82</v>
      </c>
      <c r="K5134">
        <v>20190308</v>
      </c>
      <c r="L5134" t="str">
        <f>"075975"</f>
        <v>075975</v>
      </c>
      <c r="M5134" t="str">
        <f>"58927"</f>
        <v>58927</v>
      </c>
      <c r="N5134" t="s">
        <v>1772</v>
      </c>
      <c r="O5134">
        <v>390</v>
      </c>
      <c r="P5134">
        <v>20190307</v>
      </c>
      <c r="Q5134" t="s">
        <v>2292</v>
      </c>
      <c r="R5134" t="s">
        <v>2664</v>
      </c>
      <c r="S5134" t="s">
        <v>1615</v>
      </c>
      <c r="T5134" t="s">
        <v>1810</v>
      </c>
    </row>
    <row r="5135" spans="1:20" x14ac:dyDescent="0.25">
      <c r="A5135">
        <v>9</v>
      </c>
      <c r="B5135">
        <v>199</v>
      </c>
      <c r="C5135" t="str">
        <f>"34"</f>
        <v>34</v>
      </c>
      <c r="D5135">
        <v>6299</v>
      </c>
      <c r="E5135" t="str">
        <f>"10"</f>
        <v>10</v>
      </c>
      <c r="F5135" t="str">
        <f>"937"</f>
        <v>937</v>
      </c>
      <c r="G5135">
        <v>9</v>
      </c>
      <c r="H5135" t="str">
        <f>"99"</f>
        <v>99</v>
      </c>
      <c r="I5135" t="str">
        <f t="shared" si="1103"/>
        <v>0</v>
      </c>
      <c r="J5135" t="str">
        <f>"82"</f>
        <v>82</v>
      </c>
      <c r="K5135">
        <v>20190308</v>
      </c>
      <c r="L5135" t="str">
        <f>"075975"</f>
        <v>075975</v>
      </c>
      <c r="M5135" t="str">
        <f>"58927"</f>
        <v>58927</v>
      </c>
      <c r="N5135" t="s">
        <v>1772</v>
      </c>
      <c r="O5135">
        <v>110</v>
      </c>
      <c r="P5135">
        <v>20190307</v>
      </c>
      <c r="Q5135" t="s">
        <v>2292</v>
      </c>
      <c r="R5135" t="s">
        <v>4158</v>
      </c>
      <c r="S5135" t="s">
        <v>1615</v>
      </c>
      <c r="T5135" t="s">
        <v>1810</v>
      </c>
    </row>
    <row r="5136" spans="1:20" x14ac:dyDescent="0.25">
      <c r="A5136">
        <v>9</v>
      </c>
      <c r="B5136">
        <v>199</v>
      </c>
      <c r="C5136" t="str">
        <f>"34"</f>
        <v>34</v>
      </c>
      <c r="D5136">
        <v>6299</v>
      </c>
      <c r="E5136" t="str">
        <f>"10"</f>
        <v>10</v>
      </c>
      <c r="F5136" t="str">
        <f>"937"</f>
        <v>937</v>
      </c>
      <c r="G5136">
        <v>9</v>
      </c>
      <c r="H5136" t="str">
        <f>"99"</f>
        <v>99</v>
      </c>
      <c r="I5136" t="str">
        <f t="shared" si="1103"/>
        <v>0</v>
      </c>
      <c r="J5136" t="str">
        <f>"82"</f>
        <v>82</v>
      </c>
      <c r="K5136">
        <v>20190308</v>
      </c>
      <c r="L5136" t="str">
        <f>"075975"</f>
        <v>075975</v>
      </c>
      <c r="M5136" t="str">
        <f>"58927"</f>
        <v>58927</v>
      </c>
      <c r="N5136" t="s">
        <v>1772</v>
      </c>
      <c r="O5136">
        <v>60</v>
      </c>
      <c r="P5136">
        <v>20190307</v>
      </c>
      <c r="Q5136" t="s">
        <v>2292</v>
      </c>
      <c r="R5136" t="s">
        <v>1774</v>
      </c>
      <c r="S5136" t="s">
        <v>1615</v>
      </c>
      <c r="T5136" t="s">
        <v>1810</v>
      </c>
    </row>
    <row r="5137" spans="1:20" x14ac:dyDescent="0.25">
      <c r="A5137">
        <v>9</v>
      </c>
      <c r="B5137">
        <v>199</v>
      </c>
      <c r="C5137" t="str">
        <f>"11"</f>
        <v>11</v>
      </c>
      <c r="D5137">
        <v>6399</v>
      </c>
      <c r="E5137" t="str">
        <f>"NL"</f>
        <v>NL</v>
      </c>
      <c r="F5137" t="str">
        <f>"001"</f>
        <v>001</v>
      </c>
      <c r="G5137">
        <v>9</v>
      </c>
      <c r="H5137" t="str">
        <f>"22"</f>
        <v>22</v>
      </c>
      <c r="I5137" t="str">
        <f t="shared" si="1103"/>
        <v>0</v>
      </c>
      <c r="J5137" t="str">
        <f>"22"</f>
        <v>22</v>
      </c>
      <c r="K5137">
        <v>20190308</v>
      </c>
      <c r="L5137" t="str">
        <f>"075976"</f>
        <v>075976</v>
      </c>
      <c r="M5137" t="str">
        <f>"58987"</f>
        <v>58987</v>
      </c>
      <c r="N5137" t="s">
        <v>4159</v>
      </c>
      <c r="O5137">
        <v>529.87</v>
      </c>
      <c r="P5137">
        <v>20190306</v>
      </c>
      <c r="Q5137" t="s">
        <v>1896</v>
      </c>
      <c r="R5137" t="s">
        <v>4160</v>
      </c>
      <c r="S5137" t="s">
        <v>1615</v>
      </c>
      <c r="T5137" t="s">
        <v>301</v>
      </c>
    </row>
    <row r="5138" spans="1:20" x14ac:dyDescent="0.25">
      <c r="A5138">
        <v>9</v>
      </c>
      <c r="B5138">
        <v>199</v>
      </c>
      <c r="C5138" t="str">
        <f>"11"</f>
        <v>11</v>
      </c>
      <c r="D5138">
        <v>6399</v>
      </c>
      <c r="E5138" t="str">
        <f>"45"</f>
        <v>45</v>
      </c>
      <c r="F5138" t="str">
        <f>"041"</f>
        <v>041</v>
      </c>
      <c r="G5138">
        <v>9</v>
      </c>
      <c r="H5138" t="str">
        <f>"11"</f>
        <v>11</v>
      </c>
      <c r="I5138" t="str">
        <f t="shared" si="1103"/>
        <v>0</v>
      </c>
      <c r="J5138" t="str">
        <f>"03"</f>
        <v>03</v>
      </c>
      <c r="K5138">
        <v>20190308</v>
      </c>
      <c r="L5138" t="str">
        <f>"075978"</f>
        <v>075978</v>
      </c>
      <c r="M5138" t="str">
        <f>"61221"</f>
        <v>61221</v>
      </c>
      <c r="N5138" t="s">
        <v>1782</v>
      </c>
      <c r="O5138">
        <v>200</v>
      </c>
      <c r="P5138">
        <v>20190306</v>
      </c>
      <c r="Q5138" t="s">
        <v>2204</v>
      </c>
      <c r="R5138" t="s">
        <v>1786</v>
      </c>
      <c r="S5138" t="s">
        <v>1615</v>
      </c>
      <c r="T5138" t="s">
        <v>106</v>
      </c>
    </row>
    <row r="5139" spans="1:20" x14ac:dyDescent="0.25">
      <c r="A5139">
        <v>9</v>
      </c>
      <c r="B5139">
        <v>199</v>
      </c>
      <c r="C5139" t="str">
        <f>"36"</f>
        <v>36</v>
      </c>
      <c r="D5139">
        <v>6412</v>
      </c>
      <c r="E5139" t="str">
        <f>"NL"</f>
        <v>NL</v>
      </c>
      <c r="F5139" t="str">
        <f>"001"</f>
        <v>001</v>
      </c>
      <c r="G5139">
        <v>9</v>
      </c>
      <c r="H5139" t="str">
        <f>"22"</f>
        <v>22</v>
      </c>
      <c r="I5139" t="str">
        <f>"5"</f>
        <v>5</v>
      </c>
      <c r="J5139" t="str">
        <f>"74"</f>
        <v>74</v>
      </c>
      <c r="K5139">
        <v>20190308</v>
      </c>
      <c r="L5139" t="str">
        <f>"075983"</f>
        <v>075983</v>
      </c>
      <c r="M5139" t="str">
        <f>"49900"</f>
        <v>49900</v>
      </c>
      <c r="N5139" t="s">
        <v>3667</v>
      </c>
      <c r="O5139">
        <v>847.78</v>
      </c>
      <c r="P5139">
        <v>20190306</v>
      </c>
      <c r="Q5139" t="s">
        <v>4161</v>
      </c>
      <c r="R5139" t="s">
        <v>4162</v>
      </c>
      <c r="S5139" t="s">
        <v>1615</v>
      </c>
      <c r="T5139" t="s">
        <v>301</v>
      </c>
    </row>
    <row r="5140" spans="1:20" x14ac:dyDescent="0.25">
      <c r="A5140">
        <v>9</v>
      </c>
      <c r="B5140">
        <v>199</v>
      </c>
      <c r="C5140" t="str">
        <f>"33"</f>
        <v>33</v>
      </c>
      <c r="D5140">
        <v>6399</v>
      </c>
      <c r="E5140" t="str">
        <f>"8F"</f>
        <v>8F</v>
      </c>
      <c r="F5140" t="str">
        <f>"001"</f>
        <v>001</v>
      </c>
      <c r="G5140">
        <v>9</v>
      </c>
      <c r="H5140" t="str">
        <f>"99"</f>
        <v>99</v>
      </c>
      <c r="I5140" t="str">
        <f t="shared" ref="I5140:I5160" si="1108">"0"</f>
        <v>0</v>
      </c>
      <c r="J5140" t="str">
        <f>"01"</f>
        <v>01</v>
      </c>
      <c r="K5140">
        <v>20190308</v>
      </c>
      <c r="L5140" t="str">
        <f>"075987"</f>
        <v>075987</v>
      </c>
      <c r="M5140" t="str">
        <f>"65809"</f>
        <v>65809</v>
      </c>
      <c r="N5140" t="s">
        <v>3453</v>
      </c>
      <c r="O5140" s="1">
        <v>1428.52</v>
      </c>
      <c r="P5140">
        <v>20190306</v>
      </c>
      <c r="Q5140" t="s">
        <v>2405</v>
      </c>
      <c r="R5140" t="s">
        <v>2323</v>
      </c>
      <c r="S5140" t="s">
        <v>1615</v>
      </c>
      <c r="T5140" t="s">
        <v>301</v>
      </c>
    </row>
    <row r="5141" spans="1:20" x14ac:dyDescent="0.25">
      <c r="A5141">
        <v>9</v>
      </c>
      <c r="B5141">
        <v>199</v>
      </c>
      <c r="C5141" t="str">
        <f t="shared" ref="C5141:C5146" si="1109">"11"</f>
        <v>11</v>
      </c>
      <c r="D5141">
        <v>6399</v>
      </c>
      <c r="E5141" t="str">
        <f>"10"</f>
        <v>10</v>
      </c>
      <c r="F5141" t="str">
        <f>"041"</f>
        <v>041</v>
      </c>
      <c r="G5141">
        <v>9</v>
      </c>
      <c r="H5141" t="str">
        <f>"11"</f>
        <v>11</v>
      </c>
      <c r="I5141" t="str">
        <f t="shared" si="1108"/>
        <v>0</v>
      </c>
      <c r="J5141" t="str">
        <f>"03"</f>
        <v>03</v>
      </c>
      <c r="K5141">
        <v>20190308</v>
      </c>
      <c r="L5141" t="str">
        <f>"075988"</f>
        <v>075988</v>
      </c>
      <c r="M5141" t="str">
        <f>"65826"</f>
        <v>65826</v>
      </c>
      <c r="N5141" t="s">
        <v>2787</v>
      </c>
      <c r="O5141">
        <v>184.74</v>
      </c>
      <c r="P5141">
        <v>20190306</v>
      </c>
      <c r="Q5141" t="s">
        <v>2956</v>
      </c>
      <c r="R5141" t="s">
        <v>2793</v>
      </c>
      <c r="S5141" t="s">
        <v>1615</v>
      </c>
      <c r="T5141" t="s">
        <v>106</v>
      </c>
    </row>
    <row r="5142" spans="1:20" x14ac:dyDescent="0.25">
      <c r="A5142">
        <v>9</v>
      </c>
      <c r="B5142">
        <v>199</v>
      </c>
      <c r="C5142" t="str">
        <f t="shared" si="1109"/>
        <v>11</v>
      </c>
      <c r="D5142">
        <v>6399</v>
      </c>
      <c r="E5142" t="str">
        <f>"45"</f>
        <v>45</v>
      </c>
      <c r="F5142" t="str">
        <f>"041"</f>
        <v>041</v>
      </c>
      <c r="G5142">
        <v>9</v>
      </c>
      <c r="H5142" t="str">
        <f>"11"</f>
        <v>11</v>
      </c>
      <c r="I5142" t="str">
        <f t="shared" si="1108"/>
        <v>0</v>
      </c>
      <c r="J5142" t="str">
        <f>"03"</f>
        <v>03</v>
      </c>
      <c r="K5142">
        <v>20190308</v>
      </c>
      <c r="L5142" t="str">
        <f>"075988"</f>
        <v>075988</v>
      </c>
      <c r="M5142" t="str">
        <f>"65826"</f>
        <v>65826</v>
      </c>
      <c r="N5142" t="s">
        <v>2787</v>
      </c>
      <c r="O5142">
        <v>155.08000000000001</v>
      </c>
      <c r="P5142">
        <v>20190306</v>
      </c>
      <c r="Q5142" t="s">
        <v>2204</v>
      </c>
      <c r="R5142" t="s">
        <v>4163</v>
      </c>
      <c r="S5142" t="s">
        <v>1615</v>
      </c>
      <c r="T5142" t="s">
        <v>106</v>
      </c>
    </row>
    <row r="5143" spans="1:20" x14ac:dyDescent="0.25">
      <c r="A5143">
        <v>9</v>
      </c>
      <c r="B5143">
        <v>199</v>
      </c>
      <c r="C5143" t="str">
        <f t="shared" si="1109"/>
        <v>11</v>
      </c>
      <c r="D5143">
        <v>6399</v>
      </c>
      <c r="E5143" t="str">
        <f>"76"</f>
        <v>76</v>
      </c>
      <c r="F5143" t="str">
        <f>"041"</f>
        <v>041</v>
      </c>
      <c r="G5143">
        <v>9</v>
      </c>
      <c r="H5143" t="str">
        <f>"11"</f>
        <v>11</v>
      </c>
      <c r="I5143" t="str">
        <f t="shared" si="1108"/>
        <v>0</v>
      </c>
      <c r="J5143" t="str">
        <f>"03"</f>
        <v>03</v>
      </c>
      <c r="K5143">
        <v>20190308</v>
      </c>
      <c r="L5143" t="str">
        <f>"075988"</f>
        <v>075988</v>
      </c>
      <c r="M5143" t="str">
        <f>"65826"</f>
        <v>65826</v>
      </c>
      <c r="N5143" t="s">
        <v>2787</v>
      </c>
      <c r="O5143">
        <v>103.59</v>
      </c>
      <c r="P5143">
        <v>20190306</v>
      </c>
      <c r="Q5143" t="s">
        <v>3458</v>
      </c>
      <c r="R5143" t="s">
        <v>2793</v>
      </c>
      <c r="S5143" t="s">
        <v>1615</v>
      </c>
      <c r="T5143" t="s">
        <v>106</v>
      </c>
    </row>
    <row r="5144" spans="1:20" x14ac:dyDescent="0.25">
      <c r="A5144">
        <v>9</v>
      </c>
      <c r="B5144">
        <v>199</v>
      </c>
      <c r="C5144" t="str">
        <f t="shared" si="1109"/>
        <v>11</v>
      </c>
      <c r="D5144">
        <v>6399</v>
      </c>
      <c r="E5144" t="str">
        <f>"CR"</f>
        <v>CR</v>
      </c>
      <c r="F5144" t="str">
        <f>"001"</f>
        <v>001</v>
      </c>
      <c r="G5144">
        <v>9</v>
      </c>
      <c r="H5144" t="str">
        <f>"31"</f>
        <v>31</v>
      </c>
      <c r="I5144" t="str">
        <f t="shared" si="1108"/>
        <v>0</v>
      </c>
      <c r="J5144" t="str">
        <f>"34"</f>
        <v>34</v>
      </c>
      <c r="K5144">
        <v>20190308</v>
      </c>
      <c r="L5144" t="str">
        <f>"075988"</f>
        <v>075988</v>
      </c>
      <c r="M5144" t="str">
        <f>"65826"</f>
        <v>65826</v>
      </c>
      <c r="N5144" t="s">
        <v>2787</v>
      </c>
      <c r="O5144" s="1">
        <v>19313.13</v>
      </c>
      <c r="P5144">
        <v>20190306</v>
      </c>
      <c r="Q5144" t="s">
        <v>4164</v>
      </c>
      <c r="R5144" t="s">
        <v>4165</v>
      </c>
      <c r="S5144" t="s">
        <v>1615</v>
      </c>
      <c r="T5144" t="s">
        <v>301</v>
      </c>
    </row>
    <row r="5145" spans="1:20" x14ac:dyDescent="0.25">
      <c r="A5145">
        <v>9</v>
      </c>
      <c r="B5145">
        <v>199</v>
      </c>
      <c r="C5145" t="str">
        <f t="shared" si="1109"/>
        <v>11</v>
      </c>
      <c r="D5145">
        <v>6399</v>
      </c>
      <c r="E5145" t="str">
        <f>"AP"</f>
        <v>AP</v>
      </c>
      <c r="F5145" t="str">
        <f>"001"</f>
        <v>001</v>
      </c>
      <c r="G5145">
        <v>9</v>
      </c>
      <c r="H5145" t="str">
        <f>"31"</f>
        <v>31</v>
      </c>
      <c r="I5145" t="str">
        <f t="shared" si="1108"/>
        <v>0</v>
      </c>
      <c r="J5145" t="str">
        <f>"34"</f>
        <v>34</v>
      </c>
      <c r="K5145">
        <v>20190308</v>
      </c>
      <c r="L5145" t="str">
        <f>"075991"</f>
        <v>075991</v>
      </c>
      <c r="M5145" t="str">
        <f>"70052"</f>
        <v>70052</v>
      </c>
      <c r="N5145" t="s">
        <v>3601</v>
      </c>
      <c r="O5145">
        <v>523.94000000000005</v>
      </c>
      <c r="P5145">
        <v>20190306</v>
      </c>
      <c r="Q5145" t="s">
        <v>1677</v>
      </c>
      <c r="R5145" t="s">
        <v>4166</v>
      </c>
      <c r="S5145" t="s">
        <v>1615</v>
      </c>
      <c r="T5145" t="s">
        <v>301</v>
      </c>
    </row>
    <row r="5146" spans="1:20" x14ac:dyDescent="0.25">
      <c r="A5146">
        <v>9</v>
      </c>
      <c r="B5146">
        <v>199</v>
      </c>
      <c r="C5146" t="str">
        <f t="shared" si="1109"/>
        <v>11</v>
      </c>
      <c r="D5146">
        <v>6399</v>
      </c>
      <c r="E5146" t="str">
        <f>"AP"</f>
        <v>AP</v>
      </c>
      <c r="F5146" t="str">
        <f>"001"</f>
        <v>001</v>
      </c>
      <c r="G5146">
        <v>9</v>
      </c>
      <c r="H5146" t="str">
        <f>"31"</f>
        <v>31</v>
      </c>
      <c r="I5146" t="str">
        <f t="shared" si="1108"/>
        <v>0</v>
      </c>
      <c r="J5146" t="str">
        <f>"34"</f>
        <v>34</v>
      </c>
      <c r="K5146">
        <v>20190308</v>
      </c>
      <c r="L5146" t="str">
        <f>"075991"</f>
        <v>075991</v>
      </c>
      <c r="M5146" t="str">
        <f>"70052"</f>
        <v>70052</v>
      </c>
      <c r="N5146" t="s">
        <v>3601</v>
      </c>
      <c r="O5146">
        <v>392.95</v>
      </c>
      <c r="P5146">
        <v>20190306</v>
      </c>
      <c r="Q5146" t="s">
        <v>1677</v>
      </c>
      <c r="R5146" t="s">
        <v>4167</v>
      </c>
      <c r="S5146" t="s">
        <v>1615</v>
      </c>
      <c r="T5146" t="s">
        <v>301</v>
      </c>
    </row>
    <row r="5147" spans="1:20" x14ac:dyDescent="0.25">
      <c r="A5147">
        <v>9</v>
      </c>
      <c r="B5147">
        <v>199</v>
      </c>
      <c r="C5147" t="str">
        <f>"34"</f>
        <v>34</v>
      </c>
      <c r="D5147">
        <v>6249</v>
      </c>
      <c r="E5147" t="str">
        <f>"10"</f>
        <v>10</v>
      </c>
      <c r="F5147" t="str">
        <f>"937"</f>
        <v>937</v>
      </c>
      <c r="G5147">
        <v>9</v>
      </c>
      <c r="H5147" t="str">
        <f>"99"</f>
        <v>99</v>
      </c>
      <c r="I5147" t="str">
        <f t="shared" si="1108"/>
        <v>0</v>
      </c>
      <c r="J5147" t="str">
        <f>"82"</f>
        <v>82</v>
      </c>
      <c r="K5147">
        <v>20190308</v>
      </c>
      <c r="L5147" t="str">
        <f>"075994"</f>
        <v>075994</v>
      </c>
      <c r="M5147" t="str">
        <f>"71225"</f>
        <v>71225</v>
      </c>
      <c r="N5147" t="s">
        <v>1803</v>
      </c>
      <c r="O5147">
        <v>110</v>
      </c>
      <c r="P5147">
        <v>20190306</v>
      </c>
      <c r="Q5147" t="s">
        <v>2036</v>
      </c>
      <c r="R5147" t="s">
        <v>4168</v>
      </c>
      <c r="S5147" t="s">
        <v>1615</v>
      </c>
      <c r="T5147" t="s">
        <v>1810</v>
      </c>
    </row>
    <row r="5148" spans="1:20" x14ac:dyDescent="0.25">
      <c r="A5148">
        <v>9</v>
      </c>
      <c r="B5148">
        <v>199</v>
      </c>
      <c r="C5148" t="str">
        <f>"51"</f>
        <v>51</v>
      </c>
      <c r="D5148">
        <v>6249</v>
      </c>
      <c r="E5148" t="str">
        <f>"WF"</f>
        <v>WF</v>
      </c>
      <c r="F5148" t="str">
        <f>"936"</f>
        <v>936</v>
      </c>
      <c r="G5148">
        <v>9</v>
      </c>
      <c r="H5148" t="str">
        <f>"99"</f>
        <v>99</v>
      </c>
      <c r="I5148" t="str">
        <f t="shared" si="1108"/>
        <v>0</v>
      </c>
      <c r="J5148" t="str">
        <f>"82"</f>
        <v>82</v>
      </c>
      <c r="K5148">
        <v>20190308</v>
      </c>
      <c r="L5148" t="str">
        <f>"075994"</f>
        <v>075994</v>
      </c>
      <c r="M5148" t="str">
        <f>"71225"</f>
        <v>71225</v>
      </c>
      <c r="N5148" t="s">
        <v>1803</v>
      </c>
      <c r="O5148">
        <v>74.98</v>
      </c>
      <c r="P5148">
        <v>20190306</v>
      </c>
      <c r="Q5148" t="s">
        <v>2127</v>
      </c>
      <c r="R5148" t="s">
        <v>4169</v>
      </c>
      <c r="S5148" t="s">
        <v>1615</v>
      </c>
      <c r="T5148" t="s">
        <v>1713</v>
      </c>
    </row>
    <row r="5149" spans="1:20" x14ac:dyDescent="0.25">
      <c r="A5149">
        <v>9</v>
      </c>
      <c r="B5149">
        <v>199</v>
      </c>
      <c r="C5149" t="str">
        <f>"51"</f>
        <v>51</v>
      </c>
      <c r="D5149">
        <v>6249</v>
      </c>
      <c r="E5149" t="str">
        <f>"WF"</f>
        <v>WF</v>
      </c>
      <c r="F5149" t="str">
        <f>"936"</f>
        <v>936</v>
      </c>
      <c r="G5149">
        <v>9</v>
      </c>
      <c r="H5149" t="str">
        <f>"99"</f>
        <v>99</v>
      </c>
      <c r="I5149" t="str">
        <f t="shared" si="1108"/>
        <v>0</v>
      </c>
      <c r="J5149" t="str">
        <f>"82"</f>
        <v>82</v>
      </c>
      <c r="K5149">
        <v>20190308</v>
      </c>
      <c r="L5149" t="str">
        <f>"075994"</f>
        <v>075994</v>
      </c>
      <c r="M5149" t="str">
        <f>"71225"</f>
        <v>71225</v>
      </c>
      <c r="N5149" t="s">
        <v>1803</v>
      </c>
      <c r="O5149">
        <v>80.22</v>
      </c>
      <c r="P5149">
        <v>20190306</v>
      </c>
      <c r="Q5149" t="s">
        <v>2127</v>
      </c>
      <c r="R5149" t="s">
        <v>4169</v>
      </c>
      <c r="S5149" t="s">
        <v>1615</v>
      </c>
      <c r="T5149" t="s">
        <v>1713</v>
      </c>
    </row>
    <row r="5150" spans="1:20" x14ac:dyDescent="0.25">
      <c r="A5150">
        <v>9</v>
      </c>
      <c r="B5150">
        <v>199</v>
      </c>
      <c r="C5150" t="str">
        <f>"51"</f>
        <v>51</v>
      </c>
      <c r="D5150">
        <v>6249</v>
      </c>
      <c r="E5150" t="str">
        <f>"WF"</f>
        <v>WF</v>
      </c>
      <c r="F5150" t="str">
        <f>"936"</f>
        <v>936</v>
      </c>
      <c r="G5150">
        <v>9</v>
      </c>
      <c r="H5150" t="str">
        <f>"99"</f>
        <v>99</v>
      </c>
      <c r="I5150" t="str">
        <f t="shared" si="1108"/>
        <v>0</v>
      </c>
      <c r="J5150" t="str">
        <f>"82"</f>
        <v>82</v>
      </c>
      <c r="K5150">
        <v>20190308</v>
      </c>
      <c r="L5150" t="str">
        <f>"075994"</f>
        <v>075994</v>
      </c>
      <c r="M5150" t="str">
        <f>"71225"</f>
        <v>71225</v>
      </c>
      <c r="N5150" t="s">
        <v>1803</v>
      </c>
      <c r="O5150">
        <v>55</v>
      </c>
      <c r="P5150">
        <v>20190306</v>
      </c>
      <c r="Q5150" t="s">
        <v>2127</v>
      </c>
      <c r="R5150" t="s">
        <v>4170</v>
      </c>
      <c r="S5150" t="s">
        <v>1615</v>
      </c>
      <c r="T5150" t="s">
        <v>1713</v>
      </c>
    </row>
    <row r="5151" spans="1:20" x14ac:dyDescent="0.25">
      <c r="A5151">
        <v>9</v>
      </c>
      <c r="B5151">
        <v>199</v>
      </c>
      <c r="C5151" t="str">
        <f>"51"</f>
        <v>51</v>
      </c>
      <c r="D5151">
        <v>6256</v>
      </c>
      <c r="E5151" t="str">
        <f>"10"</f>
        <v>10</v>
      </c>
      <c r="F5151" t="str">
        <f>"936"</f>
        <v>936</v>
      </c>
      <c r="G5151">
        <v>9</v>
      </c>
      <c r="H5151" t="str">
        <f>"99"</f>
        <v>99</v>
      </c>
      <c r="I5151" t="str">
        <f t="shared" si="1108"/>
        <v>0</v>
      </c>
      <c r="J5151" t="str">
        <f>"81"</f>
        <v>81</v>
      </c>
      <c r="K5151">
        <v>20190308</v>
      </c>
      <c r="L5151" t="str">
        <f>"075995"</f>
        <v>075995</v>
      </c>
      <c r="M5151" t="str">
        <f>"72340"</f>
        <v>72340</v>
      </c>
      <c r="N5151" t="s">
        <v>1652</v>
      </c>
      <c r="O5151">
        <v>223.36</v>
      </c>
      <c r="P5151">
        <v>20190306</v>
      </c>
      <c r="Q5151" t="s">
        <v>2679</v>
      </c>
      <c r="R5151" t="s">
        <v>4171</v>
      </c>
      <c r="S5151" t="s">
        <v>1615</v>
      </c>
      <c r="T5151" t="s">
        <v>1713</v>
      </c>
    </row>
    <row r="5152" spans="1:20" x14ac:dyDescent="0.25">
      <c r="A5152">
        <v>9</v>
      </c>
      <c r="B5152">
        <v>199</v>
      </c>
      <c r="C5152" t="str">
        <f>"11"</f>
        <v>11</v>
      </c>
      <c r="D5152">
        <v>6399</v>
      </c>
      <c r="E5152" t="str">
        <f>"45"</f>
        <v>45</v>
      </c>
      <c r="F5152" t="str">
        <f>"101"</f>
        <v>101</v>
      </c>
      <c r="G5152">
        <v>9</v>
      </c>
      <c r="H5152" t="str">
        <f>"11"</f>
        <v>11</v>
      </c>
      <c r="I5152" t="str">
        <f t="shared" si="1108"/>
        <v>0</v>
      </c>
      <c r="J5152" t="str">
        <f>"04"</f>
        <v>04</v>
      </c>
      <c r="K5152">
        <v>20190308</v>
      </c>
      <c r="L5152" t="str">
        <f t="shared" ref="L5152:L5157" si="1110">"075996"</f>
        <v>075996</v>
      </c>
      <c r="M5152" t="str">
        <f t="shared" ref="M5152:M5157" si="1111">"72730"</f>
        <v>72730</v>
      </c>
      <c r="N5152" t="s">
        <v>639</v>
      </c>
      <c r="O5152">
        <v>354.12</v>
      </c>
      <c r="P5152">
        <v>20190306</v>
      </c>
      <c r="Q5152" t="s">
        <v>1859</v>
      </c>
      <c r="R5152" t="s">
        <v>641</v>
      </c>
      <c r="S5152" t="s">
        <v>1615</v>
      </c>
      <c r="T5152" t="s">
        <v>1479</v>
      </c>
    </row>
    <row r="5153" spans="1:20" x14ac:dyDescent="0.25">
      <c r="A5153">
        <v>9</v>
      </c>
      <c r="B5153">
        <v>199</v>
      </c>
      <c r="C5153" t="str">
        <f>"11"</f>
        <v>11</v>
      </c>
      <c r="D5153">
        <v>6399</v>
      </c>
      <c r="E5153" t="str">
        <f>"45"</f>
        <v>45</v>
      </c>
      <c r="F5153" t="str">
        <f>"101"</f>
        <v>101</v>
      </c>
      <c r="G5153">
        <v>9</v>
      </c>
      <c r="H5153" t="str">
        <f>"11"</f>
        <v>11</v>
      </c>
      <c r="I5153" t="str">
        <f t="shared" si="1108"/>
        <v>0</v>
      </c>
      <c r="J5153" t="str">
        <f>"04"</f>
        <v>04</v>
      </c>
      <c r="K5153">
        <v>20190308</v>
      </c>
      <c r="L5153" t="str">
        <f t="shared" si="1110"/>
        <v>075996</v>
      </c>
      <c r="M5153" t="str">
        <f t="shared" si="1111"/>
        <v>72730</v>
      </c>
      <c r="N5153" t="s">
        <v>639</v>
      </c>
      <c r="O5153">
        <v>17.920000000000002</v>
      </c>
      <c r="P5153">
        <v>20190306</v>
      </c>
      <c r="Q5153" t="s">
        <v>1859</v>
      </c>
      <c r="R5153" t="s">
        <v>4172</v>
      </c>
      <c r="S5153" t="s">
        <v>1615</v>
      </c>
      <c r="T5153" t="s">
        <v>1479</v>
      </c>
    </row>
    <row r="5154" spans="1:20" x14ac:dyDescent="0.25">
      <c r="A5154">
        <v>9</v>
      </c>
      <c r="B5154">
        <v>199</v>
      </c>
      <c r="C5154" t="str">
        <f>"11"</f>
        <v>11</v>
      </c>
      <c r="D5154">
        <v>6399</v>
      </c>
      <c r="E5154" t="str">
        <f>"45"</f>
        <v>45</v>
      </c>
      <c r="F5154" t="str">
        <f>"101"</f>
        <v>101</v>
      </c>
      <c r="G5154">
        <v>9</v>
      </c>
      <c r="H5154" t="str">
        <f>"11"</f>
        <v>11</v>
      </c>
      <c r="I5154" t="str">
        <f t="shared" si="1108"/>
        <v>0</v>
      </c>
      <c r="J5154" t="str">
        <f>"04"</f>
        <v>04</v>
      </c>
      <c r="K5154">
        <v>20190308</v>
      </c>
      <c r="L5154" t="str">
        <f t="shared" si="1110"/>
        <v>075996</v>
      </c>
      <c r="M5154" t="str">
        <f t="shared" si="1111"/>
        <v>72730</v>
      </c>
      <c r="N5154" t="s">
        <v>639</v>
      </c>
      <c r="O5154">
        <v>-19.690000000000001</v>
      </c>
      <c r="P5154">
        <v>20190130</v>
      </c>
      <c r="Q5154" t="s">
        <v>1859</v>
      </c>
      <c r="R5154" t="s">
        <v>4172</v>
      </c>
      <c r="S5154" t="s">
        <v>1615</v>
      </c>
      <c r="T5154" t="s">
        <v>1479</v>
      </c>
    </row>
    <row r="5155" spans="1:20" x14ac:dyDescent="0.25">
      <c r="A5155">
        <v>9</v>
      </c>
      <c r="B5155">
        <v>199</v>
      </c>
      <c r="C5155" t="str">
        <f>"23"</f>
        <v>23</v>
      </c>
      <c r="D5155">
        <v>6649</v>
      </c>
      <c r="E5155" t="str">
        <f>"8K"</f>
        <v>8K</v>
      </c>
      <c r="F5155" t="str">
        <f>"101"</f>
        <v>101</v>
      </c>
      <c r="G5155">
        <v>9</v>
      </c>
      <c r="H5155" t="str">
        <f>"99"</f>
        <v>99</v>
      </c>
      <c r="I5155" t="str">
        <f t="shared" si="1108"/>
        <v>0</v>
      </c>
      <c r="J5155" t="str">
        <f>"04"</f>
        <v>04</v>
      </c>
      <c r="K5155">
        <v>20190308</v>
      </c>
      <c r="L5155" t="str">
        <f t="shared" si="1110"/>
        <v>075996</v>
      </c>
      <c r="M5155" t="str">
        <f t="shared" si="1111"/>
        <v>72730</v>
      </c>
      <c r="N5155" t="s">
        <v>639</v>
      </c>
      <c r="O5155">
        <v>254.39</v>
      </c>
      <c r="P5155">
        <v>20190306</v>
      </c>
      <c r="Q5155" t="s">
        <v>4173</v>
      </c>
      <c r="R5155" t="s">
        <v>4174</v>
      </c>
      <c r="S5155" t="s">
        <v>1615</v>
      </c>
      <c r="T5155" t="s">
        <v>1479</v>
      </c>
    </row>
    <row r="5156" spans="1:20" x14ac:dyDescent="0.25">
      <c r="A5156">
        <v>9</v>
      </c>
      <c r="B5156">
        <v>199</v>
      </c>
      <c r="C5156" t="str">
        <f>"34"</f>
        <v>34</v>
      </c>
      <c r="D5156">
        <v>6399</v>
      </c>
      <c r="E5156" t="str">
        <f>"11"</f>
        <v>11</v>
      </c>
      <c r="F5156" t="str">
        <f>"937"</f>
        <v>937</v>
      </c>
      <c r="G5156">
        <v>9</v>
      </c>
      <c r="H5156" t="str">
        <f>"99"</f>
        <v>99</v>
      </c>
      <c r="I5156" t="str">
        <f t="shared" si="1108"/>
        <v>0</v>
      </c>
      <c r="J5156" t="str">
        <f>"82"</f>
        <v>82</v>
      </c>
      <c r="K5156">
        <v>20190308</v>
      </c>
      <c r="L5156" t="str">
        <f t="shared" si="1110"/>
        <v>075996</v>
      </c>
      <c r="M5156" t="str">
        <f t="shared" si="1111"/>
        <v>72730</v>
      </c>
      <c r="N5156" t="s">
        <v>639</v>
      </c>
      <c r="O5156">
        <v>59.9</v>
      </c>
      <c r="P5156">
        <v>20190306</v>
      </c>
      <c r="Q5156" t="s">
        <v>2210</v>
      </c>
      <c r="R5156" t="s">
        <v>4175</v>
      </c>
      <c r="S5156" t="s">
        <v>1615</v>
      </c>
      <c r="T5156" t="s">
        <v>1810</v>
      </c>
    </row>
    <row r="5157" spans="1:20" x14ac:dyDescent="0.25">
      <c r="A5157">
        <v>9</v>
      </c>
      <c r="B5157">
        <v>199</v>
      </c>
      <c r="C5157" t="str">
        <f>"51"</f>
        <v>51</v>
      </c>
      <c r="D5157">
        <v>6399</v>
      </c>
      <c r="E5157" t="str">
        <f>"10"</f>
        <v>10</v>
      </c>
      <c r="F5157" t="str">
        <f>"936"</f>
        <v>936</v>
      </c>
      <c r="G5157">
        <v>9</v>
      </c>
      <c r="H5157" t="str">
        <f>"99"</f>
        <v>99</v>
      </c>
      <c r="I5157" t="str">
        <f t="shared" si="1108"/>
        <v>0</v>
      </c>
      <c r="J5157" t="str">
        <f>"81"</f>
        <v>81</v>
      </c>
      <c r="K5157">
        <v>20190308</v>
      </c>
      <c r="L5157" t="str">
        <f t="shared" si="1110"/>
        <v>075996</v>
      </c>
      <c r="M5157" t="str">
        <f t="shared" si="1111"/>
        <v>72730</v>
      </c>
      <c r="N5157" t="s">
        <v>639</v>
      </c>
      <c r="O5157">
        <v>64.5</v>
      </c>
      <c r="P5157">
        <v>20190306</v>
      </c>
      <c r="Q5157" t="s">
        <v>3264</v>
      </c>
      <c r="R5157" t="s">
        <v>4176</v>
      </c>
      <c r="S5157" t="s">
        <v>1615</v>
      </c>
      <c r="T5157" t="s">
        <v>1713</v>
      </c>
    </row>
    <row r="5158" spans="1:20" x14ac:dyDescent="0.25">
      <c r="A5158">
        <v>9</v>
      </c>
      <c r="B5158">
        <v>199</v>
      </c>
      <c r="C5158" t="str">
        <f>"41"</f>
        <v>41</v>
      </c>
      <c r="D5158">
        <v>6495</v>
      </c>
      <c r="E5158" t="str">
        <f>"10"</f>
        <v>10</v>
      </c>
      <c r="F5158" t="str">
        <f>"730"</f>
        <v>730</v>
      </c>
      <c r="G5158">
        <v>9</v>
      </c>
      <c r="H5158" t="str">
        <f>"99"</f>
        <v>99</v>
      </c>
      <c r="I5158" t="str">
        <f t="shared" si="1108"/>
        <v>0</v>
      </c>
      <c r="J5158" t="str">
        <f>"95"</f>
        <v>95</v>
      </c>
      <c r="K5158">
        <v>20190308</v>
      </c>
      <c r="L5158" t="str">
        <f>"076000"</f>
        <v>076000</v>
      </c>
      <c r="M5158" t="str">
        <f>"74385"</f>
        <v>74385</v>
      </c>
      <c r="N5158" t="s">
        <v>1812</v>
      </c>
      <c r="O5158" s="1">
        <v>1785</v>
      </c>
      <c r="P5158">
        <v>20190306</v>
      </c>
      <c r="Q5158" t="s">
        <v>4177</v>
      </c>
      <c r="R5158" t="s">
        <v>4178</v>
      </c>
      <c r="S5158" t="s">
        <v>1615</v>
      </c>
      <c r="T5158" t="s">
        <v>1794</v>
      </c>
    </row>
    <row r="5159" spans="1:20" x14ac:dyDescent="0.25">
      <c r="A5159">
        <v>9</v>
      </c>
      <c r="B5159">
        <v>199</v>
      </c>
      <c r="C5159" t="str">
        <f>"11"</f>
        <v>11</v>
      </c>
      <c r="D5159">
        <v>6412</v>
      </c>
      <c r="E5159" t="str">
        <f>"VH"</f>
        <v>VH</v>
      </c>
      <c r="F5159" t="str">
        <f>"001"</f>
        <v>001</v>
      </c>
      <c r="G5159">
        <v>9</v>
      </c>
      <c r="H5159" t="str">
        <f>"22"</f>
        <v>22</v>
      </c>
      <c r="I5159" t="str">
        <f t="shared" si="1108"/>
        <v>0</v>
      </c>
      <c r="J5159" t="str">
        <f>"22"</f>
        <v>22</v>
      </c>
      <c r="K5159">
        <v>20190308</v>
      </c>
      <c r="L5159" t="str">
        <f>"076001"</f>
        <v>076001</v>
      </c>
      <c r="M5159" t="str">
        <f>"00156"</f>
        <v>00156</v>
      </c>
      <c r="N5159" t="s">
        <v>3279</v>
      </c>
      <c r="O5159">
        <v>379</v>
      </c>
      <c r="P5159">
        <v>20190306</v>
      </c>
      <c r="Q5159" t="s">
        <v>2375</v>
      </c>
      <c r="R5159" t="s">
        <v>4179</v>
      </c>
      <c r="S5159" t="s">
        <v>1615</v>
      </c>
      <c r="T5159" t="s">
        <v>301</v>
      </c>
    </row>
    <row r="5160" spans="1:20" x14ac:dyDescent="0.25">
      <c r="A5160">
        <v>9</v>
      </c>
      <c r="B5160">
        <v>199</v>
      </c>
      <c r="C5160" t="str">
        <f>"36"</f>
        <v>36</v>
      </c>
      <c r="D5160">
        <v>6411</v>
      </c>
      <c r="E5160" t="str">
        <f>"VH"</f>
        <v>VH</v>
      </c>
      <c r="F5160" t="str">
        <f>"001"</f>
        <v>001</v>
      </c>
      <c r="G5160">
        <v>9</v>
      </c>
      <c r="H5160" t="str">
        <f>"22"</f>
        <v>22</v>
      </c>
      <c r="I5160" t="str">
        <f t="shared" si="1108"/>
        <v>0</v>
      </c>
      <c r="J5160" t="str">
        <f>"22"</f>
        <v>22</v>
      </c>
      <c r="K5160">
        <v>20190308</v>
      </c>
      <c r="L5160" t="str">
        <f>"076001"</f>
        <v>076001</v>
      </c>
      <c r="M5160" t="str">
        <f>"00156"</f>
        <v>00156</v>
      </c>
      <c r="N5160" t="s">
        <v>3279</v>
      </c>
      <c r="O5160">
        <v>80</v>
      </c>
      <c r="P5160">
        <v>20190306</v>
      </c>
      <c r="Q5160" t="s">
        <v>2377</v>
      </c>
      <c r="R5160" t="s">
        <v>4179</v>
      </c>
      <c r="S5160" t="s">
        <v>1615</v>
      </c>
      <c r="T5160" t="s">
        <v>301</v>
      </c>
    </row>
    <row r="5161" spans="1:20" x14ac:dyDescent="0.25">
      <c r="A5161">
        <v>9</v>
      </c>
      <c r="B5161">
        <v>199</v>
      </c>
      <c r="C5161" t="str">
        <f>"36"</f>
        <v>36</v>
      </c>
      <c r="D5161">
        <v>6412</v>
      </c>
      <c r="E5161" t="str">
        <f>"VH"</f>
        <v>VH</v>
      </c>
      <c r="F5161" t="str">
        <f>"001"</f>
        <v>001</v>
      </c>
      <c r="G5161">
        <v>9</v>
      </c>
      <c r="H5161" t="str">
        <f>"22"</f>
        <v>22</v>
      </c>
      <c r="I5161" t="str">
        <f>"5"</f>
        <v>5</v>
      </c>
      <c r="J5161" t="str">
        <f>"74"</f>
        <v>74</v>
      </c>
      <c r="K5161">
        <v>20190308</v>
      </c>
      <c r="L5161" t="str">
        <f>"076001"</f>
        <v>076001</v>
      </c>
      <c r="M5161" t="str">
        <f>"00156"</f>
        <v>00156</v>
      </c>
      <c r="N5161" t="s">
        <v>3279</v>
      </c>
      <c r="O5161">
        <v>657</v>
      </c>
      <c r="P5161">
        <v>20190306</v>
      </c>
      <c r="Q5161" t="s">
        <v>4180</v>
      </c>
      <c r="R5161" t="s">
        <v>4179</v>
      </c>
      <c r="S5161" t="s">
        <v>1615</v>
      </c>
      <c r="T5161" t="s">
        <v>301</v>
      </c>
    </row>
    <row r="5162" spans="1:20" x14ac:dyDescent="0.25">
      <c r="A5162">
        <v>9</v>
      </c>
      <c r="B5162">
        <v>199</v>
      </c>
      <c r="C5162" t="str">
        <f>"11"</f>
        <v>11</v>
      </c>
      <c r="D5162">
        <v>6399</v>
      </c>
      <c r="E5162" t="str">
        <f>"VJ"</f>
        <v>VJ</v>
      </c>
      <c r="F5162" t="str">
        <f>"001"</f>
        <v>001</v>
      </c>
      <c r="G5162">
        <v>9</v>
      </c>
      <c r="H5162" t="str">
        <f>"22"</f>
        <v>22</v>
      </c>
      <c r="I5162" t="str">
        <f t="shared" ref="I5162:I5167" si="1112">"0"</f>
        <v>0</v>
      </c>
      <c r="J5162" t="str">
        <f>"22"</f>
        <v>22</v>
      </c>
      <c r="K5162">
        <v>20190308</v>
      </c>
      <c r="L5162" t="str">
        <f>"076004"</f>
        <v>076004</v>
      </c>
      <c r="M5162" t="str">
        <f>"80755"</f>
        <v>80755</v>
      </c>
      <c r="N5162" t="s">
        <v>4181</v>
      </c>
      <c r="O5162">
        <v>278</v>
      </c>
      <c r="P5162">
        <v>20190306</v>
      </c>
      <c r="Q5162" t="s">
        <v>2759</v>
      </c>
      <c r="R5162" t="s">
        <v>4182</v>
      </c>
      <c r="S5162" t="s">
        <v>1615</v>
      </c>
      <c r="T5162" t="s">
        <v>301</v>
      </c>
    </row>
    <row r="5163" spans="1:20" x14ac:dyDescent="0.25">
      <c r="A5163">
        <v>9</v>
      </c>
      <c r="B5163">
        <v>199</v>
      </c>
      <c r="C5163" t="str">
        <f>"36"</f>
        <v>36</v>
      </c>
      <c r="D5163">
        <v>6495</v>
      </c>
      <c r="E5163" t="str">
        <f>"7E"</f>
        <v>7E</v>
      </c>
      <c r="F5163" t="str">
        <f>"041"</f>
        <v>041</v>
      </c>
      <c r="G5163">
        <v>9</v>
      </c>
      <c r="H5163" t="str">
        <f>"99"</f>
        <v>99</v>
      </c>
      <c r="I5163" t="str">
        <f t="shared" si="1112"/>
        <v>0</v>
      </c>
      <c r="J5163" t="str">
        <f>"35"</f>
        <v>35</v>
      </c>
      <c r="K5163">
        <v>20190308</v>
      </c>
      <c r="L5163" t="str">
        <f>"076005"</f>
        <v>076005</v>
      </c>
      <c r="M5163" t="str">
        <f>"82126"</f>
        <v>82126</v>
      </c>
      <c r="N5163" t="s">
        <v>1850</v>
      </c>
      <c r="O5163">
        <v>370</v>
      </c>
      <c r="P5163">
        <v>20190306</v>
      </c>
      <c r="Q5163" t="s">
        <v>2138</v>
      </c>
      <c r="R5163" t="s">
        <v>4183</v>
      </c>
      <c r="S5163" t="s">
        <v>1615</v>
      </c>
      <c r="T5163" t="s">
        <v>106</v>
      </c>
    </row>
    <row r="5164" spans="1:20" x14ac:dyDescent="0.25">
      <c r="A5164">
        <v>9</v>
      </c>
      <c r="B5164">
        <v>199</v>
      </c>
      <c r="C5164" t="str">
        <f>"36"</f>
        <v>36</v>
      </c>
      <c r="D5164">
        <v>6495</v>
      </c>
      <c r="E5164" t="str">
        <f>"7E"</f>
        <v>7E</v>
      </c>
      <c r="F5164" t="str">
        <f>"041"</f>
        <v>041</v>
      </c>
      <c r="G5164">
        <v>9</v>
      </c>
      <c r="H5164" t="str">
        <f>"99"</f>
        <v>99</v>
      </c>
      <c r="I5164" t="str">
        <f t="shared" si="1112"/>
        <v>0</v>
      </c>
      <c r="J5164" t="str">
        <f>"35"</f>
        <v>35</v>
      </c>
      <c r="K5164">
        <v>20190308</v>
      </c>
      <c r="L5164" t="str">
        <f>"076005"</f>
        <v>076005</v>
      </c>
      <c r="M5164" t="str">
        <f>"82126"</f>
        <v>82126</v>
      </c>
      <c r="N5164" t="s">
        <v>1850</v>
      </c>
      <c r="O5164">
        <v>740</v>
      </c>
      <c r="P5164">
        <v>20190306</v>
      </c>
      <c r="Q5164" t="s">
        <v>2138</v>
      </c>
      <c r="R5164" t="s">
        <v>4183</v>
      </c>
      <c r="S5164" t="s">
        <v>1615</v>
      </c>
      <c r="T5164" t="s">
        <v>106</v>
      </c>
    </row>
    <row r="5165" spans="1:20" x14ac:dyDescent="0.25">
      <c r="A5165">
        <v>9</v>
      </c>
      <c r="B5165">
        <v>199</v>
      </c>
      <c r="C5165" t="str">
        <f>"41"</f>
        <v>41</v>
      </c>
      <c r="D5165">
        <v>6399</v>
      </c>
      <c r="E5165" t="str">
        <f>"10"</f>
        <v>10</v>
      </c>
      <c r="F5165" t="str">
        <f>"933"</f>
        <v>933</v>
      </c>
      <c r="G5165">
        <v>9</v>
      </c>
      <c r="H5165" t="str">
        <f>"99"</f>
        <v>99</v>
      </c>
      <c r="I5165" t="str">
        <f t="shared" si="1112"/>
        <v>0</v>
      </c>
      <c r="J5165" t="str">
        <f>"85"</f>
        <v>85</v>
      </c>
      <c r="K5165">
        <v>20190308</v>
      </c>
      <c r="L5165" t="str">
        <f>"076006"</f>
        <v>076006</v>
      </c>
      <c r="M5165" t="str">
        <f>"81779"</f>
        <v>81779</v>
      </c>
      <c r="N5165" t="s">
        <v>4184</v>
      </c>
      <c r="O5165">
        <v>277.67</v>
      </c>
      <c r="P5165">
        <v>20190306</v>
      </c>
      <c r="Q5165" t="s">
        <v>2179</v>
      </c>
      <c r="R5165" t="s">
        <v>4185</v>
      </c>
      <c r="S5165" t="s">
        <v>1615</v>
      </c>
      <c r="T5165" t="s">
        <v>1643</v>
      </c>
    </row>
    <row r="5166" spans="1:20" x14ac:dyDescent="0.25">
      <c r="A5166">
        <v>9</v>
      </c>
      <c r="B5166">
        <v>199</v>
      </c>
      <c r="C5166" t="str">
        <f>"36"</f>
        <v>36</v>
      </c>
      <c r="D5166">
        <v>6399</v>
      </c>
      <c r="E5166" t="str">
        <f>"09"</f>
        <v>09</v>
      </c>
      <c r="F5166" t="str">
        <f>"001"</f>
        <v>001</v>
      </c>
      <c r="G5166">
        <v>9</v>
      </c>
      <c r="H5166" t="str">
        <f>"99"</f>
        <v>99</v>
      </c>
      <c r="I5166" t="str">
        <f t="shared" si="1112"/>
        <v>0</v>
      </c>
      <c r="J5166" t="str">
        <f>"01"</f>
        <v>01</v>
      </c>
      <c r="K5166">
        <v>20190308</v>
      </c>
      <c r="L5166" t="str">
        <f>"076007"</f>
        <v>076007</v>
      </c>
      <c r="M5166" t="str">
        <f>"80727"</f>
        <v>80727</v>
      </c>
      <c r="N5166" t="s">
        <v>2422</v>
      </c>
      <c r="O5166">
        <v>410.85</v>
      </c>
      <c r="P5166">
        <v>20190306</v>
      </c>
      <c r="Q5166" t="s">
        <v>2177</v>
      </c>
      <c r="R5166" t="s">
        <v>4186</v>
      </c>
      <c r="S5166" t="s">
        <v>1615</v>
      </c>
      <c r="T5166" t="s">
        <v>301</v>
      </c>
    </row>
    <row r="5167" spans="1:20" x14ac:dyDescent="0.25">
      <c r="A5167">
        <v>9</v>
      </c>
      <c r="B5167">
        <v>199</v>
      </c>
      <c r="C5167" t="str">
        <f>"13"</f>
        <v>13</v>
      </c>
      <c r="D5167">
        <v>6411</v>
      </c>
      <c r="E5167" t="str">
        <f>"PD"</f>
        <v>PD</v>
      </c>
      <c r="F5167" t="str">
        <f>"001"</f>
        <v>001</v>
      </c>
      <c r="G5167">
        <v>9</v>
      </c>
      <c r="H5167" t="str">
        <f>"31"</f>
        <v>31</v>
      </c>
      <c r="I5167" t="str">
        <f t="shared" si="1112"/>
        <v>0</v>
      </c>
      <c r="J5167" t="str">
        <f>"34"</f>
        <v>34</v>
      </c>
      <c r="K5167">
        <v>20190308</v>
      </c>
      <c r="L5167" t="str">
        <f>"076008"</f>
        <v>076008</v>
      </c>
      <c r="M5167" t="str">
        <f>"82166"</f>
        <v>82166</v>
      </c>
      <c r="N5167" t="s">
        <v>1286</v>
      </c>
      <c r="O5167">
        <v>535</v>
      </c>
      <c r="P5167">
        <v>20190306</v>
      </c>
      <c r="Q5167" t="s">
        <v>2220</v>
      </c>
      <c r="R5167" t="s">
        <v>4187</v>
      </c>
      <c r="S5167" t="s">
        <v>1615</v>
      </c>
      <c r="T5167" t="s">
        <v>301</v>
      </c>
    </row>
    <row r="5168" spans="1:20" x14ac:dyDescent="0.25">
      <c r="A5168">
        <v>9</v>
      </c>
      <c r="B5168">
        <v>199</v>
      </c>
      <c r="C5168" t="str">
        <f>"51"</f>
        <v>51</v>
      </c>
      <c r="D5168">
        <v>6249</v>
      </c>
      <c r="E5168" t="str">
        <f>"PM"</f>
        <v>PM</v>
      </c>
      <c r="F5168" t="str">
        <f>"936"</f>
        <v>936</v>
      </c>
      <c r="G5168">
        <v>9</v>
      </c>
      <c r="H5168" t="str">
        <f>"99"</f>
        <v>99</v>
      </c>
      <c r="I5168" t="str">
        <f>"1"</f>
        <v>1</v>
      </c>
      <c r="J5168" t="str">
        <f>"81"</f>
        <v>81</v>
      </c>
      <c r="K5168">
        <v>20190315</v>
      </c>
      <c r="L5168" t="str">
        <f>"076020"</f>
        <v>076020</v>
      </c>
      <c r="M5168" t="str">
        <f>"00306"</f>
        <v>00306</v>
      </c>
      <c r="N5168" t="s">
        <v>2810</v>
      </c>
      <c r="O5168">
        <v>113.45</v>
      </c>
      <c r="P5168">
        <v>20190313</v>
      </c>
      <c r="Q5168" t="s">
        <v>2811</v>
      </c>
      <c r="R5168" t="s">
        <v>4188</v>
      </c>
      <c r="S5168" t="s">
        <v>1615</v>
      </c>
      <c r="T5168" t="s">
        <v>1713</v>
      </c>
    </row>
    <row r="5169" spans="1:20" x14ac:dyDescent="0.25">
      <c r="A5169">
        <v>9</v>
      </c>
      <c r="B5169">
        <v>199</v>
      </c>
      <c r="C5169" t="str">
        <f>"51"</f>
        <v>51</v>
      </c>
      <c r="D5169">
        <v>6249</v>
      </c>
      <c r="E5169" t="str">
        <f>"PM"</f>
        <v>PM</v>
      </c>
      <c r="F5169" t="str">
        <f>"936"</f>
        <v>936</v>
      </c>
      <c r="G5169">
        <v>9</v>
      </c>
      <c r="H5169" t="str">
        <f>"99"</f>
        <v>99</v>
      </c>
      <c r="I5169" t="str">
        <f>"1"</f>
        <v>1</v>
      </c>
      <c r="J5169" t="str">
        <f>"81"</f>
        <v>81</v>
      </c>
      <c r="K5169">
        <v>20190315</v>
      </c>
      <c r="L5169" t="str">
        <f>"076020"</f>
        <v>076020</v>
      </c>
      <c r="M5169" t="str">
        <f>"00306"</f>
        <v>00306</v>
      </c>
      <c r="N5169" t="s">
        <v>2810</v>
      </c>
      <c r="O5169">
        <v>411.12</v>
      </c>
      <c r="P5169">
        <v>20190313</v>
      </c>
      <c r="Q5169" t="s">
        <v>2811</v>
      </c>
      <c r="R5169" t="s">
        <v>4189</v>
      </c>
      <c r="S5169" t="s">
        <v>1615</v>
      </c>
      <c r="T5169" t="s">
        <v>1713</v>
      </c>
    </row>
    <row r="5170" spans="1:20" x14ac:dyDescent="0.25">
      <c r="A5170">
        <v>9</v>
      </c>
      <c r="B5170">
        <v>199</v>
      </c>
      <c r="C5170" t="str">
        <f>"41"</f>
        <v>41</v>
      </c>
      <c r="D5170">
        <v>6329</v>
      </c>
      <c r="E5170" t="str">
        <f>"10"</f>
        <v>10</v>
      </c>
      <c r="F5170" t="str">
        <f>"701"</f>
        <v>701</v>
      </c>
      <c r="G5170">
        <v>9</v>
      </c>
      <c r="H5170" t="str">
        <f>"99"</f>
        <v>99</v>
      </c>
      <c r="I5170" t="str">
        <f t="shared" ref="I5170:I5194" si="1113">"0"</f>
        <v>0</v>
      </c>
      <c r="J5170" t="str">
        <f>"92"</f>
        <v>92</v>
      </c>
      <c r="K5170">
        <v>20190315</v>
      </c>
      <c r="L5170" t="str">
        <f>"076022"</f>
        <v>076022</v>
      </c>
      <c r="M5170" t="str">
        <f>"00503"</f>
        <v>00503</v>
      </c>
      <c r="N5170" t="s">
        <v>4190</v>
      </c>
      <c r="O5170">
        <v>25</v>
      </c>
      <c r="P5170">
        <v>20190314</v>
      </c>
      <c r="Q5170" t="s">
        <v>2305</v>
      </c>
      <c r="R5170" t="s">
        <v>4191</v>
      </c>
      <c r="S5170" t="s">
        <v>1615</v>
      </c>
      <c r="T5170" t="s">
        <v>1841</v>
      </c>
    </row>
    <row r="5171" spans="1:20" x14ac:dyDescent="0.25">
      <c r="A5171">
        <v>9</v>
      </c>
      <c r="B5171">
        <v>199</v>
      </c>
      <c r="C5171" t="str">
        <f t="shared" ref="C5171:C5177" si="1114">"11"</f>
        <v>11</v>
      </c>
      <c r="D5171">
        <v>6269</v>
      </c>
      <c r="E5171" t="str">
        <f>"V8"</f>
        <v>V8</v>
      </c>
      <c r="F5171" t="str">
        <f>"001"</f>
        <v>001</v>
      </c>
      <c r="G5171">
        <v>9</v>
      </c>
      <c r="H5171" t="str">
        <f>"22"</f>
        <v>22</v>
      </c>
      <c r="I5171" t="str">
        <f t="shared" si="1113"/>
        <v>0</v>
      </c>
      <c r="J5171" t="str">
        <f>"22"</f>
        <v>22</v>
      </c>
      <c r="K5171">
        <v>20190315</v>
      </c>
      <c r="L5171" t="str">
        <f>"076023"</f>
        <v>076023</v>
      </c>
      <c r="M5171" t="str">
        <f>"02230"</f>
        <v>02230</v>
      </c>
      <c r="N5171" t="s">
        <v>1673</v>
      </c>
      <c r="O5171">
        <v>80.72</v>
      </c>
      <c r="P5171">
        <v>20190313</v>
      </c>
      <c r="Q5171" t="s">
        <v>2154</v>
      </c>
      <c r="R5171" t="s">
        <v>3818</v>
      </c>
      <c r="S5171" t="s">
        <v>1615</v>
      </c>
      <c r="T5171" t="s">
        <v>301</v>
      </c>
    </row>
    <row r="5172" spans="1:20" x14ac:dyDescent="0.25">
      <c r="A5172">
        <v>9</v>
      </c>
      <c r="B5172">
        <v>199</v>
      </c>
      <c r="C5172" t="str">
        <f t="shared" si="1114"/>
        <v>11</v>
      </c>
      <c r="D5172">
        <v>6399</v>
      </c>
      <c r="E5172" t="str">
        <f>"01"</f>
        <v>01</v>
      </c>
      <c r="F5172" t="str">
        <f>"001"</f>
        <v>001</v>
      </c>
      <c r="G5172">
        <v>9</v>
      </c>
      <c r="H5172" t="str">
        <f>"25"</f>
        <v>25</v>
      </c>
      <c r="I5172" t="str">
        <f t="shared" si="1113"/>
        <v>0</v>
      </c>
      <c r="J5172" t="str">
        <f>"25"</f>
        <v>25</v>
      </c>
      <c r="K5172">
        <v>20190315</v>
      </c>
      <c r="L5172" t="str">
        <f t="shared" ref="L5172:L5185" si="1115">"076024"</f>
        <v>076024</v>
      </c>
      <c r="M5172" t="str">
        <f t="shared" ref="M5172:M5185" si="1116">"04410"</f>
        <v>04410</v>
      </c>
      <c r="N5172" t="s">
        <v>410</v>
      </c>
      <c r="O5172">
        <v>229.93</v>
      </c>
      <c r="P5172">
        <v>20190313</v>
      </c>
      <c r="Q5172" t="s">
        <v>4192</v>
      </c>
      <c r="R5172" t="s">
        <v>4193</v>
      </c>
      <c r="S5172" t="s">
        <v>1615</v>
      </c>
      <c r="T5172" t="s">
        <v>301</v>
      </c>
    </row>
    <row r="5173" spans="1:20" x14ac:dyDescent="0.25">
      <c r="A5173">
        <v>9</v>
      </c>
      <c r="B5173">
        <v>199</v>
      </c>
      <c r="C5173" t="str">
        <f t="shared" si="1114"/>
        <v>11</v>
      </c>
      <c r="D5173">
        <v>6399</v>
      </c>
      <c r="E5173" t="str">
        <f>"8U"</f>
        <v>8U</v>
      </c>
      <c r="F5173" t="str">
        <f>"041"</f>
        <v>041</v>
      </c>
      <c r="G5173">
        <v>9</v>
      </c>
      <c r="H5173" t="str">
        <f>"11"</f>
        <v>11</v>
      </c>
      <c r="I5173" t="str">
        <f t="shared" si="1113"/>
        <v>0</v>
      </c>
      <c r="J5173" t="str">
        <f>"03"</f>
        <v>03</v>
      </c>
      <c r="K5173">
        <v>20190315</v>
      </c>
      <c r="L5173" t="str">
        <f t="shared" si="1115"/>
        <v>076024</v>
      </c>
      <c r="M5173" t="str">
        <f t="shared" si="1116"/>
        <v>04410</v>
      </c>
      <c r="N5173" t="s">
        <v>410</v>
      </c>
      <c r="O5173">
        <v>74.849999999999994</v>
      </c>
      <c r="P5173">
        <v>20190313</v>
      </c>
      <c r="Q5173" t="s">
        <v>2229</v>
      </c>
      <c r="R5173" t="s">
        <v>1982</v>
      </c>
      <c r="S5173" t="s">
        <v>1615</v>
      </c>
      <c r="T5173" t="s">
        <v>106</v>
      </c>
    </row>
    <row r="5174" spans="1:20" x14ac:dyDescent="0.25">
      <c r="A5174">
        <v>9</v>
      </c>
      <c r="B5174">
        <v>199</v>
      </c>
      <c r="C5174" t="str">
        <f t="shared" si="1114"/>
        <v>11</v>
      </c>
      <c r="D5174">
        <v>6399</v>
      </c>
      <c r="E5174" t="str">
        <f>"H2"</f>
        <v>H2</v>
      </c>
      <c r="F5174" t="str">
        <f t="shared" ref="F5174:F5184" si="1117">"001"</f>
        <v>001</v>
      </c>
      <c r="G5174">
        <v>9</v>
      </c>
      <c r="H5174" t="str">
        <f>"11"</f>
        <v>11</v>
      </c>
      <c r="I5174" t="str">
        <f t="shared" si="1113"/>
        <v>0</v>
      </c>
      <c r="J5174" t="str">
        <f>"37"</f>
        <v>37</v>
      </c>
      <c r="K5174">
        <v>20190315</v>
      </c>
      <c r="L5174" t="str">
        <f t="shared" si="1115"/>
        <v>076024</v>
      </c>
      <c r="M5174" t="str">
        <f t="shared" si="1116"/>
        <v>04410</v>
      </c>
      <c r="N5174" t="s">
        <v>410</v>
      </c>
      <c r="O5174">
        <v>79.98</v>
      </c>
      <c r="P5174">
        <v>20190313</v>
      </c>
      <c r="Q5174" t="s">
        <v>3510</v>
      </c>
      <c r="R5174" t="s">
        <v>4194</v>
      </c>
      <c r="S5174" t="s">
        <v>1615</v>
      </c>
      <c r="T5174" t="s">
        <v>301</v>
      </c>
    </row>
    <row r="5175" spans="1:20" x14ac:dyDescent="0.25">
      <c r="A5175">
        <v>9</v>
      </c>
      <c r="B5175">
        <v>199</v>
      </c>
      <c r="C5175" t="str">
        <f t="shared" si="1114"/>
        <v>11</v>
      </c>
      <c r="D5175">
        <v>6399</v>
      </c>
      <c r="E5175" t="str">
        <f>"N1"</f>
        <v>N1</v>
      </c>
      <c r="F5175" t="str">
        <f t="shared" si="1117"/>
        <v>001</v>
      </c>
      <c r="G5175">
        <v>9</v>
      </c>
      <c r="H5175" t="str">
        <f>"11"</f>
        <v>11</v>
      </c>
      <c r="I5175" t="str">
        <f t="shared" si="1113"/>
        <v>0</v>
      </c>
      <c r="J5175" t="str">
        <f>"01"</f>
        <v>01</v>
      </c>
      <c r="K5175">
        <v>20190315</v>
      </c>
      <c r="L5175" t="str">
        <f t="shared" si="1115"/>
        <v>076024</v>
      </c>
      <c r="M5175" t="str">
        <f t="shared" si="1116"/>
        <v>04410</v>
      </c>
      <c r="N5175" t="s">
        <v>410</v>
      </c>
      <c r="O5175">
        <v>14.74</v>
      </c>
      <c r="P5175">
        <v>20190313</v>
      </c>
      <c r="Q5175" t="s">
        <v>2637</v>
      </c>
      <c r="R5175" t="s">
        <v>4195</v>
      </c>
      <c r="S5175" t="s">
        <v>1615</v>
      </c>
      <c r="T5175" t="s">
        <v>301</v>
      </c>
    </row>
    <row r="5176" spans="1:20" x14ac:dyDescent="0.25">
      <c r="A5176">
        <v>9</v>
      </c>
      <c r="B5176">
        <v>199</v>
      </c>
      <c r="C5176" t="str">
        <f t="shared" si="1114"/>
        <v>11</v>
      </c>
      <c r="D5176">
        <v>6399</v>
      </c>
      <c r="E5176" t="str">
        <f>"R1"</f>
        <v>R1</v>
      </c>
      <c r="F5176" t="str">
        <f t="shared" si="1117"/>
        <v>001</v>
      </c>
      <c r="G5176">
        <v>9</v>
      </c>
      <c r="H5176" t="str">
        <f>"11"</f>
        <v>11</v>
      </c>
      <c r="I5176" t="str">
        <f t="shared" si="1113"/>
        <v>0</v>
      </c>
      <c r="J5176" t="str">
        <f>"01"</f>
        <v>01</v>
      </c>
      <c r="K5176">
        <v>20190315</v>
      </c>
      <c r="L5176" t="str">
        <f t="shared" si="1115"/>
        <v>076024</v>
      </c>
      <c r="M5176" t="str">
        <f t="shared" si="1116"/>
        <v>04410</v>
      </c>
      <c r="N5176" t="s">
        <v>410</v>
      </c>
      <c r="O5176">
        <v>188.23</v>
      </c>
      <c r="P5176">
        <v>20190313</v>
      </c>
      <c r="Q5176" t="s">
        <v>2441</v>
      </c>
      <c r="R5176" t="s">
        <v>4196</v>
      </c>
      <c r="S5176" t="s">
        <v>1615</v>
      </c>
      <c r="T5176" t="s">
        <v>301</v>
      </c>
    </row>
    <row r="5177" spans="1:20" x14ac:dyDescent="0.25">
      <c r="A5177">
        <v>9</v>
      </c>
      <c r="B5177">
        <v>199</v>
      </c>
      <c r="C5177" t="str">
        <f t="shared" si="1114"/>
        <v>11</v>
      </c>
      <c r="D5177">
        <v>6399</v>
      </c>
      <c r="E5177" t="str">
        <f>"VR"</f>
        <v>VR</v>
      </c>
      <c r="F5177" t="str">
        <f t="shared" si="1117"/>
        <v>001</v>
      </c>
      <c r="G5177">
        <v>9</v>
      </c>
      <c r="H5177" t="str">
        <f>"22"</f>
        <v>22</v>
      </c>
      <c r="I5177" t="str">
        <f t="shared" si="1113"/>
        <v>0</v>
      </c>
      <c r="J5177" t="str">
        <f>"22"</f>
        <v>22</v>
      </c>
      <c r="K5177">
        <v>20190315</v>
      </c>
      <c r="L5177" t="str">
        <f t="shared" si="1115"/>
        <v>076024</v>
      </c>
      <c r="M5177" t="str">
        <f t="shared" si="1116"/>
        <v>04410</v>
      </c>
      <c r="N5177" t="s">
        <v>410</v>
      </c>
      <c r="O5177">
        <v>25.49</v>
      </c>
      <c r="P5177">
        <v>20190313</v>
      </c>
      <c r="Q5177" t="s">
        <v>1863</v>
      </c>
      <c r="R5177" t="s">
        <v>4197</v>
      </c>
      <c r="S5177" t="s">
        <v>1615</v>
      </c>
      <c r="T5177" t="s">
        <v>301</v>
      </c>
    </row>
    <row r="5178" spans="1:20" x14ac:dyDescent="0.25">
      <c r="A5178">
        <v>9</v>
      </c>
      <c r="B5178">
        <v>199</v>
      </c>
      <c r="C5178" t="str">
        <f>"31"</f>
        <v>31</v>
      </c>
      <c r="D5178">
        <v>6399</v>
      </c>
      <c r="E5178" t="str">
        <f>"7F"</f>
        <v>7F</v>
      </c>
      <c r="F5178" t="str">
        <f t="shared" si="1117"/>
        <v>001</v>
      </c>
      <c r="G5178">
        <v>9</v>
      </c>
      <c r="H5178" t="str">
        <f t="shared" ref="H5178:H5185" si="1118">"99"</f>
        <v>99</v>
      </c>
      <c r="I5178" t="str">
        <f t="shared" si="1113"/>
        <v>0</v>
      </c>
      <c r="J5178" t="str">
        <f t="shared" ref="J5178:J5184" si="1119">"01"</f>
        <v>01</v>
      </c>
      <c r="K5178">
        <v>20190315</v>
      </c>
      <c r="L5178" t="str">
        <f t="shared" si="1115"/>
        <v>076024</v>
      </c>
      <c r="M5178" t="str">
        <f t="shared" si="1116"/>
        <v>04410</v>
      </c>
      <c r="N5178" t="s">
        <v>410</v>
      </c>
      <c r="O5178">
        <v>914.01</v>
      </c>
      <c r="P5178">
        <v>20190313</v>
      </c>
      <c r="Q5178" t="s">
        <v>2965</v>
      </c>
      <c r="R5178" t="s">
        <v>4198</v>
      </c>
      <c r="S5178" t="s">
        <v>1615</v>
      </c>
      <c r="T5178" t="s">
        <v>301</v>
      </c>
    </row>
    <row r="5179" spans="1:20" x14ac:dyDescent="0.25">
      <c r="A5179">
        <v>9</v>
      </c>
      <c r="B5179">
        <v>199</v>
      </c>
      <c r="C5179" t="str">
        <f>"31"</f>
        <v>31</v>
      </c>
      <c r="D5179">
        <v>6399</v>
      </c>
      <c r="E5179" t="str">
        <f>"7F"</f>
        <v>7F</v>
      </c>
      <c r="F5179" t="str">
        <f t="shared" si="1117"/>
        <v>001</v>
      </c>
      <c r="G5179">
        <v>9</v>
      </c>
      <c r="H5179" t="str">
        <f t="shared" si="1118"/>
        <v>99</v>
      </c>
      <c r="I5179" t="str">
        <f t="shared" si="1113"/>
        <v>0</v>
      </c>
      <c r="J5179" t="str">
        <f t="shared" si="1119"/>
        <v>01</v>
      </c>
      <c r="K5179">
        <v>20190315</v>
      </c>
      <c r="L5179" t="str">
        <f t="shared" si="1115"/>
        <v>076024</v>
      </c>
      <c r="M5179" t="str">
        <f t="shared" si="1116"/>
        <v>04410</v>
      </c>
      <c r="N5179" t="s">
        <v>410</v>
      </c>
      <c r="O5179">
        <v>-300.10000000000002</v>
      </c>
      <c r="P5179">
        <v>20190222</v>
      </c>
      <c r="Q5179" t="s">
        <v>2965</v>
      </c>
      <c r="R5179" t="s">
        <v>4199</v>
      </c>
      <c r="S5179" t="s">
        <v>1615</v>
      </c>
      <c r="T5179" t="s">
        <v>301</v>
      </c>
    </row>
    <row r="5180" spans="1:20" x14ac:dyDescent="0.25">
      <c r="A5180">
        <v>9</v>
      </c>
      <c r="B5180">
        <v>199</v>
      </c>
      <c r="C5180" t="str">
        <f>"36"</f>
        <v>36</v>
      </c>
      <c r="D5180">
        <v>6399</v>
      </c>
      <c r="E5180" t="str">
        <f>"09"</f>
        <v>09</v>
      </c>
      <c r="F5180" t="str">
        <f t="shared" si="1117"/>
        <v>001</v>
      </c>
      <c r="G5180">
        <v>9</v>
      </c>
      <c r="H5180" t="str">
        <f t="shared" si="1118"/>
        <v>99</v>
      </c>
      <c r="I5180" t="str">
        <f t="shared" si="1113"/>
        <v>0</v>
      </c>
      <c r="J5180" t="str">
        <f t="shared" si="1119"/>
        <v>01</v>
      </c>
      <c r="K5180">
        <v>20190315</v>
      </c>
      <c r="L5180" t="str">
        <f t="shared" si="1115"/>
        <v>076024</v>
      </c>
      <c r="M5180" t="str">
        <f t="shared" si="1116"/>
        <v>04410</v>
      </c>
      <c r="N5180" t="s">
        <v>410</v>
      </c>
      <c r="O5180">
        <v>18.97</v>
      </c>
      <c r="P5180">
        <v>20190313</v>
      </c>
      <c r="Q5180" t="s">
        <v>2177</v>
      </c>
      <c r="R5180" t="s">
        <v>4200</v>
      </c>
      <c r="S5180" t="s">
        <v>1615</v>
      </c>
      <c r="T5180" t="s">
        <v>301</v>
      </c>
    </row>
    <row r="5181" spans="1:20" x14ac:dyDescent="0.25">
      <c r="A5181">
        <v>9</v>
      </c>
      <c r="B5181">
        <v>199</v>
      </c>
      <c r="C5181" t="str">
        <f>"36"</f>
        <v>36</v>
      </c>
      <c r="D5181">
        <v>6399</v>
      </c>
      <c r="E5181" t="str">
        <f>"09"</f>
        <v>09</v>
      </c>
      <c r="F5181" t="str">
        <f t="shared" si="1117"/>
        <v>001</v>
      </c>
      <c r="G5181">
        <v>9</v>
      </c>
      <c r="H5181" t="str">
        <f t="shared" si="1118"/>
        <v>99</v>
      </c>
      <c r="I5181" t="str">
        <f t="shared" si="1113"/>
        <v>0</v>
      </c>
      <c r="J5181" t="str">
        <f t="shared" si="1119"/>
        <v>01</v>
      </c>
      <c r="K5181">
        <v>20190315</v>
      </c>
      <c r="L5181" t="str">
        <f t="shared" si="1115"/>
        <v>076024</v>
      </c>
      <c r="M5181" t="str">
        <f t="shared" si="1116"/>
        <v>04410</v>
      </c>
      <c r="N5181" t="s">
        <v>410</v>
      </c>
      <c r="O5181">
        <v>87.52</v>
      </c>
      <c r="P5181">
        <v>20190313</v>
      </c>
      <c r="Q5181" t="s">
        <v>2177</v>
      </c>
      <c r="R5181" t="s">
        <v>4201</v>
      </c>
      <c r="S5181" t="s">
        <v>1615</v>
      </c>
      <c r="T5181" t="s">
        <v>301</v>
      </c>
    </row>
    <row r="5182" spans="1:20" x14ac:dyDescent="0.25">
      <c r="A5182">
        <v>9</v>
      </c>
      <c r="B5182">
        <v>199</v>
      </c>
      <c r="C5182" t="str">
        <f>"36"</f>
        <v>36</v>
      </c>
      <c r="D5182">
        <v>6399</v>
      </c>
      <c r="E5182" t="str">
        <f>"09"</f>
        <v>09</v>
      </c>
      <c r="F5182" t="str">
        <f t="shared" si="1117"/>
        <v>001</v>
      </c>
      <c r="G5182">
        <v>9</v>
      </c>
      <c r="H5182" t="str">
        <f t="shared" si="1118"/>
        <v>99</v>
      </c>
      <c r="I5182" t="str">
        <f t="shared" si="1113"/>
        <v>0</v>
      </c>
      <c r="J5182" t="str">
        <f t="shared" si="1119"/>
        <v>01</v>
      </c>
      <c r="K5182">
        <v>20190315</v>
      </c>
      <c r="L5182" t="str">
        <f t="shared" si="1115"/>
        <v>076024</v>
      </c>
      <c r="M5182" t="str">
        <f t="shared" si="1116"/>
        <v>04410</v>
      </c>
      <c r="N5182" t="s">
        <v>410</v>
      </c>
      <c r="O5182">
        <v>49.6</v>
      </c>
      <c r="P5182">
        <v>20190313</v>
      </c>
      <c r="Q5182" t="s">
        <v>2177</v>
      </c>
      <c r="R5182" t="s">
        <v>4202</v>
      </c>
      <c r="S5182" t="s">
        <v>1615</v>
      </c>
      <c r="T5182" t="s">
        <v>301</v>
      </c>
    </row>
    <row r="5183" spans="1:20" x14ac:dyDescent="0.25">
      <c r="A5183">
        <v>9</v>
      </c>
      <c r="B5183">
        <v>199</v>
      </c>
      <c r="C5183" t="str">
        <f>"36"</f>
        <v>36</v>
      </c>
      <c r="D5183">
        <v>6399</v>
      </c>
      <c r="E5183" t="str">
        <f>"09"</f>
        <v>09</v>
      </c>
      <c r="F5183" t="str">
        <f t="shared" si="1117"/>
        <v>001</v>
      </c>
      <c r="G5183">
        <v>9</v>
      </c>
      <c r="H5183" t="str">
        <f t="shared" si="1118"/>
        <v>99</v>
      </c>
      <c r="I5183" t="str">
        <f t="shared" si="1113"/>
        <v>0</v>
      </c>
      <c r="J5183" t="str">
        <f t="shared" si="1119"/>
        <v>01</v>
      </c>
      <c r="K5183">
        <v>20190315</v>
      </c>
      <c r="L5183" t="str">
        <f t="shared" si="1115"/>
        <v>076024</v>
      </c>
      <c r="M5183" t="str">
        <f t="shared" si="1116"/>
        <v>04410</v>
      </c>
      <c r="N5183" t="s">
        <v>410</v>
      </c>
      <c r="O5183">
        <v>15.98</v>
      </c>
      <c r="P5183">
        <v>20190313</v>
      </c>
      <c r="Q5183" t="s">
        <v>2177</v>
      </c>
      <c r="R5183" t="s">
        <v>4203</v>
      </c>
      <c r="S5183" t="s">
        <v>1615</v>
      </c>
      <c r="T5183" t="s">
        <v>301</v>
      </c>
    </row>
    <row r="5184" spans="1:20" x14ac:dyDescent="0.25">
      <c r="A5184">
        <v>9</v>
      </c>
      <c r="B5184">
        <v>199</v>
      </c>
      <c r="C5184" t="str">
        <f>"36"</f>
        <v>36</v>
      </c>
      <c r="D5184">
        <v>6399</v>
      </c>
      <c r="E5184" t="str">
        <f>"09"</f>
        <v>09</v>
      </c>
      <c r="F5184" t="str">
        <f t="shared" si="1117"/>
        <v>001</v>
      </c>
      <c r="G5184">
        <v>9</v>
      </c>
      <c r="H5184" t="str">
        <f t="shared" si="1118"/>
        <v>99</v>
      </c>
      <c r="I5184" t="str">
        <f t="shared" si="1113"/>
        <v>0</v>
      </c>
      <c r="J5184" t="str">
        <f t="shared" si="1119"/>
        <v>01</v>
      </c>
      <c r="K5184">
        <v>20190315</v>
      </c>
      <c r="L5184" t="str">
        <f t="shared" si="1115"/>
        <v>076024</v>
      </c>
      <c r="M5184" t="str">
        <f t="shared" si="1116"/>
        <v>04410</v>
      </c>
      <c r="N5184" t="s">
        <v>410</v>
      </c>
      <c r="O5184">
        <v>360.21</v>
      </c>
      <c r="P5184">
        <v>20190313</v>
      </c>
      <c r="Q5184" t="s">
        <v>2177</v>
      </c>
      <c r="R5184" t="s">
        <v>4204</v>
      </c>
      <c r="S5184" t="s">
        <v>1615</v>
      </c>
      <c r="T5184" t="s">
        <v>301</v>
      </c>
    </row>
    <row r="5185" spans="1:20" x14ac:dyDescent="0.25">
      <c r="A5185">
        <v>9</v>
      </c>
      <c r="B5185">
        <v>199</v>
      </c>
      <c r="C5185" t="str">
        <f>"41"</f>
        <v>41</v>
      </c>
      <c r="D5185">
        <v>6329</v>
      </c>
      <c r="E5185" t="str">
        <f>"10"</f>
        <v>10</v>
      </c>
      <c r="F5185" t="str">
        <f>"701"</f>
        <v>701</v>
      </c>
      <c r="G5185">
        <v>9</v>
      </c>
      <c r="H5185" t="str">
        <f t="shared" si="1118"/>
        <v>99</v>
      </c>
      <c r="I5185" t="str">
        <f t="shared" si="1113"/>
        <v>0</v>
      </c>
      <c r="J5185" t="str">
        <f>"92"</f>
        <v>92</v>
      </c>
      <c r="K5185">
        <v>20190315</v>
      </c>
      <c r="L5185" t="str">
        <f t="shared" si="1115"/>
        <v>076024</v>
      </c>
      <c r="M5185" t="str">
        <f t="shared" si="1116"/>
        <v>04410</v>
      </c>
      <c r="N5185" t="s">
        <v>410</v>
      </c>
      <c r="O5185">
        <v>25</v>
      </c>
      <c r="P5185">
        <v>20190313</v>
      </c>
      <c r="Q5185" t="s">
        <v>2305</v>
      </c>
      <c r="R5185" t="s">
        <v>4205</v>
      </c>
      <c r="S5185" t="s">
        <v>1615</v>
      </c>
      <c r="T5185" t="s">
        <v>1841</v>
      </c>
    </row>
    <row r="5186" spans="1:20" x14ac:dyDescent="0.25">
      <c r="A5186">
        <v>9</v>
      </c>
      <c r="B5186">
        <v>199</v>
      </c>
      <c r="C5186" t="str">
        <f>"00"</f>
        <v>00</v>
      </c>
      <c r="D5186">
        <v>1411</v>
      </c>
      <c r="E5186" t="str">
        <f>"03"</f>
        <v>03</v>
      </c>
      <c r="F5186" t="str">
        <f>"000"</f>
        <v>000</v>
      </c>
      <c r="G5186">
        <v>9</v>
      </c>
      <c r="H5186" t="str">
        <f>"00"</f>
        <v>00</v>
      </c>
      <c r="I5186" t="str">
        <f t="shared" si="1113"/>
        <v>0</v>
      </c>
      <c r="J5186" t="str">
        <f>"00"</f>
        <v>00</v>
      </c>
      <c r="K5186">
        <v>20190315</v>
      </c>
      <c r="L5186" t="str">
        <f>"076025"</f>
        <v>076025</v>
      </c>
      <c r="M5186" t="str">
        <f>"64653"</f>
        <v>64653</v>
      </c>
      <c r="N5186" t="s">
        <v>3496</v>
      </c>
      <c r="O5186" s="1">
        <v>2500</v>
      </c>
      <c r="P5186">
        <v>20190313</v>
      </c>
      <c r="Q5186" t="s">
        <v>4206</v>
      </c>
      <c r="R5186" t="s">
        <v>4207</v>
      </c>
      <c r="S5186" t="s">
        <v>1615</v>
      </c>
      <c r="T5186" t="s">
        <v>296</v>
      </c>
    </row>
    <row r="5187" spans="1:20" x14ac:dyDescent="0.25">
      <c r="A5187">
        <v>9</v>
      </c>
      <c r="B5187">
        <v>199</v>
      </c>
      <c r="C5187" t="str">
        <f>"51"</f>
        <v>51</v>
      </c>
      <c r="D5187">
        <v>6319</v>
      </c>
      <c r="E5187" t="str">
        <f>"M2"</f>
        <v>M2</v>
      </c>
      <c r="F5187" t="str">
        <f>"936"</f>
        <v>936</v>
      </c>
      <c r="G5187">
        <v>9</v>
      </c>
      <c r="H5187" t="str">
        <f>"99"</f>
        <v>99</v>
      </c>
      <c r="I5187" t="str">
        <f t="shared" si="1113"/>
        <v>0</v>
      </c>
      <c r="J5187" t="str">
        <f>"81"</f>
        <v>81</v>
      </c>
      <c r="K5187">
        <v>20190315</v>
      </c>
      <c r="L5187" t="str">
        <f>"076027"</f>
        <v>076027</v>
      </c>
      <c r="M5187" t="str">
        <f>"08133"</f>
        <v>08133</v>
      </c>
      <c r="N5187" t="s">
        <v>4208</v>
      </c>
      <c r="O5187">
        <v>89</v>
      </c>
      <c r="P5187">
        <v>20190313</v>
      </c>
      <c r="Q5187" t="s">
        <v>2074</v>
      </c>
      <c r="R5187" t="s">
        <v>4209</v>
      </c>
      <c r="S5187" t="s">
        <v>1615</v>
      </c>
      <c r="T5187" t="s">
        <v>1713</v>
      </c>
    </row>
    <row r="5188" spans="1:20" x14ac:dyDescent="0.25">
      <c r="A5188">
        <v>9</v>
      </c>
      <c r="B5188">
        <v>199</v>
      </c>
      <c r="C5188" t="str">
        <f t="shared" ref="C5188:C5193" si="1120">"11"</f>
        <v>11</v>
      </c>
      <c r="D5188">
        <v>6399</v>
      </c>
      <c r="E5188" t="str">
        <f>"VA"</f>
        <v>VA</v>
      </c>
      <c r="F5188" t="str">
        <f t="shared" ref="F5188:F5196" si="1121">"001"</f>
        <v>001</v>
      </c>
      <c r="G5188">
        <v>9</v>
      </c>
      <c r="H5188" t="str">
        <f>"22"</f>
        <v>22</v>
      </c>
      <c r="I5188" t="str">
        <f t="shared" si="1113"/>
        <v>0</v>
      </c>
      <c r="J5188" t="str">
        <f>"22"</f>
        <v>22</v>
      </c>
      <c r="K5188">
        <v>20190315</v>
      </c>
      <c r="L5188" t="str">
        <f>"076028"</f>
        <v>076028</v>
      </c>
      <c r="M5188" t="str">
        <f>"08196"</f>
        <v>08196</v>
      </c>
      <c r="N5188" t="s">
        <v>2185</v>
      </c>
      <c r="O5188">
        <v>154.91999999999999</v>
      </c>
      <c r="P5188">
        <v>20190313</v>
      </c>
      <c r="Q5188" t="s">
        <v>2186</v>
      </c>
      <c r="R5188" t="s">
        <v>4210</v>
      </c>
      <c r="S5188" t="s">
        <v>1615</v>
      </c>
      <c r="T5188" t="s">
        <v>301</v>
      </c>
    </row>
    <row r="5189" spans="1:20" x14ac:dyDescent="0.25">
      <c r="A5189">
        <v>9</v>
      </c>
      <c r="B5189">
        <v>199</v>
      </c>
      <c r="C5189" t="str">
        <f t="shared" si="1120"/>
        <v>11</v>
      </c>
      <c r="D5189">
        <v>6399</v>
      </c>
      <c r="E5189" t="str">
        <f>"VA"</f>
        <v>VA</v>
      </c>
      <c r="F5189" t="str">
        <f t="shared" si="1121"/>
        <v>001</v>
      </c>
      <c r="G5189">
        <v>9</v>
      </c>
      <c r="H5189" t="str">
        <f>"22"</f>
        <v>22</v>
      </c>
      <c r="I5189" t="str">
        <f t="shared" si="1113"/>
        <v>0</v>
      </c>
      <c r="J5189" t="str">
        <f>"22"</f>
        <v>22</v>
      </c>
      <c r="K5189">
        <v>20190315</v>
      </c>
      <c r="L5189" t="str">
        <f>"076028"</f>
        <v>076028</v>
      </c>
      <c r="M5189" t="str">
        <f>"08196"</f>
        <v>08196</v>
      </c>
      <c r="N5189" t="s">
        <v>2185</v>
      </c>
      <c r="O5189">
        <v>16.989999999999998</v>
      </c>
      <c r="P5189">
        <v>20190313</v>
      </c>
      <c r="Q5189" t="s">
        <v>2186</v>
      </c>
      <c r="R5189" t="s">
        <v>4211</v>
      </c>
      <c r="S5189" t="s">
        <v>1615</v>
      </c>
      <c r="T5189" t="s">
        <v>301</v>
      </c>
    </row>
    <row r="5190" spans="1:20" x14ac:dyDescent="0.25">
      <c r="A5190">
        <v>9</v>
      </c>
      <c r="B5190">
        <v>199</v>
      </c>
      <c r="C5190" t="str">
        <f t="shared" si="1120"/>
        <v>11</v>
      </c>
      <c r="D5190">
        <v>6399</v>
      </c>
      <c r="E5190" t="str">
        <f>"VA"</f>
        <v>VA</v>
      </c>
      <c r="F5190" t="str">
        <f t="shared" si="1121"/>
        <v>001</v>
      </c>
      <c r="G5190">
        <v>9</v>
      </c>
      <c r="H5190" t="str">
        <f>"22"</f>
        <v>22</v>
      </c>
      <c r="I5190" t="str">
        <f t="shared" si="1113"/>
        <v>0</v>
      </c>
      <c r="J5190" t="str">
        <f>"22"</f>
        <v>22</v>
      </c>
      <c r="K5190">
        <v>20190315</v>
      </c>
      <c r="L5190" t="str">
        <f>"076028"</f>
        <v>076028</v>
      </c>
      <c r="M5190" t="str">
        <f>"08196"</f>
        <v>08196</v>
      </c>
      <c r="N5190" t="s">
        <v>2185</v>
      </c>
      <c r="O5190">
        <v>18.97</v>
      </c>
      <c r="P5190">
        <v>20190313</v>
      </c>
      <c r="Q5190" t="s">
        <v>2186</v>
      </c>
      <c r="R5190" t="s">
        <v>4212</v>
      </c>
      <c r="S5190" t="s">
        <v>1615</v>
      </c>
      <c r="T5190" t="s">
        <v>301</v>
      </c>
    </row>
    <row r="5191" spans="1:20" x14ac:dyDescent="0.25">
      <c r="A5191">
        <v>9</v>
      </c>
      <c r="B5191">
        <v>199</v>
      </c>
      <c r="C5191" t="str">
        <f t="shared" si="1120"/>
        <v>11</v>
      </c>
      <c r="D5191">
        <v>6399</v>
      </c>
      <c r="E5191" t="str">
        <f>"VA"</f>
        <v>VA</v>
      </c>
      <c r="F5191" t="str">
        <f t="shared" si="1121"/>
        <v>001</v>
      </c>
      <c r="G5191">
        <v>9</v>
      </c>
      <c r="H5191" t="str">
        <f>"22"</f>
        <v>22</v>
      </c>
      <c r="I5191" t="str">
        <f t="shared" si="1113"/>
        <v>0</v>
      </c>
      <c r="J5191" t="str">
        <f>"22"</f>
        <v>22</v>
      </c>
      <c r="K5191">
        <v>20190315</v>
      </c>
      <c r="L5191" t="str">
        <f>"076028"</f>
        <v>076028</v>
      </c>
      <c r="M5191" t="str">
        <f>"08196"</f>
        <v>08196</v>
      </c>
      <c r="N5191" t="s">
        <v>2185</v>
      </c>
      <c r="O5191">
        <v>120.99</v>
      </c>
      <c r="P5191">
        <v>20190313</v>
      </c>
      <c r="Q5191" t="s">
        <v>2186</v>
      </c>
      <c r="R5191" t="s">
        <v>4213</v>
      </c>
      <c r="S5191" t="s">
        <v>1615</v>
      </c>
      <c r="T5191" t="s">
        <v>301</v>
      </c>
    </row>
    <row r="5192" spans="1:20" x14ac:dyDescent="0.25">
      <c r="A5192">
        <v>9</v>
      </c>
      <c r="B5192">
        <v>199</v>
      </c>
      <c r="C5192" t="str">
        <f t="shared" si="1120"/>
        <v>11</v>
      </c>
      <c r="D5192">
        <v>6499</v>
      </c>
      <c r="E5192" t="str">
        <f>"7Q"</f>
        <v>7Q</v>
      </c>
      <c r="F5192" t="str">
        <f t="shared" si="1121"/>
        <v>001</v>
      </c>
      <c r="G5192">
        <v>9</v>
      </c>
      <c r="H5192" t="str">
        <f>"11"</f>
        <v>11</v>
      </c>
      <c r="I5192" t="str">
        <f t="shared" si="1113"/>
        <v>0</v>
      </c>
      <c r="J5192" t="str">
        <f>"01"</f>
        <v>01</v>
      </c>
      <c r="K5192">
        <v>20190315</v>
      </c>
      <c r="L5192" t="str">
        <f>"076029"</f>
        <v>076029</v>
      </c>
      <c r="M5192" t="str">
        <f>"09009"</f>
        <v>09009</v>
      </c>
      <c r="N5192" t="s">
        <v>4214</v>
      </c>
      <c r="O5192" s="1">
        <v>1774.53</v>
      </c>
      <c r="P5192">
        <v>20190313</v>
      </c>
      <c r="Q5192" t="s">
        <v>4215</v>
      </c>
      <c r="R5192" t="s">
        <v>4216</v>
      </c>
      <c r="S5192" t="s">
        <v>1615</v>
      </c>
      <c r="T5192" t="s">
        <v>301</v>
      </c>
    </row>
    <row r="5193" spans="1:20" x14ac:dyDescent="0.25">
      <c r="A5193">
        <v>9</v>
      </c>
      <c r="B5193">
        <v>199</v>
      </c>
      <c r="C5193" t="str">
        <f t="shared" si="1120"/>
        <v>11</v>
      </c>
      <c r="D5193">
        <v>6412</v>
      </c>
      <c r="E5193" t="str">
        <f>"TA"</f>
        <v>TA</v>
      </c>
      <c r="F5193" t="str">
        <f t="shared" si="1121"/>
        <v>001</v>
      </c>
      <c r="G5193">
        <v>9</v>
      </c>
      <c r="H5193" t="str">
        <f>"31"</f>
        <v>31</v>
      </c>
      <c r="I5193" t="str">
        <f t="shared" si="1113"/>
        <v>0</v>
      </c>
      <c r="J5193" t="str">
        <f>"34"</f>
        <v>34</v>
      </c>
      <c r="K5193">
        <v>20190315</v>
      </c>
      <c r="L5193" t="str">
        <f>"076031"</f>
        <v>076031</v>
      </c>
      <c r="M5193" t="str">
        <f>"09210"</f>
        <v>09210</v>
      </c>
      <c r="N5193" t="s">
        <v>1010</v>
      </c>
      <c r="O5193" s="1">
        <v>1000</v>
      </c>
      <c r="P5193">
        <v>20190313</v>
      </c>
      <c r="Q5193" t="s">
        <v>3895</v>
      </c>
      <c r="R5193" t="s">
        <v>3896</v>
      </c>
      <c r="S5193" t="s">
        <v>1615</v>
      </c>
      <c r="T5193" t="s">
        <v>301</v>
      </c>
    </row>
    <row r="5194" spans="1:20" x14ac:dyDescent="0.25">
      <c r="A5194">
        <v>9</v>
      </c>
      <c r="B5194">
        <v>199</v>
      </c>
      <c r="C5194" t="str">
        <f>"36"</f>
        <v>36</v>
      </c>
      <c r="D5194">
        <v>6499</v>
      </c>
      <c r="E5194" t="str">
        <f>"7C"</f>
        <v>7C</v>
      </c>
      <c r="F5194" t="str">
        <f t="shared" si="1121"/>
        <v>001</v>
      </c>
      <c r="G5194">
        <v>9</v>
      </c>
      <c r="H5194" t="str">
        <f>"99"</f>
        <v>99</v>
      </c>
      <c r="I5194" t="str">
        <f t="shared" si="1113"/>
        <v>0</v>
      </c>
      <c r="J5194" t="str">
        <f>"01"</f>
        <v>01</v>
      </c>
      <c r="K5194">
        <v>20190315</v>
      </c>
      <c r="L5194" t="str">
        <f>"076032"</f>
        <v>076032</v>
      </c>
      <c r="M5194" t="str">
        <f>"10085"</f>
        <v>10085</v>
      </c>
      <c r="N5194" t="s">
        <v>4217</v>
      </c>
      <c r="O5194">
        <v>669.37</v>
      </c>
      <c r="P5194">
        <v>20190313</v>
      </c>
      <c r="Q5194" t="s">
        <v>3396</v>
      </c>
      <c r="R5194" t="s">
        <v>4218</v>
      </c>
      <c r="S5194" t="s">
        <v>1615</v>
      </c>
      <c r="T5194" t="s">
        <v>301</v>
      </c>
    </row>
    <row r="5195" spans="1:20" x14ac:dyDescent="0.25">
      <c r="A5195">
        <v>9</v>
      </c>
      <c r="B5195">
        <v>199</v>
      </c>
      <c r="C5195" t="str">
        <f>"36"</f>
        <v>36</v>
      </c>
      <c r="D5195">
        <v>6412</v>
      </c>
      <c r="E5195" t="str">
        <f>"VJ"</f>
        <v>VJ</v>
      </c>
      <c r="F5195" t="str">
        <f t="shared" si="1121"/>
        <v>001</v>
      </c>
      <c r="G5195">
        <v>9</v>
      </c>
      <c r="H5195" t="str">
        <f>"22"</f>
        <v>22</v>
      </c>
      <c r="I5195" t="str">
        <f>"1"</f>
        <v>1</v>
      </c>
      <c r="J5195" t="str">
        <f>"22"</f>
        <v>22</v>
      </c>
      <c r="K5195">
        <v>20190315</v>
      </c>
      <c r="L5195" t="str">
        <f>"076035"</f>
        <v>076035</v>
      </c>
      <c r="M5195" t="str">
        <f>"00613"</f>
        <v>00613</v>
      </c>
      <c r="N5195" t="s">
        <v>2568</v>
      </c>
      <c r="O5195">
        <v>360</v>
      </c>
      <c r="P5195">
        <v>20190313</v>
      </c>
      <c r="Q5195" t="s">
        <v>3950</v>
      </c>
      <c r="R5195" t="s">
        <v>3948</v>
      </c>
      <c r="S5195" t="s">
        <v>1615</v>
      </c>
      <c r="T5195" t="s">
        <v>301</v>
      </c>
    </row>
    <row r="5196" spans="1:20" x14ac:dyDescent="0.25">
      <c r="A5196">
        <v>9</v>
      </c>
      <c r="B5196">
        <v>199</v>
      </c>
      <c r="C5196" t="str">
        <f>"36"</f>
        <v>36</v>
      </c>
      <c r="D5196">
        <v>6412</v>
      </c>
      <c r="E5196" t="str">
        <f>"VJ"</f>
        <v>VJ</v>
      </c>
      <c r="F5196" t="str">
        <f t="shared" si="1121"/>
        <v>001</v>
      </c>
      <c r="G5196">
        <v>9</v>
      </c>
      <c r="H5196" t="str">
        <f>"22"</f>
        <v>22</v>
      </c>
      <c r="I5196" t="str">
        <f>"5"</f>
        <v>5</v>
      </c>
      <c r="J5196" t="str">
        <f>"74"</f>
        <v>74</v>
      </c>
      <c r="K5196">
        <v>20190315</v>
      </c>
      <c r="L5196" t="str">
        <f>"076035"</f>
        <v>076035</v>
      </c>
      <c r="M5196" t="str">
        <f>"00613"</f>
        <v>00613</v>
      </c>
      <c r="N5196" t="s">
        <v>2568</v>
      </c>
      <c r="O5196">
        <v>150</v>
      </c>
      <c r="P5196">
        <v>20190313</v>
      </c>
      <c r="Q5196" t="s">
        <v>3951</v>
      </c>
      <c r="R5196" t="s">
        <v>3948</v>
      </c>
      <c r="S5196" t="s">
        <v>1615</v>
      </c>
      <c r="T5196" t="s">
        <v>301</v>
      </c>
    </row>
    <row r="5197" spans="1:20" x14ac:dyDescent="0.25">
      <c r="A5197">
        <v>9</v>
      </c>
      <c r="B5197">
        <v>199</v>
      </c>
      <c r="C5197" t="str">
        <f>"41"</f>
        <v>41</v>
      </c>
      <c r="D5197">
        <v>6211</v>
      </c>
      <c r="E5197" t="str">
        <f>"01"</f>
        <v>01</v>
      </c>
      <c r="F5197" t="str">
        <f>"702"</f>
        <v>702</v>
      </c>
      <c r="G5197">
        <v>9</v>
      </c>
      <c r="H5197" t="str">
        <f t="shared" ref="H5197:H5209" si="1122">"99"</f>
        <v>99</v>
      </c>
      <c r="I5197" t="str">
        <f t="shared" ref="I5197:I5240" si="1123">"0"</f>
        <v>0</v>
      </c>
      <c r="J5197" t="str">
        <f>"93"</f>
        <v>93</v>
      </c>
      <c r="K5197">
        <v>20190315</v>
      </c>
      <c r="L5197" t="str">
        <f>"076036"</f>
        <v>076036</v>
      </c>
      <c r="M5197" t="str">
        <f>"13281"</f>
        <v>13281</v>
      </c>
      <c r="N5197" t="s">
        <v>1684</v>
      </c>
      <c r="O5197" s="1">
        <v>3208.33</v>
      </c>
      <c r="P5197">
        <v>20190313</v>
      </c>
      <c r="Q5197" t="s">
        <v>1685</v>
      </c>
      <c r="R5197" t="s">
        <v>4219</v>
      </c>
      <c r="S5197" t="s">
        <v>1615</v>
      </c>
      <c r="T5197" t="s">
        <v>1611</v>
      </c>
    </row>
    <row r="5198" spans="1:20" x14ac:dyDescent="0.25">
      <c r="A5198">
        <v>9</v>
      </c>
      <c r="B5198">
        <v>199</v>
      </c>
      <c r="C5198" t="str">
        <f>"41"</f>
        <v>41</v>
      </c>
      <c r="D5198">
        <v>6399</v>
      </c>
      <c r="E5198" t="str">
        <f>"10"</f>
        <v>10</v>
      </c>
      <c r="F5198" t="str">
        <f>"720"</f>
        <v>720</v>
      </c>
      <c r="G5198">
        <v>9</v>
      </c>
      <c r="H5198" t="str">
        <f t="shared" si="1122"/>
        <v>99</v>
      </c>
      <c r="I5198" t="str">
        <f t="shared" si="1123"/>
        <v>0</v>
      </c>
      <c r="J5198" t="str">
        <f>"91"</f>
        <v>91</v>
      </c>
      <c r="K5198">
        <v>20190315</v>
      </c>
      <c r="L5198" t="str">
        <f>"076056"</f>
        <v>076056</v>
      </c>
      <c r="M5198" t="str">
        <f>"00726"</f>
        <v>00726</v>
      </c>
      <c r="N5198" t="s">
        <v>4220</v>
      </c>
      <c r="O5198">
        <v>234.14</v>
      </c>
      <c r="P5198">
        <v>20190313</v>
      </c>
      <c r="Q5198" t="s">
        <v>2132</v>
      </c>
      <c r="R5198" t="s">
        <v>4221</v>
      </c>
      <c r="S5198" t="s">
        <v>1615</v>
      </c>
      <c r="T5198" t="s">
        <v>2045</v>
      </c>
    </row>
    <row r="5199" spans="1:20" x14ac:dyDescent="0.25">
      <c r="A5199">
        <v>9</v>
      </c>
      <c r="B5199">
        <v>199</v>
      </c>
      <c r="C5199" t="str">
        <f>"34"</f>
        <v>34</v>
      </c>
      <c r="D5199">
        <v>6411</v>
      </c>
      <c r="E5199" t="str">
        <f>"10"</f>
        <v>10</v>
      </c>
      <c r="F5199" t="str">
        <f>"937"</f>
        <v>937</v>
      </c>
      <c r="G5199">
        <v>9</v>
      </c>
      <c r="H5199" t="str">
        <f t="shared" si="1122"/>
        <v>99</v>
      </c>
      <c r="I5199" t="str">
        <f t="shared" si="1123"/>
        <v>0</v>
      </c>
      <c r="J5199" t="str">
        <f>"82"</f>
        <v>82</v>
      </c>
      <c r="K5199">
        <v>20190315</v>
      </c>
      <c r="L5199" t="str">
        <f>"076057"</f>
        <v>076057</v>
      </c>
      <c r="M5199" t="str">
        <f>"27900"</f>
        <v>27900</v>
      </c>
      <c r="N5199" t="s">
        <v>1490</v>
      </c>
      <c r="O5199">
        <v>60</v>
      </c>
      <c r="P5199">
        <v>20190313</v>
      </c>
      <c r="Q5199" t="s">
        <v>2604</v>
      </c>
      <c r="R5199" t="s">
        <v>4222</v>
      </c>
      <c r="S5199" t="s">
        <v>1615</v>
      </c>
      <c r="T5199" t="s">
        <v>1810</v>
      </c>
    </row>
    <row r="5200" spans="1:20" x14ac:dyDescent="0.25">
      <c r="A5200">
        <v>9</v>
      </c>
      <c r="B5200">
        <v>199</v>
      </c>
      <c r="C5200" t="str">
        <f>"36"</f>
        <v>36</v>
      </c>
      <c r="D5200">
        <v>6399</v>
      </c>
      <c r="E5200" t="str">
        <f>"09"</f>
        <v>09</v>
      </c>
      <c r="F5200" t="str">
        <f>"041"</f>
        <v>041</v>
      </c>
      <c r="G5200">
        <v>9</v>
      </c>
      <c r="H5200" t="str">
        <f t="shared" si="1122"/>
        <v>99</v>
      </c>
      <c r="I5200" t="str">
        <f t="shared" si="1123"/>
        <v>0</v>
      </c>
      <c r="J5200" t="str">
        <f>"03"</f>
        <v>03</v>
      </c>
      <c r="K5200">
        <v>20190315</v>
      </c>
      <c r="L5200" t="str">
        <f>"076060"</f>
        <v>076060</v>
      </c>
      <c r="M5200" t="str">
        <f>"28733"</f>
        <v>28733</v>
      </c>
      <c r="N5200" t="s">
        <v>2223</v>
      </c>
      <c r="O5200">
        <v>604.48</v>
      </c>
      <c r="P5200">
        <v>20190313</v>
      </c>
      <c r="Q5200" t="s">
        <v>3867</v>
      </c>
      <c r="R5200" t="s">
        <v>4223</v>
      </c>
      <c r="S5200" t="s">
        <v>1615</v>
      </c>
      <c r="T5200" t="s">
        <v>106</v>
      </c>
    </row>
    <row r="5201" spans="1:20" x14ac:dyDescent="0.25">
      <c r="A5201">
        <v>9</v>
      </c>
      <c r="B5201">
        <v>199</v>
      </c>
      <c r="C5201" t="str">
        <f>"41"</f>
        <v>41</v>
      </c>
      <c r="D5201">
        <v>6499</v>
      </c>
      <c r="E5201" t="str">
        <f>"12"</f>
        <v>12</v>
      </c>
      <c r="F5201" t="str">
        <f>"720"</f>
        <v>720</v>
      </c>
      <c r="G5201">
        <v>9</v>
      </c>
      <c r="H5201" t="str">
        <f t="shared" si="1122"/>
        <v>99</v>
      </c>
      <c r="I5201" t="str">
        <f t="shared" si="1123"/>
        <v>0</v>
      </c>
      <c r="J5201" t="str">
        <f>"91"</f>
        <v>91</v>
      </c>
      <c r="K5201">
        <v>20190315</v>
      </c>
      <c r="L5201" t="str">
        <f>"076061"</f>
        <v>076061</v>
      </c>
      <c r="M5201" t="str">
        <f>"28820"</f>
        <v>28820</v>
      </c>
      <c r="N5201" t="s">
        <v>2224</v>
      </c>
      <c r="O5201">
        <v>44.1</v>
      </c>
      <c r="P5201">
        <v>20190313</v>
      </c>
      <c r="Q5201" t="s">
        <v>2225</v>
      </c>
      <c r="R5201" t="s">
        <v>2227</v>
      </c>
      <c r="S5201" t="s">
        <v>1615</v>
      </c>
      <c r="T5201" t="s">
        <v>2045</v>
      </c>
    </row>
    <row r="5202" spans="1:20" x14ac:dyDescent="0.25">
      <c r="A5202">
        <v>9</v>
      </c>
      <c r="B5202">
        <v>199</v>
      </c>
      <c r="C5202" t="str">
        <f t="shared" ref="C5202:C5209" si="1124">"51"</f>
        <v>51</v>
      </c>
      <c r="D5202">
        <v>6319</v>
      </c>
      <c r="E5202" t="str">
        <f t="shared" ref="E5202:E5209" si="1125">"MC"</f>
        <v>MC</v>
      </c>
      <c r="F5202" t="str">
        <f t="shared" ref="F5202:F5209" si="1126">"936"</f>
        <v>936</v>
      </c>
      <c r="G5202">
        <v>9</v>
      </c>
      <c r="H5202" t="str">
        <f t="shared" si="1122"/>
        <v>99</v>
      </c>
      <c r="I5202" t="str">
        <f t="shared" si="1123"/>
        <v>0</v>
      </c>
      <c r="J5202" t="str">
        <f t="shared" ref="J5202:J5209" si="1127">"81"</f>
        <v>81</v>
      </c>
      <c r="K5202">
        <v>20190315</v>
      </c>
      <c r="L5202" t="str">
        <f>"076062"</f>
        <v>076062</v>
      </c>
      <c r="M5202" t="str">
        <f>"29500"</f>
        <v>29500</v>
      </c>
      <c r="N5202" t="s">
        <v>2059</v>
      </c>
      <c r="O5202">
        <v>457</v>
      </c>
      <c r="P5202">
        <v>20190313</v>
      </c>
      <c r="Q5202" t="s">
        <v>2060</v>
      </c>
      <c r="R5202" t="s">
        <v>2188</v>
      </c>
      <c r="S5202" t="s">
        <v>1615</v>
      </c>
      <c r="T5202" t="s">
        <v>1713</v>
      </c>
    </row>
    <row r="5203" spans="1:20" x14ac:dyDescent="0.25">
      <c r="A5203">
        <v>9</v>
      </c>
      <c r="B5203">
        <v>199</v>
      </c>
      <c r="C5203" t="str">
        <f t="shared" si="1124"/>
        <v>51</v>
      </c>
      <c r="D5203">
        <v>6319</v>
      </c>
      <c r="E5203" t="str">
        <f t="shared" si="1125"/>
        <v>MC</v>
      </c>
      <c r="F5203" t="str">
        <f t="shared" si="1126"/>
        <v>936</v>
      </c>
      <c r="G5203">
        <v>9</v>
      </c>
      <c r="H5203" t="str">
        <f t="shared" si="1122"/>
        <v>99</v>
      </c>
      <c r="I5203" t="str">
        <f t="shared" si="1123"/>
        <v>0</v>
      </c>
      <c r="J5203" t="str">
        <f t="shared" si="1127"/>
        <v>81</v>
      </c>
      <c r="K5203">
        <v>20190315</v>
      </c>
      <c r="L5203" t="str">
        <f>"076062"</f>
        <v>076062</v>
      </c>
      <c r="M5203" t="str">
        <f>"29500"</f>
        <v>29500</v>
      </c>
      <c r="N5203" t="s">
        <v>2059</v>
      </c>
      <c r="O5203">
        <v>384</v>
      </c>
      <c r="P5203">
        <v>20190313</v>
      </c>
      <c r="Q5203" t="s">
        <v>2060</v>
      </c>
      <c r="R5203" t="s">
        <v>4224</v>
      </c>
      <c r="S5203" t="s">
        <v>1615</v>
      </c>
      <c r="T5203" t="s">
        <v>1713</v>
      </c>
    </row>
    <row r="5204" spans="1:20" x14ac:dyDescent="0.25">
      <c r="A5204">
        <v>9</v>
      </c>
      <c r="B5204">
        <v>199</v>
      </c>
      <c r="C5204" t="str">
        <f t="shared" si="1124"/>
        <v>51</v>
      </c>
      <c r="D5204">
        <v>6319</v>
      </c>
      <c r="E5204" t="str">
        <f t="shared" si="1125"/>
        <v>MC</v>
      </c>
      <c r="F5204" t="str">
        <f t="shared" si="1126"/>
        <v>936</v>
      </c>
      <c r="G5204">
        <v>9</v>
      </c>
      <c r="H5204" t="str">
        <f t="shared" si="1122"/>
        <v>99</v>
      </c>
      <c r="I5204" t="str">
        <f t="shared" si="1123"/>
        <v>0</v>
      </c>
      <c r="J5204" t="str">
        <f t="shared" si="1127"/>
        <v>81</v>
      </c>
      <c r="K5204">
        <v>20190315</v>
      </c>
      <c r="L5204" t="str">
        <f>"076062"</f>
        <v>076062</v>
      </c>
      <c r="M5204" t="str">
        <f>"29500"</f>
        <v>29500</v>
      </c>
      <c r="N5204" t="s">
        <v>2059</v>
      </c>
      <c r="O5204">
        <v>735.6</v>
      </c>
      <c r="P5204">
        <v>20190313</v>
      </c>
      <c r="Q5204" t="s">
        <v>2060</v>
      </c>
      <c r="R5204" t="s">
        <v>2747</v>
      </c>
      <c r="S5204" t="s">
        <v>1615</v>
      </c>
      <c r="T5204" t="s">
        <v>1713</v>
      </c>
    </row>
    <row r="5205" spans="1:20" x14ac:dyDescent="0.25">
      <c r="A5205">
        <v>9</v>
      </c>
      <c r="B5205">
        <v>199</v>
      </c>
      <c r="C5205" t="str">
        <f t="shared" si="1124"/>
        <v>51</v>
      </c>
      <c r="D5205">
        <v>6319</v>
      </c>
      <c r="E5205" t="str">
        <f t="shared" si="1125"/>
        <v>MC</v>
      </c>
      <c r="F5205" t="str">
        <f t="shared" si="1126"/>
        <v>936</v>
      </c>
      <c r="G5205">
        <v>9</v>
      </c>
      <c r="H5205" t="str">
        <f t="shared" si="1122"/>
        <v>99</v>
      </c>
      <c r="I5205" t="str">
        <f t="shared" si="1123"/>
        <v>0</v>
      </c>
      <c r="J5205" t="str">
        <f t="shared" si="1127"/>
        <v>81</v>
      </c>
      <c r="K5205">
        <v>20190315</v>
      </c>
      <c r="L5205" t="str">
        <f>"076062"</f>
        <v>076062</v>
      </c>
      <c r="M5205" t="str">
        <f>"29500"</f>
        <v>29500</v>
      </c>
      <c r="N5205" t="s">
        <v>2059</v>
      </c>
      <c r="O5205">
        <v>92</v>
      </c>
      <c r="P5205">
        <v>20190314</v>
      </c>
      <c r="Q5205" t="s">
        <v>2060</v>
      </c>
      <c r="R5205" t="s">
        <v>4225</v>
      </c>
      <c r="S5205" t="s">
        <v>1615</v>
      </c>
      <c r="T5205" t="s">
        <v>1713</v>
      </c>
    </row>
    <row r="5206" spans="1:20" x14ac:dyDescent="0.25">
      <c r="A5206">
        <v>9</v>
      </c>
      <c r="B5206">
        <v>199</v>
      </c>
      <c r="C5206" t="str">
        <f t="shared" si="1124"/>
        <v>51</v>
      </c>
      <c r="D5206">
        <v>6319</v>
      </c>
      <c r="E5206" t="str">
        <f t="shared" si="1125"/>
        <v>MC</v>
      </c>
      <c r="F5206" t="str">
        <f t="shared" si="1126"/>
        <v>936</v>
      </c>
      <c r="G5206">
        <v>9</v>
      </c>
      <c r="H5206" t="str">
        <f t="shared" si="1122"/>
        <v>99</v>
      </c>
      <c r="I5206" t="str">
        <f t="shared" si="1123"/>
        <v>0</v>
      </c>
      <c r="J5206" t="str">
        <f t="shared" si="1127"/>
        <v>81</v>
      </c>
      <c r="K5206">
        <v>20190315</v>
      </c>
      <c r="L5206" t="str">
        <f>"076062"</f>
        <v>076062</v>
      </c>
      <c r="M5206" t="str">
        <f>"29500"</f>
        <v>29500</v>
      </c>
      <c r="N5206" t="s">
        <v>2059</v>
      </c>
      <c r="O5206">
        <v>185</v>
      </c>
      <c r="P5206">
        <v>20190314</v>
      </c>
      <c r="Q5206" t="s">
        <v>2060</v>
      </c>
      <c r="R5206" t="s">
        <v>4226</v>
      </c>
      <c r="S5206" t="s">
        <v>1615</v>
      </c>
      <c r="T5206" t="s">
        <v>1713</v>
      </c>
    </row>
    <row r="5207" spans="1:20" x14ac:dyDescent="0.25">
      <c r="A5207">
        <v>9</v>
      </c>
      <c r="B5207">
        <v>199</v>
      </c>
      <c r="C5207" t="str">
        <f t="shared" si="1124"/>
        <v>51</v>
      </c>
      <c r="D5207">
        <v>6319</v>
      </c>
      <c r="E5207" t="str">
        <f t="shared" si="1125"/>
        <v>MC</v>
      </c>
      <c r="F5207" t="str">
        <f t="shared" si="1126"/>
        <v>936</v>
      </c>
      <c r="G5207">
        <v>9</v>
      </c>
      <c r="H5207" t="str">
        <f t="shared" si="1122"/>
        <v>99</v>
      </c>
      <c r="I5207" t="str">
        <f t="shared" si="1123"/>
        <v>0</v>
      </c>
      <c r="J5207" t="str">
        <f t="shared" si="1127"/>
        <v>81</v>
      </c>
      <c r="K5207">
        <v>20190315</v>
      </c>
      <c r="L5207" t="str">
        <f>"076063"</f>
        <v>076063</v>
      </c>
      <c r="M5207" t="str">
        <f>"29609"</f>
        <v>29609</v>
      </c>
      <c r="N5207" t="s">
        <v>2491</v>
      </c>
      <c r="O5207">
        <v>152.6</v>
      </c>
      <c r="P5207">
        <v>20190313</v>
      </c>
      <c r="Q5207" t="s">
        <v>2060</v>
      </c>
      <c r="R5207" t="s">
        <v>2188</v>
      </c>
      <c r="S5207" t="s">
        <v>1615</v>
      </c>
      <c r="T5207" t="s">
        <v>1713</v>
      </c>
    </row>
    <row r="5208" spans="1:20" x14ac:dyDescent="0.25">
      <c r="A5208">
        <v>9</v>
      </c>
      <c r="B5208">
        <v>199</v>
      </c>
      <c r="C5208" t="str">
        <f t="shared" si="1124"/>
        <v>51</v>
      </c>
      <c r="D5208">
        <v>6319</v>
      </c>
      <c r="E5208" t="str">
        <f t="shared" si="1125"/>
        <v>MC</v>
      </c>
      <c r="F5208" t="str">
        <f t="shared" si="1126"/>
        <v>936</v>
      </c>
      <c r="G5208">
        <v>9</v>
      </c>
      <c r="H5208" t="str">
        <f t="shared" si="1122"/>
        <v>99</v>
      </c>
      <c r="I5208" t="str">
        <f t="shared" si="1123"/>
        <v>0</v>
      </c>
      <c r="J5208" t="str">
        <f t="shared" si="1127"/>
        <v>81</v>
      </c>
      <c r="K5208">
        <v>20190315</v>
      </c>
      <c r="L5208" t="str">
        <f>"076063"</f>
        <v>076063</v>
      </c>
      <c r="M5208" t="str">
        <f>"29609"</f>
        <v>29609</v>
      </c>
      <c r="N5208" t="s">
        <v>2491</v>
      </c>
      <c r="O5208">
        <v>6.16</v>
      </c>
      <c r="P5208">
        <v>20190313</v>
      </c>
      <c r="Q5208" t="s">
        <v>2060</v>
      </c>
      <c r="R5208" t="s">
        <v>4227</v>
      </c>
      <c r="S5208" t="s">
        <v>1615</v>
      </c>
      <c r="T5208" t="s">
        <v>1713</v>
      </c>
    </row>
    <row r="5209" spans="1:20" x14ac:dyDescent="0.25">
      <c r="A5209">
        <v>9</v>
      </c>
      <c r="B5209">
        <v>199</v>
      </c>
      <c r="C5209" t="str">
        <f t="shared" si="1124"/>
        <v>51</v>
      </c>
      <c r="D5209">
        <v>6319</v>
      </c>
      <c r="E5209" t="str">
        <f t="shared" si="1125"/>
        <v>MC</v>
      </c>
      <c r="F5209" t="str">
        <f t="shared" si="1126"/>
        <v>936</v>
      </c>
      <c r="G5209">
        <v>9</v>
      </c>
      <c r="H5209" t="str">
        <f t="shared" si="1122"/>
        <v>99</v>
      </c>
      <c r="I5209" t="str">
        <f t="shared" si="1123"/>
        <v>0</v>
      </c>
      <c r="J5209" t="str">
        <f t="shared" si="1127"/>
        <v>81</v>
      </c>
      <c r="K5209">
        <v>20190315</v>
      </c>
      <c r="L5209" t="str">
        <f>"076063"</f>
        <v>076063</v>
      </c>
      <c r="M5209" t="str">
        <f>"29609"</f>
        <v>29609</v>
      </c>
      <c r="N5209" t="s">
        <v>2491</v>
      </c>
      <c r="O5209">
        <v>53.48</v>
      </c>
      <c r="P5209">
        <v>20190313</v>
      </c>
      <c r="Q5209" t="s">
        <v>2060</v>
      </c>
      <c r="R5209" t="s">
        <v>4228</v>
      </c>
      <c r="S5209" t="s">
        <v>1615</v>
      </c>
      <c r="T5209" t="s">
        <v>1713</v>
      </c>
    </row>
    <row r="5210" spans="1:20" x14ac:dyDescent="0.25">
      <c r="A5210">
        <v>9</v>
      </c>
      <c r="B5210">
        <v>199</v>
      </c>
      <c r="C5210" t="str">
        <f>"00"</f>
        <v>00</v>
      </c>
      <c r="D5210">
        <v>1312</v>
      </c>
      <c r="E5210" t="str">
        <f>"00"</f>
        <v>00</v>
      </c>
      <c r="F5210" t="str">
        <f>"000"</f>
        <v>000</v>
      </c>
      <c r="G5210">
        <v>9</v>
      </c>
      <c r="H5210" t="str">
        <f>"00"</f>
        <v>00</v>
      </c>
      <c r="I5210" t="str">
        <f t="shared" si="1123"/>
        <v>0</v>
      </c>
      <c r="J5210" t="str">
        <f>"00"</f>
        <v>00</v>
      </c>
      <c r="K5210">
        <v>20190315</v>
      </c>
      <c r="L5210" t="str">
        <f>"076064"</f>
        <v>076064</v>
      </c>
      <c r="M5210" t="str">
        <f>"29628"</f>
        <v>29628</v>
      </c>
      <c r="N5210" t="s">
        <v>2071</v>
      </c>
      <c r="O5210">
        <v>209.98</v>
      </c>
      <c r="P5210">
        <v>20190313</v>
      </c>
      <c r="Q5210" t="s">
        <v>1860</v>
      </c>
      <c r="R5210" t="s">
        <v>4229</v>
      </c>
      <c r="S5210" t="s">
        <v>1615</v>
      </c>
      <c r="T5210" t="s">
        <v>296</v>
      </c>
    </row>
    <row r="5211" spans="1:20" x14ac:dyDescent="0.25">
      <c r="A5211">
        <v>9</v>
      </c>
      <c r="B5211">
        <v>199</v>
      </c>
      <c r="C5211" t="str">
        <f>"34"</f>
        <v>34</v>
      </c>
      <c r="D5211">
        <v>6249</v>
      </c>
      <c r="E5211" t="str">
        <f>"10"</f>
        <v>10</v>
      </c>
      <c r="F5211" t="str">
        <f>"937"</f>
        <v>937</v>
      </c>
      <c r="G5211">
        <v>9</v>
      </c>
      <c r="H5211" t="str">
        <f>"99"</f>
        <v>99</v>
      </c>
      <c r="I5211" t="str">
        <f t="shared" si="1123"/>
        <v>0</v>
      </c>
      <c r="J5211" t="str">
        <f>"82"</f>
        <v>82</v>
      </c>
      <c r="K5211">
        <v>20190315</v>
      </c>
      <c r="L5211" t="str">
        <f>"076065"</f>
        <v>076065</v>
      </c>
      <c r="M5211" t="str">
        <f>"30130"</f>
        <v>30130</v>
      </c>
      <c r="N5211" t="s">
        <v>3025</v>
      </c>
      <c r="O5211">
        <v>947.25</v>
      </c>
      <c r="P5211">
        <v>20190313</v>
      </c>
      <c r="Q5211" t="s">
        <v>2036</v>
      </c>
      <c r="R5211" t="s">
        <v>4230</v>
      </c>
      <c r="S5211" t="s">
        <v>1615</v>
      </c>
      <c r="T5211" t="s">
        <v>1810</v>
      </c>
    </row>
    <row r="5212" spans="1:20" x14ac:dyDescent="0.25">
      <c r="A5212">
        <v>9</v>
      </c>
      <c r="B5212">
        <v>199</v>
      </c>
      <c r="C5212" t="str">
        <f>"34"</f>
        <v>34</v>
      </c>
      <c r="D5212">
        <v>6249</v>
      </c>
      <c r="E5212" t="str">
        <f>"10"</f>
        <v>10</v>
      </c>
      <c r="F5212" t="str">
        <f>"937"</f>
        <v>937</v>
      </c>
      <c r="G5212">
        <v>9</v>
      </c>
      <c r="H5212" t="str">
        <f>"99"</f>
        <v>99</v>
      </c>
      <c r="I5212" t="str">
        <f t="shared" si="1123"/>
        <v>0</v>
      </c>
      <c r="J5212" t="str">
        <f>"82"</f>
        <v>82</v>
      </c>
      <c r="K5212">
        <v>20190315</v>
      </c>
      <c r="L5212" t="str">
        <f>"076065"</f>
        <v>076065</v>
      </c>
      <c r="M5212" t="str">
        <f>"30130"</f>
        <v>30130</v>
      </c>
      <c r="N5212" t="s">
        <v>3025</v>
      </c>
      <c r="O5212">
        <v>444.93</v>
      </c>
      <c r="P5212">
        <v>20190313</v>
      </c>
      <c r="Q5212" t="s">
        <v>2036</v>
      </c>
      <c r="R5212" t="s">
        <v>4231</v>
      </c>
      <c r="S5212" t="s">
        <v>1615</v>
      </c>
      <c r="T5212" t="s">
        <v>1810</v>
      </c>
    </row>
    <row r="5213" spans="1:20" x14ac:dyDescent="0.25">
      <c r="A5213">
        <v>9</v>
      </c>
      <c r="B5213">
        <v>199</v>
      </c>
      <c r="C5213" t="str">
        <f>"34"</f>
        <v>34</v>
      </c>
      <c r="D5213">
        <v>6249</v>
      </c>
      <c r="E5213" t="str">
        <f>"10"</f>
        <v>10</v>
      </c>
      <c r="F5213" t="str">
        <f>"937"</f>
        <v>937</v>
      </c>
      <c r="G5213">
        <v>9</v>
      </c>
      <c r="H5213" t="str">
        <f>"99"</f>
        <v>99</v>
      </c>
      <c r="I5213" t="str">
        <f t="shared" si="1123"/>
        <v>0</v>
      </c>
      <c r="J5213" t="str">
        <f>"82"</f>
        <v>82</v>
      </c>
      <c r="K5213">
        <v>20190315</v>
      </c>
      <c r="L5213" t="str">
        <f>"076065"</f>
        <v>076065</v>
      </c>
      <c r="M5213" t="str">
        <f>"30130"</f>
        <v>30130</v>
      </c>
      <c r="N5213" t="s">
        <v>3025</v>
      </c>
      <c r="O5213">
        <v>434.29</v>
      </c>
      <c r="P5213">
        <v>20190313</v>
      </c>
      <c r="Q5213" t="s">
        <v>2036</v>
      </c>
      <c r="R5213" t="s">
        <v>4232</v>
      </c>
      <c r="S5213" t="s">
        <v>1615</v>
      </c>
      <c r="T5213" t="s">
        <v>1810</v>
      </c>
    </row>
    <row r="5214" spans="1:20" x14ac:dyDescent="0.25">
      <c r="A5214">
        <v>9</v>
      </c>
      <c r="B5214">
        <v>199</v>
      </c>
      <c r="C5214" t="str">
        <f>"34"</f>
        <v>34</v>
      </c>
      <c r="D5214">
        <v>6249</v>
      </c>
      <c r="E5214" t="str">
        <f>"10"</f>
        <v>10</v>
      </c>
      <c r="F5214" t="str">
        <f>"937"</f>
        <v>937</v>
      </c>
      <c r="G5214">
        <v>9</v>
      </c>
      <c r="H5214" t="str">
        <f>"99"</f>
        <v>99</v>
      </c>
      <c r="I5214" t="str">
        <f t="shared" si="1123"/>
        <v>0</v>
      </c>
      <c r="J5214" t="str">
        <f>"82"</f>
        <v>82</v>
      </c>
      <c r="K5214">
        <v>20190315</v>
      </c>
      <c r="L5214" t="str">
        <f>"076065"</f>
        <v>076065</v>
      </c>
      <c r="M5214" t="str">
        <f>"30130"</f>
        <v>30130</v>
      </c>
      <c r="N5214" t="s">
        <v>3025</v>
      </c>
      <c r="O5214">
        <v>502.21</v>
      </c>
      <c r="P5214">
        <v>20190313</v>
      </c>
      <c r="Q5214" t="s">
        <v>2036</v>
      </c>
      <c r="R5214" t="s">
        <v>4233</v>
      </c>
      <c r="S5214" t="s">
        <v>1615</v>
      </c>
      <c r="T5214" t="s">
        <v>1810</v>
      </c>
    </row>
    <row r="5215" spans="1:20" x14ac:dyDescent="0.25">
      <c r="A5215">
        <v>9</v>
      </c>
      <c r="B5215">
        <v>199</v>
      </c>
      <c r="C5215" t="str">
        <f>"11"</f>
        <v>11</v>
      </c>
      <c r="D5215">
        <v>6412</v>
      </c>
      <c r="E5215" t="str">
        <f>"V8"</f>
        <v>V8</v>
      </c>
      <c r="F5215" t="str">
        <f>"001"</f>
        <v>001</v>
      </c>
      <c r="G5215">
        <v>9</v>
      </c>
      <c r="H5215" t="str">
        <f>"22"</f>
        <v>22</v>
      </c>
      <c r="I5215" t="str">
        <f t="shared" si="1123"/>
        <v>0</v>
      </c>
      <c r="J5215" t="str">
        <f>"22"</f>
        <v>22</v>
      </c>
      <c r="K5215">
        <v>20190315</v>
      </c>
      <c r="L5215" t="str">
        <f t="shared" ref="L5215:L5220" si="1128">"076070"</f>
        <v>076070</v>
      </c>
      <c r="M5215" t="str">
        <f t="shared" ref="M5215:M5220" si="1129">"30744"</f>
        <v>30744</v>
      </c>
      <c r="N5215" t="s">
        <v>422</v>
      </c>
      <c r="O5215">
        <v>14.04</v>
      </c>
      <c r="P5215">
        <v>20190313</v>
      </c>
      <c r="Q5215" t="s">
        <v>1884</v>
      </c>
      <c r="R5215" t="s">
        <v>3652</v>
      </c>
      <c r="S5215" t="s">
        <v>1615</v>
      </c>
      <c r="T5215" t="s">
        <v>301</v>
      </c>
    </row>
    <row r="5216" spans="1:20" x14ac:dyDescent="0.25">
      <c r="A5216">
        <v>9</v>
      </c>
      <c r="B5216">
        <v>199</v>
      </c>
      <c r="C5216" t="str">
        <f>"11"</f>
        <v>11</v>
      </c>
      <c r="D5216">
        <v>6412</v>
      </c>
      <c r="E5216" t="str">
        <f>"V8"</f>
        <v>V8</v>
      </c>
      <c r="F5216" t="str">
        <f>"001"</f>
        <v>001</v>
      </c>
      <c r="G5216">
        <v>9</v>
      </c>
      <c r="H5216" t="str">
        <f>"22"</f>
        <v>22</v>
      </c>
      <c r="I5216" t="str">
        <f t="shared" si="1123"/>
        <v>0</v>
      </c>
      <c r="J5216" t="str">
        <f>"22"</f>
        <v>22</v>
      </c>
      <c r="K5216">
        <v>20190315</v>
      </c>
      <c r="L5216" t="str">
        <f t="shared" si="1128"/>
        <v>076070</v>
      </c>
      <c r="M5216" t="str">
        <f t="shared" si="1129"/>
        <v>30744</v>
      </c>
      <c r="N5216" t="s">
        <v>422</v>
      </c>
      <c r="O5216">
        <v>48.58</v>
      </c>
      <c r="P5216">
        <v>20190313</v>
      </c>
      <c r="Q5216" t="s">
        <v>1884</v>
      </c>
      <c r="R5216" t="s">
        <v>3580</v>
      </c>
      <c r="S5216" t="s">
        <v>1615</v>
      </c>
      <c r="T5216" t="s">
        <v>301</v>
      </c>
    </row>
    <row r="5217" spans="1:20" x14ac:dyDescent="0.25">
      <c r="A5217">
        <v>9</v>
      </c>
      <c r="B5217">
        <v>199</v>
      </c>
      <c r="C5217" t="str">
        <f>"11"</f>
        <v>11</v>
      </c>
      <c r="D5217">
        <v>6412</v>
      </c>
      <c r="E5217" t="str">
        <f>"V8"</f>
        <v>V8</v>
      </c>
      <c r="F5217" t="str">
        <f>"001"</f>
        <v>001</v>
      </c>
      <c r="G5217">
        <v>9</v>
      </c>
      <c r="H5217" t="str">
        <f>"22"</f>
        <v>22</v>
      </c>
      <c r="I5217" t="str">
        <f t="shared" si="1123"/>
        <v>0</v>
      </c>
      <c r="J5217" t="str">
        <f>"22"</f>
        <v>22</v>
      </c>
      <c r="K5217">
        <v>20190315</v>
      </c>
      <c r="L5217" t="str">
        <f t="shared" si="1128"/>
        <v>076070</v>
      </c>
      <c r="M5217" t="str">
        <f t="shared" si="1129"/>
        <v>30744</v>
      </c>
      <c r="N5217" t="s">
        <v>422</v>
      </c>
      <c r="O5217">
        <v>28.37</v>
      </c>
      <c r="P5217">
        <v>20190313</v>
      </c>
      <c r="Q5217" t="s">
        <v>1884</v>
      </c>
      <c r="R5217" t="s">
        <v>3580</v>
      </c>
      <c r="S5217" t="s">
        <v>1615</v>
      </c>
      <c r="T5217" t="s">
        <v>301</v>
      </c>
    </row>
    <row r="5218" spans="1:20" x14ac:dyDescent="0.25">
      <c r="A5218">
        <v>9</v>
      </c>
      <c r="B5218">
        <v>199</v>
      </c>
      <c r="C5218" t="str">
        <f>"11"</f>
        <v>11</v>
      </c>
      <c r="D5218">
        <v>6412</v>
      </c>
      <c r="E5218" t="str">
        <f>"V8"</f>
        <v>V8</v>
      </c>
      <c r="F5218" t="str">
        <f>"001"</f>
        <v>001</v>
      </c>
      <c r="G5218">
        <v>9</v>
      </c>
      <c r="H5218" t="str">
        <f>"22"</f>
        <v>22</v>
      </c>
      <c r="I5218" t="str">
        <f t="shared" si="1123"/>
        <v>0</v>
      </c>
      <c r="J5218" t="str">
        <f>"22"</f>
        <v>22</v>
      </c>
      <c r="K5218">
        <v>20190315</v>
      </c>
      <c r="L5218" t="str">
        <f t="shared" si="1128"/>
        <v>076070</v>
      </c>
      <c r="M5218" t="str">
        <f t="shared" si="1129"/>
        <v>30744</v>
      </c>
      <c r="N5218" t="s">
        <v>422</v>
      </c>
      <c r="O5218">
        <v>47.23</v>
      </c>
      <c r="P5218">
        <v>20190313</v>
      </c>
      <c r="Q5218" t="s">
        <v>1884</v>
      </c>
      <c r="R5218" t="s">
        <v>3580</v>
      </c>
      <c r="S5218" t="s">
        <v>1615</v>
      </c>
      <c r="T5218" t="s">
        <v>301</v>
      </c>
    </row>
    <row r="5219" spans="1:20" x14ac:dyDescent="0.25">
      <c r="A5219">
        <v>9</v>
      </c>
      <c r="B5219">
        <v>199</v>
      </c>
      <c r="C5219" t="str">
        <f>"11"</f>
        <v>11</v>
      </c>
      <c r="D5219">
        <v>6412</v>
      </c>
      <c r="E5219" t="str">
        <f>"V8"</f>
        <v>V8</v>
      </c>
      <c r="F5219" t="str">
        <f>"001"</f>
        <v>001</v>
      </c>
      <c r="G5219">
        <v>9</v>
      </c>
      <c r="H5219" t="str">
        <f>"22"</f>
        <v>22</v>
      </c>
      <c r="I5219" t="str">
        <f t="shared" si="1123"/>
        <v>0</v>
      </c>
      <c r="J5219" t="str">
        <f>"22"</f>
        <v>22</v>
      </c>
      <c r="K5219">
        <v>20190315</v>
      </c>
      <c r="L5219" t="str">
        <f t="shared" si="1128"/>
        <v>076070</v>
      </c>
      <c r="M5219" t="str">
        <f t="shared" si="1129"/>
        <v>30744</v>
      </c>
      <c r="N5219" t="s">
        <v>422</v>
      </c>
      <c r="O5219">
        <v>46.32</v>
      </c>
      <c r="P5219">
        <v>20190313</v>
      </c>
      <c r="Q5219" t="s">
        <v>1884</v>
      </c>
      <c r="R5219" t="s">
        <v>3580</v>
      </c>
      <c r="S5219" t="s">
        <v>1615</v>
      </c>
      <c r="T5219" t="s">
        <v>301</v>
      </c>
    </row>
    <row r="5220" spans="1:20" x14ac:dyDescent="0.25">
      <c r="A5220">
        <v>9</v>
      </c>
      <c r="B5220">
        <v>199</v>
      </c>
      <c r="C5220" t="str">
        <f>"34"</f>
        <v>34</v>
      </c>
      <c r="D5220">
        <v>6311</v>
      </c>
      <c r="E5220" t="str">
        <f t="shared" ref="E5220:E5225" si="1130">"10"</f>
        <v>10</v>
      </c>
      <c r="F5220" t="str">
        <f>"937"</f>
        <v>937</v>
      </c>
      <c r="G5220">
        <v>9</v>
      </c>
      <c r="H5220" t="str">
        <f>"99"</f>
        <v>99</v>
      </c>
      <c r="I5220" t="str">
        <f t="shared" si="1123"/>
        <v>0</v>
      </c>
      <c r="J5220" t="str">
        <f>"82"</f>
        <v>82</v>
      </c>
      <c r="K5220">
        <v>20190315</v>
      </c>
      <c r="L5220" t="str">
        <f t="shared" si="1128"/>
        <v>076070</v>
      </c>
      <c r="M5220" t="str">
        <f t="shared" si="1129"/>
        <v>30744</v>
      </c>
      <c r="N5220" t="s">
        <v>422</v>
      </c>
      <c r="O5220">
        <v>70.709999999999994</v>
      </c>
      <c r="P5220">
        <v>20190313</v>
      </c>
      <c r="Q5220" t="s">
        <v>1914</v>
      </c>
      <c r="R5220" t="s">
        <v>3747</v>
      </c>
      <c r="S5220" t="s">
        <v>1615</v>
      </c>
      <c r="T5220" t="s">
        <v>1810</v>
      </c>
    </row>
    <row r="5221" spans="1:20" x14ac:dyDescent="0.25">
      <c r="A5221">
        <v>9</v>
      </c>
      <c r="B5221">
        <v>199</v>
      </c>
      <c r="C5221" t="str">
        <f>"11"</f>
        <v>11</v>
      </c>
      <c r="D5221">
        <v>6649</v>
      </c>
      <c r="E5221" t="str">
        <f t="shared" si="1130"/>
        <v>10</v>
      </c>
      <c r="F5221" t="str">
        <f>"001"</f>
        <v>001</v>
      </c>
      <c r="G5221">
        <v>9</v>
      </c>
      <c r="H5221" t="str">
        <f>"11"</f>
        <v>11</v>
      </c>
      <c r="I5221" t="str">
        <f t="shared" si="1123"/>
        <v>0</v>
      </c>
      <c r="J5221" t="str">
        <f>"80"</f>
        <v>80</v>
      </c>
      <c r="K5221">
        <v>20190315</v>
      </c>
      <c r="L5221" t="str">
        <f>"076072"</f>
        <v>076072</v>
      </c>
      <c r="M5221" t="str">
        <f>"00736"</f>
        <v>00736</v>
      </c>
      <c r="N5221" t="s">
        <v>4234</v>
      </c>
      <c r="O5221">
        <v>378.17</v>
      </c>
      <c r="P5221">
        <v>20190314</v>
      </c>
      <c r="Q5221" t="s">
        <v>4235</v>
      </c>
      <c r="R5221" t="s">
        <v>4236</v>
      </c>
      <c r="S5221" t="s">
        <v>1615</v>
      </c>
      <c r="T5221" t="s">
        <v>301</v>
      </c>
    </row>
    <row r="5222" spans="1:20" x14ac:dyDescent="0.25">
      <c r="A5222">
        <v>9</v>
      </c>
      <c r="B5222">
        <v>199</v>
      </c>
      <c r="C5222" t="str">
        <f>"11"</f>
        <v>11</v>
      </c>
      <c r="D5222">
        <v>6649</v>
      </c>
      <c r="E5222" t="str">
        <f t="shared" si="1130"/>
        <v>10</v>
      </c>
      <c r="F5222" t="str">
        <f>"041"</f>
        <v>041</v>
      </c>
      <c r="G5222">
        <v>9</v>
      </c>
      <c r="H5222" t="str">
        <f>"11"</f>
        <v>11</v>
      </c>
      <c r="I5222" t="str">
        <f t="shared" si="1123"/>
        <v>0</v>
      </c>
      <c r="J5222" t="str">
        <f>"80"</f>
        <v>80</v>
      </c>
      <c r="K5222">
        <v>20190315</v>
      </c>
      <c r="L5222" t="str">
        <f>"076072"</f>
        <v>076072</v>
      </c>
      <c r="M5222" t="str">
        <f>"00736"</f>
        <v>00736</v>
      </c>
      <c r="N5222" t="s">
        <v>4234</v>
      </c>
      <c r="O5222">
        <v>378.17</v>
      </c>
      <c r="P5222">
        <v>20190314</v>
      </c>
      <c r="Q5222" t="s">
        <v>4237</v>
      </c>
      <c r="R5222" t="s">
        <v>4236</v>
      </c>
      <c r="S5222" t="s">
        <v>1615</v>
      </c>
      <c r="T5222" t="s">
        <v>106</v>
      </c>
    </row>
    <row r="5223" spans="1:20" x14ac:dyDescent="0.25">
      <c r="A5223">
        <v>9</v>
      </c>
      <c r="B5223">
        <v>199</v>
      </c>
      <c r="C5223" t="str">
        <f>"11"</f>
        <v>11</v>
      </c>
      <c r="D5223">
        <v>6649</v>
      </c>
      <c r="E5223" t="str">
        <f t="shared" si="1130"/>
        <v>10</v>
      </c>
      <c r="F5223" t="str">
        <f>"101"</f>
        <v>101</v>
      </c>
      <c r="G5223">
        <v>9</v>
      </c>
      <c r="H5223" t="str">
        <f>"11"</f>
        <v>11</v>
      </c>
      <c r="I5223" t="str">
        <f t="shared" si="1123"/>
        <v>0</v>
      </c>
      <c r="J5223" t="str">
        <f>"80"</f>
        <v>80</v>
      </c>
      <c r="K5223">
        <v>20190315</v>
      </c>
      <c r="L5223" t="str">
        <f>"076072"</f>
        <v>076072</v>
      </c>
      <c r="M5223" t="str">
        <f>"00736"</f>
        <v>00736</v>
      </c>
      <c r="N5223" t="s">
        <v>4234</v>
      </c>
      <c r="O5223">
        <v>378.18</v>
      </c>
      <c r="P5223">
        <v>20190314</v>
      </c>
      <c r="Q5223" t="s">
        <v>4238</v>
      </c>
      <c r="R5223" t="s">
        <v>4236</v>
      </c>
      <c r="S5223" t="s">
        <v>1615</v>
      </c>
      <c r="T5223" t="s">
        <v>1479</v>
      </c>
    </row>
    <row r="5224" spans="1:20" x14ac:dyDescent="0.25">
      <c r="A5224">
        <v>9</v>
      </c>
      <c r="B5224">
        <v>199</v>
      </c>
      <c r="C5224" t="str">
        <f>"11"</f>
        <v>11</v>
      </c>
      <c r="D5224">
        <v>6649</v>
      </c>
      <c r="E5224" t="str">
        <f t="shared" si="1130"/>
        <v>10</v>
      </c>
      <c r="F5224" t="str">
        <f>"104"</f>
        <v>104</v>
      </c>
      <c r="G5224">
        <v>9</v>
      </c>
      <c r="H5224" t="str">
        <f>"11"</f>
        <v>11</v>
      </c>
      <c r="I5224" t="str">
        <f t="shared" si="1123"/>
        <v>0</v>
      </c>
      <c r="J5224" t="str">
        <f>"80"</f>
        <v>80</v>
      </c>
      <c r="K5224">
        <v>20190315</v>
      </c>
      <c r="L5224" t="str">
        <f>"076072"</f>
        <v>076072</v>
      </c>
      <c r="M5224" t="str">
        <f>"00736"</f>
        <v>00736</v>
      </c>
      <c r="N5224" t="s">
        <v>4234</v>
      </c>
      <c r="O5224">
        <v>378.18</v>
      </c>
      <c r="P5224">
        <v>20190314</v>
      </c>
      <c r="Q5224" t="s">
        <v>4239</v>
      </c>
      <c r="R5224" t="s">
        <v>4236</v>
      </c>
      <c r="S5224" t="s">
        <v>1615</v>
      </c>
      <c r="T5224" t="s">
        <v>46</v>
      </c>
    </row>
    <row r="5225" spans="1:20" x14ac:dyDescent="0.25">
      <c r="A5225">
        <v>9</v>
      </c>
      <c r="B5225">
        <v>199</v>
      </c>
      <c r="C5225" t="str">
        <f>"34"</f>
        <v>34</v>
      </c>
      <c r="D5225">
        <v>6249</v>
      </c>
      <c r="E5225" t="str">
        <f t="shared" si="1130"/>
        <v>10</v>
      </c>
      <c r="F5225" t="str">
        <f>"937"</f>
        <v>937</v>
      </c>
      <c r="G5225">
        <v>9</v>
      </c>
      <c r="H5225" t="str">
        <f>"99"</f>
        <v>99</v>
      </c>
      <c r="I5225" t="str">
        <f t="shared" si="1123"/>
        <v>0</v>
      </c>
      <c r="J5225" t="str">
        <f>"82"</f>
        <v>82</v>
      </c>
      <c r="K5225">
        <v>20190315</v>
      </c>
      <c r="L5225" t="str">
        <f>"076074"</f>
        <v>076074</v>
      </c>
      <c r="M5225" t="str">
        <f>"34888"</f>
        <v>34888</v>
      </c>
      <c r="N5225" t="s">
        <v>4240</v>
      </c>
      <c r="O5225">
        <v>265.76</v>
      </c>
      <c r="P5225">
        <v>20190314</v>
      </c>
      <c r="Q5225" t="s">
        <v>2036</v>
      </c>
      <c r="R5225" t="s">
        <v>4241</v>
      </c>
      <c r="S5225" t="s">
        <v>1615</v>
      </c>
      <c r="T5225" t="s">
        <v>1810</v>
      </c>
    </row>
    <row r="5226" spans="1:20" x14ac:dyDescent="0.25">
      <c r="A5226">
        <v>9</v>
      </c>
      <c r="B5226">
        <v>199</v>
      </c>
      <c r="C5226" t="str">
        <f t="shared" ref="C5226:C5231" si="1131">"11"</f>
        <v>11</v>
      </c>
      <c r="D5226">
        <v>6411</v>
      </c>
      <c r="E5226" t="str">
        <f>"V8"</f>
        <v>V8</v>
      </c>
      <c r="F5226" t="str">
        <f>"001"</f>
        <v>001</v>
      </c>
      <c r="G5226">
        <v>9</v>
      </c>
      <c r="H5226" t="str">
        <f t="shared" ref="H5226:H5231" si="1132">"22"</f>
        <v>22</v>
      </c>
      <c r="I5226" t="str">
        <f t="shared" si="1123"/>
        <v>0</v>
      </c>
      <c r="J5226" t="str">
        <f t="shared" ref="J5226:J5231" si="1133">"22"</f>
        <v>22</v>
      </c>
      <c r="K5226">
        <v>20190315</v>
      </c>
      <c r="L5226" t="str">
        <f>"076075"</f>
        <v>076075</v>
      </c>
      <c r="M5226" t="str">
        <f>"34956"</f>
        <v>34956</v>
      </c>
      <c r="N5226" t="s">
        <v>3651</v>
      </c>
      <c r="O5226">
        <v>50</v>
      </c>
      <c r="P5226">
        <v>20190314</v>
      </c>
      <c r="Q5226" t="s">
        <v>3579</v>
      </c>
      <c r="R5226" t="s">
        <v>4242</v>
      </c>
      <c r="S5226" t="s">
        <v>1615</v>
      </c>
      <c r="T5226" t="s">
        <v>301</v>
      </c>
    </row>
    <row r="5227" spans="1:20" x14ac:dyDescent="0.25">
      <c r="A5227">
        <v>9</v>
      </c>
      <c r="B5227">
        <v>199</v>
      </c>
      <c r="C5227" t="str">
        <f t="shared" si="1131"/>
        <v>11</v>
      </c>
      <c r="D5227">
        <v>6412</v>
      </c>
      <c r="E5227" t="str">
        <f>"V8"</f>
        <v>V8</v>
      </c>
      <c r="F5227" t="str">
        <f>"001"</f>
        <v>001</v>
      </c>
      <c r="G5227">
        <v>9</v>
      </c>
      <c r="H5227" t="str">
        <f t="shared" si="1132"/>
        <v>22</v>
      </c>
      <c r="I5227" t="str">
        <f t="shared" si="1123"/>
        <v>0</v>
      </c>
      <c r="J5227" t="str">
        <f t="shared" si="1133"/>
        <v>22</v>
      </c>
      <c r="K5227">
        <v>20190315</v>
      </c>
      <c r="L5227" t="str">
        <f>"076075"</f>
        <v>076075</v>
      </c>
      <c r="M5227" t="str">
        <f>"34956"</f>
        <v>34956</v>
      </c>
      <c r="N5227" t="s">
        <v>3651</v>
      </c>
      <c r="O5227">
        <v>300</v>
      </c>
      <c r="P5227">
        <v>20190314</v>
      </c>
      <c r="Q5227" t="s">
        <v>1884</v>
      </c>
      <c r="R5227" t="s">
        <v>4242</v>
      </c>
      <c r="S5227" t="s">
        <v>1615</v>
      </c>
      <c r="T5227" t="s">
        <v>301</v>
      </c>
    </row>
    <row r="5228" spans="1:20" x14ac:dyDescent="0.25">
      <c r="A5228">
        <v>9</v>
      </c>
      <c r="B5228">
        <v>199</v>
      </c>
      <c r="C5228" t="str">
        <f t="shared" si="1131"/>
        <v>11</v>
      </c>
      <c r="D5228">
        <v>6412</v>
      </c>
      <c r="E5228" t="str">
        <f>"V8"</f>
        <v>V8</v>
      </c>
      <c r="F5228" t="str">
        <f>"001"</f>
        <v>001</v>
      </c>
      <c r="G5228">
        <v>9</v>
      </c>
      <c r="H5228" t="str">
        <f t="shared" si="1132"/>
        <v>22</v>
      </c>
      <c r="I5228" t="str">
        <f t="shared" si="1123"/>
        <v>0</v>
      </c>
      <c r="J5228" t="str">
        <f t="shared" si="1133"/>
        <v>22</v>
      </c>
      <c r="K5228">
        <v>20190315</v>
      </c>
      <c r="L5228" t="str">
        <f>"076075"</f>
        <v>076075</v>
      </c>
      <c r="M5228" t="str">
        <f>"34956"</f>
        <v>34956</v>
      </c>
      <c r="N5228" t="s">
        <v>3651</v>
      </c>
      <c r="O5228">
        <v>15</v>
      </c>
      <c r="P5228">
        <v>20190314</v>
      </c>
      <c r="Q5228" t="s">
        <v>1884</v>
      </c>
      <c r="R5228" t="s">
        <v>4242</v>
      </c>
      <c r="S5228" t="s">
        <v>1615</v>
      </c>
      <c r="T5228" t="s">
        <v>301</v>
      </c>
    </row>
    <row r="5229" spans="1:20" x14ac:dyDescent="0.25">
      <c r="A5229">
        <v>9</v>
      </c>
      <c r="B5229">
        <v>199</v>
      </c>
      <c r="C5229" t="str">
        <f t="shared" si="1131"/>
        <v>11</v>
      </c>
      <c r="D5229">
        <v>6399</v>
      </c>
      <c r="E5229" t="str">
        <f>"V8"</f>
        <v>V8</v>
      </c>
      <c r="F5229" t="str">
        <f>"001"</f>
        <v>001</v>
      </c>
      <c r="G5229">
        <v>9</v>
      </c>
      <c r="H5229" t="str">
        <f t="shared" si="1132"/>
        <v>22</v>
      </c>
      <c r="I5229" t="str">
        <f t="shared" si="1123"/>
        <v>0</v>
      </c>
      <c r="J5229" t="str">
        <f t="shared" si="1133"/>
        <v>22</v>
      </c>
      <c r="K5229">
        <v>20190315</v>
      </c>
      <c r="L5229" t="str">
        <f>"076076"</f>
        <v>076076</v>
      </c>
      <c r="M5229" t="str">
        <f>"37500"</f>
        <v>37500</v>
      </c>
      <c r="N5229" t="s">
        <v>2077</v>
      </c>
      <c r="O5229">
        <v>269.20999999999998</v>
      </c>
      <c r="P5229">
        <v>20190314</v>
      </c>
      <c r="Q5229" t="s">
        <v>2001</v>
      </c>
      <c r="R5229" t="s">
        <v>4243</v>
      </c>
      <c r="S5229" t="s">
        <v>1615</v>
      </c>
      <c r="T5229" t="s">
        <v>301</v>
      </c>
    </row>
    <row r="5230" spans="1:20" x14ac:dyDescent="0.25">
      <c r="A5230">
        <v>9</v>
      </c>
      <c r="B5230">
        <v>199</v>
      </c>
      <c r="C5230" t="str">
        <f t="shared" si="1131"/>
        <v>11</v>
      </c>
      <c r="D5230">
        <v>6399</v>
      </c>
      <c r="E5230" t="str">
        <f>"V8"</f>
        <v>V8</v>
      </c>
      <c r="F5230" t="str">
        <f>"001"</f>
        <v>001</v>
      </c>
      <c r="G5230">
        <v>9</v>
      </c>
      <c r="H5230" t="str">
        <f t="shared" si="1132"/>
        <v>22</v>
      </c>
      <c r="I5230" t="str">
        <f t="shared" si="1123"/>
        <v>0</v>
      </c>
      <c r="J5230" t="str">
        <f t="shared" si="1133"/>
        <v>22</v>
      </c>
      <c r="K5230">
        <v>20190315</v>
      </c>
      <c r="L5230" t="str">
        <f>"076076"</f>
        <v>076076</v>
      </c>
      <c r="M5230" t="str">
        <f>"37500"</f>
        <v>37500</v>
      </c>
      <c r="N5230" t="s">
        <v>2077</v>
      </c>
      <c r="O5230">
        <v>65.03</v>
      </c>
      <c r="P5230">
        <v>20190314</v>
      </c>
      <c r="Q5230" t="s">
        <v>2001</v>
      </c>
      <c r="R5230" t="s">
        <v>4243</v>
      </c>
      <c r="S5230" t="s">
        <v>1615</v>
      </c>
      <c r="T5230" t="s">
        <v>301</v>
      </c>
    </row>
    <row r="5231" spans="1:20" x14ac:dyDescent="0.25">
      <c r="A5231">
        <v>9</v>
      </c>
      <c r="B5231">
        <v>199</v>
      </c>
      <c r="C5231" t="str">
        <f t="shared" si="1131"/>
        <v>11</v>
      </c>
      <c r="D5231">
        <v>6399</v>
      </c>
      <c r="E5231" t="str">
        <f>"VH"</f>
        <v>VH</v>
      </c>
      <c r="F5231" t="str">
        <f>"002"</f>
        <v>002</v>
      </c>
      <c r="G5231">
        <v>9</v>
      </c>
      <c r="H5231" t="str">
        <f t="shared" si="1132"/>
        <v>22</v>
      </c>
      <c r="I5231" t="str">
        <f t="shared" si="1123"/>
        <v>0</v>
      </c>
      <c r="J5231" t="str">
        <f t="shared" si="1133"/>
        <v>22</v>
      </c>
      <c r="K5231">
        <v>20190315</v>
      </c>
      <c r="L5231" t="str">
        <f>"076076"</f>
        <v>076076</v>
      </c>
      <c r="M5231" t="str">
        <f>"37500"</f>
        <v>37500</v>
      </c>
      <c r="N5231" t="s">
        <v>2077</v>
      </c>
      <c r="O5231">
        <v>115.49</v>
      </c>
      <c r="P5231">
        <v>20190314</v>
      </c>
      <c r="Q5231" t="s">
        <v>1912</v>
      </c>
      <c r="R5231" t="s">
        <v>2636</v>
      </c>
      <c r="S5231" t="s">
        <v>1615</v>
      </c>
      <c r="T5231" t="s">
        <v>1485</v>
      </c>
    </row>
    <row r="5232" spans="1:20" x14ac:dyDescent="0.25">
      <c r="A5232">
        <v>9</v>
      </c>
      <c r="B5232">
        <v>199</v>
      </c>
      <c r="C5232" t="str">
        <f>"36"</f>
        <v>36</v>
      </c>
      <c r="D5232">
        <v>6412</v>
      </c>
      <c r="E5232" t="str">
        <f>"09"</f>
        <v>09</v>
      </c>
      <c r="F5232" t="str">
        <f>"101"</f>
        <v>101</v>
      </c>
      <c r="G5232">
        <v>9</v>
      </c>
      <c r="H5232" t="str">
        <f t="shared" ref="H5232:H5240" si="1134">"99"</f>
        <v>99</v>
      </c>
      <c r="I5232" t="str">
        <f t="shared" si="1123"/>
        <v>0</v>
      </c>
      <c r="J5232" t="str">
        <f>"04"</f>
        <v>04</v>
      </c>
      <c r="K5232">
        <v>20190315</v>
      </c>
      <c r="L5232" t="str">
        <f>"076076"</f>
        <v>076076</v>
      </c>
      <c r="M5232" t="str">
        <f>"37500"</f>
        <v>37500</v>
      </c>
      <c r="N5232" t="s">
        <v>2077</v>
      </c>
      <c r="O5232">
        <v>70.540000000000006</v>
      </c>
      <c r="P5232">
        <v>20190314</v>
      </c>
      <c r="Q5232" t="s">
        <v>4001</v>
      </c>
      <c r="R5232" t="s">
        <v>3827</v>
      </c>
      <c r="S5232" t="s">
        <v>1615</v>
      </c>
      <c r="T5232" t="s">
        <v>1479</v>
      </c>
    </row>
    <row r="5233" spans="1:20" x14ac:dyDescent="0.25">
      <c r="A5233">
        <v>9</v>
      </c>
      <c r="B5233">
        <v>199</v>
      </c>
      <c r="C5233" t="str">
        <f>"36"</f>
        <v>36</v>
      </c>
      <c r="D5233">
        <v>6412</v>
      </c>
      <c r="E5233" t="str">
        <f>"MT"</f>
        <v>MT</v>
      </c>
      <c r="F5233" t="str">
        <f>"001"</f>
        <v>001</v>
      </c>
      <c r="G5233">
        <v>9</v>
      </c>
      <c r="H5233" t="str">
        <f t="shared" si="1134"/>
        <v>99</v>
      </c>
      <c r="I5233" t="str">
        <f t="shared" si="1123"/>
        <v>0</v>
      </c>
      <c r="J5233" t="str">
        <f>"01"</f>
        <v>01</v>
      </c>
      <c r="K5233">
        <v>20190315</v>
      </c>
      <c r="L5233" t="str">
        <f>"076076"</f>
        <v>076076</v>
      </c>
      <c r="M5233" t="str">
        <f>"37500"</f>
        <v>37500</v>
      </c>
      <c r="N5233" t="s">
        <v>2077</v>
      </c>
      <c r="O5233">
        <v>106.69</v>
      </c>
      <c r="P5233">
        <v>20190314</v>
      </c>
      <c r="Q5233" t="s">
        <v>3068</v>
      </c>
      <c r="R5233" t="s">
        <v>3069</v>
      </c>
      <c r="S5233" t="s">
        <v>1615</v>
      </c>
      <c r="T5233" t="s">
        <v>301</v>
      </c>
    </row>
    <row r="5234" spans="1:20" x14ac:dyDescent="0.25">
      <c r="A5234">
        <v>9</v>
      </c>
      <c r="B5234">
        <v>199</v>
      </c>
      <c r="C5234" t="str">
        <f>"41"</f>
        <v>41</v>
      </c>
      <c r="D5234">
        <v>6411</v>
      </c>
      <c r="E5234" t="str">
        <f>"LK"</f>
        <v>LK</v>
      </c>
      <c r="F5234" t="str">
        <f>"933"</f>
        <v>933</v>
      </c>
      <c r="G5234">
        <v>9</v>
      </c>
      <c r="H5234" t="str">
        <f t="shared" si="1134"/>
        <v>99</v>
      </c>
      <c r="I5234" t="str">
        <f t="shared" si="1123"/>
        <v>0</v>
      </c>
      <c r="J5234" t="str">
        <f>"85"</f>
        <v>85</v>
      </c>
      <c r="K5234">
        <v>20190315</v>
      </c>
      <c r="L5234" t="str">
        <f>"076079"</f>
        <v>076079</v>
      </c>
      <c r="M5234" t="str">
        <f>"00041"</f>
        <v>00041</v>
      </c>
      <c r="N5234" t="s">
        <v>2766</v>
      </c>
      <c r="O5234">
        <v>153.55000000000001</v>
      </c>
      <c r="P5234">
        <v>20190314</v>
      </c>
      <c r="Q5234" t="s">
        <v>2767</v>
      </c>
      <c r="R5234" t="s">
        <v>4244</v>
      </c>
      <c r="S5234" t="s">
        <v>1615</v>
      </c>
      <c r="T5234" t="s">
        <v>1643</v>
      </c>
    </row>
    <row r="5235" spans="1:20" x14ac:dyDescent="0.25">
      <c r="A5235">
        <v>9</v>
      </c>
      <c r="B5235">
        <v>199</v>
      </c>
      <c r="C5235" t="str">
        <f>"51"</f>
        <v>51</v>
      </c>
      <c r="D5235">
        <v>6319</v>
      </c>
      <c r="E5235" t="str">
        <f>"M3"</f>
        <v>M3</v>
      </c>
      <c r="F5235" t="str">
        <f>"936"</f>
        <v>936</v>
      </c>
      <c r="G5235">
        <v>9</v>
      </c>
      <c r="H5235" t="str">
        <f t="shared" si="1134"/>
        <v>99</v>
      </c>
      <c r="I5235" t="str">
        <f t="shared" si="1123"/>
        <v>0</v>
      </c>
      <c r="J5235" t="str">
        <f>"81"</f>
        <v>81</v>
      </c>
      <c r="K5235">
        <v>20190315</v>
      </c>
      <c r="L5235" t="str">
        <f>"076080"</f>
        <v>076080</v>
      </c>
      <c r="M5235" t="str">
        <f>"00125"</f>
        <v>00125</v>
      </c>
      <c r="N5235" t="s">
        <v>2245</v>
      </c>
      <c r="O5235">
        <v>101.05</v>
      </c>
      <c r="P5235">
        <v>20190314</v>
      </c>
      <c r="Q5235" t="s">
        <v>2246</v>
      </c>
      <c r="R5235" t="s">
        <v>4245</v>
      </c>
      <c r="S5235" t="s">
        <v>1615</v>
      </c>
      <c r="T5235" t="s">
        <v>1713</v>
      </c>
    </row>
    <row r="5236" spans="1:20" x14ac:dyDescent="0.25">
      <c r="A5236">
        <v>9</v>
      </c>
      <c r="B5236">
        <v>199</v>
      </c>
      <c r="C5236" t="str">
        <f>"51"</f>
        <v>51</v>
      </c>
      <c r="D5236">
        <v>6319</v>
      </c>
      <c r="E5236" t="str">
        <f>"M3"</f>
        <v>M3</v>
      </c>
      <c r="F5236" t="str">
        <f>"936"</f>
        <v>936</v>
      </c>
      <c r="G5236">
        <v>9</v>
      </c>
      <c r="H5236" t="str">
        <f t="shared" si="1134"/>
        <v>99</v>
      </c>
      <c r="I5236" t="str">
        <f t="shared" si="1123"/>
        <v>0</v>
      </c>
      <c r="J5236" t="str">
        <f>"81"</f>
        <v>81</v>
      </c>
      <c r="K5236">
        <v>20190315</v>
      </c>
      <c r="L5236" t="str">
        <f>"076080"</f>
        <v>076080</v>
      </c>
      <c r="M5236" t="str">
        <f>"00125"</f>
        <v>00125</v>
      </c>
      <c r="N5236" t="s">
        <v>2245</v>
      </c>
      <c r="O5236">
        <v>226.6</v>
      </c>
      <c r="P5236">
        <v>20190314</v>
      </c>
      <c r="Q5236" t="s">
        <v>2246</v>
      </c>
      <c r="R5236" t="s">
        <v>4246</v>
      </c>
      <c r="S5236" t="s">
        <v>1615</v>
      </c>
      <c r="T5236" t="s">
        <v>1713</v>
      </c>
    </row>
    <row r="5237" spans="1:20" x14ac:dyDescent="0.25">
      <c r="A5237">
        <v>9</v>
      </c>
      <c r="B5237">
        <v>199</v>
      </c>
      <c r="C5237" t="str">
        <f>"51"</f>
        <v>51</v>
      </c>
      <c r="D5237">
        <v>6319</v>
      </c>
      <c r="E5237" t="str">
        <f>"M3"</f>
        <v>M3</v>
      </c>
      <c r="F5237" t="str">
        <f>"936"</f>
        <v>936</v>
      </c>
      <c r="G5237">
        <v>9</v>
      </c>
      <c r="H5237" t="str">
        <f t="shared" si="1134"/>
        <v>99</v>
      </c>
      <c r="I5237" t="str">
        <f t="shared" si="1123"/>
        <v>0</v>
      </c>
      <c r="J5237" t="str">
        <f>"81"</f>
        <v>81</v>
      </c>
      <c r="K5237">
        <v>20190315</v>
      </c>
      <c r="L5237" t="str">
        <f>"076080"</f>
        <v>076080</v>
      </c>
      <c r="M5237" t="str">
        <f>"00125"</f>
        <v>00125</v>
      </c>
      <c r="N5237" t="s">
        <v>2245</v>
      </c>
      <c r="O5237">
        <v>45</v>
      </c>
      <c r="P5237">
        <v>20190314</v>
      </c>
      <c r="Q5237" t="s">
        <v>2246</v>
      </c>
      <c r="R5237" t="s">
        <v>4247</v>
      </c>
      <c r="S5237" t="s">
        <v>1615</v>
      </c>
      <c r="T5237" t="s">
        <v>1713</v>
      </c>
    </row>
    <row r="5238" spans="1:20" x14ac:dyDescent="0.25">
      <c r="A5238">
        <v>9</v>
      </c>
      <c r="B5238">
        <v>199</v>
      </c>
      <c r="C5238" t="str">
        <f>"51"</f>
        <v>51</v>
      </c>
      <c r="D5238">
        <v>6319</v>
      </c>
      <c r="E5238" t="str">
        <f>"M3"</f>
        <v>M3</v>
      </c>
      <c r="F5238" t="str">
        <f>"936"</f>
        <v>936</v>
      </c>
      <c r="G5238">
        <v>9</v>
      </c>
      <c r="H5238" t="str">
        <f t="shared" si="1134"/>
        <v>99</v>
      </c>
      <c r="I5238" t="str">
        <f t="shared" si="1123"/>
        <v>0</v>
      </c>
      <c r="J5238" t="str">
        <f>"81"</f>
        <v>81</v>
      </c>
      <c r="K5238">
        <v>20190315</v>
      </c>
      <c r="L5238" t="str">
        <f>"076080"</f>
        <v>076080</v>
      </c>
      <c r="M5238" t="str">
        <f>"00125"</f>
        <v>00125</v>
      </c>
      <c r="N5238" t="s">
        <v>2245</v>
      </c>
      <c r="O5238" s="1">
        <v>6771.37</v>
      </c>
      <c r="P5238">
        <v>20190314</v>
      </c>
      <c r="Q5238" t="s">
        <v>2246</v>
      </c>
      <c r="R5238" t="s">
        <v>2249</v>
      </c>
      <c r="S5238" t="s">
        <v>1615</v>
      </c>
      <c r="T5238" t="s">
        <v>1713</v>
      </c>
    </row>
    <row r="5239" spans="1:20" x14ac:dyDescent="0.25">
      <c r="A5239">
        <v>9</v>
      </c>
      <c r="B5239">
        <v>199</v>
      </c>
      <c r="C5239" t="str">
        <f>"51"</f>
        <v>51</v>
      </c>
      <c r="D5239">
        <v>6319</v>
      </c>
      <c r="E5239" t="str">
        <f>"M3"</f>
        <v>M3</v>
      </c>
      <c r="F5239" t="str">
        <f>"936"</f>
        <v>936</v>
      </c>
      <c r="G5239">
        <v>9</v>
      </c>
      <c r="H5239" t="str">
        <f t="shared" si="1134"/>
        <v>99</v>
      </c>
      <c r="I5239" t="str">
        <f t="shared" si="1123"/>
        <v>0</v>
      </c>
      <c r="J5239" t="str">
        <f>"81"</f>
        <v>81</v>
      </c>
      <c r="K5239">
        <v>20190315</v>
      </c>
      <c r="L5239" t="str">
        <f>"076080"</f>
        <v>076080</v>
      </c>
      <c r="M5239" t="str">
        <f>"00125"</f>
        <v>00125</v>
      </c>
      <c r="N5239" t="s">
        <v>2245</v>
      </c>
      <c r="O5239">
        <v>48.15</v>
      </c>
      <c r="P5239">
        <v>20190314</v>
      </c>
      <c r="Q5239" t="s">
        <v>2246</v>
      </c>
      <c r="R5239" t="s">
        <v>4248</v>
      </c>
      <c r="S5239" t="s">
        <v>1615</v>
      </c>
      <c r="T5239" t="s">
        <v>1713</v>
      </c>
    </row>
    <row r="5240" spans="1:20" x14ac:dyDescent="0.25">
      <c r="A5240">
        <v>9</v>
      </c>
      <c r="B5240">
        <v>199</v>
      </c>
      <c r="C5240" t="str">
        <f>"41"</f>
        <v>41</v>
      </c>
      <c r="D5240">
        <v>6498</v>
      </c>
      <c r="E5240" t="str">
        <f>"10"</f>
        <v>10</v>
      </c>
      <c r="F5240" t="str">
        <f>"702"</f>
        <v>702</v>
      </c>
      <c r="G5240">
        <v>9</v>
      </c>
      <c r="H5240" t="str">
        <f t="shared" si="1134"/>
        <v>99</v>
      </c>
      <c r="I5240" t="str">
        <f t="shared" si="1123"/>
        <v>0</v>
      </c>
      <c r="J5240" t="str">
        <f>"93"</f>
        <v>93</v>
      </c>
      <c r="K5240">
        <v>20190315</v>
      </c>
      <c r="L5240" t="str">
        <f>"076081"</f>
        <v>076081</v>
      </c>
      <c r="M5240" t="str">
        <f>"40550"</f>
        <v>40550</v>
      </c>
      <c r="N5240" t="s">
        <v>2645</v>
      </c>
      <c r="O5240">
        <v>27.49</v>
      </c>
      <c r="P5240">
        <v>20190314</v>
      </c>
      <c r="Q5240" t="s">
        <v>2458</v>
      </c>
      <c r="R5240" t="s">
        <v>4249</v>
      </c>
      <c r="S5240" t="s">
        <v>1615</v>
      </c>
      <c r="T5240" t="s">
        <v>1611</v>
      </c>
    </row>
    <row r="5241" spans="1:20" x14ac:dyDescent="0.25">
      <c r="A5241">
        <v>9</v>
      </c>
      <c r="B5241">
        <v>199</v>
      </c>
      <c r="C5241" t="str">
        <f>"36"</f>
        <v>36</v>
      </c>
      <c r="D5241">
        <v>6412</v>
      </c>
      <c r="E5241" t="str">
        <f>"NL"</f>
        <v>NL</v>
      </c>
      <c r="F5241" t="str">
        <f t="shared" ref="F5241:F5246" si="1135">"001"</f>
        <v>001</v>
      </c>
      <c r="G5241">
        <v>9</v>
      </c>
      <c r="H5241" t="str">
        <f>"22"</f>
        <v>22</v>
      </c>
      <c r="I5241" t="str">
        <f>"5"</f>
        <v>5</v>
      </c>
      <c r="J5241" t="str">
        <f>"74"</f>
        <v>74</v>
      </c>
      <c r="K5241">
        <v>20190315</v>
      </c>
      <c r="L5241" t="str">
        <f>"076082"</f>
        <v>076082</v>
      </c>
      <c r="M5241" t="str">
        <f>"39226"</f>
        <v>39226</v>
      </c>
      <c r="N5241" t="s">
        <v>4250</v>
      </c>
      <c r="O5241">
        <v>90</v>
      </c>
      <c r="P5241">
        <v>20190314</v>
      </c>
      <c r="Q5241" t="s">
        <v>4161</v>
      </c>
      <c r="R5241" t="s">
        <v>4162</v>
      </c>
      <c r="S5241" t="s">
        <v>1615</v>
      </c>
      <c r="T5241" t="s">
        <v>301</v>
      </c>
    </row>
    <row r="5242" spans="1:20" x14ac:dyDescent="0.25">
      <c r="A5242">
        <v>9</v>
      </c>
      <c r="B5242">
        <v>199</v>
      </c>
      <c r="C5242" t="str">
        <f>"23"</f>
        <v>23</v>
      </c>
      <c r="D5242">
        <v>6498</v>
      </c>
      <c r="E5242" t="str">
        <f>"10"</f>
        <v>10</v>
      </c>
      <c r="F5242" t="str">
        <f t="shared" si="1135"/>
        <v>001</v>
      </c>
      <c r="G5242">
        <v>9</v>
      </c>
      <c r="H5242" t="str">
        <f>"99"</f>
        <v>99</v>
      </c>
      <c r="I5242" t="str">
        <f t="shared" ref="I5242:I5273" si="1136">"0"</f>
        <v>0</v>
      </c>
      <c r="J5242" t="str">
        <f>"01"</f>
        <v>01</v>
      </c>
      <c r="K5242">
        <v>20190315</v>
      </c>
      <c r="L5242" t="str">
        <f>"076084"</f>
        <v>076084</v>
      </c>
      <c r="M5242" t="str">
        <f>"45093"</f>
        <v>45093</v>
      </c>
      <c r="N5242" t="s">
        <v>885</v>
      </c>
      <c r="O5242">
        <v>70.27</v>
      </c>
      <c r="P5242">
        <v>20190314</v>
      </c>
      <c r="Q5242" t="s">
        <v>2108</v>
      </c>
      <c r="R5242" t="s">
        <v>4251</v>
      </c>
      <c r="S5242" t="s">
        <v>1615</v>
      </c>
      <c r="T5242" t="s">
        <v>301</v>
      </c>
    </row>
    <row r="5243" spans="1:20" x14ac:dyDescent="0.25">
      <c r="A5243">
        <v>9</v>
      </c>
      <c r="B5243">
        <v>199</v>
      </c>
      <c r="C5243" t="str">
        <f>"23"</f>
        <v>23</v>
      </c>
      <c r="D5243">
        <v>6498</v>
      </c>
      <c r="E5243" t="str">
        <f>"10"</f>
        <v>10</v>
      </c>
      <c r="F5243" t="str">
        <f t="shared" si="1135"/>
        <v>001</v>
      </c>
      <c r="G5243">
        <v>9</v>
      </c>
      <c r="H5243" t="str">
        <f>"99"</f>
        <v>99</v>
      </c>
      <c r="I5243" t="str">
        <f t="shared" si="1136"/>
        <v>0</v>
      </c>
      <c r="J5243" t="str">
        <f>"01"</f>
        <v>01</v>
      </c>
      <c r="K5243">
        <v>20190315</v>
      </c>
      <c r="L5243" t="str">
        <f>"076084"</f>
        <v>076084</v>
      </c>
      <c r="M5243" t="str">
        <f>"45093"</f>
        <v>45093</v>
      </c>
      <c r="N5243" t="s">
        <v>885</v>
      </c>
      <c r="O5243">
        <v>35.06</v>
      </c>
      <c r="P5243">
        <v>20190314</v>
      </c>
      <c r="Q5243" t="s">
        <v>2108</v>
      </c>
      <c r="R5243" t="s">
        <v>4251</v>
      </c>
      <c r="S5243" t="s">
        <v>1615</v>
      </c>
      <c r="T5243" t="s">
        <v>301</v>
      </c>
    </row>
    <row r="5244" spans="1:20" x14ac:dyDescent="0.25">
      <c r="A5244">
        <v>9</v>
      </c>
      <c r="B5244">
        <v>199</v>
      </c>
      <c r="C5244" t="str">
        <f>"31"</f>
        <v>31</v>
      </c>
      <c r="D5244">
        <v>6499</v>
      </c>
      <c r="E5244" t="str">
        <f>"7F"</f>
        <v>7F</v>
      </c>
      <c r="F5244" t="str">
        <f t="shared" si="1135"/>
        <v>001</v>
      </c>
      <c r="G5244">
        <v>9</v>
      </c>
      <c r="H5244" t="str">
        <f>"31"</f>
        <v>31</v>
      </c>
      <c r="I5244" t="str">
        <f t="shared" si="1136"/>
        <v>0</v>
      </c>
      <c r="J5244" t="str">
        <f>"34"</f>
        <v>34</v>
      </c>
      <c r="K5244">
        <v>20190315</v>
      </c>
      <c r="L5244" t="str">
        <f>"076084"</f>
        <v>076084</v>
      </c>
      <c r="M5244" t="str">
        <f>"45093"</f>
        <v>45093</v>
      </c>
      <c r="N5244" t="s">
        <v>885</v>
      </c>
      <c r="O5244">
        <v>478.51</v>
      </c>
      <c r="P5244">
        <v>20190314</v>
      </c>
      <c r="Q5244" t="s">
        <v>2880</v>
      </c>
      <c r="R5244" t="s">
        <v>4252</v>
      </c>
      <c r="S5244" t="s">
        <v>1615</v>
      </c>
      <c r="T5244" t="s">
        <v>301</v>
      </c>
    </row>
    <row r="5245" spans="1:20" x14ac:dyDescent="0.25">
      <c r="A5245">
        <v>9</v>
      </c>
      <c r="B5245">
        <v>199</v>
      </c>
      <c r="C5245" t="str">
        <f>"36"</f>
        <v>36</v>
      </c>
      <c r="D5245">
        <v>6499</v>
      </c>
      <c r="E5245" t="str">
        <f>"09"</f>
        <v>09</v>
      </c>
      <c r="F5245" t="str">
        <f t="shared" si="1135"/>
        <v>001</v>
      </c>
      <c r="G5245">
        <v>9</v>
      </c>
      <c r="H5245" t="str">
        <f>"99"</f>
        <v>99</v>
      </c>
      <c r="I5245" t="str">
        <f t="shared" si="1136"/>
        <v>0</v>
      </c>
      <c r="J5245" t="str">
        <f>"01"</f>
        <v>01</v>
      </c>
      <c r="K5245">
        <v>20190315</v>
      </c>
      <c r="L5245" t="str">
        <f>"076084"</f>
        <v>076084</v>
      </c>
      <c r="M5245" t="str">
        <f>"45093"</f>
        <v>45093</v>
      </c>
      <c r="N5245" t="s">
        <v>885</v>
      </c>
      <c r="O5245">
        <v>190.38</v>
      </c>
      <c r="P5245">
        <v>20190314</v>
      </c>
      <c r="Q5245" t="s">
        <v>3984</v>
      </c>
      <c r="R5245" t="s">
        <v>4253</v>
      </c>
      <c r="S5245" t="s">
        <v>1615</v>
      </c>
      <c r="T5245" t="s">
        <v>301</v>
      </c>
    </row>
    <row r="5246" spans="1:20" x14ac:dyDescent="0.25">
      <c r="A5246">
        <v>9</v>
      </c>
      <c r="B5246">
        <v>199</v>
      </c>
      <c r="C5246" t="str">
        <f>"36"</f>
        <v>36</v>
      </c>
      <c r="D5246">
        <v>6499</v>
      </c>
      <c r="E5246" t="str">
        <f>"H2"</f>
        <v>H2</v>
      </c>
      <c r="F5246" t="str">
        <f t="shared" si="1135"/>
        <v>001</v>
      </c>
      <c r="G5246">
        <v>9</v>
      </c>
      <c r="H5246" t="str">
        <f>"99"</f>
        <v>99</v>
      </c>
      <c r="I5246" t="str">
        <f t="shared" si="1136"/>
        <v>0</v>
      </c>
      <c r="J5246" t="str">
        <f>"37"</f>
        <v>37</v>
      </c>
      <c r="K5246">
        <v>20190315</v>
      </c>
      <c r="L5246" t="str">
        <f>"076084"</f>
        <v>076084</v>
      </c>
      <c r="M5246" t="str">
        <f>"45093"</f>
        <v>45093</v>
      </c>
      <c r="N5246" t="s">
        <v>885</v>
      </c>
      <c r="O5246">
        <v>130.18</v>
      </c>
      <c r="P5246">
        <v>20190314</v>
      </c>
      <c r="Q5246" t="s">
        <v>2903</v>
      </c>
      <c r="R5246" t="s">
        <v>4254</v>
      </c>
      <c r="S5246" t="s">
        <v>1615</v>
      </c>
      <c r="T5246" t="s">
        <v>301</v>
      </c>
    </row>
    <row r="5247" spans="1:20" x14ac:dyDescent="0.25">
      <c r="A5247">
        <v>9</v>
      </c>
      <c r="B5247">
        <v>199</v>
      </c>
      <c r="C5247" t="str">
        <f t="shared" ref="C5247:C5257" si="1137">"11"</f>
        <v>11</v>
      </c>
      <c r="D5247">
        <v>6399</v>
      </c>
      <c r="E5247" t="str">
        <f>"7B"</f>
        <v>7B</v>
      </c>
      <c r="F5247" t="str">
        <f>"041"</f>
        <v>041</v>
      </c>
      <c r="G5247">
        <v>9</v>
      </c>
      <c r="H5247" t="str">
        <f t="shared" ref="H5247:H5257" si="1138">"11"</f>
        <v>11</v>
      </c>
      <c r="I5247" t="str">
        <f t="shared" si="1136"/>
        <v>0</v>
      </c>
      <c r="J5247" t="str">
        <f>"36"</f>
        <v>36</v>
      </c>
      <c r="K5247">
        <v>20190315</v>
      </c>
      <c r="L5247" t="str">
        <f t="shared" ref="L5247:L5257" si="1139">"076085"</f>
        <v>076085</v>
      </c>
      <c r="M5247" t="str">
        <f t="shared" ref="M5247:M5257" si="1140">"57791"</f>
        <v>57791</v>
      </c>
      <c r="N5247" t="s">
        <v>2381</v>
      </c>
      <c r="O5247">
        <v>38.99</v>
      </c>
      <c r="P5247">
        <v>20190314</v>
      </c>
      <c r="Q5247" t="s">
        <v>1921</v>
      </c>
      <c r="R5247" t="s">
        <v>4255</v>
      </c>
      <c r="S5247" t="s">
        <v>1615</v>
      </c>
      <c r="T5247" t="s">
        <v>106</v>
      </c>
    </row>
    <row r="5248" spans="1:20" x14ac:dyDescent="0.25">
      <c r="A5248">
        <v>9</v>
      </c>
      <c r="B5248">
        <v>199</v>
      </c>
      <c r="C5248" t="str">
        <f t="shared" si="1137"/>
        <v>11</v>
      </c>
      <c r="D5248">
        <v>6399</v>
      </c>
      <c r="E5248" t="str">
        <f t="shared" ref="E5248:E5256" si="1141">"7E"</f>
        <v>7E</v>
      </c>
      <c r="F5248" t="str">
        <f>"001"</f>
        <v>001</v>
      </c>
      <c r="G5248">
        <v>9</v>
      </c>
      <c r="H5248" t="str">
        <f t="shared" si="1138"/>
        <v>11</v>
      </c>
      <c r="I5248" t="str">
        <f t="shared" si="1136"/>
        <v>0</v>
      </c>
      <c r="J5248" t="str">
        <f>"31"</f>
        <v>31</v>
      </c>
      <c r="K5248">
        <v>20190315</v>
      </c>
      <c r="L5248" t="str">
        <f t="shared" si="1139"/>
        <v>076085</v>
      </c>
      <c r="M5248" t="str">
        <f t="shared" si="1140"/>
        <v>57791</v>
      </c>
      <c r="N5248" t="s">
        <v>2381</v>
      </c>
      <c r="O5248">
        <v>130.19999999999999</v>
      </c>
      <c r="P5248">
        <v>20190314</v>
      </c>
      <c r="Q5248" t="s">
        <v>2382</v>
      </c>
      <c r="R5248" t="s">
        <v>3806</v>
      </c>
      <c r="S5248" t="s">
        <v>1615</v>
      </c>
      <c r="T5248" t="s">
        <v>301</v>
      </c>
    </row>
    <row r="5249" spans="1:20" x14ac:dyDescent="0.25">
      <c r="A5249">
        <v>9</v>
      </c>
      <c r="B5249">
        <v>199</v>
      </c>
      <c r="C5249" t="str">
        <f t="shared" si="1137"/>
        <v>11</v>
      </c>
      <c r="D5249">
        <v>6399</v>
      </c>
      <c r="E5249" t="str">
        <f t="shared" si="1141"/>
        <v>7E</v>
      </c>
      <c r="F5249" t="str">
        <f>"001"</f>
        <v>001</v>
      </c>
      <c r="G5249">
        <v>9</v>
      </c>
      <c r="H5249" t="str">
        <f t="shared" si="1138"/>
        <v>11</v>
      </c>
      <c r="I5249" t="str">
        <f t="shared" si="1136"/>
        <v>0</v>
      </c>
      <c r="J5249" t="str">
        <f>"31"</f>
        <v>31</v>
      </c>
      <c r="K5249">
        <v>20190315</v>
      </c>
      <c r="L5249" t="str">
        <f t="shared" si="1139"/>
        <v>076085</v>
      </c>
      <c r="M5249" t="str">
        <f t="shared" si="1140"/>
        <v>57791</v>
      </c>
      <c r="N5249" t="s">
        <v>2381</v>
      </c>
      <c r="O5249">
        <v>661.3</v>
      </c>
      <c r="P5249">
        <v>20190314</v>
      </c>
      <c r="Q5249" t="s">
        <v>2382</v>
      </c>
      <c r="R5249" t="s">
        <v>3036</v>
      </c>
      <c r="S5249" t="s">
        <v>1615</v>
      </c>
      <c r="T5249" t="s">
        <v>301</v>
      </c>
    </row>
    <row r="5250" spans="1:20" x14ac:dyDescent="0.25">
      <c r="A5250">
        <v>9</v>
      </c>
      <c r="B5250">
        <v>199</v>
      </c>
      <c r="C5250" t="str">
        <f t="shared" si="1137"/>
        <v>11</v>
      </c>
      <c r="D5250">
        <v>6399</v>
      </c>
      <c r="E5250" t="str">
        <f t="shared" si="1141"/>
        <v>7E</v>
      </c>
      <c r="F5250" t="str">
        <f>"001"</f>
        <v>001</v>
      </c>
      <c r="G5250">
        <v>9</v>
      </c>
      <c r="H5250" t="str">
        <f t="shared" si="1138"/>
        <v>11</v>
      </c>
      <c r="I5250" t="str">
        <f t="shared" si="1136"/>
        <v>0</v>
      </c>
      <c r="J5250" t="str">
        <f>"31"</f>
        <v>31</v>
      </c>
      <c r="K5250">
        <v>20190315</v>
      </c>
      <c r="L5250" t="str">
        <f t="shared" si="1139"/>
        <v>076085</v>
      </c>
      <c r="M5250" t="str">
        <f t="shared" si="1140"/>
        <v>57791</v>
      </c>
      <c r="N5250" t="s">
        <v>2381</v>
      </c>
      <c r="O5250">
        <v>226.5</v>
      </c>
      <c r="P5250">
        <v>20190314</v>
      </c>
      <c r="Q5250" t="s">
        <v>2382</v>
      </c>
      <c r="R5250" t="s">
        <v>4256</v>
      </c>
      <c r="S5250" t="s">
        <v>1615</v>
      </c>
      <c r="T5250" t="s">
        <v>301</v>
      </c>
    </row>
    <row r="5251" spans="1:20" x14ac:dyDescent="0.25">
      <c r="A5251">
        <v>9</v>
      </c>
      <c r="B5251">
        <v>199</v>
      </c>
      <c r="C5251" t="str">
        <f t="shared" si="1137"/>
        <v>11</v>
      </c>
      <c r="D5251">
        <v>6399</v>
      </c>
      <c r="E5251" t="str">
        <f t="shared" si="1141"/>
        <v>7E</v>
      </c>
      <c r="F5251" t="str">
        <f>"001"</f>
        <v>001</v>
      </c>
      <c r="G5251">
        <v>9</v>
      </c>
      <c r="H5251" t="str">
        <f t="shared" si="1138"/>
        <v>11</v>
      </c>
      <c r="I5251" t="str">
        <f t="shared" si="1136"/>
        <v>0</v>
      </c>
      <c r="J5251" t="str">
        <f>"31"</f>
        <v>31</v>
      </c>
      <c r="K5251">
        <v>20190315</v>
      </c>
      <c r="L5251" t="str">
        <f t="shared" si="1139"/>
        <v>076085</v>
      </c>
      <c r="M5251" t="str">
        <f t="shared" si="1140"/>
        <v>57791</v>
      </c>
      <c r="N5251" t="s">
        <v>2381</v>
      </c>
      <c r="O5251">
        <v>124.95</v>
      </c>
      <c r="P5251">
        <v>20190314</v>
      </c>
      <c r="Q5251" t="s">
        <v>2382</v>
      </c>
      <c r="R5251" t="s">
        <v>4257</v>
      </c>
      <c r="S5251" t="s">
        <v>1615</v>
      </c>
      <c r="T5251" t="s">
        <v>301</v>
      </c>
    </row>
    <row r="5252" spans="1:20" x14ac:dyDescent="0.25">
      <c r="A5252">
        <v>9</v>
      </c>
      <c r="B5252">
        <v>199</v>
      </c>
      <c r="C5252" t="str">
        <f t="shared" si="1137"/>
        <v>11</v>
      </c>
      <c r="D5252">
        <v>6399</v>
      </c>
      <c r="E5252" t="str">
        <f t="shared" si="1141"/>
        <v>7E</v>
      </c>
      <c r="F5252" t="str">
        <f>"001"</f>
        <v>001</v>
      </c>
      <c r="G5252">
        <v>9</v>
      </c>
      <c r="H5252" t="str">
        <f t="shared" si="1138"/>
        <v>11</v>
      </c>
      <c r="I5252" t="str">
        <f t="shared" si="1136"/>
        <v>0</v>
      </c>
      <c r="J5252" t="str">
        <f>"31"</f>
        <v>31</v>
      </c>
      <c r="K5252">
        <v>20190315</v>
      </c>
      <c r="L5252" t="str">
        <f t="shared" si="1139"/>
        <v>076085</v>
      </c>
      <c r="M5252" t="str">
        <f t="shared" si="1140"/>
        <v>57791</v>
      </c>
      <c r="N5252" t="s">
        <v>2381</v>
      </c>
      <c r="O5252">
        <v>151.05000000000001</v>
      </c>
      <c r="P5252">
        <v>20190314</v>
      </c>
      <c r="Q5252" t="s">
        <v>2382</v>
      </c>
      <c r="R5252" t="s">
        <v>4258</v>
      </c>
      <c r="S5252" t="s">
        <v>1615</v>
      </c>
      <c r="T5252" t="s">
        <v>301</v>
      </c>
    </row>
    <row r="5253" spans="1:20" x14ac:dyDescent="0.25">
      <c r="A5253">
        <v>9</v>
      </c>
      <c r="B5253">
        <v>199</v>
      </c>
      <c r="C5253" t="str">
        <f t="shared" si="1137"/>
        <v>11</v>
      </c>
      <c r="D5253">
        <v>6399</v>
      </c>
      <c r="E5253" t="str">
        <f t="shared" si="1141"/>
        <v>7E</v>
      </c>
      <c r="F5253" t="str">
        <f>"041"</f>
        <v>041</v>
      </c>
      <c r="G5253">
        <v>9</v>
      </c>
      <c r="H5253" t="str">
        <f t="shared" si="1138"/>
        <v>11</v>
      </c>
      <c r="I5253" t="str">
        <f t="shared" si="1136"/>
        <v>0</v>
      </c>
      <c r="J5253" t="str">
        <f>"35"</f>
        <v>35</v>
      </c>
      <c r="K5253">
        <v>20190315</v>
      </c>
      <c r="L5253" t="str">
        <f t="shared" si="1139"/>
        <v>076085</v>
      </c>
      <c r="M5253" t="str">
        <f t="shared" si="1140"/>
        <v>57791</v>
      </c>
      <c r="N5253" t="s">
        <v>2381</v>
      </c>
      <c r="O5253">
        <v>272.99</v>
      </c>
      <c r="P5253">
        <v>20190314</v>
      </c>
      <c r="Q5253" t="s">
        <v>2655</v>
      </c>
      <c r="R5253" t="s">
        <v>2652</v>
      </c>
      <c r="S5253" t="s">
        <v>1615</v>
      </c>
      <c r="T5253" t="s">
        <v>106</v>
      </c>
    </row>
    <row r="5254" spans="1:20" x14ac:dyDescent="0.25">
      <c r="A5254">
        <v>9</v>
      </c>
      <c r="B5254">
        <v>199</v>
      </c>
      <c r="C5254" t="str">
        <f t="shared" si="1137"/>
        <v>11</v>
      </c>
      <c r="D5254">
        <v>6399</v>
      </c>
      <c r="E5254" t="str">
        <f t="shared" si="1141"/>
        <v>7E</v>
      </c>
      <c r="F5254" t="str">
        <f>"041"</f>
        <v>041</v>
      </c>
      <c r="G5254">
        <v>9</v>
      </c>
      <c r="H5254" t="str">
        <f t="shared" si="1138"/>
        <v>11</v>
      </c>
      <c r="I5254" t="str">
        <f t="shared" si="1136"/>
        <v>0</v>
      </c>
      <c r="J5254" t="str">
        <f>"35"</f>
        <v>35</v>
      </c>
      <c r="K5254">
        <v>20190315</v>
      </c>
      <c r="L5254" t="str">
        <f t="shared" si="1139"/>
        <v>076085</v>
      </c>
      <c r="M5254" t="str">
        <f t="shared" si="1140"/>
        <v>57791</v>
      </c>
      <c r="N5254" t="s">
        <v>2381</v>
      </c>
      <c r="O5254">
        <v>59</v>
      </c>
      <c r="P5254">
        <v>20190314</v>
      </c>
      <c r="Q5254" t="s">
        <v>2655</v>
      </c>
      <c r="R5254" t="s">
        <v>4259</v>
      </c>
      <c r="S5254" t="s">
        <v>1615</v>
      </c>
      <c r="T5254" t="s">
        <v>106</v>
      </c>
    </row>
    <row r="5255" spans="1:20" x14ac:dyDescent="0.25">
      <c r="A5255">
        <v>9</v>
      </c>
      <c r="B5255">
        <v>199</v>
      </c>
      <c r="C5255" t="str">
        <f t="shared" si="1137"/>
        <v>11</v>
      </c>
      <c r="D5255">
        <v>6399</v>
      </c>
      <c r="E5255" t="str">
        <f t="shared" si="1141"/>
        <v>7E</v>
      </c>
      <c r="F5255" t="str">
        <f>"041"</f>
        <v>041</v>
      </c>
      <c r="G5255">
        <v>9</v>
      </c>
      <c r="H5255" t="str">
        <f t="shared" si="1138"/>
        <v>11</v>
      </c>
      <c r="I5255" t="str">
        <f t="shared" si="1136"/>
        <v>0</v>
      </c>
      <c r="J5255" t="str">
        <f>"35"</f>
        <v>35</v>
      </c>
      <c r="K5255">
        <v>20190315</v>
      </c>
      <c r="L5255" t="str">
        <f t="shared" si="1139"/>
        <v>076085</v>
      </c>
      <c r="M5255" t="str">
        <f t="shared" si="1140"/>
        <v>57791</v>
      </c>
      <c r="N5255" t="s">
        <v>2381</v>
      </c>
      <c r="O5255">
        <v>561.20000000000005</v>
      </c>
      <c r="P5255">
        <v>20190314</v>
      </c>
      <c r="Q5255" t="s">
        <v>2655</v>
      </c>
      <c r="R5255" t="s">
        <v>2652</v>
      </c>
      <c r="S5255" t="s">
        <v>1615</v>
      </c>
      <c r="T5255" t="s">
        <v>106</v>
      </c>
    </row>
    <row r="5256" spans="1:20" x14ac:dyDescent="0.25">
      <c r="A5256">
        <v>9</v>
      </c>
      <c r="B5256">
        <v>199</v>
      </c>
      <c r="C5256" t="str">
        <f t="shared" si="1137"/>
        <v>11</v>
      </c>
      <c r="D5256">
        <v>6399</v>
      </c>
      <c r="E5256" t="str">
        <f t="shared" si="1141"/>
        <v>7E</v>
      </c>
      <c r="F5256" t="str">
        <f>"041"</f>
        <v>041</v>
      </c>
      <c r="G5256">
        <v>9</v>
      </c>
      <c r="H5256" t="str">
        <f t="shared" si="1138"/>
        <v>11</v>
      </c>
      <c r="I5256" t="str">
        <f t="shared" si="1136"/>
        <v>0</v>
      </c>
      <c r="J5256" t="str">
        <f>"35"</f>
        <v>35</v>
      </c>
      <c r="K5256">
        <v>20190315</v>
      </c>
      <c r="L5256" t="str">
        <f t="shared" si="1139"/>
        <v>076085</v>
      </c>
      <c r="M5256" t="str">
        <f t="shared" si="1140"/>
        <v>57791</v>
      </c>
      <c r="N5256" t="s">
        <v>2381</v>
      </c>
      <c r="O5256">
        <v>4.2</v>
      </c>
      <c r="P5256">
        <v>20190314</v>
      </c>
      <c r="Q5256" t="s">
        <v>2655</v>
      </c>
      <c r="R5256" t="s">
        <v>4260</v>
      </c>
      <c r="S5256" t="s">
        <v>1615</v>
      </c>
      <c r="T5256" t="s">
        <v>106</v>
      </c>
    </row>
    <row r="5257" spans="1:20" x14ac:dyDescent="0.25">
      <c r="A5257">
        <v>9</v>
      </c>
      <c r="B5257">
        <v>199</v>
      </c>
      <c r="C5257" t="str">
        <f t="shared" si="1137"/>
        <v>11</v>
      </c>
      <c r="D5257">
        <v>6399</v>
      </c>
      <c r="E5257" t="str">
        <f>"8C"</f>
        <v>8C</v>
      </c>
      <c r="F5257" t="str">
        <f>"104"</f>
        <v>104</v>
      </c>
      <c r="G5257">
        <v>9</v>
      </c>
      <c r="H5257" t="str">
        <f t="shared" si="1138"/>
        <v>11</v>
      </c>
      <c r="I5257" t="str">
        <f t="shared" si="1136"/>
        <v>0</v>
      </c>
      <c r="J5257" t="str">
        <f>"05"</f>
        <v>05</v>
      </c>
      <c r="K5257">
        <v>20190315</v>
      </c>
      <c r="L5257" t="str">
        <f t="shared" si="1139"/>
        <v>076085</v>
      </c>
      <c r="M5257" t="str">
        <f t="shared" si="1140"/>
        <v>57791</v>
      </c>
      <c r="N5257" t="s">
        <v>2381</v>
      </c>
      <c r="O5257">
        <v>160.34</v>
      </c>
      <c r="P5257">
        <v>20190314</v>
      </c>
      <c r="Q5257" t="s">
        <v>4151</v>
      </c>
      <c r="R5257" t="s">
        <v>4261</v>
      </c>
      <c r="S5257" t="s">
        <v>1615</v>
      </c>
      <c r="T5257" t="s">
        <v>46</v>
      </c>
    </row>
    <row r="5258" spans="1:20" x14ac:dyDescent="0.25">
      <c r="A5258">
        <v>9</v>
      </c>
      <c r="B5258">
        <v>199</v>
      </c>
      <c r="C5258" t="str">
        <f>"00"</f>
        <v>00</v>
      </c>
      <c r="D5258">
        <v>1291</v>
      </c>
      <c r="E5258" t="str">
        <f>"05"</f>
        <v>05</v>
      </c>
      <c r="F5258" t="str">
        <f>"000"</f>
        <v>000</v>
      </c>
      <c r="G5258">
        <v>9</v>
      </c>
      <c r="H5258" t="str">
        <f>"00"</f>
        <v>00</v>
      </c>
      <c r="I5258" t="str">
        <f t="shared" si="1136"/>
        <v>0</v>
      </c>
      <c r="J5258" t="str">
        <f>"00"</f>
        <v>00</v>
      </c>
      <c r="K5258">
        <v>20190315</v>
      </c>
      <c r="L5258" t="str">
        <f>"076088"</f>
        <v>076088</v>
      </c>
      <c r="M5258" t="str">
        <f>"46398"</f>
        <v>46398</v>
      </c>
      <c r="N5258" t="s">
        <v>1636</v>
      </c>
      <c r="O5258" s="1">
        <v>11802.95</v>
      </c>
      <c r="P5258">
        <v>20190314</v>
      </c>
      <c r="Q5258" t="s">
        <v>1637</v>
      </c>
      <c r="R5258" t="s">
        <v>4262</v>
      </c>
      <c r="S5258" t="s">
        <v>1615</v>
      </c>
      <c r="T5258" t="s">
        <v>296</v>
      </c>
    </row>
    <row r="5259" spans="1:20" x14ac:dyDescent="0.25">
      <c r="A5259">
        <v>9</v>
      </c>
      <c r="B5259">
        <v>199</v>
      </c>
      <c r="C5259" t="str">
        <f>"00"</f>
        <v>00</v>
      </c>
      <c r="D5259">
        <v>1291</v>
      </c>
      <c r="E5259" t="str">
        <f>"05"</f>
        <v>05</v>
      </c>
      <c r="F5259" t="str">
        <f>"000"</f>
        <v>000</v>
      </c>
      <c r="G5259">
        <v>9</v>
      </c>
      <c r="H5259" t="str">
        <f>"00"</f>
        <v>00</v>
      </c>
      <c r="I5259" t="str">
        <f t="shared" si="1136"/>
        <v>0</v>
      </c>
      <c r="J5259" t="str">
        <f>"00"</f>
        <v>00</v>
      </c>
      <c r="K5259">
        <v>20190315</v>
      </c>
      <c r="L5259" t="str">
        <f>"076088"</f>
        <v>076088</v>
      </c>
      <c r="M5259" t="str">
        <f>"46398"</f>
        <v>46398</v>
      </c>
      <c r="N5259" t="s">
        <v>1636</v>
      </c>
      <c r="O5259" s="1">
        <v>1820</v>
      </c>
      <c r="P5259">
        <v>20190314</v>
      </c>
      <c r="Q5259" t="s">
        <v>1637</v>
      </c>
      <c r="R5259" t="s">
        <v>4263</v>
      </c>
      <c r="S5259" t="s">
        <v>1615</v>
      </c>
      <c r="T5259" t="s">
        <v>296</v>
      </c>
    </row>
    <row r="5260" spans="1:20" x14ac:dyDescent="0.25">
      <c r="A5260">
        <v>9</v>
      </c>
      <c r="B5260">
        <v>199</v>
      </c>
      <c r="C5260" t="str">
        <f>"00"</f>
        <v>00</v>
      </c>
      <c r="D5260">
        <v>1291</v>
      </c>
      <c r="E5260" t="str">
        <f>"05"</f>
        <v>05</v>
      </c>
      <c r="F5260" t="str">
        <f>"000"</f>
        <v>000</v>
      </c>
      <c r="G5260">
        <v>9</v>
      </c>
      <c r="H5260" t="str">
        <f>"00"</f>
        <v>00</v>
      </c>
      <c r="I5260" t="str">
        <f t="shared" si="1136"/>
        <v>0</v>
      </c>
      <c r="J5260" t="str">
        <f>"00"</f>
        <v>00</v>
      </c>
      <c r="K5260">
        <v>20190315</v>
      </c>
      <c r="L5260" t="str">
        <f>"076088"</f>
        <v>076088</v>
      </c>
      <c r="M5260" t="str">
        <f>"46398"</f>
        <v>46398</v>
      </c>
      <c r="N5260" t="s">
        <v>1636</v>
      </c>
      <c r="O5260">
        <v>-703.16</v>
      </c>
      <c r="P5260">
        <v>20190228</v>
      </c>
      <c r="Q5260" t="s">
        <v>1637</v>
      </c>
      <c r="R5260" t="s">
        <v>4262</v>
      </c>
      <c r="S5260" t="s">
        <v>1615</v>
      </c>
      <c r="T5260" t="s">
        <v>296</v>
      </c>
    </row>
    <row r="5261" spans="1:20" x14ac:dyDescent="0.25">
      <c r="A5261">
        <v>9</v>
      </c>
      <c r="B5261">
        <v>199</v>
      </c>
      <c r="C5261" t="str">
        <f>"41"</f>
        <v>41</v>
      </c>
      <c r="D5261">
        <v>6245</v>
      </c>
      <c r="E5261" t="str">
        <f>"10"</f>
        <v>10</v>
      </c>
      <c r="F5261" t="str">
        <f>"933"</f>
        <v>933</v>
      </c>
      <c r="G5261">
        <v>9</v>
      </c>
      <c r="H5261" t="str">
        <f>"99"</f>
        <v>99</v>
      </c>
      <c r="I5261" t="str">
        <f t="shared" si="1136"/>
        <v>0</v>
      </c>
      <c r="J5261" t="str">
        <f>"85"</f>
        <v>85</v>
      </c>
      <c r="K5261">
        <v>20190315</v>
      </c>
      <c r="L5261" t="str">
        <f>"076088"</f>
        <v>076088</v>
      </c>
      <c r="M5261" t="str">
        <f>"46398"</f>
        <v>46398</v>
      </c>
      <c r="N5261" t="s">
        <v>1636</v>
      </c>
      <c r="O5261" s="1">
        <v>1162.83</v>
      </c>
      <c r="P5261">
        <v>20190314</v>
      </c>
      <c r="Q5261" t="s">
        <v>2516</v>
      </c>
      <c r="R5261" t="s">
        <v>4262</v>
      </c>
      <c r="S5261" t="s">
        <v>1615</v>
      </c>
      <c r="T5261" t="s">
        <v>1643</v>
      </c>
    </row>
    <row r="5262" spans="1:20" x14ac:dyDescent="0.25">
      <c r="A5262">
        <v>9</v>
      </c>
      <c r="B5262">
        <v>199</v>
      </c>
      <c r="C5262" t="str">
        <f>"00"</f>
        <v>00</v>
      </c>
      <c r="D5262">
        <v>1291</v>
      </c>
      <c r="E5262" t="str">
        <f>"05"</f>
        <v>05</v>
      </c>
      <c r="F5262" t="str">
        <f>"000"</f>
        <v>000</v>
      </c>
      <c r="G5262">
        <v>9</v>
      </c>
      <c r="H5262" t="str">
        <f>"00"</f>
        <v>00</v>
      </c>
      <c r="I5262" t="str">
        <f t="shared" si="1136"/>
        <v>0</v>
      </c>
      <c r="J5262" t="str">
        <f>"00"</f>
        <v>00</v>
      </c>
      <c r="K5262">
        <v>20190315</v>
      </c>
      <c r="L5262" t="str">
        <f>"076089"</f>
        <v>076089</v>
      </c>
      <c r="M5262" t="str">
        <f>"46351"</f>
        <v>46351</v>
      </c>
      <c r="N5262" t="s">
        <v>1639</v>
      </c>
      <c r="O5262" s="1">
        <v>11075.67</v>
      </c>
      <c r="P5262">
        <v>20190314</v>
      </c>
      <c r="Q5262" t="s">
        <v>1637</v>
      </c>
      <c r="R5262" t="s">
        <v>4264</v>
      </c>
      <c r="S5262" t="s">
        <v>1615</v>
      </c>
      <c r="T5262" t="s">
        <v>296</v>
      </c>
    </row>
    <row r="5263" spans="1:20" x14ac:dyDescent="0.25">
      <c r="A5263">
        <v>9</v>
      </c>
      <c r="B5263">
        <v>199</v>
      </c>
      <c r="C5263" t="str">
        <f>"41"</f>
        <v>41</v>
      </c>
      <c r="D5263">
        <v>6269</v>
      </c>
      <c r="E5263" t="str">
        <f>"10"</f>
        <v>10</v>
      </c>
      <c r="F5263" t="str">
        <f>"933"</f>
        <v>933</v>
      </c>
      <c r="G5263">
        <v>9</v>
      </c>
      <c r="H5263" t="str">
        <f t="shared" ref="H5263:H5270" si="1142">"99"</f>
        <v>99</v>
      </c>
      <c r="I5263" t="str">
        <f t="shared" si="1136"/>
        <v>0</v>
      </c>
      <c r="J5263" t="str">
        <f>"85"</f>
        <v>85</v>
      </c>
      <c r="K5263">
        <v>20190315</v>
      </c>
      <c r="L5263" t="str">
        <f>"076089"</f>
        <v>076089</v>
      </c>
      <c r="M5263" t="str">
        <f>"46351"</f>
        <v>46351</v>
      </c>
      <c r="N5263" t="s">
        <v>1639</v>
      </c>
      <c r="O5263" s="1">
        <v>4248.04</v>
      </c>
      <c r="P5263">
        <v>20190314</v>
      </c>
      <c r="Q5263" t="s">
        <v>1642</v>
      </c>
      <c r="R5263" t="s">
        <v>4264</v>
      </c>
      <c r="S5263" t="s">
        <v>1615</v>
      </c>
      <c r="T5263" t="s">
        <v>1643</v>
      </c>
    </row>
    <row r="5264" spans="1:20" x14ac:dyDescent="0.25">
      <c r="A5264">
        <v>9</v>
      </c>
      <c r="B5264">
        <v>199</v>
      </c>
      <c r="C5264" t="str">
        <f>"41"</f>
        <v>41</v>
      </c>
      <c r="D5264">
        <v>6411</v>
      </c>
      <c r="E5264" t="str">
        <f>"10"</f>
        <v>10</v>
      </c>
      <c r="F5264" t="str">
        <f>"730"</f>
        <v>730</v>
      </c>
      <c r="G5264">
        <v>9</v>
      </c>
      <c r="H5264" t="str">
        <f t="shared" si="1142"/>
        <v>99</v>
      </c>
      <c r="I5264" t="str">
        <f t="shared" si="1136"/>
        <v>0</v>
      </c>
      <c r="J5264" t="str">
        <f>"95"</f>
        <v>95</v>
      </c>
      <c r="K5264">
        <v>20190315</v>
      </c>
      <c r="L5264" t="str">
        <f>"076090"</f>
        <v>076090</v>
      </c>
      <c r="M5264" t="str">
        <f>"00759"</f>
        <v>00759</v>
      </c>
      <c r="N5264" t="s">
        <v>985</v>
      </c>
      <c r="O5264">
        <v>197.58</v>
      </c>
      <c r="P5264">
        <v>20190314</v>
      </c>
      <c r="Q5264" t="s">
        <v>3913</v>
      </c>
      <c r="R5264" t="s">
        <v>4265</v>
      </c>
      <c r="S5264" t="s">
        <v>1615</v>
      </c>
      <c r="T5264" t="s">
        <v>1794</v>
      </c>
    </row>
    <row r="5265" spans="1:20" x14ac:dyDescent="0.25">
      <c r="A5265">
        <v>9</v>
      </c>
      <c r="B5265">
        <v>199</v>
      </c>
      <c r="C5265" t="str">
        <f>"51"</f>
        <v>51</v>
      </c>
      <c r="D5265">
        <v>6319</v>
      </c>
      <c r="E5265" t="str">
        <f>"MC"</f>
        <v>MC</v>
      </c>
      <c r="F5265" t="str">
        <f>"936"</f>
        <v>936</v>
      </c>
      <c r="G5265">
        <v>9</v>
      </c>
      <c r="H5265" t="str">
        <f t="shared" si="1142"/>
        <v>99</v>
      </c>
      <c r="I5265" t="str">
        <f t="shared" si="1136"/>
        <v>0</v>
      </c>
      <c r="J5265" t="str">
        <f>"81"</f>
        <v>81</v>
      </c>
      <c r="K5265">
        <v>20190315</v>
      </c>
      <c r="L5265" t="str">
        <f>"076091"</f>
        <v>076091</v>
      </c>
      <c r="M5265" t="str">
        <f>"47725"</f>
        <v>47725</v>
      </c>
      <c r="N5265" t="s">
        <v>2095</v>
      </c>
      <c r="O5265">
        <v>230.6</v>
      </c>
      <c r="P5265">
        <v>20190314</v>
      </c>
      <c r="Q5265" t="s">
        <v>2060</v>
      </c>
      <c r="R5265" t="s">
        <v>3426</v>
      </c>
      <c r="S5265" t="s">
        <v>1615</v>
      </c>
      <c r="T5265" t="s">
        <v>1713</v>
      </c>
    </row>
    <row r="5266" spans="1:20" x14ac:dyDescent="0.25">
      <c r="A5266">
        <v>9</v>
      </c>
      <c r="B5266">
        <v>199</v>
      </c>
      <c r="C5266" t="str">
        <f>"51"</f>
        <v>51</v>
      </c>
      <c r="D5266">
        <v>6249</v>
      </c>
      <c r="E5266" t="str">
        <f>"M8"</f>
        <v>M8</v>
      </c>
      <c r="F5266" t="str">
        <f>"936"</f>
        <v>936</v>
      </c>
      <c r="G5266">
        <v>9</v>
      </c>
      <c r="H5266" t="str">
        <f t="shared" si="1142"/>
        <v>99</v>
      </c>
      <c r="I5266" t="str">
        <f t="shared" si="1136"/>
        <v>0</v>
      </c>
      <c r="J5266" t="str">
        <f>"81"</f>
        <v>81</v>
      </c>
      <c r="K5266">
        <v>20190315</v>
      </c>
      <c r="L5266" t="str">
        <f>"076092"</f>
        <v>076092</v>
      </c>
      <c r="M5266" t="str">
        <f>"00518"</f>
        <v>00518</v>
      </c>
      <c r="N5266" t="s">
        <v>1742</v>
      </c>
      <c r="O5266">
        <v>225</v>
      </c>
      <c r="P5266">
        <v>20190314</v>
      </c>
      <c r="Q5266" t="s">
        <v>2096</v>
      </c>
      <c r="R5266" t="s">
        <v>3194</v>
      </c>
      <c r="S5266" t="s">
        <v>1615</v>
      </c>
      <c r="T5266" t="s">
        <v>1713</v>
      </c>
    </row>
    <row r="5267" spans="1:20" x14ac:dyDescent="0.25">
      <c r="A5267">
        <v>9</v>
      </c>
      <c r="B5267">
        <v>199</v>
      </c>
      <c r="C5267" t="str">
        <f>"51"</f>
        <v>51</v>
      </c>
      <c r="D5267">
        <v>6249</v>
      </c>
      <c r="E5267" t="str">
        <f>"M8"</f>
        <v>M8</v>
      </c>
      <c r="F5267" t="str">
        <f>"936"</f>
        <v>936</v>
      </c>
      <c r="G5267">
        <v>9</v>
      </c>
      <c r="H5267" t="str">
        <f t="shared" si="1142"/>
        <v>99</v>
      </c>
      <c r="I5267" t="str">
        <f t="shared" si="1136"/>
        <v>0</v>
      </c>
      <c r="J5267" t="str">
        <f>"81"</f>
        <v>81</v>
      </c>
      <c r="K5267">
        <v>20190315</v>
      </c>
      <c r="L5267" t="str">
        <f>"076092"</f>
        <v>076092</v>
      </c>
      <c r="M5267" t="str">
        <f>"00518"</f>
        <v>00518</v>
      </c>
      <c r="N5267" t="s">
        <v>1742</v>
      </c>
      <c r="O5267">
        <v>225</v>
      </c>
      <c r="P5267">
        <v>20190314</v>
      </c>
      <c r="Q5267" t="s">
        <v>2096</v>
      </c>
      <c r="R5267" t="s">
        <v>3194</v>
      </c>
      <c r="S5267" t="s">
        <v>1615</v>
      </c>
      <c r="T5267" t="s">
        <v>1713</v>
      </c>
    </row>
    <row r="5268" spans="1:20" x14ac:dyDescent="0.25">
      <c r="A5268">
        <v>9</v>
      </c>
      <c r="B5268">
        <v>199</v>
      </c>
      <c r="C5268" t="str">
        <f>"36"</f>
        <v>36</v>
      </c>
      <c r="D5268">
        <v>6499</v>
      </c>
      <c r="E5268" t="str">
        <f>"7C"</f>
        <v>7C</v>
      </c>
      <c r="F5268" t="str">
        <f>"001"</f>
        <v>001</v>
      </c>
      <c r="G5268">
        <v>9</v>
      </c>
      <c r="H5268" t="str">
        <f t="shared" si="1142"/>
        <v>99</v>
      </c>
      <c r="I5268" t="str">
        <f t="shared" si="1136"/>
        <v>0</v>
      </c>
      <c r="J5268" t="str">
        <f>"01"</f>
        <v>01</v>
      </c>
      <c r="K5268">
        <v>20190315</v>
      </c>
      <c r="L5268" t="str">
        <f>"076094"</f>
        <v>076094</v>
      </c>
      <c r="M5268" t="str">
        <f>"51347"</f>
        <v>51347</v>
      </c>
      <c r="N5268" t="s">
        <v>1158</v>
      </c>
      <c r="O5268">
        <v>140</v>
      </c>
      <c r="P5268">
        <v>20190314</v>
      </c>
      <c r="Q5268" t="s">
        <v>3396</v>
      </c>
      <c r="R5268" t="s">
        <v>1160</v>
      </c>
      <c r="S5268" t="s">
        <v>1615</v>
      </c>
      <c r="T5268" t="s">
        <v>301</v>
      </c>
    </row>
    <row r="5269" spans="1:20" x14ac:dyDescent="0.25">
      <c r="A5269">
        <v>9</v>
      </c>
      <c r="B5269">
        <v>199</v>
      </c>
      <c r="C5269" t="str">
        <f>"36"</f>
        <v>36</v>
      </c>
      <c r="D5269">
        <v>6499</v>
      </c>
      <c r="E5269" t="str">
        <f>"7C"</f>
        <v>7C</v>
      </c>
      <c r="F5269" t="str">
        <f>"001"</f>
        <v>001</v>
      </c>
      <c r="G5269">
        <v>9</v>
      </c>
      <c r="H5269" t="str">
        <f t="shared" si="1142"/>
        <v>99</v>
      </c>
      <c r="I5269" t="str">
        <f t="shared" si="1136"/>
        <v>0</v>
      </c>
      <c r="J5269" t="str">
        <f>"01"</f>
        <v>01</v>
      </c>
      <c r="K5269">
        <v>20190315</v>
      </c>
      <c r="L5269" t="str">
        <f>"076094"</f>
        <v>076094</v>
      </c>
      <c r="M5269" t="str">
        <f>"51347"</f>
        <v>51347</v>
      </c>
      <c r="N5269" t="s">
        <v>1158</v>
      </c>
      <c r="O5269">
        <v>210</v>
      </c>
      <c r="P5269">
        <v>20190314</v>
      </c>
      <c r="Q5269" t="s">
        <v>3396</v>
      </c>
      <c r="R5269" t="s">
        <v>1160</v>
      </c>
      <c r="S5269" t="s">
        <v>1615</v>
      </c>
      <c r="T5269" t="s">
        <v>301</v>
      </c>
    </row>
    <row r="5270" spans="1:20" x14ac:dyDescent="0.25">
      <c r="A5270">
        <v>9</v>
      </c>
      <c r="B5270">
        <v>199</v>
      </c>
      <c r="C5270" t="str">
        <f>"36"</f>
        <v>36</v>
      </c>
      <c r="D5270">
        <v>6499</v>
      </c>
      <c r="E5270" t="str">
        <f>"H2"</f>
        <v>H2</v>
      </c>
      <c r="F5270" t="str">
        <f>"001"</f>
        <v>001</v>
      </c>
      <c r="G5270">
        <v>9</v>
      </c>
      <c r="H5270" t="str">
        <f t="shared" si="1142"/>
        <v>99</v>
      </c>
      <c r="I5270" t="str">
        <f t="shared" si="1136"/>
        <v>0</v>
      </c>
      <c r="J5270" t="str">
        <f>"37"</f>
        <v>37</v>
      </c>
      <c r="K5270">
        <v>20190315</v>
      </c>
      <c r="L5270" t="str">
        <f>"076094"</f>
        <v>076094</v>
      </c>
      <c r="M5270" t="str">
        <f>"51347"</f>
        <v>51347</v>
      </c>
      <c r="N5270" t="s">
        <v>1158</v>
      </c>
      <c r="O5270">
        <v>70</v>
      </c>
      <c r="P5270">
        <v>20190314</v>
      </c>
      <c r="Q5270" t="s">
        <v>2903</v>
      </c>
      <c r="R5270" t="s">
        <v>1160</v>
      </c>
      <c r="S5270" t="s">
        <v>1615</v>
      </c>
      <c r="T5270" t="s">
        <v>301</v>
      </c>
    </row>
    <row r="5271" spans="1:20" x14ac:dyDescent="0.25">
      <c r="A5271">
        <v>9</v>
      </c>
      <c r="B5271">
        <v>199</v>
      </c>
      <c r="C5271" t="str">
        <f>"21"</f>
        <v>21</v>
      </c>
      <c r="D5271">
        <v>6216</v>
      </c>
      <c r="E5271" t="str">
        <f>"00"</f>
        <v>00</v>
      </c>
      <c r="F5271" t="str">
        <f>"875"</f>
        <v>875</v>
      </c>
      <c r="G5271">
        <v>9</v>
      </c>
      <c r="H5271" t="str">
        <f>"23"</f>
        <v>23</v>
      </c>
      <c r="I5271" t="str">
        <f t="shared" si="1136"/>
        <v>0</v>
      </c>
      <c r="J5271" t="str">
        <f>"23"</f>
        <v>23</v>
      </c>
      <c r="K5271">
        <v>20190315</v>
      </c>
      <c r="L5271" t="str">
        <f>"076095"</f>
        <v>076095</v>
      </c>
      <c r="M5271" t="str">
        <f>"51475"</f>
        <v>51475</v>
      </c>
      <c r="N5271" t="s">
        <v>3195</v>
      </c>
      <c r="O5271" s="1">
        <v>1253.53</v>
      </c>
      <c r="P5271">
        <v>20190314</v>
      </c>
      <c r="Q5271" t="s">
        <v>3196</v>
      </c>
      <c r="R5271" t="s">
        <v>4266</v>
      </c>
      <c r="S5271" t="s">
        <v>1615</v>
      </c>
      <c r="T5271" t="s">
        <v>2041</v>
      </c>
    </row>
    <row r="5272" spans="1:20" x14ac:dyDescent="0.25">
      <c r="A5272">
        <v>9</v>
      </c>
      <c r="B5272">
        <v>199</v>
      </c>
      <c r="C5272" t="str">
        <f>"21"</f>
        <v>21</v>
      </c>
      <c r="D5272">
        <v>6216</v>
      </c>
      <c r="E5272" t="str">
        <f>"00"</f>
        <v>00</v>
      </c>
      <c r="F5272" t="str">
        <f>"875"</f>
        <v>875</v>
      </c>
      <c r="G5272">
        <v>9</v>
      </c>
      <c r="H5272" t="str">
        <f>"23"</f>
        <v>23</v>
      </c>
      <c r="I5272" t="str">
        <f t="shared" si="1136"/>
        <v>0</v>
      </c>
      <c r="J5272" t="str">
        <f>"23"</f>
        <v>23</v>
      </c>
      <c r="K5272">
        <v>20190315</v>
      </c>
      <c r="L5272" t="str">
        <f>"076095"</f>
        <v>076095</v>
      </c>
      <c r="M5272" t="str">
        <f>"51475"</f>
        <v>51475</v>
      </c>
      <c r="N5272" t="s">
        <v>3195</v>
      </c>
      <c r="O5272">
        <v>40.479999999999997</v>
      </c>
      <c r="P5272">
        <v>20190314</v>
      </c>
      <c r="Q5272" t="s">
        <v>3196</v>
      </c>
      <c r="R5272" t="s">
        <v>4267</v>
      </c>
      <c r="S5272" t="s">
        <v>1615</v>
      </c>
      <c r="T5272" t="s">
        <v>2041</v>
      </c>
    </row>
    <row r="5273" spans="1:20" x14ac:dyDescent="0.25">
      <c r="A5273">
        <v>9</v>
      </c>
      <c r="B5273">
        <v>199</v>
      </c>
      <c r="C5273" t="str">
        <f>"52"</f>
        <v>52</v>
      </c>
      <c r="D5273">
        <v>6219</v>
      </c>
      <c r="E5273" t="str">
        <f>"00"</f>
        <v>00</v>
      </c>
      <c r="F5273" t="str">
        <f>"101"</f>
        <v>101</v>
      </c>
      <c r="G5273">
        <v>9</v>
      </c>
      <c r="H5273" t="str">
        <f>"99"</f>
        <v>99</v>
      </c>
      <c r="I5273" t="str">
        <f t="shared" si="1136"/>
        <v>0</v>
      </c>
      <c r="J5273" t="str">
        <f>"00"</f>
        <v>00</v>
      </c>
      <c r="K5273">
        <v>20190315</v>
      </c>
      <c r="L5273" t="str">
        <f>"076096"</f>
        <v>076096</v>
      </c>
      <c r="M5273" t="str">
        <f>"00755"</f>
        <v>00755</v>
      </c>
      <c r="N5273" t="s">
        <v>4268</v>
      </c>
      <c r="O5273">
        <v>300</v>
      </c>
      <c r="P5273">
        <v>20190314</v>
      </c>
      <c r="Q5273" t="s">
        <v>1854</v>
      </c>
      <c r="R5273" t="s">
        <v>4269</v>
      </c>
      <c r="S5273" t="s">
        <v>1615</v>
      </c>
      <c r="T5273" t="s">
        <v>1479</v>
      </c>
    </row>
    <row r="5274" spans="1:20" x14ac:dyDescent="0.25">
      <c r="A5274">
        <v>9</v>
      </c>
      <c r="B5274">
        <v>199</v>
      </c>
      <c r="C5274" t="str">
        <f>"52"</f>
        <v>52</v>
      </c>
      <c r="D5274">
        <v>6219</v>
      </c>
      <c r="E5274" t="str">
        <f>"00"</f>
        <v>00</v>
      </c>
      <c r="F5274" t="str">
        <f>"101"</f>
        <v>101</v>
      </c>
      <c r="G5274">
        <v>9</v>
      </c>
      <c r="H5274" t="str">
        <f>"99"</f>
        <v>99</v>
      </c>
      <c r="I5274" t="str">
        <f t="shared" ref="I5274:I5295" si="1143">"0"</f>
        <v>0</v>
      </c>
      <c r="J5274" t="str">
        <f>"00"</f>
        <v>00</v>
      </c>
      <c r="K5274">
        <v>20190315</v>
      </c>
      <c r="L5274" t="str">
        <f>"076096"</f>
        <v>076096</v>
      </c>
      <c r="M5274" t="str">
        <f>"00755"</f>
        <v>00755</v>
      </c>
      <c r="N5274" t="s">
        <v>4268</v>
      </c>
      <c r="O5274">
        <v>300</v>
      </c>
      <c r="P5274">
        <v>20190314</v>
      </c>
      <c r="Q5274" t="s">
        <v>1854</v>
      </c>
      <c r="R5274" t="s">
        <v>4270</v>
      </c>
      <c r="S5274" t="s">
        <v>1615</v>
      </c>
      <c r="T5274" t="s">
        <v>1479</v>
      </c>
    </row>
    <row r="5275" spans="1:20" x14ac:dyDescent="0.25">
      <c r="A5275">
        <v>9</v>
      </c>
      <c r="B5275">
        <v>199</v>
      </c>
      <c r="C5275" t="str">
        <f>"41"</f>
        <v>41</v>
      </c>
      <c r="D5275">
        <v>6213</v>
      </c>
      <c r="E5275" t="str">
        <f>"11"</f>
        <v>11</v>
      </c>
      <c r="F5275" t="str">
        <f>"703"</f>
        <v>703</v>
      </c>
      <c r="G5275">
        <v>9</v>
      </c>
      <c r="H5275" t="str">
        <f>"99"</f>
        <v>99</v>
      </c>
      <c r="I5275" t="str">
        <f t="shared" si="1143"/>
        <v>0</v>
      </c>
      <c r="J5275" t="str">
        <f>"91"</f>
        <v>91</v>
      </c>
      <c r="K5275">
        <v>20190315</v>
      </c>
      <c r="L5275" t="str">
        <f>"076099"</f>
        <v>076099</v>
      </c>
      <c r="M5275" t="str">
        <f>"61166"</f>
        <v>61166</v>
      </c>
      <c r="N5275" t="s">
        <v>2892</v>
      </c>
      <c r="O5275" s="1">
        <v>1231.55</v>
      </c>
      <c r="P5275">
        <v>20190314</v>
      </c>
      <c r="Q5275" t="s">
        <v>2893</v>
      </c>
      <c r="R5275" t="s">
        <v>2894</v>
      </c>
      <c r="S5275" t="s">
        <v>1615</v>
      </c>
      <c r="T5275" t="s">
        <v>1761</v>
      </c>
    </row>
    <row r="5276" spans="1:20" x14ac:dyDescent="0.25">
      <c r="A5276">
        <v>9</v>
      </c>
      <c r="B5276">
        <v>199</v>
      </c>
      <c r="C5276" t="str">
        <f>"51"</f>
        <v>51</v>
      </c>
      <c r="D5276">
        <v>6249</v>
      </c>
      <c r="E5276" t="str">
        <f>"M1"</f>
        <v>M1</v>
      </c>
      <c r="F5276" t="str">
        <f>"936"</f>
        <v>936</v>
      </c>
      <c r="G5276">
        <v>9</v>
      </c>
      <c r="H5276" t="str">
        <f>"99"</f>
        <v>99</v>
      </c>
      <c r="I5276" t="str">
        <f t="shared" si="1143"/>
        <v>0</v>
      </c>
      <c r="J5276" t="str">
        <f>"81"</f>
        <v>81</v>
      </c>
      <c r="K5276">
        <v>20190315</v>
      </c>
      <c r="L5276" t="str">
        <f>"076100"</f>
        <v>076100</v>
      </c>
      <c r="M5276" t="str">
        <f>"00181"</f>
        <v>00181</v>
      </c>
      <c r="N5276" t="s">
        <v>1762</v>
      </c>
      <c r="O5276">
        <v>320</v>
      </c>
      <c r="P5276">
        <v>20190314</v>
      </c>
      <c r="Q5276" t="s">
        <v>1763</v>
      </c>
      <c r="R5276" s="2">
        <v>43160</v>
      </c>
      <c r="S5276" t="s">
        <v>1615</v>
      </c>
      <c r="T5276" t="s">
        <v>1713</v>
      </c>
    </row>
    <row r="5277" spans="1:20" x14ac:dyDescent="0.25">
      <c r="A5277">
        <v>9</v>
      </c>
      <c r="B5277">
        <v>199</v>
      </c>
      <c r="C5277" t="str">
        <f>"12"</f>
        <v>12</v>
      </c>
      <c r="D5277">
        <v>6249</v>
      </c>
      <c r="E5277" t="str">
        <f>"7U"</f>
        <v>7U</v>
      </c>
      <c r="F5277" t="str">
        <f>"001"</f>
        <v>001</v>
      </c>
      <c r="G5277">
        <v>9</v>
      </c>
      <c r="H5277" t="str">
        <f>"11"</f>
        <v>11</v>
      </c>
      <c r="I5277" t="str">
        <f t="shared" si="1143"/>
        <v>0</v>
      </c>
      <c r="J5277" t="str">
        <f>"01"</f>
        <v>01</v>
      </c>
      <c r="K5277">
        <v>20190315</v>
      </c>
      <c r="L5277" t="str">
        <f>"076102"</f>
        <v>076102</v>
      </c>
      <c r="M5277" t="str">
        <f>"00270"</f>
        <v>00270</v>
      </c>
      <c r="N5277" t="s">
        <v>4271</v>
      </c>
      <c r="O5277">
        <v>250</v>
      </c>
      <c r="P5277">
        <v>20190314</v>
      </c>
      <c r="Q5277" t="s">
        <v>1752</v>
      </c>
      <c r="R5277" t="s">
        <v>4272</v>
      </c>
      <c r="S5277" t="s">
        <v>1615</v>
      </c>
      <c r="T5277" t="s">
        <v>301</v>
      </c>
    </row>
    <row r="5278" spans="1:20" x14ac:dyDescent="0.25">
      <c r="A5278">
        <v>9</v>
      </c>
      <c r="B5278">
        <v>199</v>
      </c>
      <c r="C5278" t="str">
        <f>"11"</f>
        <v>11</v>
      </c>
      <c r="D5278">
        <v>6399</v>
      </c>
      <c r="E5278" t="str">
        <f>"7E"</f>
        <v>7E</v>
      </c>
      <c r="F5278" t="str">
        <f>"041"</f>
        <v>041</v>
      </c>
      <c r="G5278">
        <v>9</v>
      </c>
      <c r="H5278" t="str">
        <f>"11"</f>
        <v>11</v>
      </c>
      <c r="I5278" t="str">
        <f t="shared" si="1143"/>
        <v>0</v>
      </c>
      <c r="J5278" t="str">
        <f>"35"</f>
        <v>35</v>
      </c>
      <c r="K5278">
        <v>20190315</v>
      </c>
      <c r="L5278" t="str">
        <f>"076103"</f>
        <v>076103</v>
      </c>
      <c r="M5278" t="str">
        <f>"57700"</f>
        <v>57700</v>
      </c>
      <c r="N5278" t="s">
        <v>4273</v>
      </c>
      <c r="O5278">
        <v>101.5</v>
      </c>
      <c r="P5278">
        <v>20190314</v>
      </c>
      <c r="Q5278" t="s">
        <v>2655</v>
      </c>
      <c r="R5278" t="s">
        <v>2383</v>
      </c>
      <c r="S5278" t="s">
        <v>1615</v>
      </c>
      <c r="T5278" t="s">
        <v>106</v>
      </c>
    </row>
    <row r="5279" spans="1:20" x14ac:dyDescent="0.25">
      <c r="A5279">
        <v>9</v>
      </c>
      <c r="B5279">
        <v>199</v>
      </c>
      <c r="C5279" t="str">
        <f>"36"</f>
        <v>36</v>
      </c>
      <c r="D5279">
        <v>6399</v>
      </c>
      <c r="E5279" t="str">
        <f>"09"</f>
        <v>09</v>
      </c>
      <c r="F5279" t="str">
        <f>"001"</f>
        <v>001</v>
      </c>
      <c r="G5279">
        <v>9</v>
      </c>
      <c r="H5279" t="str">
        <f>"99"</f>
        <v>99</v>
      </c>
      <c r="I5279" t="str">
        <f t="shared" si="1143"/>
        <v>0</v>
      </c>
      <c r="J5279" t="str">
        <f>"01"</f>
        <v>01</v>
      </c>
      <c r="K5279">
        <v>20190315</v>
      </c>
      <c r="L5279" t="str">
        <f>"076104"</f>
        <v>076104</v>
      </c>
      <c r="M5279" t="str">
        <f>"58204"</f>
        <v>58204</v>
      </c>
      <c r="N5279" t="s">
        <v>1767</v>
      </c>
      <c r="O5279">
        <v>358.2</v>
      </c>
      <c r="P5279">
        <v>20190315</v>
      </c>
      <c r="Q5279" t="s">
        <v>2177</v>
      </c>
      <c r="R5279" t="s">
        <v>4223</v>
      </c>
      <c r="S5279" t="s">
        <v>1615</v>
      </c>
      <c r="T5279" t="s">
        <v>301</v>
      </c>
    </row>
    <row r="5280" spans="1:20" x14ac:dyDescent="0.25">
      <c r="A5280">
        <v>9</v>
      </c>
      <c r="B5280">
        <v>199</v>
      </c>
      <c r="C5280" t="str">
        <f>"36"</f>
        <v>36</v>
      </c>
      <c r="D5280">
        <v>6399</v>
      </c>
      <c r="E5280" t="str">
        <f>"09"</f>
        <v>09</v>
      </c>
      <c r="F5280" t="str">
        <f>"001"</f>
        <v>001</v>
      </c>
      <c r="G5280">
        <v>9</v>
      </c>
      <c r="H5280" t="str">
        <f>"99"</f>
        <v>99</v>
      </c>
      <c r="I5280" t="str">
        <f t="shared" si="1143"/>
        <v>0</v>
      </c>
      <c r="J5280" t="str">
        <f>"01"</f>
        <v>01</v>
      </c>
      <c r="K5280">
        <v>20190315</v>
      </c>
      <c r="L5280" t="str">
        <f>"076104"</f>
        <v>076104</v>
      </c>
      <c r="M5280" t="str">
        <f>"58204"</f>
        <v>58204</v>
      </c>
      <c r="N5280" t="s">
        <v>1767</v>
      </c>
      <c r="O5280">
        <v>53</v>
      </c>
      <c r="P5280">
        <v>20190315</v>
      </c>
      <c r="Q5280" t="s">
        <v>2177</v>
      </c>
      <c r="R5280" t="s">
        <v>4223</v>
      </c>
      <c r="S5280" t="s">
        <v>1615</v>
      </c>
      <c r="T5280" t="s">
        <v>301</v>
      </c>
    </row>
    <row r="5281" spans="1:20" x14ac:dyDescent="0.25">
      <c r="A5281">
        <v>9</v>
      </c>
      <c r="B5281">
        <v>199</v>
      </c>
      <c r="C5281" t="str">
        <f>"36"</f>
        <v>36</v>
      </c>
      <c r="D5281">
        <v>6412</v>
      </c>
      <c r="E5281" t="str">
        <f>"03"</f>
        <v>03</v>
      </c>
      <c r="F5281" t="str">
        <f>"104"</f>
        <v>104</v>
      </c>
      <c r="G5281">
        <v>9</v>
      </c>
      <c r="H5281" t="str">
        <f>"99"</f>
        <v>99</v>
      </c>
      <c r="I5281" t="str">
        <f t="shared" si="1143"/>
        <v>0</v>
      </c>
      <c r="J5281" t="str">
        <f>"05"</f>
        <v>05</v>
      </c>
      <c r="K5281">
        <v>20190315</v>
      </c>
      <c r="L5281" t="str">
        <f>"076105"</f>
        <v>076105</v>
      </c>
      <c r="M5281" t="str">
        <f>"58201"</f>
        <v>58201</v>
      </c>
      <c r="N5281" t="s">
        <v>2662</v>
      </c>
      <c r="O5281">
        <v>100</v>
      </c>
      <c r="P5281">
        <v>20190314</v>
      </c>
      <c r="Q5281" t="s">
        <v>4274</v>
      </c>
      <c r="R5281" t="s">
        <v>3827</v>
      </c>
      <c r="S5281" t="s">
        <v>1615</v>
      </c>
      <c r="T5281" t="s">
        <v>46</v>
      </c>
    </row>
    <row r="5282" spans="1:20" x14ac:dyDescent="0.25">
      <c r="A5282">
        <v>9</v>
      </c>
      <c r="B5282">
        <v>199</v>
      </c>
      <c r="C5282" t="str">
        <f>"11"</f>
        <v>11</v>
      </c>
      <c r="D5282">
        <v>6399</v>
      </c>
      <c r="E5282" t="str">
        <f>"VD"</f>
        <v>VD</v>
      </c>
      <c r="F5282" t="str">
        <f>"001"</f>
        <v>001</v>
      </c>
      <c r="G5282">
        <v>9</v>
      </c>
      <c r="H5282" t="str">
        <f>"22"</f>
        <v>22</v>
      </c>
      <c r="I5282" t="str">
        <f t="shared" si="1143"/>
        <v>0</v>
      </c>
      <c r="J5282" t="str">
        <f>"22"</f>
        <v>22</v>
      </c>
      <c r="K5282">
        <v>20190315</v>
      </c>
      <c r="L5282" t="str">
        <f>"076106"</f>
        <v>076106</v>
      </c>
      <c r="M5282" t="str">
        <f>"58941"</f>
        <v>58941</v>
      </c>
      <c r="N5282" t="s">
        <v>4275</v>
      </c>
      <c r="O5282">
        <v>374</v>
      </c>
      <c r="P5282">
        <v>20190314</v>
      </c>
      <c r="Q5282" t="s">
        <v>1862</v>
      </c>
      <c r="R5282" t="s">
        <v>4276</v>
      </c>
      <c r="S5282" t="s">
        <v>1615</v>
      </c>
      <c r="T5282" t="s">
        <v>301</v>
      </c>
    </row>
    <row r="5283" spans="1:20" x14ac:dyDescent="0.25">
      <c r="A5283">
        <v>9</v>
      </c>
      <c r="B5283">
        <v>199</v>
      </c>
      <c r="C5283" t="str">
        <f t="shared" ref="C5283:C5295" si="1144">"51"</f>
        <v>51</v>
      </c>
      <c r="D5283">
        <v>6248</v>
      </c>
      <c r="E5283" t="str">
        <f t="shared" ref="E5283:E5295" si="1145">"M3"</f>
        <v>M3</v>
      </c>
      <c r="F5283" t="str">
        <f t="shared" ref="F5283:F5295" si="1146">"936"</f>
        <v>936</v>
      </c>
      <c r="G5283">
        <v>9</v>
      </c>
      <c r="H5283" t="str">
        <f t="shared" ref="H5283:H5297" si="1147">"99"</f>
        <v>99</v>
      </c>
      <c r="I5283" t="str">
        <f t="shared" si="1143"/>
        <v>0</v>
      </c>
      <c r="J5283" t="str">
        <f t="shared" ref="J5283:J5295" si="1148">"81"</f>
        <v>81</v>
      </c>
      <c r="K5283">
        <v>20190315</v>
      </c>
      <c r="L5283" t="str">
        <f t="shared" ref="L5283:L5295" si="1149">"076107"</f>
        <v>076107</v>
      </c>
      <c r="M5283" t="str">
        <f t="shared" ref="M5283:M5295" si="1150">"60190"</f>
        <v>60190</v>
      </c>
      <c r="N5283" t="s">
        <v>4277</v>
      </c>
      <c r="O5283">
        <v>141.99</v>
      </c>
      <c r="P5283">
        <v>20190315</v>
      </c>
      <c r="Q5283" t="s">
        <v>4278</v>
      </c>
      <c r="R5283" t="s">
        <v>4279</v>
      </c>
      <c r="S5283" t="s">
        <v>1615</v>
      </c>
      <c r="T5283" t="s">
        <v>1713</v>
      </c>
    </row>
    <row r="5284" spans="1:20" x14ac:dyDescent="0.25">
      <c r="A5284">
        <v>9</v>
      </c>
      <c r="B5284">
        <v>199</v>
      </c>
      <c r="C5284" t="str">
        <f t="shared" si="1144"/>
        <v>51</v>
      </c>
      <c r="D5284">
        <v>6248</v>
      </c>
      <c r="E5284" t="str">
        <f t="shared" si="1145"/>
        <v>M3</v>
      </c>
      <c r="F5284" t="str">
        <f t="shared" si="1146"/>
        <v>936</v>
      </c>
      <c r="G5284">
        <v>9</v>
      </c>
      <c r="H5284" t="str">
        <f t="shared" si="1147"/>
        <v>99</v>
      </c>
      <c r="I5284" t="str">
        <f t="shared" si="1143"/>
        <v>0</v>
      </c>
      <c r="J5284" t="str">
        <f t="shared" si="1148"/>
        <v>81</v>
      </c>
      <c r="K5284">
        <v>20190315</v>
      </c>
      <c r="L5284" t="str">
        <f t="shared" si="1149"/>
        <v>076107</v>
      </c>
      <c r="M5284" t="str">
        <f t="shared" si="1150"/>
        <v>60190</v>
      </c>
      <c r="N5284" t="s">
        <v>4277</v>
      </c>
      <c r="O5284">
        <v>153</v>
      </c>
      <c r="P5284">
        <v>20190315</v>
      </c>
      <c r="Q5284" t="s">
        <v>4278</v>
      </c>
      <c r="R5284" t="s">
        <v>4280</v>
      </c>
      <c r="S5284" t="s">
        <v>1615</v>
      </c>
      <c r="T5284" t="s">
        <v>1713</v>
      </c>
    </row>
    <row r="5285" spans="1:20" x14ac:dyDescent="0.25">
      <c r="A5285">
        <v>9</v>
      </c>
      <c r="B5285">
        <v>199</v>
      </c>
      <c r="C5285" t="str">
        <f t="shared" si="1144"/>
        <v>51</v>
      </c>
      <c r="D5285">
        <v>6248</v>
      </c>
      <c r="E5285" t="str">
        <f t="shared" si="1145"/>
        <v>M3</v>
      </c>
      <c r="F5285" t="str">
        <f t="shared" si="1146"/>
        <v>936</v>
      </c>
      <c r="G5285">
        <v>9</v>
      </c>
      <c r="H5285" t="str">
        <f t="shared" si="1147"/>
        <v>99</v>
      </c>
      <c r="I5285" t="str">
        <f t="shared" si="1143"/>
        <v>0</v>
      </c>
      <c r="J5285" t="str">
        <f t="shared" si="1148"/>
        <v>81</v>
      </c>
      <c r="K5285">
        <v>20190315</v>
      </c>
      <c r="L5285" t="str">
        <f t="shared" si="1149"/>
        <v>076107</v>
      </c>
      <c r="M5285" t="str">
        <f t="shared" si="1150"/>
        <v>60190</v>
      </c>
      <c r="N5285" t="s">
        <v>4277</v>
      </c>
      <c r="O5285">
        <v>110</v>
      </c>
      <c r="P5285">
        <v>20190315</v>
      </c>
      <c r="Q5285" t="s">
        <v>4278</v>
      </c>
      <c r="R5285" t="s">
        <v>4280</v>
      </c>
      <c r="S5285" t="s">
        <v>1615</v>
      </c>
      <c r="T5285" t="s">
        <v>1713</v>
      </c>
    </row>
    <row r="5286" spans="1:20" x14ac:dyDescent="0.25">
      <c r="A5286">
        <v>9</v>
      </c>
      <c r="B5286">
        <v>199</v>
      </c>
      <c r="C5286" t="str">
        <f t="shared" si="1144"/>
        <v>51</v>
      </c>
      <c r="D5286">
        <v>6248</v>
      </c>
      <c r="E5286" t="str">
        <f t="shared" si="1145"/>
        <v>M3</v>
      </c>
      <c r="F5286" t="str">
        <f t="shared" si="1146"/>
        <v>936</v>
      </c>
      <c r="G5286">
        <v>9</v>
      </c>
      <c r="H5286" t="str">
        <f t="shared" si="1147"/>
        <v>99</v>
      </c>
      <c r="I5286" t="str">
        <f t="shared" si="1143"/>
        <v>0</v>
      </c>
      <c r="J5286" t="str">
        <f t="shared" si="1148"/>
        <v>81</v>
      </c>
      <c r="K5286">
        <v>20190315</v>
      </c>
      <c r="L5286" t="str">
        <f t="shared" si="1149"/>
        <v>076107</v>
      </c>
      <c r="M5286" t="str">
        <f t="shared" si="1150"/>
        <v>60190</v>
      </c>
      <c r="N5286" t="s">
        <v>4277</v>
      </c>
      <c r="O5286">
        <v>184.99</v>
      </c>
      <c r="P5286">
        <v>20190315</v>
      </c>
      <c r="Q5286" t="s">
        <v>4278</v>
      </c>
      <c r="R5286" t="s">
        <v>4280</v>
      </c>
      <c r="S5286" t="s">
        <v>1615</v>
      </c>
      <c r="T5286" t="s">
        <v>1713</v>
      </c>
    </row>
    <row r="5287" spans="1:20" x14ac:dyDescent="0.25">
      <c r="A5287">
        <v>9</v>
      </c>
      <c r="B5287">
        <v>199</v>
      </c>
      <c r="C5287" t="str">
        <f t="shared" si="1144"/>
        <v>51</v>
      </c>
      <c r="D5287">
        <v>6248</v>
      </c>
      <c r="E5287" t="str">
        <f t="shared" si="1145"/>
        <v>M3</v>
      </c>
      <c r="F5287" t="str">
        <f t="shared" si="1146"/>
        <v>936</v>
      </c>
      <c r="G5287">
        <v>9</v>
      </c>
      <c r="H5287" t="str">
        <f t="shared" si="1147"/>
        <v>99</v>
      </c>
      <c r="I5287" t="str">
        <f t="shared" si="1143"/>
        <v>0</v>
      </c>
      <c r="J5287" t="str">
        <f t="shared" si="1148"/>
        <v>81</v>
      </c>
      <c r="K5287">
        <v>20190315</v>
      </c>
      <c r="L5287" t="str">
        <f t="shared" si="1149"/>
        <v>076107</v>
      </c>
      <c r="M5287" t="str">
        <f t="shared" si="1150"/>
        <v>60190</v>
      </c>
      <c r="N5287" t="s">
        <v>4277</v>
      </c>
      <c r="O5287">
        <v>184.99</v>
      </c>
      <c r="P5287">
        <v>20190315</v>
      </c>
      <c r="Q5287" t="s">
        <v>4278</v>
      </c>
      <c r="R5287" t="s">
        <v>4281</v>
      </c>
      <c r="S5287" t="s">
        <v>1615</v>
      </c>
      <c r="T5287" t="s">
        <v>1713</v>
      </c>
    </row>
    <row r="5288" spans="1:20" x14ac:dyDescent="0.25">
      <c r="A5288">
        <v>9</v>
      </c>
      <c r="B5288">
        <v>199</v>
      </c>
      <c r="C5288" t="str">
        <f t="shared" si="1144"/>
        <v>51</v>
      </c>
      <c r="D5288">
        <v>6248</v>
      </c>
      <c r="E5288" t="str">
        <f t="shared" si="1145"/>
        <v>M3</v>
      </c>
      <c r="F5288" t="str">
        <f t="shared" si="1146"/>
        <v>936</v>
      </c>
      <c r="G5288">
        <v>9</v>
      </c>
      <c r="H5288" t="str">
        <f t="shared" si="1147"/>
        <v>99</v>
      </c>
      <c r="I5288" t="str">
        <f t="shared" si="1143"/>
        <v>0</v>
      </c>
      <c r="J5288" t="str">
        <f t="shared" si="1148"/>
        <v>81</v>
      </c>
      <c r="K5288">
        <v>20190315</v>
      </c>
      <c r="L5288" t="str">
        <f t="shared" si="1149"/>
        <v>076107</v>
      </c>
      <c r="M5288" t="str">
        <f t="shared" si="1150"/>
        <v>60190</v>
      </c>
      <c r="N5288" t="s">
        <v>4277</v>
      </c>
      <c r="O5288">
        <v>162.99</v>
      </c>
      <c r="P5288">
        <v>20190315</v>
      </c>
      <c r="Q5288" t="s">
        <v>4278</v>
      </c>
      <c r="R5288" t="s">
        <v>4282</v>
      </c>
      <c r="S5288" t="s">
        <v>1615</v>
      </c>
      <c r="T5288" t="s">
        <v>1713</v>
      </c>
    </row>
    <row r="5289" spans="1:20" x14ac:dyDescent="0.25">
      <c r="A5289">
        <v>9</v>
      </c>
      <c r="B5289">
        <v>199</v>
      </c>
      <c r="C5289" t="str">
        <f t="shared" si="1144"/>
        <v>51</v>
      </c>
      <c r="D5289">
        <v>6248</v>
      </c>
      <c r="E5289" t="str">
        <f t="shared" si="1145"/>
        <v>M3</v>
      </c>
      <c r="F5289" t="str">
        <f t="shared" si="1146"/>
        <v>936</v>
      </c>
      <c r="G5289">
        <v>9</v>
      </c>
      <c r="H5289" t="str">
        <f t="shared" si="1147"/>
        <v>99</v>
      </c>
      <c r="I5289" t="str">
        <f t="shared" si="1143"/>
        <v>0</v>
      </c>
      <c r="J5289" t="str">
        <f t="shared" si="1148"/>
        <v>81</v>
      </c>
      <c r="K5289">
        <v>20190315</v>
      </c>
      <c r="L5289" t="str">
        <f t="shared" si="1149"/>
        <v>076107</v>
      </c>
      <c r="M5289" t="str">
        <f t="shared" si="1150"/>
        <v>60190</v>
      </c>
      <c r="N5289" t="s">
        <v>4277</v>
      </c>
      <c r="O5289">
        <v>88</v>
      </c>
      <c r="P5289">
        <v>20190315</v>
      </c>
      <c r="Q5289" t="s">
        <v>4278</v>
      </c>
      <c r="R5289" t="s">
        <v>4283</v>
      </c>
      <c r="S5289" t="s">
        <v>1615</v>
      </c>
      <c r="T5289" t="s">
        <v>1713</v>
      </c>
    </row>
    <row r="5290" spans="1:20" x14ac:dyDescent="0.25">
      <c r="A5290">
        <v>9</v>
      </c>
      <c r="B5290">
        <v>199</v>
      </c>
      <c r="C5290" t="str">
        <f t="shared" si="1144"/>
        <v>51</v>
      </c>
      <c r="D5290">
        <v>6248</v>
      </c>
      <c r="E5290" t="str">
        <f t="shared" si="1145"/>
        <v>M3</v>
      </c>
      <c r="F5290" t="str">
        <f t="shared" si="1146"/>
        <v>936</v>
      </c>
      <c r="G5290">
        <v>9</v>
      </c>
      <c r="H5290" t="str">
        <f t="shared" si="1147"/>
        <v>99</v>
      </c>
      <c r="I5290" t="str">
        <f t="shared" si="1143"/>
        <v>0</v>
      </c>
      <c r="J5290" t="str">
        <f t="shared" si="1148"/>
        <v>81</v>
      </c>
      <c r="K5290">
        <v>20190315</v>
      </c>
      <c r="L5290" t="str">
        <f t="shared" si="1149"/>
        <v>076107</v>
      </c>
      <c r="M5290" t="str">
        <f t="shared" si="1150"/>
        <v>60190</v>
      </c>
      <c r="N5290" t="s">
        <v>4277</v>
      </c>
      <c r="O5290">
        <v>226.71</v>
      </c>
      <c r="P5290">
        <v>20190315</v>
      </c>
      <c r="Q5290" t="s">
        <v>4278</v>
      </c>
      <c r="R5290" t="s">
        <v>4280</v>
      </c>
      <c r="S5290" t="s">
        <v>1615</v>
      </c>
      <c r="T5290" t="s">
        <v>1713</v>
      </c>
    </row>
    <row r="5291" spans="1:20" x14ac:dyDescent="0.25">
      <c r="A5291">
        <v>9</v>
      </c>
      <c r="B5291">
        <v>199</v>
      </c>
      <c r="C5291" t="str">
        <f t="shared" si="1144"/>
        <v>51</v>
      </c>
      <c r="D5291">
        <v>6248</v>
      </c>
      <c r="E5291" t="str">
        <f t="shared" si="1145"/>
        <v>M3</v>
      </c>
      <c r="F5291" t="str">
        <f t="shared" si="1146"/>
        <v>936</v>
      </c>
      <c r="G5291">
        <v>9</v>
      </c>
      <c r="H5291" t="str">
        <f t="shared" si="1147"/>
        <v>99</v>
      </c>
      <c r="I5291" t="str">
        <f t="shared" si="1143"/>
        <v>0</v>
      </c>
      <c r="J5291" t="str">
        <f t="shared" si="1148"/>
        <v>81</v>
      </c>
      <c r="K5291">
        <v>20190315</v>
      </c>
      <c r="L5291" t="str">
        <f t="shared" si="1149"/>
        <v>076107</v>
      </c>
      <c r="M5291" t="str">
        <f t="shared" si="1150"/>
        <v>60190</v>
      </c>
      <c r="N5291" t="s">
        <v>4277</v>
      </c>
      <c r="O5291">
        <v>495.63</v>
      </c>
      <c r="P5291">
        <v>20190315</v>
      </c>
      <c r="Q5291" t="s">
        <v>4278</v>
      </c>
      <c r="R5291" t="s">
        <v>4280</v>
      </c>
      <c r="S5291" t="s">
        <v>1615</v>
      </c>
      <c r="T5291" t="s">
        <v>1713</v>
      </c>
    </row>
    <row r="5292" spans="1:20" x14ac:dyDescent="0.25">
      <c r="A5292">
        <v>9</v>
      </c>
      <c r="B5292">
        <v>199</v>
      </c>
      <c r="C5292" t="str">
        <f t="shared" si="1144"/>
        <v>51</v>
      </c>
      <c r="D5292">
        <v>6248</v>
      </c>
      <c r="E5292" t="str">
        <f t="shared" si="1145"/>
        <v>M3</v>
      </c>
      <c r="F5292" t="str">
        <f t="shared" si="1146"/>
        <v>936</v>
      </c>
      <c r="G5292">
        <v>9</v>
      </c>
      <c r="H5292" t="str">
        <f t="shared" si="1147"/>
        <v>99</v>
      </c>
      <c r="I5292" t="str">
        <f t="shared" si="1143"/>
        <v>0</v>
      </c>
      <c r="J5292" t="str">
        <f t="shared" si="1148"/>
        <v>81</v>
      </c>
      <c r="K5292">
        <v>20190315</v>
      </c>
      <c r="L5292" t="str">
        <f t="shared" si="1149"/>
        <v>076107</v>
      </c>
      <c r="M5292" t="str">
        <f t="shared" si="1150"/>
        <v>60190</v>
      </c>
      <c r="N5292" t="s">
        <v>4277</v>
      </c>
      <c r="O5292">
        <v>628.4</v>
      </c>
      <c r="P5292">
        <v>20190315</v>
      </c>
      <c r="Q5292" t="s">
        <v>4278</v>
      </c>
      <c r="R5292" t="s">
        <v>4280</v>
      </c>
      <c r="S5292" t="s">
        <v>1615</v>
      </c>
      <c r="T5292" t="s">
        <v>1713</v>
      </c>
    </row>
    <row r="5293" spans="1:20" x14ac:dyDescent="0.25">
      <c r="A5293">
        <v>9</v>
      </c>
      <c r="B5293">
        <v>199</v>
      </c>
      <c r="C5293" t="str">
        <f t="shared" si="1144"/>
        <v>51</v>
      </c>
      <c r="D5293">
        <v>6649</v>
      </c>
      <c r="E5293" t="str">
        <f t="shared" si="1145"/>
        <v>M3</v>
      </c>
      <c r="F5293" t="str">
        <f t="shared" si="1146"/>
        <v>936</v>
      </c>
      <c r="G5293">
        <v>9</v>
      </c>
      <c r="H5293" t="str">
        <f t="shared" si="1147"/>
        <v>99</v>
      </c>
      <c r="I5293" t="str">
        <f t="shared" si="1143"/>
        <v>0</v>
      </c>
      <c r="J5293" t="str">
        <f t="shared" si="1148"/>
        <v>81</v>
      </c>
      <c r="K5293">
        <v>20190315</v>
      </c>
      <c r="L5293" t="str">
        <f t="shared" si="1149"/>
        <v>076107</v>
      </c>
      <c r="M5293" t="str">
        <f t="shared" si="1150"/>
        <v>60190</v>
      </c>
      <c r="N5293" t="s">
        <v>4277</v>
      </c>
      <c r="O5293">
        <v>162.99</v>
      </c>
      <c r="P5293">
        <v>20190315</v>
      </c>
      <c r="Q5293" t="s">
        <v>4284</v>
      </c>
      <c r="R5293" t="s">
        <v>4285</v>
      </c>
      <c r="S5293" t="s">
        <v>1615</v>
      </c>
      <c r="T5293" t="s">
        <v>1713</v>
      </c>
    </row>
    <row r="5294" spans="1:20" x14ac:dyDescent="0.25">
      <c r="A5294">
        <v>9</v>
      </c>
      <c r="B5294">
        <v>199</v>
      </c>
      <c r="C5294" t="str">
        <f t="shared" si="1144"/>
        <v>51</v>
      </c>
      <c r="D5294">
        <v>6649</v>
      </c>
      <c r="E5294" t="str">
        <f t="shared" si="1145"/>
        <v>M3</v>
      </c>
      <c r="F5294" t="str">
        <f t="shared" si="1146"/>
        <v>936</v>
      </c>
      <c r="G5294">
        <v>9</v>
      </c>
      <c r="H5294" t="str">
        <f t="shared" si="1147"/>
        <v>99</v>
      </c>
      <c r="I5294" t="str">
        <f t="shared" si="1143"/>
        <v>0</v>
      </c>
      <c r="J5294" t="str">
        <f t="shared" si="1148"/>
        <v>81</v>
      </c>
      <c r="K5294">
        <v>20190315</v>
      </c>
      <c r="L5294" t="str">
        <f t="shared" si="1149"/>
        <v>076107</v>
      </c>
      <c r="M5294" t="str">
        <f t="shared" si="1150"/>
        <v>60190</v>
      </c>
      <c r="N5294" t="s">
        <v>4277</v>
      </c>
      <c r="O5294">
        <v>97.99</v>
      </c>
      <c r="P5294">
        <v>20190315</v>
      </c>
      <c r="Q5294" t="s">
        <v>4284</v>
      </c>
      <c r="R5294" t="s">
        <v>4286</v>
      </c>
      <c r="S5294" t="s">
        <v>1615</v>
      </c>
      <c r="T5294" t="s">
        <v>1713</v>
      </c>
    </row>
    <row r="5295" spans="1:20" x14ac:dyDescent="0.25">
      <c r="A5295">
        <v>9</v>
      </c>
      <c r="B5295">
        <v>199</v>
      </c>
      <c r="C5295" t="str">
        <f t="shared" si="1144"/>
        <v>51</v>
      </c>
      <c r="D5295">
        <v>6649</v>
      </c>
      <c r="E5295" t="str">
        <f t="shared" si="1145"/>
        <v>M3</v>
      </c>
      <c r="F5295" t="str">
        <f t="shared" si="1146"/>
        <v>936</v>
      </c>
      <c r="G5295">
        <v>9</v>
      </c>
      <c r="H5295" t="str">
        <f t="shared" si="1147"/>
        <v>99</v>
      </c>
      <c r="I5295" t="str">
        <f t="shared" si="1143"/>
        <v>0</v>
      </c>
      <c r="J5295" t="str">
        <f t="shared" si="1148"/>
        <v>81</v>
      </c>
      <c r="K5295">
        <v>20190315</v>
      </c>
      <c r="L5295" t="str">
        <f t="shared" si="1149"/>
        <v>076107</v>
      </c>
      <c r="M5295" t="str">
        <f t="shared" si="1150"/>
        <v>60190</v>
      </c>
      <c r="N5295" t="s">
        <v>4277</v>
      </c>
      <c r="O5295">
        <v>97.99</v>
      </c>
      <c r="P5295">
        <v>20190315</v>
      </c>
      <c r="Q5295" t="s">
        <v>4284</v>
      </c>
      <c r="R5295" t="s">
        <v>4280</v>
      </c>
      <c r="S5295" t="s">
        <v>1615</v>
      </c>
      <c r="T5295" t="s">
        <v>1713</v>
      </c>
    </row>
    <row r="5296" spans="1:20" x14ac:dyDescent="0.25">
      <c r="A5296">
        <v>9</v>
      </c>
      <c r="B5296">
        <v>199</v>
      </c>
      <c r="C5296" t="str">
        <f>"21"</f>
        <v>21</v>
      </c>
      <c r="D5296">
        <v>6491</v>
      </c>
      <c r="E5296" t="str">
        <f>"10"</f>
        <v>10</v>
      </c>
      <c r="F5296" t="str">
        <f>"871"</f>
        <v>871</v>
      </c>
      <c r="G5296">
        <v>9</v>
      </c>
      <c r="H5296" t="str">
        <f t="shared" si="1147"/>
        <v>99</v>
      </c>
      <c r="I5296" t="str">
        <f>"1"</f>
        <v>1</v>
      </c>
      <c r="J5296" t="str">
        <f>"94"</f>
        <v>94</v>
      </c>
      <c r="K5296">
        <v>20190315</v>
      </c>
      <c r="L5296" t="str">
        <f>"076108"</f>
        <v>076108</v>
      </c>
      <c r="M5296" t="str">
        <f>"00355"</f>
        <v>00355</v>
      </c>
      <c r="N5296" t="s">
        <v>2304</v>
      </c>
      <c r="O5296">
        <v>80</v>
      </c>
      <c r="P5296">
        <v>20190314</v>
      </c>
      <c r="Q5296" t="s">
        <v>4287</v>
      </c>
      <c r="R5296" t="s">
        <v>4288</v>
      </c>
      <c r="S5296" t="s">
        <v>1615</v>
      </c>
      <c r="T5296" t="s">
        <v>1932</v>
      </c>
    </row>
    <row r="5297" spans="1:20" x14ac:dyDescent="0.25">
      <c r="A5297">
        <v>9</v>
      </c>
      <c r="B5297">
        <v>199</v>
      </c>
      <c r="C5297" t="str">
        <f>"41"</f>
        <v>41</v>
      </c>
      <c r="D5297">
        <v>6491</v>
      </c>
      <c r="E5297" t="str">
        <f>"10"</f>
        <v>10</v>
      </c>
      <c r="F5297" t="str">
        <f>"726"</f>
        <v>726</v>
      </c>
      <c r="G5297">
        <v>9</v>
      </c>
      <c r="H5297" t="str">
        <f t="shared" si="1147"/>
        <v>99</v>
      </c>
      <c r="I5297" t="str">
        <f t="shared" ref="I5297:I5307" si="1151">"0"</f>
        <v>0</v>
      </c>
      <c r="J5297" t="str">
        <f>"91"</f>
        <v>91</v>
      </c>
      <c r="K5297">
        <v>20190315</v>
      </c>
      <c r="L5297" t="str">
        <f>"076108"</f>
        <v>076108</v>
      </c>
      <c r="M5297" t="str">
        <f>"00355"</f>
        <v>00355</v>
      </c>
      <c r="N5297" t="s">
        <v>2304</v>
      </c>
      <c r="O5297">
        <v>500</v>
      </c>
      <c r="P5297">
        <v>20190314</v>
      </c>
      <c r="Q5297" t="s">
        <v>2895</v>
      </c>
      <c r="R5297" t="s">
        <v>4289</v>
      </c>
      <c r="S5297" t="s">
        <v>1615</v>
      </c>
      <c r="T5297" t="s">
        <v>2608</v>
      </c>
    </row>
    <row r="5298" spans="1:20" x14ac:dyDescent="0.25">
      <c r="A5298">
        <v>9</v>
      </c>
      <c r="B5298">
        <v>199</v>
      </c>
      <c r="C5298" t="str">
        <f>"53"</f>
        <v>53</v>
      </c>
      <c r="D5298">
        <v>6329</v>
      </c>
      <c r="E5298" t="str">
        <f>"50"</f>
        <v>50</v>
      </c>
      <c r="F5298" t="str">
        <f>"880"</f>
        <v>880</v>
      </c>
      <c r="G5298">
        <v>9</v>
      </c>
      <c r="H5298" t="str">
        <f>"11"</f>
        <v>11</v>
      </c>
      <c r="I5298" t="str">
        <f t="shared" si="1151"/>
        <v>0</v>
      </c>
      <c r="J5298" t="str">
        <f>"80"</f>
        <v>80</v>
      </c>
      <c r="K5298">
        <v>20190315</v>
      </c>
      <c r="L5298" t="str">
        <f>"076109"</f>
        <v>076109</v>
      </c>
      <c r="M5298" t="str">
        <f>"00355"</f>
        <v>00355</v>
      </c>
      <c r="N5298" t="s">
        <v>2304</v>
      </c>
      <c r="O5298">
        <v>28</v>
      </c>
      <c r="P5298">
        <v>20190314</v>
      </c>
      <c r="Q5298" t="s">
        <v>2419</v>
      </c>
      <c r="R5298" t="s">
        <v>2306</v>
      </c>
      <c r="S5298" t="s">
        <v>1615</v>
      </c>
      <c r="T5298" t="s">
        <v>1866</v>
      </c>
    </row>
    <row r="5299" spans="1:20" x14ac:dyDescent="0.25">
      <c r="A5299">
        <v>9</v>
      </c>
      <c r="B5299">
        <v>199</v>
      </c>
      <c r="C5299" t="str">
        <f>"23"</f>
        <v>23</v>
      </c>
      <c r="D5299">
        <v>6498</v>
      </c>
      <c r="E5299" t="str">
        <f>"99"</f>
        <v>99</v>
      </c>
      <c r="F5299" t="str">
        <f>"041"</f>
        <v>041</v>
      </c>
      <c r="G5299">
        <v>9</v>
      </c>
      <c r="H5299" t="str">
        <f>"99"</f>
        <v>99</v>
      </c>
      <c r="I5299" t="str">
        <f t="shared" si="1151"/>
        <v>0</v>
      </c>
      <c r="J5299" t="str">
        <f>"03"</f>
        <v>03</v>
      </c>
      <c r="K5299">
        <v>20190315</v>
      </c>
      <c r="L5299" t="str">
        <f>"076112"</f>
        <v>076112</v>
      </c>
      <c r="M5299" t="str">
        <f>"64610"</f>
        <v>64610</v>
      </c>
      <c r="N5299" t="s">
        <v>1062</v>
      </c>
      <c r="O5299">
        <v>155</v>
      </c>
      <c r="P5299">
        <v>20190314</v>
      </c>
      <c r="Q5299" t="s">
        <v>2140</v>
      </c>
      <c r="R5299" t="s">
        <v>4290</v>
      </c>
      <c r="S5299" t="s">
        <v>1615</v>
      </c>
      <c r="T5299" t="s">
        <v>106</v>
      </c>
    </row>
    <row r="5300" spans="1:20" x14ac:dyDescent="0.25">
      <c r="A5300">
        <v>9</v>
      </c>
      <c r="B5300">
        <v>199</v>
      </c>
      <c r="C5300" t="str">
        <f>"31"</f>
        <v>31</v>
      </c>
      <c r="D5300">
        <v>6499</v>
      </c>
      <c r="E5300" t="str">
        <f>"7F"</f>
        <v>7F</v>
      </c>
      <c r="F5300" t="str">
        <f>"001"</f>
        <v>001</v>
      </c>
      <c r="G5300">
        <v>9</v>
      </c>
      <c r="H5300" t="str">
        <f>"31"</f>
        <v>31</v>
      </c>
      <c r="I5300" t="str">
        <f t="shared" si="1151"/>
        <v>0</v>
      </c>
      <c r="J5300" t="str">
        <f>"34"</f>
        <v>34</v>
      </c>
      <c r="K5300">
        <v>20190315</v>
      </c>
      <c r="L5300" t="str">
        <f>"076112"</f>
        <v>076112</v>
      </c>
      <c r="M5300" t="str">
        <f>"64610"</f>
        <v>64610</v>
      </c>
      <c r="N5300" t="s">
        <v>1062</v>
      </c>
      <c r="O5300">
        <v>198</v>
      </c>
      <c r="P5300">
        <v>20190314</v>
      </c>
      <c r="Q5300" t="s">
        <v>2880</v>
      </c>
      <c r="R5300" t="s">
        <v>3982</v>
      </c>
      <c r="S5300" t="s">
        <v>1615</v>
      </c>
      <c r="T5300" t="s">
        <v>301</v>
      </c>
    </row>
    <row r="5301" spans="1:20" x14ac:dyDescent="0.25">
      <c r="A5301">
        <v>9</v>
      </c>
      <c r="B5301">
        <v>199</v>
      </c>
      <c r="C5301" t="str">
        <f t="shared" ref="C5301:C5306" si="1152">"11"</f>
        <v>11</v>
      </c>
      <c r="D5301">
        <v>6249</v>
      </c>
      <c r="E5301" t="str">
        <f>"57"</f>
        <v>57</v>
      </c>
      <c r="F5301" t="str">
        <f>"001"</f>
        <v>001</v>
      </c>
      <c r="G5301">
        <v>9</v>
      </c>
      <c r="H5301" t="str">
        <f>"11"</f>
        <v>11</v>
      </c>
      <c r="I5301" t="str">
        <f t="shared" si="1151"/>
        <v>0</v>
      </c>
      <c r="J5301" t="str">
        <f>"80"</f>
        <v>80</v>
      </c>
      <c r="K5301">
        <v>20190315</v>
      </c>
      <c r="L5301" t="str">
        <f>"076115"</f>
        <v>076115</v>
      </c>
      <c r="M5301" t="str">
        <f>"64650"</f>
        <v>64650</v>
      </c>
      <c r="N5301" t="s">
        <v>1915</v>
      </c>
      <c r="O5301" s="1">
        <v>1473.47</v>
      </c>
      <c r="P5301">
        <v>20190314</v>
      </c>
      <c r="Q5301" t="s">
        <v>1796</v>
      </c>
      <c r="R5301" t="s">
        <v>4291</v>
      </c>
      <c r="S5301" t="s">
        <v>1615</v>
      </c>
      <c r="T5301" t="s">
        <v>301</v>
      </c>
    </row>
    <row r="5302" spans="1:20" x14ac:dyDescent="0.25">
      <c r="A5302">
        <v>9</v>
      </c>
      <c r="B5302">
        <v>199</v>
      </c>
      <c r="C5302" t="str">
        <f t="shared" si="1152"/>
        <v>11</v>
      </c>
      <c r="D5302">
        <v>6249</v>
      </c>
      <c r="E5302" t="str">
        <f>"57"</f>
        <v>57</v>
      </c>
      <c r="F5302" t="str">
        <f>"041"</f>
        <v>041</v>
      </c>
      <c r="G5302">
        <v>9</v>
      </c>
      <c r="H5302" t="str">
        <f>"11"</f>
        <v>11</v>
      </c>
      <c r="I5302" t="str">
        <f t="shared" si="1151"/>
        <v>0</v>
      </c>
      <c r="J5302" t="str">
        <f>"80"</f>
        <v>80</v>
      </c>
      <c r="K5302">
        <v>20190315</v>
      </c>
      <c r="L5302" t="str">
        <f>"076115"</f>
        <v>076115</v>
      </c>
      <c r="M5302" t="str">
        <f>"64650"</f>
        <v>64650</v>
      </c>
      <c r="N5302" t="s">
        <v>1915</v>
      </c>
      <c r="O5302" s="1">
        <v>1473.46</v>
      </c>
      <c r="P5302">
        <v>20190314</v>
      </c>
      <c r="Q5302" t="s">
        <v>1798</v>
      </c>
      <c r="R5302" t="s">
        <v>4291</v>
      </c>
      <c r="S5302" t="s">
        <v>1615</v>
      </c>
      <c r="T5302" t="s">
        <v>106</v>
      </c>
    </row>
    <row r="5303" spans="1:20" x14ac:dyDescent="0.25">
      <c r="A5303">
        <v>9</v>
      </c>
      <c r="B5303">
        <v>199</v>
      </c>
      <c r="C5303" t="str">
        <f t="shared" si="1152"/>
        <v>11</v>
      </c>
      <c r="D5303">
        <v>6249</v>
      </c>
      <c r="E5303" t="str">
        <f>"57"</f>
        <v>57</v>
      </c>
      <c r="F5303" t="str">
        <f>"101"</f>
        <v>101</v>
      </c>
      <c r="G5303">
        <v>9</v>
      </c>
      <c r="H5303" t="str">
        <f>"11"</f>
        <v>11</v>
      </c>
      <c r="I5303" t="str">
        <f t="shared" si="1151"/>
        <v>0</v>
      </c>
      <c r="J5303" t="str">
        <f>"80"</f>
        <v>80</v>
      </c>
      <c r="K5303">
        <v>20190315</v>
      </c>
      <c r="L5303" t="str">
        <f>"076115"</f>
        <v>076115</v>
      </c>
      <c r="M5303" t="str">
        <f>"64650"</f>
        <v>64650</v>
      </c>
      <c r="N5303" t="s">
        <v>1915</v>
      </c>
      <c r="O5303" s="1">
        <v>1473.46</v>
      </c>
      <c r="P5303">
        <v>20190314</v>
      </c>
      <c r="Q5303" t="s">
        <v>1799</v>
      </c>
      <c r="R5303" t="s">
        <v>4291</v>
      </c>
      <c r="S5303" t="s">
        <v>1615</v>
      </c>
      <c r="T5303" t="s">
        <v>1479</v>
      </c>
    </row>
    <row r="5304" spans="1:20" x14ac:dyDescent="0.25">
      <c r="A5304">
        <v>9</v>
      </c>
      <c r="B5304">
        <v>199</v>
      </c>
      <c r="C5304" t="str">
        <f t="shared" si="1152"/>
        <v>11</v>
      </c>
      <c r="D5304">
        <v>6249</v>
      </c>
      <c r="E5304" t="str">
        <f>"57"</f>
        <v>57</v>
      </c>
      <c r="F5304" t="str">
        <f>"104"</f>
        <v>104</v>
      </c>
      <c r="G5304">
        <v>9</v>
      </c>
      <c r="H5304" t="str">
        <f>"11"</f>
        <v>11</v>
      </c>
      <c r="I5304" t="str">
        <f t="shared" si="1151"/>
        <v>0</v>
      </c>
      <c r="J5304" t="str">
        <f>"80"</f>
        <v>80</v>
      </c>
      <c r="K5304">
        <v>20190315</v>
      </c>
      <c r="L5304" t="str">
        <f>"076115"</f>
        <v>076115</v>
      </c>
      <c r="M5304" t="str">
        <f>"64650"</f>
        <v>64650</v>
      </c>
      <c r="N5304" t="s">
        <v>1915</v>
      </c>
      <c r="O5304" s="1">
        <v>1473.46</v>
      </c>
      <c r="P5304">
        <v>20190314</v>
      </c>
      <c r="Q5304" t="s">
        <v>1800</v>
      </c>
      <c r="R5304" t="s">
        <v>4291</v>
      </c>
      <c r="S5304" t="s">
        <v>1615</v>
      </c>
      <c r="T5304" t="s">
        <v>46</v>
      </c>
    </row>
    <row r="5305" spans="1:20" x14ac:dyDescent="0.25">
      <c r="A5305">
        <v>9</v>
      </c>
      <c r="B5305">
        <v>199</v>
      </c>
      <c r="C5305" t="str">
        <f t="shared" si="1152"/>
        <v>11</v>
      </c>
      <c r="D5305">
        <v>6249</v>
      </c>
      <c r="E5305" t="str">
        <f>"7B"</f>
        <v>7B</v>
      </c>
      <c r="F5305" t="str">
        <f>"041"</f>
        <v>041</v>
      </c>
      <c r="G5305">
        <v>9</v>
      </c>
      <c r="H5305" t="str">
        <f>"11"</f>
        <v>11</v>
      </c>
      <c r="I5305" t="str">
        <f t="shared" si="1151"/>
        <v>0</v>
      </c>
      <c r="J5305" t="str">
        <f>"36"</f>
        <v>36</v>
      </c>
      <c r="K5305">
        <v>20190315</v>
      </c>
      <c r="L5305" t="str">
        <f>"076117"</f>
        <v>076117</v>
      </c>
      <c r="M5305" t="str">
        <f>"70650"</f>
        <v>70650</v>
      </c>
      <c r="N5305" t="s">
        <v>1920</v>
      </c>
      <c r="O5305">
        <v>60</v>
      </c>
      <c r="P5305">
        <v>20190315</v>
      </c>
      <c r="Q5305" t="s">
        <v>2672</v>
      </c>
      <c r="R5305" t="s">
        <v>4292</v>
      </c>
      <c r="S5305" t="s">
        <v>1615</v>
      </c>
      <c r="T5305" t="s">
        <v>106</v>
      </c>
    </row>
    <row r="5306" spans="1:20" x14ac:dyDescent="0.25">
      <c r="A5306">
        <v>9</v>
      </c>
      <c r="B5306">
        <v>199</v>
      </c>
      <c r="C5306" t="str">
        <f t="shared" si="1152"/>
        <v>11</v>
      </c>
      <c r="D5306">
        <v>6399</v>
      </c>
      <c r="E5306" t="str">
        <f>"V8"</f>
        <v>V8</v>
      </c>
      <c r="F5306" t="str">
        <f>"001"</f>
        <v>001</v>
      </c>
      <c r="G5306">
        <v>9</v>
      </c>
      <c r="H5306" t="str">
        <f>"22"</f>
        <v>22</v>
      </c>
      <c r="I5306" t="str">
        <f t="shared" si="1151"/>
        <v>0</v>
      </c>
      <c r="J5306" t="str">
        <f>"22"</f>
        <v>22</v>
      </c>
      <c r="K5306">
        <v>20190315</v>
      </c>
      <c r="L5306" t="str">
        <f>"076118"</f>
        <v>076118</v>
      </c>
      <c r="M5306" t="str">
        <f>"71250"</f>
        <v>71250</v>
      </c>
      <c r="N5306" t="s">
        <v>1389</v>
      </c>
      <c r="O5306">
        <v>390.46</v>
      </c>
      <c r="P5306">
        <v>20190315</v>
      </c>
      <c r="Q5306" t="s">
        <v>2001</v>
      </c>
      <c r="R5306" t="s">
        <v>4293</v>
      </c>
      <c r="S5306" t="s">
        <v>1615</v>
      </c>
      <c r="T5306" t="s">
        <v>301</v>
      </c>
    </row>
    <row r="5307" spans="1:20" x14ac:dyDescent="0.25">
      <c r="A5307">
        <v>9</v>
      </c>
      <c r="B5307">
        <v>199</v>
      </c>
      <c r="C5307" t="str">
        <f>"51"</f>
        <v>51</v>
      </c>
      <c r="D5307">
        <v>6249</v>
      </c>
      <c r="E5307" t="str">
        <f>"MC"</f>
        <v>MC</v>
      </c>
      <c r="F5307" t="str">
        <f>"001"</f>
        <v>001</v>
      </c>
      <c r="G5307">
        <v>9</v>
      </c>
      <c r="H5307" t="str">
        <f>"99"</f>
        <v>99</v>
      </c>
      <c r="I5307" t="str">
        <f t="shared" si="1151"/>
        <v>0</v>
      </c>
      <c r="J5307" t="str">
        <f>"81"</f>
        <v>81</v>
      </c>
      <c r="K5307">
        <v>20190315</v>
      </c>
      <c r="L5307" t="str">
        <f>"076119"</f>
        <v>076119</v>
      </c>
      <c r="M5307" t="str">
        <f>"00406"</f>
        <v>00406</v>
      </c>
      <c r="N5307" t="s">
        <v>1805</v>
      </c>
      <c r="O5307">
        <v>300</v>
      </c>
      <c r="P5307">
        <v>20190315</v>
      </c>
      <c r="Q5307" t="s">
        <v>2386</v>
      </c>
      <c r="R5307" t="s">
        <v>4294</v>
      </c>
      <c r="S5307" t="s">
        <v>1615</v>
      </c>
      <c r="T5307" t="s">
        <v>301</v>
      </c>
    </row>
    <row r="5308" spans="1:20" x14ac:dyDescent="0.25">
      <c r="A5308">
        <v>9</v>
      </c>
      <c r="B5308">
        <v>199</v>
      </c>
      <c r="C5308" t="str">
        <f>"36"</f>
        <v>36</v>
      </c>
      <c r="D5308">
        <v>6412</v>
      </c>
      <c r="E5308" t="str">
        <f>"NL"</f>
        <v>NL</v>
      </c>
      <c r="F5308" t="str">
        <f>"001"</f>
        <v>001</v>
      </c>
      <c r="G5308">
        <v>9</v>
      </c>
      <c r="H5308" t="str">
        <f>"22"</f>
        <v>22</v>
      </c>
      <c r="I5308" t="str">
        <f>"5"</f>
        <v>5</v>
      </c>
      <c r="J5308" t="str">
        <f>"74"</f>
        <v>74</v>
      </c>
      <c r="K5308">
        <v>20190315</v>
      </c>
      <c r="L5308" t="str">
        <f>"076121"</f>
        <v>076121</v>
      </c>
      <c r="M5308" t="str">
        <f>"75515"</f>
        <v>75515</v>
      </c>
      <c r="N5308" t="s">
        <v>3828</v>
      </c>
      <c r="O5308">
        <v>50</v>
      </c>
      <c r="P5308">
        <v>20190315</v>
      </c>
      <c r="Q5308" t="s">
        <v>4161</v>
      </c>
      <c r="R5308" t="s">
        <v>4162</v>
      </c>
      <c r="S5308" t="s">
        <v>1615</v>
      </c>
      <c r="T5308" t="s">
        <v>301</v>
      </c>
    </row>
    <row r="5309" spans="1:20" x14ac:dyDescent="0.25">
      <c r="A5309">
        <v>9</v>
      </c>
      <c r="B5309">
        <v>199</v>
      </c>
      <c r="C5309" t="str">
        <f>"36"</f>
        <v>36</v>
      </c>
      <c r="D5309">
        <v>6412</v>
      </c>
      <c r="E5309" t="str">
        <f>"NL"</f>
        <v>NL</v>
      </c>
      <c r="F5309" t="str">
        <f>"001"</f>
        <v>001</v>
      </c>
      <c r="G5309">
        <v>9</v>
      </c>
      <c r="H5309" t="str">
        <f>"22"</f>
        <v>22</v>
      </c>
      <c r="I5309" t="str">
        <f>"5"</f>
        <v>5</v>
      </c>
      <c r="J5309" t="str">
        <f>"74"</f>
        <v>74</v>
      </c>
      <c r="K5309">
        <v>20190315</v>
      </c>
      <c r="L5309" t="str">
        <f>"076121"</f>
        <v>076121</v>
      </c>
      <c r="M5309" t="str">
        <f>"75515"</f>
        <v>75515</v>
      </c>
      <c r="N5309" t="s">
        <v>3828</v>
      </c>
      <c r="O5309">
        <v>75</v>
      </c>
      <c r="P5309">
        <v>20190315</v>
      </c>
      <c r="Q5309" t="s">
        <v>4161</v>
      </c>
      <c r="R5309" t="s">
        <v>4162</v>
      </c>
      <c r="S5309" t="s">
        <v>1615</v>
      </c>
      <c r="T5309" t="s">
        <v>301</v>
      </c>
    </row>
    <row r="5310" spans="1:20" x14ac:dyDescent="0.25">
      <c r="A5310">
        <v>9</v>
      </c>
      <c r="B5310">
        <v>199</v>
      </c>
      <c r="C5310" t="str">
        <f>"36"</f>
        <v>36</v>
      </c>
      <c r="D5310">
        <v>6412</v>
      </c>
      <c r="E5310" t="str">
        <f>"NL"</f>
        <v>NL</v>
      </c>
      <c r="F5310" t="str">
        <f>"001"</f>
        <v>001</v>
      </c>
      <c r="G5310">
        <v>9</v>
      </c>
      <c r="H5310" t="str">
        <f>"22"</f>
        <v>22</v>
      </c>
      <c r="I5310" t="str">
        <f>"5"</f>
        <v>5</v>
      </c>
      <c r="J5310" t="str">
        <f>"74"</f>
        <v>74</v>
      </c>
      <c r="K5310">
        <v>20190315</v>
      </c>
      <c r="L5310" t="str">
        <f>"076121"</f>
        <v>076121</v>
      </c>
      <c r="M5310" t="str">
        <f>"75515"</f>
        <v>75515</v>
      </c>
      <c r="N5310" t="s">
        <v>3828</v>
      </c>
      <c r="O5310">
        <v>93.16</v>
      </c>
      <c r="P5310">
        <v>20190315</v>
      </c>
      <c r="Q5310" t="s">
        <v>4161</v>
      </c>
      <c r="R5310" t="s">
        <v>4162</v>
      </c>
      <c r="S5310" t="s">
        <v>1615</v>
      </c>
      <c r="T5310" t="s">
        <v>301</v>
      </c>
    </row>
    <row r="5311" spans="1:20" x14ac:dyDescent="0.25">
      <c r="A5311">
        <v>9</v>
      </c>
      <c r="B5311">
        <v>199</v>
      </c>
      <c r="C5311" t="str">
        <f>"11"</f>
        <v>11</v>
      </c>
      <c r="D5311">
        <v>6399</v>
      </c>
      <c r="E5311" t="str">
        <f>"72"</f>
        <v>72</v>
      </c>
      <c r="F5311" t="str">
        <f>"041"</f>
        <v>041</v>
      </c>
      <c r="G5311">
        <v>9</v>
      </c>
      <c r="H5311" t="str">
        <f>"11"</f>
        <v>11</v>
      </c>
      <c r="I5311" t="str">
        <f t="shared" ref="I5311:I5341" si="1153">"0"</f>
        <v>0</v>
      </c>
      <c r="J5311" t="str">
        <f>"03"</f>
        <v>03</v>
      </c>
      <c r="K5311">
        <v>20190315</v>
      </c>
      <c r="L5311" t="str">
        <f>"076122"</f>
        <v>076122</v>
      </c>
      <c r="M5311" t="str">
        <f>"75794"</f>
        <v>75794</v>
      </c>
      <c r="N5311" t="s">
        <v>2335</v>
      </c>
      <c r="O5311">
        <v>184.1</v>
      </c>
      <c r="P5311">
        <v>20190315</v>
      </c>
      <c r="Q5311" t="s">
        <v>2054</v>
      </c>
      <c r="R5311" t="s">
        <v>4295</v>
      </c>
      <c r="S5311" t="s">
        <v>1615</v>
      </c>
      <c r="T5311" t="s">
        <v>106</v>
      </c>
    </row>
    <row r="5312" spans="1:20" x14ac:dyDescent="0.25">
      <c r="A5312">
        <v>9</v>
      </c>
      <c r="B5312">
        <v>199</v>
      </c>
      <c r="C5312" t="str">
        <f>"51"</f>
        <v>51</v>
      </c>
      <c r="D5312">
        <v>6249</v>
      </c>
      <c r="E5312" t="str">
        <f>"M4"</f>
        <v>M4</v>
      </c>
      <c r="F5312" t="str">
        <f>"877"</f>
        <v>877</v>
      </c>
      <c r="G5312">
        <v>9</v>
      </c>
      <c r="H5312" t="str">
        <f>"99"</f>
        <v>99</v>
      </c>
      <c r="I5312" t="str">
        <f t="shared" si="1153"/>
        <v>0</v>
      </c>
      <c r="J5312" t="str">
        <f>"81"</f>
        <v>81</v>
      </c>
      <c r="K5312">
        <v>20190315</v>
      </c>
      <c r="L5312" t="str">
        <f>"076125"</f>
        <v>076125</v>
      </c>
      <c r="M5312" t="str">
        <f>"78726"</f>
        <v>78726</v>
      </c>
      <c r="N5312" t="s">
        <v>917</v>
      </c>
      <c r="O5312" s="1">
        <v>2459.3000000000002</v>
      </c>
      <c r="P5312">
        <v>20190315</v>
      </c>
      <c r="Q5312" t="s">
        <v>3071</v>
      </c>
      <c r="R5312" t="s">
        <v>4296</v>
      </c>
      <c r="S5312" t="s">
        <v>1615</v>
      </c>
      <c r="T5312" t="s">
        <v>2024</v>
      </c>
    </row>
    <row r="5313" spans="1:20" x14ac:dyDescent="0.25">
      <c r="A5313">
        <v>9</v>
      </c>
      <c r="B5313">
        <v>199</v>
      </c>
      <c r="C5313" t="str">
        <f>"11"</f>
        <v>11</v>
      </c>
      <c r="D5313">
        <v>6339</v>
      </c>
      <c r="E5313" t="str">
        <f>"10"</f>
        <v>10</v>
      </c>
      <c r="F5313" t="str">
        <f t="shared" ref="F5313:F5320" si="1154">"001"</f>
        <v>001</v>
      </c>
      <c r="G5313">
        <v>9</v>
      </c>
      <c r="H5313" t="str">
        <f>"11"</f>
        <v>11</v>
      </c>
      <c r="I5313" t="str">
        <f t="shared" si="1153"/>
        <v>0</v>
      </c>
      <c r="J5313" t="str">
        <f t="shared" ref="J5313:J5320" si="1155">"01"</f>
        <v>01</v>
      </c>
      <c r="K5313">
        <v>20190315</v>
      </c>
      <c r="L5313" t="str">
        <f>"076128"</f>
        <v>076128</v>
      </c>
      <c r="M5313" t="str">
        <f>"79661"</f>
        <v>79661</v>
      </c>
      <c r="N5313" t="s">
        <v>2913</v>
      </c>
      <c r="O5313">
        <v>250</v>
      </c>
      <c r="P5313">
        <v>20190315</v>
      </c>
      <c r="Q5313" t="s">
        <v>2914</v>
      </c>
      <c r="R5313" t="s">
        <v>4297</v>
      </c>
      <c r="S5313" t="s">
        <v>1615</v>
      </c>
      <c r="T5313" t="s">
        <v>301</v>
      </c>
    </row>
    <row r="5314" spans="1:20" x14ac:dyDescent="0.25">
      <c r="A5314">
        <v>9</v>
      </c>
      <c r="B5314">
        <v>199</v>
      </c>
      <c r="C5314" t="str">
        <f>"23"</f>
        <v>23</v>
      </c>
      <c r="D5314">
        <v>6498</v>
      </c>
      <c r="E5314" t="str">
        <f>"10"</f>
        <v>10</v>
      </c>
      <c r="F5314" t="str">
        <f t="shared" si="1154"/>
        <v>001</v>
      </c>
      <c r="G5314">
        <v>9</v>
      </c>
      <c r="H5314" t="str">
        <f>"99"</f>
        <v>99</v>
      </c>
      <c r="I5314" t="str">
        <f t="shared" si="1153"/>
        <v>0</v>
      </c>
      <c r="J5314" t="str">
        <f t="shared" si="1155"/>
        <v>01</v>
      </c>
      <c r="K5314">
        <v>20190315</v>
      </c>
      <c r="L5314" t="str">
        <f>"076131"</f>
        <v>076131</v>
      </c>
      <c r="M5314" t="str">
        <f>"81299"</f>
        <v>81299</v>
      </c>
      <c r="N5314" t="s">
        <v>4298</v>
      </c>
      <c r="O5314">
        <v>480</v>
      </c>
      <c r="P5314">
        <v>20190315</v>
      </c>
      <c r="Q5314" t="s">
        <v>2108</v>
      </c>
      <c r="R5314" t="s">
        <v>4299</v>
      </c>
      <c r="S5314" t="s">
        <v>1615</v>
      </c>
      <c r="T5314" t="s">
        <v>301</v>
      </c>
    </row>
    <row r="5315" spans="1:20" x14ac:dyDescent="0.25">
      <c r="A5315">
        <v>9</v>
      </c>
      <c r="B5315">
        <v>199</v>
      </c>
      <c r="C5315" t="str">
        <f>"36"</f>
        <v>36</v>
      </c>
      <c r="D5315">
        <v>6499</v>
      </c>
      <c r="E5315" t="str">
        <f>"8E"</f>
        <v>8E</v>
      </c>
      <c r="F5315" t="str">
        <f t="shared" si="1154"/>
        <v>001</v>
      </c>
      <c r="G5315">
        <v>9</v>
      </c>
      <c r="H5315" t="str">
        <f>"99"</f>
        <v>99</v>
      </c>
      <c r="I5315" t="str">
        <f t="shared" si="1153"/>
        <v>0</v>
      </c>
      <c r="J5315" t="str">
        <f t="shared" si="1155"/>
        <v>01</v>
      </c>
      <c r="K5315">
        <v>20190315</v>
      </c>
      <c r="L5315" t="str">
        <f>"076131"</f>
        <v>076131</v>
      </c>
      <c r="M5315" t="str">
        <f>"81299"</f>
        <v>81299</v>
      </c>
      <c r="N5315" t="s">
        <v>4298</v>
      </c>
      <c r="O5315">
        <v>144</v>
      </c>
      <c r="P5315">
        <v>20190315</v>
      </c>
      <c r="Q5315" t="s">
        <v>3788</v>
      </c>
      <c r="R5315" t="s">
        <v>3789</v>
      </c>
      <c r="S5315" t="s">
        <v>1615</v>
      </c>
      <c r="T5315" t="s">
        <v>301</v>
      </c>
    </row>
    <row r="5316" spans="1:20" x14ac:dyDescent="0.25">
      <c r="A5316">
        <v>9</v>
      </c>
      <c r="B5316">
        <v>199</v>
      </c>
      <c r="C5316" t="str">
        <f t="shared" ref="C5316:C5323" si="1156">"11"</f>
        <v>11</v>
      </c>
      <c r="D5316">
        <v>6395</v>
      </c>
      <c r="E5316" t="str">
        <f>"10"</f>
        <v>10</v>
      </c>
      <c r="F5316" t="str">
        <f t="shared" si="1154"/>
        <v>001</v>
      </c>
      <c r="G5316">
        <v>9</v>
      </c>
      <c r="H5316" t="str">
        <f t="shared" ref="H5316:H5323" si="1157">"11"</f>
        <v>11</v>
      </c>
      <c r="I5316" t="str">
        <f t="shared" si="1153"/>
        <v>0</v>
      </c>
      <c r="J5316" t="str">
        <f t="shared" si="1155"/>
        <v>01</v>
      </c>
      <c r="K5316">
        <v>20190315</v>
      </c>
      <c r="L5316" t="str">
        <f t="shared" ref="L5316:L5330" si="1158">"076132"</f>
        <v>076132</v>
      </c>
      <c r="M5316" t="str">
        <f t="shared" ref="M5316:M5330" si="1159">"81303"</f>
        <v>81303</v>
      </c>
      <c r="N5316" t="s">
        <v>66</v>
      </c>
      <c r="O5316">
        <v>302.10000000000002</v>
      </c>
      <c r="P5316">
        <v>20190315</v>
      </c>
      <c r="Q5316" t="s">
        <v>1929</v>
      </c>
      <c r="R5316" t="s">
        <v>4300</v>
      </c>
      <c r="S5316" t="s">
        <v>1615</v>
      </c>
      <c r="T5316" t="s">
        <v>301</v>
      </c>
    </row>
    <row r="5317" spans="1:20" x14ac:dyDescent="0.25">
      <c r="A5317">
        <v>9</v>
      </c>
      <c r="B5317">
        <v>199</v>
      </c>
      <c r="C5317" t="str">
        <f t="shared" si="1156"/>
        <v>11</v>
      </c>
      <c r="D5317">
        <v>6395</v>
      </c>
      <c r="E5317" t="str">
        <f>"10"</f>
        <v>10</v>
      </c>
      <c r="F5317" t="str">
        <f t="shared" si="1154"/>
        <v>001</v>
      </c>
      <c r="G5317">
        <v>9</v>
      </c>
      <c r="H5317" t="str">
        <f t="shared" si="1157"/>
        <v>11</v>
      </c>
      <c r="I5317" t="str">
        <f t="shared" si="1153"/>
        <v>0</v>
      </c>
      <c r="J5317" t="str">
        <f t="shared" si="1155"/>
        <v>01</v>
      </c>
      <c r="K5317">
        <v>20190315</v>
      </c>
      <c r="L5317" t="str">
        <f t="shared" si="1158"/>
        <v>076132</v>
      </c>
      <c r="M5317" t="str">
        <f t="shared" si="1159"/>
        <v>81303</v>
      </c>
      <c r="N5317" t="s">
        <v>66</v>
      </c>
      <c r="O5317">
        <v>75</v>
      </c>
      <c r="P5317">
        <v>20190315</v>
      </c>
      <c r="Q5317" t="s">
        <v>1929</v>
      </c>
      <c r="R5317" t="s">
        <v>4301</v>
      </c>
      <c r="S5317" t="s">
        <v>1615</v>
      </c>
      <c r="T5317" t="s">
        <v>301</v>
      </c>
    </row>
    <row r="5318" spans="1:20" x14ac:dyDescent="0.25">
      <c r="A5318">
        <v>9</v>
      </c>
      <c r="B5318">
        <v>199</v>
      </c>
      <c r="C5318" t="str">
        <f t="shared" si="1156"/>
        <v>11</v>
      </c>
      <c r="D5318">
        <v>6395</v>
      </c>
      <c r="E5318" t="str">
        <f>"10"</f>
        <v>10</v>
      </c>
      <c r="F5318" t="str">
        <f t="shared" si="1154"/>
        <v>001</v>
      </c>
      <c r="G5318">
        <v>9</v>
      </c>
      <c r="H5318" t="str">
        <f t="shared" si="1157"/>
        <v>11</v>
      </c>
      <c r="I5318" t="str">
        <f t="shared" si="1153"/>
        <v>0</v>
      </c>
      <c r="J5318" t="str">
        <f t="shared" si="1155"/>
        <v>01</v>
      </c>
      <c r="K5318">
        <v>20190315</v>
      </c>
      <c r="L5318" t="str">
        <f t="shared" si="1158"/>
        <v>076132</v>
      </c>
      <c r="M5318" t="str">
        <f t="shared" si="1159"/>
        <v>81303</v>
      </c>
      <c r="N5318" t="s">
        <v>66</v>
      </c>
      <c r="O5318">
        <v>156</v>
      </c>
      <c r="P5318">
        <v>20190315</v>
      </c>
      <c r="Q5318" t="s">
        <v>1929</v>
      </c>
      <c r="R5318" t="s">
        <v>4302</v>
      </c>
      <c r="S5318" t="s">
        <v>1615</v>
      </c>
      <c r="T5318" t="s">
        <v>301</v>
      </c>
    </row>
    <row r="5319" spans="1:20" x14ac:dyDescent="0.25">
      <c r="A5319">
        <v>9</v>
      </c>
      <c r="B5319">
        <v>199</v>
      </c>
      <c r="C5319" t="str">
        <f t="shared" si="1156"/>
        <v>11</v>
      </c>
      <c r="D5319">
        <v>6395</v>
      </c>
      <c r="E5319" t="str">
        <f>"10"</f>
        <v>10</v>
      </c>
      <c r="F5319" t="str">
        <f t="shared" si="1154"/>
        <v>001</v>
      </c>
      <c r="G5319">
        <v>9</v>
      </c>
      <c r="H5319" t="str">
        <f t="shared" si="1157"/>
        <v>11</v>
      </c>
      <c r="I5319" t="str">
        <f t="shared" si="1153"/>
        <v>0</v>
      </c>
      <c r="J5319" t="str">
        <f t="shared" si="1155"/>
        <v>01</v>
      </c>
      <c r="K5319">
        <v>20190315</v>
      </c>
      <c r="L5319" t="str">
        <f t="shared" si="1158"/>
        <v>076132</v>
      </c>
      <c r="M5319" t="str">
        <f t="shared" si="1159"/>
        <v>81303</v>
      </c>
      <c r="N5319" t="s">
        <v>66</v>
      </c>
      <c r="O5319">
        <v>55.5</v>
      </c>
      <c r="P5319">
        <v>20190315</v>
      </c>
      <c r="Q5319" t="s">
        <v>1929</v>
      </c>
      <c r="R5319" t="s">
        <v>4303</v>
      </c>
      <c r="S5319" t="s">
        <v>1615</v>
      </c>
      <c r="T5319" t="s">
        <v>301</v>
      </c>
    </row>
    <row r="5320" spans="1:20" x14ac:dyDescent="0.25">
      <c r="A5320">
        <v>9</v>
      </c>
      <c r="B5320">
        <v>199</v>
      </c>
      <c r="C5320" t="str">
        <f t="shared" si="1156"/>
        <v>11</v>
      </c>
      <c r="D5320">
        <v>6395</v>
      </c>
      <c r="E5320" t="str">
        <f>"10"</f>
        <v>10</v>
      </c>
      <c r="F5320" t="str">
        <f t="shared" si="1154"/>
        <v>001</v>
      </c>
      <c r="G5320">
        <v>9</v>
      </c>
      <c r="H5320" t="str">
        <f t="shared" si="1157"/>
        <v>11</v>
      </c>
      <c r="I5320" t="str">
        <f t="shared" si="1153"/>
        <v>0</v>
      </c>
      <c r="J5320" t="str">
        <f t="shared" si="1155"/>
        <v>01</v>
      </c>
      <c r="K5320">
        <v>20190315</v>
      </c>
      <c r="L5320" t="str">
        <f t="shared" si="1158"/>
        <v>076132</v>
      </c>
      <c r="M5320" t="str">
        <f t="shared" si="1159"/>
        <v>81303</v>
      </c>
      <c r="N5320" t="s">
        <v>66</v>
      </c>
      <c r="O5320">
        <v>7.5</v>
      </c>
      <c r="P5320">
        <v>20190315</v>
      </c>
      <c r="Q5320" t="s">
        <v>1929</v>
      </c>
      <c r="R5320" t="s">
        <v>4304</v>
      </c>
      <c r="S5320" t="s">
        <v>1615</v>
      </c>
      <c r="T5320" t="s">
        <v>301</v>
      </c>
    </row>
    <row r="5321" spans="1:20" x14ac:dyDescent="0.25">
      <c r="A5321">
        <v>9</v>
      </c>
      <c r="B5321">
        <v>199</v>
      </c>
      <c r="C5321" t="str">
        <f t="shared" si="1156"/>
        <v>11</v>
      </c>
      <c r="D5321">
        <v>6395</v>
      </c>
      <c r="E5321" t="str">
        <f>"45"</f>
        <v>45</v>
      </c>
      <c r="F5321" t="str">
        <f>"101"</f>
        <v>101</v>
      </c>
      <c r="G5321">
        <v>9</v>
      </c>
      <c r="H5321" t="str">
        <f t="shared" si="1157"/>
        <v>11</v>
      </c>
      <c r="I5321" t="str">
        <f t="shared" si="1153"/>
        <v>0</v>
      </c>
      <c r="J5321" t="str">
        <f>"04"</f>
        <v>04</v>
      </c>
      <c r="K5321">
        <v>20190315</v>
      </c>
      <c r="L5321" t="str">
        <f t="shared" si="1158"/>
        <v>076132</v>
      </c>
      <c r="M5321" t="str">
        <f t="shared" si="1159"/>
        <v>81303</v>
      </c>
      <c r="N5321" t="s">
        <v>66</v>
      </c>
      <c r="O5321">
        <v>110</v>
      </c>
      <c r="P5321">
        <v>20190315</v>
      </c>
      <c r="Q5321" t="s">
        <v>2542</v>
      </c>
      <c r="R5321" t="s">
        <v>4305</v>
      </c>
      <c r="S5321" t="s">
        <v>1615</v>
      </c>
      <c r="T5321" t="s">
        <v>1479</v>
      </c>
    </row>
    <row r="5322" spans="1:20" x14ac:dyDescent="0.25">
      <c r="A5322">
        <v>9</v>
      </c>
      <c r="B5322">
        <v>199</v>
      </c>
      <c r="C5322" t="str">
        <f t="shared" si="1156"/>
        <v>11</v>
      </c>
      <c r="D5322">
        <v>6399</v>
      </c>
      <c r="E5322" t="str">
        <f>"45"</f>
        <v>45</v>
      </c>
      <c r="F5322" t="str">
        <f>"101"</f>
        <v>101</v>
      </c>
      <c r="G5322">
        <v>9</v>
      </c>
      <c r="H5322" t="str">
        <f t="shared" si="1157"/>
        <v>11</v>
      </c>
      <c r="I5322" t="str">
        <f t="shared" si="1153"/>
        <v>0</v>
      </c>
      <c r="J5322" t="str">
        <f>"04"</f>
        <v>04</v>
      </c>
      <c r="K5322">
        <v>20190315</v>
      </c>
      <c r="L5322" t="str">
        <f t="shared" si="1158"/>
        <v>076132</v>
      </c>
      <c r="M5322" t="str">
        <f t="shared" si="1159"/>
        <v>81303</v>
      </c>
      <c r="N5322" t="s">
        <v>66</v>
      </c>
      <c r="O5322">
        <v>15</v>
      </c>
      <c r="P5322">
        <v>20190315</v>
      </c>
      <c r="Q5322" t="s">
        <v>1859</v>
      </c>
      <c r="R5322" t="s">
        <v>4306</v>
      </c>
      <c r="S5322" t="s">
        <v>1615</v>
      </c>
      <c r="T5322" t="s">
        <v>1479</v>
      </c>
    </row>
    <row r="5323" spans="1:20" x14ac:dyDescent="0.25">
      <c r="A5323">
        <v>9</v>
      </c>
      <c r="B5323">
        <v>199</v>
      </c>
      <c r="C5323" t="str">
        <f t="shared" si="1156"/>
        <v>11</v>
      </c>
      <c r="D5323">
        <v>6399</v>
      </c>
      <c r="E5323" t="str">
        <f>"7K"</f>
        <v>7K</v>
      </c>
      <c r="F5323" t="str">
        <f>"041"</f>
        <v>041</v>
      </c>
      <c r="G5323">
        <v>9</v>
      </c>
      <c r="H5323" t="str">
        <f t="shared" si="1157"/>
        <v>11</v>
      </c>
      <c r="I5323" t="str">
        <f t="shared" si="1153"/>
        <v>0</v>
      </c>
      <c r="J5323" t="str">
        <f>"03"</f>
        <v>03</v>
      </c>
      <c r="K5323">
        <v>20190315</v>
      </c>
      <c r="L5323" t="str">
        <f t="shared" si="1158"/>
        <v>076132</v>
      </c>
      <c r="M5323" t="str">
        <f t="shared" si="1159"/>
        <v>81303</v>
      </c>
      <c r="N5323" t="s">
        <v>66</v>
      </c>
      <c r="O5323">
        <v>7.2</v>
      </c>
      <c r="P5323">
        <v>20190315</v>
      </c>
      <c r="Q5323" t="s">
        <v>2666</v>
      </c>
      <c r="R5323" t="s">
        <v>4307</v>
      </c>
      <c r="S5323" t="s">
        <v>1615</v>
      </c>
      <c r="T5323" t="s">
        <v>106</v>
      </c>
    </row>
    <row r="5324" spans="1:20" x14ac:dyDescent="0.25">
      <c r="A5324">
        <v>9</v>
      </c>
      <c r="B5324">
        <v>199</v>
      </c>
      <c r="C5324" t="str">
        <f>"21"</f>
        <v>21</v>
      </c>
      <c r="D5324">
        <v>6395</v>
      </c>
      <c r="E5324" t="str">
        <f>"10"</f>
        <v>10</v>
      </c>
      <c r="F5324" t="str">
        <f>"871"</f>
        <v>871</v>
      </c>
      <c r="G5324">
        <v>9</v>
      </c>
      <c r="H5324" t="str">
        <f t="shared" ref="H5324:H5331" si="1160">"99"</f>
        <v>99</v>
      </c>
      <c r="I5324" t="str">
        <f t="shared" si="1153"/>
        <v>0</v>
      </c>
      <c r="J5324" t="str">
        <f>"94"</f>
        <v>94</v>
      </c>
      <c r="K5324">
        <v>20190315</v>
      </c>
      <c r="L5324" t="str">
        <f t="shared" si="1158"/>
        <v>076132</v>
      </c>
      <c r="M5324" t="str">
        <f t="shared" si="1159"/>
        <v>81303</v>
      </c>
      <c r="N5324" t="s">
        <v>66</v>
      </c>
      <c r="O5324" s="1">
        <v>1916.5</v>
      </c>
      <c r="P5324">
        <v>20190315</v>
      </c>
      <c r="Q5324" t="s">
        <v>1931</v>
      </c>
      <c r="R5324" t="s">
        <v>4308</v>
      </c>
      <c r="S5324" t="s">
        <v>1615</v>
      </c>
      <c r="T5324" t="s">
        <v>1932</v>
      </c>
    </row>
    <row r="5325" spans="1:20" x14ac:dyDescent="0.25">
      <c r="A5325">
        <v>9</v>
      </c>
      <c r="B5325">
        <v>199</v>
      </c>
      <c r="C5325" t="str">
        <f>"23"</f>
        <v>23</v>
      </c>
      <c r="D5325">
        <v>6395</v>
      </c>
      <c r="E5325" t="str">
        <f>"10"</f>
        <v>10</v>
      </c>
      <c r="F5325" t="str">
        <f>"104"</f>
        <v>104</v>
      </c>
      <c r="G5325">
        <v>9</v>
      </c>
      <c r="H5325" t="str">
        <f t="shared" si="1160"/>
        <v>99</v>
      </c>
      <c r="I5325" t="str">
        <f t="shared" si="1153"/>
        <v>0</v>
      </c>
      <c r="J5325" t="str">
        <f>"05"</f>
        <v>05</v>
      </c>
      <c r="K5325">
        <v>20190315</v>
      </c>
      <c r="L5325" t="str">
        <f t="shared" si="1158"/>
        <v>076132</v>
      </c>
      <c r="M5325" t="str">
        <f t="shared" si="1159"/>
        <v>81303</v>
      </c>
      <c r="N5325" t="s">
        <v>66</v>
      </c>
      <c r="O5325">
        <v>56.5</v>
      </c>
      <c r="P5325">
        <v>20190315</v>
      </c>
      <c r="Q5325" t="s">
        <v>1933</v>
      </c>
      <c r="R5325" t="s">
        <v>3923</v>
      </c>
      <c r="S5325" t="s">
        <v>1615</v>
      </c>
      <c r="T5325" t="s">
        <v>46</v>
      </c>
    </row>
    <row r="5326" spans="1:20" x14ac:dyDescent="0.25">
      <c r="A5326">
        <v>9</v>
      </c>
      <c r="B5326">
        <v>199</v>
      </c>
      <c r="C5326" t="str">
        <f>"23"</f>
        <v>23</v>
      </c>
      <c r="D5326">
        <v>6395</v>
      </c>
      <c r="E5326" t="str">
        <f>"10"</f>
        <v>10</v>
      </c>
      <c r="F5326" t="str">
        <f>"104"</f>
        <v>104</v>
      </c>
      <c r="G5326">
        <v>9</v>
      </c>
      <c r="H5326" t="str">
        <f t="shared" si="1160"/>
        <v>99</v>
      </c>
      <c r="I5326" t="str">
        <f t="shared" si="1153"/>
        <v>0</v>
      </c>
      <c r="J5326" t="str">
        <f>"05"</f>
        <v>05</v>
      </c>
      <c r="K5326">
        <v>20190315</v>
      </c>
      <c r="L5326" t="str">
        <f t="shared" si="1158"/>
        <v>076132</v>
      </c>
      <c r="M5326" t="str">
        <f t="shared" si="1159"/>
        <v>81303</v>
      </c>
      <c r="N5326" t="s">
        <v>66</v>
      </c>
      <c r="O5326">
        <v>33.5</v>
      </c>
      <c r="P5326">
        <v>20190315</v>
      </c>
      <c r="Q5326" t="s">
        <v>1933</v>
      </c>
      <c r="R5326" t="s">
        <v>4309</v>
      </c>
      <c r="S5326" t="s">
        <v>1615</v>
      </c>
      <c r="T5326" t="s">
        <v>46</v>
      </c>
    </row>
    <row r="5327" spans="1:20" x14ac:dyDescent="0.25">
      <c r="A5327">
        <v>9</v>
      </c>
      <c r="B5327">
        <v>199</v>
      </c>
      <c r="C5327" t="str">
        <f>"33"</f>
        <v>33</v>
      </c>
      <c r="D5327">
        <v>6395</v>
      </c>
      <c r="E5327" t="str">
        <f>"8F"</f>
        <v>8F</v>
      </c>
      <c r="F5327" t="str">
        <f>"104"</f>
        <v>104</v>
      </c>
      <c r="G5327">
        <v>9</v>
      </c>
      <c r="H5327" t="str">
        <f t="shared" si="1160"/>
        <v>99</v>
      </c>
      <c r="I5327" t="str">
        <f t="shared" si="1153"/>
        <v>0</v>
      </c>
      <c r="J5327" t="str">
        <f>"05"</f>
        <v>05</v>
      </c>
      <c r="K5327">
        <v>20190315</v>
      </c>
      <c r="L5327" t="str">
        <f t="shared" si="1158"/>
        <v>076132</v>
      </c>
      <c r="M5327" t="str">
        <f t="shared" si="1159"/>
        <v>81303</v>
      </c>
      <c r="N5327" t="s">
        <v>66</v>
      </c>
      <c r="O5327">
        <v>199.4</v>
      </c>
      <c r="P5327">
        <v>20190315</v>
      </c>
      <c r="Q5327" t="s">
        <v>4310</v>
      </c>
      <c r="R5327" t="s">
        <v>4311</v>
      </c>
      <c r="S5327" t="s">
        <v>1615</v>
      </c>
      <c r="T5327" t="s">
        <v>46</v>
      </c>
    </row>
    <row r="5328" spans="1:20" x14ac:dyDescent="0.25">
      <c r="A5328">
        <v>9</v>
      </c>
      <c r="B5328">
        <v>199</v>
      </c>
      <c r="C5328" t="str">
        <f>"41"</f>
        <v>41</v>
      </c>
      <c r="D5328">
        <v>6395</v>
      </c>
      <c r="E5328" t="str">
        <f>"10"</f>
        <v>10</v>
      </c>
      <c r="F5328" t="str">
        <f>"701"</f>
        <v>701</v>
      </c>
      <c r="G5328">
        <v>9</v>
      </c>
      <c r="H5328" t="str">
        <f t="shared" si="1160"/>
        <v>99</v>
      </c>
      <c r="I5328" t="str">
        <f t="shared" si="1153"/>
        <v>0</v>
      </c>
      <c r="J5328" t="str">
        <f>"92"</f>
        <v>92</v>
      </c>
      <c r="K5328">
        <v>20190315</v>
      </c>
      <c r="L5328" t="str">
        <f t="shared" si="1158"/>
        <v>076132</v>
      </c>
      <c r="M5328" t="str">
        <f t="shared" si="1159"/>
        <v>81303</v>
      </c>
      <c r="N5328" t="s">
        <v>66</v>
      </c>
      <c r="O5328">
        <v>27</v>
      </c>
      <c r="P5328">
        <v>20190315</v>
      </c>
      <c r="Q5328" t="s">
        <v>3484</v>
      </c>
      <c r="R5328" t="s">
        <v>4312</v>
      </c>
      <c r="S5328" t="s">
        <v>1615</v>
      </c>
      <c r="T5328" t="s">
        <v>1841</v>
      </c>
    </row>
    <row r="5329" spans="1:20" x14ac:dyDescent="0.25">
      <c r="A5329">
        <v>9</v>
      </c>
      <c r="B5329">
        <v>199</v>
      </c>
      <c r="C5329" t="str">
        <f>"41"</f>
        <v>41</v>
      </c>
      <c r="D5329">
        <v>6395</v>
      </c>
      <c r="E5329" t="str">
        <f>"10"</f>
        <v>10</v>
      </c>
      <c r="F5329" t="str">
        <f>"701"</f>
        <v>701</v>
      </c>
      <c r="G5329">
        <v>9</v>
      </c>
      <c r="H5329" t="str">
        <f t="shared" si="1160"/>
        <v>99</v>
      </c>
      <c r="I5329" t="str">
        <f t="shared" si="1153"/>
        <v>0</v>
      </c>
      <c r="J5329" t="str">
        <f>"92"</f>
        <v>92</v>
      </c>
      <c r="K5329">
        <v>20190315</v>
      </c>
      <c r="L5329" t="str">
        <f t="shared" si="1158"/>
        <v>076132</v>
      </c>
      <c r="M5329" t="str">
        <f t="shared" si="1159"/>
        <v>81303</v>
      </c>
      <c r="N5329" t="s">
        <v>66</v>
      </c>
      <c r="O5329">
        <v>8.25</v>
      </c>
      <c r="P5329">
        <v>20190315</v>
      </c>
      <c r="Q5329" t="s">
        <v>3484</v>
      </c>
      <c r="R5329" t="s">
        <v>4313</v>
      </c>
      <c r="S5329" t="s">
        <v>1615</v>
      </c>
      <c r="T5329" t="s">
        <v>1841</v>
      </c>
    </row>
    <row r="5330" spans="1:20" x14ac:dyDescent="0.25">
      <c r="A5330">
        <v>9</v>
      </c>
      <c r="B5330">
        <v>199</v>
      </c>
      <c r="C5330" t="str">
        <f>"41"</f>
        <v>41</v>
      </c>
      <c r="D5330">
        <v>6395</v>
      </c>
      <c r="E5330" t="str">
        <f>"10"</f>
        <v>10</v>
      </c>
      <c r="F5330" t="str">
        <f>"730"</f>
        <v>730</v>
      </c>
      <c r="G5330">
        <v>9</v>
      </c>
      <c r="H5330" t="str">
        <f t="shared" si="1160"/>
        <v>99</v>
      </c>
      <c r="I5330" t="str">
        <f t="shared" si="1153"/>
        <v>0</v>
      </c>
      <c r="J5330" t="str">
        <f>"95"</f>
        <v>95</v>
      </c>
      <c r="K5330">
        <v>20190315</v>
      </c>
      <c r="L5330" t="str">
        <f t="shared" si="1158"/>
        <v>076132</v>
      </c>
      <c r="M5330" t="str">
        <f t="shared" si="1159"/>
        <v>81303</v>
      </c>
      <c r="N5330" t="s">
        <v>66</v>
      </c>
      <c r="O5330">
        <v>42</v>
      </c>
      <c r="P5330">
        <v>20190315</v>
      </c>
      <c r="Q5330" t="s">
        <v>2547</v>
      </c>
      <c r="R5330" t="s">
        <v>4314</v>
      </c>
      <c r="S5330" t="s">
        <v>1615</v>
      </c>
      <c r="T5330" t="s">
        <v>1794</v>
      </c>
    </row>
    <row r="5331" spans="1:20" x14ac:dyDescent="0.25">
      <c r="A5331">
        <v>9</v>
      </c>
      <c r="B5331">
        <v>199</v>
      </c>
      <c r="C5331" t="str">
        <f>"36"</f>
        <v>36</v>
      </c>
      <c r="D5331">
        <v>6412</v>
      </c>
      <c r="E5331" t="str">
        <f>"7B"</f>
        <v>7B</v>
      </c>
      <c r="F5331" t="str">
        <f>"001"</f>
        <v>001</v>
      </c>
      <c r="G5331">
        <v>9</v>
      </c>
      <c r="H5331" t="str">
        <f t="shared" si="1160"/>
        <v>99</v>
      </c>
      <c r="I5331" t="str">
        <f t="shared" si="1153"/>
        <v>0</v>
      </c>
      <c r="J5331" t="str">
        <f>"32"</f>
        <v>32</v>
      </c>
      <c r="K5331">
        <v>20190315</v>
      </c>
      <c r="L5331" t="str">
        <f>"076133"</f>
        <v>076133</v>
      </c>
      <c r="M5331" t="str">
        <f>"82126"</f>
        <v>82126</v>
      </c>
      <c r="N5331" t="s">
        <v>1850</v>
      </c>
      <c r="O5331">
        <v>370</v>
      </c>
      <c r="P5331">
        <v>20190315</v>
      </c>
      <c r="Q5331" t="s">
        <v>1658</v>
      </c>
      <c r="R5331" t="s">
        <v>4315</v>
      </c>
      <c r="S5331" t="s">
        <v>1615</v>
      </c>
      <c r="T5331" t="s">
        <v>301</v>
      </c>
    </row>
    <row r="5332" spans="1:20" x14ac:dyDescent="0.25">
      <c r="A5332">
        <v>9</v>
      </c>
      <c r="B5332">
        <v>199</v>
      </c>
      <c r="C5332" t="str">
        <f>"00"</f>
        <v>00</v>
      </c>
      <c r="D5332">
        <v>1312</v>
      </c>
      <c r="E5332" t="str">
        <f>"00"</f>
        <v>00</v>
      </c>
      <c r="F5332" t="str">
        <f>"000"</f>
        <v>000</v>
      </c>
      <c r="G5332">
        <v>9</v>
      </c>
      <c r="H5332" t="str">
        <f>"00"</f>
        <v>00</v>
      </c>
      <c r="I5332" t="str">
        <f t="shared" si="1153"/>
        <v>0</v>
      </c>
      <c r="J5332" t="str">
        <f>"00"</f>
        <v>00</v>
      </c>
      <c r="K5332">
        <v>20190322</v>
      </c>
      <c r="L5332" t="str">
        <f t="shared" ref="L5332:L5341" si="1161">"076138"</f>
        <v>076138</v>
      </c>
      <c r="M5332" t="str">
        <f t="shared" ref="M5332:M5341" si="1162">"04410"</f>
        <v>04410</v>
      </c>
      <c r="N5332" t="s">
        <v>410</v>
      </c>
      <c r="O5332">
        <v>89.49</v>
      </c>
      <c r="P5332">
        <v>20190320</v>
      </c>
      <c r="Q5332" t="s">
        <v>1860</v>
      </c>
      <c r="R5332" t="s">
        <v>4316</v>
      </c>
      <c r="S5332" t="s">
        <v>1615</v>
      </c>
      <c r="T5332" t="s">
        <v>296</v>
      </c>
    </row>
    <row r="5333" spans="1:20" x14ac:dyDescent="0.25">
      <c r="A5333">
        <v>9</v>
      </c>
      <c r="B5333">
        <v>199</v>
      </c>
      <c r="C5333" t="str">
        <f t="shared" ref="C5333:C5338" si="1163">"11"</f>
        <v>11</v>
      </c>
      <c r="D5333">
        <v>6396</v>
      </c>
      <c r="E5333" t="str">
        <f>"50"</f>
        <v>50</v>
      </c>
      <c r="F5333" t="str">
        <f>"104"</f>
        <v>104</v>
      </c>
      <c r="G5333">
        <v>9</v>
      </c>
      <c r="H5333" t="str">
        <f>"11"</f>
        <v>11</v>
      </c>
      <c r="I5333" t="str">
        <f t="shared" si="1153"/>
        <v>0</v>
      </c>
      <c r="J5333" t="str">
        <f>"80"</f>
        <v>80</v>
      </c>
      <c r="K5333">
        <v>20190322</v>
      </c>
      <c r="L5333" t="str">
        <f t="shared" si="1161"/>
        <v>076138</v>
      </c>
      <c r="M5333" t="str">
        <f t="shared" si="1162"/>
        <v>04410</v>
      </c>
      <c r="N5333" t="s">
        <v>410</v>
      </c>
      <c r="O5333">
        <v>283.56</v>
      </c>
      <c r="P5333">
        <v>20190320</v>
      </c>
      <c r="Q5333" t="s">
        <v>2285</v>
      </c>
      <c r="R5333" t="s">
        <v>4317</v>
      </c>
      <c r="S5333" t="s">
        <v>1615</v>
      </c>
      <c r="T5333" t="s">
        <v>46</v>
      </c>
    </row>
    <row r="5334" spans="1:20" x14ac:dyDescent="0.25">
      <c r="A5334">
        <v>9</v>
      </c>
      <c r="B5334">
        <v>199</v>
      </c>
      <c r="C5334" t="str">
        <f t="shared" si="1163"/>
        <v>11</v>
      </c>
      <c r="D5334">
        <v>6399</v>
      </c>
      <c r="E5334" t="str">
        <f>"00"</f>
        <v>00</v>
      </c>
      <c r="F5334" t="str">
        <f>"104"</f>
        <v>104</v>
      </c>
      <c r="G5334">
        <v>9</v>
      </c>
      <c r="H5334" t="str">
        <f>"23"</f>
        <v>23</v>
      </c>
      <c r="I5334" t="str">
        <f t="shared" si="1153"/>
        <v>0</v>
      </c>
      <c r="J5334" t="str">
        <f>"23"</f>
        <v>23</v>
      </c>
      <c r="K5334">
        <v>20190322</v>
      </c>
      <c r="L5334" t="str">
        <f t="shared" si="1161"/>
        <v>076138</v>
      </c>
      <c r="M5334" t="str">
        <f t="shared" si="1162"/>
        <v>04410</v>
      </c>
      <c r="N5334" t="s">
        <v>410</v>
      </c>
      <c r="O5334">
        <v>29.98</v>
      </c>
      <c r="P5334">
        <v>20190320</v>
      </c>
      <c r="Q5334" t="s">
        <v>4318</v>
      </c>
      <c r="R5334" t="s">
        <v>4319</v>
      </c>
      <c r="S5334" t="s">
        <v>1615</v>
      </c>
      <c r="T5334" t="s">
        <v>46</v>
      </c>
    </row>
    <row r="5335" spans="1:20" x14ac:dyDescent="0.25">
      <c r="A5335">
        <v>9</v>
      </c>
      <c r="B5335">
        <v>199</v>
      </c>
      <c r="C5335" t="str">
        <f t="shared" si="1163"/>
        <v>11</v>
      </c>
      <c r="D5335">
        <v>6399</v>
      </c>
      <c r="E5335" t="str">
        <f>"10"</f>
        <v>10</v>
      </c>
      <c r="F5335" t="str">
        <f>"001"</f>
        <v>001</v>
      </c>
      <c r="G5335">
        <v>9</v>
      </c>
      <c r="H5335" t="str">
        <f>"11"</f>
        <v>11</v>
      </c>
      <c r="I5335" t="str">
        <f t="shared" si="1153"/>
        <v>0</v>
      </c>
      <c r="J5335" t="str">
        <f>"01"</f>
        <v>01</v>
      </c>
      <c r="K5335">
        <v>20190322</v>
      </c>
      <c r="L5335" t="str">
        <f t="shared" si="1161"/>
        <v>076138</v>
      </c>
      <c r="M5335" t="str">
        <f t="shared" si="1162"/>
        <v>04410</v>
      </c>
      <c r="N5335" t="s">
        <v>410</v>
      </c>
      <c r="O5335">
        <v>153.41999999999999</v>
      </c>
      <c r="P5335">
        <v>20190320</v>
      </c>
      <c r="Q5335" t="s">
        <v>1675</v>
      </c>
      <c r="R5335" t="s">
        <v>4320</v>
      </c>
      <c r="S5335" t="s">
        <v>1615</v>
      </c>
      <c r="T5335" t="s">
        <v>301</v>
      </c>
    </row>
    <row r="5336" spans="1:20" x14ac:dyDescent="0.25">
      <c r="A5336">
        <v>9</v>
      </c>
      <c r="B5336">
        <v>199</v>
      </c>
      <c r="C5336" t="str">
        <f t="shared" si="1163"/>
        <v>11</v>
      </c>
      <c r="D5336">
        <v>6399</v>
      </c>
      <c r="E5336" t="str">
        <f>"78"</f>
        <v>78</v>
      </c>
      <c r="F5336" t="str">
        <f>"041"</f>
        <v>041</v>
      </c>
      <c r="G5336">
        <v>9</v>
      </c>
      <c r="H5336" t="str">
        <f>"11"</f>
        <v>11</v>
      </c>
      <c r="I5336" t="str">
        <f t="shared" si="1153"/>
        <v>0</v>
      </c>
      <c r="J5336" t="str">
        <f>"03"</f>
        <v>03</v>
      </c>
      <c r="K5336">
        <v>20190322</v>
      </c>
      <c r="L5336" t="str">
        <f t="shared" si="1161"/>
        <v>076138</v>
      </c>
      <c r="M5336" t="str">
        <f t="shared" si="1162"/>
        <v>04410</v>
      </c>
      <c r="N5336" t="s">
        <v>410</v>
      </c>
      <c r="O5336">
        <v>438.85</v>
      </c>
      <c r="P5336">
        <v>20190320</v>
      </c>
      <c r="Q5336" t="s">
        <v>3444</v>
      </c>
      <c r="R5336" t="s">
        <v>4321</v>
      </c>
      <c r="S5336" t="s">
        <v>1615</v>
      </c>
      <c r="T5336" t="s">
        <v>106</v>
      </c>
    </row>
    <row r="5337" spans="1:20" x14ac:dyDescent="0.25">
      <c r="A5337">
        <v>9</v>
      </c>
      <c r="B5337">
        <v>199</v>
      </c>
      <c r="C5337" t="str">
        <f t="shared" si="1163"/>
        <v>11</v>
      </c>
      <c r="D5337">
        <v>6399</v>
      </c>
      <c r="E5337" t="str">
        <f>"VD"</f>
        <v>VD</v>
      </c>
      <c r="F5337" t="str">
        <f>"001"</f>
        <v>001</v>
      </c>
      <c r="G5337">
        <v>9</v>
      </c>
      <c r="H5337" t="str">
        <f>"22"</f>
        <v>22</v>
      </c>
      <c r="I5337" t="str">
        <f t="shared" si="1153"/>
        <v>0</v>
      </c>
      <c r="J5337" t="str">
        <f>"22"</f>
        <v>22</v>
      </c>
      <c r="K5337">
        <v>20190322</v>
      </c>
      <c r="L5337" t="str">
        <f t="shared" si="1161"/>
        <v>076138</v>
      </c>
      <c r="M5337" t="str">
        <f t="shared" si="1162"/>
        <v>04410</v>
      </c>
      <c r="N5337" t="s">
        <v>410</v>
      </c>
      <c r="O5337">
        <v>363.08</v>
      </c>
      <c r="P5337">
        <v>20190320</v>
      </c>
      <c r="Q5337" t="s">
        <v>1862</v>
      </c>
      <c r="R5337" t="s">
        <v>2963</v>
      </c>
      <c r="S5337" t="s">
        <v>1615</v>
      </c>
      <c r="T5337" t="s">
        <v>301</v>
      </c>
    </row>
    <row r="5338" spans="1:20" x14ac:dyDescent="0.25">
      <c r="A5338">
        <v>9</v>
      </c>
      <c r="B5338">
        <v>199</v>
      </c>
      <c r="C5338" t="str">
        <f t="shared" si="1163"/>
        <v>11</v>
      </c>
      <c r="D5338">
        <v>6399</v>
      </c>
      <c r="E5338" t="str">
        <f>"VD"</f>
        <v>VD</v>
      </c>
      <c r="F5338" t="str">
        <f>"001"</f>
        <v>001</v>
      </c>
      <c r="G5338">
        <v>9</v>
      </c>
      <c r="H5338" t="str">
        <f>"22"</f>
        <v>22</v>
      </c>
      <c r="I5338" t="str">
        <f t="shared" si="1153"/>
        <v>0</v>
      </c>
      <c r="J5338" t="str">
        <f>"22"</f>
        <v>22</v>
      </c>
      <c r="K5338">
        <v>20190322</v>
      </c>
      <c r="L5338" t="str">
        <f t="shared" si="1161"/>
        <v>076138</v>
      </c>
      <c r="M5338" t="str">
        <f t="shared" si="1162"/>
        <v>04410</v>
      </c>
      <c r="N5338" t="s">
        <v>410</v>
      </c>
      <c r="O5338">
        <v>56.94</v>
      </c>
      <c r="P5338">
        <v>20190320</v>
      </c>
      <c r="Q5338" t="s">
        <v>1862</v>
      </c>
      <c r="R5338" t="s">
        <v>4322</v>
      </c>
      <c r="S5338" t="s">
        <v>1615</v>
      </c>
      <c r="T5338" t="s">
        <v>301</v>
      </c>
    </row>
    <row r="5339" spans="1:20" x14ac:dyDescent="0.25">
      <c r="A5339">
        <v>9</v>
      </c>
      <c r="B5339">
        <v>199</v>
      </c>
      <c r="C5339" t="str">
        <f>"36"</f>
        <v>36</v>
      </c>
      <c r="D5339">
        <v>6399</v>
      </c>
      <c r="E5339" t="str">
        <f>"09"</f>
        <v>09</v>
      </c>
      <c r="F5339" t="str">
        <f>"001"</f>
        <v>001</v>
      </c>
      <c r="G5339">
        <v>9</v>
      </c>
      <c r="H5339" t="str">
        <f>"99"</f>
        <v>99</v>
      </c>
      <c r="I5339" t="str">
        <f t="shared" si="1153"/>
        <v>0</v>
      </c>
      <c r="J5339" t="str">
        <f>"01"</f>
        <v>01</v>
      </c>
      <c r="K5339">
        <v>20190322</v>
      </c>
      <c r="L5339" t="str">
        <f t="shared" si="1161"/>
        <v>076138</v>
      </c>
      <c r="M5339" t="str">
        <f t="shared" si="1162"/>
        <v>04410</v>
      </c>
      <c r="N5339" t="s">
        <v>410</v>
      </c>
      <c r="O5339">
        <v>55</v>
      </c>
      <c r="P5339">
        <v>20190320</v>
      </c>
      <c r="Q5339" t="s">
        <v>2177</v>
      </c>
      <c r="R5339" t="s">
        <v>4323</v>
      </c>
      <c r="S5339" t="s">
        <v>1615</v>
      </c>
      <c r="T5339" t="s">
        <v>301</v>
      </c>
    </row>
    <row r="5340" spans="1:20" x14ac:dyDescent="0.25">
      <c r="A5340">
        <v>9</v>
      </c>
      <c r="B5340">
        <v>199</v>
      </c>
      <c r="C5340" t="str">
        <f>"36"</f>
        <v>36</v>
      </c>
      <c r="D5340">
        <v>6399</v>
      </c>
      <c r="E5340" t="str">
        <f>"09"</f>
        <v>09</v>
      </c>
      <c r="F5340" t="str">
        <f>"001"</f>
        <v>001</v>
      </c>
      <c r="G5340">
        <v>9</v>
      </c>
      <c r="H5340" t="str">
        <f>"99"</f>
        <v>99</v>
      </c>
      <c r="I5340" t="str">
        <f t="shared" si="1153"/>
        <v>0</v>
      </c>
      <c r="J5340" t="str">
        <f>"01"</f>
        <v>01</v>
      </c>
      <c r="K5340">
        <v>20190322</v>
      </c>
      <c r="L5340" t="str">
        <f t="shared" si="1161"/>
        <v>076138</v>
      </c>
      <c r="M5340" t="str">
        <f t="shared" si="1162"/>
        <v>04410</v>
      </c>
      <c r="N5340" t="s">
        <v>410</v>
      </c>
      <c r="O5340">
        <v>170.97</v>
      </c>
      <c r="P5340">
        <v>20190320</v>
      </c>
      <c r="Q5340" t="s">
        <v>2177</v>
      </c>
      <c r="R5340" t="s">
        <v>3724</v>
      </c>
      <c r="S5340" t="s">
        <v>1615</v>
      </c>
      <c r="T5340" t="s">
        <v>301</v>
      </c>
    </row>
    <row r="5341" spans="1:20" x14ac:dyDescent="0.25">
      <c r="A5341">
        <v>9</v>
      </c>
      <c r="B5341">
        <v>199</v>
      </c>
      <c r="C5341" t="str">
        <f>"41"</f>
        <v>41</v>
      </c>
      <c r="D5341">
        <v>6399</v>
      </c>
      <c r="E5341" t="str">
        <f>"10"</f>
        <v>10</v>
      </c>
      <c r="F5341" t="str">
        <f>"933"</f>
        <v>933</v>
      </c>
      <c r="G5341">
        <v>9</v>
      </c>
      <c r="H5341" t="str">
        <f>"99"</f>
        <v>99</v>
      </c>
      <c r="I5341" t="str">
        <f t="shared" si="1153"/>
        <v>0</v>
      </c>
      <c r="J5341" t="str">
        <f>"85"</f>
        <v>85</v>
      </c>
      <c r="K5341">
        <v>20190322</v>
      </c>
      <c r="L5341" t="str">
        <f t="shared" si="1161"/>
        <v>076138</v>
      </c>
      <c r="M5341" t="str">
        <f t="shared" si="1162"/>
        <v>04410</v>
      </c>
      <c r="N5341" t="s">
        <v>410</v>
      </c>
      <c r="O5341">
        <v>205.51</v>
      </c>
      <c r="P5341">
        <v>20190320</v>
      </c>
      <c r="Q5341" t="s">
        <v>2179</v>
      </c>
      <c r="R5341" t="s">
        <v>641</v>
      </c>
      <c r="S5341" t="s">
        <v>1615</v>
      </c>
      <c r="T5341" t="s">
        <v>1643</v>
      </c>
    </row>
    <row r="5342" spans="1:20" x14ac:dyDescent="0.25">
      <c r="A5342">
        <v>9</v>
      </c>
      <c r="B5342">
        <v>199</v>
      </c>
      <c r="C5342" t="str">
        <f>"23"</f>
        <v>23</v>
      </c>
      <c r="D5342">
        <v>6411</v>
      </c>
      <c r="E5342" t="str">
        <f>"10"</f>
        <v>10</v>
      </c>
      <c r="F5342" t="str">
        <f>"001"</f>
        <v>001</v>
      </c>
      <c r="G5342">
        <v>9</v>
      </c>
      <c r="H5342" t="str">
        <f>"99"</f>
        <v>99</v>
      </c>
      <c r="I5342" t="str">
        <f>"1"</f>
        <v>1</v>
      </c>
      <c r="J5342" t="str">
        <f>"01"</f>
        <v>01</v>
      </c>
      <c r="K5342">
        <v>20190322</v>
      </c>
      <c r="L5342" t="str">
        <f>"076142"</f>
        <v>076142</v>
      </c>
      <c r="M5342" t="str">
        <f>"10063"</f>
        <v>10063</v>
      </c>
      <c r="N5342" t="s">
        <v>1767</v>
      </c>
      <c r="O5342">
        <v>48.08</v>
      </c>
      <c r="P5342">
        <v>20190320</v>
      </c>
      <c r="Q5342" t="s">
        <v>2464</v>
      </c>
      <c r="R5342" t="s">
        <v>3864</v>
      </c>
      <c r="S5342" t="s">
        <v>1615</v>
      </c>
      <c r="T5342" t="s">
        <v>301</v>
      </c>
    </row>
    <row r="5343" spans="1:20" x14ac:dyDescent="0.25">
      <c r="A5343">
        <v>9</v>
      </c>
      <c r="B5343">
        <v>199</v>
      </c>
      <c r="C5343" t="str">
        <f>"11"</f>
        <v>11</v>
      </c>
      <c r="D5343">
        <v>6399</v>
      </c>
      <c r="E5343" t="str">
        <f>"AP"</f>
        <v>AP</v>
      </c>
      <c r="F5343" t="str">
        <f>"001"</f>
        <v>001</v>
      </c>
      <c r="G5343">
        <v>9</v>
      </c>
      <c r="H5343" t="str">
        <f>"31"</f>
        <v>31</v>
      </c>
      <c r="I5343" t="str">
        <f>"0"</f>
        <v>0</v>
      </c>
      <c r="J5343" t="str">
        <f>"34"</f>
        <v>34</v>
      </c>
      <c r="K5343">
        <v>20190322</v>
      </c>
      <c r="L5343" t="str">
        <f>"076144"</f>
        <v>076144</v>
      </c>
      <c r="M5343" t="str">
        <f>"11126"</f>
        <v>11126</v>
      </c>
      <c r="N5343" t="s">
        <v>4324</v>
      </c>
      <c r="O5343">
        <v>386</v>
      </c>
      <c r="P5343">
        <v>20190320</v>
      </c>
      <c r="Q5343" t="s">
        <v>1677</v>
      </c>
      <c r="R5343" t="s">
        <v>4325</v>
      </c>
      <c r="S5343" t="s">
        <v>1615</v>
      </c>
      <c r="T5343" t="s">
        <v>301</v>
      </c>
    </row>
    <row r="5344" spans="1:20" x14ac:dyDescent="0.25">
      <c r="A5344">
        <v>9</v>
      </c>
      <c r="B5344">
        <v>199</v>
      </c>
      <c r="C5344" t="str">
        <f>"13"</f>
        <v>13</v>
      </c>
      <c r="D5344">
        <v>6411</v>
      </c>
      <c r="E5344" t="str">
        <f>"PD"</f>
        <v>PD</v>
      </c>
      <c r="F5344" t="str">
        <f>"001"</f>
        <v>001</v>
      </c>
      <c r="G5344">
        <v>9</v>
      </c>
      <c r="H5344" t="str">
        <f>"31"</f>
        <v>31</v>
      </c>
      <c r="I5344" t="str">
        <f>"0"</f>
        <v>0</v>
      </c>
      <c r="J5344" t="str">
        <f>"34"</f>
        <v>34</v>
      </c>
      <c r="K5344">
        <v>20190322</v>
      </c>
      <c r="L5344" t="str">
        <f>"076147"</f>
        <v>076147</v>
      </c>
      <c r="M5344" t="str">
        <f>"00612"</f>
        <v>00612</v>
      </c>
      <c r="N5344" t="s">
        <v>2573</v>
      </c>
      <c r="O5344">
        <v>36.299999999999997</v>
      </c>
      <c r="P5344">
        <v>20190320</v>
      </c>
      <c r="Q5344" t="s">
        <v>2220</v>
      </c>
      <c r="R5344" t="s">
        <v>3864</v>
      </c>
      <c r="S5344" t="s">
        <v>1615</v>
      </c>
      <c r="T5344" t="s">
        <v>301</v>
      </c>
    </row>
    <row r="5345" spans="1:20" x14ac:dyDescent="0.25">
      <c r="A5345">
        <v>9</v>
      </c>
      <c r="B5345">
        <v>199</v>
      </c>
      <c r="C5345" t="str">
        <f>"13"</f>
        <v>13</v>
      </c>
      <c r="D5345">
        <v>6411</v>
      </c>
      <c r="E5345" t="str">
        <f>"PD"</f>
        <v>PD</v>
      </c>
      <c r="F5345" t="str">
        <f>"001"</f>
        <v>001</v>
      </c>
      <c r="G5345">
        <v>9</v>
      </c>
      <c r="H5345" t="str">
        <f>"31"</f>
        <v>31</v>
      </c>
      <c r="I5345" t="str">
        <f>"0"</f>
        <v>0</v>
      </c>
      <c r="J5345" t="str">
        <f>"34"</f>
        <v>34</v>
      </c>
      <c r="K5345">
        <v>20190322</v>
      </c>
      <c r="L5345" t="str">
        <f>"076148"</f>
        <v>076148</v>
      </c>
      <c r="M5345" t="str">
        <f>"31367"</f>
        <v>31367</v>
      </c>
      <c r="N5345" t="s">
        <v>2199</v>
      </c>
      <c r="O5345">
        <v>69.489999999999995</v>
      </c>
      <c r="P5345">
        <v>20190320</v>
      </c>
      <c r="Q5345" t="s">
        <v>2220</v>
      </c>
      <c r="R5345" t="s">
        <v>3864</v>
      </c>
      <c r="S5345" t="s">
        <v>1615</v>
      </c>
      <c r="T5345" t="s">
        <v>301</v>
      </c>
    </row>
    <row r="5346" spans="1:20" x14ac:dyDescent="0.25">
      <c r="A5346">
        <v>9</v>
      </c>
      <c r="B5346">
        <v>199</v>
      </c>
      <c r="C5346" t="str">
        <f>"13"</f>
        <v>13</v>
      </c>
      <c r="D5346">
        <v>6411</v>
      </c>
      <c r="E5346" t="str">
        <f>"PD"</f>
        <v>PD</v>
      </c>
      <c r="F5346" t="str">
        <f>"001"</f>
        <v>001</v>
      </c>
      <c r="G5346">
        <v>9</v>
      </c>
      <c r="H5346" t="str">
        <f>"31"</f>
        <v>31</v>
      </c>
      <c r="I5346" t="str">
        <f>"0"</f>
        <v>0</v>
      </c>
      <c r="J5346" t="str">
        <f>"34"</f>
        <v>34</v>
      </c>
      <c r="K5346">
        <v>20190322</v>
      </c>
      <c r="L5346" t="str">
        <f>"076149"</f>
        <v>076149</v>
      </c>
      <c r="M5346" t="str">
        <f>"19291"</f>
        <v>19291</v>
      </c>
      <c r="N5346" t="s">
        <v>2575</v>
      </c>
      <c r="O5346">
        <v>63.75</v>
      </c>
      <c r="P5346">
        <v>20190320</v>
      </c>
      <c r="Q5346" t="s">
        <v>2220</v>
      </c>
      <c r="R5346" t="s">
        <v>3864</v>
      </c>
      <c r="S5346" t="s">
        <v>1615</v>
      </c>
      <c r="T5346" t="s">
        <v>301</v>
      </c>
    </row>
    <row r="5347" spans="1:20" x14ac:dyDescent="0.25">
      <c r="A5347">
        <v>9</v>
      </c>
      <c r="B5347">
        <v>199</v>
      </c>
      <c r="C5347" t="str">
        <f>"34"</f>
        <v>34</v>
      </c>
      <c r="D5347">
        <v>6411</v>
      </c>
      <c r="E5347" t="str">
        <f>"11"</f>
        <v>11</v>
      </c>
      <c r="F5347" t="str">
        <f>"937"</f>
        <v>937</v>
      </c>
      <c r="G5347">
        <v>9</v>
      </c>
      <c r="H5347" t="str">
        <f>"99"</f>
        <v>99</v>
      </c>
      <c r="I5347" t="str">
        <f>"1"</f>
        <v>1</v>
      </c>
      <c r="J5347" t="str">
        <f>"82"</f>
        <v>82</v>
      </c>
      <c r="K5347">
        <v>20190322</v>
      </c>
      <c r="L5347" t="str">
        <f>"076150"</f>
        <v>076150</v>
      </c>
      <c r="M5347" t="str">
        <f>"19283"</f>
        <v>19283</v>
      </c>
      <c r="N5347" t="s">
        <v>3103</v>
      </c>
      <c r="O5347">
        <v>34.770000000000003</v>
      </c>
      <c r="P5347">
        <v>20190320</v>
      </c>
      <c r="Q5347" t="s">
        <v>2531</v>
      </c>
      <c r="R5347" t="s">
        <v>3726</v>
      </c>
      <c r="S5347" t="s">
        <v>1615</v>
      </c>
      <c r="T5347" t="s">
        <v>1810</v>
      </c>
    </row>
    <row r="5348" spans="1:20" x14ac:dyDescent="0.25">
      <c r="A5348">
        <v>9</v>
      </c>
      <c r="B5348">
        <v>199</v>
      </c>
      <c r="C5348" t="str">
        <f>"34"</f>
        <v>34</v>
      </c>
      <c r="D5348">
        <v>6411</v>
      </c>
      <c r="E5348" t="str">
        <f>"11"</f>
        <v>11</v>
      </c>
      <c r="F5348" t="str">
        <f>"937"</f>
        <v>937</v>
      </c>
      <c r="G5348">
        <v>9</v>
      </c>
      <c r="H5348" t="str">
        <f>"99"</f>
        <v>99</v>
      </c>
      <c r="I5348" t="str">
        <f>"1"</f>
        <v>1</v>
      </c>
      <c r="J5348" t="str">
        <f>"82"</f>
        <v>82</v>
      </c>
      <c r="K5348">
        <v>20190322</v>
      </c>
      <c r="L5348" t="str">
        <f>"076150"</f>
        <v>076150</v>
      </c>
      <c r="M5348" t="str">
        <f>"19283"</f>
        <v>19283</v>
      </c>
      <c r="N5348" t="s">
        <v>3103</v>
      </c>
      <c r="O5348">
        <v>22.25</v>
      </c>
      <c r="P5348">
        <v>20190320</v>
      </c>
      <c r="Q5348" t="s">
        <v>2531</v>
      </c>
      <c r="R5348" t="s">
        <v>3747</v>
      </c>
      <c r="S5348" t="s">
        <v>1615</v>
      </c>
      <c r="T5348" t="s">
        <v>1810</v>
      </c>
    </row>
    <row r="5349" spans="1:20" x14ac:dyDescent="0.25">
      <c r="A5349">
        <v>9</v>
      </c>
      <c r="B5349">
        <v>199</v>
      </c>
      <c r="C5349" t="str">
        <f t="shared" ref="C5349:C5354" si="1164">"11"</f>
        <v>11</v>
      </c>
      <c r="D5349">
        <v>6399</v>
      </c>
      <c r="E5349" t="str">
        <f>"78"</f>
        <v>78</v>
      </c>
      <c r="F5349" t="str">
        <f>"041"</f>
        <v>041</v>
      </c>
      <c r="G5349">
        <v>9</v>
      </c>
      <c r="H5349" t="str">
        <f t="shared" ref="H5349:H5354" si="1165">"11"</f>
        <v>11</v>
      </c>
      <c r="I5349" t="str">
        <f>"0"</f>
        <v>0</v>
      </c>
      <c r="J5349" t="str">
        <f>"03"</f>
        <v>03</v>
      </c>
      <c r="K5349">
        <v>20190322</v>
      </c>
      <c r="L5349" t="str">
        <f t="shared" ref="L5349:L5354" si="1166">"076151"</f>
        <v>076151</v>
      </c>
      <c r="M5349" t="str">
        <f t="shared" ref="M5349:M5354" si="1167">"16807"</f>
        <v>16807</v>
      </c>
      <c r="N5349" t="s">
        <v>1581</v>
      </c>
      <c r="O5349">
        <v>363</v>
      </c>
      <c r="P5349">
        <v>20190320</v>
      </c>
      <c r="Q5349" t="s">
        <v>3444</v>
      </c>
      <c r="R5349" t="s">
        <v>2994</v>
      </c>
      <c r="S5349" t="s">
        <v>1615</v>
      </c>
      <c r="T5349" t="s">
        <v>106</v>
      </c>
    </row>
    <row r="5350" spans="1:20" x14ac:dyDescent="0.25">
      <c r="A5350">
        <v>9</v>
      </c>
      <c r="B5350">
        <v>199</v>
      </c>
      <c r="C5350" t="str">
        <f t="shared" si="1164"/>
        <v>11</v>
      </c>
      <c r="D5350">
        <v>6399</v>
      </c>
      <c r="E5350" t="str">
        <f>"8U"</f>
        <v>8U</v>
      </c>
      <c r="F5350" t="str">
        <f>"041"</f>
        <v>041</v>
      </c>
      <c r="G5350">
        <v>9</v>
      </c>
      <c r="H5350" t="str">
        <f t="shared" si="1165"/>
        <v>11</v>
      </c>
      <c r="I5350" t="str">
        <f>"0"</f>
        <v>0</v>
      </c>
      <c r="J5350" t="str">
        <f>"03"</f>
        <v>03</v>
      </c>
      <c r="K5350">
        <v>20190322</v>
      </c>
      <c r="L5350" t="str">
        <f t="shared" si="1166"/>
        <v>076151</v>
      </c>
      <c r="M5350" t="str">
        <f t="shared" si="1167"/>
        <v>16807</v>
      </c>
      <c r="N5350" t="s">
        <v>1581</v>
      </c>
      <c r="O5350">
        <v>90.9</v>
      </c>
      <c r="P5350">
        <v>20190320</v>
      </c>
      <c r="Q5350" t="s">
        <v>2229</v>
      </c>
      <c r="R5350" t="s">
        <v>2696</v>
      </c>
      <c r="S5350" t="s">
        <v>1615</v>
      </c>
      <c r="T5350" t="s">
        <v>106</v>
      </c>
    </row>
    <row r="5351" spans="1:20" x14ac:dyDescent="0.25">
      <c r="A5351">
        <v>9</v>
      </c>
      <c r="B5351">
        <v>199</v>
      </c>
      <c r="C5351" t="str">
        <f t="shared" si="1164"/>
        <v>11</v>
      </c>
      <c r="D5351">
        <v>6649</v>
      </c>
      <c r="E5351" t="str">
        <f>"00"</f>
        <v>00</v>
      </c>
      <c r="F5351" t="str">
        <f>"001"</f>
        <v>001</v>
      </c>
      <c r="G5351">
        <v>9</v>
      </c>
      <c r="H5351" t="str">
        <f t="shared" si="1165"/>
        <v>11</v>
      </c>
      <c r="I5351" t="str">
        <f>"Z"</f>
        <v>Z</v>
      </c>
      <c r="J5351" t="str">
        <f>"80"</f>
        <v>80</v>
      </c>
      <c r="K5351">
        <v>20190322</v>
      </c>
      <c r="L5351" t="str">
        <f t="shared" si="1166"/>
        <v>076151</v>
      </c>
      <c r="M5351" t="str">
        <f t="shared" si="1167"/>
        <v>16807</v>
      </c>
      <c r="N5351" t="s">
        <v>1581</v>
      </c>
      <c r="O5351" s="1">
        <v>23306.9</v>
      </c>
      <c r="P5351">
        <v>20190320</v>
      </c>
      <c r="Q5351" t="s">
        <v>4085</v>
      </c>
      <c r="R5351" t="s">
        <v>1583</v>
      </c>
      <c r="S5351" t="s">
        <v>1615</v>
      </c>
      <c r="T5351" t="s">
        <v>301</v>
      </c>
    </row>
    <row r="5352" spans="1:20" x14ac:dyDescent="0.25">
      <c r="A5352">
        <v>9</v>
      </c>
      <c r="B5352">
        <v>199</v>
      </c>
      <c r="C5352" t="str">
        <f t="shared" si="1164"/>
        <v>11</v>
      </c>
      <c r="D5352">
        <v>6649</v>
      </c>
      <c r="E5352" t="str">
        <f>"00"</f>
        <v>00</v>
      </c>
      <c r="F5352" t="str">
        <f>"001"</f>
        <v>001</v>
      </c>
      <c r="G5352">
        <v>9</v>
      </c>
      <c r="H5352" t="str">
        <f t="shared" si="1165"/>
        <v>11</v>
      </c>
      <c r="I5352" t="str">
        <f>"Z"</f>
        <v>Z</v>
      </c>
      <c r="J5352" t="str">
        <f>"80"</f>
        <v>80</v>
      </c>
      <c r="K5352">
        <v>20190322</v>
      </c>
      <c r="L5352" t="str">
        <f t="shared" si="1166"/>
        <v>076151</v>
      </c>
      <c r="M5352" t="str">
        <f t="shared" si="1167"/>
        <v>16807</v>
      </c>
      <c r="N5352" t="s">
        <v>1581</v>
      </c>
      <c r="O5352" s="1">
        <v>2385</v>
      </c>
      <c r="P5352">
        <v>20190320</v>
      </c>
      <c r="Q5352" t="s">
        <v>4085</v>
      </c>
      <c r="R5352" t="s">
        <v>1582</v>
      </c>
      <c r="S5352" t="s">
        <v>1615</v>
      </c>
      <c r="T5352" t="s">
        <v>301</v>
      </c>
    </row>
    <row r="5353" spans="1:20" x14ac:dyDescent="0.25">
      <c r="A5353">
        <v>9</v>
      </c>
      <c r="B5353">
        <v>199</v>
      </c>
      <c r="C5353" t="str">
        <f t="shared" si="1164"/>
        <v>11</v>
      </c>
      <c r="D5353">
        <v>6649</v>
      </c>
      <c r="E5353" t="str">
        <f>"00"</f>
        <v>00</v>
      </c>
      <c r="F5353" t="str">
        <f>"001"</f>
        <v>001</v>
      </c>
      <c r="G5353">
        <v>9</v>
      </c>
      <c r="H5353" t="str">
        <f t="shared" si="1165"/>
        <v>11</v>
      </c>
      <c r="I5353" t="str">
        <f>"Z"</f>
        <v>Z</v>
      </c>
      <c r="J5353" t="str">
        <f>"80"</f>
        <v>80</v>
      </c>
      <c r="K5353">
        <v>20190322</v>
      </c>
      <c r="L5353" t="str">
        <f t="shared" si="1166"/>
        <v>076151</v>
      </c>
      <c r="M5353" t="str">
        <f t="shared" si="1167"/>
        <v>16807</v>
      </c>
      <c r="N5353" t="s">
        <v>1581</v>
      </c>
      <c r="O5353" s="1">
        <v>3171.7</v>
      </c>
      <c r="P5353">
        <v>20190320</v>
      </c>
      <c r="Q5353" t="s">
        <v>4085</v>
      </c>
      <c r="R5353" t="s">
        <v>1591</v>
      </c>
      <c r="S5353" t="s">
        <v>1615</v>
      </c>
      <c r="T5353" t="s">
        <v>301</v>
      </c>
    </row>
    <row r="5354" spans="1:20" x14ac:dyDescent="0.25">
      <c r="A5354">
        <v>9</v>
      </c>
      <c r="B5354">
        <v>199</v>
      </c>
      <c r="C5354" t="str">
        <f t="shared" si="1164"/>
        <v>11</v>
      </c>
      <c r="D5354">
        <v>6649</v>
      </c>
      <c r="E5354" t="str">
        <f>"11"</f>
        <v>11</v>
      </c>
      <c r="F5354" t="str">
        <f>"041"</f>
        <v>041</v>
      </c>
      <c r="G5354">
        <v>9</v>
      </c>
      <c r="H5354" t="str">
        <f t="shared" si="1165"/>
        <v>11</v>
      </c>
      <c r="I5354" t="str">
        <f t="shared" ref="I5354:I5379" si="1168">"0"</f>
        <v>0</v>
      </c>
      <c r="J5354" t="str">
        <f>"03"</f>
        <v>03</v>
      </c>
      <c r="K5354">
        <v>20190322</v>
      </c>
      <c r="L5354" t="str">
        <f t="shared" si="1166"/>
        <v>076151</v>
      </c>
      <c r="M5354" t="str">
        <f t="shared" si="1167"/>
        <v>16807</v>
      </c>
      <c r="N5354" t="s">
        <v>1581</v>
      </c>
      <c r="O5354">
        <v>276.55</v>
      </c>
      <c r="P5354">
        <v>20190320</v>
      </c>
      <c r="Q5354" t="s">
        <v>4326</v>
      </c>
      <c r="R5354" t="s">
        <v>4327</v>
      </c>
      <c r="S5354" t="s">
        <v>1615</v>
      </c>
      <c r="T5354" t="s">
        <v>106</v>
      </c>
    </row>
    <row r="5355" spans="1:20" x14ac:dyDescent="0.25">
      <c r="A5355">
        <v>9</v>
      </c>
      <c r="B5355">
        <v>199</v>
      </c>
      <c r="C5355" t="str">
        <f>"13"</f>
        <v>13</v>
      </c>
      <c r="D5355">
        <v>6411</v>
      </c>
      <c r="E5355" t="str">
        <f>"PD"</f>
        <v>PD</v>
      </c>
      <c r="F5355" t="str">
        <f t="shared" ref="F5355:F5363" si="1169">"001"</f>
        <v>001</v>
      </c>
      <c r="G5355">
        <v>9</v>
      </c>
      <c r="H5355" t="str">
        <f>"31"</f>
        <v>31</v>
      </c>
      <c r="I5355" t="str">
        <f t="shared" si="1168"/>
        <v>0</v>
      </c>
      <c r="J5355" t="str">
        <f>"34"</f>
        <v>34</v>
      </c>
      <c r="K5355">
        <v>20190322</v>
      </c>
      <c r="L5355" t="str">
        <f>"076153"</f>
        <v>076153</v>
      </c>
      <c r="M5355" t="str">
        <f>"20430"</f>
        <v>20430</v>
      </c>
      <c r="N5355" t="s">
        <v>2582</v>
      </c>
      <c r="O5355">
        <v>46.26</v>
      </c>
      <c r="P5355">
        <v>20190320</v>
      </c>
      <c r="Q5355" t="s">
        <v>2220</v>
      </c>
      <c r="R5355" t="s">
        <v>3864</v>
      </c>
      <c r="S5355" t="s">
        <v>1615</v>
      </c>
      <c r="T5355" t="s">
        <v>301</v>
      </c>
    </row>
    <row r="5356" spans="1:20" x14ac:dyDescent="0.25">
      <c r="A5356">
        <v>9</v>
      </c>
      <c r="B5356">
        <v>199</v>
      </c>
      <c r="C5356" t="str">
        <f t="shared" ref="C5356:C5363" si="1170">"11"</f>
        <v>11</v>
      </c>
      <c r="D5356">
        <v>6269</v>
      </c>
      <c r="E5356" t="str">
        <f>"VA"</f>
        <v>VA</v>
      </c>
      <c r="F5356" t="str">
        <f t="shared" si="1169"/>
        <v>001</v>
      </c>
      <c r="G5356">
        <v>9</v>
      </c>
      <c r="H5356" t="str">
        <f t="shared" ref="H5356:H5363" si="1171">"22"</f>
        <v>22</v>
      </c>
      <c r="I5356" t="str">
        <f t="shared" si="1168"/>
        <v>0</v>
      </c>
      <c r="J5356" t="str">
        <f t="shared" ref="J5356:J5363" si="1172">"22"</f>
        <v>22</v>
      </c>
      <c r="K5356">
        <v>20190322</v>
      </c>
      <c r="L5356" t="str">
        <f t="shared" ref="L5356:L5363" si="1173">"076154"</f>
        <v>076154</v>
      </c>
      <c r="M5356" t="str">
        <f t="shared" ref="M5356:M5363" si="1174">"20683"</f>
        <v>20683</v>
      </c>
      <c r="N5356" t="s">
        <v>1697</v>
      </c>
      <c r="O5356">
        <v>49.76</v>
      </c>
      <c r="P5356">
        <v>20190320</v>
      </c>
      <c r="Q5356" t="s">
        <v>2213</v>
      </c>
      <c r="R5356" t="s">
        <v>4328</v>
      </c>
      <c r="S5356" t="s">
        <v>1615</v>
      </c>
      <c r="T5356" t="s">
        <v>301</v>
      </c>
    </row>
    <row r="5357" spans="1:20" x14ac:dyDescent="0.25">
      <c r="A5357">
        <v>9</v>
      </c>
      <c r="B5357">
        <v>199</v>
      </c>
      <c r="C5357" t="str">
        <f t="shared" si="1170"/>
        <v>11</v>
      </c>
      <c r="D5357">
        <v>6269</v>
      </c>
      <c r="E5357" t="str">
        <f>"VA"</f>
        <v>VA</v>
      </c>
      <c r="F5357" t="str">
        <f t="shared" si="1169"/>
        <v>001</v>
      </c>
      <c r="G5357">
        <v>9</v>
      </c>
      <c r="H5357" t="str">
        <f t="shared" si="1171"/>
        <v>22</v>
      </c>
      <c r="I5357" t="str">
        <f t="shared" si="1168"/>
        <v>0</v>
      </c>
      <c r="J5357" t="str">
        <f t="shared" si="1172"/>
        <v>22</v>
      </c>
      <c r="K5357">
        <v>20190322</v>
      </c>
      <c r="L5357" t="str">
        <f t="shared" si="1173"/>
        <v>076154</v>
      </c>
      <c r="M5357" t="str">
        <f t="shared" si="1174"/>
        <v>20683</v>
      </c>
      <c r="N5357" t="s">
        <v>1697</v>
      </c>
      <c r="O5357">
        <v>49.76</v>
      </c>
      <c r="P5357">
        <v>20190320</v>
      </c>
      <c r="Q5357" t="s">
        <v>2213</v>
      </c>
      <c r="R5357" t="s">
        <v>4329</v>
      </c>
      <c r="S5357" t="s">
        <v>1615</v>
      </c>
      <c r="T5357" t="s">
        <v>301</v>
      </c>
    </row>
    <row r="5358" spans="1:20" x14ac:dyDescent="0.25">
      <c r="A5358">
        <v>9</v>
      </c>
      <c r="B5358">
        <v>199</v>
      </c>
      <c r="C5358" t="str">
        <f t="shared" si="1170"/>
        <v>11</v>
      </c>
      <c r="D5358">
        <v>6269</v>
      </c>
      <c r="E5358" t="str">
        <f>"VA"</f>
        <v>VA</v>
      </c>
      <c r="F5358" t="str">
        <f t="shared" si="1169"/>
        <v>001</v>
      </c>
      <c r="G5358">
        <v>9</v>
      </c>
      <c r="H5358" t="str">
        <f t="shared" si="1171"/>
        <v>22</v>
      </c>
      <c r="I5358" t="str">
        <f t="shared" si="1168"/>
        <v>0</v>
      </c>
      <c r="J5358" t="str">
        <f t="shared" si="1172"/>
        <v>22</v>
      </c>
      <c r="K5358">
        <v>20190322</v>
      </c>
      <c r="L5358" t="str">
        <f t="shared" si="1173"/>
        <v>076154</v>
      </c>
      <c r="M5358" t="str">
        <f t="shared" si="1174"/>
        <v>20683</v>
      </c>
      <c r="N5358" t="s">
        <v>1697</v>
      </c>
      <c r="O5358">
        <v>97.37</v>
      </c>
      <c r="P5358">
        <v>20190320</v>
      </c>
      <c r="Q5358" t="s">
        <v>2213</v>
      </c>
      <c r="R5358" t="s">
        <v>4330</v>
      </c>
      <c r="S5358" t="s">
        <v>1615</v>
      </c>
      <c r="T5358" t="s">
        <v>301</v>
      </c>
    </row>
    <row r="5359" spans="1:20" x14ac:dyDescent="0.25">
      <c r="A5359">
        <v>9</v>
      </c>
      <c r="B5359">
        <v>199</v>
      </c>
      <c r="C5359" t="str">
        <f t="shared" si="1170"/>
        <v>11</v>
      </c>
      <c r="D5359">
        <v>6269</v>
      </c>
      <c r="E5359" t="str">
        <f>"VA"</f>
        <v>VA</v>
      </c>
      <c r="F5359" t="str">
        <f t="shared" si="1169"/>
        <v>001</v>
      </c>
      <c r="G5359">
        <v>9</v>
      </c>
      <c r="H5359" t="str">
        <f t="shared" si="1171"/>
        <v>22</v>
      </c>
      <c r="I5359" t="str">
        <f t="shared" si="1168"/>
        <v>0</v>
      </c>
      <c r="J5359" t="str">
        <f t="shared" si="1172"/>
        <v>22</v>
      </c>
      <c r="K5359">
        <v>20190322</v>
      </c>
      <c r="L5359" t="str">
        <f t="shared" si="1173"/>
        <v>076154</v>
      </c>
      <c r="M5359" t="str">
        <f t="shared" si="1174"/>
        <v>20683</v>
      </c>
      <c r="N5359" t="s">
        <v>1697</v>
      </c>
      <c r="O5359">
        <v>49.76</v>
      </c>
      <c r="P5359">
        <v>20190320</v>
      </c>
      <c r="Q5359" t="s">
        <v>2213</v>
      </c>
      <c r="R5359" t="s">
        <v>4331</v>
      </c>
      <c r="S5359" t="s">
        <v>1615</v>
      </c>
      <c r="T5359" t="s">
        <v>301</v>
      </c>
    </row>
    <row r="5360" spans="1:20" x14ac:dyDescent="0.25">
      <c r="A5360">
        <v>9</v>
      </c>
      <c r="B5360">
        <v>199</v>
      </c>
      <c r="C5360" t="str">
        <f t="shared" si="1170"/>
        <v>11</v>
      </c>
      <c r="D5360">
        <v>6399</v>
      </c>
      <c r="E5360" t="str">
        <f>"V8"</f>
        <v>V8</v>
      </c>
      <c r="F5360" t="str">
        <f t="shared" si="1169"/>
        <v>001</v>
      </c>
      <c r="G5360">
        <v>9</v>
      </c>
      <c r="H5360" t="str">
        <f t="shared" si="1171"/>
        <v>22</v>
      </c>
      <c r="I5360" t="str">
        <f t="shared" si="1168"/>
        <v>0</v>
      </c>
      <c r="J5360" t="str">
        <f t="shared" si="1172"/>
        <v>22</v>
      </c>
      <c r="K5360">
        <v>20190322</v>
      </c>
      <c r="L5360" t="str">
        <f t="shared" si="1173"/>
        <v>076154</v>
      </c>
      <c r="M5360" t="str">
        <f t="shared" si="1174"/>
        <v>20683</v>
      </c>
      <c r="N5360" t="s">
        <v>1697</v>
      </c>
      <c r="O5360">
        <v>13.69</v>
      </c>
      <c r="P5360">
        <v>20190320</v>
      </c>
      <c r="Q5360" t="s">
        <v>2001</v>
      </c>
      <c r="R5360" t="s">
        <v>4328</v>
      </c>
      <c r="S5360" t="s">
        <v>1615</v>
      </c>
      <c r="T5360" t="s">
        <v>301</v>
      </c>
    </row>
    <row r="5361" spans="1:20" x14ac:dyDescent="0.25">
      <c r="A5361">
        <v>9</v>
      </c>
      <c r="B5361">
        <v>199</v>
      </c>
      <c r="C5361" t="str">
        <f t="shared" si="1170"/>
        <v>11</v>
      </c>
      <c r="D5361">
        <v>6399</v>
      </c>
      <c r="E5361" t="str">
        <f>"V8"</f>
        <v>V8</v>
      </c>
      <c r="F5361" t="str">
        <f t="shared" si="1169"/>
        <v>001</v>
      </c>
      <c r="G5361">
        <v>9</v>
      </c>
      <c r="H5361" t="str">
        <f t="shared" si="1171"/>
        <v>22</v>
      </c>
      <c r="I5361" t="str">
        <f t="shared" si="1168"/>
        <v>0</v>
      </c>
      <c r="J5361" t="str">
        <f t="shared" si="1172"/>
        <v>22</v>
      </c>
      <c r="K5361">
        <v>20190322</v>
      </c>
      <c r="L5361" t="str">
        <f t="shared" si="1173"/>
        <v>076154</v>
      </c>
      <c r="M5361" t="str">
        <f t="shared" si="1174"/>
        <v>20683</v>
      </c>
      <c r="N5361" t="s">
        <v>1697</v>
      </c>
      <c r="O5361">
        <v>13.69</v>
      </c>
      <c r="P5361">
        <v>20190320</v>
      </c>
      <c r="Q5361" t="s">
        <v>2001</v>
      </c>
      <c r="R5361" t="s">
        <v>4329</v>
      </c>
      <c r="S5361" t="s">
        <v>1615</v>
      </c>
      <c r="T5361" t="s">
        <v>301</v>
      </c>
    </row>
    <row r="5362" spans="1:20" x14ac:dyDescent="0.25">
      <c r="A5362">
        <v>9</v>
      </c>
      <c r="B5362">
        <v>199</v>
      </c>
      <c r="C5362" t="str">
        <f t="shared" si="1170"/>
        <v>11</v>
      </c>
      <c r="D5362">
        <v>6399</v>
      </c>
      <c r="E5362" t="str">
        <f>"V8"</f>
        <v>V8</v>
      </c>
      <c r="F5362" t="str">
        <f t="shared" si="1169"/>
        <v>001</v>
      </c>
      <c r="G5362">
        <v>9</v>
      </c>
      <c r="H5362" t="str">
        <f t="shared" si="1171"/>
        <v>22</v>
      </c>
      <c r="I5362" t="str">
        <f t="shared" si="1168"/>
        <v>0</v>
      </c>
      <c r="J5362" t="str">
        <f t="shared" si="1172"/>
        <v>22</v>
      </c>
      <c r="K5362">
        <v>20190322</v>
      </c>
      <c r="L5362" t="str">
        <f t="shared" si="1173"/>
        <v>076154</v>
      </c>
      <c r="M5362" t="str">
        <f t="shared" si="1174"/>
        <v>20683</v>
      </c>
      <c r="N5362" t="s">
        <v>1697</v>
      </c>
      <c r="O5362">
        <v>13.69</v>
      </c>
      <c r="P5362">
        <v>20190320</v>
      </c>
      <c r="Q5362" t="s">
        <v>2001</v>
      </c>
      <c r="R5362" t="s">
        <v>4330</v>
      </c>
      <c r="S5362" t="s">
        <v>1615</v>
      </c>
      <c r="T5362" t="s">
        <v>301</v>
      </c>
    </row>
    <row r="5363" spans="1:20" x14ac:dyDescent="0.25">
      <c r="A5363">
        <v>9</v>
      </c>
      <c r="B5363">
        <v>199</v>
      </c>
      <c r="C5363" t="str">
        <f t="shared" si="1170"/>
        <v>11</v>
      </c>
      <c r="D5363">
        <v>6399</v>
      </c>
      <c r="E5363" t="str">
        <f>"V8"</f>
        <v>V8</v>
      </c>
      <c r="F5363" t="str">
        <f t="shared" si="1169"/>
        <v>001</v>
      </c>
      <c r="G5363">
        <v>9</v>
      </c>
      <c r="H5363" t="str">
        <f t="shared" si="1171"/>
        <v>22</v>
      </c>
      <c r="I5363" t="str">
        <f t="shared" si="1168"/>
        <v>0</v>
      </c>
      <c r="J5363" t="str">
        <f t="shared" si="1172"/>
        <v>22</v>
      </c>
      <c r="K5363">
        <v>20190322</v>
      </c>
      <c r="L5363" t="str">
        <f t="shared" si="1173"/>
        <v>076154</v>
      </c>
      <c r="M5363" t="str">
        <f t="shared" si="1174"/>
        <v>20683</v>
      </c>
      <c r="N5363" t="s">
        <v>1697</v>
      </c>
      <c r="O5363">
        <v>13.69</v>
      </c>
      <c r="P5363">
        <v>20190320</v>
      </c>
      <c r="Q5363" t="s">
        <v>2001</v>
      </c>
      <c r="R5363" t="s">
        <v>4331</v>
      </c>
      <c r="S5363" t="s">
        <v>1615</v>
      </c>
      <c r="T5363" t="s">
        <v>301</v>
      </c>
    </row>
    <row r="5364" spans="1:20" x14ac:dyDescent="0.25">
      <c r="A5364">
        <v>9</v>
      </c>
      <c r="B5364">
        <v>199</v>
      </c>
      <c r="C5364" t="str">
        <f>"34"</f>
        <v>34</v>
      </c>
      <c r="D5364">
        <v>6249</v>
      </c>
      <c r="E5364" t="str">
        <f>"10"</f>
        <v>10</v>
      </c>
      <c r="F5364" t="str">
        <f>"937"</f>
        <v>937</v>
      </c>
      <c r="G5364">
        <v>9</v>
      </c>
      <c r="H5364" t="str">
        <f>"99"</f>
        <v>99</v>
      </c>
      <c r="I5364" t="str">
        <f t="shared" si="1168"/>
        <v>0</v>
      </c>
      <c r="J5364" t="str">
        <f>"82"</f>
        <v>82</v>
      </c>
      <c r="K5364">
        <v>20190322</v>
      </c>
      <c r="L5364" t="str">
        <f>"076155"</f>
        <v>076155</v>
      </c>
      <c r="M5364" t="str">
        <f>"21091"</f>
        <v>21091</v>
      </c>
      <c r="N5364" t="s">
        <v>2035</v>
      </c>
      <c r="O5364">
        <v>125.35</v>
      </c>
      <c r="P5364">
        <v>20190320</v>
      </c>
      <c r="Q5364" t="s">
        <v>2036</v>
      </c>
      <c r="R5364" t="s">
        <v>4332</v>
      </c>
      <c r="S5364" t="s">
        <v>1615</v>
      </c>
      <c r="T5364" t="s">
        <v>1810</v>
      </c>
    </row>
    <row r="5365" spans="1:20" x14ac:dyDescent="0.25">
      <c r="A5365">
        <v>9</v>
      </c>
      <c r="B5365">
        <v>199</v>
      </c>
      <c r="C5365" t="str">
        <f>"51"</f>
        <v>51</v>
      </c>
      <c r="D5365">
        <v>6256</v>
      </c>
      <c r="E5365" t="str">
        <f>"13"</f>
        <v>13</v>
      </c>
      <c r="F5365" t="str">
        <f>"880"</f>
        <v>880</v>
      </c>
      <c r="G5365">
        <v>9</v>
      </c>
      <c r="H5365" t="str">
        <f>"99"</f>
        <v>99</v>
      </c>
      <c r="I5365" t="str">
        <f t="shared" si="1168"/>
        <v>0</v>
      </c>
      <c r="J5365" t="str">
        <f>"80"</f>
        <v>80</v>
      </c>
      <c r="K5365">
        <v>20190322</v>
      </c>
      <c r="L5365" t="str">
        <f>"076156"</f>
        <v>076156</v>
      </c>
      <c r="M5365" t="str">
        <f>"21146"</f>
        <v>21146</v>
      </c>
      <c r="N5365" t="s">
        <v>2367</v>
      </c>
      <c r="O5365">
        <v>412.8</v>
      </c>
      <c r="P5365">
        <v>20190320</v>
      </c>
      <c r="Q5365" t="s">
        <v>2368</v>
      </c>
      <c r="R5365" t="s">
        <v>4333</v>
      </c>
      <c r="S5365" t="s">
        <v>1615</v>
      </c>
      <c r="T5365" t="s">
        <v>1866</v>
      </c>
    </row>
    <row r="5366" spans="1:20" x14ac:dyDescent="0.25">
      <c r="A5366">
        <v>9</v>
      </c>
      <c r="B5366">
        <v>199</v>
      </c>
      <c r="C5366" t="str">
        <f>"13"</f>
        <v>13</v>
      </c>
      <c r="D5366">
        <v>6411</v>
      </c>
      <c r="E5366" t="str">
        <f>"7B"</f>
        <v>7B</v>
      </c>
      <c r="F5366" t="str">
        <f>"001"</f>
        <v>001</v>
      </c>
      <c r="G5366">
        <v>9</v>
      </c>
      <c r="H5366" t="str">
        <f>"11"</f>
        <v>11</v>
      </c>
      <c r="I5366" t="str">
        <f t="shared" si="1168"/>
        <v>0</v>
      </c>
      <c r="J5366" t="str">
        <f>"32"</f>
        <v>32</v>
      </c>
      <c r="K5366">
        <v>20190322</v>
      </c>
      <c r="L5366" t="str">
        <f>"076157"</f>
        <v>076157</v>
      </c>
      <c r="M5366" t="str">
        <f>"21510"</f>
        <v>21510</v>
      </c>
      <c r="N5366" t="s">
        <v>4334</v>
      </c>
      <c r="O5366">
        <v>69.34</v>
      </c>
      <c r="P5366">
        <v>20190320</v>
      </c>
      <c r="Q5366" t="s">
        <v>2911</v>
      </c>
      <c r="R5366" t="s">
        <v>2912</v>
      </c>
      <c r="S5366" t="s">
        <v>1615</v>
      </c>
      <c r="T5366" t="s">
        <v>301</v>
      </c>
    </row>
    <row r="5367" spans="1:20" x14ac:dyDescent="0.25">
      <c r="A5367">
        <v>9</v>
      </c>
      <c r="B5367">
        <v>199</v>
      </c>
      <c r="C5367" t="str">
        <f>"31"</f>
        <v>31</v>
      </c>
      <c r="D5367">
        <v>6219</v>
      </c>
      <c r="E5367" t="str">
        <f>"00"</f>
        <v>00</v>
      </c>
      <c r="F5367" t="str">
        <f>"875"</f>
        <v>875</v>
      </c>
      <c r="G5367">
        <v>9</v>
      </c>
      <c r="H5367" t="str">
        <f>"23"</f>
        <v>23</v>
      </c>
      <c r="I5367" t="str">
        <f t="shared" si="1168"/>
        <v>0</v>
      </c>
      <c r="J5367" t="str">
        <f>"23"</f>
        <v>23</v>
      </c>
      <c r="K5367">
        <v>20190322</v>
      </c>
      <c r="L5367" t="str">
        <f>"076158"</f>
        <v>076158</v>
      </c>
      <c r="M5367" t="str">
        <f>"21769"</f>
        <v>21769</v>
      </c>
      <c r="N5367" t="s">
        <v>1701</v>
      </c>
      <c r="O5367" s="1">
        <v>2500</v>
      </c>
      <c r="P5367">
        <v>20190320</v>
      </c>
      <c r="Q5367" t="s">
        <v>2207</v>
      </c>
      <c r="R5367" t="s">
        <v>4335</v>
      </c>
      <c r="S5367" t="s">
        <v>1615</v>
      </c>
      <c r="T5367" t="s">
        <v>2041</v>
      </c>
    </row>
    <row r="5368" spans="1:20" x14ac:dyDescent="0.25">
      <c r="A5368">
        <v>9</v>
      </c>
      <c r="B5368">
        <v>199</v>
      </c>
      <c r="C5368" t="str">
        <f>"36"</f>
        <v>36</v>
      </c>
      <c r="D5368">
        <v>6411</v>
      </c>
      <c r="E5368" t="str">
        <f>"09"</f>
        <v>09</v>
      </c>
      <c r="F5368" t="str">
        <f>"001"</f>
        <v>001</v>
      </c>
      <c r="G5368">
        <v>9</v>
      </c>
      <c r="H5368" t="str">
        <f>"99"</f>
        <v>99</v>
      </c>
      <c r="I5368" t="str">
        <f t="shared" si="1168"/>
        <v>0</v>
      </c>
      <c r="J5368" t="str">
        <f>"01"</f>
        <v>01</v>
      </c>
      <c r="K5368">
        <v>20190322</v>
      </c>
      <c r="L5368" t="str">
        <f>"076160"</f>
        <v>076160</v>
      </c>
      <c r="M5368" t="str">
        <f>"00764"</f>
        <v>00764</v>
      </c>
      <c r="N5368" t="s">
        <v>4336</v>
      </c>
      <c r="O5368">
        <v>422.4</v>
      </c>
      <c r="P5368">
        <v>20190320</v>
      </c>
      <c r="Q5368" t="s">
        <v>2513</v>
      </c>
      <c r="R5368" t="s">
        <v>4337</v>
      </c>
      <c r="S5368" t="s">
        <v>1615</v>
      </c>
      <c r="T5368" t="s">
        <v>301</v>
      </c>
    </row>
    <row r="5369" spans="1:20" x14ac:dyDescent="0.25">
      <c r="A5369">
        <v>9</v>
      </c>
      <c r="B5369">
        <v>199</v>
      </c>
      <c r="C5369" t="str">
        <f>"36"</f>
        <v>36</v>
      </c>
      <c r="D5369">
        <v>6412</v>
      </c>
      <c r="E5369" t="str">
        <f>"09"</f>
        <v>09</v>
      </c>
      <c r="F5369" t="str">
        <f>"001"</f>
        <v>001</v>
      </c>
      <c r="G5369">
        <v>9</v>
      </c>
      <c r="H5369" t="str">
        <f>"99"</f>
        <v>99</v>
      </c>
      <c r="I5369" t="str">
        <f t="shared" si="1168"/>
        <v>0</v>
      </c>
      <c r="J5369" t="str">
        <f>"01"</f>
        <v>01</v>
      </c>
      <c r="K5369">
        <v>20190322</v>
      </c>
      <c r="L5369" t="str">
        <f>"076160"</f>
        <v>076160</v>
      </c>
      <c r="M5369" t="str">
        <f>"00764"</f>
        <v>00764</v>
      </c>
      <c r="N5369" t="s">
        <v>4336</v>
      </c>
      <c r="O5369" s="1">
        <v>2112</v>
      </c>
      <c r="P5369">
        <v>20190320</v>
      </c>
      <c r="Q5369" t="s">
        <v>2427</v>
      </c>
      <c r="R5369" t="s">
        <v>4337</v>
      </c>
      <c r="S5369" t="s">
        <v>1615</v>
      </c>
      <c r="T5369" t="s">
        <v>301</v>
      </c>
    </row>
    <row r="5370" spans="1:20" x14ac:dyDescent="0.25">
      <c r="A5370">
        <v>9</v>
      </c>
      <c r="B5370">
        <v>199</v>
      </c>
      <c r="C5370" t="str">
        <f>"36"</f>
        <v>36</v>
      </c>
      <c r="D5370">
        <v>6411</v>
      </c>
      <c r="E5370" t="str">
        <f>"09"</f>
        <v>09</v>
      </c>
      <c r="F5370" t="str">
        <f>"001"</f>
        <v>001</v>
      </c>
      <c r="G5370">
        <v>9</v>
      </c>
      <c r="H5370" t="str">
        <f>"99"</f>
        <v>99</v>
      </c>
      <c r="I5370" t="str">
        <f t="shared" si="1168"/>
        <v>0</v>
      </c>
      <c r="J5370" t="str">
        <f>"01"</f>
        <v>01</v>
      </c>
      <c r="K5370">
        <v>20190329</v>
      </c>
      <c r="L5370" t="str">
        <f>"076160"</f>
        <v>076160</v>
      </c>
      <c r="M5370" t="str">
        <f>"00764"</f>
        <v>00764</v>
      </c>
      <c r="N5370" t="s">
        <v>4336</v>
      </c>
      <c r="O5370">
        <v>-422.4</v>
      </c>
      <c r="P5370">
        <v>20190329</v>
      </c>
      <c r="Q5370" t="s">
        <v>2513</v>
      </c>
      <c r="R5370" t="s">
        <v>4338</v>
      </c>
      <c r="S5370" t="s">
        <v>1615</v>
      </c>
      <c r="T5370" t="s">
        <v>301</v>
      </c>
    </row>
    <row r="5371" spans="1:20" x14ac:dyDescent="0.25">
      <c r="A5371">
        <v>9</v>
      </c>
      <c r="B5371">
        <v>199</v>
      </c>
      <c r="C5371" t="str">
        <f>"36"</f>
        <v>36</v>
      </c>
      <c r="D5371">
        <v>6412</v>
      </c>
      <c r="E5371" t="str">
        <f>"09"</f>
        <v>09</v>
      </c>
      <c r="F5371" t="str">
        <f>"001"</f>
        <v>001</v>
      </c>
      <c r="G5371">
        <v>9</v>
      </c>
      <c r="H5371" t="str">
        <f>"99"</f>
        <v>99</v>
      </c>
      <c r="I5371" t="str">
        <f t="shared" si="1168"/>
        <v>0</v>
      </c>
      <c r="J5371" t="str">
        <f>"01"</f>
        <v>01</v>
      </c>
      <c r="K5371">
        <v>20190329</v>
      </c>
      <c r="L5371" t="str">
        <f>"076160"</f>
        <v>076160</v>
      </c>
      <c r="M5371" t="str">
        <f>"00764"</f>
        <v>00764</v>
      </c>
      <c r="N5371" t="s">
        <v>4336</v>
      </c>
      <c r="O5371" s="1">
        <v>-2112</v>
      </c>
      <c r="P5371">
        <v>20190329</v>
      </c>
      <c r="Q5371" t="s">
        <v>2427</v>
      </c>
      <c r="R5371" t="s">
        <v>4338</v>
      </c>
      <c r="S5371" t="s">
        <v>1615</v>
      </c>
      <c r="T5371" t="s">
        <v>301</v>
      </c>
    </row>
    <row r="5372" spans="1:20" x14ac:dyDescent="0.25">
      <c r="A5372">
        <v>9</v>
      </c>
      <c r="B5372">
        <v>199</v>
      </c>
      <c r="C5372" t="str">
        <f>"11"</f>
        <v>11</v>
      </c>
      <c r="D5372">
        <v>6412</v>
      </c>
      <c r="E5372" t="str">
        <f>"V8"</f>
        <v>V8</v>
      </c>
      <c r="F5372" t="str">
        <f>"001"</f>
        <v>001</v>
      </c>
      <c r="G5372">
        <v>9</v>
      </c>
      <c r="H5372" t="str">
        <f>"22"</f>
        <v>22</v>
      </c>
      <c r="I5372" t="str">
        <f t="shared" si="1168"/>
        <v>0</v>
      </c>
      <c r="J5372" t="str">
        <f>"22"</f>
        <v>22</v>
      </c>
      <c r="K5372">
        <v>20190322</v>
      </c>
      <c r="L5372" t="str">
        <f>"076164"</f>
        <v>076164</v>
      </c>
      <c r="M5372" t="str">
        <f>"21049"</f>
        <v>21049</v>
      </c>
      <c r="N5372" t="s">
        <v>1883</v>
      </c>
      <c r="O5372">
        <v>252</v>
      </c>
      <c r="P5372">
        <v>20190320</v>
      </c>
      <c r="Q5372" t="s">
        <v>1884</v>
      </c>
      <c r="R5372" t="s">
        <v>4242</v>
      </c>
      <c r="S5372" t="s">
        <v>1615</v>
      </c>
      <c r="T5372" t="s">
        <v>301</v>
      </c>
    </row>
    <row r="5373" spans="1:20" x14ac:dyDescent="0.25">
      <c r="A5373">
        <v>9</v>
      </c>
      <c r="B5373">
        <v>199</v>
      </c>
      <c r="C5373" t="str">
        <f>"11"</f>
        <v>11</v>
      </c>
      <c r="D5373">
        <v>6495</v>
      </c>
      <c r="E5373" t="str">
        <f>"V8"</f>
        <v>V8</v>
      </c>
      <c r="F5373" t="str">
        <f>"041"</f>
        <v>041</v>
      </c>
      <c r="G5373">
        <v>9</v>
      </c>
      <c r="H5373" t="str">
        <f>"11"</f>
        <v>11</v>
      </c>
      <c r="I5373" t="str">
        <f t="shared" si="1168"/>
        <v>0</v>
      </c>
      <c r="J5373" t="str">
        <f>"03"</f>
        <v>03</v>
      </c>
      <c r="K5373">
        <v>20190322</v>
      </c>
      <c r="L5373" t="str">
        <f>"076164"</f>
        <v>076164</v>
      </c>
      <c r="M5373" t="str">
        <f>"21049"</f>
        <v>21049</v>
      </c>
      <c r="N5373" t="s">
        <v>1883</v>
      </c>
      <c r="O5373">
        <v>84</v>
      </c>
      <c r="P5373">
        <v>20190320</v>
      </c>
      <c r="Q5373" t="s">
        <v>2058</v>
      </c>
      <c r="R5373" t="s">
        <v>4242</v>
      </c>
      <c r="S5373" t="s">
        <v>1615</v>
      </c>
      <c r="T5373" t="s">
        <v>106</v>
      </c>
    </row>
    <row r="5374" spans="1:20" x14ac:dyDescent="0.25">
      <c r="A5374">
        <v>9</v>
      </c>
      <c r="B5374">
        <v>199</v>
      </c>
      <c r="C5374" t="str">
        <f>"11"</f>
        <v>11</v>
      </c>
      <c r="D5374">
        <v>6412</v>
      </c>
      <c r="E5374" t="str">
        <f>"V8"</f>
        <v>V8</v>
      </c>
      <c r="F5374" t="str">
        <f>"001"</f>
        <v>001</v>
      </c>
      <c r="G5374">
        <v>9</v>
      </c>
      <c r="H5374" t="str">
        <f>"22"</f>
        <v>22</v>
      </c>
      <c r="I5374" t="str">
        <f t="shared" si="1168"/>
        <v>0</v>
      </c>
      <c r="J5374" t="str">
        <f>"22"</f>
        <v>22</v>
      </c>
      <c r="K5374">
        <v>20190322</v>
      </c>
      <c r="L5374" t="str">
        <f>"076165"</f>
        <v>076165</v>
      </c>
      <c r="M5374" t="str">
        <f>"21049"</f>
        <v>21049</v>
      </c>
      <c r="N5374" t="s">
        <v>1883</v>
      </c>
      <c r="O5374">
        <v>120</v>
      </c>
      <c r="P5374">
        <v>20190320</v>
      </c>
      <c r="Q5374" t="s">
        <v>1884</v>
      </c>
      <c r="R5374" t="s">
        <v>4339</v>
      </c>
      <c r="S5374" t="s">
        <v>1615</v>
      </c>
      <c r="T5374" t="s">
        <v>301</v>
      </c>
    </row>
    <row r="5375" spans="1:20" x14ac:dyDescent="0.25">
      <c r="A5375">
        <v>9</v>
      </c>
      <c r="B5375">
        <v>199</v>
      </c>
      <c r="C5375" t="str">
        <f>"51"</f>
        <v>51</v>
      </c>
      <c r="D5375">
        <v>6249</v>
      </c>
      <c r="E5375" t="str">
        <f>"WF"</f>
        <v>WF</v>
      </c>
      <c r="F5375" t="str">
        <f>"936"</f>
        <v>936</v>
      </c>
      <c r="G5375">
        <v>9</v>
      </c>
      <c r="H5375" t="str">
        <f>"99"</f>
        <v>99</v>
      </c>
      <c r="I5375" t="str">
        <f t="shared" si="1168"/>
        <v>0</v>
      </c>
      <c r="J5375" t="str">
        <f>"82"</f>
        <v>82</v>
      </c>
      <c r="K5375">
        <v>20190322</v>
      </c>
      <c r="L5375" t="str">
        <f>"076166"</f>
        <v>076166</v>
      </c>
      <c r="M5375" t="str">
        <f>"06470"</f>
        <v>06470</v>
      </c>
      <c r="N5375" t="s">
        <v>3144</v>
      </c>
      <c r="O5375">
        <v>55</v>
      </c>
      <c r="P5375">
        <v>20190320</v>
      </c>
      <c r="Q5375" t="s">
        <v>2127</v>
      </c>
      <c r="R5375" t="s">
        <v>4340</v>
      </c>
      <c r="S5375" t="s">
        <v>1615</v>
      </c>
      <c r="T5375" t="s">
        <v>1713</v>
      </c>
    </row>
    <row r="5376" spans="1:20" x14ac:dyDescent="0.25">
      <c r="A5376">
        <v>9</v>
      </c>
      <c r="B5376">
        <v>199</v>
      </c>
      <c r="C5376" t="str">
        <f>"51"</f>
        <v>51</v>
      </c>
      <c r="D5376">
        <v>6249</v>
      </c>
      <c r="E5376" t="str">
        <f>"WF"</f>
        <v>WF</v>
      </c>
      <c r="F5376" t="str">
        <f>"936"</f>
        <v>936</v>
      </c>
      <c r="G5376">
        <v>9</v>
      </c>
      <c r="H5376" t="str">
        <f>"99"</f>
        <v>99</v>
      </c>
      <c r="I5376" t="str">
        <f t="shared" si="1168"/>
        <v>0</v>
      </c>
      <c r="J5376" t="str">
        <f>"82"</f>
        <v>82</v>
      </c>
      <c r="K5376">
        <v>20190322</v>
      </c>
      <c r="L5376" t="str">
        <f>"076166"</f>
        <v>076166</v>
      </c>
      <c r="M5376" t="str">
        <f>"06470"</f>
        <v>06470</v>
      </c>
      <c r="N5376" t="s">
        <v>3144</v>
      </c>
      <c r="O5376">
        <v>491.09</v>
      </c>
      <c r="P5376">
        <v>20190320</v>
      </c>
      <c r="Q5376" t="s">
        <v>2127</v>
      </c>
      <c r="R5376" t="s">
        <v>4341</v>
      </c>
      <c r="S5376" t="s">
        <v>1615</v>
      </c>
      <c r="T5376" t="s">
        <v>1713</v>
      </c>
    </row>
    <row r="5377" spans="1:20" x14ac:dyDescent="0.25">
      <c r="A5377">
        <v>9</v>
      </c>
      <c r="B5377">
        <v>199</v>
      </c>
      <c r="C5377" t="str">
        <f>"51"</f>
        <v>51</v>
      </c>
      <c r="D5377">
        <v>6249</v>
      </c>
      <c r="E5377" t="str">
        <f>"WF"</f>
        <v>WF</v>
      </c>
      <c r="F5377" t="str">
        <f>"936"</f>
        <v>936</v>
      </c>
      <c r="G5377">
        <v>9</v>
      </c>
      <c r="H5377" t="str">
        <f>"99"</f>
        <v>99</v>
      </c>
      <c r="I5377" t="str">
        <f t="shared" si="1168"/>
        <v>0</v>
      </c>
      <c r="J5377" t="str">
        <f>"82"</f>
        <v>82</v>
      </c>
      <c r="K5377">
        <v>20190322</v>
      </c>
      <c r="L5377" t="str">
        <f>"076166"</f>
        <v>076166</v>
      </c>
      <c r="M5377" t="str">
        <f>"06470"</f>
        <v>06470</v>
      </c>
      <c r="N5377" t="s">
        <v>3144</v>
      </c>
      <c r="O5377">
        <v>939.46</v>
      </c>
      <c r="P5377">
        <v>20190320</v>
      </c>
      <c r="Q5377" t="s">
        <v>2127</v>
      </c>
      <c r="R5377" t="s">
        <v>4342</v>
      </c>
      <c r="S5377" t="s">
        <v>1615</v>
      </c>
      <c r="T5377" t="s">
        <v>1713</v>
      </c>
    </row>
    <row r="5378" spans="1:20" x14ac:dyDescent="0.25">
      <c r="A5378">
        <v>9</v>
      </c>
      <c r="B5378">
        <v>199</v>
      </c>
      <c r="C5378" t="str">
        <f>"11"</f>
        <v>11</v>
      </c>
      <c r="D5378">
        <v>6412</v>
      </c>
      <c r="E5378" t="str">
        <f>"V8"</f>
        <v>V8</v>
      </c>
      <c r="F5378" t="str">
        <f>"001"</f>
        <v>001</v>
      </c>
      <c r="G5378">
        <v>9</v>
      </c>
      <c r="H5378" t="str">
        <f>"22"</f>
        <v>22</v>
      </c>
      <c r="I5378" t="str">
        <f t="shared" si="1168"/>
        <v>0</v>
      </c>
      <c r="J5378" t="str">
        <f>"22"</f>
        <v>22</v>
      </c>
      <c r="K5378">
        <v>20190322</v>
      </c>
      <c r="L5378" t="str">
        <f>"076170"</f>
        <v>076170</v>
      </c>
      <c r="M5378" t="str">
        <f>"34956"</f>
        <v>34956</v>
      </c>
      <c r="N5378" t="s">
        <v>3651</v>
      </c>
      <c r="O5378">
        <v>210</v>
      </c>
      <c r="P5378">
        <v>20190320</v>
      </c>
      <c r="Q5378" t="s">
        <v>1884</v>
      </c>
      <c r="R5378" t="s">
        <v>4339</v>
      </c>
      <c r="S5378" t="s">
        <v>1615</v>
      </c>
      <c r="T5378" t="s">
        <v>301</v>
      </c>
    </row>
    <row r="5379" spans="1:20" x14ac:dyDescent="0.25">
      <c r="A5379">
        <v>9</v>
      </c>
      <c r="B5379">
        <v>199</v>
      </c>
      <c r="C5379" t="str">
        <f>"36"</f>
        <v>36</v>
      </c>
      <c r="D5379">
        <v>6411</v>
      </c>
      <c r="E5379" t="str">
        <f>"V8"</f>
        <v>V8</v>
      </c>
      <c r="F5379" t="str">
        <f>"001"</f>
        <v>001</v>
      </c>
      <c r="G5379">
        <v>9</v>
      </c>
      <c r="H5379" t="str">
        <f>"22"</f>
        <v>22</v>
      </c>
      <c r="I5379" t="str">
        <f t="shared" si="1168"/>
        <v>0</v>
      </c>
      <c r="J5379" t="str">
        <f>"22"</f>
        <v>22</v>
      </c>
      <c r="K5379">
        <v>20190322</v>
      </c>
      <c r="L5379" t="str">
        <f>"076170"</f>
        <v>076170</v>
      </c>
      <c r="M5379" t="str">
        <f>"34956"</f>
        <v>34956</v>
      </c>
      <c r="N5379" t="s">
        <v>3651</v>
      </c>
      <c r="O5379">
        <v>100</v>
      </c>
      <c r="P5379">
        <v>20190320</v>
      </c>
      <c r="Q5379" t="s">
        <v>2602</v>
      </c>
      <c r="R5379" t="s">
        <v>4339</v>
      </c>
      <c r="S5379" t="s">
        <v>1615</v>
      </c>
      <c r="T5379" t="s">
        <v>301</v>
      </c>
    </row>
    <row r="5380" spans="1:20" x14ac:dyDescent="0.25">
      <c r="A5380">
        <v>9</v>
      </c>
      <c r="B5380">
        <v>199</v>
      </c>
      <c r="C5380" t="str">
        <f>"36"</f>
        <v>36</v>
      </c>
      <c r="D5380">
        <v>6412</v>
      </c>
      <c r="E5380" t="str">
        <f>"VH"</f>
        <v>VH</v>
      </c>
      <c r="F5380" t="str">
        <f>"001"</f>
        <v>001</v>
      </c>
      <c r="G5380">
        <v>9</v>
      </c>
      <c r="H5380" t="str">
        <f>"22"</f>
        <v>22</v>
      </c>
      <c r="I5380" t="str">
        <f>"5"</f>
        <v>5</v>
      </c>
      <c r="J5380" t="str">
        <f>"74"</f>
        <v>74</v>
      </c>
      <c r="K5380">
        <v>20190322</v>
      </c>
      <c r="L5380" t="str">
        <f>"076171"</f>
        <v>076171</v>
      </c>
      <c r="M5380" t="str">
        <f>"36780"</f>
        <v>36780</v>
      </c>
      <c r="N5380" t="s">
        <v>3390</v>
      </c>
      <c r="O5380" s="1">
        <v>1380</v>
      </c>
      <c r="P5380">
        <v>20190320</v>
      </c>
      <c r="Q5380" t="s">
        <v>4180</v>
      </c>
      <c r="R5380" t="s">
        <v>4179</v>
      </c>
      <c r="S5380" t="s">
        <v>1615</v>
      </c>
      <c r="T5380" t="s">
        <v>301</v>
      </c>
    </row>
    <row r="5381" spans="1:20" x14ac:dyDescent="0.25">
      <c r="A5381">
        <v>9</v>
      </c>
      <c r="B5381">
        <v>199</v>
      </c>
      <c r="C5381" t="str">
        <f>"36"</f>
        <v>36</v>
      </c>
      <c r="D5381">
        <v>6412</v>
      </c>
      <c r="E5381" t="str">
        <f>"VH"</f>
        <v>VH</v>
      </c>
      <c r="F5381" t="str">
        <f>"001"</f>
        <v>001</v>
      </c>
      <c r="G5381">
        <v>9</v>
      </c>
      <c r="H5381" t="str">
        <f>"22"</f>
        <v>22</v>
      </c>
      <c r="I5381" t="str">
        <f>"5"</f>
        <v>5</v>
      </c>
      <c r="J5381" t="str">
        <f>"74"</f>
        <v>74</v>
      </c>
      <c r="K5381">
        <v>20190322</v>
      </c>
      <c r="L5381" t="str">
        <f>"076171"</f>
        <v>076171</v>
      </c>
      <c r="M5381" t="str">
        <f>"36780"</f>
        <v>36780</v>
      </c>
      <c r="N5381" t="s">
        <v>3390</v>
      </c>
      <c r="O5381">
        <v>200</v>
      </c>
      <c r="P5381">
        <v>20190320</v>
      </c>
      <c r="Q5381" t="s">
        <v>4180</v>
      </c>
      <c r="R5381" t="s">
        <v>4179</v>
      </c>
      <c r="S5381" t="s">
        <v>1615</v>
      </c>
      <c r="T5381" t="s">
        <v>301</v>
      </c>
    </row>
    <row r="5382" spans="1:20" x14ac:dyDescent="0.25">
      <c r="A5382">
        <v>9</v>
      </c>
      <c r="B5382">
        <v>199</v>
      </c>
      <c r="C5382" t="str">
        <f>"13"</f>
        <v>13</v>
      </c>
      <c r="D5382">
        <v>6411</v>
      </c>
      <c r="E5382" t="str">
        <f>"8C"</f>
        <v>8C</v>
      </c>
      <c r="F5382" t="str">
        <f>"104"</f>
        <v>104</v>
      </c>
      <c r="G5382">
        <v>9</v>
      </c>
      <c r="H5382" t="str">
        <f>"11"</f>
        <v>11</v>
      </c>
      <c r="I5382" t="str">
        <f t="shared" ref="I5382:I5389" si="1175">"0"</f>
        <v>0</v>
      </c>
      <c r="J5382" t="str">
        <f>"05"</f>
        <v>05</v>
      </c>
      <c r="K5382">
        <v>20190322</v>
      </c>
      <c r="L5382" t="str">
        <f>"076173"</f>
        <v>076173</v>
      </c>
      <c r="M5382" t="str">
        <f>"40562"</f>
        <v>40562</v>
      </c>
      <c r="N5382" t="s">
        <v>4343</v>
      </c>
      <c r="O5382">
        <v>254.06</v>
      </c>
      <c r="P5382">
        <v>20190320</v>
      </c>
      <c r="Q5382" t="s">
        <v>3649</v>
      </c>
      <c r="R5382" t="s">
        <v>2912</v>
      </c>
      <c r="S5382" t="s">
        <v>1615</v>
      </c>
      <c r="T5382" t="s">
        <v>46</v>
      </c>
    </row>
    <row r="5383" spans="1:20" x14ac:dyDescent="0.25">
      <c r="A5383">
        <v>9</v>
      </c>
      <c r="B5383">
        <v>199</v>
      </c>
      <c r="C5383" t="str">
        <f>"11"</f>
        <v>11</v>
      </c>
      <c r="D5383">
        <v>6412</v>
      </c>
      <c r="E5383" t="str">
        <f>"TA"</f>
        <v>TA</v>
      </c>
      <c r="F5383" t="str">
        <f t="shared" ref="F5383:F5391" si="1176">"001"</f>
        <v>001</v>
      </c>
      <c r="G5383">
        <v>9</v>
      </c>
      <c r="H5383" t="str">
        <f>"31"</f>
        <v>31</v>
      </c>
      <c r="I5383" t="str">
        <f t="shared" si="1175"/>
        <v>0</v>
      </c>
      <c r="J5383" t="str">
        <f>"34"</f>
        <v>34</v>
      </c>
      <c r="K5383">
        <v>20190322</v>
      </c>
      <c r="L5383" t="str">
        <f>"076174"</f>
        <v>076174</v>
      </c>
      <c r="M5383" t="str">
        <f>"40565"</f>
        <v>40565</v>
      </c>
      <c r="N5383" t="s">
        <v>3894</v>
      </c>
      <c r="O5383">
        <v>90</v>
      </c>
      <c r="P5383">
        <v>20190320</v>
      </c>
      <c r="Q5383" t="s">
        <v>3895</v>
      </c>
      <c r="R5383" t="s">
        <v>4344</v>
      </c>
      <c r="S5383" t="s">
        <v>1615</v>
      </c>
      <c r="T5383" t="s">
        <v>301</v>
      </c>
    </row>
    <row r="5384" spans="1:20" x14ac:dyDescent="0.25">
      <c r="A5384">
        <v>9</v>
      </c>
      <c r="B5384">
        <v>199</v>
      </c>
      <c r="C5384" t="str">
        <f>"11"</f>
        <v>11</v>
      </c>
      <c r="D5384">
        <v>6412</v>
      </c>
      <c r="E5384" t="str">
        <f>"TA"</f>
        <v>TA</v>
      </c>
      <c r="F5384" t="str">
        <f t="shared" si="1176"/>
        <v>001</v>
      </c>
      <c r="G5384">
        <v>9</v>
      </c>
      <c r="H5384" t="str">
        <f>"31"</f>
        <v>31</v>
      </c>
      <c r="I5384" t="str">
        <f t="shared" si="1175"/>
        <v>0</v>
      </c>
      <c r="J5384" t="str">
        <f>"34"</f>
        <v>34</v>
      </c>
      <c r="K5384">
        <v>20190322</v>
      </c>
      <c r="L5384" t="str">
        <f>"076174"</f>
        <v>076174</v>
      </c>
      <c r="M5384" t="str">
        <f>"40565"</f>
        <v>40565</v>
      </c>
      <c r="N5384" t="s">
        <v>3894</v>
      </c>
      <c r="O5384">
        <v>50</v>
      </c>
      <c r="P5384">
        <v>20190320</v>
      </c>
      <c r="Q5384" t="s">
        <v>3895</v>
      </c>
      <c r="R5384" t="s">
        <v>4344</v>
      </c>
      <c r="S5384" t="s">
        <v>1615</v>
      </c>
      <c r="T5384" t="s">
        <v>301</v>
      </c>
    </row>
    <row r="5385" spans="1:20" x14ac:dyDescent="0.25">
      <c r="A5385">
        <v>9</v>
      </c>
      <c r="B5385">
        <v>199</v>
      </c>
      <c r="C5385" t="str">
        <f>"11"</f>
        <v>11</v>
      </c>
      <c r="D5385">
        <v>6412</v>
      </c>
      <c r="E5385" t="str">
        <f>"TA"</f>
        <v>TA</v>
      </c>
      <c r="F5385" t="str">
        <f t="shared" si="1176"/>
        <v>001</v>
      </c>
      <c r="G5385">
        <v>9</v>
      </c>
      <c r="H5385" t="str">
        <f>"31"</f>
        <v>31</v>
      </c>
      <c r="I5385" t="str">
        <f t="shared" si="1175"/>
        <v>0</v>
      </c>
      <c r="J5385" t="str">
        <f>"34"</f>
        <v>34</v>
      </c>
      <c r="K5385">
        <v>20190322</v>
      </c>
      <c r="L5385" t="str">
        <f>"076175"</f>
        <v>076175</v>
      </c>
      <c r="M5385" t="str">
        <f>"40565"</f>
        <v>40565</v>
      </c>
      <c r="N5385" t="s">
        <v>3894</v>
      </c>
      <c r="O5385">
        <v>11.97</v>
      </c>
      <c r="P5385">
        <v>20190320</v>
      </c>
      <c r="Q5385" t="s">
        <v>3895</v>
      </c>
      <c r="R5385" t="s">
        <v>3896</v>
      </c>
      <c r="S5385" t="s">
        <v>1615</v>
      </c>
      <c r="T5385" t="s">
        <v>301</v>
      </c>
    </row>
    <row r="5386" spans="1:20" x14ac:dyDescent="0.25">
      <c r="A5386">
        <v>9</v>
      </c>
      <c r="B5386">
        <v>199</v>
      </c>
      <c r="C5386" t="str">
        <f>"36"</f>
        <v>36</v>
      </c>
      <c r="D5386">
        <v>6411</v>
      </c>
      <c r="E5386" t="str">
        <f>"V8"</f>
        <v>V8</v>
      </c>
      <c r="F5386" t="str">
        <f t="shared" si="1176"/>
        <v>001</v>
      </c>
      <c r="G5386">
        <v>9</v>
      </c>
      <c r="H5386" t="str">
        <f>"22"</f>
        <v>22</v>
      </c>
      <c r="I5386" t="str">
        <f t="shared" si="1175"/>
        <v>0</v>
      </c>
      <c r="J5386" t="str">
        <f>"22"</f>
        <v>22</v>
      </c>
      <c r="K5386">
        <v>20190322</v>
      </c>
      <c r="L5386" t="str">
        <f>"076176"</f>
        <v>076176</v>
      </c>
      <c r="M5386" t="str">
        <f>"00046"</f>
        <v>00046</v>
      </c>
      <c r="N5386" t="s">
        <v>3398</v>
      </c>
      <c r="O5386">
        <v>270</v>
      </c>
      <c r="P5386">
        <v>20190320</v>
      </c>
      <c r="Q5386" t="s">
        <v>2602</v>
      </c>
      <c r="R5386" t="s">
        <v>3580</v>
      </c>
      <c r="S5386" t="s">
        <v>1615</v>
      </c>
      <c r="T5386" t="s">
        <v>301</v>
      </c>
    </row>
    <row r="5387" spans="1:20" x14ac:dyDescent="0.25">
      <c r="A5387">
        <v>9</v>
      </c>
      <c r="B5387">
        <v>199</v>
      </c>
      <c r="C5387" t="str">
        <f>"11"</f>
        <v>11</v>
      </c>
      <c r="D5387">
        <v>6412</v>
      </c>
      <c r="E5387" t="str">
        <f>"VL"</f>
        <v>VL</v>
      </c>
      <c r="F5387" t="str">
        <f t="shared" si="1176"/>
        <v>001</v>
      </c>
      <c r="G5387">
        <v>9</v>
      </c>
      <c r="H5387" t="str">
        <f>"22"</f>
        <v>22</v>
      </c>
      <c r="I5387" t="str">
        <f t="shared" si="1175"/>
        <v>0</v>
      </c>
      <c r="J5387" t="str">
        <f>"22"</f>
        <v>22</v>
      </c>
      <c r="K5387">
        <v>20190322</v>
      </c>
      <c r="L5387" t="str">
        <f>"076178"</f>
        <v>076178</v>
      </c>
      <c r="M5387" t="str">
        <f>"42212"</f>
        <v>42212</v>
      </c>
      <c r="N5387" t="s">
        <v>1892</v>
      </c>
      <c r="O5387">
        <v>30</v>
      </c>
      <c r="P5387">
        <v>20190320</v>
      </c>
      <c r="Q5387" t="s">
        <v>1878</v>
      </c>
      <c r="R5387" t="s">
        <v>3671</v>
      </c>
      <c r="S5387" t="s">
        <v>1615</v>
      </c>
      <c r="T5387" t="s">
        <v>301</v>
      </c>
    </row>
    <row r="5388" spans="1:20" x14ac:dyDescent="0.25">
      <c r="A5388">
        <v>9</v>
      </c>
      <c r="B5388">
        <v>199</v>
      </c>
      <c r="C5388" t="str">
        <f>"36"</f>
        <v>36</v>
      </c>
      <c r="D5388">
        <v>6411</v>
      </c>
      <c r="E5388" t="str">
        <f>"VL"</f>
        <v>VL</v>
      </c>
      <c r="F5388" t="str">
        <f t="shared" si="1176"/>
        <v>001</v>
      </c>
      <c r="G5388">
        <v>9</v>
      </c>
      <c r="H5388" t="str">
        <f>"22"</f>
        <v>22</v>
      </c>
      <c r="I5388" t="str">
        <f t="shared" si="1175"/>
        <v>0</v>
      </c>
      <c r="J5388" t="str">
        <f>"22"</f>
        <v>22</v>
      </c>
      <c r="K5388">
        <v>20190322</v>
      </c>
      <c r="L5388" t="str">
        <f>"076178"</f>
        <v>076178</v>
      </c>
      <c r="M5388" t="str">
        <f>"42212"</f>
        <v>42212</v>
      </c>
      <c r="N5388" t="s">
        <v>1892</v>
      </c>
      <c r="O5388">
        <v>46</v>
      </c>
      <c r="P5388">
        <v>20190320</v>
      </c>
      <c r="Q5388" t="s">
        <v>1879</v>
      </c>
      <c r="R5388" t="s">
        <v>3671</v>
      </c>
      <c r="S5388" t="s">
        <v>1615</v>
      </c>
      <c r="T5388" t="s">
        <v>301</v>
      </c>
    </row>
    <row r="5389" spans="1:20" x14ac:dyDescent="0.25">
      <c r="A5389">
        <v>9</v>
      </c>
      <c r="B5389">
        <v>199</v>
      </c>
      <c r="C5389" t="str">
        <f>"36"</f>
        <v>36</v>
      </c>
      <c r="D5389">
        <v>6411</v>
      </c>
      <c r="E5389" t="str">
        <f>"09"</f>
        <v>09</v>
      </c>
      <c r="F5389" t="str">
        <f t="shared" si="1176"/>
        <v>001</v>
      </c>
      <c r="G5389">
        <v>9</v>
      </c>
      <c r="H5389" t="str">
        <f>"99"</f>
        <v>99</v>
      </c>
      <c r="I5389" t="str">
        <f t="shared" si="1175"/>
        <v>0</v>
      </c>
      <c r="J5389" t="str">
        <f>"01"</f>
        <v>01</v>
      </c>
      <c r="K5389">
        <v>20190322</v>
      </c>
      <c r="L5389" t="str">
        <f>"076179"</f>
        <v>076179</v>
      </c>
      <c r="M5389" t="str">
        <f>"46348"</f>
        <v>46348</v>
      </c>
      <c r="N5389" t="s">
        <v>1631</v>
      </c>
      <c r="O5389">
        <v>633.32000000000005</v>
      </c>
      <c r="P5389">
        <v>20190320</v>
      </c>
      <c r="Q5389" t="s">
        <v>2513</v>
      </c>
      <c r="R5389" t="s">
        <v>4345</v>
      </c>
      <c r="S5389" t="s">
        <v>1615</v>
      </c>
      <c r="T5389" t="s">
        <v>301</v>
      </c>
    </row>
    <row r="5390" spans="1:20" x14ac:dyDescent="0.25">
      <c r="A5390">
        <v>9</v>
      </c>
      <c r="B5390">
        <v>199</v>
      </c>
      <c r="C5390" t="str">
        <f>"36"</f>
        <v>36</v>
      </c>
      <c r="D5390">
        <v>6412</v>
      </c>
      <c r="E5390" t="str">
        <f>"09"</f>
        <v>09</v>
      </c>
      <c r="F5390" t="str">
        <f t="shared" si="1176"/>
        <v>001</v>
      </c>
      <c r="G5390">
        <v>9</v>
      </c>
      <c r="H5390" t="str">
        <f>"99"</f>
        <v>99</v>
      </c>
      <c r="I5390" t="str">
        <f>"1"</f>
        <v>1</v>
      </c>
      <c r="J5390" t="str">
        <f>"01"</f>
        <v>01</v>
      </c>
      <c r="K5390">
        <v>20190322</v>
      </c>
      <c r="L5390" t="str">
        <f>"076179"</f>
        <v>076179</v>
      </c>
      <c r="M5390" t="str">
        <f>"46348"</f>
        <v>46348</v>
      </c>
      <c r="N5390" t="s">
        <v>1631</v>
      </c>
      <c r="O5390">
        <v>800</v>
      </c>
      <c r="P5390">
        <v>20190320</v>
      </c>
      <c r="Q5390" t="s">
        <v>2514</v>
      </c>
      <c r="R5390" t="s">
        <v>4345</v>
      </c>
      <c r="S5390" t="s">
        <v>1615</v>
      </c>
      <c r="T5390" t="s">
        <v>301</v>
      </c>
    </row>
    <row r="5391" spans="1:20" x14ac:dyDescent="0.25">
      <c r="A5391">
        <v>9</v>
      </c>
      <c r="B5391">
        <v>199</v>
      </c>
      <c r="C5391" t="str">
        <f>"11"</f>
        <v>11</v>
      </c>
      <c r="D5391">
        <v>6399</v>
      </c>
      <c r="E5391" t="str">
        <f>"V8"</f>
        <v>V8</v>
      </c>
      <c r="F5391" t="str">
        <f t="shared" si="1176"/>
        <v>001</v>
      </c>
      <c r="G5391">
        <v>9</v>
      </c>
      <c r="H5391" t="str">
        <f>"22"</f>
        <v>22</v>
      </c>
      <c r="I5391" t="str">
        <f>"0"</f>
        <v>0</v>
      </c>
      <c r="J5391" t="str">
        <f>"22"</f>
        <v>22</v>
      </c>
      <c r="K5391">
        <v>20190322</v>
      </c>
      <c r="L5391" t="str">
        <f>"076182"</f>
        <v>076182</v>
      </c>
      <c r="M5391" t="str">
        <f>"00205"</f>
        <v>00205</v>
      </c>
      <c r="N5391" t="s">
        <v>4346</v>
      </c>
      <c r="O5391">
        <v>100</v>
      </c>
      <c r="P5391">
        <v>20190320</v>
      </c>
      <c r="Q5391" t="s">
        <v>2001</v>
      </c>
      <c r="R5391" t="s">
        <v>4347</v>
      </c>
      <c r="S5391" t="s">
        <v>1615</v>
      </c>
      <c r="T5391" t="s">
        <v>301</v>
      </c>
    </row>
    <row r="5392" spans="1:20" x14ac:dyDescent="0.25">
      <c r="A5392">
        <v>9</v>
      </c>
      <c r="B5392">
        <v>199</v>
      </c>
      <c r="C5392" t="str">
        <f>"52"</f>
        <v>52</v>
      </c>
      <c r="D5392">
        <v>6219</v>
      </c>
      <c r="E5392" t="str">
        <f>"00"</f>
        <v>00</v>
      </c>
      <c r="F5392" t="str">
        <f>"101"</f>
        <v>101</v>
      </c>
      <c r="G5392">
        <v>9</v>
      </c>
      <c r="H5392" t="str">
        <f>"99"</f>
        <v>99</v>
      </c>
      <c r="I5392" t="str">
        <f>"0"</f>
        <v>0</v>
      </c>
      <c r="J5392" t="str">
        <f>"00"</f>
        <v>00</v>
      </c>
      <c r="K5392">
        <v>20190322</v>
      </c>
      <c r="L5392" t="str">
        <f>"076184"</f>
        <v>076184</v>
      </c>
      <c r="M5392" t="str">
        <f>"00755"</f>
        <v>00755</v>
      </c>
      <c r="N5392" t="s">
        <v>4268</v>
      </c>
      <c r="O5392">
        <v>300</v>
      </c>
      <c r="P5392">
        <v>20190320</v>
      </c>
      <c r="Q5392" t="s">
        <v>1854</v>
      </c>
      <c r="R5392" t="s">
        <v>4348</v>
      </c>
      <c r="S5392" t="s">
        <v>1615</v>
      </c>
      <c r="T5392" t="s">
        <v>1479</v>
      </c>
    </row>
    <row r="5393" spans="1:20" x14ac:dyDescent="0.25">
      <c r="A5393">
        <v>9</v>
      </c>
      <c r="B5393">
        <v>199</v>
      </c>
      <c r="C5393" t="str">
        <f>"41"</f>
        <v>41</v>
      </c>
      <c r="D5393">
        <v>6299</v>
      </c>
      <c r="E5393" t="str">
        <f>"10"</f>
        <v>10</v>
      </c>
      <c r="F5393" t="str">
        <f>"735"</f>
        <v>735</v>
      </c>
      <c r="G5393">
        <v>9</v>
      </c>
      <c r="H5393" t="str">
        <f>"99"</f>
        <v>99</v>
      </c>
      <c r="I5393" t="str">
        <f>"0"</f>
        <v>0</v>
      </c>
      <c r="J5393" t="str">
        <f>"96"</f>
        <v>96</v>
      </c>
      <c r="K5393">
        <v>20190322</v>
      </c>
      <c r="L5393" t="str">
        <f>"076186"</f>
        <v>076186</v>
      </c>
      <c r="M5393" t="str">
        <f>"00522"</f>
        <v>00522</v>
      </c>
      <c r="N5393" t="s">
        <v>1647</v>
      </c>
      <c r="O5393" s="1">
        <v>2100</v>
      </c>
      <c r="P5393">
        <v>20190320</v>
      </c>
      <c r="Q5393" t="s">
        <v>2101</v>
      </c>
      <c r="R5393" t="s">
        <v>4333</v>
      </c>
      <c r="S5393" t="s">
        <v>1615</v>
      </c>
      <c r="T5393" t="s">
        <v>151</v>
      </c>
    </row>
    <row r="5394" spans="1:20" x14ac:dyDescent="0.25">
      <c r="A5394">
        <v>9</v>
      </c>
      <c r="B5394">
        <v>199</v>
      </c>
      <c r="C5394" t="str">
        <f>"36"</f>
        <v>36</v>
      </c>
      <c r="D5394">
        <v>6412</v>
      </c>
      <c r="E5394" t="str">
        <f>"TF"</f>
        <v>TF</v>
      </c>
      <c r="F5394" t="str">
        <f t="shared" ref="F5394:F5404" si="1177">"001"</f>
        <v>001</v>
      </c>
      <c r="G5394">
        <v>9</v>
      </c>
      <c r="H5394" t="str">
        <f>"99"</f>
        <v>99</v>
      </c>
      <c r="I5394" t="str">
        <f>"5"</f>
        <v>5</v>
      </c>
      <c r="J5394" t="str">
        <f>"74"</f>
        <v>74</v>
      </c>
      <c r="K5394">
        <v>20190322</v>
      </c>
      <c r="L5394" t="str">
        <f>"076187"</f>
        <v>076187</v>
      </c>
      <c r="M5394" t="str">
        <f>"54206"</f>
        <v>54206</v>
      </c>
      <c r="N5394" t="s">
        <v>4349</v>
      </c>
      <c r="O5394" s="1">
        <v>1055</v>
      </c>
      <c r="P5394">
        <v>20190320</v>
      </c>
      <c r="Q5394" t="s">
        <v>4350</v>
      </c>
      <c r="R5394" t="s">
        <v>4351</v>
      </c>
      <c r="S5394" t="s">
        <v>1615</v>
      </c>
      <c r="T5394" t="s">
        <v>301</v>
      </c>
    </row>
    <row r="5395" spans="1:20" x14ac:dyDescent="0.25">
      <c r="A5395">
        <v>9</v>
      </c>
      <c r="B5395">
        <v>199</v>
      </c>
      <c r="C5395" t="str">
        <f>"11"</f>
        <v>11</v>
      </c>
      <c r="D5395">
        <v>6399</v>
      </c>
      <c r="E5395" t="str">
        <f>"10"</f>
        <v>10</v>
      </c>
      <c r="F5395" t="str">
        <f t="shared" si="1177"/>
        <v>001</v>
      </c>
      <c r="G5395">
        <v>9</v>
      </c>
      <c r="H5395" t="str">
        <f>"11"</f>
        <v>11</v>
      </c>
      <c r="I5395" t="str">
        <f t="shared" ref="I5395:I5400" si="1178">"0"</f>
        <v>0</v>
      </c>
      <c r="J5395" t="str">
        <f>"01"</f>
        <v>01</v>
      </c>
      <c r="K5395">
        <v>20190322</v>
      </c>
      <c r="L5395" t="str">
        <f>"076190"</f>
        <v>076190</v>
      </c>
      <c r="M5395" t="str">
        <f>"58204"</f>
        <v>58204</v>
      </c>
      <c r="N5395" t="s">
        <v>1767</v>
      </c>
      <c r="O5395">
        <v>20.6</v>
      </c>
      <c r="P5395">
        <v>20190320</v>
      </c>
      <c r="Q5395" t="s">
        <v>1675</v>
      </c>
      <c r="R5395" t="s">
        <v>4352</v>
      </c>
      <c r="S5395" t="s">
        <v>1615</v>
      </c>
      <c r="T5395" t="s">
        <v>301</v>
      </c>
    </row>
    <row r="5396" spans="1:20" x14ac:dyDescent="0.25">
      <c r="A5396">
        <v>9</v>
      </c>
      <c r="B5396">
        <v>199</v>
      </c>
      <c r="C5396" t="str">
        <f>"11"</f>
        <v>11</v>
      </c>
      <c r="D5396">
        <v>6399</v>
      </c>
      <c r="E5396" t="str">
        <f>"R1"</f>
        <v>R1</v>
      </c>
      <c r="F5396" t="str">
        <f t="shared" si="1177"/>
        <v>001</v>
      </c>
      <c r="G5396">
        <v>9</v>
      </c>
      <c r="H5396" t="str">
        <f>"11"</f>
        <v>11</v>
      </c>
      <c r="I5396" t="str">
        <f t="shared" si="1178"/>
        <v>0</v>
      </c>
      <c r="J5396" t="str">
        <f>"01"</f>
        <v>01</v>
      </c>
      <c r="K5396">
        <v>20190322</v>
      </c>
      <c r="L5396" t="str">
        <f>"076190"</f>
        <v>076190</v>
      </c>
      <c r="M5396" t="str">
        <f>"58204"</f>
        <v>58204</v>
      </c>
      <c r="N5396" t="s">
        <v>1767</v>
      </c>
      <c r="O5396">
        <v>56.18</v>
      </c>
      <c r="P5396">
        <v>20190320</v>
      </c>
      <c r="Q5396" t="s">
        <v>2441</v>
      </c>
      <c r="R5396" t="s">
        <v>4353</v>
      </c>
      <c r="S5396" t="s">
        <v>1615</v>
      </c>
      <c r="T5396" t="s">
        <v>301</v>
      </c>
    </row>
    <row r="5397" spans="1:20" x14ac:dyDescent="0.25">
      <c r="A5397">
        <v>9</v>
      </c>
      <c r="B5397">
        <v>199</v>
      </c>
      <c r="C5397" t="str">
        <f>"36"</f>
        <v>36</v>
      </c>
      <c r="D5397">
        <v>6399</v>
      </c>
      <c r="E5397" t="str">
        <f>"09"</f>
        <v>09</v>
      </c>
      <c r="F5397" t="str">
        <f t="shared" si="1177"/>
        <v>001</v>
      </c>
      <c r="G5397">
        <v>9</v>
      </c>
      <c r="H5397" t="str">
        <f>"99"</f>
        <v>99</v>
      </c>
      <c r="I5397" t="str">
        <f t="shared" si="1178"/>
        <v>0</v>
      </c>
      <c r="J5397" t="str">
        <f>"01"</f>
        <v>01</v>
      </c>
      <c r="K5397">
        <v>20190322</v>
      </c>
      <c r="L5397" t="str">
        <f>"076190"</f>
        <v>076190</v>
      </c>
      <c r="M5397" t="str">
        <f>"58204"</f>
        <v>58204</v>
      </c>
      <c r="N5397" t="s">
        <v>1767</v>
      </c>
      <c r="O5397">
        <v>193.88</v>
      </c>
      <c r="P5397">
        <v>20190320</v>
      </c>
      <c r="Q5397" t="s">
        <v>2177</v>
      </c>
      <c r="R5397" t="s">
        <v>4354</v>
      </c>
      <c r="S5397" t="s">
        <v>1615</v>
      </c>
      <c r="T5397" t="s">
        <v>301</v>
      </c>
    </row>
    <row r="5398" spans="1:20" x14ac:dyDescent="0.25">
      <c r="A5398">
        <v>9</v>
      </c>
      <c r="B5398">
        <v>199</v>
      </c>
      <c r="C5398" t="str">
        <f>"36"</f>
        <v>36</v>
      </c>
      <c r="D5398">
        <v>6412</v>
      </c>
      <c r="E5398" t="str">
        <f>"7B"</f>
        <v>7B</v>
      </c>
      <c r="F5398" t="str">
        <f t="shared" si="1177"/>
        <v>001</v>
      </c>
      <c r="G5398">
        <v>9</v>
      </c>
      <c r="H5398" t="str">
        <f>"99"</f>
        <v>99</v>
      </c>
      <c r="I5398" t="str">
        <f t="shared" si="1178"/>
        <v>0</v>
      </c>
      <c r="J5398" t="str">
        <f>"32"</f>
        <v>32</v>
      </c>
      <c r="K5398">
        <v>20190322</v>
      </c>
      <c r="L5398" t="str">
        <f>"076190"</f>
        <v>076190</v>
      </c>
      <c r="M5398" t="str">
        <f>"58204"</f>
        <v>58204</v>
      </c>
      <c r="N5398" t="s">
        <v>1767</v>
      </c>
      <c r="O5398">
        <v>45</v>
      </c>
      <c r="P5398">
        <v>20190320</v>
      </c>
      <c r="Q5398" t="s">
        <v>1658</v>
      </c>
      <c r="R5398" t="s">
        <v>4355</v>
      </c>
      <c r="S5398" t="s">
        <v>1615</v>
      </c>
      <c r="T5398" t="s">
        <v>301</v>
      </c>
    </row>
    <row r="5399" spans="1:20" x14ac:dyDescent="0.25">
      <c r="A5399">
        <v>9</v>
      </c>
      <c r="B5399">
        <v>199</v>
      </c>
      <c r="C5399" t="str">
        <f>"21"</f>
        <v>21</v>
      </c>
      <c r="D5399">
        <v>6411</v>
      </c>
      <c r="E5399" t="str">
        <f>"V1"</f>
        <v>V1</v>
      </c>
      <c r="F5399" t="str">
        <f t="shared" si="1177"/>
        <v>001</v>
      </c>
      <c r="G5399">
        <v>9</v>
      </c>
      <c r="H5399" t="str">
        <f>"22"</f>
        <v>22</v>
      </c>
      <c r="I5399" t="str">
        <f t="shared" si="1178"/>
        <v>0</v>
      </c>
      <c r="J5399" t="str">
        <f>"22"</f>
        <v>22</v>
      </c>
      <c r="K5399">
        <v>20190322</v>
      </c>
      <c r="L5399" t="str">
        <f>"076191"</f>
        <v>076191</v>
      </c>
      <c r="M5399" t="str">
        <f>"59018"</f>
        <v>59018</v>
      </c>
      <c r="N5399" t="s">
        <v>2526</v>
      </c>
      <c r="O5399">
        <v>130.19999999999999</v>
      </c>
      <c r="P5399">
        <v>20190320</v>
      </c>
      <c r="Q5399" t="s">
        <v>2728</v>
      </c>
      <c r="R5399" t="s">
        <v>2850</v>
      </c>
      <c r="S5399" t="s">
        <v>1615</v>
      </c>
      <c r="T5399" t="s">
        <v>301</v>
      </c>
    </row>
    <row r="5400" spans="1:20" x14ac:dyDescent="0.25">
      <c r="A5400">
        <v>9</v>
      </c>
      <c r="B5400">
        <v>199</v>
      </c>
      <c r="C5400" t="str">
        <f t="shared" ref="C5400:C5405" si="1179">"36"</f>
        <v>36</v>
      </c>
      <c r="D5400">
        <v>6411</v>
      </c>
      <c r="E5400" t="str">
        <f>"09"</f>
        <v>09</v>
      </c>
      <c r="F5400" t="str">
        <f t="shared" si="1177"/>
        <v>001</v>
      </c>
      <c r="G5400">
        <v>9</v>
      </c>
      <c r="H5400" t="str">
        <f t="shared" ref="H5400:H5405" si="1180">"99"</f>
        <v>99</v>
      </c>
      <c r="I5400" t="str">
        <f t="shared" si="1178"/>
        <v>0</v>
      </c>
      <c r="J5400" t="str">
        <f>"01"</f>
        <v>01</v>
      </c>
      <c r="K5400">
        <v>20190322</v>
      </c>
      <c r="L5400" t="str">
        <f>"076192"</f>
        <v>076192</v>
      </c>
      <c r="M5400" t="str">
        <f>"59097"</f>
        <v>59097</v>
      </c>
      <c r="N5400" t="s">
        <v>2294</v>
      </c>
      <c r="O5400">
        <v>166.64</v>
      </c>
      <c r="P5400">
        <v>20190320</v>
      </c>
      <c r="Q5400" t="s">
        <v>2513</v>
      </c>
      <c r="R5400" t="s">
        <v>4356</v>
      </c>
      <c r="S5400" t="s">
        <v>1615</v>
      </c>
      <c r="T5400" t="s">
        <v>301</v>
      </c>
    </row>
    <row r="5401" spans="1:20" x14ac:dyDescent="0.25">
      <c r="A5401">
        <v>9</v>
      </c>
      <c r="B5401">
        <v>199</v>
      </c>
      <c r="C5401" t="str">
        <f t="shared" si="1179"/>
        <v>36</v>
      </c>
      <c r="D5401">
        <v>6412</v>
      </c>
      <c r="E5401" t="str">
        <f>"09"</f>
        <v>09</v>
      </c>
      <c r="F5401" t="str">
        <f t="shared" si="1177"/>
        <v>001</v>
      </c>
      <c r="G5401">
        <v>9</v>
      </c>
      <c r="H5401" t="str">
        <f t="shared" si="1180"/>
        <v>99</v>
      </c>
      <c r="I5401" t="str">
        <f>"1"</f>
        <v>1</v>
      </c>
      <c r="J5401" t="str">
        <f>"01"</f>
        <v>01</v>
      </c>
      <c r="K5401">
        <v>20190322</v>
      </c>
      <c r="L5401" t="str">
        <f>"076192"</f>
        <v>076192</v>
      </c>
      <c r="M5401" t="str">
        <f>"59097"</f>
        <v>59097</v>
      </c>
      <c r="N5401" t="s">
        <v>2294</v>
      </c>
      <c r="O5401">
        <v>525</v>
      </c>
      <c r="P5401">
        <v>20190320</v>
      </c>
      <c r="Q5401" t="s">
        <v>2514</v>
      </c>
      <c r="R5401" t="s">
        <v>4356</v>
      </c>
      <c r="S5401" t="s">
        <v>1615</v>
      </c>
      <c r="T5401" t="s">
        <v>301</v>
      </c>
    </row>
    <row r="5402" spans="1:20" x14ac:dyDescent="0.25">
      <c r="A5402">
        <v>9</v>
      </c>
      <c r="B5402">
        <v>199</v>
      </c>
      <c r="C5402" t="str">
        <f t="shared" si="1179"/>
        <v>36</v>
      </c>
      <c r="D5402">
        <v>6399</v>
      </c>
      <c r="E5402" t="str">
        <f>"09"</f>
        <v>09</v>
      </c>
      <c r="F5402" t="str">
        <f t="shared" si="1177"/>
        <v>001</v>
      </c>
      <c r="G5402">
        <v>9</v>
      </c>
      <c r="H5402" t="str">
        <f t="shared" si="1180"/>
        <v>99</v>
      </c>
      <c r="I5402" t="str">
        <f>"0"</f>
        <v>0</v>
      </c>
      <c r="J5402" t="str">
        <f>"01"</f>
        <v>01</v>
      </c>
      <c r="K5402">
        <v>20190322</v>
      </c>
      <c r="L5402" t="str">
        <f>"076193"</f>
        <v>076193</v>
      </c>
      <c r="M5402" t="str">
        <f>"59097"</f>
        <v>59097</v>
      </c>
      <c r="N5402" t="s">
        <v>2294</v>
      </c>
      <c r="O5402">
        <v>332</v>
      </c>
      <c r="P5402">
        <v>20190320</v>
      </c>
      <c r="Q5402" t="s">
        <v>2177</v>
      </c>
      <c r="R5402" t="s">
        <v>4357</v>
      </c>
      <c r="S5402" t="s">
        <v>1615</v>
      </c>
      <c r="T5402" t="s">
        <v>301</v>
      </c>
    </row>
    <row r="5403" spans="1:20" x14ac:dyDescent="0.25">
      <c r="A5403">
        <v>9</v>
      </c>
      <c r="B5403">
        <v>199</v>
      </c>
      <c r="C5403" t="str">
        <f t="shared" si="1179"/>
        <v>36</v>
      </c>
      <c r="D5403">
        <v>6412</v>
      </c>
      <c r="E5403" t="str">
        <f>"7E"</f>
        <v>7E</v>
      </c>
      <c r="F5403" t="str">
        <f t="shared" si="1177"/>
        <v>001</v>
      </c>
      <c r="G5403">
        <v>9</v>
      </c>
      <c r="H5403" t="str">
        <f t="shared" si="1180"/>
        <v>99</v>
      </c>
      <c r="I5403" t="str">
        <f>"0"</f>
        <v>0</v>
      </c>
      <c r="J5403" t="str">
        <f>"31"</f>
        <v>31</v>
      </c>
      <c r="K5403">
        <v>20190322</v>
      </c>
      <c r="L5403" t="str">
        <f>"076194"</f>
        <v>076194</v>
      </c>
      <c r="M5403" t="str">
        <f>"63053"</f>
        <v>63053</v>
      </c>
      <c r="N5403" t="s">
        <v>2309</v>
      </c>
      <c r="O5403">
        <v>60</v>
      </c>
      <c r="P5403">
        <v>20190320</v>
      </c>
      <c r="Q5403" t="s">
        <v>1655</v>
      </c>
      <c r="R5403" t="s">
        <v>3257</v>
      </c>
      <c r="S5403" t="s">
        <v>1615</v>
      </c>
      <c r="T5403" t="s">
        <v>301</v>
      </c>
    </row>
    <row r="5404" spans="1:20" x14ac:dyDescent="0.25">
      <c r="A5404">
        <v>9</v>
      </c>
      <c r="B5404">
        <v>199</v>
      </c>
      <c r="C5404" t="str">
        <f t="shared" si="1179"/>
        <v>36</v>
      </c>
      <c r="D5404">
        <v>6412</v>
      </c>
      <c r="E5404" t="str">
        <f>"7E"</f>
        <v>7E</v>
      </c>
      <c r="F5404" t="str">
        <f t="shared" si="1177"/>
        <v>001</v>
      </c>
      <c r="G5404">
        <v>9</v>
      </c>
      <c r="H5404" t="str">
        <f t="shared" si="1180"/>
        <v>99</v>
      </c>
      <c r="I5404" t="str">
        <f>"1"</f>
        <v>1</v>
      </c>
      <c r="J5404" t="str">
        <f>"31"</f>
        <v>31</v>
      </c>
      <c r="K5404">
        <v>20190322</v>
      </c>
      <c r="L5404" t="str">
        <f>"076194"</f>
        <v>076194</v>
      </c>
      <c r="M5404" t="str">
        <f>"63053"</f>
        <v>63053</v>
      </c>
      <c r="N5404" t="s">
        <v>2309</v>
      </c>
      <c r="O5404">
        <v>44.66</v>
      </c>
      <c r="P5404">
        <v>20190320</v>
      </c>
      <c r="Q5404" t="s">
        <v>2312</v>
      </c>
      <c r="R5404" t="s">
        <v>3257</v>
      </c>
      <c r="S5404" t="s">
        <v>1615</v>
      </c>
      <c r="T5404" t="s">
        <v>301</v>
      </c>
    </row>
    <row r="5405" spans="1:20" x14ac:dyDescent="0.25">
      <c r="A5405">
        <v>9</v>
      </c>
      <c r="B5405">
        <v>199</v>
      </c>
      <c r="C5405" t="str">
        <f t="shared" si="1179"/>
        <v>36</v>
      </c>
      <c r="D5405">
        <v>6411</v>
      </c>
      <c r="E5405" t="str">
        <f>"7E"</f>
        <v>7E</v>
      </c>
      <c r="F5405" t="str">
        <f>"041"</f>
        <v>041</v>
      </c>
      <c r="G5405">
        <v>9</v>
      </c>
      <c r="H5405" t="str">
        <f t="shared" si="1180"/>
        <v>99</v>
      </c>
      <c r="I5405" t="str">
        <f t="shared" ref="I5405:I5419" si="1181">"0"</f>
        <v>0</v>
      </c>
      <c r="J5405" t="str">
        <f>"35"</f>
        <v>35</v>
      </c>
      <c r="K5405">
        <v>20190322</v>
      </c>
      <c r="L5405" t="str">
        <f>"076196"</f>
        <v>076196</v>
      </c>
      <c r="M5405" t="str">
        <f>"63792"</f>
        <v>63792</v>
      </c>
      <c r="N5405" t="s">
        <v>2669</v>
      </c>
      <c r="O5405">
        <v>360.5</v>
      </c>
      <c r="P5405">
        <v>20190320</v>
      </c>
      <c r="Q5405" t="s">
        <v>3326</v>
      </c>
      <c r="R5405" t="s">
        <v>2912</v>
      </c>
      <c r="S5405" t="s">
        <v>1615</v>
      </c>
      <c r="T5405" t="s">
        <v>106</v>
      </c>
    </row>
    <row r="5406" spans="1:20" x14ac:dyDescent="0.25">
      <c r="A5406">
        <v>9</v>
      </c>
      <c r="B5406">
        <v>199</v>
      </c>
      <c r="C5406" t="str">
        <f>"11"</f>
        <v>11</v>
      </c>
      <c r="D5406">
        <v>6399</v>
      </c>
      <c r="E5406" t="str">
        <f>"10"</f>
        <v>10</v>
      </c>
      <c r="F5406" t="str">
        <f>"001"</f>
        <v>001</v>
      </c>
      <c r="G5406">
        <v>9</v>
      </c>
      <c r="H5406" t="str">
        <f>"11"</f>
        <v>11</v>
      </c>
      <c r="I5406" t="str">
        <f t="shared" si="1181"/>
        <v>0</v>
      </c>
      <c r="J5406" t="str">
        <f>"01"</f>
        <v>01</v>
      </c>
      <c r="K5406">
        <v>20190322</v>
      </c>
      <c r="L5406" t="str">
        <f t="shared" ref="L5406:L5418" si="1182">"076198"</f>
        <v>076198</v>
      </c>
      <c r="M5406" t="str">
        <f t="shared" ref="M5406:M5418" si="1183">"65106"</f>
        <v>65106</v>
      </c>
      <c r="N5406" t="s">
        <v>1175</v>
      </c>
      <c r="O5406">
        <v>199.98</v>
      </c>
      <c r="P5406">
        <v>20190320</v>
      </c>
      <c r="Q5406" t="s">
        <v>1675</v>
      </c>
      <c r="R5406" t="s">
        <v>4358</v>
      </c>
      <c r="S5406" t="s">
        <v>1615</v>
      </c>
      <c r="T5406" t="s">
        <v>301</v>
      </c>
    </row>
    <row r="5407" spans="1:20" x14ac:dyDescent="0.25">
      <c r="A5407">
        <v>9</v>
      </c>
      <c r="B5407">
        <v>199</v>
      </c>
      <c r="C5407" t="str">
        <f>"11"</f>
        <v>11</v>
      </c>
      <c r="D5407">
        <v>6399</v>
      </c>
      <c r="E5407" t="str">
        <f>"10"</f>
        <v>10</v>
      </c>
      <c r="F5407" t="str">
        <f>"001"</f>
        <v>001</v>
      </c>
      <c r="G5407">
        <v>9</v>
      </c>
      <c r="H5407" t="str">
        <f>"11"</f>
        <v>11</v>
      </c>
      <c r="I5407" t="str">
        <f t="shared" si="1181"/>
        <v>0</v>
      </c>
      <c r="J5407" t="str">
        <f>"01"</f>
        <v>01</v>
      </c>
      <c r="K5407">
        <v>20190322</v>
      </c>
      <c r="L5407" t="str">
        <f t="shared" si="1182"/>
        <v>076198</v>
      </c>
      <c r="M5407" t="str">
        <f t="shared" si="1183"/>
        <v>65106</v>
      </c>
      <c r="N5407" t="s">
        <v>1175</v>
      </c>
      <c r="O5407">
        <v>964.35</v>
      </c>
      <c r="P5407">
        <v>20190320</v>
      </c>
      <c r="Q5407" t="s">
        <v>1675</v>
      </c>
      <c r="R5407" t="s">
        <v>2793</v>
      </c>
      <c r="S5407" t="s">
        <v>1615</v>
      </c>
      <c r="T5407" t="s">
        <v>301</v>
      </c>
    </row>
    <row r="5408" spans="1:20" x14ac:dyDescent="0.25">
      <c r="A5408">
        <v>9</v>
      </c>
      <c r="B5408">
        <v>199</v>
      </c>
      <c r="C5408" t="str">
        <f>"11"</f>
        <v>11</v>
      </c>
      <c r="D5408">
        <v>6399</v>
      </c>
      <c r="E5408" t="str">
        <f>"7K"</f>
        <v>7K</v>
      </c>
      <c r="F5408" t="str">
        <f>"001"</f>
        <v>001</v>
      </c>
      <c r="G5408">
        <v>9</v>
      </c>
      <c r="H5408" t="str">
        <f>"11"</f>
        <v>11</v>
      </c>
      <c r="I5408" t="str">
        <f t="shared" si="1181"/>
        <v>0</v>
      </c>
      <c r="J5408" t="str">
        <f>"01"</f>
        <v>01</v>
      </c>
      <c r="K5408">
        <v>20190322</v>
      </c>
      <c r="L5408" t="str">
        <f t="shared" si="1182"/>
        <v>076198</v>
      </c>
      <c r="M5408" t="str">
        <f t="shared" si="1183"/>
        <v>65106</v>
      </c>
      <c r="N5408" t="s">
        <v>1175</v>
      </c>
      <c r="O5408">
        <v>-395.64</v>
      </c>
      <c r="P5408">
        <v>20190301</v>
      </c>
      <c r="Q5408" t="s">
        <v>1671</v>
      </c>
      <c r="R5408" t="s">
        <v>4359</v>
      </c>
      <c r="S5408" t="s">
        <v>1615</v>
      </c>
      <c r="T5408" t="s">
        <v>301</v>
      </c>
    </row>
    <row r="5409" spans="1:20" x14ac:dyDescent="0.25">
      <c r="A5409">
        <v>9</v>
      </c>
      <c r="B5409">
        <v>199</v>
      </c>
      <c r="C5409" t="str">
        <f>"21"</f>
        <v>21</v>
      </c>
      <c r="D5409">
        <v>6495</v>
      </c>
      <c r="E5409" t="str">
        <f>"00"</f>
        <v>00</v>
      </c>
      <c r="F5409" t="str">
        <f>"875"</f>
        <v>875</v>
      </c>
      <c r="G5409">
        <v>9</v>
      </c>
      <c r="H5409" t="str">
        <f>"23"</f>
        <v>23</v>
      </c>
      <c r="I5409" t="str">
        <f t="shared" si="1181"/>
        <v>0</v>
      </c>
      <c r="J5409" t="str">
        <f>"23"</f>
        <v>23</v>
      </c>
      <c r="K5409">
        <v>20190322</v>
      </c>
      <c r="L5409" t="str">
        <f t="shared" si="1182"/>
        <v>076198</v>
      </c>
      <c r="M5409" t="str">
        <f t="shared" si="1183"/>
        <v>65106</v>
      </c>
      <c r="N5409" t="s">
        <v>1175</v>
      </c>
      <c r="O5409">
        <v>40</v>
      </c>
      <c r="P5409">
        <v>20190320</v>
      </c>
      <c r="Q5409" t="s">
        <v>4360</v>
      </c>
      <c r="R5409" t="s">
        <v>1176</v>
      </c>
      <c r="S5409" t="s">
        <v>1615</v>
      </c>
      <c r="T5409" t="s">
        <v>2041</v>
      </c>
    </row>
    <row r="5410" spans="1:20" x14ac:dyDescent="0.25">
      <c r="A5410">
        <v>9</v>
      </c>
      <c r="B5410">
        <v>199</v>
      </c>
      <c r="C5410" t="str">
        <f>"21"</f>
        <v>21</v>
      </c>
      <c r="D5410">
        <v>6495</v>
      </c>
      <c r="E5410" t="str">
        <f>"V1"</f>
        <v>V1</v>
      </c>
      <c r="F5410" t="str">
        <f>"001"</f>
        <v>001</v>
      </c>
      <c r="G5410">
        <v>9</v>
      </c>
      <c r="H5410" t="str">
        <f>"22"</f>
        <v>22</v>
      </c>
      <c r="I5410" t="str">
        <f t="shared" si="1181"/>
        <v>0</v>
      </c>
      <c r="J5410" t="str">
        <f>"22"</f>
        <v>22</v>
      </c>
      <c r="K5410">
        <v>20190322</v>
      </c>
      <c r="L5410" t="str">
        <f t="shared" si="1182"/>
        <v>076198</v>
      </c>
      <c r="M5410" t="str">
        <f t="shared" si="1183"/>
        <v>65106</v>
      </c>
      <c r="N5410" t="s">
        <v>1175</v>
      </c>
      <c r="O5410">
        <v>20</v>
      </c>
      <c r="P5410">
        <v>20190320</v>
      </c>
      <c r="Q5410" t="s">
        <v>4361</v>
      </c>
      <c r="R5410" t="s">
        <v>1176</v>
      </c>
      <c r="S5410" t="s">
        <v>1615</v>
      </c>
      <c r="T5410" t="s">
        <v>301</v>
      </c>
    </row>
    <row r="5411" spans="1:20" x14ac:dyDescent="0.25">
      <c r="A5411">
        <v>9</v>
      </c>
      <c r="B5411">
        <v>199</v>
      </c>
      <c r="C5411" t="str">
        <f t="shared" ref="C5411:C5416" si="1184">"23"</f>
        <v>23</v>
      </c>
      <c r="D5411">
        <v>6495</v>
      </c>
      <c r="E5411" t="str">
        <f t="shared" ref="E5411:E5418" si="1185">"10"</f>
        <v>10</v>
      </c>
      <c r="F5411" t="str">
        <f>"001"</f>
        <v>001</v>
      </c>
      <c r="G5411">
        <v>9</v>
      </c>
      <c r="H5411" t="str">
        <f t="shared" ref="H5411:H5418" si="1186">"99"</f>
        <v>99</v>
      </c>
      <c r="I5411" t="str">
        <f t="shared" si="1181"/>
        <v>0</v>
      </c>
      <c r="J5411" t="str">
        <f>"01"</f>
        <v>01</v>
      </c>
      <c r="K5411">
        <v>20190322</v>
      </c>
      <c r="L5411" t="str">
        <f t="shared" si="1182"/>
        <v>076198</v>
      </c>
      <c r="M5411" t="str">
        <f t="shared" si="1183"/>
        <v>65106</v>
      </c>
      <c r="N5411" t="s">
        <v>1175</v>
      </c>
      <c r="O5411">
        <v>40</v>
      </c>
      <c r="P5411">
        <v>20190320</v>
      </c>
      <c r="Q5411" t="s">
        <v>1824</v>
      </c>
      <c r="R5411" t="s">
        <v>1176</v>
      </c>
      <c r="S5411" t="s">
        <v>1615</v>
      </c>
      <c r="T5411" t="s">
        <v>301</v>
      </c>
    </row>
    <row r="5412" spans="1:20" x14ac:dyDescent="0.25">
      <c r="A5412">
        <v>9</v>
      </c>
      <c r="B5412">
        <v>199</v>
      </c>
      <c r="C5412" t="str">
        <f t="shared" si="1184"/>
        <v>23</v>
      </c>
      <c r="D5412">
        <v>6495</v>
      </c>
      <c r="E5412" t="str">
        <f t="shared" si="1185"/>
        <v>10</v>
      </c>
      <c r="F5412" t="str">
        <f>"002"</f>
        <v>002</v>
      </c>
      <c r="G5412">
        <v>9</v>
      </c>
      <c r="H5412" t="str">
        <f t="shared" si="1186"/>
        <v>99</v>
      </c>
      <c r="I5412" t="str">
        <f t="shared" si="1181"/>
        <v>0</v>
      </c>
      <c r="J5412" t="str">
        <f>"02"</f>
        <v>02</v>
      </c>
      <c r="K5412">
        <v>20190322</v>
      </c>
      <c r="L5412" t="str">
        <f t="shared" si="1182"/>
        <v>076198</v>
      </c>
      <c r="M5412" t="str">
        <f t="shared" si="1183"/>
        <v>65106</v>
      </c>
      <c r="N5412" t="s">
        <v>1175</v>
      </c>
      <c r="O5412">
        <v>80</v>
      </c>
      <c r="P5412">
        <v>20190320</v>
      </c>
      <c r="Q5412" t="s">
        <v>4362</v>
      </c>
      <c r="R5412" t="s">
        <v>1176</v>
      </c>
      <c r="S5412" t="s">
        <v>1615</v>
      </c>
      <c r="T5412" t="s">
        <v>1485</v>
      </c>
    </row>
    <row r="5413" spans="1:20" x14ac:dyDescent="0.25">
      <c r="A5413">
        <v>9</v>
      </c>
      <c r="B5413">
        <v>199</v>
      </c>
      <c r="C5413" t="str">
        <f t="shared" si="1184"/>
        <v>23</v>
      </c>
      <c r="D5413">
        <v>6495</v>
      </c>
      <c r="E5413" t="str">
        <f t="shared" si="1185"/>
        <v>10</v>
      </c>
      <c r="F5413" t="str">
        <f>"041"</f>
        <v>041</v>
      </c>
      <c r="G5413">
        <v>9</v>
      </c>
      <c r="H5413" t="str">
        <f t="shared" si="1186"/>
        <v>99</v>
      </c>
      <c r="I5413" t="str">
        <f t="shared" si="1181"/>
        <v>0</v>
      </c>
      <c r="J5413" t="str">
        <f>"03"</f>
        <v>03</v>
      </c>
      <c r="K5413">
        <v>20190322</v>
      </c>
      <c r="L5413" t="str">
        <f t="shared" si="1182"/>
        <v>076198</v>
      </c>
      <c r="M5413" t="str">
        <f t="shared" si="1183"/>
        <v>65106</v>
      </c>
      <c r="N5413" t="s">
        <v>1175</v>
      </c>
      <c r="O5413">
        <v>40</v>
      </c>
      <c r="P5413">
        <v>20190320</v>
      </c>
      <c r="Q5413" t="s">
        <v>3994</v>
      </c>
      <c r="R5413" t="s">
        <v>1176</v>
      </c>
      <c r="S5413" t="s">
        <v>1615</v>
      </c>
      <c r="T5413" t="s">
        <v>106</v>
      </c>
    </row>
    <row r="5414" spans="1:20" x14ac:dyDescent="0.25">
      <c r="A5414">
        <v>9</v>
      </c>
      <c r="B5414">
        <v>199</v>
      </c>
      <c r="C5414" t="str">
        <f t="shared" si="1184"/>
        <v>23</v>
      </c>
      <c r="D5414">
        <v>6495</v>
      </c>
      <c r="E5414" t="str">
        <f t="shared" si="1185"/>
        <v>10</v>
      </c>
      <c r="F5414" t="str">
        <f>"101"</f>
        <v>101</v>
      </c>
      <c r="G5414">
        <v>9</v>
      </c>
      <c r="H5414" t="str">
        <f t="shared" si="1186"/>
        <v>99</v>
      </c>
      <c r="I5414" t="str">
        <f t="shared" si="1181"/>
        <v>0</v>
      </c>
      <c r="J5414" t="str">
        <f>"04"</f>
        <v>04</v>
      </c>
      <c r="K5414">
        <v>20190322</v>
      </c>
      <c r="L5414" t="str">
        <f t="shared" si="1182"/>
        <v>076198</v>
      </c>
      <c r="M5414" t="str">
        <f t="shared" si="1183"/>
        <v>65106</v>
      </c>
      <c r="N5414" t="s">
        <v>1175</v>
      </c>
      <c r="O5414">
        <v>80</v>
      </c>
      <c r="P5414">
        <v>20190320</v>
      </c>
      <c r="Q5414" t="s">
        <v>3269</v>
      </c>
      <c r="R5414" t="s">
        <v>1176</v>
      </c>
      <c r="S5414" t="s">
        <v>1615</v>
      </c>
      <c r="T5414" t="s">
        <v>1479</v>
      </c>
    </row>
    <row r="5415" spans="1:20" x14ac:dyDescent="0.25">
      <c r="A5415">
        <v>9</v>
      </c>
      <c r="B5415">
        <v>199</v>
      </c>
      <c r="C5415" t="str">
        <f t="shared" si="1184"/>
        <v>23</v>
      </c>
      <c r="D5415">
        <v>6498</v>
      </c>
      <c r="E5415" t="str">
        <f t="shared" si="1185"/>
        <v>10</v>
      </c>
      <c r="F5415" t="str">
        <f>"001"</f>
        <v>001</v>
      </c>
      <c r="G5415">
        <v>9</v>
      </c>
      <c r="H5415" t="str">
        <f t="shared" si="1186"/>
        <v>99</v>
      </c>
      <c r="I5415" t="str">
        <f t="shared" si="1181"/>
        <v>0</v>
      </c>
      <c r="J5415" t="str">
        <f>"01"</f>
        <v>01</v>
      </c>
      <c r="K5415">
        <v>20190322</v>
      </c>
      <c r="L5415" t="str">
        <f t="shared" si="1182"/>
        <v>076198</v>
      </c>
      <c r="M5415" t="str">
        <f t="shared" si="1183"/>
        <v>65106</v>
      </c>
      <c r="N5415" t="s">
        <v>1175</v>
      </c>
      <c r="O5415">
        <v>93.44</v>
      </c>
      <c r="P5415">
        <v>20190320</v>
      </c>
      <c r="Q5415" t="s">
        <v>2108</v>
      </c>
      <c r="R5415" t="s">
        <v>2081</v>
      </c>
      <c r="S5415" t="s">
        <v>1615</v>
      </c>
      <c r="T5415" t="s">
        <v>301</v>
      </c>
    </row>
    <row r="5416" spans="1:20" x14ac:dyDescent="0.25">
      <c r="A5416">
        <v>9</v>
      </c>
      <c r="B5416">
        <v>199</v>
      </c>
      <c r="C5416" t="str">
        <f t="shared" si="1184"/>
        <v>23</v>
      </c>
      <c r="D5416">
        <v>6498</v>
      </c>
      <c r="E5416" t="str">
        <f t="shared" si="1185"/>
        <v>10</v>
      </c>
      <c r="F5416" t="str">
        <f>"104"</f>
        <v>104</v>
      </c>
      <c r="G5416">
        <v>9</v>
      </c>
      <c r="H5416" t="str">
        <f t="shared" si="1186"/>
        <v>99</v>
      </c>
      <c r="I5416" t="str">
        <f t="shared" si="1181"/>
        <v>0</v>
      </c>
      <c r="J5416" t="str">
        <f>"05"</f>
        <v>05</v>
      </c>
      <c r="K5416">
        <v>20190322</v>
      </c>
      <c r="L5416" t="str">
        <f t="shared" si="1182"/>
        <v>076198</v>
      </c>
      <c r="M5416" t="str">
        <f t="shared" si="1183"/>
        <v>65106</v>
      </c>
      <c r="N5416" t="s">
        <v>1175</v>
      </c>
      <c r="O5416">
        <v>120</v>
      </c>
      <c r="P5416">
        <v>20190320</v>
      </c>
      <c r="Q5416" t="s">
        <v>2402</v>
      </c>
      <c r="R5416" t="s">
        <v>1176</v>
      </c>
      <c r="S5416" t="s">
        <v>1615</v>
      </c>
      <c r="T5416" t="s">
        <v>46</v>
      </c>
    </row>
    <row r="5417" spans="1:20" x14ac:dyDescent="0.25">
      <c r="A5417">
        <v>9</v>
      </c>
      <c r="B5417">
        <v>199</v>
      </c>
      <c r="C5417" t="str">
        <f>"41"</f>
        <v>41</v>
      </c>
      <c r="D5417">
        <v>6495</v>
      </c>
      <c r="E5417" t="str">
        <f t="shared" si="1185"/>
        <v>10</v>
      </c>
      <c r="F5417" t="str">
        <f>"726"</f>
        <v>726</v>
      </c>
      <c r="G5417">
        <v>9</v>
      </c>
      <c r="H5417" t="str">
        <f t="shared" si="1186"/>
        <v>99</v>
      </c>
      <c r="I5417" t="str">
        <f t="shared" si="1181"/>
        <v>0</v>
      </c>
      <c r="J5417" t="str">
        <f>"91"</f>
        <v>91</v>
      </c>
      <c r="K5417">
        <v>20190322</v>
      </c>
      <c r="L5417" t="str">
        <f t="shared" si="1182"/>
        <v>076198</v>
      </c>
      <c r="M5417" t="str">
        <f t="shared" si="1183"/>
        <v>65106</v>
      </c>
      <c r="N5417" t="s">
        <v>1175</v>
      </c>
      <c r="O5417">
        <v>5</v>
      </c>
      <c r="P5417">
        <v>20190320</v>
      </c>
      <c r="Q5417" t="s">
        <v>2989</v>
      </c>
      <c r="R5417" t="s">
        <v>1176</v>
      </c>
      <c r="S5417" t="s">
        <v>1615</v>
      </c>
      <c r="T5417" t="s">
        <v>2608</v>
      </c>
    </row>
    <row r="5418" spans="1:20" x14ac:dyDescent="0.25">
      <c r="A5418">
        <v>9</v>
      </c>
      <c r="B5418">
        <v>199</v>
      </c>
      <c r="C5418" t="str">
        <f>"53"</f>
        <v>53</v>
      </c>
      <c r="D5418">
        <v>6498</v>
      </c>
      <c r="E5418" t="str">
        <f t="shared" si="1185"/>
        <v>10</v>
      </c>
      <c r="F5418" t="str">
        <f>"880"</f>
        <v>880</v>
      </c>
      <c r="G5418">
        <v>9</v>
      </c>
      <c r="H5418" t="str">
        <f t="shared" si="1186"/>
        <v>99</v>
      </c>
      <c r="I5418" t="str">
        <f t="shared" si="1181"/>
        <v>0</v>
      </c>
      <c r="J5418" t="str">
        <f>"80"</f>
        <v>80</v>
      </c>
      <c r="K5418">
        <v>20190322</v>
      </c>
      <c r="L5418" t="str">
        <f t="shared" si="1182"/>
        <v>076198</v>
      </c>
      <c r="M5418" t="str">
        <f t="shared" si="1183"/>
        <v>65106</v>
      </c>
      <c r="N5418" t="s">
        <v>1175</v>
      </c>
      <c r="O5418">
        <v>20</v>
      </c>
      <c r="P5418">
        <v>20190320</v>
      </c>
      <c r="Q5418" t="s">
        <v>2082</v>
      </c>
      <c r="R5418" t="s">
        <v>1176</v>
      </c>
      <c r="S5418" t="s">
        <v>1615</v>
      </c>
      <c r="T5418" t="s">
        <v>1866</v>
      </c>
    </row>
    <row r="5419" spans="1:20" x14ac:dyDescent="0.25">
      <c r="A5419">
        <v>9</v>
      </c>
      <c r="B5419">
        <v>199</v>
      </c>
      <c r="C5419" t="str">
        <f>"36"</f>
        <v>36</v>
      </c>
      <c r="D5419">
        <v>6411</v>
      </c>
      <c r="E5419" t="str">
        <f>"VH"</f>
        <v>VH</v>
      </c>
      <c r="F5419" t="str">
        <f>"001"</f>
        <v>001</v>
      </c>
      <c r="G5419">
        <v>9</v>
      </c>
      <c r="H5419" t="str">
        <f>"22"</f>
        <v>22</v>
      </c>
      <c r="I5419" t="str">
        <f t="shared" si="1181"/>
        <v>0</v>
      </c>
      <c r="J5419" t="str">
        <f>"22"</f>
        <v>22</v>
      </c>
      <c r="K5419">
        <v>20190322</v>
      </c>
      <c r="L5419" t="str">
        <f>"076199"</f>
        <v>076199</v>
      </c>
      <c r="M5419" t="str">
        <f>"67580"</f>
        <v>67580</v>
      </c>
      <c r="N5419" t="s">
        <v>3987</v>
      </c>
      <c r="O5419">
        <v>291.12</v>
      </c>
      <c r="P5419">
        <v>20190320</v>
      </c>
      <c r="Q5419" t="s">
        <v>2377</v>
      </c>
      <c r="R5419" t="s">
        <v>4179</v>
      </c>
      <c r="S5419" t="s">
        <v>1615</v>
      </c>
      <c r="T5419" t="s">
        <v>301</v>
      </c>
    </row>
    <row r="5420" spans="1:20" x14ac:dyDescent="0.25">
      <c r="A5420">
        <v>9</v>
      </c>
      <c r="B5420">
        <v>199</v>
      </c>
      <c r="C5420" t="str">
        <f>"36"</f>
        <v>36</v>
      </c>
      <c r="D5420">
        <v>6412</v>
      </c>
      <c r="E5420" t="str">
        <f>"VH"</f>
        <v>VH</v>
      </c>
      <c r="F5420" t="str">
        <f>"001"</f>
        <v>001</v>
      </c>
      <c r="G5420">
        <v>9</v>
      </c>
      <c r="H5420" t="str">
        <f>"22"</f>
        <v>22</v>
      </c>
      <c r="I5420" t="str">
        <f>"5"</f>
        <v>5</v>
      </c>
      <c r="J5420" t="str">
        <f>"74"</f>
        <v>74</v>
      </c>
      <c r="K5420">
        <v>20190322</v>
      </c>
      <c r="L5420" t="str">
        <f>"076199"</f>
        <v>076199</v>
      </c>
      <c r="M5420" t="str">
        <f>"67580"</f>
        <v>67580</v>
      </c>
      <c r="N5420" t="s">
        <v>3987</v>
      </c>
      <c r="O5420" s="1">
        <v>5225.04</v>
      </c>
      <c r="P5420">
        <v>20190320</v>
      </c>
      <c r="Q5420" t="s">
        <v>4180</v>
      </c>
      <c r="R5420" t="s">
        <v>4179</v>
      </c>
      <c r="S5420" t="s">
        <v>1615</v>
      </c>
      <c r="T5420" t="s">
        <v>301</v>
      </c>
    </row>
    <row r="5421" spans="1:20" x14ac:dyDescent="0.25">
      <c r="A5421">
        <v>9</v>
      </c>
      <c r="B5421">
        <v>199</v>
      </c>
      <c r="C5421" t="str">
        <f>"12"</f>
        <v>12</v>
      </c>
      <c r="D5421">
        <v>6249</v>
      </c>
      <c r="E5421" t="str">
        <f>"7U"</f>
        <v>7U</v>
      </c>
      <c r="F5421" t="str">
        <f>"001"</f>
        <v>001</v>
      </c>
      <c r="G5421">
        <v>9</v>
      </c>
      <c r="H5421" t="str">
        <f>"11"</f>
        <v>11</v>
      </c>
      <c r="I5421" t="str">
        <f>"0"</f>
        <v>0</v>
      </c>
      <c r="J5421" t="str">
        <f>"01"</f>
        <v>01</v>
      </c>
      <c r="K5421">
        <v>20190322</v>
      </c>
      <c r="L5421" t="str">
        <f>"076202"</f>
        <v>076202</v>
      </c>
      <c r="M5421" t="str">
        <f>"70166"</f>
        <v>70166</v>
      </c>
      <c r="N5421" t="s">
        <v>4363</v>
      </c>
      <c r="O5421">
        <v>99</v>
      </c>
      <c r="P5421">
        <v>20190320</v>
      </c>
      <c r="Q5421" t="s">
        <v>1752</v>
      </c>
      <c r="R5421" t="s">
        <v>4364</v>
      </c>
      <c r="S5421" t="s">
        <v>1615</v>
      </c>
      <c r="T5421" t="s">
        <v>301</v>
      </c>
    </row>
    <row r="5422" spans="1:20" x14ac:dyDescent="0.25">
      <c r="A5422">
        <v>9</v>
      </c>
      <c r="B5422">
        <v>199</v>
      </c>
      <c r="C5422" t="str">
        <f>"11"</f>
        <v>11</v>
      </c>
      <c r="D5422">
        <v>6398</v>
      </c>
      <c r="E5422" t="str">
        <f>"7E"</f>
        <v>7E</v>
      </c>
      <c r="F5422" t="str">
        <f>"041"</f>
        <v>041</v>
      </c>
      <c r="G5422">
        <v>9</v>
      </c>
      <c r="H5422" t="str">
        <f>"11"</f>
        <v>11</v>
      </c>
      <c r="I5422" t="str">
        <f>"0"</f>
        <v>0</v>
      </c>
      <c r="J5422" t="str">
        <f>"35"</f>
        <v>35</v>
      </c>
      <c r="K5422">
        <v>20190322</v>
      </c>
      <c r="L5422" t="str">
        <f>"076203"</f>
        <v>076203</v>
      </c>
      <c r="M5422" t="str">
        <f>"71763"</f>
        <v>71763</v>
      </c>
      <c r="N5422" t="s">
        <v>3059</v>
      </c>
      <c r="O5422">
        <v>374.5</v>
      </c>
      <c r="P5422">
        <v>20190320</v>
      </c>
      <c r="Q5422" t="s">
        <v>4365</v>
      </c>
      <c r="R5422" t="s">
        <v>4366</v>
      </c>
      <c r="S5422" t="s">
        <v>1615</v>
      </c>
      <c r="T5422" t="s">
        <v>106</v>
      </c>
    </row>
    <row r="5423" spans="1:20" x14ac:dyDescent="0.25">
      <c r="A5423">
        <v>9</v>
      </c>
      <c r="B5423">
        <v>199</v>
      </c>
      <c r="C5423" t="str">
        <f>"36"</f>
        <v>36</v>
      </c>
      <c r="D5423">
        <v>6412</v>
      </c>
      <c r="E5423" t="str">
        <f>"VH"</f>
        <v>VH</v>
      </c>
      <c r="F5423" t="str">
        <f>"001"</f>
        <v>001</v>
      </c>
      <c r="G5423">
        <v>9</v>
      </c>
      <c r="H5423" t="str">
        <f>"22"</f>
        <v>22</v>
      </c>
      <c r="I5423" t="str">
        <f>"5"</f>
        <v>5</v>
      </c>
      <c r="J5423" t="str">
        <f>"74"</f>
        <v>74</v>
      </c>
      <c r="K5423">
        <v>20190322</v>
      </c>
      <c r="L5423" t="str">
        <f>"076204"</f>
        <v>076204</v>
      </c>
      <c r="M5423" t="str">
        <f>"00701"</f>
        <v>00701</v>
      </c>
      <c r="N5423" t="s">
        <v>3988</v>
      </c>
      <c r="O5423">
        <v>392.69</v>
      </c>
      <c r="P5423">
        <v>20190320</v>
      </c>
      <c r="Q5423" t="s">
        <v>4180</v>
      </c>
      <c r="R5423" t="s">
        <v>4179</v>
      </c>
      <c r="S5423" t="s">
        <v>1615</v>
      </c>
      <c r="T5423" t="s">
        <v>301</v>
      </c>
    </row>
    <row r="5424" spans="1:20" x14ac:dyDescent="0.25">
      <c r="A5424">
        <v>9</v>
      </c>
      <c r="B5424">
        <v>199</v>
      </c>
      <c r="C5424" t="str">
        <f>"11"</f>
        <v>11</v>
      </c>
      <c r="D5424">
        <v>6412</v>
      </c>
      <c r="E5424" t="str">
        <f>"TA"</f>
        <v>TA</v>
      </c>
      <c r="F5424" t="str">
        <f>"001"</f>
        <v>001</v>
      </c>
      <c r="G5424">
        <v>9</v>
      </c>
      <c r="H5424" t="str">
        <f>"31"</f>
        <v>31</v>
      </c>
      <c r="I5424" t="str">
        <f>"0"</f>
        <v>0</v>
      </c>
      <c r="J5424" t="str">
        <f>"34"</f>
        <v>34</v>
      </c>
      <c r="K5424">
        <v>20190322</v>
      </c>
      <c r="L5424" t="str">
        <f>"076206"</f>
        <v>076206</v>
      </c>
      <c r="M5424" t="str">
        <f>"67546"</f>
        <v>67546</v>
      </c>
      <c r="N5424" t="s">
        <v>3912</v>
      </c>
      <c r="O5424" s="1">
        <v>1000</v>
      </c>
      <c r="P5424">
        <v>20190320</v>
      </c>
      <c r="Q5424" t="s">
        <v>3895</v>
      </c>
      <c r="R5424" t="s">
        <v>4344</v>
      </c>
      <c r="S5424" t="s">
        <v>1615</v>
      </c>
      <c r="T5424" t="s">
        <v>301</v>
      </c>
    </row>
    <row r="5425" spans="1:20" x14ac:dyDescent="0.25">
      <c r="A5425">
        <v>9</v>
      </c>
      <c r="B5425">
        <v>199</v>
      </c>
      <c r="C5425" t="str">
        <f>"41"</f>
        <v>41</v>
      </c>
      <c r="D5425">
        <v>6411</v>
      </c>
      <c r="E5425" t="str">
        <f>"10"</f>
        <v>10</v>
      </c>
      <c r="F5425" t="str">
        <f>"730"</f>
        <v>730</v>
      </c>
      <c r="G5425">
        <v>9</v>
      </c>
      <c r="H5425" t="str">
        <f>"99"</f>
        <v>99</v>
      </c>
      <c r="I5425" t="str">
        <f>"0"</f>
        <v>0</v>
      </c>
      <c r="J5425" t="str">
        <f>"95"</f>
        <v>95</v>
      </c>
      <c r="K5425">
        <v>20190322</v>
      </c>
      <c r="L5425" t="str">
        <f>"076208"</f>
        <v>076208</v>
      </c>
      <c r="M5425" t="str">
        <f>"74391"</f>
        <v>74391</v>
      </c>
      <c r="N5425" t="s">
        <v>4367</v>
      </c>
      <c r="O5425">
        <v>405</v>
      </c>
      <c r="P5425">
        <v>20190320</v>
      </c>
      <c r="Q5425" t="s">
        <v>3913</v>
      </c>
      <c r="R5425" t="s">
        <v>4265</v>
      </c>
      <c r="S5425" t="s">
        <v>1615</v>
      </c>
      <c r="T5425" t="s">
        <v>1794</v>
      </c>
    </row>
    <row r="5426" spans="1:20" x14ac:dyDescent="0.25">
      <c r="A5426">
        <v>9</v>
      </c>
      <c r="B5426">
        <v>199</v>
      </c>
      <c r="C5426" t="str">
        <f>"36"</f>
        <v>36</v>
      </c>
      <c r="D5426">
        <v>6412</v>
      </c>
      <c r="E5426" t="str">
        <f>"VD"</f>
        <v>VD</v>
      </c>
      <c r="F5426" t="str">
        <f>"001"</f>
        <v>001</v>
      </c>
      <c r="G5426">
        <v>9</v>
      </c>
      <c r="H5426" t="str">
        <f>"22"</f>
        <v>22</v>
      </c>
      <c r="I5426" t="str">
        <f>"5"</f>
        <v>5</v>
      </c>
      <c r="J5426" t="str">
        <f>"74"</f>
        <v>74</v>
      </c>
      <c r="K5426">
        <v>20190322</v>
      </c>
      <c r="L5426" t="str">
        <f>"076211"</f>
        <v>076211</v>
      </c>
      <c r="M5426" t="str">
        <f>"79662"</f>
        <v>79662</v>
      </c>
      <c r="N5426" t="s">
        <v>4368</v>
      </c>
      <c r="O5426">
        <v>821</v>
      </c>
      <c r="P5426">
        <v>20190320</v>
      </c>
      <c r="Q5426" t="s">
        <v>4369</v>
      </c>
      <c r="R5426" t="s">
        <v>4370</v>
      </c>
      <c r="S5426" t="s">
        <v>1615</v>
      </c>
      <c r="T5426" t="s">
        <v>301</v>
      </c>
    </row>
    <row r="5427" spans="1:20" x14ac:dyDescent="0.25">
      <c r="A5427">
        <v>9</v>
      </c>
      <c r="B5427">
        <v>199</v>
      </c>
      <c r="C5427" t="str">
        <f>"36"</f>
        <v>36</v>
      </c>
      <c r="D5427">
        <v>6399</v>
      </c>
      <c r="E5427" t="str">
        <f>"09"</f>
        <v>09</v>
      </c>
      <c r="F5427" t="str">
        <f>"001"</f>
        <v>001</v>
      </c>
      <c r="G5427">
        <v>9</v>
      </c>
      <c r="H5427" t="str">
        <f>"99"</f>
        <v>99</v>
      </c>
      <c r="I5427" t="str">
        <f t="shared" ref="I5427:I5435" si="1187">"0"</f>
        <v>0</v>
      </c>
      <c r="J5427" t="str">
        <f>"01"</f>
        <v>01</v>
      </c>
      <c r="K5427">
        <v>20190322</v>
      </c>
      <c r="L5427" t="str">
        <f>"076212"</f>
        <v>076212</v>
      </c>
      <c r="M5427" t="str">
        <f>"82176"</f>
        <v>82176</v>
      </c>
      <c r="N5427" t="s">
        <v>1286</v>
      </c>
      <c r="O5427">
        <v>194.85</v>
      </c>
      <c r="P5427">
        <v>20190320</v>
      </c>
      <c r="Q5427" t="s">
        <v>2177</v>
      </c>
      <c r="R5427" t="s">
        <v>4354</v>
      </c>
      <c r="S5427" t="s">
        <v>1615</v>
      </c>
      <c r="T5427" t="s">
        <v>301</v>
      </c>
    </row>
    <row r="5428" spans="1:20" x14ac:dyDescent="0.25">
      <c r="A5428">
        <v>9</v>
      </c>
      <c r="B5428">
        <v>199</v>
      </c>
      <c r="C5428" t="str">
        <f>"13"</f>
        <v>13</v>
      </c>
      <c r="D5428">
        <v>6411</v>
      </c>
      <c r="E5428" t="str">
        <f>"PD"</f>
        <v>PD</v>
      </c>
      <c r="F5428" t="str">
        <f>"001"</f>
        <v>001</v>
      </c>
      <c r="G5428">
        <v>9</v>
      </c>
      <c r="H5428" t="str">
        <f>"31"</f>
        <v>31</v>
      </c>
      <c r="I5428" t="str">
        <f t="shared" si="1187"/>
        <v>0</v>
      </c>
      <c r="J5428" t="str">
        <f>"34"</f>
        <v>34</v>
      </c>
      <c r="K5428">
        <v>20190322</v>
      </c>
      <c r="L5428" t="str">
        <f>"076213"</f>
        <v>076213</v>
      </c>
      <c r="M5428" t="str">
        <f>"83007"</f>
        <v>83007</v>
      </c>
      <c r="N5428" t="s">
        <v>2690</v>
      </c>
      <c r="O5428">
        <v>48.77</v>
      </c>
      <c r="P5428">
        <v>20190320</v>
      </c>
      <c r="Q5428" t="s">
        <v>2220</v>
      </c>
      <c r="R5428" t="s">
        <v>3864</v>
      </c>
      <c r="S5428" t="s">
        <v>1615</v>
      </c>
      <c r="T5428" t="s">
        <v>301</v>
      </c>
    </row>
    <row r="5429" spans="1:20" x14ac:dyDescent="0.25">
      <c r="A5429">
        <v>9</v>
      </c>
      <c r="B5429">
        <v>199</v>
      </c>
      <c r="C5429" t="str">
        <f>"11"</f>
        <v>11</v>
      </c>
      <c r="D5429">
        <v>6399</v>
      </c>
      <c r="E5429" t="str">
        <f>"10"</f>
        <v>10</v>
      </c>
      <c r="F5429" t="str">
        <f>"041"</f>
        <v>041</v>
      </c>
      <c r="G5429">
        <v>9</v>
      </c>
      <c r="H5429" t="str">
        <f>"11"</f>
        <v>11</v>
      </c>
      <c r="I5429" t="str">
        <f t="shared" si="1187"/>
        <v>0</v>
      </c>
      <c r="J5429" t="str">
        <f>"03"</f>
        <v>03</v>
      </c>
      <c r="K5429">
        <v>20190322</v>
      </c>
      <c r="L5429" t="str">
        <f>"076214"</f>
        <v>076214</v>
      </c>
      <c r="M5429" t="str">
        <f>"83022"</f>
        <v>83022</v>
      </c>
      <c r="N5429" t="s">
        <v>691</v>
      </c>
      <c r="O5429">
        <v>19.98</v>
      </c>
      <c r="P5429">
        <v>20190320</v>
      </c>
      <c r="Q5429" t="s">
        <v>2956</v>
      </c>
      <c r="R5429" t="s">
        <v>4371</v>
      </c>
      <c r="S5429" t="s">
        <v>1615</v>
      </c>
      <c r="T5429" t="s">
        <v>106</v>
      </c>
    </row>
    <row r="5430" spans="1:20" x14ac:dyDescent="0.25">
      <c r="A5430">
        <v>9</v>
      </c>
      <c r="B5430">
        <v>199</v>
      </c>
      <c r="C5430" t="str">
        <f>"11"</f>
        <v>11</v>
      </c>
      <c r="D5430">
        <v>6399</v>
      </c>
      <c r="E5430" t="str">
        <f>"45"</f>
        <v>45</v>
      </c>
      <c r="F5430" t="str">
        <f>"041"</f>
        <v>041</v>
      </c>
      <c r="G5430">
        <v>9</v>
      </c>
      <c r="H5430" t="str">
        <f>"11"</f>
        <v>11</v>
      </c>
      <c r="I5430" t="str">
        <f t="shared" si="1187"/>
        <v>0</v>
      </c>
      <c r="J5430" t="str">
        <f>"03"</f>
        <v>03</v>
      </c>
      <c r="K5430">
        <v>20190322</v>
      </c>
      <c r="L5430" t="str">
        <f>"076214"</f>
        <v>076214</v>
      </c>
      <c r="M5430" t="str">
        <f>"83022"</f>
        <v>83022</v>
      </c>
      <c r="N5430" t="s">
        <v>691</v>
      </c>
      <c r="O5430">
        <v>98.78</v>
      </c>
      <c r="P5430">
        <v>20190320</v>
      </c>
      <c r="Q5430" t="s">
        <v>2204</v>
      </c>
      <c r="R5430" t="s">
        <v>4372</v>
      </c>
      <c r="S5430" t="s">
        <v>1615</v>
      </c>
      <c r="T5430" t="s">
        <v>106</v>
      </c>
    </row>
    <row r="5431" spans="1:20" x14ac:dyDescent="0.25">
      <c r="A5431">
        <v>9</v>
      </c>
      <c r="B5431">
        <v>199</v>
      </c>
      <c r="C5431" t="str">
        <f>"11"</f>
        <v>11</v>
      </c>
      <c r="D5431">
        <v>6399</v>
      </c>
      <c r="E5431" t="str">
        <f>"45"</f>
        <v>45</v>
      </c>
      <c r="F5431" t="str">
        <f>"101"</f>
        <v>101</v>
      </c>
      <c r="G5431">
        <v>9</v>
      </c>
      <c r="H5431" t="str">
        <f>"11"</f>
        <v>11</v>
      </c>
      <c r="I5431" t="str">
        <f t="shared" si="1187"/>
        <v>0</v>
      </c>
      <c r="J5431" t="str">
        <f>"04"</f>
        <v>04</v>
      </c>
      <c r="K5431">
        <v>20190322</v>
      </c>
      <c r="L5431" t="str">
        <f>"076214"</f>
        <v>076214</v>
      </c>
      <c r="M5431" t="str">
        <f>"83022"</f>
        <v>83022</v>
      </c>
      <c r="N5431" t="s">
        <v>691</v>
      </c>
      <c r="O5431">
        <v>178.64</v>
      </c>
      <c r="P5431">
        <v>20190320</v>
      </c>
      <c r="Q5431" t="s">
        <v>1859</v>
      </c>
      <c r="R5431" t="s">
        <v>641</v>
      </c>
      <c r="S5431" t="s">
        <v>1615</v>
      </c>
      <c r="T5431" t="s">
        <v>1479</v>
      </c>
    </row>
    <row r="5432" spans="1:20" x14ac:dyDescent="0.25">
      <c r="A5432">
        <v>9</v>
      </c>
      <c r="B5432">
        <v>199</v>
      </c>
      <c r="C5432" t="str">
        <f>"23"</f>
        <v>23</v>
      </c>
      <c r="D5432">
        <v>6498</v>
      </c>
      <c r="E5432" t="str">
        <f>"99"</f>
        <v>99</v>
      </c>
      <c r="F5432" t="str">
        <f>"041"</f>
        <v>041</v>
      </c>
      <c r="G5432">
        <v>9</v>
      </c>
      <c r="H5432" t="str">
        <f>"99"</f>
        <v>99</v>
      </c>
      <c r="I5432" t="str">
        <f t="shared" si="1187"/>
        <v>0</v>
      </c>
      <c r="J5432" t="str">
        <f>"03"</f>
        <v>03</v>
      </c>
      <c r="K5432">
        <v>20190322</v>
      </c>
      <c r="L5432" t="str">
        <f>"076214"</f>
        <v>076214</v>
      </c>
      <c r="M5432" t="str">
        <f>"83022"</f>
        <v>83022</v>
      </c>
      <c r="N5432" t="s">
        <v>691</v>
      </c>
      <c r="O5432">
        <v>70.44</v>
      </c>
      <c r="P5432">
        <v>20190320</v>
      </c>
      <c r="Q5432" t="s">
        <v>2140</v>
      </c>
      <c r="R5432" t="s">
        <v>4373</v>
      </c>
      <c r="S5432" t="s">
        <v>1615</v>
      </c>
      <c r="T5432" t="s">
        <v>106</v>
      </c>
    </row>
    <row r="5433" spans="1:20" x14ac:dyDescent="0.25">
      <c r="A5433">
        <v>9</v>
      </c>
      <c r="B5433">
        <v>199</v>
      </c>
      <c r="C5433" t="str">
        <f>"41"</f>
        <v>41</v>
      </c>
      <c r="D5433">
        <v>6211</v>
      </c>
      <c r="E5433" t="str">
        <f>"02"</f>
        <v>02</v>
      </c>
      <c r="F5433" t="str">
        <f>"702"</f>
        <v>702</v>
      </c>
      <c r="G5433">
        <v>9</v>
      </c>
      <c r="H5433" t="str">
        <f>"99"</f>
        <v>99</v>
      </c>
      <c r="I5433" t="str">
        <f t="shared" si="1187"/>
        <v>0</v>
      </c>
      <c r="J5433" t="str">
        <f>"93"</f>
        <v>93</v>
      </c>
      <c r="K5433">
        <v>20190322</v>
      </c>
      <c r="L5433" t="str">
        <f>"076215"</f>
        <v>076215</v>
      </c>
      <c r="M5433" t="str">
        <f>"83034"</f>
        <v>83034</v>
      </c>
      <c r="N5433" t="s">
        <v>1852</v>
      </c>
      <c r="O5433" s="1">
        <v>1000</v>
      </c>
      <c r="P5433">
        <v>20190320</v>
      </c>
      <c r="Q5433" t="s">
        <v>2473</v>
      </c>
      <c r="R5433" t="s">
        <v>4374</v>
      </c>
      <c r="S5433" t="s">
        <v>1615</v>
      </c>
      <c r="T5433" t="s">
        <v>1611</v>
      </c>
    </row>
    <row r="5434" spans="1:20" x14ac:dyDescent="0.25">
      <c r="A5434">
        <v>9</v>
      </c>
      <c r="B5434">
        <v>199</v>
      </c>
      <c r="C5434" t="str">
        <f>"36"</f>
        <v>36</v>
      </c>
      <c r="D5434">
        <v>6499</v>
      </c>
      <c r="E5434" t="str">
        <f>"09"</f>
        <v>09</v>
      </c>
      <c r="F5434" t="str">
        <f>"001"</f>
        <v>001</v>
      </c>
      <c r="G5434">
        <v>9</v>
      </c>
      <c r="H5434" t="str">
        <f>"99"</f>
        <v>99</v>
      </c>
      <c r="I5434" t="str">
        <f t="shared" si="1187"/>
        <v>0</v>
      </c>
      <c r="J5434" t="str">
        <f>"01"</f>
        <v>01</v>
      </c>
      <c r="K5434">
        <v>20190322</v>
      </c>
      <c r="L5434" t="str">
        <f>"076217"</f>
        <v>076217</v>
      </c>
      <c r="M5434" t="str">
        <f>"84370"</f>
        <v>84370</v>
      </c>
      <c r="N5434" t="s">
        <v>395</v>
      </c>
      <c r="O5434">
        <v>76.930000000000007</v>
      </c>
      <c r="P5434">
        <v>20190320</v>
      </c>
      <c r="Q5434" t="s">
        <v>3984</v>
      </c>
      <c r="R5434" t="s">
        <v>4253</v>
      </c>
      <c r="S5434" t="s">
        <v>1615</v>
      </c>
      <c r="T5434" t="s">
        <v>301</v>
      </c>
    </row>
    <row r="5435" spans="1:20" x14ac:dyDescent="0.25">
      <c r="A5435">
        <v>9</v>
      </c>
      <c r="B5435">
        <v>199</v>
      </c>
      <c r="C5435" t="str">
        <f>"36"</f>
        <v>36</v>
      </c>
      <c r="D5435">
        <v>6499</v>
      </c>
      <c r="E5435" t="str">
        <f>"09"</f>
        <v>09</v>
      </c>
      <c r="F5435" t="str">
        <f>"001"</f>
        <v>001</v>
      </c>
      <c r="G5435">
        <v>9</v>
      </c>
      <c r="H5435" t="str">
        <f>"99"</f>
        <v>99</v>
      </c>
      <c r="I5435" t="str">
        <f t="shared" si="1187"/>
        <v>0</v>
      </c>
      <c r="J5435" t="str">
        <f>"01"</f>
        <v>01</v>
      </c>
      <c r="K5435">
        <v>20190322</v>
      </c>
      <c r="L5435" t="str">
        <f>"076217"</f>
        <v>076217</v>
      </c>
      <c r="M5435" t="str">
        <f>"84370"</f>
        <v>84370</v>
      </c>
      <c r="N5435" t="s">
        <v>395</v>
      </c>
      <c r="O5435">
        <v>72.650000000000006</v>
      </c>
      <c r="P5435">
        <v>20190320</v>
      </c>
      <c r="Q5435" t="s">
        <v>3984</v>
      </c>
      <c r="R5435" t="s">
        <v>4087</v>
      </c>
      <c r="S5435" t="s">
        <v>1615</v>
      </c>
      <c r="T5435" t="s">
        <v>301</v>
      </c>
    </row>
    <row r="5436" spans="1:20" x14ac:dyDescent="0.25">
      <c r="A5436">
        <v>9</v>
      </c>
      <c r="B5436">
        <v>199</v>
      </c>
      <c r="C5436" t="str">
        <f>"36"</f>
        <v>36</v>
      </c>
      <c r="D5436">
        <v>6412</v>
      </c>
      <c r="E5436" t="str">
        <f>"PS"</f>
        <v>PS</v>
      </c>
      <c r="F5436" t="str">
        <f>"041"</f>
        <v>041</v>
      </c>
      <c r="G5436">
        <v>9</v>
      </c>
      <c r="H5436" t="str">
        <f>"99"</f>
        <v>99</v>
      </c>
      <c r="I5436" t="str">
        <f>"5"</f>
        <v>5</v>
      </c>
      <c r="J5436" t="str">
        <f>"74"</f>
        <v>74</v>
      </c>
      <c r="K5436">
        <v>20190325</v>
      </c>
      <c r="L5436" t="str">
        <f>"076218"</f>
        <v>076218</v>
      </c>
      <c r="M5436" t="str">
        <f>"78346"</f>
        <v>78346</v>
      </c>
      <c r="N5436" t="s">
        <v>4375</v>
      </c>
      <c r="O5436">
        <v>75</v>
      </c>
      <c r="P5436">
        <v>20190325</v>
      </c>
      <c r="Q5436" t="s">
        <v>4376</v>
      </c>
      <c r="R5436" t="s">
        <v>4377</v>
      </c>
      <c r="S5436" t="s">
        <v>1615</v>
      </c>
      <c r="T5436" t="s">
        <v>106</v>
      </c>
    </row>
    <row r="5437" spans="1:20" x14ac:dyDescent="0.25">
      <c r="A5437">
        <v>9</v>
      </c>
      <c r="B5437">
        <v>199</v>
      </c>
      <c r="C5437" t="str">
        <f>"11"</f>
        <v>11</v>
      </c>
      <c r="D5437">
        <v>6339</v>
      </c>
      <c r="E5437" t="str">
        <f>"11"</f>
        <v>11</v>
      </c>
      <c r="F5437" t="str">
        <f>"001"</f>
        <v>001</v>
      </c>
      <c r="G5437">
        <v>9</v>
      </c>
      <c r="H5437" t="str">
        <f>"11"</f>
        <v>11</v>
      </c>
      <c r="I5437" t="str">
        <f t="shared" ref="I5437:I5446" si="1188">"0"</f>
        <v>0</v>
      </c>
      <c r="J5437" t="str">
        <f>"01"</f>
        <v>01</v>
      </c>
      <c r="K5437">
        <v>20190329</v>
      </c>
      <c r="L5437" t="str">
        <f>"076219"</f>
        <v>076219</v>
      </c>
      <c r="M5437" t="str">
        <f>"04410"</f>
        <v>04410</v>
      </c>
      <c r="N5437" t="s">
        <v>410</v>
      </c>
      <c r="O5437">
        <v>92.07</v>
      </c>
      <c r="P5437">
        <v>20190327</v>
      </c>
      <c r="Q5437" t="s">
        <v>3336</v>
      </c>
      <c r="R5437" t="s">
        <v>4378</v>
      </c>
      <c r="S5437" t="s">
        <v>1615</v>
      </c>
      <c r="T5437" t="s">
        <v>301</v>
      </c>
    </row>
    <row r="5438" spans="1:20" x14ac:dyDescent="0.25">
      <c r="A5438">
        <v>9</v>
      </c>
      <c r="B5438">
        <v>199</v>
      </c>
      <c r="C5438" t="str">
        <f>"11"</f>
        <v>11</v>
      </c>
      <c r="D5438">
        <v>6399</v>
      </c>
      <c r="E5438" t="str">
        <f>"7E"</f>
        <v>7E</v>
      </c>
      <c r="F5438" t="str">
        <f>"001"</f>
        <v>001</v>
      </c>
      <c r="G5438">
        <v>9</v>
      </c>
      <c r="H5438" t="str">
        <f>"11"</f>
        <v>11</v>
      </c>
      <c r="I5438" t="str">
        <f t="shared" si="1188"/>
        <v>0</v>
      </c>
      <c r="J5438" t="str">
        <f>"31"</f>
        <v>31</v>
      </c>
      <c r="K5438">
        <v>20190329</v>
      </c>
      <c r="L5438" t="str">
        <f>"076219"</f>
        <v>076219</v>
      </c>
      <c r="M5438" t="str">
        <f>"04410"</f>
        <v>04410</v>
      </c>
      <c r="N5438" t="s">
        <v>410</v>
      </c>
      <c r="O5438">
        <v>87.13</v>
      </c>
      <c r="P5438">
        <v>20190327</v>
      </c>
      <c r="Q5438" t="s">
        <v>2382</v>
      </c>
      <c r="R5438" t="s">
        <v>4379</v>
      </c>
      <c r="S5438" t="s">
        <v>1615</v>
      </c>
      <c r="T5438" t="s">
        <v>301</v>
      </c>
    </row>
    <row r="5439" spans="1:20" x14ac:dyDescent="0.25">
      <c r="A5439">
        <v>9</v>
      </c>
      <c r="B5439">
        <v>199</v>
      </c>
      <c r="C5439" t="str">
        <f>"11"</f>
        <v>11</v>
      </c>
      <c r="D5439">
        <v>6399</v>
      </c>
      <c r="E5439" t="str">
        <f>"VR"</f>
        <v>VR</v>
      </c>
      <c r="F5439" t="str">
        <f>"001"</f>
        <v>001</v>
      </c>
      <c r="G5439">
        <v>9</v>
      </c>
      <c r="H5439" t="str">
        <f>"22"</f>
        <v>22</v>
      </c>
      <c r="I5439" t="str">
        <f t="shared" si="1188"/>
        <v>0</v>
      </c>
      <c r="J5439" t="str">
        <f>"22"</f>
        <v>22</v>
      </c>
      <c r="K5439">
        <v>20190329</v>
      </c>
      <c r="L5439" t="str">
        <f>"076219"</f>
        <v>076219</v>
      </c>
      <c r="M5439" t="str">
        <f>"04410"</f>
        <v>04410</v>
      </c>
      <c r="N5439" t="s">
        <v>410</v>
      </c>
      <c r="O5439">
        <v>20.48</v>
      </c>
      <c r="P5439">
        <v>20190327</v>
      </c>
      <c r="Q5439" t="s">
        <v>1863</v>
      </c>
      <c r="R5439" t="s">
        <v>4380</v>
      </c>
      <c r="S5439" t="s">
        <v>1615</v>
      </c>
      <c r="T5439" t="s">
        <v>301</v>
      </c>
    </row>
    <row r="5440" spans="1:20" x14ac:dyDescent="0.25">
      <c r="A5440">
        <v>9</v>
      </c>
      <c r="B5440">
        <v>199</v>
      </c>
      <c r="C5440" t="str">
        <f>"12"</f>
        <v>12</v>
      </c>
      <c r="D5440">
        <v>6649</v>
      </c>
      <c r="E5440" t="str">
        <f>"7U"</f>
        <v>7U</v>
      </c>
      <c r="F5440" t="str">
        <f>"041"</f>
        <v>041</v>
      </c>
      <c r="G5440">
        <v>9</v>
      </c>
      <c r="H5440" t="str">
        <f>"11"</f>
        <v>11</v>
      </c>
      <c r="I5440" t="str">
        <f t="shared" si="1188"/>
        <v>0</v>
      </c>
      <c r="J5440" t="str">
        <f>"03"</f>
        <v>03</v>
      </c>
      <c r="K5440">
        <v>20190329</v>
      </c>
      <c r="L5440" t="str">
        <f>"076219"</f>
        <v>076219</v>
      </c>
      <c r="M5440" t="str">
        <f>"04410"</f>
        <v>04410</v>
      </c>
      <c r="N5440" t="s">
        <v>410</v>
      </c>
      <c r="O5440">
        <v>500</v>
      </c>
      <c r="P5440">
        <v>20190327</v>
      </c>
      <c r="Q5440" t="s">
        <v>4381</v>
      </c>
      <c r="R5440" t="s">
        <v>4382</v>
      </c>
      <c r="S5440" t="s">
        <v>1615</v>
      </c>
      <c r="T5440" t="s">
        <v>106</v>
      </c>
    </row>
    <row r="5441" spans="1:20" x14ac:dyDescent="0.25">
      <c r="A5441">
        <v>9</v>
      </c>
      <c r="B5441">
        <v>199</v>
      </c>
      <c r="C5441" t="str">
        <f>"51"</f>
        <v>51</v>
      </c>
      <c r="D5441">
        <v>6256</v>
      </c>
      <c r="E5441" t="str">
        <f>"10"</f>
        <v>10</v>
      </c>
      <c r="F5441" t="str">
        <f>"880"</f>
        <v>880</v>
      </c>
      <c r="G5441">
        <v>9</v>
      </c>
      <c r="H5441" t="str">
        <f>"99"</f>
        <v>99</v>
      </c>
      <c r="I5441" t="str">
        <f t="shared" si="1188"/>
        <v>0</v>
      </c>
      <c r="J5441" t="str">
        <f>"80"</f>
        <v>80</v>
      </c>
      <c r="K5441">
        <v>20190329</v>
      </c>
      <c r="L5441" t="str">
        <f>"076222"</f>
        <v>076222</v>
      </c>
      <c r="M5441" t="str">
        <f>"00390"</f>
        <v>00390</v>
      </c>
      <c r="N5441" t="s">
        <v>1869</v>
      </c>
      <c r="O5441">
        <v>86.74</v>
      </c>
      <c r="P5441">
        <v>20190327</v>
      </c>
      <c r="Q5441" t="s">
        <v>1870</v>
      </c>
      <c r="R5441" t="s">
        <v>4383</v>
      </c>
      <c r="S5441" t="s">
        <v>1615</v>
      </c>
      <c r="T5441" t="s">
        <v>1866</v>
      </c>
    </row>
    <row r="5442" spans="1:20" x14ac:dyDescent="0.25">
      <c r="A5442">
        <v>9</v>
      </c>
      <c r="B5442">
        <v>199</v>
      </c>
      <c r="C5442" t="str">
        <f>"51"</f>
        <v>51</v>
      </c>
      <c r="D5442">
        <v>6256</v>
      </c>
      <c r="E5442" t="str">
        <f>"10"</f>
        <v>10</v>
      </c>
      <c r="F5442" t="str">
        <f>"880"</f>
        <v>880</v>
      </c>
      <c r="G5442">
        <v>9</v>
      </c>
      <c r="H5442" t="str">
        <f>"99"</f>
        <v>99</v>
      </c>
      <c r="I5442" t="str">
        <f t="shared" si="1188"/>
        <v>0</v>
      </c>
      <c r="J5442" t="str">
        <f>"80"</f>
        <v>80</v>
      </c>
      <c r="K5442">
        <v>20190329</v>
      </c>
      <c r="L5442" t="str">
        <f>"076222"</f>
        <v>076222</v>
      </c>
      <c r="M5442" t="str">
        <f>"00390"</f>
        <v>00390</v>
      </c>
      <c r="N5442" t="s">
        <v>1869</v>
      </c>
      <c r="O5442" s="1">
        <v>4356.83</v>
      </c>
      <c r="P5442">
        <v>20190327</v>
      </c>
      <c r="Q5442" t="s">
        <v>1870</v>
      </c>
      <c r="R5442" t="s">
        <v>4383</v>
      </c>
      <c r="S5442" t="s">
        <v>1615</v>
      </c>
      <c r="T5442" t="s">
        <v>1866</v>
      </c>
    </row>
    <row r="5443" spans="1:20" x14ac:dyDescent="0.25">
      <c r="A5443">
        <v>9</v>
      </c>
      <c r="B5443">
        <v>199</v>
      </c>
      <c r="C5443" t="str">
        <f>"51"</f>
        <v>51</v>
      </c>
      <c r="D5443">
        <v>6256</v>
      </c>
      <c r="E5443" t="str">
        <f>"11"</f>
        <v>11</v>
      </c>
      <c r="F5443" t="str">
        <f>"880"</f>
        <v>880</v>
      </c>
      <c r="G5443">
        <v>9</v>
      </c>
      <c r="H5443" t="str">
        <f>"99"</f>
        <v>99</v>
      </c>
      <c r="I5443" t="str">
        <f t="shared" si="1188"/>
        <v>0</v>
      </c>
      <c r="J5443" t="str">
        <f>"80"</f>
        <v>80</v>
      </c>
      <c r="K5443">
        <v>20190329</v>
      </c>
      <c r="L5443" t="str">
        <f>"076223"</f>
        <v>076223</v>
      </c>
      <c r="M5443" t="str">
        <f>"00392"</f>
        <v>00392</v>
      </c>
      <c r="N5443" t="s">
        <v>1869</v>
      </c>
      <c r="O5443">
        <v>47.92</v>
      </c>
      <c r="P5443">
        <v>20190327</v>
      </c>
      <c r="Q5443" t="s">
        <v>1871</v>
      </c>
      <c r="R5443" t="s">
        <v>4383</v>
      </c>
      <c r="S5443" t="s">
        <v>1615</v>
      </c>
      <c r="T5443" t="s">
        <v>1866</v>
      </c>
    </row>
    <row r="5444" spans="1:20" x14ac:dyDescent="0.25">
      <c r="A5444">
        <v>9</v>
      </c>
      <c r="B5444">
        <v>199</v>
      </c>
      <c r="C5444" t="str">
        <f>"11"</f>
        <v>11</v>
      </c>
      <c r="D5444">
        <v>6399</v>
      </c>
      <c r="E5444" t="str">
        <f>"VR"</f>
        <v>VR</v>
      </c>
      <c r="F5444" t="str">
        <f t="shared" ref="F5444:F5456" si="1189">"001"</f>
        <v>001</v>
      </c>
      <c r="G5444">
        <v>9</v>
      </c>
      <c r="H5444" t="str">
        <f>"22"</f>
        <v>22</v>
      </c>
      <c r="I5444" t="str">
        <f t="shared" si="1188"/>
        <v>0</v>
      </c>
      <c r="J5444" t="str">
        <f>"22"</f>
        <v>22</v>
      </c>
      <c r="K5444">
        <v>20190329</v>
      </c>
      <c r="L5444" t="str">
        <f t="shared" ref="L5444:L5460" si="1190">"076224"</f>
        <v>076224</v>
      </c>
      <c r="M5444" t="str">
        <f t="shared" ref="M5444:M5460" si="1191">"09170"</f>
        <v>09170</v>
      </c>
      <c r="N5444" t="s">
        <v>679</v>
      </c>
      <c r="O5444">
        <v>38.869999999999997</v>
      </c>
      <c r="P5444">
        <v>20190327</v>
      </c>
      <c r="Q5444" t="s">
        <v>1863</v>
      </c>
      <c r="R5444" t="s">
        <v>4384</v>
      </c>
      <c r="S5444" t="s">
        <v>1615</v>
      </c>
      <c r="T5444" t="s">
        <v>301</v>
      </c>
    </row>
    <row r="5445" spans="1:20" x14ac:dyDescent="0.25">
      <c r="A5445">
        <v>9</v>
      </c>
      <c r="B5445">
        <v>199</v>
      </c>
      <c r="C5445" t="str">
        <f>"11"</f>
        <v>11</v>
      </c>
      <c r="D5445">
        <v>6411</v>
      </c>
      <c r="E5445" t="str">
        <f>"V8"</f>
        <v>V8</v>
      </c>
      <c r="F5445" t="str">
        <f t="shared" si="1189"/>
        <v>001</v>
      </c>
      <c r="G5445">
        <v>9</v>
      </c>
      <c r="H5445" t="str">
        <f>"22"</f>
        <v>22</v>
      </c>
      <c r="I5445" t="str">
        <f t="shared" si="1188"/>
        <v>0</v>
      </c>
      <c r="J5445" t="str">
        <f>"22"</f>
        <v>22</v>
      </c>
      <c r="K5445">
        <v>20190329</v>
      </c>
      <c r="L5445" t="str">
        <f t="shared" si="1190"/>
        <v>076224</v>
      </c>
      <c r="M5445" t="str">
        <f t="shared" si="1191"/>
        <v>09170</v>
      </c>
      <c r="N5445" t="s">
        <v>679</v>
      </c>
      <c r="O5445">
        <v>122.23</v>
      </c>
      <c r="P5445">
        <v>20190327</v>
      </c>
      <c r="Q5445" t="s">
        <v>3579</v>
      </c>
      <c r="R5445" t="s">
        <v>3580</v>
      </c>
      <c r="S5445" t="s">
        <v>1615</v>
      </c>
      <c r="T5445" t="s">
        <v>301</v>
      </c>
    </row>
    <row r="5446" spans="1:20" x14ac:dyDescent="0.25">
      <c r="A5446">
        <v>9</v>
      </c>
      <c r="B5446">
        <v>199</v>
      </c>
      <c r="C5446" t="str">
        <f>"11"</f>
        <v>11</v>
      </c>
      <c r="D5446">
        <v>6411</v>
      </c>
      <c r="E5446" t="str">
        <f>"V8"</f>
        <v>V8</v>
      </c>
      <c r="F5446" t="str">
        <f t="shared" si="1189"/>
        <v>001</v>
      </c>
      <c r="G5446">
        <v>9</v>
      </c>
      <c r="H5446" t="str">
        <f>"22"</f>
        <v>22</v>
      </c>
      <c r="I5446" t="str">
        <f t="shared" si="1188"/>
        <v>0</v>
      </c>
      <c r="J5446" t="str">
        <f>"22"</f>
        <v>22</v>
      </c>
      <c r="K5446">
        <v>20190329</v>
      </c>
      <c r="L5446" t="str">
        <f t="shared" si="1190"/>
        <v>076224</v>
      </c>
      <c r="M5446" t="str">
        <f t="shared" si="1191"/>
        <v>09170</v>
      </c>
      <c r="N5446" t="s">
        <v>679</v>
      </c>
      <c r="O5446">
        <v>523.91999999999996</v>
      </c>
      <c r="P5446">
        <v>20190327</v>
      </c>
      <c r="Q5446" t="s">
        <v>3579</v>
      </c>
      <c r="R5446" t="s">
        <v>3865</v>
      </c>
      <c r="S5446" t="s">
        <v>1615</v>
      </c>
      <c r="T5446" t="s">
        <v>301</v>
      </c>
    </row>
    <row r="5447" spans="1:20" x14ac:dyDescent="0.25">
      <c r="A5447">
        <v>9</v>
      </c>
      <c r="B5447">
        <v>199</v>
      </c>
      <c r="C5447" t="str">
        <f>"11"</f>
        <v>11</v>
      </c>
      <c r="D5447">
        <v>6412</v>
      </c>
      <c r="E5447" t="str">
        <f>"NL"</f>
        <v>NL</v>
      </c>
      <c r="F5447" t="str">
        <f t="shared" si="1189"/>
        <v>001</v>
      </c>
      <c r="G5447">
        <v>9</v>
      </c>
      <c r="H5447" t="str">
        <f>"22"</f>
        <v>22</v>
      </c>
      <c r="I5447" t="str">
        <f>"1"</f>
        <v>1</v>
      </c>
      <c r="J5447" t="str">
        <f>"22"</f>
        <v>22</v>
      </c>
      <c r="K5447">
        <v>20190329</v>
      </c>
      <c r="L5447" t="str">
        <f t="shared" si="1190"/>
        <v>076224</v>
      </c>
      <c r="M5447" t="str">
        <f t="shared" si="1191"/>
        <v>09170</v>
      </c>
      <c r="N5447" t="s">
        <v>679</v>
      </c>
      <c r="O5447">
        <v>362.97</v>
      </c>
      <c r="P5447">
        <v>20190327</v>
      </c>
      <c r="Q5447" t="s">
        <v>2708</v>
      </c>
      <c r="R5447" t="s">
        <v>3747</v>
      </c>
      <c r="S5447" t="s">
        <v>1615</v>
      </c>
      <c r="T5447" t="s">
        <v>301</v>
      </c>
    </row>
    <row r="5448" spans="1:20" x14ac:dyDescent="0.25">
      <c r="A5448">
        <v>9</v>
      </c>
      <c r="B5448">
        <v>199</v>
      </c>
      <c r="C5448" t="str">
        <f>"11"</f>
        <v>11</v>
      </c>
      <c r="D5448">
        <v>6412</v>
      </c>
      <c r="E5448" t="str">
        <f>"VD"</f>
        <v>VD</v>
      </c>
      <c r="F5448" t="str">
        <f t="shared" si="1189"/>
        <v>001</v>
      </c>
      <c r="G5448">
        <v>9</v>
      </c>
      <c r="H5448" t="str">
        <f>"22"</f>
        <v>22</v>
      </c>
      <c r="I5448" t="str">
        <f>"0"</f>
        <v>0</v>
      </c>
      <c r="J5448" t="str">
        <f>"22"</f>
        <v>22</v>
      </c>
      <c r="K5448">
        <v>20190329</v>
      </c>
      <c r="L5448" t="str">
        <f t="shared" si="1190"/>
        <v>076224</v>
      </c>
      <c r="M5448" t="str">
        <f t="shared" si="1191"/>
        <v>09170</v>
      </c>
      <c r="N5448" t="s">
        <v>679</v>
      </c>
      <c r="O5448">
        <v>216.06</v>
      </c>
      <c r="P5448">
        <v>20190327</v>
      </c>
      <c r="Q5448" t="s">
        <v>2120</v>
      </c>
      <c r="R5448" t="s">
        <v>4385</v>
      </c>
      <c r="S5448" t="s">
        <v>1615</v>
      </c>
      <c r="T5448" t="s">
        <v>301</v>
      </c>
    </row>
    <row r="5449" spans="1:20" x14ac:dyDescent="0.25">
      <c r="A5449">
        <v>9</v>
      </c>
      <c r="B5449">
        <v>199</v>
      </c>
      <c r="C5449" t="str">
        <f>"13"</f>
        <v>13</v>
      </c>
      <c r="D5449">
        <v>6411</v>
      </c>
      <c r="E5449" t="str">
        <f>"7B"</f>
        <v>7B</v>
      </c>
      <c r="F5449" t="str">
        <f t="shared" si="1189"/>
        <v>001</v>
      </c>
      <c r="G5449">
        <v>9</v>
      </c>
      <c r="H5449" t="str">
        <f>"11"</f>
        <v>11</v>
      </c>
      <c r="I5449" t="str">
        <f>"0"</f>
        <v>0</v>
      </c>
      <c r="J5449" t="str">
        <f>"32"</f>
        <v>32</v>
      </c>
      <c r="K5449">
        <v>20190329</v>
      </c>
      <c r="L5449" t="str">
        <f t="shared" si="1190"/>
        <v>076224</v>
      </c>
      <c r="M5449" t="str">
        <f t="shared" si="1191"/>
        <v>09170</v>
      </c>
      <c r="N5449" t="s">
        <v>679</v>
      </c>
      <c r="O5449">
        <v>82.16</v>
      </c>
      <c r="P5449">
        <v>20190327</v>
      </c>
      <c r="Q5449" t="s">
        <v>2911</v>
      </c>
      <c r="R5449" t="s">
        <v>2912</v>
      </c>
      <c r="S5449" t="s">
        <v>1615</v>
      </c>
      <c r="T5449" t="s">
        <v>301</v>
      </c>
    </row>
    <row r="5450" spans="1:20" x14ac:dyDescent="0.25">
      <c r="A5450">
        <v>9</v>
      </c>
      <c r="B5450">
        <v>199</v>
      </c>
      <c r="C5450" t="str">
        <f>"21"</f>
        <v>21</v>
      </c>
      <c r="D5450">
        <v>6495</v>
      </c>
      <c r="E5450" t="str">
        <f>"V1"</f>
        <v>V1</v>
      </c>
      <c r="F5450" t="str">
        <f t="shared" si="1189"/>
        <v>001</v>
      </c>
      <c r="G5450">
        <v>9</v>
      </c>
      <c r="H5450" t="str">
        <f>"22"</f>
        <v>22</v>
      </c>
      <c r="I5450" t="str">
        <f>"0"</f>
        <v>0</v>
      </c>
      <c r="J5450" t="str">
        <f>"22"</f>
        <v>22</v>
      </c>
      <c r="K5450">
        <v>20190329</v>
      </c>
      <c r="L5450" t="str">
        <f t="shared" si="1190"/>
        <v>076224</v>
      </c>
      <c r="M5450" t="str">
        <f t="shared" si="1191"/>
        <v>09170</v>
      </c>
      <c r="N5450" t="s">
        <v>679</v>
      </c>
      <c r="O5450">
        <v>22.5</v>
      </c>
      <c r="P5450">
        <v>20190327</v>
      </c>
      <c r="Q5450" t="s">
        <v>4361</v>
      </c>
      <c r="R5450" t="s">
        <v>757</v>
      </c>
      <c r="S5450" t="s">
        <v>1615</v>
      </c>
      <c r="T5450" t="s">
        <v>301</v>
      </c>
    </row>
    <row r="5451" spans="1:20" x14ac:dyDescent="0.25">
      <c r="A5451">
        <v>9</v>
      </c>
      <c r="B5451">
        <v>199</v>
      </c>
      <c r="C5451" t="str">
        <f>"23"</f>
        <v>23</v>
      </c>
      <c r="D5451">
        <v>6411</v>
      </c>
      <c r="E5451" t="str">
        <f>"10"</f>
        <v>10</v>
      </c>
      <c r="F5451" t="str">
        <f t="shared" si="1189"/>
        <v>001</v>
      </c>
      <c r="G5451">
        <v>9</v>
      </c>
      <c r="H5451" t="str">
        <f>"99"</f>
        <v>99</v>
      </c>
      <c r="I5451" t="str">
        <f>"1"</f>
        <v>1</v>
      </c>
      <c r="J5451" t="str">
        <f>"01"</f>
        <v>01</v>
      </c>
      <c r="K5451">
        <v>20190329</v>
      </c>
      <c r="L5451" t="str">
        <f t="shared" si="1190"/>
        <v>076224</v>
      </c>
      <c r="M5451" t="str">
        <f t="shared" si="1191"/>
        <v>09170</v>
      </c>
      <c r="N5451" t="s">
        <v>679</v>
      </c>
      <c r="O5451">
        <v>17.52</v>
      </c>
      <c r="P5451">
        <v>20190327</v>
      </c>
      <c r="Q5451" t="s">
        <v>2464</v>
      </c>
      <c r="R5451" t="s">
        <v>3864</v>
      </c>
      <c r="S5451" t="s">
        <v>1615</v>
      </c>
      <c r="T5451" t="s">
        <v>301</v>
      </c>
    </row>
    <row r="5452" spans="1:20" x14ac:dyDescent="0.25">
      <c r="A5452">
        <v>9</v>
      </c>
      <c r="B5452">
        <v>199</v>
      </c>
      <c r="C5452" t="str">
        <f>"36"</f>
        <v>36</v>
      </c>
      <c r="D5452">
        <v>6411</v>
      </c>
      <c r="E5452" t="str">
        <f>"H1"</f>
        <v>H1</v>
      </c>
      <c r="F5452" t="str">
        <f t="shared" si="1189"/>
        <v>001</v>
      </c>
      <c r="G5452">
        <v>9</v>
      </c>
      <c r="H5452" t="str">
        <f>"31"</f>
        <v>31</v>
      </c>
      <c r="I5452" t="str">
        <f t="shared" ref="I5452:I5460" si="1192">"0"</f>
        <v>0</v>
      </c>
      <c r="J5452" t="str">
        <f>"34"</f>
        <v>34</v>
      </c>
      <c r="K5452">
        <v>20190329</v>
      </c>
      <c r="L5452" t="str">
        <f t="shared" si="1190"/>
        <v>076224</v>
      </c>
      <c r="M5452" t="str">
        <f t="shared" si="1191"/>
        <v>09170</v>
      </c>
      <c r="N5452" t="s">
        <v>679</v>
      </c>
      <c r="O5452">
        <v>485.34</v>
      </c>
      <c r="P5452">
        <v>20190327</v>
      </c>
      <c r="Q5452" t="s">
        <v>4386</v>
      </c>
      <c r="R5452" t="s">
        <v>3940</v>
      </c>
      <c r="S5452" t="s">
        <v>1615</v>
      </c>
      <c r="T5452" t="s">
        <v>301</v>
      </c>
    </row>
    <row r="5453" spans="1:20" x14ac:dyDescent="0.25">
      <c r="A5453">
        <v>9</v>
      </c>
      <c r="B5453">
        <v>199</v>
      </c>
      <c r="C5453" t="str">
        <f>"36"</f>
        <v>36</v>
      </c>
      <c r="D5453">
        <v>6411</v>
      </c>
      <c r="E5453" t="str">
        <f>"NL"</f>
        <v>NL</v>
      </c>
      <c r="F5453" t="str">
        <f t="shared" si="1189"/>
        <v>001</v>
      </c>
      <c r="G5453">
        <v>9</v>
      </c>
      <c r="H5453" t="str">
        <f>"22"</f>
        <v>22</v>
      </c>
      <c r="I5453" t="str">
        <f t="shared" si="1192"/>
        <v>0</v>
      </c>
      <c r="J5453" t="str">
        <f>"22"</f>
        <v>22</v>
      </c>
      <c r="K5453">
        <v>20190329</v>
      </c>
      <c r="L5453" t="str">
        <f t="shared" si="1190"/>
        <v>076224</v>
      </c>
      <c r="M5453" t="str">
        <f t="shared" si="1191"/>
        <v>09170</v>
      </c>
      <c r="N5453" t="s">
        <v>679</v>
      </c>
      <c r="O5453">
        <v>362.97</v>
      </c>
      <c r="P5453">
        <v>20190327</v>
      </c>
      <c r="Q5453" t="s">
        <v>2710</v>
      </c>
      <c r="R5453" t="s">
        <v>3747</v>
      </c>
      <c r="S5453" t="s">
        <v>1615</v>
      </c>
      <c r="T5453" t="s">
        <v>301</v>
      </c>
    </row>
    <row r="5454" spans="1:20" x14ac:dyDescent="0.25">
      <c r="A5454">
        <v>9</v>
      </c>
      <c r="B5454">
        <v>199</v>
      </c>
      <c r="C5454" t="str">
        <f>"36"</f>
        <v>36</v>
      </c>
      <c r="D5454">
        <v>6412</v>
      </c>
      <c r="E5454" t="str">
        <f>"7E"</f>
        <v>7E</v>
      </c>
      <c r="F5454" t="str">
        <f t="shared" si="1189"/>
        <v>001</v>
      </c>
      <c r="G5454">
        <v>9</v>
      </c>
      <c r="H5454" t="str">
        <f>"99"</f>
        <v>99</v>
      </c>
      <c r="I5454" t="str">
        <f t="shared" si="1192"/>
        <v>0</v>
      </c>
      <c r="J5454" t="str">
        <f>"31"</f>
        <v>31</v>
      </c>
      <c r="K5454">
        <v>20190329</v>
      </c>
      <c r="L5454" t="str">
        <f t="shared" si="1190"/>
        <v>076224</v>
      </c>
      <c r="M5454" t="str">
        <f t="shared" si="1191"/>
        <v>09170</v>
      </c>
      <c r="N5454" t="s">
        <v>679</v>
      </c>
      <c r="O5454">
        <v>25.75</v>
      </c>
      <c r="P5454">
        <v>20190327</v>
      </c>
      <c r="Q5454" t="s">
        <v>1655</v>
      </c>
      <c r="R5454" t="s">
        <v>4387</v>
      </c>
      <c r="S5454" t="s">
        <v>1615</v>
      </c>
      <c r="T5454" t="s">
        <v>301</v>
      </c>
    </row>
    <row r="5455" spans="1:20" x14ac:dyDescent="0.25">
      <c r="A5455">
        <v>9</v>
      </c>
      <c r="B5455">
        <v>199</v>
      </c>
      <c r="C5455" t="str">
        <f>"36"</f>
        <v>36</v>
      </c>
      <c r="D5455">
        <v>6412</v>
      </c>
      <c r="E5455" t="str">
        <f>"H1"</f>
        <v>H1</v>
      </c>
      <c r="F5455" t="str">
        <f t="shared" si="1189"/>
        <v>001</v>
      </c>
      <c r="G5455">
        <v>9</v>
      </c>
      <c r="H5455" t="str">
        <f>"31"</f>
        <v>31</v>
      </c>
      <c r="I5455" t="str">
        <f t="shared" si="1192"/>
        <v>0</v>
      </c>
      <c r="J5455" t="str">
        <f>"34"</f>
        <v>34</v>
      </c>
      <c r="K5455">
        <v>20190329</v>
      </c>
      <c r="L5455" t="str">
        <f t="shared" si="1190"/>
        <v>076224</v>
      </c>
      <c r="M5455" t="str">
        <f t="shared" si="1191"/>
        <v>09170</v>
      </c>
      <c r="N5455" t="s">
        <v>679</v>
      </c>
      <c r="O5455" s="1">
        <v>2577</v>
      </c>
      <c r="P5455">
        <v>20190327</v>
      </c>
      <c r="Q5455" t="s">
        <v>2410</v>
      </c>
      <c r="R5455" t="s">
        <v>3940</v>
      </c>
      <c r="S5455" t="s">
        <v>1615</v>
      </c>
      <c r="T5455" t="s">
        <v>301</v>
      </c>
    </row>
    <row r="5456" spans="1:20" x14ac:dyDescent="0.25">
      <c r="A5456">
        <v>9</v>
      </c>
      <c r="B5456">
        <v>199</v>
      </c>
      <c r="C5456" t="str">
        <f>"36"</f>
        <v>36</v>
      </c>
      <c r="D5456">
        <v>6499</v>
      </c>
      <c r="E5456" t="str">
        <f>"09"</f>
        <v>09</v>
      </c>
      <c r="F5456" t="str">
        <f t="shared" si="1189"/>
        <v>001</v>
      </c>
      <c r="G5456">
        <v>9</v>
      </c>
      <c r="H5456" t="str">
        <f>"99"</f>
        <v>99</v>
      </c>
      <c r="I5456" t="str">
        <f t="shared" si="1192"/>
        <v>0</v>
      </c>
      <c r="J5456" t="str">
        <f>"01"</f>
        <v>01</v>
      </c>
      <c r="K5456">
        <v>20190329</v>
      </c>
      <c r="L5456" t="str">
        <f t="shared" si="1190"/>
        <v>076224</v>
      </c>
      <c r="M5456" t="str">
        <f t="shared" si="1191"/>
        <v>09170</v>
      </c>
      <c r="N5456" t="s">
        <v>679</v>
      </c>
      <c r="O5456">
        <v>100</v>
      </c>
      <c r="P5456">
        <v>20190327</v>
      </c>
      <c r="Q5456" t="s">
        <v>3984</v>
      </c>
      <c r="R5456" t="s">
        <v>4388</v>
      </c>
      <c r="S5456" t="s">
        <v>1615</v>
      </c>
      <c r="T5456" t="s">
        <v>301</v>
      </c>
    </row>
    <row r="5457" spans="1:20" x14ac:dyDescent="0.25">
      <c r="A5457">
        <v>9</v>
      </c>
      <c r="B5457">
        <v>199</v>
      </c>
      <c r="C5457" t="str">
        <f>"41"</f>
        <v>41</v>
      </c>
      <c r="D5457">
        <v>6411</v>
      </c>
      <c r="E5457" t="str">
        <f>"10"</f>
        <v>10</v>
      </c>
      <c r="F5457" t="str">
        <f>"726"</f>
        <v>726</v>
      </c>
      <c r="G5457">
        <v>9</v>
      </c>
      <c r="H5457" t="str">
        <f>"99"</f>
        <v>99</v>
      </c>
      <c r="I5457" t="str">
        <f t="shared" si="1192"/>
        <v>0</v>
      </c>
      <c r="J5457" t="str">
        <f>"91"</f>
        <v>91</v>
      </c>
      <c r="K5457">
        <v>20190329</v>
      </c>
      <c r="L5457" t="str">
        <f t="shared" si="1190"/>
        <v>076224</v>
      </c>
      <c r="M5457" t="str">
        <f t="shared" si="1191"/>
        <v>09170</v>
      </c>
      <c r="N5457" t="s">
        <v>679</v>
      </c>
      <c r="O5457">
        <v>28.91</v>
      </c>
      <c r="P5457">
        <v>20190327</v>
      </c>
      <c r="Q5457" t="s">
        <v>3313</v>
      </c>
      <c r="R5457" t="s">
        <v>3314</v>
      </c>
      <c r="S5457" t="s">
        <v>1615</v>
      </c>
      <c r="T5457" t="s">
        <v>2608</v>
      </c>
    </row>
    <row r="5458" spans="1:20" x14ac:dyDescent="0.25">
      <c r="A5458">
        <v>9</v>
      </c>
      <c r="B5458">
        <v>199</v>
      </c>
      <c r="C5458" t="str">
        <f>"41"</f>
        <v>41</v>
      </c>
      <c r="D5458">
        <v>6499</v>
      </c>
      <c r="E5458" t="str">
        <f>"14"</f>
        <v>14</v>
      </c>
      <c r="F5458" t="str">
        <f>"726"</f>
        <v>726</v>
      </c>
      <c r="G5458">
        <v>9</v>
      </c>
      <c r="H5458" t="str">
        <f>"99"</f>
        <v>99</v>
      </c>
      <c r="I5458" t="str">
        <f t="shared" si="1192"/>
        <v>0</v>
      </c>
      <c r="J5458" t="str">
        <f>"91"</f>
        <v>91</v>
      </c>
      <c r="K5458">
        <v>20190329</v>
      </c>
      <c r="L5458" t="str">
        <f t="shared" si="1190"/>
        <v>076224</v>
      </c>
      <c r="M5458" t="str">
        <f t="shared" si="1191"/>
        <v>09170</v>
      </c>
      <c r="N5458" t="s">
        <v>679</v>
      </c>
      <c r="O5458">
        <v>45</v>
      </c>
      <c r="P5458">
        <v>20190328</v>
      </c>
      <c r="Q5458" t="s">
        <v>4389</v>
      </c>
      <c r="R5458" t="s">
        <v>757</v>
      </c>
      <c r="S5458" t="s">
        <v>1615</v>
      </c>
      <c r="T5458" t="s">
        <v>2608</v>
      </c>
    </row>
    <row r="5459" spans="1:20" x14ac:dyDescent="0.25">
      <c r="A5459">
        <v>9</v>
      </c>
      <c r="B5459">
        <v>199</v>
      </c>
      <c r="C5459" t="str">
        <f>"51"</f>
        <v>51</v>
      </c>
      <c r="D5459">
        <v>6319</v>
      </c>
      <c r="E5459" t="str">
        <f>"MC"</f>
        <v>MC</v>
      </c>
      <c r="F5459" t="str">
        <f>"936"</f>
        <v>936</v>
      </c>
      <c r="G5459">
        <v>9</v>
      </c>
      <c r="H5459" t="str">
        <f>"99"</f>
        <v>99</v>
      </c>
      <c r="I5459" t="str">
        <f t="shared" si="1192"/>
        <v>0</v>
      </c>
      <c r="J5459" t="str">
        <f>"81"</f>
        <v>81</v>
      </c>
      <c r="K5459">
        <v>20190329</v>
      </c>
      <c r="L5459" t="str">
        <f t="shared" si="1190"/>
        <v>076224</v>
      </c>
      <c r="M5459" t="str">
        <f t="shared" si="1191"/>
        <v>09170</v>
      </c>
      <c r="N5459" t="s">
        <v>679</v>
      </c>
      <c r="O5459">
        <v>114</v>
      </c>
      <c r="P5459">
        <v>20190327</v>
      </c>
      <c r="Q5459" t="s">
        <v>2060</v>
      </c>
      <c r="R5459" t="s">
        <v>4390</v>
      </c>
      <c r="S5459" t="s">
        <v>1615</v>
      </c>
      <c r="T5459" t="s">
        <v>1713</v>
      </c>
    </row>
    <row r="5460" spans="1:20" x14ac:dyDescent="0.25">
      <c r="A5460">
        <v>9</v>
      </c>
      <c r="B5460">
        <v>199</v>
      </c>
      <c r="C5460" t="str">
        <f>"53"</f>
        <v>53</v>
      </c>
      <c r="D5460">
        <v>6498</v>
      </c>
      <c r="E5460" t="str">
        <f>"10"</f>
        <v>10</v>
      </c>
      <c r="F5460" t="str">
        <f>"880"</f>
        <v>880</v>
      </c>
      <c r="G5460">
        <v>9</v>
      </c>
      <c r="H5460" t="str">
        <f>"99"</f>
        <v>99</v>
      </c>
      <c r="I5460" t="str">
        <f t="shared" si="1192"/>
        <v>0</v>
      </c>
      <c r="J5460" t="str">
        <f>"80"</f>
        <v>80</v>
      </c>
      <c r="K5460">
        <v>20190329</v>
      </c>
      <c r="L5460" t="str">
        <f t="shared" si="1190"/>
        <v>076224</v>
      </c>
      <c r="M5460" t="str">
        <f t="shared" si="1191"/>
        <v>09170</v>
      </c>
      <c r="N5460" t="s">
        <v>679</v>
      </c>
      <c r="O5460">
        <v>22.5</v>
      </c>
      <c r="P5460">
        <v>20190327</v>
      </c>
      <c r="Q5460" t="s">
        <v>2082</v>
      </c>
      <c r="R5460" t="s">
        <v>757</v>
      </c>
      <c r="S5460" t="s">
        <v>1615</v>
      </c>
      <c r="T5460" t="s">
        <v>1866</v>
      </c>
    </row>
    <row r="5461" spans="1:20" x14ac:dyDescent="0.25">
      <c r="A5461">
        <v>9</v>
      </c>
      <c r="B5461">
        <v>199</v>
      </c>
      <c r="C5461" t="str">
        <f>"36"</f>
        <v>36</v>
      </c>
      <c r="D5461">
        <v>6412</v>
      </c>
      <c r="E5461" t="str">
        <f>"VB"</f>
        <v>VB</v>
      </c>
      <c r="F5461" t="str">
        <f>"001"</f>
        <v>001</v>
      </c>
      <c r="G5461">
        <v>9</v>
      </c>
      <c r="H5461" t="str">
        <f>"22"</f>
        <v>22</v>
      </c>
      <c r="I5461" t="str">
        <f>"5"</f>
        <v>5</v>
      </c>
      <c r="J5461" t="str">
        <f>"74"</f>
        <v>74</v>
      </c>
      <c r="K5461">
        <v>20190329</v>
      </c>
      <c r="L5461" t="str">
        <f>"076226"</f>
        <v>076226</v>
      </c>
      <c r="M5461" t="str">
        <f>"14132"</f>
        <v>14132</v>
      </c>
      <c r="N5461" t="s">
        <v>3732</v>
      </c>
      <c r="O5461">
        <v>261</v>
      </c>
      <c r="P5461">
        <v>20190327</v>
      </c>
      <c r="Q5461" t="s">
        <v>4391</v>
      </c>
      <c r="R5461" t="s">
        <v>4392</v>
      </c>
      <c r="S5461" t="s">
        <v>1615</v>
      </c>
      <c r="T5461" t="s">
        <v>301</v>
      </c>
    </row>
    <row r="5462" spans="1:20" x14ac:dyDescent="0.25">
      <c r="A5462">
        <v>9</v>
      </c>
      <c r="B5462">
        <v>199</v>
      </c>
      <c r="C5462" t="str">
        <f>"36"</f>
        <v>36</v>
      </c>
      <c r="D5462">
        <v>6412</v>
      </c>
      <c r="E5462" t="str">
        <f>"VB"</f>
        <v>VB</v>
      </c>
      <c r="F5462" t="str">
        <f>"001"</f>
        <v>001</v>
      </c>
      <c r="G5462">
        <v>9</v>
      </c>
      <c r="H5462" t="str">
        <f>"22"</f>
        <v>22</v>
      </c>
      <c r="I5462" t="str">
        <f>"5"</f>
        <v>5</v>
      </c>
      <c r="J5462" t="str">
        <f>"74"</f>
        <v>74</v>
      </c>
      <c r="K5462">
        <v>20190329</v>
      </c>
      <c r="L5462" t="str">
        <f>"076226"</f>
        <v>076226</v>
      </c>
      <c r="M5462" t="str">
        <f>"14132"</f>
        <v>14132</v>
      </c>
      <c r="N5462" t="s">
        <v>3732</v>
      </c>
      <c r="O5462">
        <v>220</v>
      </c>
      <c r="P5462">
        <v>20190327</v>
      </c>
      <c r="Q5462" t="s">
        <v>4391</v>
      </c>
      <c r="R5462" t="s">
        <v>4392</v>
      </c>
      <c r="S5462" t="s">
        <v>1615</v>
      </c>
      <c r="T5462" t="s">
        <v>301</v>
      </c>
    </row>
    <row r="5463" spans="1:20" x14ac:dyDescent="0.25">
      <c r="A5463">
        <v>9</v>
      </c>
      <c r="B5463">
        <v>199</v>
      </c>
      <c r="C5463" t="str">
        <f>"36"</f>
        <v>36</v>
      </c>
      <c r="D5463">
        <v>6412</v>
      </c>
      <c r="E5463" t="str">
        <f>"7B"</f>
        <v>7B</v>
      </c>
      <c r="F5463" t="str">
        <f>"041"</f>
        <v>041</v>
      </c>
      <c r="G5463">
        <v>9</v>
      </c>
      <c r="H5463" t="str">
        <f t="shared" ref="H5463:H5469" si="1193">"99"</f>
        <v>99</v>
      </c>
      <c r="I5463" t="str">
        <f>"1"</f>
        <v>1</v>
      </c>
      <c r="J5463" t="str">
        <f>"36"</f>
        <v>36</v>
      </c>
      <c r="K5463">
        <v>20190329</v>
      </c>
      <c r="L5463" t="str">
        <f>"076234"</f>
        <v>076234</v>
      </c>
      <c r="M5463" t="str">
        <f>"51345"</f>
        <v>51345</v>
      </c>
      <c r="N5463" t="s">
        <v>513</v>
      </c>
      <c r="O5463">
        <v>331.5</v>
      </c>
      <c r="P5463">
        <v>20190327</v>
      </c>
      <c r="Q5463" t="s">
        <v>3543</v>
      </c>
      <c r="R5463" t="s">
        <v>3925</v>
      </c>
      <c r="S5463" t="s">
        <v>1615</v>
      </c>
      <c r="T5463" t="s">
        <v>106</v>
      </c>
    </row>
    <row r="5464" spans="1:20" x14ac:dyDescent="0.25">
      <c r="A5464">
        <v>9</v>
      </c>
      <c r="B5464">
        <v>199</v>
      </c>
      <c r="C5464" t="str">
        <f>"36"</f>
        <v>36</v>
      </c>
      <c r="D5464">
        <v>6412</v>
      </c>
      <c r="E5464" t="str">
        <f>"7B"</f>
        <v>7B</v>
      </c>
      <c r="F5464" t="str">
        <f>"041"</f>
        <v>041</v>
      </c>
      <c r="G5464">
        <v>9</v>
      </c>
      <c r="H5464" t="str">
        <f t="shared" si="1193"/>
        <v>99</v>
      </c>
      <c r="I5464" t="str">
        <f>"1"</f>
        <v>1</v>
      </c>
      <c r="J5464" t="str">
        <f>"36"</f>
        <v>36</v>
      </c>
      <c r="K5464">
        <v>20190329</v>
      </c>
      <c r="L5464" t="str">
        <f>"076235"</f>
        <v>076235</v>
      </c>
      <c r="M5464" t="str">
        <f>"51346"</f>
        <v>51346</v>
      </c>
      <c r="N5464" t="s">
        <v>418</v>
      </c>
      <c r="O5464">
        <v>294</v>
      </c>
      <c r="P5464">
        <v>20190327</v>
      </c>
      <c r="Q5464" t="s">
        <v>3543</v>
      </c>
      <c r="R5464" t="s">
        <v>3925</v>
      </c>
      <c r="S5464" t="s">
        <v>1615</v>
      </c>
      <c r="T5464" t="s">
        <v>106</v>
      </c>
    </row>
    <row r="5465" spans="1:20" x14ac:dyDescent="0.25">
      <c r="A5465">
        <v>9</v>
      </c>
      <c r="B5465">
        <v>199</v>
      </c>
      <c r="C5465" t="str">
        <f>"36"</f>
        <v>36</v>
      </c>
      <c r="D5465">
        <v>6412</v>
      </c>
      <c r="E5465" t="str">
        <f>"7B"</f>
        <v>7B</v>
      </c>
      <c r="F5465" t="str">
        <f>"041"</f>
        <v>041</v>
      </c>
      <c r="G5465">
        <v>9</v>
      </c>
      <c r="H5465" t="str">
        <f t="shared" si="1193"/>
        <v>99</v>
      </c>
      <c r="I5465" t="str">
        <f>"1"</f>
        <v>1</v>
      </c>
      <c r="J5465" t="str">
        <f>"36"</f>
        <v>36</v>
      </c>
      <c r="K5465">
        <v>20190329</v>
      </c>
      <c r="L5465" t="str">
        <f>"076235"</f>
        <v>076235</v>
      </c>
      <c r="M5465" t="str">
        <f>"51346"</f>
        <v>51346</v>
      </c>
      <c r="N5465" t="s">
        <v>418</v>
      </c>
      <c r="O5465">
        <v>350</v>
      </c>
      <c r="P5465">
        <v>20190327</v>
      </c>
      <c r="Q5465" t="s">
        <v>3543</v>
      </c>
      <c r="R5465" t="s">
        <v>3925</v>
      </c>
      <c r="S5465" t="s">
        <v>1615</v>
      </c>
      <c r="T5465" t="s">
        <v>106</v>
      </c>
    </row>
    <row r="5466" spans="1:20" x14ac:dyDescent="0.25">
      <c r="A5466">
        <v>9</v>
      </c>
      <c r="B5466">
        <v>199</v>
      </c>
      <c r="C5466" t="str">
        <f>"51"</f>
        <v>51</v>
      </c>
      <c r="D5466">
        <v>6219</v>
      </c>
      <c r="E5466" t="str">
        <f>"M7"</f>
        <v>M7</v>
      </c>
      <c r="F5466" t="str">
        <f>"936"</f>
        <v>936</v>
      </c>
      <c r="G5466">
        <v>9</v>
      </c>
      <c r="H5466" t="str">
        <f t="shared" si="1193"/>
        <v>99</v>
      </c>
      <c r="I5466" t="str">
        <f t="shared" ref="I5466:I5474" si="1194">"0"</f>
        <v>0</v>
      </c>
      <c r="J5466" t="str">
        <f>"81"</f>
        <v>81</v>
      </c>
      <c r="K5466">
        <v>20190329</v>
      </c>
      <c r="L5466" t="str">
        <f>"076237"</f>
        <v>076237</v>
      </c>
      <c r="M5466" t="str">
        <f>"20696"</f>
        <v>20696</v>
      </c>
      <c r="N5466" t="s">
        <v>4393</v>
      </c>
      <c r="O5466">
        <v>75</v>
      </c>
      <c r="P5466">
        <v>20190327</v>
      </c>
      <c r="Q5466" t="s">
        <v>2259</v>
      </c>
      <c r="R5466" t="s">
        <v>4394</v>
      </c>
      <c r="S5466" t="s">
        <v>1615</v>
      </c>
      <c r="T5466" t="s">
        <v>1713</v>
      </c>
    </row>
    <row r="5467" spans="1:20" x14ac:dyDescent="0.25">
      <c r="A5467">
        <v>9</v>
      </c>
      <c r="B5467">
        <v>199</v>
      </c>
      <c r="C5467" t="str">
        <f>"51"</f>
        <v>51</v>
      </c>
      <c r="D5467">
        <v>6219</v>
      </c>
      <c r="E5467" t="str">
        <f>"M7"</f>
        <v>M7</v>
      </c>
      <c r="F5467" t="str">
        <f>"936"</f>
        <v>936</v>
      </c>
      <c r="G5467">
        <v>9</v>
      </c>
      <c r="H5467" t="str">
        <f t="shared" si="1193"/>
        <v>99</v>
      </c>
      <c r="I5467" t="str">
        <f t="shared" si="1194"/>
        <v>0</v>
      </c>
      <c r="J5467" t="str">
        <f>"81"</f>
        <v>81</v>
      </c>
      <c r="K5467">
        <v>20190329</v>
      </c>
      <c r="L5467" t="str">
        <f>"076237"</f>
        <v>076237</v>
      </c>
      <c r="M5467" t="str">
        <f>"20696"</f>
        <v>20696</v>
      </c>
      <c r="N5467" t="s">
        <v>4393</v>
      </c>
      <c r="O5467">
        <v>75</v>
      </c>
      <c r="P5467">
        <v>20190328</v>
      </c>
      <c r="Q5467" t="s">
        <v>2259</v>
      </c>
      <c r="R5467" t="s">
        <v>4395</v>
      </c>
      <c r="S5467" t="s">
        <v>1615</v>
      </c>
      <c r="T5467" t="s">
        <v>1713</v>
      </c>
    </row>
    <row r="5468" spans="1:20" x14ac:dyDescent="0.25">
      <c r="A5468">
        <v>9</v>
      </c>
      <c r="B5468">
        <v>199</v>
      </c>
      <c r="C5468" t="str">
        <f>"51"</f>
        <v>51</v>
      </c>
      <c r="D5468">
        <v>6219</v>
      </c>
      <c r="E5468" t="str">
        <f>"M7"</f>
        <v>M7</v>
      </c>
      <c r="F5468" t="str">
        <f>"936"</f>
        <v>936</v>
      </c>
      <c r="G5468">
        <v>9</v>
      </c>
      <c r="H5468" t="str">
        <f t="shared" si="1193"/>
        <v>99</v>
      </c>
      <c r="I5468" t="str">
        <f t="shared" si="1194"/>
        <v>0</v>
      </c>
      <c r="J5468" t="str">
        <f>"81"</f>
        <v>81</v>
      </c>
      <c r="K5468">
        <v>20190329</v>
      </c>
      <c r="L5468" t="str">
        <f>"076237"</f>
        <v>076237</v>
      </c>
      <c r="M5468" t="str">
        <f>"20696"</f>
        <v>20696</v>
      </c>
      <c r="N5468" t="s">
        <v>4393</v>
      </c>
      <c r="O5468">
        <v>75</v>
      </c>
      <c r="P5468">
        <v>20190328</v>
      </c>
      <c r="Q5468" t="s">
        <v>2259</v>
      </c>
      <c r="R5468" t="s">
        <v>4396</v>
      </c>
      <c r="S5468" t="s">
        <v>1615</v>
      </c>
      <c r="T5468" t="s">
        <v>1713</v>
      </c>
    </row>
    <row r="5469" spans="1:20" x14ac:dyDescent="0.25">
      <c r="A5469">
        <v>9</v>
      </c>
      <c r="B5469">
        <v>199</v>
      </c>
      <c r="C5469" t="str">
        <f>"51"</f>
        <v>51</v>
      </c>
      <c r="D5469">
        <v>6219</v>
      </c>
      <c r="E5469" t="str">
        <f>"M7"</f>
        <v>M7</v>
      </c>
      <c r="F5469" t="str">
        <f>"936"</f>
        <v>936</v>
      </c>
      <c r="G5469">
        <v>9</v>
      </c>
      <c r="H5469" t="str">
        <f t="shared" si="1193"/>
        <v>99</v>
      </c>
      <c r="I5469" t="str">
        <f t="shared" si="1194"/>
        <v>0</v>
      </c>
      <c r="J5469" t="str">
        <f>"81"</f>
        <v>81</v>
      </c>
      <c r="K5469">
        <v>20190329</v>
      </c>
      <c r="L5469" t="str">
        <f>"076237"</f>
        <v>076237</v>
      </c>
      <c r="M5469" t="str">
        <f>"20696"</f>
        <v>20696</v>
      </c>
      <c r="N5469" t="s">
        <v>4393</v>
      </c>
      <c r="O5469">
        <v>75</v>
      </c>
      <c r="P5469">
        <v>20190328</v>
      </c>
      <c r="Q5469" t="s">
        <v>2259</v>
      </c>
      <c r="R5469" t="s">
        <v>4397</v>
      </c>
      <c r="S5469" t="s">
        <v>1615</v>
      </c>
      <c r="T5469" t="s">
        <v>1713</v>
      </c>
    </row>
    <row r="5470" spans="1:20" x14ac:dyDescent="0.25">
      <c r="A5470">
        <v>9</v>
      </c>
      <c r="B5470">
        <v>199</v>
      </c>
      <c r="C5470" t="str">
        <f>"11"</f>
        <v>11</v>
      </c>
      <c r="D5470">
        <v>6249</v>
      </c>
      <c r="E5470" t="str">
        <f>"57"</f>
        <v>57</v>
      </c>
      <c r="F5470" t="str">
        <f>"104"</f>
        <v>104</v>
      </c>
      <c r="G5470">
        <v>9</v>
      </c>
      <c r="H5470" t="str">
        <f>"11"</f>
        <v>11</v>
      </c>
      <c r="I5470" t="str">
        <f t="shared" si="1194"/>
        <v>0</v>
      </c>
      <c r="J5470" t="str">
        <f>"80"</f>
        <v>80</v>
      </c>
      <c r="K5470">
        <v>20190329</v>
      </c>
      <c r="L5470" t="str">
        <f>"076239"</f>
        <v>076239</v>
      </c>
      <c r="M5470" t="str">
        <f>"21468"</f>
        <v>21468</v>
      </c>
      <c r="N5470" t="s">
        <v>2369</v>
      </c>
      <c r="O5470">
        <v>621.78</v>
      </c>
      <c r="P5470">
        <v>20190327</v>
      </c>
      <c r="Q5470" t="s">
        <v>1800</v>
      </c>
      <c r="R5470" t="s">
        <v>4398</v>
      </c>
      <c r="S5470" t="s">
        <v>1615</v>
      </c>
      <c r="T5470" t="s">
        <v>46</v>
      </c>
    </row>
    <row r="5471" spans="1:20" x14ac:dyDescent="0.25">
      <c r="A5471">
        <v>9</v>
      </c>
      <c r="B5471">
        <v>199</v>
      </c>
      <c r="C5471" t="str">
        <f>"36"</f>
        <v>36</v>
      </c>
      <c r="D5471">
        <v>6412</v>
      </c>
      <c r="E5471" t="str">
        <f>"09"</f>
        <v>09</v>
      </c>
      <c r="F5471" t="str">
        <f>"001"</f>
        <v>001</v>
      </c>
      <c r="G5471">
        <v>9</v>
      </c>
      <c r="H5471" t="str">
        <f>"99"</f>
        <v>99</v>
      </c>
      <c r="I5471" t="str">
        <f t="shared" si="1194"/>
        <v>0</v>
      </c>
      <c r="J5471" t="str">
        <f>"01"</f>
        <v>01</v>
      </c>
      <c r="K5471">
        <v>20190329</v>
      </c>
      <c r="L5471" t="str">
        <f>"076240"</f>
        <v>076240</v>
      </c>
      <c r="M5471" t="str">
        <f>"22129"</f>
        <v>22129</v>
      </c>
      <c r="N5471" t="s">
        <v>775</v>
      </c>
      <c r="O5471">
        <v>987.16</v>
      </c>
      <c r="P5471">
        <v>20190327</v>
      </c>
      <c r="Q5471" t="s">
        <v>2427</v>
      </c>
      <c r="R5471" t="s">
        <v>4399</v>
      </c>
      <c r="S5471" t="s">
        <v>1615</v>
      </c>
      <c r="T5471" t="s">
        <v>301</v>
      </c>
    </row>
    <row r="5472" spans="1:20" x14ac:dyDescent="0.25">
      <c r="A5472">
        <v>9</v>
      </c>
      <c r="B5472">
        <v>199</v>
      </c>
      <c r="C5472" t="str">
        <f>"36"</f>
        <v>36</v>
      </c>
      <c r="D5472">
        <v>6411</v>
      </c>
      <c r="E5472" t="str">
        <f>"09"</f>
        <v>09</v>
      </c>
      <c r="F5472" t="str">
        <f>"001"</f>
        <v>001</v>
      </c>
      <c r="G5472">
        <v>9</v>
      </c>
      <c r="H5472" t="str">
        <f>"99"</f>
        <v>99</v>
      </c>
      <c r="I5472" t="str">
        <f t="shared" si="1194"/>
        <v>0</v>
      </c>
      <c r="J5472" t="str">
        <f>"01"</f>
        <v>01</v>
      </c>
      <c r="K5472">
        <v>20190329</v>
      </c>
      <c r="L5472" t="str">
        <f>"076241"</f>
        <v>076241</v>
      </c>
      <c r="M5472" t="str">
        <f>"00764"</f>
        <v>00764</v>
      </c>
      <c r="N5472" t="s">
        <v>4336</v>
      </c>
      <c r="O5472">
        <v>210.26</v>
      </c>
      <c r="P5472">
        <v>20190327</v>
      </c>
      <c r="Q5472" t="s">
        <v>2513</v>
      </c>
      <c r="R5472" t="s">
        <v>4337</v>
      </c>
      <c r="S5472" t="s">
        <v>1615</v>
      </c>
      <c r="T5472" t="s">
        <v>301</v>
      </c>
    </row>
    <row r="5473" spans="1:20" x14ac:dyDescent="0.25">
      <c r="A5473">
        <v>9</v>
      </c>
      <c r="B5473">
        <v>199</v>
      </c>
      <c r="C5473" t="str">
        <f>"36"</f>
        <v>36</v>
      </c>
      <c r="D5473">
        <v>6412</v>
      </c>
      <c r="E5473" t="str">
        <f>"09"</f>
        <v>09</v>
      </c>
      <c r="F5473" t="str">
        <f>"001"</f>
        <v>001</v>
      </c>
      <c r="G5473">
        <v>9</v>
      </c>
      <c r="H5473" t="str">
        <f>"99"</f>
        <v>99</v>
      </c>
      <c r="I5473" t="str">
        <f t="shared" si="1194"/>
        <v>0</v>
      </c>
      <c r="J5473" t="str">
        <f>"01"</f>
        <v>01</v>
      </c>
      <c r="K5473">
        <v>20190329</v>
      </c>
      <c r="L5473" t="str">
        <f>"076241"</f>
        <v>076241</v>
      </c>
      <c r="M5473" t="str">
        <f>"00764"</f>
        <v>00764</v>
      </c>
      <c r="N5473" t="s">
        <v>4336</v>
      </c>
      <c r="O5473" s="1">
        <v>1156.43</v>
      </c>
      <c r="P5473">
        <v>20190327</v>
      </c>
      <c r="Q5473" t="s">
        <v>2427</v>
      </c>
      <c r="R5473" t="s">
        <v>4337</v>
      </c>
      <c r="S5473" t="s">
        <v>1615</v>
      </c>
      <c r="T5473" t="s">
        <v>301</v>
      </c>
    </row>
    <row r="5474" spans="1:20" x14ac:dyDescent="0.25">
      <c r="A5474">
        <v>9</v>
      </c>
      <c r="B5474">
        <v>199</v>
      </c>
      <c r="C5474" t="str">
        <f>"13"</f>
        <v>13</v>
      </c>
      <c r="D5474">
        <v>6411</v>
      </c>
      <c r="E5474" t="str">
        <f>"PD"</f>
        <v>PD</v>
      </c>
      <c r="F5474" t="str">
        <f>"001"</f>
        <v>001</v>
      </c>
      <c r="G5474">
        <v>9</v>
      </c>
      <c r="H5474" t="str">
        <f>"31"</f>
        <v>31</v>
      </c>
      <c r="I5474" t="str">
        <f t="shared" si="1194"/>
        <v>0</v>
      </c>
      <c r="J5474" t="str">
        <f>"34"</f>
        <v>34</v>
      </c>
      <c r="K5474">
        <v>20190329</v>
      </c>
      <c r="L5474" t="str">
        <f>"076242"</f>
        <v>076242</v>
      </c>
      <c r="M5474" t="str">
        <f>"22243"</f>
        <v>22243</v>
      </c>
      <c r="N5474" t="s">
        <v>3537</v>
      </c>
      <c r="O5474">
        <v>47.97</v>
      </c>
      <c r="P5474">
        <v>20190327</v>
      </c>
      <c r="Q5474" t="s">
        <v>2220</v>
      </c>
      <c r="R5474" t="s">
        <v>3864</v>
      </c>
      <c r="S5474" t="s">
        <v>1615</v>
      </c>
      <c r="T5474" t="s">
        <v>301</v>
      </c>
    </row>
    <row r="5475" spans="1:20" x14ac:dyDescent="0.25">
      <c r="A5475">
        <v>9</v>
      </c>
      <c r="B5475">
        <v>199</v>
      </c>
      <c r="C5475" t="str">
        <f>"11"</f>
        <v>11</v>
      </c>
      <c r="D5475">
        <v>6649</v>
      </c>
      <c r="E5475" t="str">
        <f>"7M"</f>
        <v>7M</v>
      </c>
      <c r="F5475" t="str">
        <f>"041"</f>
        <v>041</v>
      </c>
      <c r="G5475">
        <v>9</v>
      </c>
      <c r="H5475" t="str">
        <f>"11"</f>
        <v>11</v>
      </c>
      <c r="I5475" t="str">
        <f>"1"</f>
        <v>1</v>
      </c>
      <c r="J5475" t="str">
        <f>"36"</f>
        <v>36</v>
      </c>
      <c r="K5475">
        <v>20190329</v>
      </c>
      <c r="L5475" t="str">
        <f>"076245"</f>
        <v>076245</v>
      </c>
      <c r="M5475" t="str">
        <f>"25225"</f>
        <v>25225</v>
      </c>
      <c r="N5475" t="s">
        <v>4400</v>
      </c>
      <c r="O5475" s="1">
        <v>1464.1</v>
      </c>
      <c r="P5475">
        <v>20190327</v>
      </c>
      <c r="Q5475" t="s">
        <v>4401</v>
      </c>
      <c r="R5475" t="s">
        <v>4402</v>
      </c>
      <c r="S5475" t="s">
        <v>1615</v>
      </c>
      <c r="T5475" t="s">
        <v>106</v>
      </c>
    </row>
    <row r="5476" spans="1:20" x14ac:dyDescent="0.25">
      <c r="A5476">
        <v>9</v>
      </c>
      <c r="B5476">
        <v>199</v>
      </c>
      <c r="C5476" t="str">
        <f>"51"</f>
        <v>51</v>
      </c>
      <c r="D5476">
        <v>6256</v>
      </c>
      <c r="E5476" t="str">
        <f>"15"</f>
        <v>15</v>
      </c>
      <c r="F5476" t="str">
        <f>"880"</f>
        <v>880</v>
      </c>
      <c r="G5476">
        <v>9</v>
      </c>
      <c r="H5476" t="str">
        <f>"99"</f>
        <v>99</v>
      </c>
      <c r="I5476" t="str">
        <f t="shared" ref="I5476:I5481" si="1195">"0"</f>
        <v>0</v>
      </c>
      <c r="J5476" t="str">
        <f>"80"</f>
        <v>80</v>
      </c>
      <c r="K5476">
        <v>20190329</v>
      </c>
      <c r="L5476" t="str">
        <f>"076247"</f>
        <v>076247</v>
      </c>
      <c r="M5476" t="str">
        <f>"77113"</f>
        <v>77113</v>
      </c>
      <c r="N5476" t="s">
        <v>1880</v>
      </c>
      <c r="O5476">
        <v>112.25</v>
      </c>
      <c r="P5476">
        <v>20190327</v>
      </c>
      <c r="Q5476" t="s">
        <v>2487</v>
      </c>
      <c r="R5476" t="s">
        <v>3818</v>
      </c>
      <c r="S5476" t="s">
        <v>1615</v>
      </c>
      <c r="T5476" t="s">
        <v>1866</v>
      </c>
    </row>
    <row r="5477" spans="1:20" x14ac:dyDescent="0.25">
      <c r="A5477">
        <v>9</v>
      </c>
      <c r="B5477">
        <v>199</v>
      </c>
      <c r="C5477" t="str">
        <f>"11"</f>
        <v>11</v>
      </c>
      <c r="D5477">
        <v>6411</v>
      </c>
      <c r="E5477" t="str">
        <f>"7K"</f>
        <v>7K</v>
      </c>
      <c r="F5477" t="str">
        <f>"041"</f>
        <v>041</v>
      </c>
      <c r="G5477">
        <v>9</v>
      </c>
      <c r="H5477" t="str">
        <f>"11"</f>
        <v>11</v>
      </c>
      <c r="I5477" t="str">
        <f t="shared" si="1195"/>
        <v>0</v>
      </c>
      <c r="J5477" t="str">
        <f>"03"</f>
        <v>03</v>
      </c>
      <c r="K5477">
        <v>20190329</v>
      </c>
      <c r="L5477" t="str">
        <f>"076248"</f>
        <v>076248</v>
      </c>
      <c r="M5477" t="str">
        <f>"28733"</f>
        <v>28733</v>
      </c>
      <c r="N5477" t="s">
        <v>2223</v>
      </c>
      <c r="O5477">
        <v>390</v>
      </c>
      <c r="P5477">
        <v>20190327</v>
      </c>
      <c r="Q5477" t="s">
        <v>4403</v>
      </c>
      <c r="R5477" t="s">
        <v>4404</v>
      </c>
      <c r="S5477" t="s">
        <v>1615</v>
      </c>
      <c r="T5477" t="s">
        <v>106</v>
      </c>
    </row>
    <row r="5478" spans="1:20" x14ac:dyDescent="0.25">
      <c r="A5478">
        <v>9</v>
      </c>
      <c r="B5478">
        <v>199</v>
      </c>
      <c r="C5478" t="str">
        <f>"11"</f>
        <v>11</v>
      </c>
      <c r="D5478">
        <v>6411</v>
      </c>
      <c r="E5478" t="str">
        <f>"7K"</f>
        <v>7K</v>
      </c>
      <c r="F5478" t="str">
        <f>"041"</f>
        <v>041</v>
      </c>
      <c r="G5478">
        <v>9</v>
      </c>
      <c r="H5478" t="str">
        <f>"11"</f>
        <v>11</v>
      </c>
      <c r="I5478" t="str">
        <f t="shared" si="1195"/>
        <v>0</v>
      </c>
      <c r="J5478" t="str">
        <f>"03"</f>
        <v>03</v>
      </c>
      <c r="K5478">
        <v>20190329</v>
      </c>
      <c r="L5478" t="str">
        <f>"076248"</f>
        <v>076248</v>
      </c>
      <c r="M5478" t="str">
        <f>"28733"</f>
        <v>28733</v>
      </c>
      <c r="N5478" t="s">
        <v>2223</v>
      </c>
      <c r="O5478">
        <v>150</v>
      </c>
      <c r="P5478">
        <v>20190327</v>
      </c>
      <c r="Q5478" t="s">
        <v>4403</v>
      </c>
      <c r="R5478" t="s">
        <v>4404</v>
      </c>
      <c r="S5478" t="s">
        <v>1615</v>
      </c>
      <c r="T5478" t="s">
        <v>106</v>
      </c>
    </row>
    <row r="5479" spans="1:20" x14ac:dyDescent="0.25">
      <c r="A5479">
        <v>9</v>
      </c>
      <c r="B5479">
        <v>199</v>
      </c>
      <c r="C5479" t="str">
        <f>"11"</f>
        <v>11</v>
      </c>
      <c r="D5479">
        <v>6412</v>
      </c>
      <c r="E5479" t="str">
        <f>"V8"</f>
        <v>V8</v>
      </c>
      <c r="F5479" t="str">
        <f>"001"</f>
        <v>001</v>
      </c>
      <c r="G5479">
        <v>9</v>
      </c>
      <c r="H5479" t="str">
        <f>"22"</f>
        <v>22</v>
      </c>
      <c r="I5479" t="str">
        <f t="shared" si="1195"/>
        <v>0</v>
      </c>
      <c r="J5479" t="str">
        <f>"22"</f>
        <v>22</v>
      </c>
      <c r="K5479">
        <v>20190329</v>
      </c>
      <c r="L5479" t="str">
        <f>"076252"</f>
        <v>076252</v>
      </c>
      <c r="M5479" t="str">
        <f>"30744"</f>
        <v>30744</v>
      </c>
      <c r="N5479" t="s">
        <v>422</v>
      </c>
      <c r="O5479">
        <v>46.43</v>
      </c>
      <c r="P5479">
        <v>20190328</v>
      </c>
      <c r="Q5479" t="s">
        <v>1884</v>
      </c>
      <c r="R5479" t="s">
        <v>3865</v>
      </c>
      <c r="S5479" t="s">
        <v>1615</v>
      </c>
      <c r="T5479" t="s">
        <v>301</v>
      </c>
    </row>
    <row r="5480" spans="1:20" x14ac:dyDescent="0.25">
      <c r="A5480">
        <v>9</v>
      </c>
      <c r="B5480">
        <v>199</v>
      </c>
      <c r="C5480" t="str">
        <f>"11"</f>
        <v>11</v>
      </c>
      <c r="D5480">
        <v>6412</v>
      </c>
      <c r="E5480" t="str">
        <f>"V8"</f>
        <v>V8</v>
      </c>
      <c r="F5480" t="str">
        <f>"001"</f>
        <v>001</v>
      </c>
      <c r="G5480">
        <v>9</v>
      </c>
      <c r="H5480" t="str">
        <f>"22"</f>
        <v>22</v>
      </c>
      <c r="I5480" t="str">
        <f t="shared" si="1195"/>
        <v>0</v>
      </c>
      <c r="J5480" t="str">
        <f>"22"</f>
        <v>22</v>
      </c>
      <c r="K5480">
        <v>20190329</v>
      </c>
      <c r="L5480" t="str">
        <f>"076252"</f>
        <v>076252</v>
      </c>
      <c r="M5480" t="str">
        <f>"30744"</f>
        <v>30744</v>
      </c>
      <c r="N5480" t="s">
        <v>422</v>
      </c>
      <c r="O5480">
        <v>31.26</v>
      </c>
      <c r="P5480">
        <v>20190328</v>
      </c>
      <c r="Q5480" t="s">
        <v>1884</v>
      </c>
      <c r="R5480" t="s">
        <v>3865</v>
      </c>
      <c r="S5480" t="s">
        <v>1615</v>
      </c>
      <c r="T5480" t="s">
        <v>301</v>
      </c>
    </row>
    <row r="5481" spans="1:20" x14ac:dyDescent="0.25">
      <c r="A5481">
        <v>9</v>
      </c>
      <c r="B5481">
        <v>199</v>
      </c>
      <c r="C5481" t="str">
        <f>"34"</f>
        <v>34</v>
      </c>
      <c r="D5481">
        <v>6311</v>
      </c>
      <c r="E5481" t="str">
        <f>"10"</f>
        <v>10</v>
      </c>
      <c r="F5481" t="str">
        <f>"937"</f>
        <v>937</v>
      </c>
      <c r="G5481">
        <v>9</v>
      </c>
      <c r="H5481" t="str">
        <f t="shared" ref="H5481:H5494" si="1196">"99"</f>
        <v>99</v>
      </c>
      <c r="I5481" t="str">
        <f t="shared" si="1195"/>
        <v>0</v>
      </c>
      <c r="J5481" t="str">
        <f>"82"</f>
        <v>82</v>
      </c>
      <c r="K5481">
        <v>20190329</v>
      </c>
      <c r="L5481" t="str">
        <f>"076252"</f>
        <v>076252</v>
      </c>
      <c r="M5481" t="str">
        <f>"30744"</f>
        <v>30744</v>
      </c>
      <c r="N5481" t="s">
        <v>422</v>
      </c>
      <c r="O5481">
        <v>138.28</v>
      </c>
      <c r="P5481">
        <v>20190328</v>
      </c>
      <c r="Q5481" t="s">
        <v>1914</v>
      </c>
      <c r="R5481" t="s">
        <v>3733</v>
      </c>
      <c r="S5481" t="s">
        <v>1615</v>
      </c>
      <c r="T5481" t="s">
        <v>1810</v>
      </c>
    </row>
    <row r="5482" spans="1:20" x14ac:dyDescent="0.25">
      <c r="A5482">
        <v>9</v>
      </c>
      <c r="B5482">
        <v>199</v>
      </c>
      <c r="C5482" t="str">
        <f>"36"</f>
        <v>36</v>
      </c>
      <c r="D5482">
        <v>6412</v>
      </c>
      <c r="E5482" t="str">
        <f>"TF"</f>
        <v>TF</v>
      </c>
      <c r="F5482" t="str">
        <f>"001"</f>
        <v>001</v>
      </c>
      <c r="G5482">
        <v>9</v>
      </c>
      <c r="H5482" t="str">
        <f t="shared" si="1196"/>
        <v>99</v>
      </c>
      <c r="I5482" t="str">
        <f>"5"</f>
        <v>5</v>
      </c>
      <c r="J5482" t="str">
        <f>"74"</f>
        <v>74</v>
      </c>
      <c r="K5482">
        <v>20190329</v>
      </c>
      <c r="L5482" t="str">
        <f>"076259"</f>
        <v>076259</v>
      </c>
      <c r="M5482" t="str">
        <f>"00777"</f>
        <v>00777</v>
      </c>
      <c r="N5482" t="s">
        <v>4405</v>
      </c>
      <c r="O5482" s="1">
        <v>2152.8000000000002</v>
      </c>
      <c r="P5482">
        <v>20190327</v>
      </c>
      <c r="Q5482" t="s">
        <v>4350</v>
      </c>
      <c r="R5482" t="s">
        <v>4351</v>
      </c>
      <c r="S5482" t="s">
        <v>1615</v>
      </c>
      <c r="T5482" t="s">
        <v>301</v>
      </c>
    </row>
    <row r="5483" spans="1:20" x14ac:dyDescent="0.25">
      <c r="A5483">
        <v>9</v>
      </c>
      <c r="B5483">
        <v>199</v>
      </c>
      <c r="C5483" t="str">
        <f>"36"</f>
        <v>36</v>
      </c>
      <c r="D5483">
        <v>6412</v>
      </c>
      <c r="E5483" t="str">
        <f>"09"</f>
        <v>09</v>
      </c>
      <c r="F5483" t="str">
        <f>"001"</f>
        <v>001</v>
      </c>
      <c r="G5483">
        <v>9</v>
      </c>
      <c r="H5483" t="str">
        <f t="shared" si="1196"/>
        <v>99</v>
      </c>
      <c r="I5483" t="str">
        <f>"0"</f>
        <v>0</v>
      </c>
      <c r="J5483" t="str">
        <f>"01"</f>
        <v>01</v>
      </c>
      <c r="K5483">
        <v>20190329</v>
      </c>
      <c r="L5483" t="str">
        <f>"076260"</f>
        <v>076260</v>
      </c>
      <c r="M5483" t="str">
        <f>"37772"</f>
        <v>37772</v>
      </c>
      <c r="N5483" t="s">
        <v>4406</v>
      </c>
      <c r="O5483">
        <v>850</v>
      </c>
      <c r="P5483">
        <v>20190327</v>
      </c>
      <c r="Q5483" t="s">
        <v>2427</v>
      </c>
      <c r="R5483" t="s">
        <v>4337</v>
      </c>
      <c r="S5483" t="s">
        <v>1615</v>
      </c>
      <c r="T5483" t="s">
        <v>301</v>
      </c>
    </row>
    <row r="5484" spans="1:20" x14ac:dyDescent="0.25">
      <c r="A5484">
        <v>9</v>
      </c>
      <c r="B5484">
        <v>199</v>
      </c>
      <c r="C5484" t="str">
        <f>"36"</f>
        <v>36</v>
      </c>
      <c r="D5484">
        <v>6411</v>
      </c>
      <c r="E5484" t="str">
        <f>"8M"</f>
        <v>8M</v>
      </c>
      <c r="F5484" t="str">
        <f>"001"</f>
        <v>001</v>
      </c>
      <c r="G5484">
        <v>9</v>
      </c>
      <c r="H5484" t="str">
        <f t="shared" si="1196"/>
        <v>99</v>
      </c>
      <c r="I5484" t="str">
        <f>"1"</f>
        <v>1</v>
      </c>
      <c r="J5484" t="str">
        <f>"33"</f>
        <v>33</v>
      </c>
      <c r="K5484">
        <v>20190329</v>
      </c>
      <c r="L5484" t="str">
        <f>"076261"</f>
        <v>076261</v>
      </c>
      <c r="M5484" t="str">
        <f>"37805"</f>
        <v>37805</v>
      </c>
      <c r="N5484" t="s">
        <v>1627</v>
      </c>
      <c r="O5484">
        <v>8.33</v>
      </c>
      <c r="P5484">
        <v>20190327</v>
      </c>
      <c r="Q5484" t="s">
        <v>1628</v>
      </c>
      <c r="R5484" t="s">
        <v>4407</v>
      </c>
      <c r="S5484" t="s">
        <v>1615</v>
      </c>
      <c r="T5484" t="s">
        <v>301</v>
      </c>
    </row>
    <row r="5485" spans="1:20" x14ac:dyDescent="0.25">
      <c r="A5485">
        <v>9</v>
      </c>
      <c r="B5485">
        <v>199</v>
      </c>
      <c r="C5485" t="str">
        <f>"36"</f>
        <v>36</v>
      </c>
      <c r="D5485">
        <v>6412</v>
      </c>
      <c r="E5485" t="str">
        <f>"8M"</f>
        <v>8M</v>
      </c>
      <c r="F5485" t="str">
        <f>"001"</f>
        <v>001</v>
      </c>
      <c r="G5485">
        <v>9</v>
      </c>
      <c r="H5485" t="str">
        <f t="shared" si="1196"/>
        <v>99</v>
      </c>
      <c r="I5485" t="str">
        <f>"1"</f>
        <v>1</v>
      </c>
      <c r="J5485" t="str">
        <f>"33"</f>
        <v>33</v>
      </c>
      <c r="K5485">
        <v>20190329</v>
      </c>
      <c r="L5485" t="str">
        <f>"076261"</f>
        <v>076261</v>
      </c>
      <c r="M5485" t="str">
        <f>"37805"</f>
        <v>37805</v>
      </c>
      <c r="N5485" t="s">
        <v>1627</v>
      </c>
      <c r="O5485">
        <v>100</v>
      </c>
      <c r="P5485">
        <v>20190327</v>
      </c>
      <c r="Q5485" t="s">
        <v>1629</v>
      </c>
      <c r="R5485" t="s">
        <v>4407</v>
      </c>
      <c r="S5485" t="s">
        <v>1615</v>
      </c>
      <c r="T5485" t="s">
        <v>301</v>
      </c>
    </row>
    <row r="5486" spans="1:20" x14ac:dyDescent="0.25">
      <c r="A5486">
        <v>9</v>
      </c>
      <c r="B5486">
        <v>199</v>
      </c>
      <c r="C5486" t="str">
        <f>"51"</f>
        <v>51</v>
      </c>
      <c r="D5486">
        <v>6319</v>
      </c>
      <c r="E5486" t="str">
        <f>"MC"</f>
        <v>MC</v>
      </c>
      <c r="F5486" t="str">
        <f>"936"</f>
        <v>936</v>
      </c>
      <c r="G5486">
        <v>9</v>
      </c>
      <c r="H5486" t="str">
        <f t="shared" si="1196"/>
        <v>99</v>
      </c>
      <c r="I5486" t="str">
        <f>"0"</f>
        <v>0</v>
      </c>
      <c r="J5486" t="str">
        <f>"81"</f>
        <v>81</v>
      </c>
      <c r="K5486">
        <v>20190329</v>
      </c>
      <c r="L5486" t="str">
        <f>"076262"</f>
        <v>076262</v>
      </c>
      <c r="M5486" t="str">
        <f>"39397"</f>
        <v>39397</v>
      </c>
      <c r="N5486" t="s">
        <v>3791</v>
      </c>
      <c r="O5486">
        <v>274.48</v>
      </c>
      <c r="P5486">
        <v>20190327</v>
      </c>
      <c r="Q5486" t="s">
        <v>2060</v>
      </c>
      <c r="R5486" t="s">
        <v>4408</v>
      </c>
      <c r="S5486" t="s">
        <v>1615</v>
      </c>
      <c r="T5486" t="s">
        <v>1713</v>
      </c>
    </row>
    <row r="5487" spans="1:20" x14ac:dyDescent="0.25">
      <c r="A5487">
        <v>9</v>
      </c>
      <c r="B5487">
        <v>199</v>
      </c>
      <c r="C5487" t="str">
        <f>"51"</f>
        <v>51</v>
      </c>
      <c r="D5487">
        <v>6254</v>
      </c>
      <c r="E5487" t="str">
        <f>"ME"</f>
        <v>ME</v>
      </c>
      <c r="F5487" t="str">
        <f>"936"</f>
        <v>936</v>
      </c>
      <c r="G5487">
        <v>9</v>
      </c>
      <c r="H5487" t="str">
        <f t="shared" si="1196"/>
        <v>99</v>
      </c>
      <c r="I5487" t="str">
        <f>"1"</f>
        <v>1</v>
      </c>
      <c r="J5487" t="str">
        <f>"73"</f>
        <v>73</v>
      </c>
      <c r="K5487">
        <v>20190329</v>
      </c>
      <c r="L5487" t="str">
        <f>"076263"</f>
        <v>076263</v>
      </c>
      <c r="M5487" t="str">
        <f>"42194"</f>
        <v>42194</v>
      </c>
      <c r="N5487" t="s">
        <v>1736</v>
      </c>
      <c r="O5487" s="1">
        <v>64386.18</v>
      </c>
      <c r="P5487">
        <v>20190327</v>
      </c>
      <c r="Q5487" t="s">
        <v>1891</v>
      </c>
      <c r="R5487" t="s">
        <v>4409</v>
      </c>
      <c r="S5487" t="s">
        <v>1615</v>
      </c>
      <c r="T5487" t="s">
        <v>1713</v>
      </c>
    </row>
    <row r="5488" spans="1:20" x14ac:dyDescent="0.25">
      <c r="A5488">
        <v>9</v>
      </c>
      <c r="B5488">
        <v>199</v>
      </c>
      <c r="C5488" t="str">
        <f>"51"</f>
        <v>51</v>
      </c>
      <c r="D5488">
        <v>6254</v>
      </c>
      <c r="E5488" t="str">
        <f>"ME"</f>
        <v>ME</v>
      </c>
      <c r="F5488" t="str">
        <f>"936"</f>
        <v>936</v>
      </c>
      <c r="G5488">
        <v>9</v>
      </c>
      <c r="H5488" t="str">
        <f t="shared" si="1196"/>
        <v>99</v>
      </c>
      <c r="I5488" t="str">
        <f>"1"</f>
        <v>1</v>
      </c>
      <c r="J5488" t="str">
        <f>"73"</f>
        <v>73</v>
      </c>
      <c r="K5488">
        <v>20190329</v>
      </c>
      <c r="L5488" t="str">
        <f>"076263"</f>
        <v>076263</v>
      </c>
      <c r="M5488" t="str">
        <f>"42194"</f>
        <v>42194</v>
      </c>
      <c r="N5488" t="s">
        <v>1736</v>
      </c>
      <c r="O5488" s="1">
        <v>2223.1</v>
      </c>
      <c r="P5488">
        <v>20190327</v>
      </c>
      <c r="Q5488" t="s">
        <v>1891</v>
      </c>
      <c r="R5488" t="s">
        <v>4410</v>
      </c>
      <c r="S5488" t="s">
        <v>1615</v>
      </c>
      <c r="T5488" t="s">
        <v>1713</v>
      </c>
    </row>
    <row r="5489" spans="1:20" x14ac:dyDescent="0.25">
      <c r="A5489">
        <v>9</v>
      </c>
      <c r="B5489">
        <v>199</v>
      </c>
      <c r="C5489" t="str">
        <f t="shared" ref="C5489:C5494" si="1197">"36"</f>
        <v>36</v>
      </c>
      <c r="D5489">
        <v>6399</v>
      </c>
      <c r="E5489" t="str">
        <f>"09"</f>
        <v>09</v>
      </c>
      <c r="F5489" t="str">
        <f t="shared" ref="F5489:F5495" si="1198">"001"</f>
        <v>001</v>
      </c>
      <c r="G5489">
        <v>9</v>
      </c>
      <c r="H5489" t="str">
        <f t="shared" si="1196"/>
        <v>99</v>
      </c>
      <c r="I5489" t="str">
        <f>"0"</f>
        <v>0</v>
      </c>
      <c r="J5489" t="str">
        <f>"01"</f>
        <v>01</v>
      </c>
      <c r="K5489">
        <v>20190329</v>
      </c>
      <c r="L5489" t="str">
        <f>"076266"</f>
        <v>076266</v>
      </c>
      <c r="M5489" t="str">
        <f>"39394"</f>
        <v>39394</v>
      </c>
      <c r="N5489" t="s">
        <v>4120</v>
      </c>
      <c r="O5489">
        <v>269.52999999999997</v>
      </c>
      <c r="P5489">
        <v>20190327</v>
      </c>
      <c r="Q5489" t="s">
        <v>2177</v>
      </c>
      <c r="R5489" t="s">
        <v>4411</v>
      </c>
      <c r="S5489" t="s">
        <v>1615</v>
      </c>
      <c r="T5489" t="s">
        <v>301</v>
      </c>
    </row>
    <row r="5490" spans="1:20" x14ac:dyDescent="0.25">
      <c r="A5490">
        <v>9</v>
      </c>
      <c r="B5490">
        <v>199</v>
      </c>
      <c r="C5490" t="str">
        <f t="shared" si="1197"/>
        <v>36</v>
      </c>
      <c r="D5490">
        <v>6399</v>
      </c>
      <c r="E5490" t="str">
        <f>"09"</f>
        <v>09</v>
      </c>
      <c r="F5490" t="str">
        <f t="shared" si="1198"/>
        <v>001</v>
      </c>
      <c r="G5490">
        <v>9</v>
      </c>
      <c r="H5490" t="str">
        <f t="shared" si="1196"/>
        <v>99</v>
      </c>
      <c r="I5490" t="str">
        <f>"0"</f>
        <v>0</v>
      </c>
      <c r="J5490" t="str">
        <f>"01"</f>
        <v>01</v>
      </c>
      <c r="K5490">
        <v>20190329</v>
      </c>
      <c r="L5490" t="str">
        <f>"076266"</f>
        <v>076266</v>
      </c>
      <c r="M5490" t="str">
        <f>"39394"</f>
        <v>39394</v>
      </c>
      <c r="N5490" t="s">
        <v>4120</v>
      </c>
      <c r="O5490">
        <v>19.5</v>
      </c>
      <c r="P5490">
        <v>20190327</v>
      </c>
      <c r="Q5490" t="s">
        <v>2177</v>
      </c>
      <c r="R5490" t="s">
        <v>4412</v>
      </c>
      <c r="S5490" t="s">
        <v>1615</v>
      </c>
      <c r="T5490" t="s">
        <v>301</v>
      </c>
    </row>
    <row r="5491" spans="1:20" x14ac:dyDescent="0.25">
      <c r="A5491">
        <v>9</v>
      </c>
      <c r="B5491">
        <v>199</v>
      </c>
      <c r="C5491" t="str">
        <f t="shared" si="1197"/>
        <v>36</v>
      </c>
      <c r="D5491">
        <v>6412</v>
      </c>
      <c r="E5491" t="str">
        <f>"NA"</f>
        <v>NA</v>
      </c>
      <c r="F5491" t="str">
        <f t="shared" si="1198"/>
        <v>001</v>
      </c>
      <c r="G5491">
        <v>9</v>
      </c>
      <c r="H5491" t="str">
        <f t="shared" si="1196"/>
        <v>99</v>
      </c>
      <c r="I5491" t="str">
        <f>"5"</f>
        <v>5</v>
      </c>
      <c r="J5491" t="str">
        <f>"74"</f>
        <v>74</v>
      </c>
      <c r="K5491">
        <v>20190329</v>
      </c>
      <c r="L5491" t="str">
        <f>"076267"</f>
        <v>076267</v>
      </c>
      <c r="M5491" t="str">
        <f>"43871"</f>
        <v>43871</v>
      </c>
      <c r="N5491" t="s">
        <v>4413</v>
      </c>
      <c r="O5491" s="1">
        <v>6774</v>
      </c>
      <c r="P5491">
        <v>20190327</v>
      </c>
      <c r="Q5491" t="s">
        <v>4414</v>
      </c>
      <c r="R5491" t="s">
        <v>4415</v>
      </c>
      <c r="S5491" t="s">
        <v>1615</v>
      </c>
      <c r="T5491" t="s">
        <v>301</v>
      </c>
    </row>
    <row r="5492" spans="1:20" x14ac:dyDescent="0.25">
      <c r="A5492">
        <v>9</v>
      </c>
      <c r="B5492">
        <v>199</v>
      </c>
      <c r="C5492" t="str">
        <f t="shared" si="1197"/>
        <v>36</v>
      </c>
      <c r="D5492">
        <v>6412</v>
      </c>
      <c r="E5492" t="str">
        <f>"8S"</f>
        <v>8S</v>
      </c>
      <c r="F5492" t="str">
        <f t="shared" si="1198"/>
        <v>001</v>
      </c>
      <c r="G5492">
        <v>9</v>
      </c>
      <c r="H5492" t="str">
        <f t="shared" si="1196"/>
        <v>99</v>
      </c>
      <c r="I5492" t="str">
        <f>"1"</f>
        <v>1</v>
      </c>
      <c r="J5492" t="str">
        <f>"01"</f>
        <v>01</v>
      </c>
      <c r="K5492">
        <v>20190329</v>
      </c>
      <c r="L5492" t="str">
        <f>"076269"</f>
        <v>076269</v>
      </c>
      <c r="M5492" t="str">
        <f>"46348"</f>
        <v>46348</v>
      </c>
      <c r="N5492" t="s">
        <v>1631</v>
      </c>
      <c r="O5492">
        <v>75</v>
      </c>
      <c r="P5492">
        <v>20190327</v>
      </c>
      <c r="Q5492" t="s">
        <v>1634</v>
      </c>
      <c r="R5492" t="s">
        <v>4351</v>
      </c>
      <c r="S5492" t="s">
        <v>1615</v>
      </c>
      <c r="T5492" t="s">
        <v>301</v>
      </c>
    </row>
    <row r="5493" spans="1:20" x14ac:dyDescent="0.25">
      <c r="A5493">
        <v>9</v>
      </c>
      <c r="B5493">
        <v>199</v>
      </c>
      <c r="C5493" t="str">
        <f t="shared" si="1197"/>
        <v>36</v>
      </c>
      <c r="D5493">
        <v>6412</v>
      </c>
      <c r="E5493" t="str">
        <f>"8S"</f>
        <v>8S</v>
      </c>
      <c r="F5493" t="str">
        <f t="shared" si="1198"/>
        <v>001</v>
      </c>
      <c r="G5493">
        <v>9</v>
      </c>
      <c r="H5493" t="str">
        <f t="shared" si="1196"/>
        <v>99</v>
      </c>
      <c r="I5493" t="str">
        <f>"1"</f>
        <v>1</v>
      </c>
      <c r="J5493" t="str">
        <f>"01"</f>
        <v>01</v>
      </c>
      <c r="K5493">
        <v>20190329</v>
      </c>
      <c r="L5493" t="str">
        <f>"076269"</f>
        <v>076269</v>
      </c>
      <c r="M5493" t="str">
        <f>"46348"</f>
        <v>46348</v>
      </c>
      <c r="N5493" t="s">
        <v>1631</v>
      </c>
      <c r="O5493">
        <v>178</v>
      </c>
      <c r="P5493">
        <v>20190327</v>
      </c>
      <c r="Q5493" t="s">
        <v>1634</v>
      </c>
      <c r="R5493" t="s">
        <v>4351</v>
      </c>
      <c r="S5493" t="s">
        <v>1615</v>
      </c>
      <c r="T5493" t="s">
        <v>301</v>
      </c>
    </row>
    <row r="5494" spans="1:20" x14ac:dyDescent="0.25">
      <c r="A5494">
        <v>9</v>
      </c>
      <c r="B5494">
        <v>199</v>
      </c>
      <c r="C5494" t="str">
        <f t="shared" si="1197"/>
        <v>36</v>
      </c>
      <c r="D5494">
        <v>6412</v>
      </c>
      <c r="E5494" t="str">
        <f>"TF"</f>
        <v>TF</v>
      </c>
      <c r="F5494" t="str">
        <f t="shared" si="1198"/>
        <v>001</v>
      </c>
      <c r="G5494">
        <v>9</v>
      </c>
      <c r="H5494" t="str">
        <f t="shared" si="1196"/>
        <v>99</v>
      </c>
      <c r="I5494" t="str">
        <f>"5"</f>
        <v>5</v>
      </c>
      <c r="J5494" t="str">
        <f>"74"</f>
        <v>74</v>
      </c>
      <c r="K5494">
        <v>20190329</v>
      </c>
      <c r="L5494" t="str">
        <f>"076269"</f>
        <v>076269</v>
      </c>
      <c r="M5494" t="str">
        <f>"46348"</f>
        <v>46348</v>
      </c>
      <c r="N5494" t="s">
        <v>1631</v>
      </c>
      <c r="O5494">
        <v>992</v>
      </c>
      <c r="P5494">
        <v>20190327</v>
      </c>
      <c r="Q5494" t="s">
        <v>4350</v>
      </c>
      <c r="R5494" t="s">
        <v>4351</v>
      </c>
      <c r="S5494" t="s">
        <v>1615</v>
      </c>
      <c r="T5494" t="s">
        <v>301</v>
      </c>
    </row>
    <row r="5495" spans="1:20" x14ac:dyDescent="0.25">
      <c r="A5495">
        <v>9</v>
      </c>
      <c r="B5495">
        <v>199</v>
      </c>
      <c r="C5495" t="str">
        <f>"11"</f>
        <v>11</v>
      </c>
      <c r="D5495">
        <v>6399</v>
      </c>
      <c r="E5495" t="str">
        <f>"10"</f>
        <v>10</v>
      </c>
      <c r="F5495" t="str">
        <f t="shared" si="1198"/>
        <v>001</v>
      </c>
      <c r="G5495">
        <v>9</v>
      </c>
      <c r="H5495" t="str">
        <f>"11"</f>
        <v>11</v>
      </c>
      <c r="I5495" t="str">
        <f t="shared" ref="I5495:I5502" si="1199">"0"</f>
        <v>0</v>
      </c>
      <c r="J5495" t="str">
        <f>"01"</f>
        <v>01</v>
      </c>
      <c r="K5495">
        <v>20190329</v>
      </c>
      <c r="L5495" t="str">
        <f>"076272"</f>
        <v>076272</v>
      </c>
      <c r="M5495" t="str">
        <f>"80056"</f>
        <v>80056</v>
      </c>
      <c r="N5495" t="s">
        <v>4416</v>
      </c>
      <c r="O5495">
        <v>37.42</v>
      </c>
      <c r="P5495">
        <v>20190327</v>
      </c>
      <c r="Q5495" t="s">
        <v>1675</v>
      </c>
      <c r="R5495" t="s">
        <v>2486</v>
      </c>
      <c r="S5495" t="s">
        <v>1615</v>
      </c>
      <c r="T5495" t="s">
        <v>301</v>
      </c>
    </row>
    <row r="5496" spans="1:20" x14ac:dyDescent="0.25">
      <c r="A5496">
        <v>9</v>
      </c>
      <c r="B5496">
        <v>199</v>
      </c>
      <c r="C5496" t="str">
        <f>"51"</f>
        <v>51</v>
      </c>
      <c r="D5496">
        <v>6249</v>
      </c>
      <c r="E5496" t="str">
        <f>"MC"</f>
        <v>MC</v>
      </c>
      <c r="F5496" t="str">
        <f>"935"</f>
        <v>935</v>
      </c>
      <c r="G5496">
        <v>9</v>
      </c>
      <c r="H5496" t="str">
        <f t="shared" ref="H5496:H5502" si="1200">"99"</f>
        <v>99</v>
      </c>
      <c r="I5496" t="str">
        <f t="shared" si="1199"/>
        <v>0</v>
      </c>
      <c r="J5496" t="str">
        <f>"81"</f>
        <v>81</v>
      </c>
      <c r="K5496">
        <v>20190329</v>
      </c>
      <c r="L5496" t="str">
        <f>"076277"</f>
        <v>076277</v>
      </c>
      <c r="M5496" t="str">
        <f>"00760"</f>
        <v>00760</v>
      </c>
      <c r="N5496" t="s">
        <v>4417</v>
      </c>
      <c r="O5496" s="1">
        <v>2095</v>
      </c>
      <c r="P5496">
        <v>20190327</v>
      </c>
      <c r="Q5496" t="s">
        <v>1875</v>
      </c>
      <c r="R5496" t="s">
        <v>4418</v>
      </c>
      <c r="S5496" t="s">
        <v>1615</v>
      </c>
      <c r="T5496" t="s">
        <v>1876</v>
      </c>
    </row>
    <row r="5497" spans="1:20" x14ac:dyDescent="0.25">
      <c r="A5497">
        <v>9</v>
      </c>
      <c r="B5497">
        <v>199</v>
      </c>
      <c r="C5497" t="str">
        <f>"52"</f>
        <v>52</v>
      </c>
      <c r="D5497">
        <v>6219</v>
      </c>
      <c r="E5497" t="str">
        <f>"00"</f>
        <v>00</v>
      </c>
      <c r="F5497" t="str">
        <f>"101"</f>
        <v>101</v>
      </c>
      <c r="G5497">
        <v>9</v>
      </c>
      <c r="H5497" t="str">
        <f t="shared" si="1200"/>
        <v>99</v>
      </c>
      <c r="I5497" t="str">
        <f t="shared" si="1199"/>
        <v>0</v>
      </c>
      <c r="J5497" t="str">
        <f>"00"</f>
        <v>00</v>
      </c>
      <c r="K5497">
        <v>20190329</v>
      </c>
      <c r="L5497" t="str">
        <f>"076278"</f>
        <v>076278</v>
      </c>
      <c r="M5497" t="str">
        <f>"00755"</f>
        <v>00755</v>
      </c>
      <c r="N5497" t="s">
        <v>4268</v>
      </c>
      <c r="O5497">
        <v>300</v>
      </c>
      <c r="P5497">
        <v>20190327</v>
      </c>
      <c r="Q5497" t="s">
        <v>1854</v>
      </c>
      <c r="R5497" t="s">
        <v>4419</v>
      </c>
      <c r="S5497" t="s">
        <v>1615</v>
      </c>
      <c r="T5497" t="s">
        <v>1479</v>
      </c>
    </row>
    <row r="5498" spans="1:20" x14ac:dyDescent="0.25">
      <c r="A5498">
        <v>9</v>
      </c>
      <c r="B5498">
        <v>199</v>
      </c>
      <c r="C5498" t="str">
        <f>"23"</f>
        <v>23</v>
      </c>
      <c r="D5498">
        <v>6495</v>
      </c>
      <c r="E5498" t="str">
        <f>"10"</f>
        <v>10</v>
      </c>
      <c r="F5498" t="str">
        <f t="shared" ref="F5498:F5503" si="1201">"001"</f>
        <v>001</v>
      </c>
      <c r="G5498">
        <v>9</v>
      </c>
      <c r="H5498" t="str">
        <f t="shared" si="1200"/>
        <v>99</v>
      </c>
      <c r="I5498" t="str">
        <f t="shared" si="1199"/>
        <v>0</v>
      </c>
      <c r="J5498" t="str">
        <f>"01"</f>
        <v>01</v>
      </c>
      <c r="K5498">
        <v>20190329</v>
      </c>
      <c r="L5498" t="str">
        <f>"076279"</f>
        <v>076279</v>
      </c>
      <c r="M5498" t="str">
        <f>"55881"</f>
        <v>55881</v>
      </c>
      <c r="N5498" t="s">
        <v>3436</v>
      </c>
      <c r="O5498">
        <v>250</v>
      </c>
      <c r="P5498">
        <v>20190327</v>
      </c>
      <c r="Q5498" t="s">
        <v>1824</v>
      </c>
      <c r="R5498" t="s">
        <v>4420</v>
      </c>
      <c r="S5498" t="s">
        <v>1615</v>
      </c>
      <c r="T5498" t="s">
        <v>301</v>
      </c>
    </row>
    <row r="5499" spans="1:20" x14ac:dyDescent="0.25">
      <c r="A5499">
        <v>9</v>
      </c>
      <c r="B5499">
        <v>199</v>
      </c>
      <c r="C5499" t="str">
        <f>"23"</f>
        <v>23</v>
      </c>
      <c r="D5499">
        <v>6495</v>
      </c>
      <c r="E5499" t="str">
        <f>"10"</f>
        <v>10</v>
      </c>
      <c r="F5499" t="str">
        <f t="shared" si="1201"/>
        <v>001</v>
      </c>
      <c r="G5499">
        <v>9</v>
      </c>
      <c r="H5499" t="str">
        <f t="shared" si="1200"/>
        <v>99</v>
      </c>
      <c r="I5499" t="str">
        <f t="shared" si="1199"/>
        <v>0</v>
      </c>
      <c r="J5499" t="str">
        <f>"01"</f>
        <v>01</v>
      </c>
      <c r="K5499">
        <v>20190329</v>
      </c>
      <c r="L5499" t="str">
        <f>"076279"</f>
        <v>076279</v>
      </c>
      <c r="M5499" t="str">
        <f>"55881"</f>
        <v>55881</v>
      </c>
      <c r="N5499" t="s">
        <v>3436</v>
      </c>
      <c r="O5499">
        <v>250</v>
      </c>
      <c r="P5499">
        <v>20190327</v>
      </c>
      <c r="Q5499" t="s">
        <v>1824</v>
      </c>
      <c r="R5499" t="s">
        <v>4421</v>
      </c>
      <c r="S5499" t="s">
        <v>1615</v>
      </c>
      <c r="T5499" t="s">
        <v>301</v>
      </c>
    </row>
    <row r="5500" spans="1:20" x14ac:dyDescent="0.25">
      <c r="A5500">
        <v>9</v>
      </c>
      <c r="B5500">
        <v>199</v>
      </c>
      <c r="C5500" t="str">
        <f>"23"</f>
        <v>23</v>
      </c>
      <c r="D5500">
        <v>6495</v>
      </c>
      <c r="E5500" t="str">
        <f>"10"</f>
        <v>10</v>
      </c>
      <c r="F5500" t="str">
        <f t="shared" si="1201"/>
        <v>001</v>
      </c>
      <c r="G5500">
        <v>9</v>
      </c>
      <c r="H5500" t="str">
        <f t="shared" si="1200"/>
        <v>99</v>
      </c>
      <c r="I5500" t="str">
        <f t="shared" si="1199"/>
        <v>0</v>
      </c>
      <c r="J5500" t="str">
        <f>"01"</f>
        <v>01</v>
      </c>
      <c r="K5500">
        <v>20190329</v>
      </c>
      <c r="L5500" t="str">
        <f>"076279"</f>
        <v>076279</v>
      </c>
      <c r="M5500" t="str">
        <f>"55881"</f>
        <v>55881</v>
      </c>
      <c r="N5500" t="s">
        <v>3436</v>
      </c>
      <c r="O5500">
        <v>250</v>
      </c>
      <c r="P5500">
        <v>20190327</v>
      </c>
      <c r="Q5500" t="s">
        <v>1824</v>
      </c>
      <c r="R5500" t="s">
        <v>4422</v>
      </c>
      <c r="S5500" t="s">
        <v>1615</v>
      </c>
      <c r="T5500" t="s">
        <v>301</v>
      </c>
    </row>
    <row r="5501" spans="1:20" x14ac:dyDescent="0.25">
      <c r="A5501">
        <v>9</v>
      </c>
      <c r="B5501">
        <v>199</v>
      </c>
      <c r="C5501" t="str">
        <f>"36"</f>
        <v>36</v>
      </c>
      <c r="D5501">
        <v>6495</v>
      </c>
      <c r="E5501" t="str">
        <f>"8E"</f>
        <v>8E</v>
      </c>
      <c r="F5501" t="str">
        <f t="shared" si="1201"/>
        <v>001</v>
      </c>
      <c r="G5501">
        <v>9</v>
      </c>
      <c r="H5501" t="str">
        <f t="shared" si="1200"/>
        <v>99</v>
      </c>
      <c r="I5501" t="str">
        <f t="shared" si="1199"/>
        <v>0</v>
      </c>
      <c r="J5501" t="str">
        <f>"01"</f>
        <v>01</v>
      </c>
      <c r="K5501">
        <v>20190329</v>
      </c>
      <c r="L5501" t="str">
        <f>"076279"</f>
        <v>076279</v>
      </c>
      <c r="M5501" t="str">
        <f>"55881"</f>
        <v>55881</v>
      </c>
      <c r="N5501" t="s">
        <v>3436</v>
      </c>
      <c r="O5501">
        <v>385</v>
      </c>
      <c r="P5501">
        <v>20190327</v>
      </c>
      <c r="Q5501" t="s">
        <v>3437</v>
      </c>
      <c r="R5501" t="s">
        <v>4423</v>
      </c>
      <c r="S5501" t="s">
        <v>1615</v>
      </c>
      <c r="T5501" t="s">
        <v>301</v>
      </c>
    </row>
    <row r="5502" spans="1:20" x14ac:dyDescent="0.25">
      <c r="A5502">
        <v>9</v>
      </c>
      <c r="B5502">
        <v>199</v>
      </c>
      <c r="C5502" t="str">
        <f>"36"</f>
        <v>36</v>
      </c>
      <c r="D5502">
        <v>6495</v>
      </c>
      <c r="E5502" t="str">
        <f>"8T"</f>
        <v>8T</v>
      </c>
      <c r="F5502" t="str">
        <f t="shared" si="1201"/>
        <v>001</v>
      </c>
      <c r="G5502">
        <v>9</v>
      </c>
      <c r="H5502" t="str">
        <f t="shared" si="1200"/>
        <v>99</v>
      </c>
      <c r="I5502" t="str">
        <f t="shared" si="1199"/>
        <v>0</v>
      </c>
      <c r="J5502" t="str">
        <f>"01"</f>
        <v>01</v>
      </c>
      <c r="K5502">
        <v>20190329</v>
      </c>
      <c r="L5502" t="str">
        <f>"076279"</f>
        <v>076279</v>
      </c>
      <c r="M5502" t="str">
        <f>"55881"</f>
        <v>55881</v>
      </c>
      <c r="N5502" t="s">
        <v>3436</v>
      </c>
      <c r="O5502">
        <v>95</v>
      </c>
      <c r="P5502">
        <v>20190327</v>
      </c>
      <c r="Q5502" t="s">
        <v>1821</v>
      </c>
      <c r="R5502" t="s">
        <v>4423</v>
      </c>
      <c r="S5502" t="s">
        <v>1615</v>
      </c>
      <c r="T5502" t="s">
        <v>301</v>
      </c>
    </row>
    <row r="5503" spans="1:20" x14ac:dyDescent="0.25">
      <c r="A5503">
        <v>9</v>
      </c>
      <c r="B5503">
        <v>199</v>
      </c>
      <c r="C5503" t="str">
        <f>"11"</f>
        <v>11</v>
      </c>
      <c r="D5503">
        <v>6412</v>
      </c>
      <c r="E5503" t="str">
        <f>"NL"</f>
        <v>NL</v>
      </c>
      <c r="F5503" t="str">
        <f t="shared" si="1201"/>
        <v>001</v>
      </c>
      <c r="G5503">
        <v>9</v>
      </c>
      <c r="H5503" t="str">
        <f>"22"</f>
        <v>22</v>
      </c>
      <c r="I5503" t="str">
        <f>"1"</f>
        <v>1</v>
      </c>
      <c r="J5503" t="str">
        <f>"22"</f>
        <v>22</v>
      </c>
      <c r="K5503">
        <v>20190329</v>
      </c>
      <c r="L5503" t="str">
        <f>"076281"</f>
        <v>076281</v>
      </c>
      <c r="M5503" t="str">
        <f>"57385"</f>
        <v>57385</v>
      </c>
      <c r="N5503" t="s">
        <v>4424</v>
      </c>
      <c r="O5503">
        <v>54.84</v>
      </c>
      <c r="P5503">
        <v>20190327</v>
      </c>
      <c r="Q5503" t="s">
        <v>2708</v>
      </c>
      <c r="R5503" t="s">
        <v>4425</v>
      </c>
      <c r="S5503" t="s">
        <v>1615</v>
      </c>
      <c r="T5503" t="s">
        <v>301</v>
      </c>
    </row>
    <row r="5504" spans="1:20" x14ac:dyDescent="0.25">
      <c r="A5504">
        <v>9</v>
      </c>
      <c r="B5504">
        <v>199</v>
      </c>
      <c r="C5504" t="str">
        <f t="shared" ref="C5504:C5511" si="1202">"41"</f>
        <v>41</v>
      </c>
      <c r="D5504">
        <v>6395</v>
      </c>
      <c r="E5504" t="str">
        <f t="shared" ref="E5504:E5511" si="1203">"10"</f>
        <v>10</v>
      </c>
      <c r="F5504" t="str">
        <f>"701"</f>
        <v>701</v>
      </c>
      <c r="G5504">
        <v>9</v>
      </c>
      <c r="H5504" t="str">
        <f t="shared" ref="H5504:H5511" si="1204">"99"</f>
        <v>99</v>
      </c>
      <c r="I5504" t="str">
        <f t="shared" ref="I5504:I5517" si="1205">"0"</f>
        <v>0</v>
      </c>
      <c r="J5504" t="str">
        <f>"92"</f>
        <v>92</v>
      </c>
      <c r="K5504">
        <v>20190329</v>
      </c>
      <c r="L5504" t="str">
        <f t="shared" ref="L5504:L5511" si="1206">"076283"</f>
        <v>076283</v>
      </c>
      <c r="M5504" t="str">
        <f t="shared" ref="M5504:M5511" si="1207">"58200"</f>
        <v>58200</v>
      </c>
      <c r="N5504" t="s">
        <v>1765</v>
      </c>
      <c r="O5504">
        <v>32.89</v>
      </c>
      <c r="P5504">
        <v>20190328</v>
      </c>
      <c r="Q5504" t="s">
        <v>3484</v>
      </c>
      <c r="R5504" t="s">
        <v>4426</v>
      </c>
      <c r="S5504" t="s">
        <v>1615</v>
      </c>
      <c r="T5504" t="s">
        <v>1841</v>
      </c>
    </row>
    <row r="5505" spans="1:20" x14ac:dyDescent="0.25">
      <c r="A5505">
        <v>9</v>
      </c>
      <c r="B5505">
        <v>199</v>
      </c>
      <c r="C5505" t="str">
        <f t="shared" si="1202"/>
        <v>41</v>
      </c>
      <c r="D5505">
        <v>6395</v>
      </c>
      <c r="E5505" t="str">
        <f t="shared" si="1203"/>
        <v>10</v>
      </c>
      <c r="F5505" t="str">
        <f>"701"</f>
        <v>701</v>
      </c>
      <c r="G5505">
        <v>9</v>
      </c>
      <c r="H5505" t="str">
        <f t="shared" si="1204"/>
        <v>99</v>
      </c>
      <c r="I5505" t="str">
        <f t="shared" si="1205"/>
        <v>0</v>
      </c>
      <c r="J5505" t="str">
        <f>"92"</f>
        <v>92</v>
      </c>
      <c r="K5505">
        <v>20190329</v>
      </c>
      <c r="L5505" t="str">
        <f t="shared" si="1206"/>
        <v>076283</v>
      </c>
      <c r="M5505" t="str">
        <f t="shared" si="1207"/>
        <v>58200</v>
      </c>
      <c r="N5505" t="s">
        <v>1765</v>
      </c>
      <c r="O5505">
        <v>41.98</v>
      </c>
      <c r="P5505">
        <v>20190328</v>
      </c>
      <c r="Q5505" t="s">
        <v>3484</v>
      </c>
      <c r="R5505" t="s">
        <v>4426</v>
      </c>
      <c r="S5505" t="s">
        <v>1615</v>
      </c>
      <c r="T5505" t="s">
        <v>1841</v>
      </c>
    </row>
    <row r="5506" spans="1:20" x14ac:dyDescent="0.25">
      <c r="A5506">
        <v>9</v>
      </c>
      <c r="B5506">
        <v>199</v>
      </c>
      <c r="C5506" t="str">
        <f t="shared" si="1202"/>
        <v>41</v>
      </c>
      <c r="D5506">
        <v>6399</v>
      </c>
      <c r="E5506" t="str">
        <f t="shared" si="1203"/>
        <v>10</v>
      </c>
      <c r="F5506" t="str">
        <f>"701"</f>
        <v>701</v>
      </c>
      <c r="G5506">
        <v>9</v>
      </c>
      <c r="H5506" t="str">
        <f t="shared" si="1204"/>
        <v>99</v>
      </c>
      <c r="I5506" t="str">
        <f t="shared" si="1205"/>
        <v>0</v>
      </c>
      <c r="J5506" t="str">
        <f>"92"</f>
        <v>92</v>
      </c>
      <c r="K5506">
        <v>20190329</v>
      </c>
      <c r="L5506" t="str">
        <f t="shared" si="1206"/>
        <v>076283</v>
      </c>
      <c r="M5506" t="str">
        <f t="shared" si="1207"/>
        <v>58200</v>
      </c>
      <c r="N5506" t="s">
        <v>1765</v>
      </c>
      <c r="O5506">
        <v>8.9700000000000006</v>
      </c>
      <c r="P5506">
        <v>20190328</v>
      </c>
      <c r="Q5506" t="s">
        <v>3177</v>
      </c>
      <c r="R5506" t="s">
        <v>4427</v>
      </c>
      <c r="S5506" t="s">
        <v>1615</v>
      </c>
      <c r="T5506" t="s">
        <v>1841</v>
      </c>
    </row>
    <row r="5507" spans="1:20" x14ac:dyDescent="0.25">
      <c r="A5507">
        <v>9</v>
      </c>
      <c r="B5507">
        <v>199</v>
      </c>
      <c r="C5507" t="str">
        <f t="shared" si="1202"/>
        <v>41</v>
      </c>
      <c r="D5507">
        <v>6411</v>
      </c>
      <c r="E5507" t="str">
        <f t="shared" si="1203"/>
        <v>10</v>
      </c>
      <c r="F5507" t="str">
        <f>"726"</f>
        <v>726</v>
      </c>
      <c r="G5507">
        <v>9</v>
      </c>
      <c r="H5507" t="str">
        <f t="shared" si="1204"/>
        <v>99</v>
      </c>
      <c r="I5507" t="str">
        <f t="shared" si="1205"/>
        <v>0</v>
      </c>
      <c r="J5507" t="str">
        <f>"91"</f>
        <v>91</v>
      </c>
      <c r="K5507">
        <v>20190329</v>
      </c>
      <c r="L5507" t="str">
        <f t="shared" si="1206"/>
        <v>076283</v>
      </c>
      <c r="M5507" t="str">
        <f t="shared" si="1207"/>
        <v>58200</v>
      </c>
      <c r="N5507" t="s">
        <v>1765</v>
      </c>
      <c r="O5507">
        <v>8.9</v>
      </c>
      <c r="P5507">
        <v>20190328</v>
      </c>
      <c r="Q5507" t="s">
        <v>3313</v>
      </c>
      <c r="R5507" t="s">
        <v>3314</v>
      </c>
      <c r="S5507" t="s">
        <v>1615</v>
      </c>
      <c r="T5507" t="s">
        <v>2608</v>
      </c>
    </row>
    <row r="5508" spans="1:20" x14ac:dyDescent="0.25">
      <c r="A5508">
        <v>9</v>
      </c>
      <c r="B5508">
        <v>199</v>
      </c>
      <c r="C5508" t="str">
        <f t="shared" si="1202"/>
        <v>41</v>
      </c>
      <c r="D5508">
        <v>6498</v>
      </c>
      <c r="E5508" t="str">
        <f t="shared" si="1203"/>
        <v>10</v>
      </c>
      <c r="F5508" t="str">
        <f>"701"</f>
        <v>701</v>
      </c>
      <c r="G5508">
        <v>9</v>
      </c>
      <c r="H5508" t="str">
        <f t="shared" si="1204"/>
        <v>99</v>
      </c>
      <c r="I5508" t="str">
        <f t="shared" si="1205"/>
        <v>0</v>
      </c>
      <c r="J5508" t="str">
        <f>"92"</f>
        <v>92</v>
      </c>
      <c r="K5508">
        <v>20190329</v>
      </c>
      <c r="L5508" t="str">
        <f t="shared" si="1206"/>
        <v>076283</v>
      </c>
      <c r="M5508" t="str">
        <f t="shared" si="1207"/>
        <v>58200</v>
      </c>
      <c r="N5508" t="s">
        <v>1765</v>
      </c>
      <c r="O5508">
        <v>14</v>
      </c>
      <c r="P5508">
        <v>20190328</v>
      </c>
      <c r="Q5508" t="s">
        <v>2202</v>
      </c>
      <c r="R5508" t="s">
        <v>641</v>
      </c>
      <c r="S5508" t="s">
        <v>1615</v>
      </c>
      <c r="T5508" t="s">
        <v>1841</v>
      </c>
    </row>
    <row r="5509" spans="1:20" x14ac:dyDescent="0.25">
      <c r="A5509">
        <v>9</v>
      </c>
      <c r="B5509">
        <v>199</v>
      </c>
      <c r="C5509" t="str">
        <f t="shared" si="1202"/>
        <v>41</v>
      </c>
      <c r="D5509">
        <v>6498</v>
      </c>
      <c r="E5509" t="str">
        <f t="shared" si="1203"/>
        <v>10</v>
      </c>
      <c r="F5509" t="str">
        <f>"702"</f>
        <v>702</v>
      </c>
      <c r="G5509">
        <v>9</v>
      </c>
      <c r="H5509" t="str">
        <f t="shared" si="1204"/>
        <v>99</v>
      </c>
      <c r="I5509" t="str">
        <f t="shared" si="1205"/>
        <v>0</v>
      </c>
      <c r="J5509" t="str">
        <f>"93"</f>
        <v>93</v>
      </c>
      <c r="K5509">
        <v>20190329</v>
      </c>
      <c r="L5509" t="str">
        <f t="shared" si="1206"/>
        <v>076283</v>
      </c>
      <c r="M5509" t="str">
        <f t="shared" si="1207"/>
        <v>58200</v>
      </c>
      <c r="N5509" t="s">
        <v>1765</v>
      </c>
      <c r="O5509">
        <v>7.77</v>
      </c>
      <c r="P5509">
        <v>20190328</v>
      </c>
      <c r="Q5509" t="s">
        <v>2458</v>
      </c>
      <c r="R5509" t="s">
        <v>4428</v>
      </c>
      <c r="S5509" t="s">
        <v>1615</v>
      </c>
      <c r="T5509" t="s">
        <v>1611</v>
      </c>
    </row>
    <row r="5510" spans="1:20" x14ac:dyDescent="0.25">
      <c r="A5510">
        <v>9</v>
      </c>
      <c r="B5510">
        <v>199</v>
      </c>
      <c r="C5510" t="str">
        <f t="shared" si="1202"/>
        <v>41</v>
      </c>
      <c r="D5510">
        <v>6498</v>
      </c>
      <c r="E5510" t="str">
        <f t="shared" si="1203"/>
        <v>10</v>
      </c>
      <c r="F5510" t="str">
        <f>"702"</f>
        <v>702</v>
      </c>
      <c r="G5510">
        <v>9</v>
      </c>
      <c r="H5510" t="str">
        <f t="shared" si="1204"/>
        <v>99</v>
      </c>
      <c r="I5510" t="str">
        <f t="shared" si="1205"/>
        <v>0</v>
      </c>
      <c r="J5510" t="str">
        <f>"93"</f>
        <v>93</v>
      </c>
      <c r="K5510">
        <v>20190329</v>
      </c>
      <c r="L5510" t="str">
        <f t="shared" si="1206"/>
        <v>076283</v>
      </c>
      <c r="M5510" t="str">
        <f t="shared" si="1207"/>
        <v>58200</v>
      </c>
      <c r="N5510" t="s">
        <v>1765</v>
      </c>
      <c r="O5510">
        <v>4.2300000000000004</v>
      </c>
      <c r="P5510">
        <v>20190328</v>
      </c>
      <c r="Q5510" t="s">
        <v>2458</v>
      </c>
      <c r="R5510" t="s">
        <v>4429</v>
      </c>
      <c r="S5510" t="s">
        <v>1615</v>
      </c>
      <c r="T5510" t="s">
        <v>1611</v>
      </c>
    </row>
    <row r="5511" spans="1:20" x14ac:dyDescent="0.25">
      <c r="A5511">
        <v>9</v>
      </c>
      <c r="B5511">
        <v>199</v>
      </c>
      <c r="C5511" t="str">
        <f t="shared" si="1202"/>
        <v>41</v>
      </c>
      <c r="D5511">
        <v>6498</v>
      </c>
      <c r="E5511" t="str">
        <f t="shared" si="1203"/>
        <v>10</v>
      </c>
      <c r="F5511" t="str">
        <f>"730"</f>
        <v>730</v>
      </c>
      <c r="G5511">
        <v>9</v>
      </c>
      <c r="H5511" t="str">
        <f t="shared" si="1204"/>
        <v>99</v>
      </c>
      <c r="I5511" t="str">
        <f t="shared" si="1205"/>
        <v>0</v>
      </c>
      <c r="J5511" t="str">
        <f>"95"</f>
        <v>95</v>
      </c>
      <c r="K5511">
        <v>20190329</v>
      </c>
      <c r="L5511" t="str">
        <f t="shared" si="1206"/>
        <v>076283</v>
      </c>
      <c r="M5511" t="str">
        <f t="shared" si="1207"/>
        <v>58200</v>
      </c>
      <c r="N5511" t="s">
        <v>1765</v>
      </c>
      <c r="O5511">
        <v>12</v>
      </c>
      <c r="P5511">
        <v>20190328</v>
      </c>
      <c r="Q5511" t="s">
        <v>2842</v>
      </c>
      <c r="R5511" t="s">
        <v>4430</v>
      </c>
      <c r="S5511" t="s">
        <v>1615</v>
      </c>
      <c r="T5511" t="s">
        <v>1794</v>
      </c>
    </row>
    <row r="5512" spans="1:20" x14ac:dyDescent="0.25">
      <c r="A5512">
        <v>9</v>
      </c>
      <c r="B5512">
        <v>199</v>
      </c>
      <c r="C5512" t="str">
        <f>"11"</f>
        <v>11</v>
      </c>
      <c r="D5512">
        <v>6399</v>
      </c>
      <c r="E5512" t="str">
        <f>"7K"</f>
        <v>7K</v>
      </c>
      <c r="F5512" t="str">
        <f>"001"</f>
        <v>001</v>
      </c>
      <c r="G5512">
        <v>9</v>
      </c>
      <c r="H5512" t="str">
        <f>"11"</f>
        <v>11</v>
      </c>
      <c r="I5512" t="str">
        <f t="shared" si="1205"/>
        <v>0</v>
      </c>
      <c r="J5512" t="str">
        <f>"01"</f>
        <v>01</v>
      </c>
      <c r="K5512">
        <v>20190329</v>
      </c>
      <c r="L5512" t="str">
        <f>"076284"</f>
        <v>076284</v>
      </c>
      <c r="M5512" t="str">
        <f>"58204"</f>
        <v>58204</v>
      </c>
      <c r="N5512" t="s">
        <v>1767</v>
      </c>
      <c r="O5512">
        <v>55</v>
      </c>
      <c r="P5512">
        <v>20190328</v>
      </c>
      <c r="Q5512" t="s">
        <v>1671</v>
      </c>
      <c r="R5512" t="s">
        <v>4431</v>
      </c>
      <c r="S5512" t="s">
        <v>1615</v>
      </c>
      <c r="T5512" t="s">
        <v>301</v>
      </c>
    </row>
    <row r="5513" spans="1:20" x14ac:dyDescent="0.25">
      <c r="A5513">
        <v>9</v>
      </c>
      <c r="B5513">
        <v>199</v>
      </c>
      <c r="C5513" t="str">
        <f>"11"</f>
        <v>11</v>
      </c>
      <c r="D5513">
        <v>6399</v>
      </c>
      <c r="E5513" t="str">
        <f>"7K"</f>
        <v>7K</v>
      </c>
      <c r="F5513" t="str">
        <f>"001"</f>
        <v>001</v>
      </c>
      <c r="G5513">
        <v>9</v>
      </c>
      <c r="H5513" t="str">
        <f>"11"</f>
        <v>11</v>
      </c>
      <c r="I5513" t="str">
        <f t="shared" si="1205"/>
        <v>0</v>
      </c>
      <c r="J5513" t="str">
        <f>"01"</f>
        <v>01</v>
      </c>
      <c r="K5513">
        <v>20190329</v>
      </c>
      <c r="L5513" t="str">
        <f>"076284"</f>
        <v>076284</v>
      </c>
      <c r="M5513" t="str">
        <f>"58204"</f>
        <v>58204</v>
      </c>
      <c r="N5513" t="s">
        <v>1767</v>
      </c>
      <c r="O5513">
        <v>84.55</v>
      </c>
      <c r="P5513">
        <v>20190328</v>
      </c>
      <c r="Q5513" t="s">
        <v>1671</v>
      </c>
      <c r="R5513" t="s">
        <v>4432</v>
      </c>
      <c r="S5513" t="s">
        <v>1615</v>
      </c>
      <c r="T5513" t="s">
        <v>301</v>
      </c>
    </row>
    <row r="5514" spans="1:20" x14ac:dyDescent="0.25">
      <c r="A5514">
        <v>9</v>
      </c>
      <c r="B5514">
        <v>199</v>
      </c>
      <c r="C5514" t="str">
        <f>"11"</f>
        <v>11</v>
      </c>
      <c r="D5514">
        <v>6399</v>
      </c>
      <c r="E5514" t="str">
        <f>"7K"</f>
        <v>7K</v>
      </c>
      <c r="F5514" t="str">
        <f>"001"</f>
        <v>001</v>
      </c>
      <c r="G5514">
        <v>9</v>
      </c>
      <c r="H5514" t="str">
        <f>"11"</f>
        <v>11</v>
      </c>
      <c r="I5514" t="str">
        <f t="shared" si="1205"/>
        <v>0</v>
      </c>
      <c r="J5514" t="str">
        <f>"01"</f>
        <v>01</v>
      </c>
      <c r="K5514">
        <v>20190329</v>
      </c>
      <c r="L5514" t="str">
        <f>"076284"</f>
        <v>076284</v>
      </c>
      <c r="M5514" t="str">
        <f>"58204"</f>
        <v>58204</v>
      </c>
      <c r="N5514" t="s">
        <v>1767</v>
      </c>
      <c r="O5514">
        <v>44.66</v>
      </c>
      <c r="P5514">
        <v>20190328</v>
      </c>
      <c r="Q5514" t="s">
        <v>1671</v>
      </c>
      <c r="R5514" t="s">
        <v>4431</v>
      </c>
      <c r="S5514" t="s">
        <v>1615</v>
      </c>
      <c r="T5514" t="s">
        <v>301</v>
      </c>
    </row>
    <row r="5515" spans="1:20" x14ac:dyDescent="0.25">
      <c r="A5515">
        <v>9</v>
      </c>
      <c r="B5515">
        <v>199</v>
      </c>
      <c r="C5515" t="str">
        <f>"23"</f>
        <v>23</v>
      </c>
      <c r="D5515">
        <v>6498</v>
      </c>
      <c r="E5515" t="str">
        <f>"10"</f>
        <v>10</v>
      </c>
      <c r="F5515" t="str">
        <f>"001"</f>
        <v>001</v>
      </c>
      <c r="G5515">
        <v>9</v>
      </c>
      <c r="H5515" t="str">
        <f t="shared" ref="H5515:H5522" si="1208">"99"</f>
        <v>99</v>
      </c>
      <c r="I5515" t="str">
        <f t="shared" si="1205"/>
        <v>0</v>
      </c>
      <c r="J5515" t="str">
        <f>"01"</f>
        <v>01</v>
      </c>
      <c r="K5515">
        <v>20190329</v>
      </c>
      <c r="L5515" t="str">
        <f>"076284"</f>
        <v>076284</v>
      </c>
      <c r="M5515" t="str">
        <f>"58204"</f>
        <v>58204</v>
      </c>
      <c r="N5515" t="s">
        <v>1767</v>
      </c>
      <c r="O5515">
        <v>32.29</v>
      </c>
      <c r="P5515">
        <v>20190328</v>
      </c>
      <c r="Q5515" t="s">
        <v>2108</v>
      </c>
      <c r="R5515" t="s">
        <v>2081</v>
      </c>
      <c r="S5515" t="s">
        <v>1615</v>
      </c>
      <c r="T5515" t="s">
        <v>301</v>
      </c>
    </row>
    <row r="5516" spans="1:20" x14ac:dyDescent="0.25">
      <c r="A5516">
        <v>9</v>
      </c>
      <c r="B5516">
        <v>199</v>
      </c>
      <c r="C5516" t="str">
        <f>"41"</f>
        <v>41</v>
      </c>
      <c r="D5516">
        <v>6264</v>
      </c>
      <c r="E5516" t="str">
        <f>"10"</f>
        <v>10</v>
      </c>
      <c r="F5516" t="str">
        <f>"934"</f>
        <v>934</v>
      </c>
      <c r="G5516">
        <v>9</v>
      </c>
      <c r="H5516" t="str">
        <f t="shared" si="1208"/>
        <v>99</v>
      </c>
      <c r="I5516" t="str">
        <f t="shared" si="1205"/>
        <v>0</v>
      </c>
      <c r="J5516" t="str">
        <f>"91"</f>
        <v>91</v>
      </c>
      <c r="K5516">
        <v>20190329</v>
      </c>
      <c r="L5516" t="str">
        <f>"076286"</f>
        <v>076286</v>
      </c>
      <c r="M5516" t="str">
        <f>"58936"</f>
        <v>58936</v>
      </c>
      <c r="N5516" t="s">
        <v>1775</v>
      </c>
      <c r="O5516">
        <v>180</v>
      </c>
      <c r="P5516">
        <v>20190328</v>
      </c>
      <c r="Q5516" t="s">
        <v>1776</v>
      </c>
      <c r="R5516" t="s">
        <v>4433</v>
      </c>
      <c r="S5516" t="s">
        <v>1615</v>
      </c>
      <c r="T5516" t="s">
        <v>1778</v>
      </c>
    </row>
    <row r="5517" spans="1:20" x14ac:dyDescent="0.25">
      <c r="A5517">
        <v>9</v>
      </c>
      <c r="B5517">
        <v>199</v>
      </c>
      <c r="C5517" t="str">
        <f>"36"</f>
        <v>36</v>
      </c>
      <c r="D5517">
        <v>6411</v>
      </c>
      <c r="E5517" t="str">
        <f>"09"</f>
        <v>09</v>
      </c>
      <c r="F5517" t="str">
        <f>"001"</f>
        <v>001</v>
      </c>
      <c r="G5517">
        <v>9</v>
      </c>
      <c r="H5517" t="str">
        <f t="shared" si="1208"/>
        <v>99</v>
      </c>
      <c r="I5517" t="str">
        <f t="shared" si="1205"/>
        <v>0</v>
      </c>
      <c r="J5517" t="str">
        <f>"01"</f>
        <v>01</v>
      </c>
      <c r="K5517">
        <v>20190329</v>
      </c>
      <c r="L5517" t="str">
        <f>"076287"</f>
        <v>076287</v>
      </c>
      <c r="M5517" t="str">
        <f>"59097"</f>
        <v>59097</v>
      </c>
      <c r="N5517" t="s">
        <v>2294</v>
      </c>
      <c r="O5517">
        <v>300</v>
      </c>
      <c r="P5517">
        <v>20190328</v>
      </c>
      <c r="Q5517" t="s">
        <v>2513</v>
      </c>
      <c r="R5517" t="s">
        <v>4337</v>
      </c>
      <c r="S5517" t="s">
        <v>1615</v>
      </c>
      <c r="T5517" t="s">
        <v>301</v>
      </c>
    </row>
    <row r="5518" spans="1:20" x14ac:dyDescent="0.25">
      <c r="A5518">
        <v>9</v>
      </c>
      <c r="B5518">
        <v>199</v>
      </c>
      <c r="C5518" t="str">
        <f>"36"</f>
        <v>36</v>
      </c>
      <c r="D5518">
        <v>6412</v>
      </c>
      <c r="E5518" t="str">
        <f>"09"</f>
        <v>09</v>
      </c>
      <c r="F5518" t="str">
        <f>"001"</f>
        <v>001</v>
      </c>
      <c r="G5518">
        <v>9</v>
      </c>
      <c r="H5518" t="str">
        <f t="shared" si="1208"/>
        <v>99</v>
      </c>
      <c r="I5518" t="str">
        <f>"1"</f>
        <v>1</v>
      </c>
      <c r="J5518" t="str">
        <f>"01"</f>
        <v>01</v>
      </c>
      <c r="K5518">
        <v>20190329</v>
      </c>
      <c r="L5518" t="str">
        <f>"076287"</f>
        <v>076287</v>
      </c>
      <c r="M5518" t="str">
        <f>"59097"</f>
        <v>59097</v>
      </c>
      <c r="N5518" t="s">
        <v>2294</v>
      </c>
      <c r="O5518">
        <v>945</v>
      </c>
      <c r="P5518">
        <v>20190328</v>
      </c>
      <c r="Q5518" t="s">
        <v>2514</v>
      </c>
      <c r="R5518" t="s">
        <v>4337</v>
      </c>
      <c r="S5518" t="s">
        <v>1615</v>
      </c>
      <c r="T5518" t="s">
        <v>301</v>
      </c>
    </row>
    <row r="5519" spans="1:20" x14ac:dyDescent="0.25">
      <c r="A5519">
        <v>9</v>
      </c>
      <c r="B5519">
        <v>199</v>
      </c>
      <c r="C5519" t="str">
        <f>"36"</f>
        <v>36</v>
      </c>
      <c r="D5519">
        <v>6412</v>
      </c>
      <c r="E5519" t="str">
        <f>"7E"</f>
        <v>7E</v>
      </c>
      <c r="F5519" t="str">
        <f>"001"</f>
        <v>001</v>
      </c>
      <c r="G5519">
        <v>9</v>
      </c>
      <c r="H5519" t="str">
        <f t="shared" si="1208"/>
        <v>99</v>
      </c>
      <c r="I5519" t="str">
        <f>"0"</f>
        <v>0</v>
      </c>
      <c r="J5519" t="str">
        <f>"31"</f>
        <v>31</v>
      </c>
      <c r="K5519">
        <v>20190329</v>
      </c>
      <c r="L5519" t="str">
        <f>"076289"</f>
        <v>076289</v>
      </c>
      <c r="M5519" t="str">
        <f>"63053"</f>
        <v>63053</v>
      </c>
      <c r="N5519" t="s">
        <v>2309</v>
      </c>
      <c r="O5519">
        <v>352.47</v>
      </c>
      <c r="P5519">
        <v>20190328</v>
      </c>
      <c r="Q5519" t="s">
        <v>1655</v>
      </c>
      <c r="R5519" t="s">
        <v>2912</v>
      </c>
      <c r="S5519" t="s">
        <v>1615</v>
      </c>
      <c r="T5519" t="s">
        <v>301</v>
      </c>
    </row>
    <row r="5520" spans="1:20" x14ac:dyDescent="0.25">
      <c r="A5520">
        <v>9</v>
      </c>
      <c r="B5520">
        <v>199</v>
      </c>
      <c r="C5520" t="str">
        <f>"36"</f>
        <v>36</v>
      </c>
      <c r="D5520">
        <v>6412</v>
      </c>
      <c r="E5520" t="str">
        <f>"7E"</f>
        <v>7E</v>
      </c>
      <c r="F5520" t="str">
        <f>"001"</f>
        <v>001</v>
      </c>
      <c r="G5520">
        <v>9</v>
      </c>
      <c r="H5520" t="str">
        <f t="shared" si="1208"/>
        <v>99</v>
      </c>
      <c r="I5520" t="str">
        <f>"1"</f>
        <v>1</v>
      </c>
      <c r="J5520" t="str">
        <f>"31"</f>
        <v>31</v>
      </c>
      <c r="K5520">
        <v>20190329</v>
      </c>
      <c r="L5520" t="str">
        <f>"076289"</f>
        <v>076289</v>
      </c>
      <c r="M5520" t="str">
        <f>"63053"</f>
        <v>63053</v>
      </c>
      <c r="N5520" t="s">
        <v>2309</v>
      </c>
      <c r="O5520">
        <v>20</v>
      </c>
      <c r="P5520">
        <v>20190328</v>
      </c>
      <c r="Q5520" t="s">
        <v>2312</v>
      </c>
      <c r="R5520" t="s">
        <v>1656</v>
      </c>
      <c r="S5520" t="s">
        <v>1615</v>
      </c>
      <c r="T5520" t="s">
        <v>301</v>
      </c>
    </row>
    <row r="5521" spans="1:20" x14ac:dyDescent="0.25">
      <c r="A5521">
        <v>9</v>
      </c>
      <c r="B5521">
        <v>199</v>
      </c>
      <c r="C5521" t="str">
        <f>"36"</f>
        <v>36</v>
      </c>
      <c r="D5521">
        <v>6412</v>
      </c>
      <c r="E5521" t="str">
        <f>"7E"</f>
        <v>7E</v>
      </c>
      <c r="F5521" t="str">
        <f>"001"</f>
        <v>001</v>
      </c>
      <c r="G5521">
        <v>9</v>
      </c>
      <c r="H5521" t="str">
        <f t="shared" si="1208"/>
        <v>99</v>
      </c>
      <c r="I5521" t="str">
        <f>"1"</f>
        <v>1</v>
      </c>
      <c r="J5521" t="str">
        <f>"31"</f>
        <v>31</v>
      </c>
      <c r="K5521">
        <v>20190329</v>
      </c>
      <c r="L5521" t="str">
        <f>"076289"</f>
        <v>076289</v>
      </c>
      <c r="M5521" t="str">
        <f>"63053"</f>
        <v>63053</v>
      </c>
      <c r="N5521" t="s">
        <v>2309</v>
      </c>
      <c r="O5521">
        <v>25</v>
      </c>
      <c r="P5521">
        <v>20190328</v>
      </c>
      <c r="Q5521" t="s">
        <v>2312</v>
      </c>
      <c r="R5521" t="s">
        <v>3327</v>
      </c>
      <c r="S5521" t="s">
        <v>1615</v>
      </c>
      <c r="T5521" t="s">
        <v>301</v>
      </c>
    </row>
    <row r="5522" spans="1:20" x14ac:dyDescent="0.25">
      <c r="A5522">
        <v>9</v>
      </c>
      <c r="B5522">
        <v>199</v>
      </c>
      <c r="C5522" t="str">
        <f>"34"</f>
        <v>34</v>
      </c>
      <c r="D5522">
        <v>6411</v>
      </c>
      <c r="E5522" t="str">
        <f>"11"</f>
        <v>11</v>
      </c>
      <c r="F5522" t="str">
        <f>"937"</f>
        <v>937</v>
      </c>
      <c r="G5522">
        <v>9</v>
      </c>
      <c r="H5522" t="str">
        <f t="shared" si="1208"/>
        <v>99</v>
      </c>
      <c r="I5522" t="str">
        <f>"1"</f>
        <v>1</v>
      </c>
      <c r="J5522" t="str">
        <f>"82"</f>
        <v>82</v>
      </c>
      <c r="K5522">
        <v>20190329</v>
      </c>
      <c r="L5522" t="str">
        <f>"076293"</f>
        <v>076293</v>
      </c>
      <c r="M5522" t="str">
        <f>"71149"</f>
        <v>71149</v>
      </c>
      <c r="N5522" t="s">
        <v>2530</v>
      </c>
      <c r="O5522">
        <v>37.909999999999997</v>
      </c>
      <c r="P5522">
        <v>20190328</v>
      </c>
      <c r="Q5522" t="s">
        <v>2531</v>
      </c>
      <c r="R5522" t="s">
        <v>4434</v>
      </c>
      <c r="S5522" t="s">
        <v>1615</v>
      </c>
      <c r="T5522" t="s">
        <v>1810</v>
      </c>
    </row>
    <row r="5523" spans="1:20" x14ac:dyDescent="0.25">
      <c r="A5523">
        <v>9</v>
      </c>
      <c r="B5523">
        <v>199</v>
      </c>
      <c r="C5523" t="str">
        <f>"11"</f>
        <v>11</v>
      </c>
      <c r="D5523">
        <v>6299</v>
      </c>
      <c r="E5523" t="str">
        <f>"7B"</f>
        <v>7B</v>
      </c>
      <c r="F5523" t="str">
        <f>"001"</f>
        <v>001</v>
      </c>
      <c r="G5523">
        <v>9</v>
      </c>
      <c r="H5523" t="str">
        <f>"11"</f>
        <v>11</v>
      </c>
      <c r="I5523" t="str">
        <f>"0"</f>
        <v>0</v>
      </c>
      <c r="J5523" t="str">
        <f>"32"</f>
        <v>32</v>
      </c>
      <c r="K5523">
        <v>20190329</v>
      </c>
      <c r="L5523" t="str">
        <f>"076295"</f>
        <v>076295</v>
      </c>
      <c r="M5523" t="str">
        <f>"00244"</f>
        <v>00244</v>
      </c>
      <c r="N5523" t="s">
        <v>4435</v>
      </c>
      <c r="O5523">
        <v>114.45</v>
      </c>
      <c r="P5523">
        <v>20190328</v>
      </c>
      <c r="Q5523" t="s">
        <v>4436</v>
      </c>
      <c r="R5523" t="s">
        <v>4437</v>
      </c>
      <c r="S5523" t="s">
        <v>1615</v>
      </c>
      <c r="T5523" t="s">
        <v>301</v>
      </c>
    </row>
    <row r="5524" spans="1:20" x14ac:dyDescent="0.25">
      <c r="A5524">
        <v>9</v>
      </c>
      <c r="B5524">
        <v>199</v>
      </c>
      <c r="C5524" t="str">
        <f>"36"</f>
        <v>36</v>
      </c>
      <c r="D5524">
        <v>6412</v>
      </c>
      <c r="E5524" t="str">
        <f>"7A"</f>
        <v>7A</v>
      </c>
      <c r="F5524" t="str">
        <f>"001"</f>
        <v>001</v>
      </c>
      <c r="G5524">
        <v>9</v>
      </c>
      <c r="H5524" t="str">
        <f t="shared" ref="H5524:H5529" si="1209">"99"</f>
        <v>99</v>
      </c>
      <c r="I5524" t="str">
        <f>"5"</f>
        <v>5</v>
      </c>
      <c r="J5524" t="str">
        <f>"74"</f>
        <v>74</v>
      </c>
      <c r="K5524">
        <v>20190329</v>
      </c>
      <c r="L5524" t="str">
        <f>"076297"</f>
        <v>076297</v>
      </c>
      <c r="M5524" t="str">
        <f>"74351"</f>
        <v>74351</v>
      </c>
      <c r="N5524" t="s">
        <v>3668</v>
      </c>
      <c r="O5524">
        <v>60</v>
      </c>
      <c r="P5524">
        <v>20190328</v>
      </c>
      <c r="Q5524" t="s">
        <v>4438</v>
      </c>
      <c r="R5524" t="s">
        <v>4439</v>
      </c>
      <c r="S5524" t="s">
        <v>1615</v>
      </c>
      <c r="T5524" t="s">
        <v>301</v>
      </c>
    </row>
    <row r="5525" spans="1:20" x14ac:dyDescent="0.25">
      <c r="A5525">
        <v>9</v>
      </c>
      <c r="B5525">
        <v>199</v>
      </c>
      <c r="C5525" t="str">
        <f>"41"</f>
        <v>41</v>
      </c>
      <c r="D5525">
        <v>6498</v>
      </c>
      <c r="E5525" t="str">
        <f>"10"</f>
        <v>10</v>
      </c>
      <c r="F5525" t="str">
        <f>"701"</f>
        <v>701</v>
      </c>
      <c r="G5525">
        <v>9</v>
      </c>
      <c r="H5525" t="str">
        <f t="shared" si="1209"/>
        <v>99</v>
      </c>
      <c r="I5525" t="str">
        <f t="shared" ref="I5525:I5556" si="1210">"0"</f>
        <v>0</v>
      </c>
      <c r="J5525" t="str">
        <f>"92"</f>
        <v>92</v>
      </c>
      <c r="K5525">
        <v>20190329</v>
      </c>
      <c r="L5525" t="str">
        <f>"076298"</f>
        <v>076298</v>
      </c>
      <c r="M5525" t="str">
        <f>"00539"</f>
        <v>00539</v>
      </c>
      <c r="N5525" t="s">
        <v>2332</v>
      </c>
      <c r="O5525">
        <v>45</v>
      </c>
      <c r="P5525">
        <v>20190328</v>
      </c>
      <c r="Q5525" t="s">
        <v>2202</v>
      </c>
      <c r="R5525" t="s">
        <v>4440</v>
      </c>
      <c r="S5525" t="s">
        <v>1615</v>
      </c>
      <c r="T5525" t="s">
        <v>1841</v>
      </c>
    </row>
    <row r="5526" spans="1:20" x14ac:dyDescent="0.25">
      <c r="A5526">
        <v>9</v>
      </c>
      <c r="B5526">
        <v>199</v>
      </c>
      <c r="C5526" t="str">
        <f>"41"</f>
        <v>41</v>
      </c>
      <c r="D5526">
        <v>6495</v>
      </c>
      <c r="E5526" t="str">
        <f>"11"</f>
        <v>11</v>
      </c>
      <c r="F5526" t="str">
        <f>"701"</f>
        <v>701</v>
      </c>
      <c r="G5526">
        <v>9</v>
      </c>
      <c r="H5526" t="str">
        <f t="shared" si="1209"/>
        <v>99</v>
      </c>
      <c r="I5526" t="str">
        <f t="shared" si="1210"/>
        <v>0</v>
      </c>
      <c r="J5526" t="str">
        <f>"92"</f>
        <v>92</v>
      </c>
      <c r="K5526">
        <v>20190329</v>
      </c>
      <c r="L5526" t="str">
        <f>"076299"</f>
        <v>076299</v>
      </c>
      <c r="M5526" t="str">
        <f>"76548"</f>
        <v>76548</v>
      </c>
      <c r="N5526" t="s">
        <v>1817</v>
      </c>
      <c r="O5526">
        <v>180</v>
      </c>
      <c r="P5526">
        <v>20190328</v>
      </c>
      <c r="Q5526" t="s">
        <v>1839</v>
      </c>
      <c r="R5526" t="s">
        <v>4441</v>
      </c>
      <c r="S5526" t="s">
        <v>1615</v>
      </c>
      <c r="T5526" t="s">
        <v>1841</v>
      </c>
    </row>
    <row r="5527" spans="1:20" x14ac:dyDescent="0.25">
      <c r="A5527">
        <v>9</v>
      </c>
      <c r="B5527">
        <v>199</v>
      </c>
      <c r="C5527" t="str">
        <f>"41"</f>
        <v>41</v>
      </c>
      <c r="D5527">
        <v>6417</v>
      </c>
      <c r="E5527" t="str">
        <f>"10"</f>
        <v>10</v>
      </c>
      <c r="F5527" t="str">
        <f>"702"</f>
        <v>702</v>
      </c>
      <c r="G5527">
        <v>9</v>
      </c>
      <c r="H5527" t="str">
        <f t="shared" si="1209"/>
        <v>99</v>
      </c>
      <c r="I5527" t="str">
        <f t="shared" si="1210"/>
        <v>0</v>
      </c>
      <c r="J5527" t="str">
        <f>"93"</f>
        <v>93</v>
      </c>
      <c r="K5527">
        <v>20190329</v>
      </c>
      <c r="L5527" t="str">
        <f>"076300"</f>
        <v>076300</v>
      </c>
      <c r="M5527" t="str">
        <f>"76508"</f>
        <v>76508</v>
      </c>
      <c r="N5527" t="s">
        <v>312</v>
      </c>
      <c r="O5527">
        <v>120</v>
      </c>
      <c r="P5527">
        <v>20190328</v>
      </c>
      <c r="Q5527" t="s">
        <v>2682</v>
      </c>
      <c r="R5527" t="s">
        <v>4442</v>
      </c>
      <c r="S5527" t="s">
        <v>1615</v>
      </c>
      <c r="T5527" t="s">
        <v>1611</v>
      </c>
    </row>
    <row r="5528" spans="1:20" x14ac:dyDescent="0.25">
      <c r="A5528">
        <v>9</v>
      </c>
      <c r="B5528">
        <v>199</v>
      </c>
      <c r="C5528" t="str">
        <f>"36"</f>
        <v>36</v>
      </c>
      <c r="D5528">
        <v>6412</v>
      </c>
      <c r="E5528" t="str">
        <f>"7E"</f>
        <v>7E</v>
      </c>
      <c r="F5528" t="str">
        <f>"001"</f>
        <v>001</v>
      </c>
      <c r="G5528">
        <v>9</v>
      </c>
      <c r="H5528" t="str">
        <f t="shared" si="1209"/>
        <v>99</v>
      </c>
      <c r="I5528" t="str">
        <f t="shared" si="1210"/>
        <v>0</v>
      </c>
      <c r="J5528" t="str">
        <f>"31"</f>
        <v>31</v>
      </c>
      <c r="K5528">
        <v>20190329</v>
      </c>
      <c r="L5528" t="str">
        <f>"076303"</f>
        <v>076303</v>
      </c>
      <c r="M5528" t="str">
        <f>"82126"</f>
        <v>82126</v>
      </c>
      <c r="N5528" t="s">
        <v>1850</v>
      </c>
      <c r="O5528">
        <v>740</v>
      </c>
      <c r="P5528">
        <v>20190328</v>
      </c>
      <c r="Q5528" t="s">
        <v>1655</v>
      </c>
      <c r="R5528" t="s">
        <v>4443</v>
      </c>
      <c r="S5528" t="s">
        <v>1615</v>
      </c>
      <c r="T5528" t="s">
        <v>301</v>
      </c>
    </row>
    <row r="5529" spans="1:20" x14ac:dyDescent="0.25">
      <c r="A5529">
        <v>9</v>
      </c>
      <c r="B5529">
        <v>199</v>
      </c>
      <c r="C5529" t="str">
        <f>"36"</f>
        <v>36</v>
      </c>
      <c r="D5529">
        <v>6412</v>
      </c>
      <c r="E5529" t="str">
        <f>"7E"</f>
        <v>7E</v>
      </c>
      <c r="F5529" t="str">
        <f>"001"</f>
        <v>001</v>
      </c>
      <c r="G5529">
        <v>9</v>
      </c>
      <c r="H5529" t="str">
        <f t="shared" si="1209"/>
        <v>99</v>
      </c>
      <c r="I5529" t="str">
        <f t="shared" si="1210"/>
        <v>0</v>
      </c>
      <c r="J5529" t="str">
        <f>"31"</f>
        <v>31</v>
      </c>
      <c r="K5529">
        <v>20190329</v>
      </c>
      <c r="L5529" t="str">
        <f>"076303"</f>
        <v>076303</v>
      </c>
      <c r="M5529" t="str">
        <f>"82126"</f>
        <v>82126</v>
      </c>
      <c r="N5529" t="s">
        <v>1850</v>
      </c>
      <c r="O5529">
        <v>370</v>
      </c>
      <c r="P5529">
        <v>20190328</v>
      </c>
      <c r="Q5529" t="s">
        <v>1655</v>
      </c>
      <c r="R5529" t="s">
        <v>4444</v>
      </c>
      <c r="S5529" t="s">
        <v>1615</v>
      </c>
      <c r="T5529" t="s">
        <v>301</v>
      </c>
    </row>
    <row r="5530" spans="1:20" x14ac:dyDescent="0.25">
      <c r="A5530">
        <v>9</v>
      </c>
      <c r="B5530">
        <v>199</v>
      </c>
      <c r="C5530" t="str">
        <f>"11"</f>
        <v>11</v>
      </c>
      <c r="D5530">
        <v>6399</v>
      </c>
      <c r="E5530" t="str">
        <f>"45"</f>
        <v>45</v>
      </c>
      <c r="F5530" t="str">
        <f>"104"</f>
        <v>104</v>
      </c>
      <c r="G5530">
        <v>9</v>
      </c>
      <c r="H5530" t="str">
        <f>"11"</f>
        <v>11</v>
      </c>
      <c r="I5530" t="str">
        <f t="shared" si="1210"/>
        <v>0</v>
      </c>
      <c r="J5530" t="str">
        <f>"05"</f>
        <v>05</v>
      </c>
      <c r="K5530">
        <v>20190329</v>
      </c>
      <c r="L5530" t="str">
        <f>"076305"</f>
        <v>076305</v>
      </c>
      <c r="M5530" t="str">
        <f>"81910"</f>
        <v>81910</v>
      </c>
      <c r="N5530" t="s">
        <v>2939</v>
      </c>
      <c r="O5530">
        <v>226</v>
      </c>
      <c r="P5530">
        <v>20190328</v>
      </c>
      <c r="Q5530" t="s">
        <v>2069</v>
      </c>
      <c r="R5530" t="s">
        <v>4445</v>
      </c>
      <c r="S5530" t="s">
        <v>1615</v>
      </c>
      <c r="T5530" t="s">
        <v>46</v>
      </c>
    </row>
    <row r="5531" spans="1:20" x14ac:dyDescent="0.25">
      <c r="A5531">
        <v>9</v>
      </c>
      <c r="B5531">
        <v>199</v>
      </c>
      <c r="C5531" t="str">
        <f>"11"</f>
        <v>11</v>
      </c>
      <c r="D5531">
        <v>6399</v>
      </c>
      <c r="E5531" t="str">
        <f>"VD"</f>
        <v>VD</v>
      </c>
      <c r="F5531" t="str">
        <f>"001"</f>
        <v>001</v>
      </c>
      <c r="G5531">
        <v>9</v>
      </c>
      <c r="H5531" t="str">
        <f>"22"</f>
        <v>22</v>
      </c>
      <c r="I5531" t="str">
        <f t="shared" si="1210"/>
        <v>0</v>
      </c>
      <c r="J5531" t="str">
        <f>"22"</f>
        <v>22</v>
      </c>
      <c r="K5531">
        <v>20190329</v>
      </c>
      <c r="L5531" t="str">
        <f>"076307"</f>
        <v>076307</v>
      </c>
      <c r="M5531" t="str">
        <f>"82494"</f>
        <v>82494</v>
      </c>
      <c r="N5531" t="s">
        <v>2687</v>
      </c>
      <c r="O5531">
        <v>449.99</v>
      </c>
      <c r="P5531">
        <v>20190328</v>
      </c>
      <c r="Q5531" t="s">
        <v>1862</v>
      </c>
      <c r="R5531" t="s">
        <v>4446</v>
      </c>
      <c r="S5531" t="s">
        <v>1615</v>
      </c>
      <c r="T5531" t="s">
        <v>301</v>
      </c>
    </row>
    <row r="5532" spans="1:20" x14ac:dyDescent="0.25">
      <c r="A5532">
        <v>9</v>
      </c>
      <c r="B5532">
        <v>199</v>
      </c>
      <c r="C5532" t="str">
        <f>"11"</f>
        <v>11</v>
      </c>
      <c r="D5532">
        <v>6299</v>
      </c>
      <c r="E5532" t="str">
        <f>"00"</f>
        <v>00</v>
      </c>
      <c r="F5532" t="str">
        <f>"104"</f>
        <v>104</v>
      </c>
      <c r="G5532">
        <v>9</v>
      </c>
      <c r="H5532" t="str">
        <f>"11"</f>
        <v>11</v>
      </c>
      <c r="I5532" t="str">
        <f t="shared" si="1210"/>
        <v>0</v>
      </c>
      <c r="J5532" t="str">
        <f>"05"</f>
        <v>05</v>
      </c>
      <c r="K5532">
        <v>20190329</v>
      </c>
      <c r="L5532" t="str">
        <f>"076309"</f>
        <v>076309</v>
      </c>
      <c r="M5532" t="str">
        <f>"83060"</f>
        <v>83060</v>
      </c>
      <c r="N5532" t="s">
        <v>2151</v>
      </c>
      <c r="O5532" s="1">
        <v>2310</v>
      </c>
      <c r="P5532">
        <v>20190328</v>
      </c>
      <c r="Q5532" t="s">
        <v>2152</v>
      </c>
      <c r="R5532" t="s">
        <v>4447</v>
      </c>
      <c r="S5532" t="s">
        <v>1615</v>
      </c>
      <c r="T5532" t="s">
        <v>46</v>
      </c>
    </row>
    <row r="5533" spans="1:20" x14ac:dyDescent="0.25">
      <c r="A5533">
        <v>9</v>
      </c>
      <c r="B5533">
        <v>199</v>
      </c>
      <c r="C5533" t="str">
        <f>"00"</f>
        <v>00</v>
      </c>
      <c r="D5533">
        <v>1312</v>
      </c>
      <c r="E5533" t="str">
        <f>"00"</f>
        <v>00</v>
      </c>
      <c r="F5533" t="str">
        <f>"000"</f>
        <v>000</v>
      </c>
      <c r="G5533">
        <v>9</v>
      </c>
      <c r="H5533" t="str">
        <f>"00"</f>
        <v>00</v>
      </c>
      <c r="I5533" t="str">
        <f t="shared" si="1210"/>
        <v>0</v>
      </c>
      <c r="J5533" t="str">
        <f>"00"</f>
        <v>00</v>
      </c>
      <c r="K5533">
        <v>20190329</v>
      </c>
      <c r="L5533" t="str">
        <f>"076313"</f>
        <v>076313</v>
      </c>
      <c r="M5533" t="str">
        <f>"84075"</f>
        <v>84075</v>
      </c>
      <c r="N5533" t="s">
        <v>4448</v>
      </c>
      <c r="O5533">
        <v>736.94</v>
      </c>
      <c r="P5533">
        <v>20190328</v>
      </c>
      <c r="Q5533" t="s">
        <v>1860</v>
      </c>
      <c r="R5533" t="s">
        <v>4449</v>
      </c>
      <c r="S5533" t="s">
        <v>1615</v>
      </c>
      <c r="T5533" t="s">
        <v>296</v>
      </c>
    </row>
    <row r="5534" spans="1:20" x14ac:dyDescent="0.25">
      <c r="A5534">
        <v>9</v>
      </c>
      <c r="B5534">
        <v>199</v>
      </c>
      <c r="C5534" t="str">
        <f>"00"</f>
        <v>00</v>
      </c>
      <c r="D5534">
        <v>1312</v>
      </c>
      <c r="E5534" t="str">
        <f>"00"</f>
        <v>00</v>
      </c>
      <c r="F5534" t="str">
        <f>"000"</f>
        <v>000</v>
      </c>
      <c r="G5534">
        <v>9</v>
      </c>
      <c r="H5534" t="str">
        <f>"00"</f>
        <v>00</v>
      </c>
      <c r="I5534" t="str">
        <f t="shared" si="1210"/>
        <v>0</v>
      </c>
      <c r="J5534" t="str">
        <f>"00"</f>
        <v>00</v>
      </c>
      <c r="K5534">
        <v>20190329</v>
      </c>
      <c r="L5534" t="str">
        <f>"076313"</f>
        <v>076313</v>
      </c>
      <c r="M5534" t="str">
        <f>"84075"</f>
        <v>84075</v>
      </c>
      <c r="N5534" t="s">
        <v>4448</v>
      </c>
      <c r="O5534">
        <v>183.2</v>
      </c>
      <c r="P5534">
        <v>20190328</v>
      </c>
      <c r="Q5534" t="s">
        <v>1860</v>
      </c>
      <c r="R5534" t="s">
        <v>4450</v>
      </c>
      <c r="S5534" t="s">
        <v>1615</v>
      </c>
      <c r="T5534" t="s">
        <v>296</v>
      </c>
    </row>
    <row r="5535" spans="1:20" x14ac:dyDescent="0.25">
      <c r="A5535">
        <v>9</v>
      </c>
      <c r="B5535">
        <v>199</v>
      </c>
      <c r="C5535" t="str">
        <f>"11"</f>
        <v>11</v>
      </c>
      <c r="D5535">
        <v>6399</v>
      </c>
      <c r="E5535" t="str">
        <f>"45"</f>
        <v>45</v>
      </c>
      <c r="F5535" t="str">
        <f>"104"</f>
        <v>104</v>
      </c>
      <c r="G5535">
        <v>9</v>
      </c>
      <c r="H5535" t="str">
        <f>"11"</f>
        <v>11</v>
      </c>
      <c r="I5535" t="str">
        <f t="shared" si="1210"/>
        <v>0</v>
      </c>
      <c r="J5535" t="str">
        <f>"05"</f>
        <v>05</v>
      </c>
      <c r="K5535">
        <v>20190405</v>
      </c>
      <c r="L5535" t="str">
        <f t="shared" ref="L5535:L5540" si="1211">"076315"</f>
        <v>076315</v>
      </c>
      <c r="M5535" t="str">
        <f t="shared" ref="M5535:M5540" si="1212">"03710"</f>
        <v>03710</v>
      </c>
      <c r="N5535" t="s">
        <v>1385</v>
      </c>
      <c r="O5535" s="1">
        <v>1649.5</v>
      </c>
      <c r="P5535">
        <v>20190404</v>
      </c>
      <c r="Q5535" t="s">
        <v>2069</v>
      </c>
      <c r="R5535" t="s">
        <v>1225</v>
      </c>
      <c r="S5535" t="s">
        <v>1615</v>
      </c>
      <c r="T5535" t="s">
        <v>46</v>
      </c>
    </row>
    <row r="5536" spans="1:20" x14ac:dyDescent="0.25">
      <c r="A5536">
        <v>9</v>
      </c>
      <c r="B5536">
        <v>199</v>
      </c>
      <c r="C5536" t="str">
        <f>"11"</f>
        <v>11</v>
      </c>
      <c r="D5536">
        <v>6399</v>
      </c>
      <c r="E5536" t="str">
        <f>"45"</f>
        <v>45</v>
      </c>
      <c r="F5536" t="str">
        <f>"104"</f>
        <v>104</v>
      </c>
      <c r="G5536">
        <v>9</v>
      </c>
      <c r="H5536" t="str">
        <f>"11"</f>
        <v>11</v>
      </c>
      <c r="I5536" t="str">
        <f t="shared" si="1210"/>
        <v>0</v>
      </c>
      <c r="J5536" t="str">
        <f>"05"</f>
        <v>05</v>
      </c>
      <c r="K5536">
        <v>20190405</v>
      </c>
      <c r="L5536" t="str">
        <f t="shared" si="1211"/>
        <v>076315</v>
      </c>
      <c r="M5536" t="str">
        <f t="shared" si="1212"/>
        <v>03710</v>
      </c>
      <c r="N5536" t="s">
        <v>1385</v>
      </c>
      <c r="O5536" s="1">
        <v>1091.07</v>
      </c>
      <c r="P5536">
        <v>20190404</v>
      </c>
      <c r="Q5536" t="s">
        <v>2069</v>
      </c>
      <c r="R5536" t="s">
        <v>3240</v>
      </c>
      <c r="S5536" t="s">
        <v>1615</v>
      </c>
      <c r="T5536" t="s">
        <v>46</v>
      </c>
    </row>
    <row r="5537" spans="1:20" x14ac:dyDescent="0.25">
      <c r="A5537">
        <v>9</v>
      </c>
      <c r="B5537">
        <v>199</v>
      </c>
      <c r="C5537" t="str">
        <f>"11"</f>
        <v>11</v>
      </c>
      <c r="D5537">
        <v>6399</v>
      </c>
      <c r="E5537" t="str">
        <f>"78"</f>
        <v>78</v>
      </c>
      <c r="F5537" t="str">
        <f>"041"</f>
        <v>041</v>
      </c>
      <c r="G5537">
        <v>9</v>
      </c>
      <c r="H5537" t="str">
        <f>"11"</f>
        <v>11</v>
      </c>
      <c r="I5537" t="str">
        <f t="shared" si="1210"/>
        <v>0</v>
      </c>
      <c r="J5537" t="str">
        <f>"03"</f>
        <v>03</v>
      </c>
      <c r="K5537">
        <v>20190405</v>
      </c>
      <c r="L5537" t="str">
        <f t="shared" si="1211"/>
        <v>076315</v>
      </c>
      <c r="M5537" t="str">
        <f t="shared" si="1212"/>
        <v>03710</v>
      </c>
      <c r="N5537" t="s">
        <v>1385</v>
      </c>
      <c r="O5537">
        <v>540.82000000000005</v>
      </c>
      <c r="P5537">
        <v>20190404</v>
      </c>
      <c r="Q5537" t="s">
        <v>3444</v>
      </c>
      <c r="R5537" t="s">
        <v>3833</v>
      </c>
      <c r="S5537" t="s">
        <v>1615</v>
      </c>
      <c r="T5537" t="s">
        <v>106</v>
      </c>
    </row>
    <row r="5538" spans="1:20" x14ac:dyDescent="0.25">
      <c r="A5538">
        <v>9</v>
      </c>
      <c r="B5538">
        <v>199</v>
      </c>
      <c r="C5538" t="str">
        <f>"11"</f>
        <v>11</v>
      </c>
      <c r="D5538">
        <v>6399</v>
      </c>
      <c r="E5538" t="str">
        <f>"78"</f>
        <v>78</v>
      </c>
      <c r="F5538" t="str">
        <f>"041"</f>
        <v>041</v>
      </c>
      <c r="G5538">
        <v>9</v>
      </c>
      <c r="H5538" t="str">
        <f>"11"</f>
        <v>11</v>
      </c>
      <c r="I5538" t="str">
        <f t="shared" si="1210"/>
        <v>0</v>
      </c>
      <c r="J5538" t="str">
        <f>"03"</f>
        <v>03</v>
      </c>
      <c r="K5538">
        <v>20190405</v>
      </c>
      <c r="L5538" t="str">
        <f t="shared" si="1211"/>
        <v>076315</v>
      </c>
      <c r="M5538" t="str">
        <f t="shared" si="1212"/>
        <v>03710</v>
      </c>
      <c r="N5538" t="s">
        <v>1385</v>
      </c>
      <c r="O5538">
        <v>40.130000000000003</v>
      </c>
      <c r="P5538">
        <v>20190404</v>
      </c>
      <c r="Q5538" t="s">
        <v>3444</v>
      </c>
      <c r="R5538" t="s">
        <v>3834</v>
      </c>
      <c r="S5538" t="s">
        <v>1615</v>
      </c>
      <c r="T5538" t="s">
        <v>106</v>
      </c>
    </row>
    <row r="5539" spans="1:20" x14ac:dyDescent="0.25">
      <c r="A5539">
        <v>9</v>
      </c>
      <c r="B5539">
        <v>199</v>
      </c>
      <c r="C5539" t="str">
        <f>"11"</f>
        <v>11</v>
      </c>
      <c r="D5539">
        <v>6399</v>
      </c>
      <c r="E5539" t="str">
        <f>"78"</f>
        <v>78</v>
      </c>
      <c r="F5539" t="str">
        <f>"041"</f>
        <v>041</v>
      </c>
      <c r="G5539">
        <v>9</v>
      </c>
      <c r="H5539" t="str">
        <f>"11"</f>
        <v>11</v>
      </c>
      <c r="I5539" t="str">
        <f t="shared" si="1210"/>
        <v>0</v>
      </c>
      <c r="J5539" t="str">
        <f>"03"</f>
        <v>03</v>
      </c>
      <c r="K5539">
        <v>20190405</v>
      </c>
      <c r="L5539" t="str">
        <f t="shared" si="1211"/>
        <v>076315</v>
      </c>
      <c r="M5539" t="str">
        <f t="shared" si="1212"/>
        <v>03710</v>
      </c>
      <c r="N5539" t="s">
        <v>1385</v>
      </c>
      <c r="O5539">
        <v>10.029999999999999</v>
      </c>
      <c r="P5539">
        <v>20190404</v>
      </c>
      <c r="Q5539" t="s">
        <v>3444</v>
      </c>
      <c r="R5539" t="s">
        <v>3834</v>
      </c>
      <c r="S5539" t="s">
        <v>1615</v>
      </c>
      <c r="T5539" t="s">
        <v>106</v>
      </c>
    </row>
    <row r="5540" spans="1:20" x14ac:dyDescent="0.25">
      <c r="A5540">
        <v>9</v>
      </c>
      <c r="B5540">
        <v>199</v>
      </c>
      <c r="C5540" t="str">
        <f>"31"</f>
        <v>31</v>
      </c>
      <c r="D5540">
        <v>6399</v>
      </c>
      <c r="E5540" t="str">
        <f>"7F"</f>
        <v>7F</v>
      </c>
      <c r="F5540" t="str">
        <f>"041"</f>
        <v>041</v>
      </c>
      <c r="G5540">
        <v>9</v>
      </c>
      <c r="H5540" t="str">
        <f>"99"</f>
        <v>99</v>
      </c>
      <c r="I5540" t="str">
        <f t="shared" si="1210"/>
        <v>0</v>
      </c>
      <c r="J5540" t="str">
        <f>"03"</f>
        <v>03</v>
      </c>
      <c r="K5540">
        <v>20190405</v>
      </c>
      <c r="L5540" t="str">
        <f t="shared" si="1211"/>
        <v>076315</v>
      </c>
      <c r="M5540" t="str">
        <f t="shared" si="1212"/>
        <v>03710</v>
      </c>
      <c r="N5540" t="s">
        <v>1385</v>
      </c>
      <c r="O5540">
        <v>494.61</v>
      </c>
      <c r="P5540">
        <v>20190404</v>
      </c>
      <c r="Q5540" t="s">
        <v>4451</v>
      </c>
      <c r="R5540" t="s">
        <v>4452</v>
      </c>
      <c r="S5540" t="s">
        <v>1615</v>
      </c>
      <c r="T5540" t="s">
        <v>106</v>
      </c>
    </row>
    <row r="5541" spans="1:20" x14ac:dyDescent="0.25">
      <c r="A5541">
        <v>9</v>
      </c>
      <c r="B5541">
        <v>199</v>
      </c>
      <c r="C5541" t="str">
        <f>"51"</f>
        <v>51</v>
      </c>
      <c r="D5541">
        <v>6649</v>
      </c>
      <c r="E5541" t="str">
        <f>"A1"</f>
        <v>A1</v>
      </c>
      <c r="F5541" t="str">
        <f>"936"</f>
        <v>936</v>
      </c>
      <c r="G5541">
        <v>9</v>
      </c>
      <c r="H5541" t="str">
        <f>"99"</f>
        <v>99</v>
      </c>
      <c r="I5541" t="str">
        <f t="shared" si="1210"/>
        <v>0</v>
      </c>
      <c r="J5541" t="str">
        <f>"81"</f>
        <v>81</v>
      </c>
      <c r="K5541">
        <v>20190405</v>
      </c>
      <c r="L5541" t="str">
        <f>"076316"</f>
        <v>076316</v>
      </c>
      <c r="M5541" t="str">
        <f>"10027"</f>
        <v>10027</v>
      </c>
      <c r="N5541" t="s">
        <v>4453</v>
      </c>
      <c r="O5541" s="1">
        <v>2346.92</v>
      </c>
      <c r="P5541">
        <v>20190404</v>
      </c>
      <c r="Q5541" t="s">
        <v>4454</v>
      </c>
      <c r="R5541" t="s">
        <v>4455</v>
      </c>
      <c r="S5541" t="s">
        <v>1615</v>
      </c>
      <c r="T5541" t="s">
        <v>1713</v>
      </c>
    </row>
    <row r="5542" spans="1:20" x14ac:dyDescent="0.25">
      <c r="A5542">
        <v>9</v>
      </c>
      <c r="B5542">
        <v>199</v>
      </c>
      <c r="C5542" t="str">
        <f>"41"</f>
        <v>41</v>
      </c>
      <c r="D5542">
        <v>6299</v>
      </c>
      <c r="E5542" t="str">
        <f>"10"</f>
        <v>10</v>
      </c>
      <c r="F5542" t="str">
        <f>"730"</f>
        <v>730</v>
      </c>
      <c r="G5542">
        <v>9</v>
      </c>
      <c r="H5542" t="str">
        <f>"99"</f>
        <v>99</v>
      </c>
      <c r="I5542" t="str">
        <f t="shared" si="1210"/>
        <v>0</v>
      </c>
      <c r="J5542" t="str">
        <f>"95"</f>
        <v>95</v>
      </c>
      <c r="K5542">
        <v>20190405</v>
      </c>
      <c r="L5542" t="str">
        <f>"076317"</f>
        <v>076317</v>
      </c>
      <c r="M5542" t="str">
        <f>"01530"</f>
        <v>01530</v>
      </c>
      <c r="N5542" t="s">
        <v>1672</v>
      </c>
      <c r="O5542">
        <v>55</v>
      </c>
      <c r="P5542">
        <v>20190404</v>
      </c>
      <c r="Q5542" t="s">
        <v>2434</v>
      </c>
      <c r="R5542" t="s">
        <v>3818</v>
      </c>
      <c r="S5542" t="s">
        <v>1615</v>
      </c>
      <c r="T5542" t="s">
        <v>1794</v>
      </c>
    </row>
    <row r="5543" spans="1:20" x14ac:dyDescent="0.25">
      <c r="A5543">
        <v>9</v>
      </c>
      <c r="B5543">
        <v>199</v>
      </c>
      <c r="C5543" t="str">
        <f>"34"</f>
        <v>34</v>
      </c>
      <c r="D5543">
        <v>6249</v>
      </c>
      <c r="E5543" t="str">
        <f>"10"</f>
        <v>10</v>
      </c>
      <c r="F5543" t="str">
        <f>"937"</f>
        <v>937</v>
      </c>
      <c r="G5543">
        <v>9</v>
      </c>
      <c r="H5543" t="str">
        <f>"99"</f>
        <v>99</v>
      </c>
      <c r="I5543" t="str">
        <f t="shared" si="1210"/>
        <v>0</v>
      </c>
      <c r="J5543" t="str">
        <f>"82"</f>
        <v>82</v>
      </c>
      <c r="K5543">
        <v>20190405</v>
      </c>
      <c r="L5543" t="str">
        <f>"076320"</f>
        <v>076320</v>
      </c>
      <c r="M5543" t="str">
        <f>"03846"</f>
        <v>03846</v>
      </c>
      <c r="N5543" t="s">
        <v>3678</v>
      </c>
      <c r="O5543" s="1">
        <v>1549.95</v>
      </c>
      <c r="P5543">
        <v>20190404</v>
      </c>
      <c r="Q5543" t="s">
        <v>2036</v>
      </c>
      <c r="R5543" t="s">
        <v>4456</v>
      </c>
      <c r="S5543" t="s">
        <v>1615</v>
      </c>
      <c r="T5543" t="s">
        <v>1810</v>
      </c>
    </row>
    <row r="5544" spans="1:20" x14ac:dyDescent="0.25">
      <c r="A5544">
        <v>9</v>
      </c>
      <c r="B5544">
        <v>199</v>
      </c>
      <c r="C5544" t="str">
        <f>"11"</f>
        <v>11</v>
      </c>
      <c r="D5544">
        <v>6399</v>
      </c>
      <c r="E5544" t="str">
        <f>"10"</f>
        <v>10</v>
      </c>
      <c r="F5544" t="str">
        <f>"001"</f>
        <v>001</v>
      </c>
      <c r="G5544">
        <v>9</v>
      </c>
      <c r="H5544" t="str">
        <f>"11"</f>
        <v>11</v>
      </c>
      <c r="I5544" t="str">
        <f t="shared" si="1210"/>
        <v>0</v>
      </c>
      <c r="J5544" t="str">
        <f>"01"</f>
        <v>01</v>
      </c>
      <c r="K5544">
        <v>20190405</v>
      </c>
      <c r="L5544" t="str">
        <f t="shared" ref="L5544:L5550" si="1213">"076321"</f>
        <v>076321</v>
      </c>
      <c r="M5544" t="str">
        <f t="shared" ref="M5544:M5550" si="1214">"04410"</f>
        <v>04410</v>
      </c>
      <c r="N5544" t="s">
        <v>410</v>
      </c>
      <c r="O5544">
        <v>34.99</v>
      </c>
      <c r="P5544">
        <v>20190404</v>
      </c>
      <c r="Q5544" t="s">
        <v>1675</v>
      </c>
      <c r="R5544" t="s">
        <v>4457</v>
      </c>
      <c r="S5544" t="s">
        <v>1615</v>
      </c>
      <c r="T5544" t="s">
        <v>301</v>
      </c>
    </row>
    <row r="5545" spans="1:20" x14ac:dyDescent="0.25">
      <c r="A5545">
        <v>9</v>
      </c>
      <c r="B5545">
        <v>199</v>
      </c>
      <c r="C5545" t="str">
        <f>"11"</f>
        <v>11</v>
      </c>
      <c r="D5545">
        <v>6399</v>
      </c>
      <c r="E5545" t="str">
        <f>"7K"</f>
        <v>7K</v>
      </c>
      <c r="F5545" t="str">
        <f>"001"</f>
        <v>001</v>
      </c>
      <c r="G5545">
        <v>9</v>
      </c>
      <c r="H5545" t="str">
        <f>"11"</f>
        <v>11</v>
      </c>
      <c r="I5545" t="str">
        <f t="shared" si="1210"/>
        <v>0</v>
      </c>
      <c r="J5545" t="str">
        <f>"01"</f>
        <v>01</v>
      </c>
      <c r="K5545">
        <v>20190405</v>
      </c>
      <c r="L5545" t="str">
        <f t="shared" si="1213"/>
        <v>076321</v>
      </c>
      <c r="M5545" t="str">
        <f t="shared" si="1214"/>
        <v>04410</v>
      </c>
      <c r="N5545" t="s">
        <v>410</v>
      </c>
      <c r="O5545">
        <v>119.5</v>
      </c>
      <c r="P5545">
        <v>20190404</v>
      </c>
      <c r="Q5545" t="s">
        <v>1671</v>
      </c>
      <c r="R5545" t="s">
        <v>4458</v>
      </c>
      <c r="S5545" t="s">
        <v>1615</v>
      </c>
      <c r="T5545" t="s">
        <v>301</v>
      </c>
    </row>
    <row r="5546" spans="1:20" x14ac:dyDescent="0.25">
      <c r="A5546">
        <v>9</v>
      </c>
      <c r="B5546">
        <v>199</v>
      </c>
      <c r="C5546" t="str">
        <f>"11"</f>
        <v>11</v>
      </c>
      <c r="D5546">
        <v>6399</v>
      </c>
      <c r="E5546" t="str">
        <f>"N9"</f>
        <v>N9</v>
      </c>
      <c r="F5546" t="str">
        <f>"001"</f>
        <v>001</v>
      </c>
      <c r="G5546">
        <v>9</v>
      </c>
      <c r="H5546" t="str">
        <f>"11"</f>
        <v>11</v>
      </c>
      <c r="I5546" t="str">
        <f t="shared" si="1210"/>
        <v>0</v>
      </c>
      <c r="J5546" t="str">
        <f>"01"</f>
        <v>01</v>
      </c>
      <c r="K5546">
        <v>20190405</v>
      </c>
      <c r="L5546" t="str">
        <f t="shared" si="1213"/>
        <v>076321</v>
      </c>
      <c r="M5546" t="str">
        <f t="shared" si="1214"/>
        <v>04410</v>
      </c>
      <c r="N5546" t="s">
        <v>410</v>
      </c>
      <c r="O5546">
        <v>37.57</v>
      </c>
      <c r="P5546">
        <v>20190404</v>
      </c>
      <c r="Q5546" t="s">
        <v>2160</v>
      </c>
      <c r="R5546" t="s">
        <v>4457</v>
      </c>
      <c r="S5546" t="s">
        <v>1615</v>
      </c>
      <c r="T5546" t="s">
        <v>301</v>
      </c>
    </row>
    <row r="5547" spans="1:20" x14ac:dyDescent="0.25">
      <c r="A5547">
        <v>9</v>
      </c>
      <c r="B5547">
        <v>199</v>
      </c>
      <c r="C5547" t="str">
        <f>"11"</f>
        <v>11</v>
      </c>
      <c r="D5547">
        <v>6399</v>
      </c>
      <c r="E5547" t="str">
        <f>"V8"</f>
        <v>V8</v>
      </c>
      <c r="F5547" t="str">
        <f>"001"</f>
        <v>001</v>
      </c>
      <c r="G5547">
        <v>9</v>
      </c>
      <c r="H5547" t="str">
        <f>"22"</f>
        <v>22</v>
      </c>
      <c r="I5547" t="str">
        <f t="shared" si="1210"/>
        <v>0</v>
      </c>
      <c r="J5547" t="str">
        <f>"22"</f>
        <v>22</v>
      </c>
      <c r="K5547">
        <v>20190405</v>
      </c>
      <c r="L5547" t="str">
        <f t="shared" si="1213"/>
        <v>076321</v>
      </c>
      <c r="M5547" t="str">
        <f t="shared" si="1214"/>
        <v>04410</v>
      </c>
      <c r="N5547" t="s">
        <v>410</v>
      </c>
      <c r="O5547">
        <v>206</v>
      </c>
      <c r="P5547">
        <v>20190404</v>
      </c>
      <c r="Q5547" t="s">
        <v>2001</v>
      </c>
      <c r="R5547" t="s">
        <v>4459</v>
      </c>
      <c r="S5547" t="s">
        <v>1615</v>
      </c>
      <c r="T5547" t="s">
        <v>301</v>
      </c>
    </row>
    <row r="5548" spans="1:20" x14ac:dyDescent="0.25">
      <c r="A5548">
        <v>9</v>
      </c>
      <c r="B5548">
        <v>199</v>
      </c>
      <c r="C5548" t="str">
        <f>"11"</f>
        <v>11</v>
      </c>
      <c r="D5548">
        <v>6399</v>
      </c>
      <c r="E5548" t="str">
        <f>"V8"</f>
        <v>V8</v>
      </c>
      <c r="F5548" t="str">
        <f>"001"</f>
        <v>001</v>
      </c>
      <c r="G5548">
        <v>9</v>
      </c>
      <c r="H5548" t="str">
        <f>"22"</f>
        <v>22</v>
      </c>
      <c r="I5548" t="str">
        <f t="shared" si="1210"/>
        <v>0</v>
      </c>
      <c r="J5548" t="str">
        <f>"22"</f>
        <v>22</v>
      </c>
      <c r="K5548">
        <v>20190405</v>
      </c>
      <c r="L5548" t="str">
        <f t="shared" si="1213"/>
        <v>076321</v>
      </c>
      <c r="M5548" t="str">
        <f t="shared" si="1214"/>
        <v>04410</v>
      </c>
      <c r="N5548" t="s">
        <v>410</v>
      </c>
      <c r="O5548">
        <v>153.93</v>
      </c>
      <c r="P5548">
        <v>20190404</v>
      </c>
      <c r="Q5548" t="s">
        <v>2001</v>
      </c>
      <c r="R5548" t="s">
        <v>4460</v>
      </c>
      <c r="S5548" t="s">
        <v>1615</v>
      </c>
      <c r="T5548" t="s">
        <v>301</v>
      </c>
    </row>
    <row r="5549" spans="1:20" x14ac:dyDescent="0.25">
      <c r="A5549">
        <v>9</v>
      </c>
      <c r="B5549">
        <v>199</v>
      </c>
      <c r="C5549" t="str">
        <f>"12"</f>
        <v>12</v>
      </c>
      <c r="D5549">
        <v>6398</v>
      </c>
      <c r="E5549" t="str">
        <f>"7U"</f>
        <v>7U</v>
      </c>
      <c r="F5549" t="str">
        <f>"041"</f>
        <v>041</v>
      </c>
      <c r="G5549">
        <v>9</v>
      </c>
      <c r="H5549" t="str">
        <f>"11"</f>
        <v>11</v>
      </c>
      <c r="I5549" t="str">
        <f t="shared" si="1210"/>
        <v>0</v>
      </c>
      <c r="J5549" t="str">
        <f>"03"</f>
        <v>03</v>
      </c>
      <c r="K5549">
        <v>20190405</v>
      </c>
      <c r="L5549" t="str">
        <f t="shared" si="1213"/>
        <v>076321</v>
      </c>
      <c r="M5549" t="str">
        <f t="shared" si="1214"/>
        <v>04410</v>
      </c>
      <c r="N5549" t="s">
        <v>410</v>
      </c>
      <c r="O5549">
        <v>441.76</v>
      </c>
      <c r="P5549">
        <v>20190404</v>
      </c>
      <c r="Q5549" t="s">
        <v>1754</v>
      </c>
      <c r="R5549" t="s">
        <v>4461</v>
      </c>
      <c r="S5549" t="s">
        <v>1615</v>
      </c>
      <c r="T5549" t="s">
        <v>106</v>
      </c>
    </row>
    <row r="5550" spans="1:20" x14ac:dyDescent="0.25">
      <c r="A5550">
        <v>9</v>
      </c>
      <c r="B5550">
        <v>199</v>
      </c>
      <c r="C5550" t="str">
        <f>"12"</f>
        <v>12</v>
      </c>
      <c r="D5550">
        <v>6398</v>
      </c>
      <c r="E5550" t="str">
        <f>"7U"</f>
        <v>7U</v>
      </c>
      <c r="F5550" t="str">
        <f>"041"</f>
        <v>041</v>
      </c>
      <c r="G5550">
        <v>9</v>
      </c>
      <c r="H5550" t="str">
        <f>"11"</f>
        <v>11</v>
      </c>
      <c r="I5550" t="str">
        <f t="shared" si="1210"/>
        <v>0</v>
      </c>
      <c r="J5550" t="str">
        <f>"03"</f>
        <v>03</v>
      </c>
      <c r="K5550">
        <v>20190405</v>
      </c>
      <c r="L5550" t="str">
        <f t="shared" si="1213"/>
        <v>076321</v>
      </c>
      <c r="M5550" t="str">
        <f t="shared" si="1214"/>
        <v>04410</v>
      </c>
      <c r="N5550" t="s">
        <v>410</v>
      </c>
      <c r="O5550">
        <v>19.98</v>
      </c>
      <c r="P5550">
        <v>20190404</v>
      </c>
      <c r="Q5550" t="s">
        <v>1754</v>
      </c>
      <c r="R5550" t="s">
        <v>4462</v>
      </c>
      <c r="S5550" t="s">
        <v>1615</v>
      </c>
      <c r="T5550" t="s">
        <v>106</v>
      </c>
    </row>
    <row r="5551" spans="1:20" x14ac:dyDescent="0.25">
      <c r="A5551">
        <v>9</v>
      </c>
      <c r="B5551">
        <v>199</v>
      </c>
      <c r="C5551" t="str">
        <f>"51"</f>
        <v>51</v>
      </c>
      <c r="D5551">
        <v>6249</v>
      </c>
      <c r="E5551" t="str">
        <f>"3S"</f>
        <v>3S</v>
      </c>
      <c r="F5551" t="str">
        <f>"878"</f>
        <v>878</v>
      </c>
      <c r="G5551">
        <v>9</v>
      </c>
      <c r="H5551" t="str">
        <f>"99"</f>
        <v>99</v>
      </c>
      <c r="I5551" t="str">
        <f t="shared" si="1210"/>
        <v>0</v>
      </c>
      <c r="J5551" t="str">
        <f>"81"</f>
        <v>81</v>
      </c>
      <c r="K5551">
        <v>20190405</v>
      </c>
      <c r="L5551" t="str">
        <f>"076323"</f>
        <v>076323</v>
      </c>
      <c r="M5551" t="str">
        <f>"07685"</f>
        <v>07685</v>
      </c>
      <c r="N5551" t="s">
        <v>1678</v>
      </c>
      <c r="O5551">
        <v>707.5</v>
      </c>
      <c r="P5551">
        <v>20190404</v>
      </c>
      <c r="Q5551" t="s">
        <v>4463</v>
      </c>
      <c r="R5551" t="s">
        <v>4464</v>
      </c>
      <c r="S5551" t="s">
        <v>1615</v>
      </c>
      <c r="T5551" t="s">
        <v>4465</v>
      </c>
    </row>
    <row r="5552" spans="1:20" x14ac:dyDescent="0.25">
      <c r="A5552">
        <v>9</v>
      </c>
      <c r="B5552">
        <v>199</v>
      </c>
      <c r="C5552" t="str">
        <f>"51"</f>
        <v>51</v>
      </c>
      <c r="D5552">
        <v>6399</v>
      </c>
      <c r="E5552" t="str">
        <f>"3S"</f>
        <v>3S</v>
      </c>
      <c r="F5552" t="str">
        <f>"878"</f>
        <v>878</v>
      </c>
      <c r="G5552">
        <v>9</v>
      </c>
      <c r="H5552" t="str">
        <f>"99"</f>
        <v>99</v>
      </c>
      <c r="I5552" t="str">
        <f t="shared" si="1210"/>
        <v>0</v>
      </c>
      <c r="J5552" t="str">
        <f>"81"</f>
        <v>81</v>
      </c>
      <c r="K5552">
        <v>20190405</v>
      </c>
      <c r="L5552" t="str">
        <f>"076323"</f>
        <v>076323</v>
      </c>
      <c r="M5552" t="str">
        <f>"07685"</f>
        <v>07685</v>
      </c>
      <c r="N5552" t="s">
        <v>1678</v>
      </c>
      <c r="O5552" s="1">
        <v>4267.5</v>
      </c>
      <c r="P5552">
        <v>20190404</v>
      </c>
      <c r="Q5552" t="s">
        <v>4466</v>
      </c>
      <c r="R5552" t="s">
        <v>4467</v>
      </c>
      <c r="S5552" t="s">
        <v>1615</v>
      </c>
      <c r="T5552" t="s">
        <v>4465</v>
      </c>
    </row>
    <row r="5553" spans="1:20" x14ac:dyDescent="0.25">
      <c r="A5553">
        <v>9</v>
      </c>
      <c r="B5553">
        <v>199</v>
      </c>
      <c r="C5553" t="str">
        <f>"36"</f>
        <v>36</v>
      </c>
      <c r="D5553">
        <v>6412</v>
      </c>
      <c r="E5553" t="str">
        <f>"09"</f>
        <v>09</v>
      </c>
      <c r="F5553" t="str">
        <f>"001"</f>
        <v>001</v>
      </c>
      <c r="G5553">
        <v>9</v>
      </c>
      <c r="H5553" t="str">
        <f>"99"</f>
        <v>99</v>
      </c>
      <c r="I5553" t="str">
        <f t="shared" si="1210"/>
        <v>0</v>
      </c>
      <c r="J5553" t="str">
        <f>"01"</f>
        <v>01</v>
      </c>
      <c r="K5553">
        <v>20190405</v>
      </c>
      <c r="L5553" t="str">
        <f>"076326"</f>
        <v>076326</v>
      </c>
      <c r="M5553" t="str">
        <f>"10516"</f>
        <v>10516</v>
      </c>
      <c r="N5553" t="s">
        <v>4468</v>
      </c>
      <c r="O5553" s="1">
        <v>1400.88</v>
      </c>
      <c r="P5553">
        <v>20190404</v>
      </c>
      <c r="Q5553" t="s">
        <v>2427</v>
      </c>
      <c r="R5553" t="s">
        <v>4469</v>
      </c>
      <c r="S5553" t="s">
        <v>1615</v>
      </c>
      <c r="T5553" t="s">
        <v>301</v>
      </c>
    </row>
    <row r="5554" spans="1:20" x14ac:dyDescent="0.25">
      <c r="A5554">
        <v>9</v>
      </c>
      <c r="B5554">
        <v>199</v>
      </c>
      <c r="C5554" t="str">
        <f>"31"</f>
        <v>31</v>
      </c>
      <c r="D5554">
        <v>6219</v>
      </c>
      <c r="E5554" t="str">
        <f>"00"</f>
        <v>00</v>
      </c>
      <c r="F5554" t="str">
        <f>"875"</f>
        <v>875</v>
      </c>
      <c r="G5554">
        <v>9</v>
      </c>
      <c r="H5554" t="str">
        <f>"23"</f>
        <v>23</v>
      </c>
      <c r="I5554" t="str">
        <f t="shared" si="1210"/>
        <v>0</v>
      </c>
      <c r="J5554" t="str">
        <f>"23"</f>
        <v>23</v>
      </c>
      <c r="K5554">
        <v>20190405</v>
      </c>
      <c r="L5554" t="str">
        <f>"076328"</f>
        <v>076328</v>
      </c>
      <c r="M5554" t="str">
        <f>"00096"</f>
        <v>00096</v>
      </c>
      <c r="N5554" t="s">
        <v>4470</v>
      </c>
      <c r="O5554" s="1">
        <v>1350</v>
      </c>
      <c r="P5554">
        <v>20190404</v>
      </c>
      <c r="Q5554" t="s">
        <v>2207</v>
      </c>
      <c r="R5554" t="s">
        <v>4471</v>
      </c>
      <c r="S5554" t="s">
        <v>1615</v>
      </c>
      <c r="T5554" t="s">
        <v>2041</v>
      </c>
    </row>
    <row r="5555" spans="1:20" x14ac:dyDescent="0.25">
      <c r="A5555">
        <v>9</v>
      </c>
      <c r="B5555">
        <v>199</v>
      </c>
      <c r="C5555" t="str">
        <f>"41"</f>
        <v>41</v>
      </c>
      <c r="D5555">
        <v>6211</v>
      </c>
      <c r="E5555" t="str">
        <f>"01"</f>
        <v>01</v>
      </c>
      <c r="F5555" t="str">
        <f>"702"</f>
        <v>702</v>
      </c>
      <c r="G5555">
        <v>9</v>
      </c>
      <c r="H5555" t="str">
        <f t="shared" ref="H5555:H5560" si="1215">"99"</f>
        <v>99</v>
      </c>
      <c r="I5555" t="str">
        <f t="shared" si="1210"/>
        <v>0</v>
      </c>
      <c r="J5555" t="str">
        <f>"93"</f>
        <v>93</v>
      </c>
      <c r="K5555">
        <v>20190405</v>
      </c>
      <c r="L5555" t="str">
        <f>"076329"</f>
        <v>076329</v>
      </c>
      <c r="M5555" t="str">
        <f>"13281"</f>
        <v>13281</v>
      </c>
      <c r="N5555" t="s">
        <v>1684</v>
      </c>
      <c r="O5555" s="1">
        <v>3208.33</v>
      </c>
      <c r="P5555">
        <v>20190404</v>
      </c>
      <c r="Q5555" t="s">
        <v>1685</v>
      </c>
      <c r="R5555" t="s">
        <v>4472</v>
      </c>
      <c r="S5555" t="s">
        <v>1615</v>
      </c>
      <c r="T5555" t="s">
        <v>1611</v>
      </c>
    </row>
    <row r="5556" spans="1:20" x14ac:dyDescent="0.25">
      <c r="A5556">
        <v>9</v>
      </c>
      <c r="B5556">
        <v>199</v>
      </c>
      <c r="C5556" t="str">
        <f>"41"</f>
        <v>41</v>
      </c>
      <c r="D5556">
        <v>6411</v>
      </c>
      <c r="E5556" t="str">
        <f>"00"</f>
        <v>00</v>
      </c>
      <c r="F5556" t="str">
        <f>"939"</f>
        <v>939</v>
      </c>
      <c r="G5556">
        <v>9</v>
      </c>
      <c r="H5556" t="str">
        <f t="shared" si="1215"/>
        <v>99</v>
      </c>
      <c r="I5556" t="str">
        <f t="shared" si="1210"/>
        <v>0</v>
      </c>
      <c r="J5556" t="str">
        <f>"87"</f>
        <v>87</v>
      </c>
      <c r="K5556">
        <v>20190405</v>
      </c>
      <c r="L5556" t="str">
        <f>"076330"</f>
        <v>076330</v>
      </c>
      <c r="M5556" t="str">
        <f>"00531"</f>
        <v>00531</v>
      </c>
      <c r="N5556" t="s">
        <v>2982</v>
      </c>
      <c r="O5556">
        <v>114.8</v>
      </c>
      <c r="P5556">
        <v>20190404</v>
      </c>
      <c r="Q5556" t="s">
        <v>2983</v>
      </c>
      <c r="R5556" t="s">
        <v>4473</v>
      </c>
      <c r="S5556" t="s">
        <v>1615</v>
      </c>
      <c r="T5556" t="s">
        <v>2985</v>
      </c>
    </row>
    <row r="5557" spans="1:20" x14ac:dyDescent="0.25">
      <c r="A5557">
        <v>9</v>
      </c>
      <c r="B5557">
        <v>199</v>
      </c>
      <c r="C5557" t="str">
        <f>"51"</f>
        <v>51</v>
      </c>
      <c r="D5557">
        <v>6254</v>
      </c>
      <c r="E5557" t="str">
        <f>"ME"</f>
        <v>ME</v>
      </c>
      <c r="F5557" t="str">
        <f>"936"</f>
        <v>936</v>
      </c>
      <c r="G5557">
        <v>9</v>
      </c>
      <c r="H5557" t="str">
        <f t="shared" si="1215"/>
        <v>99</v>
      </c>
      <c r="I5557" t="str">
        <f>"1"</f>
        <v>1</v>
      </c>
      <c r="J5557" t="str">
        <f>"73"</f>
        <v>73</v>
      </c>
      <c r="K5557">
        <v>20190405</v>
      </c>
      <c r="L5557" t="str">
        <f>"076331"</f>
        <v>076331</v>
      </c>
      <c r="M5557" t="str">
        <f>"19310"</f>
        <v>19310</v>
      </c>
      <c r="N5557" t="s">
        <v>1689</v>
      </c>
      <c r="O5557" s="1">
        <v>2938.94</v>
      </c>
      <c r="P5557">
        <v>20190404</v>
      </c>
      <c r="Q5557" t="s">
        <v>1891</v>
      </c>
      <c r="R5557" t="s">
        <v>4474</v>
      </c>
      <c r="S5557" t="s">
        <v>1615</v>
      </c>
      <c r="T5557" t="s">
        <v>1713</v>
      </c>
    </row>
    <row r="5558" spans="1:20" x14ac:dyDescent="0.25">
      <c r="A5558">
        <v>9</v>
      </c>
      <c r="B5558">
        <v>199</v>
      </c>
      <c r="C5558" t="str">
        <f>"51"</f>
        <v>51</v>
      </c>
      <c r="D5558">
        <v>6254</v>
      </c>
      <c r="E5558" t="str">
        <f>"ME"</f>
        <v>ME</v>
      </c>
      <c r="F5558" t="str">
        <f>"936"</f>
        <v>936</v>
      </c>
      <c r="G5558">
        <v>9</v>
      </c>
      <c r="H5558" t="str">
        <f t="shared" si="1215"/>
        <v>99</v>
      </c>
      <c r="I5558" t="str">
        <f>"1"</f>
        <v>1</v>
      </c>
      <c r="J5558" t="str">
        <f>"73"</f>
        <v>73</v>
      </c>
      <c r="K5558">
        <v>20190405</v>
      </c>
      <c r="L5558" t="str">
        <f>"076331"</f>
        <v>076331</v>
      </c>
      <c r="M5558" t="str">
        <f>"19310"</f>
        <v>19310</v>
      </c>
      <c r="N5558" t="s">
        <v>1689</v>
      </c>
      <c r="O5558">
        <v>318.25</v>
      </c>
      <c r="P5558">
        <v>20190404</v>
      </c>
      <c r="Q5558" t="s">
        <v>1891</v>
      </c>
      <c r="R5558" t="s">
        <v>4475</v>
      </c>
      <c r="S5558" t="s">
        <v>1615</v>
      </c>
      <c r="T5558" t="s">
        <v>1713</v>
      </c>
    </row>
    <row r="5559" spans="1:20" x14ac:dyDescent="0.25">
      <c r="A5559">
        <v>9</v>
      </c>
      <c r="B5559">
        <v>199</v>
      </c>
      <c r="C5559" t="str">
        <f>"51"</f>
        <v>51</v>
      </c>
      <c r="D5559">
        <v>6249</v>
      </c>
      <c r="E5559" t="str">
        <f>"WF"</f>
        <v>WF</v>
      </c>
      <c r="F5559" t="str">
        <f>"936"</f>
        <v>936</v>
      </c>
      <c r="G5559">
        <v>9</v>
      </c>
      <c r="H5559" t="str">
        <f t="shared" si="1215"/>
        <v>99</v>
      </c>
      <c r="I5559" t="str">
        <f t="shared" ref="I5559:I5570" si="1216">"0"</f>
        <v>0</v>
      </c>
      <c r="J5559" t="str">
        <f>"82"</f>
        <v>82</v>
      </c>
      <c r="K5559">
        <v>20190405</v>
      </c>
      <c r="L5559" t="str">
        <f>"076332"</f>
        <v>076332</v>
      </c>
      <c r="M5559" t="str">
        <f>"21842"</f>
        <v>21842</v>
      </c>
      <c r="N5559" t="s">
        <v>2576</v>
      </c>
      <c r="O5559">
        <v>30</v>
      </c>
      <c r="P5559">
        <v>20190404</v>
      </c>
      <c r="Q5559" t="s">
        <v>2127</v>
      </c>
      <c r="R5559" t="s">
        <v>4476</v>
      </c>
      <c r="S5559" t="s">
        <v>1615</v>
      </c>
      <c r="T5559" t="s">
        <v>1713</v>
      </c>
    </row>
    <row r="5560" spans="1:20" x14ac:dyDescent="0.25">
      <c r="A5560">
        <v>9</v>
      </c>
      <c r="B5560">
        <v>199</v>
      </c>
      <c r="C5560" t="str">
        <f>"51"</f>
        <v>51</v>
      </c>
      <c r="D5560">
        <v>6249</v>
      </c>
      <c r="E5560" t="str">
        <f>"WF"</f>
        <v>WF</v>
      </c>
      <c r="F5560" t="str">
        <f>"936"</f>
        <v>936</v>
      </c>
      <c r="G5560">
        <v>9</v>
      </c>
      <c r="H5560" t="str">
        <f t="shared" si="1215"/>
        <v>99</v>
      </c>
      <c r="I5560" t="str">
        <f t="shared" si="1216"/>
        <v>0</v>
      </c>
      <c r="J5560" t="str">
        <f>"82"</f>
        <v>82</v>
      </c>
      <c r="K5560">
        <v>20190405</v>
      </c>
      <c r="L5560" t="str">
        <f>"076332"</f>
        <v>076332</v>
      </c>
      <c r="M5560" t="str">
        <f>"21842"</f>
        <v>21842</v>
      </c>
      <c r="N5560" t="s">
        <v>2576</v>
      </c>
      <c r="O5560">
        <v>100.75</v>
      </c>
      <c r="P5560">
        <v>20190405</v>
      </c>
      <c r="Q5560" t="s">
        <v>2127</v>
      </c>
      <c r="R5560" t="s">
        <v>2578</v>
      </c>
      <c r="S5560" t="s">
        <v>1615</v>
      </c>
      <c r="T5560" t="s">
        <v>1713</v>
      </c>
    </row>
    <row r="5561" spans="1:20" x14ac:dyDescent="0.25">
      <c r="A5561">
        <v>9</v>
      </c>
      <c r="B5561">
        <v>199</v>
      </c>
      <c r="C5561" t="str">
        <f>"00"</f>
        <v>00</v>
      </c>
      <c r="D5561">
        <v>1312</v>
      </c>
      <c r="E5561" t="str">
        <f>"00"</f>
        <v>00</v>
      </c>
      <c r="F5561" t="str">
        <f>"000"</f>
        <v>000</v>
      </c>
      <c r="G5561">
        <v>9</v>
      </c>
      <c r="H5561" t="str">
        <f>"00"</f>
        <v>00</v>
      </c>
      <c r="I5561" t="str">
        <f t="shared" si="1216"/>
        <v>0</v>
      </c>
      <c r="J5561" t="str">
        <f>"00"</f>
        <v>00</v>
      </c>
      <c r="K5561">
        <v>20190405</v>
      </c>
      <c r="L5561" t="str">
        <f t="shared" ref="L5561:L5566" si="1217">"076333"</f>
        <v>076333</v>
      </c>
      <c r="M5561" t="str">
        <f t="shared" ref="M5561:M5566" si="1218">"14821"</f>
        <v>14821</v>
      </c>
      <c r="N5561" t="s">
        <v>1224</v>
      </c>
      <c r="O5561">
        <v>626.6</v>
      </c>
      <c r="P5561">
        <v>20190404</v>
      </c>
      <c r="Q5561" t="s">
        <v>1860</v>
      </c>
      <c r="R5561" t="s">
        <v>1225</v>
      </c>
      <c r="S5561" t="s">
        <v>1615</v>
      </c>
      <c r="T5561" t="s">
        <v>296</v>
      </c>
    </row>
    <row r="5562" spans="1:20" x14ac:dyDescent="0.25">
      <c r="A5562">
        <v>9</v>
      </c>
      <c r="B5562">
        <v>199</v>
      </c>
      <c r="C5562" t="str">
        <f>"11"</f>
        <v>11</v>
      </c>
      <c r="D5562">
        <v>6399</v>
      </c>
      <c r="E5562" t="str">
        <f>"45"</f>
        <v>45</v>
      </c>
      <c r="F5562" t="str">
        <f>"041"</f>
        <v>041</v>
      </c>
      <c r="G5562">
        <v>9</v>
      </c>
      <c r="H5562" t="str">
        <f>"11"</f>
        <v>11</v>
      </c>
      <c r="I5562" t="str">
        <f t="shared" si="1216"/>
        <v>0</v>
      </c>
      <c r="J5562" t="str">
        <f>"03"</f>
        <v>03</v>
      </c>
      <c r="K5562">
        <v>20190405</v>
      </c>
      <c r="L5562" t="str">
        <f t="shared" si="1217"/>
        <v>076333</v>
      </c>
      <c r="M5562" t="str">
        <f t="shared" si="1218"/>
        <v>14821</v>
      </c>
      <c r="N5562" t="s">
        <v>1224</v>
      </c>
      <c r="O5562" s="1">
        <v>1566.5</v>
      </c>
      <c r="P5562">
        <v>20190404</v>
      </c>
      <c r="Q5562" t="s">
        <v>2204</v>
      </c>
      <c r="R5562" t="s">
        <v>1225</v>
      </c>
      <c r="S5562" t="s">
        <v>1615</v>
      </c>
      <c r="T5562" t="s">
        <v>106</v>
      </c>
    </row>
    <row r="5563" spans="1:20" x14ac:dyDescent="0.25">
      <c r="A5563">
        <v>9</v>
      </c>
      <c r="B5563">
        <v>199</v>
      </c>
      <c r="C5563" t="str">
        <f>"11"</f>
        <v>11</v>
      </c>
      <c r="D5563">
        <v>6399</v>
      </c>
      <c r="E5563" t="str">
        <f>"8U"</f>
        <v>8U</v>
      </c>
      <c r="F5563" t="str">
        <f>"001"</f>
        <v>001</v>
      </c>
      <c r="G5563">
        <v>9</v>
      </c>
      <c r="H5563" t="str">
        <f>"11"</f>
        <v>11</v>
      </c>
      <c r="I5563" t="str">
        <f t="shared" si="1216"/>
        <v>0</v>
      </c>
      <c r="J5563" t="str">
        <f>"01"</f>
        <v>01</v>
      </c>
      <c r="K5563">
        <v>20190405</v>
      </c>
      <c r="L5563" t="str">
        <f t="shared" si="1217"/>
        <v>076333</v>
      </c>
      <c r="M5563" t="str">
        <f t="shared" si="1218"/>
        <v>14821</v>
      </c>
      <c r="N5563" t="s">
        <v>1224</v>
      </c>
      <c r="O5563" s="1">
        <v>1566.5</v>
      </c>
      <c r="P5563">
        <v>20190404</v>
      </c>
      <c r="Q5563" t="s">
        <v>2205</v>
      </c>
      <c r="R5563" t="s">
        <v>1225</v>
      </c>
      <c r="S5563" t="s">
        <v>1615</v>
      </c>
      <c r="T5563" t="s">
        <v>301</v>
      </c>
    </row>
    <row r="5564" spans="1:20" x14ac:dyDescent="0.25">
      <c r="A5564">
        <v>9</v>
      </c>
      <c r="B5564">
        <v>199</v>
      </c>
      <c r="C5564" t="str">
        <f>"41"</f>
        <v>41</v>
      </c>
      <c r="D5564">
        <v>6399</v>
      </c>
      <c r="E5564" t="str">
        <f>"10"</f>
        <v>10</v>
      </c>
      <c r="F5564" t="str">
        <f>"720"</f>
        <v>720</v>
      </c>
      <c r="G5564">
        <v>9</v>
      </c>
      <c r="H5564" t="str">
        <f t="shared" ref="H5564:H5586" si="1219">"99"</f>
        <v>99</v>
      </c>
      <c r="I5564" t="str">
        <f t="shared" si="1216"/>
        <v>0</v>
      </c>
      <c r="J5564" t="str">
        <f>"91"</f>
        <v>91</v>
      </c>
      <c r="K5564">
        <v>20190405</v>
      </c>
      <c r="L5564" t="str">
        <f t="shared" si="1217"/>
        <v>076333</v>
      </c>
      <c r="M5564" t="str">
        <f t="shared" si="1218"/>
        <v>14821</v>
      </c>
      <c r="N5564" t="s">
        <v>1224</v>
      </c>
      <c r="O5564">
        <v>313.3</v>
      </c>
      <c r="P5564">
        <v>20190404</v>
      </c>
      <c r="Q5564" t="s">
        <v>2132</v>
      </c>
      <c r="R5564" t="s">
        <v>1225</v>
      </c>
      <c r="S5564" t="s">
        <v>1615</v>
      </c>
      <c r="T5564" t="s">
        <v>2045</v>
      </c>
    </row>
    <row r="5565" spans="1:20" x14ac:dyDescent="0.25">
      <c r="A5565">
        <v>9</v>
      </c>
      <c r="B5565">
        <v>199</v>
      </c>
      <c r="C5565" t="str">
        <f>"51"</f>
        <v>51</v>
      </c>
      <c r="D5565">
        <v>6399</v>
      </c>
      <c r="E5565" t="str">
        <f>"10"</f>
        <v>10</v>
      </c>
      <c r="F5565" t="str">
        <f>"936"</f>
        <v>936</v>
      </c>
      <c r="G5565">
        <v>9</v>
      </c>
      <c r="H5565" t="str">
        <f t="shared" si="1219"/>
        <v>99</v>
      </c>
      <c r="I5565" t="str">
        <f t="shared" si="1216"/>
        <v>0</v>
      </c>
      <c r="J5565" t="str">
        <f>"81"</f>
        <v>81</v>
      </c>
      <c r="K5565">
        <v>20190405</v>
      </c>
      <c r="L5565" t="str">
        <f t="shared" si="1217"/>
        <v>076333</v>
      </c>
      <c r="M5565" t="str">
        <f t="shared" si="1218"/>
        <v>14821</v>
      </c>
      <c r="N5565" t="s">
        <v>1224</v>
      </c>
      <c r="O5565">
        <v>156.65</v>
      </c>
      <c r="P5565">
        <v>20190404</v>
      </c>
      <c r="Q5565" t="s">
        <v>3264</v>
      </c>
      <c r="R5565" t="s">
        <v>1225</v>
      </c>
      <c r="S5565" t="s">
        <v>1615</v>
      </c>
      <c r="T5565" t="s">
        <v>1713</v>
      </c>
    </row>
    <row r="5566" spans="1:20" x14ac:dyDescent="0.25">
      <c r="A5566">
        <v>9</v>
      </c>
      <c r="B5566">
        <v>199</v>
      </c>
      <c r="C5566" t="str">
        <f>"51"</f>
        <v>51</v>
      </c>
      <c r="D5566">
        <v>6399</v>
      </c>
      <c r="E5566" t="str">
        <f>"10"</f>
        <v>10</v>
      </c>
      <c r="F5566" t="str">
        <f>"936"</f>
        <v>936</v>
      </c>
      <c r="G5566">
        <v>9</v>
      </c>
      <c r="H5566" t="str">
        <f t="shared" si="1219"/>
        <v>99</v>
      </c>
      <c r="I5566" t="str">
        <f t="shared" si="1216"/>
        <v>0</v>
      </c>
      <c r="J5566" t="str">
        <f>"81"</f>
        <v>81</v>
      </c>
      <c r="K5566">
        <v>20190405</v>
      </c>
      <c r="L5566" t="str">
        <f t="shared" si="1217"/>
        <v>076333</v>
      </c>
      <c r="M5566" t="str">
        <f t="shared" si="1218"/>
        <v>14821</v>
      </c>
      <c r="N5566" t="s">
        <v>1224</v>
      </c>
      <c r="O5566">
        <v>156.65</v>
      </c>
      <c r="P5566">
        <v>20190404</v>
      </c>
      <c r="Q5566" t="s">
        <v>3264</v>
      </c>
      <c r="R5566" t="s">
        <v>1225</v>
      </c>
      <c r="S5566" t="s">
        <v>1615</v>
      </c>
      <c r="T5566" t="s">
        <v>1713</v>
      </c>
    </row>
    <row r="5567" spans="1:20" x14ac:dyDescent="0.25">
      <c r="A5567">
        <v>9</v>
      </c>
      <c r="B5567">
        <v>199</v>
      </c>
      <c r="C5567" t="str">
        <f>"34"</f>
        <v>34</v>
      </c>
      <c r="D5567">
        <v>6399</v>
      </c>
      <c r="E5567" t="str">
        <f>"11"</f>
        <v>11</v>
      </c>
      <c r="F5567" t="str">
        <f>"937"</f>
        <v>937</v>
      </c>
      <c r="G5567">
        <v>9</v>
      </c>
      <c r="H5567" t="str">
        <f t="shared" si="1219"/>
        <v>99</v>
      </c>
      <c r="I5567" t="str">
        <f t="shared" si="1216"/>
        <v>0</v>
      </c>
      <c r="J5567" t="str">
        <f>"82"</f>
        <v>82</v>
      </c>
      <c r="K5567">
        <v>20190405</v>
      </c>
      <c r="L5567" t="str">
        <f>"076335"</f>
        <v>076335</v>
      </c>
      <c r="M5567" t="str">
        <f>"19425"</f>
        <v>19425</v>
      </c>
      <c r="N5567" t="s">
        <v>2209</v>
      </c>
      <c r="O5567">
        <v>287.43</v>
      </c>
      <c r="P5567">
        <v>20190404</v>
      </c>
      <c r="Q5567" t="s">
        <v>2210</v>
      </c>
      <c r="R5567" t="s">
        <v>2211</v>
      </c>
      <c r="S5567" t="s">
        <v>1615</v>
      </c>
      <c r="T5567" t="s">
        <v>1810</v>
      </c>
    </row>
    <row r="5568" spans="1:20" x14ac:dyDescent="0.25">
      <c r="A5568">
        <v>9</v>
      </c>
      <c r="B5568">
        <v>199</v>
      </c>
      <c r="C5568" t="str">
        <f>"34"</f>
        <v>34</v>
      </c>
      <c r="D5568">
        <v>6399</v>
      </c>
      <c r="E5568" t="str">
        <f>"11"</f>
        <v>11</v>
      </c>
      <c r="F5568" t="str">
        <f>"937"</f>
        <v>937</v>
      </c>
      <c r="G5568">
        <v>9</v>
      </c>
      <c r="H5568" t="str">
        <f t="shared" si="1219"/>
        <v>99</v>
      </c>
      <c r="I5568" t="str">
        <f t="shared" si="1216"/>
        <v>0</v>
      </c>
      <c r="J5568" t="str">
        <f>"82"</f>
        <v>82</v>
      </c>
      <c r="K5568">
        <v>20190405</v>
      </c>
      <c r="L5568" t="str">
        <f>"076335"</f>
        <v>076335</v>
      </c>
      <c r="M5568" t="str">
        <f>"19425"</f>
        <v>19425</v>
      </c>
      <c r="N5568" t="s">
        <v>2209</v>
      </c>
      <c r="O5568">
        <v>502.2</v>
      </c>
      <c r="P5568">
        <v>20190404</v>
      </c>
      <c r="Q5568" t="s">
        <v>2210</v>
      </c>
      <c r="R5568" t="s">
        <v>4477</v>
      </c>
      <c r="S5568" t="s">
        <v>1615</v>
      </c>
      <c r="T5568" t="s">
        <v>1810</v>
      </c>
    </row>
    <row r="5569" spans="1:20" x14ac:dyDescent="0.25">
      <c r="A5569">
        <v>9</v>
      </c>
      <c r="B5569">
        <v>199</v>
      </c>
      <c r="C5569" t="str">
        <f>"34"</f>
        <v>34</v>
      </c>
      <c r="D5569">
        <v>6399</v>
      </c>
      <c r="E5569" t="str">
        <f>"11"</f>
        <v>11</v>
      </c>
      <c r="F5569" t="str">
        <f>"937"</f>
        <v>937</v>
      </c>
      <c r="G5569">
        <v>9</v>
      </c>
      <c r="H5569" t="str">
        <f t="shared" si="1219"/>
        <v>99</v>
      </c>
      <c r="I5569" t="str">
        <f t="shared" si="1216"/>
        <v>0</v>
      </c>
      <c r="J5569" t="str">
        <f>"82"</f>
        <v>82</v>
      </c>
      <c r="K5569">
        <v>20190405</v>
      </c>
      <c r="L5569" t="str">
        <f>"076335"</f>
        <v>076335</v>
      </c>
      <c r="M5569" t="str">
        <f>"19425"</f>
        <v>19425</v>
      </c>
      <c r="N5569" t="s">
        <v>2209</v>
      </c>
      <c r="O5569">
        <v>537.29999999999995</v>
      </c>
      <c r="P5569">
        <v>20190404</v>
      </c>
      <c r="Q5569" t="s">
        <v>2210</v>
      </c>
      <c r="R5569" t="s">
        <v>4478</v>
      </c>
      <c r="S5569" t="s">
        <v>1615</v>
      </c>
      <c r="T5569" t="s">
        <v>1810</v>
      </c>
    </row>
    <row r="5570" spans="1:20" x14ac:dyDescent="0.25">
      <c r="A5570">
        <v>9</v>
      </c>
      <c r="B5570">
        <v>199</v>
      </c>
      <c r="C5570" t="str">
        <f>"36"</f>
        <v>36</v>
      </c>
      <c r="D5570">
        <v>6411</v>
      </c>
      <c r="E5570" t="str">
        <f>"7B"</f>
        <v>7B</v>
      </c>
      <c r="F5570" t="str">
        <f>"001"</f>
        <v>001</v>
      </c>
      <c r="G5570">
        <v>9</v>
      </c>
      <c r="H5570" t="str">
        <f t="shared" si="1219"/>
        <v>99</v>
      </c>
      <c r="I5570" t="str">
        <f t="shared" si="1216"/>
        <v>0</v>
      </c>
      <c r="J5570" t="str">
        <f>"32"</f>
        <v>32</v>
      </c>
      <c r="K5570">
        <v>20190405</v>
      </c>
      <c r="L5570" t="str">
        <f>"076336"</f>
        <v>076336</v>
      </c>
      <c r="M5570" t="str">
        <f>"20416"</f>
        <v>20416</v>
      </c>
      <c r="N5570" t="s">
        <v>1693</v>
      </c>
      <c r="O5570">
        <v>30</v>
      </c>
      <c r="P5570">
        <v>20190404</v>
      </c>
      <c r="Q5570" t="s">
        <v>1694</v>
      </c>
      <c r="R5570" t="s">
        <v>4315</v>
      </c>
      <c r="S5570" t="s">
        <v>1615</v>
      </c>
      <c r="T5570" t="s">
        <v>301</v>
      </c>
    </row>
    <row r="5571" spans="1:20" x14ac:dyDescent="0.25">
      <c r="A5571">
        <v>9</v>
      </c>
      <c r="B5571">
        <v>199</v>
      </c>
      <c r="C5571" t="str">
        <f>"36"</f>
        <v>36</v>
      </c>
      <c r="D5571">
        <v>6412</v>
      </c>
      <c r="E5571" t="str">
        <f>"7B"</f>
        <v>7B</v>
      </c>
      <c r="F5571" t="str">
        <f>"001"</f>
        <v>001</v>
      </c>
      <c r="G5571">
        <v>9</v>
      </c>
      <c r="H5571" t="str">
        <f t="shared" si="1219"/>
        <v>99</v>
      </c>
      <c r="I5571" t="str">
        <f>"1"</f>
        <v>1</v>
      </c>
      <c r="J5571" t="str">
        <f>"32"</f>
        <v>32</v>
      </c>
      <c r="K5571">
        <v>20190405</v>
      </c>
      <c r="L5571" t="str">
        <f>"076336"</f>
        <v>076336</v>
      </c>
      <c r="M5571" t="str">
        <f>"20416"</f>
        <v>20416</v>
      </c>
      <c r="N5571" t="s">
        <v>1693</v>
      </c>
      <c r="O5571">
        <v>620</v>
      </c>
      <c r="P5571">
        <v>20190404</v>
      </c>
      <c r="Q5571" t="s">
        <v>1696</v>
      </c>
      <c r="R5571" t="s">
        <v>4315</v>
      </c>
      <c r="S5571" t="s">
        <v>1615</v>
      </c>
      <c r="T5571" t="s">
        <v>301</v>
      </c>
    </row>
    <row r="5572" spans="1:20" x14ac:dyDescent="0.25">
      <c r="A5572">
        <v>9</v>
      </c>
      <c r="B5572">
        <v>199</v>
      </c>
      <c r="C5572" t="str">
        <f t="shared" ref="C5572:C5586" si="1220">"51"</f>
        <v>51</v>
      </c>
      <c r="D5572">
        <v>6255</v>
      </c>
      <c r="E5572" t="str">
        <f t="shared" ref="E5572:E5578" si="1221">"10"</f>
        <v>10</v>
      </c>
      <c r="F5572" t="str">
        <f>"001"</f>
        <v>001</v>
      </c>
      <c r="G5572">
        <v>9</v>
      </c>
      <c r="H5572" t="str">
        <f t="shared" si="1219"/>
        <v>99</v>
      </c>
      <c r="I5572" t="str">
        <f t="shared" ref="I5572:I5599" si="1222">"0"</f>
        <v>0</v>
      </c>
      <c r="J5572" t="str">
        <f t="shared" ref="J5572:J5586" si="1223">"73"</f>
        <v>73</v>
      </c>
      <c r="K5572">
        <v>20190405</v>
      </c>
      <c r="L5572" t="str">
        <f t="shared" ref="L5572:L5586" si="1224">"076340"</f>
        <v>076340</v>
      </c>
      <c r="M5572" t="str">
        <f t="shared" ref="M5572:M5586" si="1225">"20706"</f>
        <v>20706</v>
      </c>
      <c r="N5572" t="s">
        <v>2003</v>
      </c>
      <c r="O5572" s="1">
        <v>3868.49</v>
      </c>
      <c r="P5572">
        <v>20190404</v>
      </c>
      <c r="Q5572" t="s">
        <v>2004</v>
      </c>
      <c r="R5572" t="s">
        <v>4479</v>
      </c>
      <c r="S5572" t="s">
        <v>1615</v>
      </c>
      <c r="T5572" t="s">
        <v>301</v>
      </c>
    </row>
    <row r="5573" spans="1:20" x14ac:dyDescent="0.25">
      <c r="A5573">
        <v>9</v>
      </c>
      <c r="B5573">
        <v>199</v>
      </c>
      <c r="C5573" t="str">
        <f t="shared" si="1220"/>
        <v>51</v>
      </c>
      <c r="D5573">
        <v>6255</v>
      </c>
      <c r="E5573" t="str">
        <f t="shared" si="1221"/>
        <v>10</v>
      </c>
      <c r="F5573" t="str">
        <f>"002"</f>
        <v>002</v>
      </c>
      <c r="G5573">
        <v>9</v>
      </c>
      <c r="H5573" t="str">
        <f t="shared" si="1219"/>
        <v>99</v>
      </c>
      <c r="I5573" t="str">
        <f t="shared" si="1222"/>
        <v>0</v>
      </c>
      <c r="J5573" t="str">
        <f t="shared" si="1223"/>
        <v>73</v>
      </c>
      <c r="K5573">
        <v>20190405</v>
      </c>
      <c r="L5573" t="str">
        <f t="shared" si="1224"/>
        <v>076340</v>
      </c>
      <c r="M5573" t="str">
        <f t="shared" si="1225"/>
        <v>20706</v>
      </c>
      <c r="N5573" t="s">
        <v>2003</v>
      </c>
      <c r="O5573">
        <v>46.85</v>
      </c>
      <c r="P5573">
        <v>20190404</v>
      </c>
      <c r="Q5573" t="s">
        <v>2006</v>
      </c>
      <c r="R5573" t="s">
        <v>4480</v>
      </c>
      <c r="S5573" t="s">
        <v>1615</v>
      </c>
      <c r="T5573" t="s">
        <v>1485</v>
      </c>
    </row>
    <row r="5574" spans="1:20" x14ac:dyDescent="0.25">
      <c r="A5574">
        <v>9</v>
      </c>
      <c r="B5574">
        <v>199</v>
      </c>
      <c r="C5574" t="str">
        <f t="shared" si="1220"/>
        <v>51</v>
      </c>
      <c r="D5574">
        <v>6255</v>
      </c>
      <c r="E5574" t="str">
        <f t="shared" si="1221"/>
        <v>10</v>
      </c>
      <c r="F5574" t="str">
        <f>"041"</f>
        <v>041</v>
      </c>
      <c r="G5574">
        <v>9</v>
      </c>
      <c r="H5574" t="str">
        <f t="shared" si="1219"/>
        <v>99</v>
      </c>
      <c r="I5574" t="str">
        <f t="shared" si="1222"/>
        <v>0</v>
      </c>
      <c r="J5574" t="str">
        <f t="shared" si="1223"/>
        <v>73</v>
      </c>
      <c r="K5574">
        <v>20190405</v>
      </c>
      <c r="L5574" t="str">
        <f t="shared" si="1224"/>
        <v>076340</v>
      </c>
      <c r="M5574" t="str">
        <f t="shared" si="1225"/>
        <v>20706</v>
      </c>
      <c r="N5574" t="s">
        <v>2003</v>
      </c>
      <c r="O5574">
        <v>594.33000000000004</v>
      </c>
      <c r="P5574">
        <v>20190404</v>
      </c>
      <c r="Q5574" t="s">
        <v>2008</v>
      </c>
      <c r="R5574" t="s">
        <v>4481</v>
      </c>
      <c r="S5574" t="s">
        <v>1615</v>
      </c>
      <c r="T5574" t="s">
        <v>106</v>
      </c>
    </row>
    <row r="5575" spans="1:20" x14ac:dyDescent="0.25">
      <c r="A5575">
        <v>9</v>
      </c>
      <c r="B5575">
        <v>199</v>
      </c>
      <c r="C5575" t="str">
        <f t="shared" si="1220"/>
        <v>51</v>
      </c>
      <c r="D5575">
        <v>6255</v>
      </c>
      <c r="E5575" t="str">
        <f t="shared" si="1221"/>
        <v>10</v>
      </c>
      <c r="F5575" t="str">
        <f>"101"</f>
        <v>101</v>
      </c>
      <c r="G5575">
        <v>9</v>
      </c>
      <c r="H5575" t="str">
        <f t="shared" si="1219"/>
        <v>99</v>
      </c>
      <c r="I5575" t="str">
        <f t="shared" si="1222"/>
        <v>0</v>
      </c>
      <c r="J5575" t="str">
        <f t="shared" si="1223"/>
        <v>73</v>
      </c>
      <c r="K5575">
        <v>20190405</v>
      </c>
      <c r="L5575" t="str">
        <f t="shared" si="1224"/>
        <v>076340</v>
      </c>
      <c r="M5575" t="str">
        <f t="shared" si="1225"/>
        <v>20706</v>
      </c>
      <c r="N5575" t="s">
        <v>2003</v>
      </c>
      <c r="O5575" s="1">
        <v>1657.9</v>
      </c>
      <c r="P5575">
        <v>20190404</v>
      </c>
      <c r="Q5575" t="s">
        <v>2010</v>
      </c>
      <c r="R5575" t="s">
        <v>4482</v>
      </c>
      <c r="S5575" t="s">
        <v>1615</v>
      </c>
      <c r="T5575" t="s">
        <v>1479</v>
      </c>
    </row>
    <row r="5576" spans="1:20" x14ac:dyDescent="0.25">
      <c r="A5576">
        <v>9</v>
      </c>
      <c r="B5576">
        <v>199</v>
      </c>
      <c r="C5576" t="str">
        <f t="shared" si="1220"/>
        <v>51</v>
      </c>
      <c r="D5576">
        <v>6255</v>
      </c>
      <c r="E5576" t="str">
        <f t="shared" si="1221"/>
        <v>10</v>
      </c>
      <c r="F5576" t="str">
        <f>"104"</f>
        <v>104</v>
      </c>
      <c r="G5576">
        <v>9</v>
      </c>
      <c r="H5576" t="str">
        <f t="shared" si="1219"/>
        <v>99</v>
      </c>
      <c r="I5576" t="str">
        <f t="shared" si="1222"/>
        <v>0</v>
      </c>
      <c r="J5576" t="str">
        <f t="shared" si="1223"/>
        <v>73</v>
      </c>
      <c r="K5576">
        <v>20190405</v>
      </c>
      <c r="L5576" t="str">
        <f t="shared" si="1224"/>
        <v>076340</v>
      </c>
      <c r="M5576" t="str">
        <f t="shared" si="1225"/>
        <v>20706</v>
      </c>
      <c r="N5576" t="s">
        <v>2003</v>
      </c>
      <c r="O5576" s="1">
        <v>1124.72</v>
      </c>
      <c r="P5576">
        <v>20190404</v>
      </c>
      <c r="Q5576" t="s">
        <v>2012</v>
      </c>
      <c r="R5576" t="s">
        <v>4483</v>
      </c>
      <c r="S5576" t="s">
        <v>1615</v>
      </c>
      <c r="T5576" t="s">
        <v>46</v>
      </c>
    </row>
    <row r="5577" spans="1:20" x14ac:dyDescent="0.25">
      <c r="A5577">
        <v>9</v>
      </c>
      <c r="B5577">
        <v>199</v>
      </c>
      <c r="C5577" t="str">
        <f t="shared" si="1220"/>
        <v>51</v>
      </c>
      <c r="D5577">
        <v>6255</v>
      </c>
      <c r="E5577" t="str">
        <f t="shared" si="1221"/>
        <v>10</v>
      </c>
      <c r="F5577" t="str">
        <f>"935"</f>
        <v>935</v>
      </c>
      <c r="G5577">
        <v>9</v>
      </c>
      <c r="H5577" t="str">
        <f t="shared" si="1219"/>
        <v>99</v>
      </c>
      <c r="I5577" t="str">
        <f t="shared" si="1222"/>
        <v>0</v>
      </c>
      <c r="J5577" t="str">
        <f t="shared" si="1223"/>
        <v>73</v>
      </c>
      <c r="K5577">
        <v>20190405</v>
      </c>
      <c r="L5577" t="str">
        <f t="shared" si="1224"/>
        <v>076340</v>
      </c>
      <c r="M5577" t="str">
        <f t="shared" si="1225"/>
        <v>20706</v>
      </c>
      <c r="N5577" t="s">
        <v>2003</v>
      </c>
      <c r="O5577">
        <v>492.39</v>
      </c>
      <c r="P5577">
        <v>20190404</v>
      </c>
      <c r="Q5577" t="s">
        <v>2014</v>
      </c>
      <c r="R5577" t="s">
        <v>4484</v>
      </c>
      <c r="S5577" t="s">
        <v>1615</v>
      </c>
      <c r="T5577" t="s">
        <v>1876</v>
      </c>
    </row>
    <row r="5578" spans="1:20" x14ac:dyDescent="0.25">
      <c r="A5578">
        <v>9</v>
      </c>
      <c r="B5578">
        <v>199</v>
      </c>
      <c r="C5578" t="str">
        <f t="shared" si="1220"/>
        <v>51</v>
      </c>
      <c r="D5578">
        <v>6255</v>
      </c>
      <c r="E5578" t="str">
        <f t="shared" si="1221"/>
        <v>10</v>
      </c>
      <c r="F5578" t="str">
        <f>"936"</f>
        <v>936</v>
      </c>
      <c r="G5578">
        <v>9</v>
      </c>
      <c r="H5578" t="str">
        <f t="shared" si="1219"/>
        <v>99</v>
      </c>
      <c r="I5578" t="str">
        <f t="shared" si="1222"/>
        <v>0</v>
      </c>
      <c r="J5578" t="str">
        <f t="shared" si="1223"/>
        <v>73</v>
      </c>
      <c r="K5578">
        <v>20190405</v>
      </c>
      <c r="L5578" t="str">
        <f t="shared" si="1224"/>
        <v>076340</v>
      </c>
      <c r="M5578" t="str">
        <f t="shared" si="1225"/>
        <v>20706</v>
      </c>
      <c r="N5578" t="s">
        <v>2003</v>
      </c>
      <c r="O5578">
        <v>87.06</v>
      </c>
      <c r="P5578">
        <v>20190404</v>
      </c>
      <c r="Q5578" t="s">
        <v>2016</v>
      </c>
      <c r="R5578" t="s">
        <v>4485</v>
      </c>
      <c r="S5578" t="s">
        <v>1615</v>
      </c>
      <c r="T5578" t="s">
        <v>1713</v>
      </c>
    </row>
    <row r="5579" spans="1:20" x14ac:dyDescent="0.25">
      <c r="A5579">
        <v>9</v>
      </c>
      <c r="B5579">
        <v>199</v>
      </c>
      <c r="C5579" t="str">
        <f t="shared" si="1220"/>
        <v>51</v>
      </c>
      <c r="D5579">
        <v>6255</v>
      </c>
      <c r="E5579" t="str">
        <f>"11"</f>
        <v>11</v>
      </c>
      <c r="F5579" t="str">
        <f>"001"</f>
        <v>001</v>
      </c>
      <c r="G5579">
        <v>9</v>
      </c>
      <c r="H5579" t="str">
        <f t="shared" si="1219"/>
        <v>99</v>
      </c>
      <c r="I5579" t="str">
        <f t="shared" si="1222"/>
        <v>0</v>
      </c>
      <c r="J5579" t="str">
        <f t="shared" si="1223"/>
        <v>73</v>
      </c>
      <c r="K5579">
        <v>20190405</v>
      </c>
      <c r="L5579" t="str">
        <f t="shared" si="1224"/>
        <v>076340</v>
      </c>
      <c r="M5579" t="str">
        <f t="shared" si="1225"/>
        <v>20706</v>
      </c>
      <c r="N5579" t="s">
        <v>2003</v>
      </c>
      <c r="O5579">
        <v>379.94</v>
      </c>
      <c r="P5579">
        <v>20190404</v>
      </c>
      <c r="Q5579" t="s">
        <v>2018</v>
      </c>
      <c r="R5579" t="s">
        <v>4486</v>
      </c>
      <c r="S5579" t="s">
        <v>1615</v>
      </c>
      <c r="T5579" t="s">
        <v>301</v>
      </c>
    </row>
    <row r="5580" spans="1:20" x14ac:dyDescent="0.25">
      <c r="A5580">
        <v>9</v>
      </c>
      <c r="B5580">
        <v>199</v>
      </c>
      <c r="C5580" t="str">
        <f t="shared" si="1220"/>
        <v>51</v>
      </c>
      <c r="D5580">
        <v>6255</v>
      </c>
      <c r="E5580" t="str">
        <f>"11"</f>
        <v>11</v>
      </c>
      <c r="F5580" t="str">
        <f>"104"</f>
        <v>104</v>
      </c>
      <c r="G5580">
        <v>9</v>
      </c>
      <c r="H5580" t="str">
        <f t="shared" si="1219"/>
        <v>99</v>
      </c>
      <c r="I5580" t="str">
        <f t="shared" si="1222"/>
        <v>0</v>
      </c>
      <c r="J5580" t="str">
        <f t="shared" si="1223"/>
        <v>73</v>
      </c>
      <c r="K5580">
        <v>20190405</v>
      </c>
      <c r="L5580" t="str">
        <f t="shared" si="1224"/>
        <v>076340</v>
      </c>
      <c r="M5580" t="str">
        <f t="shared" si="1225"/>
        <v>20706</v>
      </c>
      <c r="N5580" t="s">
        <v>2003</v>
      </c>
      <c r="O5580">
        <v>63.4</v>
      </c>
      <c r="P5580">
        <v>20190404</v>
      </c>
      <c r="Q5580" t="s">
        <v>2020</v>
      </c>
      <c r="R5580" t="s">
        <v>4487</v>
      </c>
      <c r="S5580" t="s">
        <v>1615</v>
      </c>
      <c r="T5580" t="s">
        <v>46</v>
      </c>
    </row>
    <row r="5581" spans="1:20" x14ac:dyDescent="0.25">
      <c r="A5581">
        <v>9</v>
      </c>
      <c r="B5581">
        <v>199</v>
      </c>
      <c r="C5581" t="str">
        <f t="shared" si="1220"/>
        <v>51</v>
      </c>
      <c r="D5581">
        <v>6255</v>
      </c>
      <c r="E5581" t="str">
        <f>"3F"</f>
        <v>3F</v>
      </c>
      <c r="F5581" t="str">
        <f>"877"</f>
        <v>877</v>
      </c>
      <c r="G5581">
        <v>9</v>
      </c>
      <c r="H5581" t="str">
        <f t="shared" si="1219"/>
        <v>99</v>
      </c>
      <c r="I5581" t="str">
        <f t="shared" si="1222"/>
        <v>0</v>
      </c>
      <c r="J5581" t="str">
        <f t="shared" si="1223"/>
        <v>73</v>
      </c>
      <c r="K5581">
        <v>20190405</v>
      </c>
      <c r="L5581" t="str">
        <f t="shared" si="1224"/>
        <v>076340</v>
      </c>
      <c r="M5581" t="str">
        <f t="shared" si="1225"/>
        <v>20706</v>
      </c>
      <c r="N5581" t="s">
        <v>2003</v>
      </c>
      <c r="O5581" s="1">
        <v>1537.07</v>
      </c>
      <c r="P5581">
        <v>20190404</v>
      </c>
      <c r="Q5581" t="s">
        <v>2022</v>
      </c>
      <c r="R5581" t="s">
        <v>4488</v>
      </c>
      <c r="S5581" t="s">
        <v>1615</v>
      </c>
      <c r="T5581" t="s">
        <v>2024</v>
      </c>
    </row>
    <row r="5582" spans="1:20" x14ac:dyDescent="0.25">
      <c r="A5582">
        <v>9</v>
      </c>
      <c r="B5582">
        <v>199</v>
      </c>
      <c r="C5582" t="str">
        <f t="shared" si="1220"/>
        <v>51</v>
      </c>
      <c r="D5582">
        <v>6258</v>
      </c>
      <c r="E5582" t="str">
        <f>"10"</f>
        <v>10</v>
      </c>
      <c r="F5582" t="str">
        <f>"001"</f>
        <v>001</v>
      </c>
      <c r="G5582">
        <v>9</v>
      </c>
      <c r="H5582" t="str">
        <f t="shared" si="1219"/>
        <v>99</v>
      </c>
      <c r="I5582" t="str">
        <f t="shared" si="1222"/>
        <v>0</v>
      </c>
      <c r="J5582" t="str">
        <f t="shared" si="1223"/>
        <v>73</v>
      </c>
      <c r="K5582">
        <v>20190405</v>
      </c>
      <c r="L5582" t="str">
        <f t="shared" si="1224"/>
        <v>076340</v>
      </c>
      <c r="M5582" t="str">
        <f t="shared" si="1225"/>
        <v>20706</v>
      </c>
      <c r="N5582" t="s">
        <v>2003</v>
      </c>
      <c r="O5582" s="1">
        <v>2289.77</v>
      </c>
      <c r="P5582">
        <v>20190404</v>
      </c>
      <c r="Q5582" t="s">
        <v>2025</v>
      </c>
      <c r="R5582" t="s">
        <v>4479</v>
      </c>
      <c r="S5582" t="s">
        <v>1615</v>
      </c>
      <c r="T5582" t="s">
        <v>301</v>
      </c>
    </row>
    <row r="5583" spans="1:20" x14ac:dyDescent="0.25">
      <c r="A5583">
        <v>9</v>
      </c>
      <c r="B5583">
        <v>199</v>
      </c>
      <c r="C5583" t="str">
        <f t="shared" si="1220"/>
        <v>51</v>
      </c>
      <c r="D5583">
        <v>6258</v>
      </c>
      <c r="E5583" t="str">
        <f>"10"</f>
        <v>10</v>
      </c>
      <c r="F5583" t="str">
        <f>"041"</f>
        <v>041</v>
      </c>
      <c r="G5583">
        <v>9</v>
      </c>
      <c r="H5583" t="str">
        <f t="shared" si="1219"/>
        <v>99</v>
      </c>
      <c r="I5583" t="str">
        <f t="shared" si="1222"/>
        <v>0</v>
      </c>
      <c r="J5583" t="str">
        <f t="shared" si="1223"/>
        <v>73</v>
      </c>
      <c r="K5583">
        <v>20190405</v>
      </c>
      <c r="L5583" t="str">
        <f t="shared" si="1224"/>
        <v>076340</v>
      </c>
      <c r="M5583" t="str">
        <f t="shared" si="1225"/>
        <v>20706</v>
      </c>
      <c r="N5583" t="s">
        <v>2003</v>
      </c>
      <c r="O5583">
        <v>706.24</v>
      </c>
      <c r="P5583">
        <v>20190404</v>
      </c>
      <c r="Q5583" t="s">
        <v>2027</v>
      </c>
      <c r="R5583" t="s">
        <v>4489</v>
      </c>
      <c r="S5583" t="s">
        <v>1615</v>
      </c>
      <c r="T5583" t="s">
        <v>106</v>
      </c>
    </row>
    <row r="5584" spans="1:20" x14ac:dyDescent="0.25">
      <c r="A5584">
        <v>9</v>
      </c>
      <c r="B5584">
        <v>199</v>
      </c>
      <c r="C5584" t="str">
        <f t="shared" si="1220"/>
        <v>51</v>
      </c>
      <c r="D5584">
        <v>6258</v>
      </c>
      <c r="E5584" t="str">
        <f>"10"</f>
        <v>10</v>
      </c>
      <c r="F5584" t="str">
        <f>"101"</f>
        <v>101</v>
      </c>
      <c r="G5584">
        <v>9</v>
      </c>
      <c r="H5584" t="str">
        <f t="shared" si="1219"/>
        <v>99</v>
      </c>
      <c r="I5584" t="str">
        <f t="shared" si="1222"/>
        <v>0</v>
      </c>
      <c r="J5584" t="str">
        <f t="shared" si="1223"/>
        <v>73</v>
      </c>
      <c r="K5584">
        <v>20190405</v>
      </c>
      <c r="L5584" t="str">
        <f t="shared" si="1224"/>
        <v>076340</v>
      </c>
      <c r="M5584" t="str">
        <f t="shared" si="1225"/>
        <v>20706</v>
      </c>
      <c r="N5584" t="s">
        <v>2003</v>
      </c>
      <c r="O5584">
        <v>223</v>
      </c>
      <c r="P5584">
        <v>20190404</v>
      </c>
      <c r="Q5584" t="s">
        <v>2029</v>
      </c>
      <c r="R5584" t="s">
        <v>4490</v>
      </c>
      <c r="S5584" t="s">
        <v>1615</v>
      </c>
      <c r="T5584" t="s">
        <v>1479</v>
      </c>
    </row>
    <row r="5585" spans="1:20" x14ac:dyDescent="0.25">
      <c r="A5585">
        <v>9</v>
      </c>
      <c r="B5585">
        <v>199</v>
      </c>
      <c r="C5585" t="str">
        <f t="shared" si="1220"/>
        <v>51</v>
      </c>
      <c r="D5585">
        <v>6258</v>
      </c>
      <c r="E5585" t="str">
        <f>"10"</f>
        <v>10</v>
      </c>
      <c r="F5585" t="str">
        <f>"104"</f>
        <v>104</v>
      </c>
      <c r="G5585">
        <v>9</v>
      </c>
      <c r="H5585" t="str">
        <f t="shared" si="1219"/>
        <v>99</v>
      </c>
      <c r="I5585" t="str">
        <f t="shared" si="1222"/>
        <v>0</v>
      </c>
      <c r="J5585" t="str">
        <f t="shared" si="1223"/>
        <v>73</v>
      </c>
      <c r="K5585">
        <v>20190405</v>
      </c>
      <c r="L5585" t="str">
        <f t="shared" si="1224"/>
        <v>076340</v>
      </c>
      <c r="M5585" t="str">
        <f t="shared" si="1225"/>
        <v>20706</v>
      </c>
      <c r="N5585" t="s">
        <v>2003</v>
      </c>
      <c r="O5585">
        <v>235.82</v>
      </c>
      <c r="P5585">
        <v>20190404</v>
      </c>
      <c r="Q5585" t="s">
        <v>2031</v>
      </c>
      <c r="R5585" t="s">
        <v>4491</v>
      </c>
      <c r="S5585" t="s">
        <v>1615</v>
      </c>
      <c r="T5585" t="s">
        <v>46</v>
      </c>
    </row>
    <row r="5586" spans="1:20" x14ac:dyDescent="0.25">
      <c r="A5586">
        <v>9</v>
      </c>
      <c r="B5586">
        <v>199</v>
      </c>
      <c r="C5586" t="str">
        <f t="shared" si="1220"/>
        <v>51</v>
      </c>
      <c r="D5586">
        <v>6258</v>
      </c>
      <c r="E5586" t="str">
        <f>"11"</f>
        <v>11</v>
      </c>
      <c r="F5586" t="str">
        <f>"001"</f>
        <v>001</v>
      </c>
      <c r="G5586">
        <v>9</v>
      </c>
      <c r="H5586" t="str">
        <f t="shared" si="1219"/>
        <v>99</v>
      </c>
      <c r="I5586" t="str">
        <f t="shared" si="1222"/>
        <v>0</v>
      </c>
      <c r="J5586" t="str">
        <f t="shared" si="1223"/>
        <v>73</v>
      </c>
      <c r="K5586">
        <v>20190405</v>
      </c>
      <c r="L5586" t="str">
        <f t="shared" si="1224"/>
        <v>076340</v>
      </c>
      <c r="M5586" t="str">
        <f t="shared" si="1225"/>
        <v>20706</v>
      </c>
      <c r="N5586" t="s">
        <v>2003</v>
      </c>
      <c r="O5586">
        <v>194.56</v>
      </c>
      <c r="P5586">
        <v>20190404</v>
      </c>
      <c r="Q5586" t="s">
        <v>2033</v>
      </c>
      <c r="R5586" t="s">
        <v>4492</v>
      </c>
      <c r="S5586" t="s">
        <v>1615</v>
      </c>
      <c r="T5586" t="s">
        <v>301</v>
      </c>
    </row>
    <row r="5587" spans="1:20" x14ac:dyDescent="0.25">
      <c r="A5587">
        <v>9</v>
      </c>
      <c r="B5587">
        <v>199</v>
      </c>
      <c r="C5587" t="str">
        <f>"21"</f>
        <v>21</v>
      </c>
      <c r="D5587">
        <v>6399</v>
      </c>
      <c r="E5587" t="str">
        <f>"00"</f>
        <v>00</v>
      </c>
      <c r="F5587" t="str">
        <f>"875"</f>
        <v>875</v>
      </c>
      <c r="G5587">
        <v>9</v>
      </c>
      <c r="H5587" t="str">
        <f>"23"</f>
        <v>23</v>
      </c>
      <c r="I5587" t="str">
        <f t="shared" si="1222"/>
        <v>0</v>
      </c>
      <c r="J5587" t="str">
        <f>"23"</f>
        <v>23</v>
      </c>
      <c r="K5587">
        <v>20190405</v>
      </c>
      <c r="L5587" t="str">
        <f>"076341"</f>
        <v>076341</v>
      </c>
      <c r="M5587" t="str">
        <f>"21098"</f>
        <v>21098</v>
      </c>
      <c r="N5587" t="s">
        <v>2038</v>
      </c>
      <c r="O5587">
        <v>35.75</v>
      </c>
      <c r="P5587">
        <v>20190404</v>
      </c>
      <c r="Q5587" t="s">
        <v>2039</v>
      </c>
      <c r="R5587" t="s">
        <v>641</v>
      </c>
      <c r="S5587" t="s">
        <v>1615</v>
      </c>
      <c r="T5587" t="s">
        <v>2041</v>
      </c>
    </row>
    <row r="5588" spans="1:20" x14ac:dyDescent="0.25">
      <c r="A5588">
        <v>9</v>
      </c>
      <c r="B5588">
        <v>199</v>
      </c>
      <c r="C5588" t="str">
        <f>"36"</f>
        <v>36</v>
      </c>
      <c r="D5588">
        <v>6411</v>
      </c>
      <c r="E5588" t="str">
        <f>"7A"</f>
        <v>7A</v>
      </c>
      <c r="F5588" t="str">
        <f>"001"</f>
        <v>001</v>
      </c>
      <c r="G5588">
        <v>9</v>
      </c>
      <c r="H5588" t="str">
        <f t="shared" ref="H5588:H5594" si="1226">"99"</f>
        <v>99</v>
      </c>
      <c r="I5588" t="str">
        <f t="shared" si="1222"/>
        <v>0</v>
      </c>
      <c r="J5588" t="str">
        <f>"01"</f>
        <v>01</v>
      </c>
      <c r="K5588">
        <v>20190405</v>
      </c>
      <c r="L5588" t="str">
        <f>"076342"</f>
        <v>076342</v>
      </c>
      <c r="M5588" t="str">
        <f>"00259"</f>
        <v>00259</v>
      </c>
      <c r="N5588" t="s">
        <v>4493</v>
      </c>
      <c r="O5588">
        <v>125.35</v>
      </c>
      <c r="P5588">
        <v>20190404</v>
      </c>
      <c r="Q5588" t="s">
        <v>3903</v>
      </c>
      <c r="R5588" t="s">
        <v>4494</v>
      </c>
      <c r="S5588" t="s">
        <v>1615</v>
      </c>
      <c r="T5588" t="s">
        <v>301</v>
      </c>
    </row>
    <row r="5589" spans="1:20" x14ac:dyDescent="0.25">
      <c r="A5589">
        <v>9</v>
      </c>
      <c r="B5589">
        <v>199</v>
      </c>
      <c r="C5589" t="str">
        <f>"36"</f>
        <v>36</v>
      </c>
      <c r="D5589">
        <v>6412</v>
      </c>
      <c r="E5589" t="str">
        <f>"7A"</f>
        <v>7A</v>
      </c>
      <c r="F5589" t="str">
        <f>"001"</f>
        <v>001</v>
      </c>
      <c r="G5589">
        <v>9</v>
      </c>
      <c r="H5589" t="str">
        <f t="shared" si="1226"/>
        <v>99</v>
      </c>
      <c r="I5589" t="str">
        <f t="shared" si="1222"/>
        <v>0</v>
      </c>
      <c r="J5589" t="str">
        <f>"01"</f>
        <v>01</v>
      </c>
      <c r="K5589">
        <v>20190405</v>
      </c>
      <c r="L5589" t="str">
        <f>"076342"</f>
        <v>076342</v>
      </c>
      <c r="M5589" t="str">
        <f>"00259"</f>
        <v>00259</v>
      </c>
      <c r="N5589" t="s">
        <v>4493</v>
      </c>
      <c r="O5589">
        <v>125.35</v>
      </c>
      <c r="P5589">
        <v>20190404</v>
      </c>
      <c r="Q5589" t="s">
        <v>3669</v>
      </c>
      <c r="R5589" t="s">
        <v>4494</v>
      </c>
      <c r="S5589" t="s">
        <v>1615</v>
      </c>
      <c r="T5589" t="s">
        <v>301</v>
      </c>
    </row>
    <row r="5590" spans="1:20" x14ac:dyDescent="0.25">
      <c r="A5590">
        <v>9</v>
      </c>
      <c r="B5590">
        <v>199</v>
      </c>
      <c r="C5590" t="str">
        <f>"34"</f>
        <v>34</v>
      </c>
      <c r="D5590">
        <v>6249</v>
      </c>
      <c r="E5590" t="str">
        <f>"10"</f>
        <v>10</v>
      </c>
      <c r="F5590" t="str">
        <f>"937"</f>
        <v>937</v>
      </c>
      <c r="G5590">
        <v>9</v>
      </c>
      <c r="H5590" t="str">
        <f t="shared" si="1226"/>
        <v>99</v>
      </c>
      <c r="I5590" t="str">
        <f t="shared" si="1222"/>
        <v>0</v>
      </c>
      <c r="J5590" t="str">
        <f>"82"</f>
        <v>82</v>
      </c>
      <c r="K5590">
        <v>20190405</v>
      </c>
      <c r="L5590" t="str">
        <f>"076343"</f>
        <v>076343</v>
      </c>
      <c r="M5590" t="str">
        <f>"21901"</f>
        <v>21901</v>
      </c>
      <c r="N5590" t="s">
        <v>2046</v>
      </c>
      <c r="O5590">
        <v>190</v>
      </c>
      <c r="P5590">
        <v>20190404</v>
      </c>
      <c r="Q5590" t="s">
        <v>2036</v>
      </c>
      <c r="R5590" t="s">
        <v>4495</v>
      </c>
      <c r="S5590" t="s">
        <v>1615</v>
      </c>
      <c r="T5590" t="s">
        <v>1810</v>
      </c>
    </row>
    <row r="5591" spans="1:20" x14ac:dyDescent="0.25">
      <c r="A5591">
        <v>9</v>
      </c>
      <c r="B5591">
        <v>199</v>
      </c>
      <c r="C5591" t="str">
        <f>"34"</f>
        <v>34</v>
      </c>
      <c r="D5591">
        <v>6249</v>
      </c>
      <c r="E5591" t="str">
        <f>"10"</f>
        <v>10</v>
      </c>
      <c r="F5591" t="str">
        <f>"937"</f>
        <v>937</v>
      </c>
      <c r="G5591">
        <v>9</v>
      </c>
      <c r="H5591" t="str">
        <f t="shared" si="1226"/>
        <v>99</v>
      </c>
      <c r="I5591" t="str">
        <f t="shared" si="1222"/>
        <v>0</v>
      </c>
      <c r="J5591" t="str">
        <f>"82"</f>
        <v>82</v>
      </c>
      <c r="K5591">
        <v>20190405</v>
      </c>
      <c r="L5591" t="str">
        <f>"076343"</f>
        <v>076343</v>
      </c>
      <c r="M5591" t="str">
        <f>"21901"</f>
        <v>21901</v>
      </c>
      <c r="N5591" t="s">
        <v>2046</v>
      </c>
      <c r="O5591">
        <v>190</v>
      </c>
      <c r="P5591">
        <v>20190404</v>
      </c>
      <c r="Q5591" t="s">
        <v>2036</v>
      </c>
      <c r="R5591" t="s">
        <v>4496</v>
      </c>
      <c r="S5591" t="s">
        <v>1615</v>
      </c>
      <c r="T5591" t="s">
        <v>1810</v>
      </c>
    </row>
    <row r="5592" spans="1:20" x14ac:dyDescent="0.25">
      <c r="A5592">
        <v>9</v>
      </c>
      <c r="B5592">
        <v>199</v>
      </c>
      <c r="C5592" t="str">
        <f>"34"</f>
        <v>34</v>
      </c>
      <c r="D5592">
        <v>6249</v>
      </c>
      <c r="E5592" t="str">
        <f>"10"</f>
        <v>10</v>
      </c>
      <c r="F5592" t="str">
        <f>"937"</f>
        <v>937</v>
      </c>
      <c r="G5592">
        <v>9</v>
      </c>
      <c r="H5592" t="str">
        <f t="shared" si="1226"/>
        <v>99</v>
      </c>
      <c r="I5592" t="str">
        <f t="shared" si="1222"/>
        <v>0</v>
      </c>
      <c r="J5592" t="str">
        <f>"82"</f>
        <v>82</v>
      </c>
      <c r="K5592">
        <v>20190405</v>
      </c>
      <c r="L5592" t="str">
        <f>"076343"</f>
        <v>076343</v>
      </c>
      <c r="M5592" t="str">
        <f>"21901"</f>
        <v>21901</v>
      </c>
      <c r="N5592" t="s">
        <v>2046</v>
      </c>
      <c r="O5592" s="1">
        <v>6130.66</v>
      </c>
      <c r="P5592">
        <v>20190404</v>
      </c>
      <c r="Q5592" t="s">
        <v>2036</v>
      </c>
      <c r="R5592" t="s">
        <v>4497</v>
      </c>
      <c r="S5592" t="s">
        <v>1615</v>
      </c>
      <c r="T5592" t="s">
        <v>1810</v>
      </c>
    </row>
    <row r="5593" spans="1:20" x14ac:dyDescent="0.25">
      <c r="A5593">
        <v>9</v>
      </c>
      <c r="B5593">
        <v>199</v>
      </c>
      <c r="C5593" t="str">
        <f>"34"</f>
        <v>34</v>
      </c>
      <c r="D5593">
        <v>6249</v>
      </c>
      <c r="E5593" t="str">
        <f>"10"</f>
        <v>10</v>
      </c>
      <c r="F5593" t="str">
        <f>"937"</f>
        <v>937</v>
      </c>
      <c r="G5593">
        <v>9</v>
      </c>
      <c r="H5593" t="str">
        <f t="shared" si="1226"/>
        <v>99</v>
      </c>
      <c r="I5593" t="str">
        <f t="shared" si="1222"/>
        <v>0</v>
      </c>
      <c r="J5593" t="str">
        <f>"82"</f>
        <v>82</v>
      </c>
      <c r="K5593">
        <v>20190405</v>
      </c>
      <c r="L5593" t="str">
        <f>"076343"</f>
        <v>076343</v>
      </c>
      <c r="M5593" t="str">
        <f>"21901"</f>
        <v>21901</v>
      </c>
      <c r="N5593" t="s">
        <v>2046</v>
      </c>
      <c r="O5593">
        <v>235.2</v>
      </c>
      <c r="P5593">
        <v>20190404</v>
      </c>
      <c r="Q5593" t="s">
        <v>2036</v>
      </c>
      <c r="R5593" t="s">
        <v>4498</v>
      </c>
      <c r="S5593" t="s">
        <v>1615</v>
      </c>
      <c r="T5593" t="s">
        <v>1810</v>
      </c>
    </row>
    <row r="5594" spans="1:20" x14ac:dyDescent="0.25">
      <c r="A5594">
        <v>9</v>
      </c>
      <c r="B5594">
        <v>199</v>
      </c>
      <c r="C5594" t="str">
        <f>"51"</f>
        <v>51</v>
      </c>
      <c r="D5594">
        <v>6249</v>
      </c>
      <c r="E5594" t="str">
        <f>"MC"</f>
        <v>MC</v>
      </c>
      <c r="F5594" t="str">
        <f>"101"</f>
        <v>101</v>
      </c>
      <c r="G5594">
        <v>9</v>
      </c>
      <c r="H5594" t="str">
        <f t="shared" si="1226"/>
        <v>99</v>
      </c>
      <c r="I5594" t="str">
        <f t="shared" si="1222"/>
        <v>0</v>
      </c>
      <c r="J5594" t="str">
        <f>"81"</f>
        <v>81</v>
      </c>
      <c r="K5594">
        <v>20190405</v>
      </c>
      <c r="L5594" t="str">
        <f>"076346"</f>
        <v>076346</v>
      </c>
      <c r="M5594" t="str">
        <f>"00778"</f>
        <v>00778</v>
      </c>
      <c r="N5594" t="s">
        <v>4499</v>
      </c>
      <c r="O5594" s="1">
        <v>17550</v>
      </c>
      <c r="P5594">
        <v>20190404</v>
      </c>
      <c r="Q5594" t="s">
        <v>4500</v>
      </c>
      <c r="R5594" t="s">
        <v>4501</v>
      </c>
      <c r="S5594" t="s">
        <v>1615</v>
      </c>
      <c r="T5594" t="s">
        <v>1479</v>
      </c>
    </row>
    <row r="5595" spans="1:20" x14ac:dyDescent="0.25">
      <c r="A5595">
        <v>9</v>
      </c>
      <c r="B5595">
        <v>199</v>
      </c>
      <c r="C5595" t="str">
        <f>"11"</f>
        <v>11</v>
      </c>
      <c r="D5595">
        <v>6499</v>
      </c>
      <c r="E5595" t="str">
        <f>"7Q"</f>
        <v>7Q</v>
      </c>
      <c r="F5595" t="str">
        <f>"001"</f>
        <v>001</v>
      </c>
      <c r="G5595">
        <v>9</v>
      </c>
      <c r="H5595" t="str">
        <f>"11"</f>
        <v>11</v>
      </c>
      <c r="I5595" t="str">
        <f t="shared" si="1222"/>
        <v>0</v>
      </c>
      <c r="J5595" t="str">
        <f>"01"</f>
        <v>01</v>
      </c>
      <c r="K5595">
        <v>20190405</v>
      </c>
      <c r="L5595" t="str">
        <f>"076347"</f>
        <v>076347</v>
      </c>
      <c r="M5595" t="str">
        <f>"23665"</f>
        <v>23665</v>
      </c>
      <c r="N5595" t="s">
        <v>4502</v>
      </c>
      <c r="O5595" s="1">
        <v>1067.6500000000001</v>
      </c>
      <c r="P5595">
        <v>20190404</v>
      </c>
      <c r="Q5595" t="s">
        <v>4215</v>
      </c>
      <c r="R5595" t="s">
        <v>4503</v>
      </c>
      <c r="S5595" t="s">
        <v>1615</v>
      </c>
      <c r="T5595" t="s">
        <v>301</v>
      </c>
    </row>
    <row r="5596" spans="1:20" x14ac:dyDescent="0.25">
      <c r="A5596">
        <v>9</v>
      </c>
      <c r="B5596">
        <v>199</v>
      </c>
      <c r="C5596" t="str">
        <f>"11"</f>
        <v>11</v>
      </c>
      <c r="D5596">
        <v>6399</v>
      </c>
      <c r="E5596" t="str">
        <f>"R1"</f>
        <v>R1</v>
      </c>
      <c r="F5596" t="str">
        <f>"001"</f>
        <v>001</v>
      </c>
      <c r="G5596">
        <v>9</v>
      </c>
      <c r="H5596" t="str">
        <f>"11"</f>
        <v>11</v>
      </c>
      <c r="I5596" t="str">
        <f t="shared" si="1222"/>
        <v>0</v>
      </c>
      <c r="J5596" t="str">
        <f>"01"</f>
        <v>01</v>
      </c>
      <c r="K5596">
        <v>20190405</v>
      </c>
      <c r="L5596" t="str">
        <f>"076350"</f>
        <v>076350</v>
      </c>
      <c r="M5596" t="str">
        <f>"25165"</f>
        <v>25165</v>
      </c>
      <c r="N5596" t="s">
        <v>2860</v>
      </c>
      <c r="O5596">
        <v>64.989999999999995</v>
      </c>
      <c r="P5596">
        <v>20190404</v>
      </c>
      <c r="Q5596" t="s">
        <v>2441</v>
      </c>
      <c r="R5596" t="s">
        <v>4504</v>
      </c>
      <c r="S5596" t="s">
        <v>1615</v>
      </c>
      <c r="T5596" t="s">
        <v>301</v>
      </c>
    </row>
    <row r="5597" spans="1:20" x14ac:dyDescent="0.25">
      <c r="A5597">
        <v>9</v>
      </c>
      <c r="B5597">
        <v>199</v>
      </c>
      <c r="C5597" t="str">
        <f>"12"</f>
        <v>12</v>
      </c>
      <c r="D5597">
        <v>6399</v>
      </c>
      <c r="E5597" t="str">
        <f>"7U"</f>
        <v>7U</v>
      </c>
      <c r="F5597" t="str">
        <f>"101"</f>
        <v>101</v>
      </c>
      <c r="G5597">
        <v>9</v>
      </c>
      <c r="H5597" t="str">
        <f>"11"</f>
        <v>11</v>
      </c>
      <c r="I5597" t="str">
        <f t="shared" si="1222"/>
        <v>0</v>
      </c>
      <c r="J5597" t="str">
        <f>"04"</f>
        <v>04</v>
      </c>
      <c r="K5597">
        <v>20190405</v>
      </c>
      <c r="L5597" t="str">
        <f>"076351"</f>
        <v>076351</v>
      </c>
      <c r="M5597" t="str">
        <f>"25221"</f>
        <v>25221</v>
      </c>
      <c r="N5597" t="s">
        <v>2484</v>
      </c>
      <c r="O5597">
        <v>469.81</v>
      </c>
      <c r="P5597">
        <v>20190404</v>
      </c>
      <c r="Q5597" t="s">
        <v>3512</v>
      </c>
      <c r="R5597" t="s">
        <v>2486</v>
      </c>
      <c r="S5597" t="s">
        <v>1615</v>
      </c>
      <c r="T5597" t="s">
        <v>1479</v>
      </c>
    </row>
    <row r="5598" spans="1:20" x14ac:dyDescent="0.25">
      <c r="A5598">
        <v>9</v>
      </c>
      <c r="B5598">
        <v>199</v>
      </c>
      <c r="C5598" t="str">
        <f>"11"</f>
        <v>11</v>
      </c>
      <c r="D5598">
        <v>6412</v>
      </c>
      <c r="E5598" t="str">
        <f>"V8"</f>
        <v>V8</v>
      </c>
      <c r="F5598" t="str">
        <f t="shared" ref="F5598:F5604" si="1227">"001"</f>
        <v>001</v>
      </c>
      <c r="G5598">
        <v>9</v>
      </c>
      <c r="H5598" t="str">
        <f>"22"</f>
        <v>22</v>
      </c>
      <c r="I5598" t="str">
        <f t="shared" si="1222"/>
        <v>0</v>
      </c>
      <c r="J5598" t="str">
        <f>"22"</f>
        <v>22</v>
      </c>
      <c r="K5598">
        <v>20190405</v>
      </c>
      <c r="L5598" t="str">
        <f>"076352"</f>
        <v>076352</v>
      </c>
      <c r="M5598" t="str">
        <f>"25460"</f>
        <v>25460</v>
      </c>
      <c r="N5598" t="s">
        <v>2600</v>
      </c>
      <c r="O5598">
        <v>310</v>
      </c>
      <c r="P5598">
        <v>20190404</v>
      </c>
      <c r="Q5598" t="s">
        <v>1884</v>
      </c>
      <c r="R5598" t="s">
        <v>4505</v>
      </c>
      <c r="S5598" t="s">
        <v>1615</v>
      </c>
      <c r="T5598" t="s">
        <v>301</v>
      </c>
    </row>
    <row r="5599" spans="1:20" x14ac:dyDescent="0.25">
      <c r="A5599">
        <v>9</v>
      </c>
      <c r="B5599">
        <v>199</v>
      </c>
      <c r="C5599" t="str">
        <f>"36"</f>
        <v>36</v>
      </c>
      <c r="D5599">
        <v>6411</v>
      </c>
      <c r="E5599" t="str">
        <f>"V8"</f>
        <v>V8</v>
      </c>
      <c r="F5599" t="str">
        <f t="shared" si="1227"/>
        <v>001</v>
      </c>
      <c r="G5599">
        <v>9</v>
      </c>
      <c r="H5599" t="str">
        <f>"22"</f>
        <v>22</v>
      </c>
      <c r="I5599" t="str">
        <f t="shared" si="1222"/>
        <v>0</v>
      </c>
      <c r="J5599" t="str">
        <f>"22"</f>
        <v>22</v>
      </c>
      <c r="K5599">
        <v>20190405</v>
      </c>
      <c r="L5599" t="str">
        <f>"076352"</f>
        <v>076352</v>
      </c>
      <c r="M5599" t="str">
        <f>"25460"</f>
        <v>25460</v>
      </c>
      <c r="N5599" t="s">
        <v>2600</v>
      </c>
      <c r="O5599">
        <v>75</v>
      </c>
      <c r="P5599">
        <v>20190404</v>
      </c>
      <c r="Q5599" t="s">
        <v>2602</v>
      </c>
      <c r="R5599" t="s">
        <v>4505</v>
      </c>
      <c r="S5599" t="s">
        <v>1615</v>
      </c>
      <c r="T5599" t="s">
        <v>301</v>
      </c>
    </row>
    <row r="5600" spans="1:20" x14ac:dyDescent="0.25">
      <c r="A5600">
        <v>9</v>
      </c>
      <c r="B5600">
        <v>199</v>
      </c>
      <c r="C5600" t="str">
        <f>"36"</f>
        <v>36</v>
      </c>
      <c r="D5600">
        <v>6412</v>
      </c>
      <c r="E5600" t="str">
        <f>"7A"</f>
        <v>7A</v>
      </c>
      <c r="F5600" t="str">
        <f t="shared" si="1227"/>
        <v>001</v>
      </c>
      <c r="G5600">
        <v>9</v>
      </c>
      <c r="H5600" t="str">
        <f>"99"</f>
        <v>99</v>
      </c>
      <c r="I5600" t="str">
        <f>"1"</f>
        <v>1</v>
      </c>
      <c r="J5600" t="str">
        <f>"01"</f>
        <v>01</v>
      </c>
      <c r="K5600">
        <v>20190405</v>
      </c>
      <c r="L5600" t="str">
        <f>"076354"</f>
        <v>076354</v>
      </c>
      <c r="M5600" t="str">
        <f>"27002"</f>
        <v>27002</v>
      </c>
      <c r="N5600" t="s">
        <v>3645</v>
      </c>
      <c r="O5600">
        <v>60</v>
      </c>
      <c r="P5600">
        <v>20190404</v>
      </c>
      <c r="Q5600" t="s">
        <v>3648</v>
      </c>
      <c r="R5600" t="s">
        <v>4494</v>
      </c>
      <c r="S5600" t="s">
        <v>1615</v>
      </c>
      <c r="T5600" t="s">
        <v>301</v>
      </c>
    </row>
    <row r="5601" spans="1:20" x14ac:dyDescent="0.25">
      <c r="A5601">
        <v>9</v>
      </c>
      <c r="B5601">
        <v>199</v>
      </c>
      <c r="C5601" t="str">
        <f>"36"</f>
        <v>36</v>
      </c>
      <c r="D5601">
        <v>6412</v>
      </c>
      <c r="E5601" t="str">
        <f>"7A"</f>
        <v>7A</v>
      </c>
      <c r="F5601" t="str">
        <f t="shared" si="1227"/>
        <v>001</v>
      </c>
      <c r="G5601">
        <v>9</v>
      </c>
      <c r="H5601" t="str">
        <f>"99"</f>
        <v>99</v>
      </c>
      <c r="I5601" t="str">
        <f>"5"</f>
        <v>5</v>
      </c>
      <c r="J5601" t="str">
        <f>"74"</f>
        <v>74</v>
      </c>
      <c r="K5601">
        <v>20190405</v>
      </c>
      <c r="L5601" t="str">
        <f>"076354"</f>
        <v>076354</v>
      </c>
      <c r="M5601" t="str">
        <f>"27002"</f>
        <v>27002</v>
      </c>
      <c r="N5601" t="s">
        <v>3645</v>
      </c>
      <c r="O5601">
        <v>50</v>
      </c>
      <c r="P5601">
        <v>20190404</v>
      </c>
      <c r="Q5601" t="s">
        <v>4438</v>
      </c>
      <c r="R5601" t="s">
        <v>4494</v>
      </c>
      <c r="S5601" t="s">
        <v>1615</v>
      </c>
      <c r="T5601" t="s">
        <v>301</v>
      </c>
    </row>
    <row r="5602" spans="1:20" x14ac:dyDescent="0.25">
      <c r="A5602">
        <v>9</v>
      </c>
      <c r="B5602">
        <v>199</v>
      </c>
      <c r="C5602" t="str">
        <f t="shared" ref="C5602:C5607" si="1228">"11"</f>
        <v>11</v>
      </c>
      <c r="D5602">
        <v>6399</v>
      </c>
      <c r="E5602" t="str">
        <f>"V8"</f>
        <v>V8</v>
      </c>
      <c r="F5602" t="str">
        <f t="shared" si="1227"/>
        <v>001</v>
      </c>
      <c r="G5602">
        <v>9</v>
      </c>
      <c r="H5602" t="str">
        <f>"22"</f>
        <v>22</v>
      </c>
      <c r="I5602" t="str">
        <f t="shared" ref="I5602:I5616" si="1229">"0"</f>
        <v>0</v>
      </c>
      <c r="J5602" t="str">
        <f>"22"</f>
        <v>22</v>
      </c>
      <c r="K5602">
        <v>20190405</v>
      </c>
      <c r="L5602" t="str">
        <f>"076355"</f>
        <v>076355</v>
      </c>
      <c r="M5602" t="str">
        <f>"21049"</f>
        <v>21049</v>
      </c>
      <c r="N5602" t="s">
        <v>1883</v>
      </c>
      <c r="O5602" s="1">
        <v>1306</v>
      </c>
      <c r="P5602">
        <v>20190404</v>
      </c>
      <c r="Q5602" t="s">
        <v>2001</v>
      </c>
      <c r="R5602" t="s">
        <v>3558</v>
      </c>
      <c r="S5602" t="s">
        <v>1615</v>
      </c>
      <c r="T5602" t="s">
        <v>301</v>
      </c>
    </row>
    <row r="5603" spans="1:20" x14ac:dyDescent="0.25">
      <c r="A5603">
        <v>9</v>
      </c>
      <c r="B5603">
        <v>199</v>
      </c>
      <c r="C5603" t="str">
        <f t="shared" si="1228"/>
        <v>11</v>
      </c>
      <c r="D5603">
        <v>6412</v>
      </c>
      <c r="E5603" t="str">
        <f>"V8"</f>
        <v>V8</v>
      </c>
      <c r="F5603" t="str">
        <f t="shared" si="1227"/>
        <v>001</v>
      </c>
      <c r="G5603">
        <v>9</v>
      </c>
      <c r="H5603" t="str">
        <f>"22"</f>
        <v>22</v>
      </c>
      <c r="I5603" t="str">
        <f t="shared" si="1229"/>
        <v>0</v>
      </c>
      <c r="J5603" t="str">
        <f>"22"</f>
        <v>22</v>
      </c>
      <c r="K5603">
        <v>20190405</v>
      </c>
      <c r="L5603" t="str">
        <f>"076355"</f>
        <v>076355</v>
      </c>
      <c r="M5603" t="str">
        <f>"21049"</f>
        <v>21049</v>
      </c>
      <c r="N5603" t="s">
        <v>1883</v>
      </c>
      <c r="O5603">
        <v>372</v>
      </c>
      <c r="P5603">
        <v>20190404</v>
      </c>
      <c r="Q5603" t="s">
        <v>1884</v>
      </c>
      <c r="R5603" t="s">
        <v>4506</v>
      </c>
      <c r="S5603" t="s">
        <v>1615</v>
      </c>
      <c r="T5603" t="s">
        <v>301</v>
      </c>
    </row>
    <row r="5604" spans="1:20" x14ac:dyDescent="0.25">
      <c r="A5604">
        <v>9</v>
      </c>
      <c r="B5604">
        <v>199</v>
      </c>
      <c r="C5604" t="str">
        <f t="shared" si="1228"/>
        <v>11</v>
      </c>
      <c r="D5604">
        <v>6495</v>
      </c>
      <c r="E5604" t="str">
        <f>"V8"</f>
        <v>V8</v>
      </c>
      <c r="F5604" t="str">
        <f t="shared" si="1227"/>
        <v>001</v>
      </c>
      <c r="G5604">
        <v>9</v>
      </c>
      <c r="H5604" t="str">
        <f>"22"</f>
        <v>22</v>
      </c>
      <c r="I5604" t="str">
        <f t="shared" si="1229"/>
        <v>0</v>
      </c>
      <c r="J5604" t="str">
        <f>"22"</f>
        <v>22</v>
      </c>
      <c r="K5604">
        <v>20190405</v>
      </c>
      <c r="L5604" t="str">
        <f>"076355"</f>
        <v>076355</v>
      </c>
      <c r="M5604" t="str">
        <f>"21049"</f>
        <v>21049</v>
      </c>
      <c r="N5604" t="s">
        <v>1883</v>
      </c>
      <c r="O5604">
        <v>100</v>
      </c>
      <c r="P5604">
        <v>20190404</v>
      </c>
      <c r="Q5604" t="s">
        <v>2338</v>
      </c>
      <c r="R5604" t="s">
        <v>4507</v>
      </c>
      <c r="S5604" t="s">
        <v>1615</v>
      </c>
      <c r="T5604" t="s">
        <v>301</v>
      </c>
    </row>
    <row r="5605" spans="1:20" x14ac:dyDescent="0.25">
      <c r="A5605">
        <v>9</v>
      </c>
      <c r="B5605">
        <v>199</v>
      </c>
      <c r="C5605" t="str">
        <f t="shared" si="1228"/>
        <v>11</v>
      </c>
      <c r="D5605">
        <v>6495</v>
      </c>
      <c r="E5605" t="str">
        <f>"V8"</f>
        <v>V8</v>
      </c>
      <c r="F5605" t="str">
        <f>"041"</f>
        <v>041</v>
      </c>
      <c r="G5605">
        <v>9</v>
      </c>
      <c r="H5605" t="str">
        <f>"11"</f>
        <v>11</v>
      </c>
      <c r="I5605" t="str">
        <f t="shared" si="1229"/>
        <v>0</v>
      </c>
      <c r="J5605" t="str">
        <f>"03"</f>
        <v>03</v>
      </c>
      <c r="K5605">
        <v>20190405</v>
      </c>
      <c r="L5605" t="str">
        <f>"076355"</f>
        <v>076355</v>
      </c>
      <c r="M5605" t="str">
        <f>"21049"</f>
        <v>21049</v>
      </c>
      <c r="N5605" t="s">
        <v>1883</v>
      </c>
      <c r="O5605">
        <v>120</v>
      </c>
      <c r="P5605">
        <v>20190404</v>
      </c>
      <c r="Q5605" t="s">
        <v>2058</v>
      </c>
      <c r="R5605" t="s">
        <v>4506</v>
      </c>
      <c r="S5605" t="s">
        <v>1615</v>
      </c>
      <c r="T5605" t="s">
        <v>106</v>
      </c>
    </row>
    <row r="5606" spans="1:20" x14ac:dyDescent="0.25">
      <c r="A5606">
        <v>9</v>
      </c>
      <c r="B5606">
        <v>199</v>
      </c>
      <c r="C5606" t="str">
        <f t="shared" si="1228"/>
        <v>11</v>
      </c>
      <c r="D5606">
        <v>6412</v>
      </c>
      <c r="E5606" t="str">
        <f>"V8"</f>
        <v>V8</v>
      </c>
      <c r="F5606" t="str">
        <f>"001"</f>
        <v>001</v>
      </c>
      <c r="G5606">
        <v>9</v>
      </c>
      <c r="H5606" t="str">
        <f>"22"</f>
        <v>22</v>
      </c>
      <c r="I5606" t="str">
        <f t="shared" si="1229"/>
        <v>0</v>
      </c>
      <c r="J5606" t="str">
        <f>"22"</f>
        <v>22</v>
      </c>
      <c r="K5606">
        <v>20190405</v>
      </c>
      <c r="L5606" t="str">
        <f>"076356"</f>
        <v>076356</v>
      </c>
      <c r="M5606" t="str">
        <f>"21049"</f>
        <v>21049</v>
      </c>
      <c r="N5606" t="s">
        <v>1883</v>
      </c>
      <c r="O5606">
        <v>465</v>
      </c>
      <c r="P5606">
        <v>20190404</v>
      </c>
      <c r="Q5606" t="s">
        <v>1884</v>
      </c>
      <c r="R5606" t="s">
        <v>4505</v>
      </c>
      <c r="S5606" t="s">
        <v>1615</v>
      </c>
      <c r="T5606" t="s">
        <v>301</v>
      </c>
    </row>
    <row r="5607" spans="1:20" x14ac:dyDescent="0.25">
      <c r="A5607">
        <v>9</v>
      </c>
      <c r="B5607">
        <v>199</v>
      </c>
      <c r="C5607" t="str">
        <f t="shared" si="1228"/>
        <v>11</v>
      </c>
      <c r="D5607">
        <v>6299</v>
      </c>
      <c r="E5607" t="str">
        <f>"7B"</f>
        <v>7B</v>
      </c>
      <c r="F5607" t="str">
        <f>"001"</f>
        <v>001</v>
      </c>
      <c r="G5607">
        <v>9</v>
      </c>
      <c r="H5607" t="str">
        <f>"11"</f>
        <v>11</v>
      </c>
      <c r="I5607" t="str">
        <f t="shared" si="1229"/>
        <v>0</v>
      </c>
      <c r="J5607" t="str">
        <f>"32"</f>
        <v>32</v>
      </c>
      <c r="K5607">
        <v>20190405</v>
      </c>
      <c r="L5607" t="str">
        <f>"076357"</f>
        <v>076357</v>
      </c>
      <c r="M5607" t="str">
        <f>"28827"</f>
        <v>28827</v>
      </c>
      <c r="N5607" t="s">
        <v>4508</v>
      </c>
      <c r="O5607">
        <v>100</v>
      </c>
      <c r="P5607">
        <v>20190404</v>
      </c>
      <c r="Q5607" t="s">
        <v>4436</v>
      </c>
      <c r="R5607" t="s">
        <v>4509</v>
      </c>
      <c r="S5607" t="s">
        <v>1615</v>
      </c>
      <c r="T5607" t="s">
        <v>301</v>
      </c>
    </row>
    <row r="5608" spans="1:20" x14ac:dyDescent="0.25">
      <c r="A5608">
        <v>9</v>
      </c>
      <c r="B5608">
        <v>199</v>
      </c>
      <c r="C5608" t="str">
        <f>"34"</f>
        <v>34</v>
      </c>
      <c r="D5608">
        <v>6249</v>
      </c>
      <c r="E5608" t="str">
        <f>"10"</f>
        <v>10</v>
      </c>
      <c r="F5608" t="str">
        <f>"937"</f>
        <v>937</v>
      </c>
      <c r="G5608">
        <v>9</v>
      </c>
      <c r="H5608" t="str">
        <f t="shared" ref="H5608:H5613" si="1230">"99"</f>
        <v>99</v>
      </c>
      <c r="I5608" t="str">
        <f t="shared" si="1229"/>
        <v>0</v>
      </c>
      <c r="J5608" t="str">
        <f>"82"</f>
        <v>82</v>
      </c>
      <c r="K5608">
        <v>20190405</v>
      </c>
      <c r="L5608" t="str">
        <f>"076359"</f>
        <v>076359</v>
      </c>
      <c r="M5608" t="str">
        <f>"30130"</f>
        <v>30130</v>
      </c>
      <c r="N5608" t="s">
        <v>3025</v>
      </c>
      <c r="O5608">
        <v>482.7</v>
      </c>
      <c r="P5608">
        <v>20190404</v>
      </c>
      <c r="Q5608" t="s">
        <v>2036</v>
      </c>
      <c r="R5608" t="s">
        <v>4510</v>
      </c>
      <c r="S5608" t="s">
        <v>1615</v>
      </c>
      <c r="T5608" t="s">
        <v>1810</v>
      </c>
    </row>
    <row r="5609" spans="1:20" x14ac:dyDescent="0.25">
      <c r="A5609">
        <v>9</v>
      </c>
      <c r="B5609">
        <v>199</v>
      </c>
      <c r="C5609" t="str">
        <f>"34"</f>
        <v>34</v>
      </c>
      <c r="D5609">
        <v>6249</v>
      </c>
      <c r="E5609" t="str">
        <f>"10"</f>
        <v>10</v>
      </c>
      <c r="F5609" t="str">
        <f>"937"</f>
        <v>937</v>
      </c>
      <c r="G5609">
        <v>9</v>
      </c>
      <c r="H5609" t="str">
        <f t="shared" si="1230"/>
        <v>99</v>
      </c>
      <c r="I5609" t="str">
        <f t="shared" si="1229"/>
        <v>0</v>
      </c>
      <c r="J5609" t="str">
        <f>"82"</f>
        <v>82</v>
      </c>
      <c r="K5609">
        <v>20190405</v>
      </c>
      <c r="L5609" t="str">
        <f>"076359"</f>
        <v>076359</v>
      </c>
      <c r="M5609" t="str">
        <f>"30130"</f>
        <v>30130</v>
      </c>
      <c r="N5609" t="s">
        <v>3025</v>
      </c>
      <c r="O5609" s="1">
        <v>2831.12</v>
      </c>
      <c r="P5609">
        <v>20190404</v>
      </c>
      <c r="Q5609" t="s">
        <v>2036</v>
      </c>
      <c r="R5609" t="s">
        <v>4511</v>
      </c>
      <c r="S5609" t="s">
        <v>1615</v>
      </c>
      <c r="T5609" t="s">
        <v>1810</v>
      </c>
    </row>
    <row r="5610" spans="1:20" x14ac:dyDescent="0.25">
      <c r="A5610">
        <v>9</v>
      </c>
      <c r="B5610">
        <v>199</v>
      </c>
      <c r="C5610" t="str">
        <f>"34"</f>
        <v>34</v>
      </c>
      <c r="D5610">
        <v>6249</v>
      </c>
      <c r="E5610" t="str">
        <f>"10"</f>
        <v>10</v>
      </c>
      <c r="F5610" t="str">
        <f>"937"</f>
        <v>937</v>
      </c>
      <c r="G5610">
        <v>9</v>
      </c>
      <c r="H5610" t="str">
        <f t="shared" si="1230"/>
        <v>99</v>
      </c>
      <c r="I5610" t="str">
        <f t="shared" si="1229"/>
        <v>0</v>
      </c>
      <c r="J5610" t="str">
        <f>"82"</f>
        <v>82</v>
      </c>
      <c r="K5610">
        <v>20190405</v>
      </c>
      <c r="L5610" t="str">
        <f>"076359"</f>
        <v>076359</v>
      </c>
      <c r="M5610" t="str">
        <f>"30130"</f>
        <v>30130</v>
      </c>
      <c r="N5610" t="s">
        <v>3025</v>
      </c>
      <c r="O5610">
        <v>458.71</v>
      </c>
      <c r="P5610">
        <v>20190404</v>
      </c>
      <c r="Q5610" t="s">
        <v>2036</v>
      </c>
      <c r="R5610" t="s">
        <v>4512</v>
      </c>
      <c r="S5610" t="s">
        <v>1615</v>
      </c>
      <c r="T5610" t="s">
        <v>1810</v>
      </c>
    </row>
    <row r="5611" spans="1:20" x14ac:dyDescent="0.25">
      <c r="A5611">
        <v>9</v>
      </c>
      <c r="B5611">
        <v>199</v>
      </c>
      <c r="C5611" t="str">
        <f>"34"</f>
        <v>34</v>
      </c>
      <c r="D5611">
        <v>6249</v>
      </c>
      <c r="E5611" t="str">
        <f>"10"</f>
        <v>10</v>
      </c>
      <c r="F5611" t="str">
        <f>"937"</f>
        <v>937</v>
      </c>
      <c r="G5611">
        <v>9</v>
      </c>
      <c r="H5611" t="str">
        <f t="shared" si="1230"/>
        <v>99</v>
      </c>
      <c r="I5611" t="str">
        <f t="shared" si="1229"/>
        <v>0</v>
      </c>
      <c r="J5611" t="str">
        <f>"82"</f>
        <v>82</v>
      </c>
      <c r="K5611">
        <v>20190405</v>
      </c>
      <c r="L5611" t="str">
        <f>"076359"</f>
        <v>076359</v>
      </c>
      <c r="M5611" t="str">
        <f>"30130"</f>
        <v>30130</v>
      </c>
      <c r="N5611" t="s">
        <v>3025</v>
      </c>
      <c r="O5611">
        <v>958.23</v>
      </c>
      <c r="P5611">
        <v>20190404</v>
      </c>
      <c r="Q5611" t="s">
        <v>2036</v>
      </c>
      <c r="R5611" t="s">
        <v>4513</v>
      </c>
      <c r="S5611" t="s">
        <v>1615</v>
      </c>
      <c r="T5611" t="s">
        <v>1810</v>
      </c>
    </row>
    <row r="5612" spans="1:20" x14ac:dyDescent="0.25">
      <c r="A5612">
        <v>9</v>
      </c>
      <c r="B5612">
        <v>199</v>
      </c>
      <c r="C5612" t="str">
        <f>"36"</f>
        <v>36</v>
      </c>
      <c r="D5612">
        <v>6412</v>
      </c>
      <c r="E5612" t="str">
        <f>"H2"</f>
        <v>H2</v>
      </c>
      <c r="F5612" t="str">
        <f t="shared" ref="F5612:F5617" si="1231">"001"</f>
        <v>001</v>
      </c>
      <c r="G5612">
        <v>9</v>
      </c>
      <c r="H5612" t="str">
        <f t="shared" si="1230"/>
        <v>99</v>
      </c>
      <c r="I5612" t="str">
        <f t="shared" si="1229"/>
        <v>0</v>
      </c>
      <c r="J5612" t="str">
        <f>"37"</f>
        <v>37</v>
      </c>
      <c r="K5612">
        <v>20190405</v>
      </c>
      <c r="L5612" t="str">
        <f>"076360"</f>
        <v>076360</v>
      </c>
      <c r="M5612" t="str">
        <f>"30841"</f>
        <v>30841</v>
      </c>
      <c r="N5612" t="s">
        <v>4514</v>
      </c>
      <c r="O5612" s="1">
        <v>1101</v>
      </c>
      <c r="P5612">
        <v>20190404</v>
      </c>
      <c r="Q5612" t="s">
        <v>1704</v>
      </c>
      <c r="R5612" t="s">
        <v>4515</v>
      </c>
      <c r="S5612" t="s">
        <v>1615</v>
      </c>
      <c r="T5612" t="s">
        <v>301</v>
      </c>
    </row>
    <row r="5613" spans="1:20" x14ac:dyDescent="0.25">
      <c r="A5613">
        <v>9</v>
      </c>
      <c r="B5613">
        <v>199</v>
      </c>
      <c r="C5613" t="str">
        <f>"36"</f>
        <v>36</v>
      </c>
      <c r="D5613">
        <v>6499</v>
      </c>
      <c r="E5613" t="str">
        <f>"H2"</f>
        <v>H2</v>
      </c>
      <c r="F5613" t="str">
        <f t="shared" si="1231"/>
        <v>001</v>
      </c>
      <c r="G5613">
        <v>9</v>
      </c>
      <c r="H5613" t="str">
        <f t="shared" si="1230"/>
        <v>99</v>
      </c>
      <c r="I5613" t="str">
        <f t="shared" si="1229"/>
        <v>0</v>
      </c>
      <c r="J5613" t="str">
        <f>"37"</f>
        <v>37</v>
      </c>
      <c r="K5613">
        <v>20190405</v>
      </c>
      <c r="L5613" t="str">
        <f>"076360"</f>
        <v>076360</v>
      </c>
      <c r="M5613" t="str">
        <f>"30841"</f>
        <v>30841</v>
      </c>
      <c r="N5613" t="s">
        <v>4514</v>
      </c>
      <c r="O5613">
        <v>189</v>
      </c>
      <c r="P5613">
        <v>20190404</v>
      </c>
      <c r="Q5613" t="s">
        <v>2903</v>
      </c>
      <c r="R5613" t="s">
        <v>4515</v>
      </c>
      <c r="S5613" t="s">
        <v>1615</v>
      </c>
      <c r="T5613" t="s">
        <v>301</v>
      </c>
    </row>
    <row r="5614" spans="1:20" x14ac:dyDescent="0.25">
      <c r="A5614">
        <v>9</v>
      </c>
      <c r="B5614">
        <v>199</v>
      </c>
      <c r="C5614" t="str">
        <f>"11"</f>
        <v>11</v>
      </c>
      <c r="D5614">
        <v>6412</v>
      </c>
      <c r="E5614" t="str">
        <f>"VD"</f>
        <v>VD</v>
      </c>
      <c r="F5614" t="str">
        <f t="shared" si="1231"/>
        <v>001</v>
      </c>
      <c r="G5614">
        <v>9</v>
      </c>
      <c r="H5614" t="str">
        <f>"22"</f>
        <v>22</v>
      </c>
      <c r="I5614" t="str">
        <f t="shared" si="1229"/>
        <v>0</v>
      </c>
      <c r="J5614" t="str">
        <f>"22"</f>
        <v>22</v>
      </c>
      <c r="K5614">
        <v>20190405</v>
      </c>
      <c r="L5614" t="str">
        <f>"076361"</f>
        <v>076361</v>
      </c>
      <c r="M5614" t="str">
        <f>"13359"</f>
        <v>13359</v>
      </c>
      <c r="N5614" t="s">
        <v>4516</v>
      </c>
      <c r="O5614" s="1">
        <v>1090.75</v>
      </c>
      <c r="P5614">
        <v>20190404</v>
      </c>
      <c r="Q5614" t="s">
        <v>2120</v>
      </c>
      <c r="R5614" t="s">
        <v>4370</v>
      </c>
      <c r="S5614" t="s">
        <v>1615</v>
      </c>
      <c r="T5614" t="s">
        <v>301</v>
      </c>
    </row>
    <row r="5615" spans="1:20" x14ac:dyDescent="0.25">
      <c r="A5615">
        <v>9</v>
      </c>
      <c r="B5615">
        <v>199</v>
      </c>
      <c r="C5615" t="str">
        <f>"36"</f>
        <v>36</v>
      </c>
      <c r="D5615">
        <v>6411</v>
      </c>
      <c r="E5615" t="str">
        <f>"VD"</f>
        <v>VD</v>
      </c>
      <c r="F5615" t="str">
        <f t="shared" si="1231"/>
        <v>001</v>
      </c>
      <c r="G5615">
        <v>9</v>
      </c>
      <c r="H5615" t="str">
        <f>"22"</f>
        <v>22</v>
      </c>
      <c r="I5615" t="str">
        <f t="shared" si="1229"/>
        <v>0</v>
      </c>
      <c r="J5615" t="str">
        <f>"22"</f>
        <v>22</v>
      </c>
      <c r="K5615">
        <v>20190405</v>
      </c>
      <c r="L5615" t="str">
        <f>"076361"</f>
        <v>076361</v>
      </c>
      <c r="M5615" t="str">
        <f>"13359"</f>
        <v>13359</v>
      </c>
      <c r="N5615" t="s">
        <v>4516</v>
      </c>
      <c r="O5615">
        <v>300</v>
      </c>
      <c r="P5615">
        <v>20190404</v>
      </c>
      <c r="Q5615" t="s">
        <v>2365</v>
      </c>
      <c r="R5615" t="s">
        <v>4370</v>
      </c>
      <c r="S5615" t="s">
        <v>1615</v>
      </c>
      <c r="T5615" t="s">
        <v>301</v>
      </c>
    </row>
    <row r="5616" spans="1:20" x14ac:dyDescent="0.25">
      <c r="A5616">
        <v>9</v>
      </c>
      <c r="B5616">
        <v>199</v>
      </c>
      <c r="C5616" t="str">
        <f>"36"</f>
        <v>36</v>
      </c>
      <c r="D5616">
        <v>6411</v>
      </c>
      <c r="E5616" t="str">
        <f>"VD"</f>
        <v>VD</v>
      </c>
      <c r="F5616" t="str">
        <f t="shared" si="1231"/>
        <v>001</v>
      </c>
      <c r="G5616">
        <v>9</v>
      </c>
      <c r="H5616" t="str">
        <f>"22"</f>
        <v>22</v>
      </c>
      <c r="I5616" t="str">
        <f t="shared" si="1229"/>
        <v>0</v>
      </c>
      <c r="J5616" t="str">
        <f>"22"</f>
        <v>22</v>
      </c>
      <c r="K5616">
        <v>20190405</v>
      </c>
      <c r="L5616" t="str">
        <f>"076361"</f>
        <v>076361</v>
      </c>
      <c r="M5616" t="str">
        <f>"13359"</f>
        <v>13359</v>
      </c>
      <c r="N5616" t="s">
        <v>4516</v>
      </c>
      <c r="O5616">
        <v>81.02</v>
      </c>
      <c r="P5616">
        <v>20190404</v>
      </c>
      <c r="Q5616" t="s">
        <v>2365</v>
      </c>
      <c r="R5616" t="s">
        <v>4370</v>
      </c>
      <c r="S5616" t="s">
        <v>1615</v>
      </c>
      <c r="T5616" t="s">
        <v>301</v>
      </c>
    </row>
    <row r="5617" spans="1:20" x14ac:dyDescent="0.25">
      <c r="A5617">
        <v>9</v>
      </c>
      <c r="B5617">
        <v>199</v>
      </c>
      <c r="C5617" t="str">
        <f>"36"</f>
        <v>36</v>
      </c>
      <c r="D5617">
        <v>6412</v>
      </c>
      <c r="E5617" t="str">
        <f>"VD"</f>
        <v>VD</v>
      </c>
      <c r="F5617" t="str">
        <f t="shared" si="1231"/>
        <v>001</v>
      </c>
      <c r="G5617">
        <v>9</v>
      </c>
      <c r="H5617" t="str">
        <f>"22"</f>
        <v>22</v>
      </c>
      <c r="I5617" t="str">
        <f>"5"</f>
        <v>5</v>
      </c>
      <c r="J5617" t="str">
        <f>"74"</f>
        <v>74</v>
      </c>
      <c r="K5617">
        <v>20190405</v>
      </c>
      <c r="L5617" t="str">
        <f>"076361"</f>
        <v>076361</v>
      </c>
      <c r="M5617" t="str">
        <f>"13359"</f>
        <v>13359</v>
      </c>
      <c r="N5617" t="s">
        <v>4516</v>
      </c>
      <c r="O5617">
        <v>349.25</v>
      </c>
      <c r="P5617">
        <v>20190404</v>
      </c>
      <c r="Q5617" t="s">
        <v>4369</v>
      </c>
      <c r="R5617" t="s">
        <v>4370</v>
      </c>
      <c r="S5617" t="s">
        <v>1615</v>
      </c>
      <c r="T5617" t="s">
        <v>301</v>
      </c>
    </row>
    <row r="5618" spans="1:20" x14ac:dyDescent="0.25">
      <c r="A5618">
        <v>9</v>
      </c>
      <c r="B5618">
        <v>199</v>
      </c>
      <c r="C5618" t="str">
        <f>"11"</f>
        <v>11</v>
      </c>
      <c r="D5618">
        <v>6399</v>
      </c>
      <c r="E5618" t="str">
        <f>"00"</f>
        <v>00</v>
      </c>
      <c r="F5618" t="str">
        <f>"101"</f>
        <v>101</v>
      </c>
      <c r="G5618">
        <v>9</v>
      </c>
      <c r="H5618" t="str">
        <f>"23"</f>
        <v>23</v>
      </c>
      <c r="I5618" t="str">
        <f t="shared" ref="I5618:I5624" si="1232">"0"</f>
        <v>0</v>
      </c>
      <c r="J5618" t="str">
        <f>"23"</f>
        <v>23</v>
      </c>
      <c r="K5618">
        <v>20190405</v>
      </c>
      <c r="L5618" t="str">
        <f t="shared" ref="L5618:L5626" si="1233">"076365"</f>
        <v>076365</v>
      </c>
      <c r="M5618" t="str">
        <f t="shared" ref="M5618:M5626" si="1234">"37500"</f>
        <v>37500</v>
      </c>
      <c r="N5618" t="s">
        <v>2077</v>
      </c>
      <c r="O5618">
        <v>47.9</v>
      </c>
      <c r="P5618">
        <v>20190404</v>
      </c>
      <c r="Q5618" t="s">
        <v>2078</v>
      </c>
      <c r="R5618" t="s">
        <v>4517</v>
      </c>
      <c r="S5618" t="s">
        <v>1615</v>
      </c>
      <c r="T5618" t="s">
        <v>1479</v>
      </c>
    </row>
    <row r="5619" spans="1:20" x14ac:dyDescent="0.25">
      <c r="A5619">
        <v>9</v>
      </c>
      <c r="B5619">
        <v>199</v>
      </c>
      <c r="C5619" t="str">
        <f>"11"</f>
        <v>11</v>
      </c>
      <c r="D5619">
        <v>6498</v>
      </c>
      <c r="E5619" t="str">
        <f>"V1"</f>
        <v>V1</v>
      </c>
      <c r="F5619" t="str">
        <f>"001"</f>
        <v>001</v>
      </c>
      <c r="G5619">
        <v>9</v>
      </c>
      <c r="H5619" t="str">
        <f>"22"</f>
        <v>22</v>
      </c>
      <c r="I5619" t="str">
        <f t="shared" si="1232"/>
        <v>0</v>
      </c>
      <c r="J5619" t="str">
        <f>"22"</f>
        <v>22</v>
      </c>
      <c r="K5619">
        <v>20190405</v>
      </c>
      <c r="L5619" t="str">
        <f t="shared" si="1233"/>
        <v>076365</v>
      </c>
      <c r="M5619" t="str">
        <f t="shared" si="1234"/>
        <v>37500</v>
      </c>
      <c r="N5619" t="s">
        <v>2077</v>
      </c>
      <c r="O5619">
        <v>68.38</v>
      </c>
      <c r="P5619">
        <v>20190404</v>
      </c>
      <c r="Q5619" t="s">
        <v>3153</v>
      </c>
      <c r="R5619" t="s">
        <v>2081</v>
      </c>
      <c r="S5619" t="s">
        <v>1615</v>
      </c>
      <c r="T5619" t="s">
        <v>301</v>
      </c>
    </row>
    <row r="5620" spans="1:20" x14ac:dyDescent="0.25">
      <c r="A5620">
        <v>9</v>
      </c>
      <c r="B5620">
        <v>199</v>
      </c>
      <c r="C5620" t="str">
        <f>"11"</f>
        <v>11</v>
      </c>
      <c r="D5620">
        <v>6499</v>
      </c>
      <c r="E5620" t="str">
        <f>"10"</f>
        <v>10</v>
      </c>
      <c r="F5620" t="str">
        <f>"104"</f>
        <v>104</v>
      </c>
      <c r="G5620">
        <v>9</v>
      </c>
      <c r="H5620" t="str">
        <f>"11"</f>
        <v>11</v>
      </c>
      <c r="I5620" t="str">
        <f t="shared" si="1232"/>
        <v>0</v>
      </c>
      <c r="J5620" t="str">
        <f>"05"</f>
        <v>05</v>
      </c>
      <c r="K5620">
        <v>20190405</v>
      </c>
      <c r="L5620" t="str">
        <f t="shared" si="1233"/>
        <v>076365</v>
      </c>
      <c r="M5620" t="str">
        <f t="shared" si="1234"/>
        <v>37500</v>
      </c>
      <c r="N5620" t="s">
        <v>2077</v>
      </c>
      <c r="O5620">
        <v>44.82</v>
      </c>
      <c r="P5620">
        <v>20190404</v>
      </c>
      <c r="Q5620" t="s">
        <v>2640</v>
      </c>
      <c r="R5620" t="s">
        <v>2641</v>
      </c>
      <c r="S5620" t="s">
        <v>1615</v>
      </c>
      <c r="T5620" t="s">
        <v>46</v>
      </c>
    </row>
    <row r="5621" spans="1:20" x14ac:dyDescent="0.25">
      <c r="A5621">
        <v>9</v>
      </c>
      <c r="B5621">
        <v>199</v>
      </c>
      <c r="C5621" t="str">
        <f>"11"</f>
        <v>11</v>
      </c>
      <c r="D5621">
        <v>6499</v>
      </c>
      <c r="E5621" t="str">
        <f>"11"</f>
        <v>11</v>
      </c>
      <c r="F5621" t="str">
        <f>"001"</f>
        <v>001</v>
      </c>
      <c r="G5621">
        <v>9</v>
      </c>
      <c r="H5621" t="str">
        <f>"11"</f>
        <v>11</v>
      </c>
      <c r="I5621" t="str">
        <f t="shared" si="1232"/>
        <v>0</v>
      </c>
      <c r="J5621" t="str">
        <f>"01"</f>
        <v>01</v>
      </c>
      <c r="K5621">
        <v>20190405</v>
      </c>
      <c r="L5621" t="str">
        <f t="shared" si="1233"/>
        <v>076365</v>
      </c>
      <c r="M5621" t="str">
        <f t="shared" si="1234"/>
        <v>37500</v>
      </c>
      <c r="N5621" t="s">
        <v>2077</v>
      </c>
      <c r="O5621">
        <v>440</v>
      </c>
      <c r="P5621">
        <v>20190404</v>
      </c>
      <c r="Q5621" t="s">
        <v>3155</v>
      </c>
      <c r="R5621" t="s">
        <v>4518</v>
      </c>
      <c r="S5621" t="s">
        <v>1615</v>
      </c>
      <c r="T5621" t="s">
        <v>301</v>
      </c>
    </row>
    <row r="5622" spans="1:20" x14ac:dyDescent="0.25">
      <c r="A5622">
        <v>9</v>
      </c>
      <c r="B5622">
        <v>199</v>
      </c>
      <c r="C5622" t="str">
        <f>"11"</f>
        <v>11</v>
      </c>
      <c r="D5622">
        <v>6499</v>
      </c>
      <c r="E5622" t="str">
        <f>"11"</f>
        <v>11</v>
      </c>
      <c r="F5622" t="str">
        <f>"001"</f>
        <v>001</v>
      </c>
      <c r="G5622">
        <v>9</v>
      </c>
      <c r="H5622" t="str">
        <f>"11"</f>
        <v>11</v>
      </c>
      <c r="I5622" t="str">
        <f t="shared" si="1232"/>
        <v>0</v>
      </c>
      <c r="J5622" t="str">
        <f>"01"</f>
        <v>01</v>
      </c>
      <c r="K5622">
        <v>20190405</v>
      </c>
      <c r="L5622" t="str">
        <f t="shared" si="1233"/>
        <v>076365</v>
      </c>
      <c r="M5622" t="str">
        <f t="shared" si="1234"/>
        <v>37500</v>
      </c>
      <c r="N5622" t="s">
        <v>2077</v>
      </c>
      <c r="O5622">
        <v>550</v>
      </c>
      <c r="P5622">
        <v>20190404</v>
      </c>
      <c r="Q5622" t="s">
        <v>3155</v>
      </c>
      <c r="R5622" t="s">
        <v>4518</v>
      </c>
      <c r="S5622" t="s">
        <v>1615</v>
      </c>
      <c r="T5622" t="s">
        <v>301</v>
      </c>
    </row>
    <row r="5623" spans="1:20" x14ac:dyDescent="0.25">
      <c r="A5623">
        <v>9</v>
      </c>
      <c r="B5623">
        <v>199</v>
      </c>
      <c r="C5623" t="str">
        <f>"36"</f>
        <v>36</v>
      </c>
      <c r="D5623">
        <v>6399</v>
      </c>
      <c r="E5623" t="str">
        <f>"09"</f>
        <v>09</v>
      </c>
      <c r="F5623" t="str">
        <f>"001"</f>
        <v>001</v>
      </c>
      <c r="G5623">
        <v>9</v>
      </c>
      <c r="H5623" t="str">
        <f>"99"</f>
        <v>99</v>
      </c>
      <c r="I5623" t="str">
        <f t="shared" si="1232"/>
        <v>0</v>
      </c>
      <c r="J5623" t="str">
        <f>"01"</f>
        <v>01</v>
      </c>
      <c r="K5623">
        <v>20190405</v>
      </c>
      <c r="L5623" t="str">
        <f t="shared" si="1233"/>
        <v>076365</v>
      </c>
      <c r="M5623" t="str">
        <f t="shared" si="1234"/>
        <v>37500</v>
      </c>
      <c r="N5623" t="s">
        <v>2077</v>
      </c>
      <c r="O5623">
        <v>24.22</v>
      </c>
      <c r="P5623">
        <v>20190404</v>
      </c>
      <c r="Q5623" t="s">
        <v>2177</v>
      </c>
      <c r="R5623" t="s">
        <v>4519</v>
      </c>
      <c r="S5623" t="s">
        <v>1615</v>
      </c>
      <c r="T5623" t="s">
        <v>301</v>
      </c>
    </row>
    <row r="5624" spans="1:20" x14ac:dyDescent="0.25">
      <c r="A5624">
        <v>9</v>
      </c>
      <c r="B5624">
        <v>199</v>
      </c>
      <c r="C5624" t="str">
        <f>"36"</f>
        <v>36</v>
      </c>
      <c r="D5624">
        <v>6399</v>
      </c>
      <c r="E5624" t="str">
        <f>"09"</f>
        <v>09</v>
      </c>
      <c r="F5624" t="str">
        <f>"001"</f>
        <v>001</v>
      </c>
      <c r="G5624">
        <v>9</v>
      </c>
      <c r="H5624" t="str">
        <f>"99"</f>
        <v>99</v>
      </c>
      <c r="I5624" t="str">
        <f t="shared" si="1232"/>
        <v>0</v>
      </c>
      <c r="J5624" t="str">
        <f>"01"</f>
        <v>01</v>
      </c>
      <c r="K5624">
        <v>20190405</v>
      </c>
      <c r="L5624" t="str">
        <f t="shared" si="1233"/>
        <v>076365</v>
      </c>
      <c r="M5624" t="str">
        <f t="shared" si="1234"/>
        <v>37500</v>
      </c>
      <c r="N5624" t="s">
        <v>2077</v>
      </c>
      <c r="O5624">
        <v>26.85</v>
      </c>
      <c r="P5624">
        <v>20190404</v>
      </c>
      <c r="Q5624" t="s">
        <v>2177</v>
      </c>
      <c r="R5624" t="s">
        <v>4519</v>
      </c>
      <c r="S5624" t="s">
        <v>1615</v>
      </c>
      <c r="T5624" t="s">
        <v>301</v>
      </c>
    </row>
    <row r="5625" spans="1:20" x14ac:dyDescent="0.25">
      <c r="A5625">
        <v>9</v>
      </c>
      <c r="B5625">
        <v>199</v>
      </c>
      <c r="C5625" t="str">
        <f>"36"</f>
        <v>36</v>
      </c>
      <c r="D5625">
        <v>6412</v>
      </c>
      <c r="E5625" t="str">
        <f>"09"</f>
        <v>09</v>
      </c>
      <c r="F5625" t="str">
        <f>"001"</f>
        <v>001</v>
      </c>
      <c r="G5625">
        <v>9</v>
      </c>
      <c r="H5625" t="str">
        <f>"99"</f>
        <v>99</v>
      </c>
      <c r="I5625" t="str">
        <f>"1"</f>
        <v>1</v>
      </c>
      <c r="J5625" t="str">
        <f>"01"</f>
        <v>01</v>
      </c>
      <c r="K5625">
        <v>20190405</v>
      </c>
      <c r="L5625" t="str">
        <f t="shared" si="1233"/>
        <v>076365</v>
      </c>
      <c r="M5625" t="str">
        <f t="shared" si="1234"/>
        <v>37500</v>
      </c>
      <c r="N5625" t="s">
        <v>2077</v>
      </c>
      <c r="O5625">
        <v>100.13</v>
      </c>
      <c r="P5625">
        <v>20190404</v>
      </c>
      <c r="Q5625" t="s">
        <v>2514</v>
      </c>
      <c r="R5625" t="s">
        <v>4520</v>
      </c>
      <c r="S5625" t="s">
        <v>1615</v>
      </c>
      <c r="T5625" t="s">
        <v>301</v>
      </c>
    </row>
    <row r="5626" spans="1:20" x14ac:dyDescent="0.25">
      <c r="A5626">
        <v>9</v>
      </c>
      <c r="B5626">
        <v>199</v>
      </c>
      <c r="C5626" t="str">
        <f>"41"</f>
        <v>41</v>
      </c>
      <c r="D5626">
        <v>6399</v>
      </c>
      <c r="E5626" t="str">
        <f>"10"</f>
        <v>10</v>
      </c>
      <c r="F5626" t="str">
        <f>"730"</f>
        <v>730</v>
      </c>
      <c r="G5626">
        <v>9</v>
      </c>
      <c r="H5626" t="str">
        <f>"99"</f>
        <v>99</v>
      </c>
      <c r="I5626" t="str">
        <f>"0"</f>
        <v>0</v>
      </c>
      <c r="J5626" t="str">
        <f>"95"</f>
        <v>95</v>
      </c>
      <c r="K5626">
        <v>20190405</v>
      </c>
      <c r="L5626" t="str">
        <f t="shared" si="1233"/>
        <v>076365</v>
      </c>
      <c r="M5626" t="str">
        <f t="shared" si="1234"/>
        <v>37500</v>
      </c>
      <c r="N5626" t="s">
        <v>2077</v>
      </c>
      <c r="O5626">
        <v>65.5</v>
      </c>
      <c r="P5626">
        <v>20190404</v>
      </c>
      <c r="Q5626" t="s">
        <v>1987</v>
      </c>
      <c r="R5626" t="s">
        <v>4521</v>
      </c>
      <c r="S5626" t="s">
        <v>1615</v>
      </c>
      <c r="T5626" t="s">
        <v>1794</v>
      </c>
    </row>
    <row r="5627" spans="1:20" x14ac:dyDescent="0.25">
      <c r="A5627">
        <v>9</v>
      </c>
      <c r="B5627">
        <v>199</v>
      </c>
      <c r="C5627" t="str">
        <f>"11"</f>
        <v>11</v>
      </c>
      <c r="D5627">
        <v>6299</v>
      </c>
      <c r="E5627" t="str">
        <f>"7B"</f>
        <v>7B</v>
      </c>
      <c r="F5627" t="str">
        <f>"041"</f>
        <v>041</v>
      </c>
      <c r="G5627">
        <v>9</v>
      </c>
      <c r="H5627" t="str">
        <f>"11"</f>
        <v>11</v>
      </c>
      <c r="I5627" t="str">
        <f>"0"</f>
        <v>0</v>
      </c>
      <c r="J5627" t="str">
        <f>"36"</f>
        <v>36</v>
      </c>
      <c r="K5627">
        <v>20190405</v>
      </c>
      <c r="L5627" t="str">
        <f>"076366"</f>
        <v>076366</v>
      </c>
      <c r="M5627" t="str">
        <f>"39409"</f>
        <v>39409</v>
      </c>
      <c r="N5627" t="s">
        <v>4522</v>
      </c>
      <c r="O5627">
        <v>250</v>
      </c>
      <c r="P5627">
        <v>20190404</v>
      </c>
      <c r="Q5627" t="s">
        <v>4523</v>
      </c>
      <c r="R5627" t="s">
        <v>4524</v>
      </c>
      <c r="S5627" t="s">
        <v>1615</v>
      </c>
      <c r="T5627" t="s">
        <v>106</v>
      </c>
    </row>
    <row r="5628" spans="1:20" x14ac:dyDescent="0.25">
      <c r="A5628">
        <v>9</v>
      </c>
      <c r="B5628">
        <v>199</v>
      </c>
      <c r="C5628" t="str">
        <f>"11"</f>
        <v>11</v>
      </c>
      <c r="D5628">
        <v>6299</v>
      </c>
      <c r="E5628" t="str">
        <f>"7B"</f>
        <v>7B</v>
      </c>
      <c r="F5628" t="str">
        <f>"041"</f>
        <v>041</v>
      </c>
      <c r="G5628">
        <v>9</v>
      </c>
      <c r="H5628" t="str">
        <f>"11"</f>
        <v>11</v>
      </c>
      <c r="I5628" t="str">
        <f>"0"</f>
        <v>0</v>
      </c>
      <c r="J5628" t="str">
        <f>"36"</f>
        <v>36</v>
      </c>
      <c r="K5628">
        <v>20190405</v>
      </c>
      <c r="L5628" t="str">
        <f>"076367"</f>
        <v>076367</v>
      </c>
      <c r="M5628" t="str">
        <f>"00775"</f>
        <v>00775</v>
      </c>
      <c r="N5628" t="s">
        <v>4525</v>
      </c>
      <c r="O5628">
        <v>240</v>
      </c>
      <c r="P5628">
        <v>20190404</v>
      </c>
      <c r="Q5628" t="s">
        <v>4523</v>
      </c>
      <c r="R5628" t="s">
        <v>4524</v>
      </c>
      <c r="S5628" t="s">
        <v>1615</v>
      </c>
      <c r="T5628" t="s">
        <v>106</v>
      </c>
    </row>
    <row r="5629" spans="1:20" x14ac:dyDescent="0.25">
      <c r="A5629">
        <v>9</v>
      </c>
      <c r="B5629">
        <v>199</v>
      </c>
      <c r="C5629" t="str">
        <f>"36"</f>
        <v>36</v>
      </c>
      <c r="D5629">
        <v>6411</v>
      </c>
      <c r="E5629" t="str">
        <f>"VB"</f>
        <v>VB</v>
      </c>
      <c r="F5629" t="str">
        <f>"001"</f>
        <v>001</v>
      </c>
      <c r="G5629">
        <v>9</v>
      </c>
      <c r="H5629" t="str">
        <f>"22"</f>
        <v>22</v>
      </c>
      <c r="I5629" t="str">
        <f>"0"</f>
        <v>0</v>
      </c>
      <c r="J5629" t="str">
        <f>"22"</f>
        <v>22</v>
      </c>
      <c r="K5629">
        <v>20190405</v>
      </c>
      <c r="L5629" t="str">
        <f>"076368"</f>
        <v>076368</v>
      </c>
      <c r="M5629" t="str">
        <f>"39899"</f>
        <v>39899</v>
      </c>
      <c r="N5629" t="s">
        <v>4526</v>
      </c>
      <c r="O5629" s="1">
        <v>1081.56</v>
      </c>
      <c r="P5629">
        <v>20190404</v>
      </c>
      <c r="Q5629" t="s">
        <v>3734</v>
      </c>
      <c r="R5629" t="s">
        <v>4392</v>
      </c>
      <c r="S5629" t="s">
        <v>1615</v>
      </c>
      <c r="T5629" t="s">
        <v>301</v>
      </c>
    </row>
    <row r="5630" spans="1:20" x14ac:dyDescent="0.25">
      <c r="A5630">
        <v>9</v>
      </c>
      <c r="B5630">
        <v>199</v>
      </c>
      <c r="C5630" t="str">
        <f>"36"</f>
        <v>36</v>
      </c>
      <c r="D5630">
        <v>6412</v>
      </c>
      <c r="E5630" t="str">
        <f>"VB"</f>
        <v>VB</v>
      </c>
      <c r="F5630" t="str">
        <f>"001"</f>
        <v>001</v>
      </c>
      <c r="G5630">
        <v>9</v>
      </c>
      <c r="H5630" t="str">
        <f>"22"</f>
        <v>22</v>
      </c>
      <c r="I5630" t="str">
        <f>"5"</f>
        <v>5</v>
      </c>
      <c r="J5630" t="str">
        <f>"74"</f>
        <v>74</v>
      </c>
      <c r="K5630">
        <v>20190405</v>
      </c>
      <c r="L5630" t="str">
        <f>"076368"</f>
        <v>076368</v>
      </c>
      <c r="M5630" t="str">
        <f>"39899"</f>
        <v>39899</v>
      </c>
      <c r="N5630" t="s">
        <v>4526</v>
      </c>
      <c r="O5630" s="1">
        <v>2163.12</v>
      </c>
      <c r="P5630">
        <v>20190404</v>
      </c>
      <c r="Q5630" t="s">
        <v>4391</v>
      </c>
      <c r="R5630" t="s">
        <v>4392</v>
      </c>
      <c r="S5630" t="s">
        <v>1615</v>
      </c>
      <c r="T5630" t="s">
        <v>301</v>
      </c>
    </row>
    <row r="5631" spans="1:20" x14ac:dyDescent="0.25">
      <c r="A5631">
        <v>9</v>
      </c>
      <c r="B5631">
        <v>199</v>
      </c>
      <c r="C5631" t="str">
        <f>"00"</f>
        <v>00</v>
      </c>
      <c r="D5631">
        <v>1312</v>
      </c>
      <c r="E5631" t="str">
        <f>"00"</f>
        <v>00</v>
      </c>
      <c r="F5631" t="str">
        <f>"000"</f>
        <v>000</v>
      </c>
      <c r="G5631">
        <v>9</v>
      </c>
      <c r="H5631" t="str">
        <f>"00"</f>
        <v>00</v>
      </c>
      <c r="I5631" t="str">
        <f t="shared" ref="I5631:I5669" si="1235">"0"</f>
        <v>0</v>
      </c>
      <c r="J5631" t="str">
        <f>"00"</f>
        <v>00</v>
      </c>
      <c r="K5631">
        <v>20190405</v>
      </c>
      <c r="L5631" t="str">
        <f t="shared" ref="L5631:L5667" si="1236">"076369"</f>
        <v>076369</v>
      </c>
      <c r="M5631" t="str">
        <f t="shared" ref="M5631:M5667" si="1237">"41230"</f>
        <v>41230</v>
      </c>
      <c r="N5631" t="s">
        <v>1350</v>
      </c>
      <c r="O5631">
        <v>282.76</v>
      </c>
      <c r="P5631">
        <v>20190404</v>
      </c>
      <c r="Q5631" t="s">
        <v>1860</v>
      </c>
      <c r="R5631" t="s">
        <v>4527</v>
      </c>
      <c r="S5631" t="s">
        <v>1615</v>
      </c>
      <c r="T5631" t="s">
        <v>296</v>
      </c>
    </row>
    <row r="5632" spans="1:20" x14ac:dyDescent="0.25">
      <c r="A5632">
        <v>9</v>
      </c>
      <c r="B5632">
        <v>199</v>
      </c>
      <c r="C5632" t="str">
        <f>"11"</f>
        <v>11</v>
      </c>
      <c r="D5632">
        <v>6399</v>
      </c>
      <c r="E5632" t="str">
        <f>"N1"</f>
        <v>N1</v>
      </c>
      <c r="F5632" t="str">
        <f t="shared" ref="F5632:F5662" si="1238">"001"</f>
        <v>001</v>
      </c>
      <c r="G5632">
        <v>9</v>
      </c>
      <c r="H5632" t="str">
        <f>"11"</f>
        <v>11</v>
      </c>
      <c r="I5632" t="str">
        <f t="shared" si="1235"/>
        <v>0</v>
      </c>
      <c r="J5632" t="str">
        <f>"01"</f>
        <v>01</v>
      </c>
      <c r="K5632">
        <v>20190405</v>
      </c>
      <c r="L5632" t="str">
        <f t="shared" si="1236"/>
        <v>076369</v>
      </c>
      <c r="M5632" t="str">
        <f t="shared" si="1237"/>
        <v>41230</v>
      </c>
      <c r="N5632" t="s">
        <v>1350</v>
      </c>
      <c r="O5632">
        <v>63.01</v>
      </c>
      <c r="P5632">
        <v>20190404</v>
      </c>
      <c r="Q5632" t="s">
        <v>2637</v>
      </c>
      <c r="R5632" t="s">
        <v>3341</v>
      </c>
      <c r="S5632" t="s">
        <v>1615</v>
      </c>
      <c r="T5632" t="s">
        <v>301</v>
      </c>
    </row>
    <row r="5633" spans="1:20" x14ac:dyDescent="0.25">
      <c r="A5633">
        <v>9</v>
      </c>
      <c r="B5633">
        <v>199</v>
      </c>
      <c r="C5633" t="str">
        <f>"11"</f>
        <v>11</v>
      </c>
      <c r="D5633">
        <v>6399</v>
      </c>
      <c r="E5633" t="str">
        <f>"V8"</f>
        <v>V8</v>
      </c>
      <c r="F5633" t="str">
        <f t="shared" si="1238"/>
        <v>001</v>
      </c>
      <c r="G5633">
        <v>9</v>
      </c>
      <c r="H5633" t="str">
        <f>"22"</f>
        <v>22</v>
      </c>
      <c r="I5633" t="str">
        <f t="shared" si="1235"/>
        <v>0</v>
      </c>
      <c r="J5633" t="str">
        <f>"22"</f>
        <v>22</v>
      </c>
      <c r="K5633">
        <v>20190405</v>
      </c>
      <c r="L5633" t="str">
        <f t="shared" si="1236"/>
        <v>076369</v>
      </c>
      <c r="M5633" t="str">
        <f t="shared" si="1237"/>
        <v>41230</v>
      </c>
      <c r="N5633" t="s">
        <v>1350</v>
      </c>
      <c r="O5633">
        <v>136.75</v>
      </c>
      <c r="P5633">
        <v>20190404</v>
      </c>
      <c r="Q5633" t="s">
        <v>2001</v>
      </c>
      <c r="R5633" t="s">
        <v>4528</v>
      </c>
      <c r="S5633" t="s">
        <v>1615</v>
      </c>
      <c r="T5633" t="s">
        <v>301</v>
      </c>
    </row>
    <row r="5634" spans="1:20" x14ac:dyDescent="0.25">
      <c r="A5634">
        <v>9</v>
      </c>
      <c r="B5634">
        <v>199</v>
      </c>
      <c r="C5634" t="str">
        <f>"11"</f>
        <v>11</v>
      </c>
      <c r="D5634">
        <v>6399</v>
      </c>
      <c r="E5634" t="str">
        <f>"V8"</f>
        <v>V8</v>
      </c>
      <c r="F5634" t="str">
        <f t="shared" si="1238"/>
        <v>001</v>
      </c>
      <c r="G5634">
        <v>9</v>
      </c>
      <c r="H5634" t="str">
        <f>"22"</f>
        <v>22</v>
      </c>
      <c r="I5634" t="str">
        <f t="shared" si="1235"/>
        <v>0</v>
      </c>
      <c r="J5634" t="str">
        <f>"22"</f>
        <v>22</v>
      </c>
      <c r="K5634">
        <v>20190405</v>
      </c>
      <c r="L5634" t="str">
        <f t="shared" si="1236"/>
        <v>076369</v>
      </c>
      <c r="M5634" t="str">
        <f t="shared" si="1237"/>
        <v>41230</v>
      </c>
      <c r="N5634" t="s">
        <v>1350</v>
      </c>
      <c r="O5634">
        <v>52.91</v>
      </c>
      <c r="P5634">
        <v>20190404</v>
      </c>
      <c r="Q5634" t="s">
        <v>2001</v>
      </c>
      <c r="R5634" t="s">
        <v>4528</v>
      </c>
      <c r="S5634" t="s">
        <v>1615</v>
      </c>
      <c r="T5634" t="s">
        <v>301</v>
      </c>
    </row>
    <row r="5635" spans="1:20" x14ac:dyDescent="0.25">
      <c r="A5635">
        <v>9</v>
      </c>
      <c r="B5635">
        <v>199</v>
      </c>
      <c r="C5635" t="str">
        <f t="shared" ref="C5635:C5662" si="1239">"36"</f>
        <v>36</v>
      </c>
      <c r="D5635">
        <v>6399</v>
      </c>
      <c r="E5635" t="str">
        <f t="shared" ref="E5635:E5662" si="1240">"09"</f>
        <v>09</v>
      </c>
      <c r="F5635" t="str">
        <f t="shared" si="1238"/>
        <v>001</v>
      </c>
      <c r="G5635">
        <v>9</v>
      </c>
      <c r="H5635" t="str">
        <f t="shared" ref="H5635:H5671" si="1241">"99"</f>
        <v>99</v>
      </c>
      <c r="I5635" t="str">
        <f t="shared" si="1235"/>
        <v>0</v>
      </c>
      <c r="J5635" t="str">
        <f t="shared" ref="J5635:J5662" si="1242">"01"</f>
        <v>01</v>
      </c>
      <c r="K5635">
        <v>20190405</v>
      </c>
      <c r="L5635" t="str">
        <f t="shared" si="1236"/>
        <v>076369</v>
      </c>
      <c r="M5635" t="str">
        <f t="shared" si="1237"/>
        <v>41230</v>
      </c>
      <c r="N5635" t="s">
        <v>1350</v>
      </c>
      <c r="O5635">
        <v>194.72</v>
      </c>
      <c r="P5635">
        <v>20190404</v>
      </c>
      <c r="Q5635" t="s">
        <v>2177</v>
      </c>
      <c r="R5635" t="s">
        <v>4223</v>
      </c>
      <c r="S5635" t="s">
        <v>1615</v>
      </c>
      <c r="T5635" t="s">
        <v>301</v>
      </c>
    </row>
    <row r="5636" spans="1:20" x14ac:dyDescent="0.25">
      <c r="A5636">
        <v>9</v>
      </c>
      <c r="B5636">
        <v>199</v>
      </c>
      <c r="C5636" t="str">
        <f t="shared" si="1239"/>
        <v>36</v>
      </c>
      <c r="D5636">
        <v>6399</v>
      </c>
      <c r="E5636" t="str">
        <f t="shared" si="1240"/>
        <v>09</v>
      </c>
      <c r="F5636" t="str">
        <f t="shared" si="1238"/>
        <v>001</v>
      </c>
      <c r="G5636">
        <v>9</v>
      </c>
      <c r="H5636" t="str">
        <f t="shared" si="1241"/>
        <v>99</v>
      </c>
      <c r="I5636" t="str">
        <f t="shared" si="1235"/>
        <v>0</v>
      </c>
      <c r="J5636" t="str">
        <f t="shared" si="1242"/>
        <v>01</v>
      </c>
      <c r="K5636">
        <v>20190405</v>
      </c>
      <c r="L5636" t="str">
        <f t="shared" si="1236"/>
        <v>076369</v>
      </c>
      <c r="M5636" t="str">
        <f t="shared" si="1237"/>
        <v>41230</v>
      </c>
      <c r="N5636" t="s">
        <v>1350</v>
      </c>
      <c r="O5636">
        <v>63.83</v>
      </c>
      <c r="P5636">
        <v>20190404</v>
      </c>
      <c r="Q5636" t="s">
        <v>2177</v>
      </c>
      <c r="R5636" t="s">
        <v>4431</v>
      </c>
      <c r="S5636" t="s">
        <v>1615</v>
      </c>
      <c r="T5636" t="s">
        <v>301</v>
      </c>
    </row>
    <row r="5637" spans="1:20" x14ac:dyDescent="0.25">
      <c r="A5637">
        <v>9</v>
      </c>
      <c r="B5637">
        <v>199</v>
      </c>
      <c r="C5637" t="str">
        <f t="shared" si="1239"/>
        <v>36</v>
      </c>
      <c r="D5637">
        <v>6399</v>
      </c>
      <c r="E5637" t="str">
        <f t="shared" si="1240"/>
        <v>09</v>
      </c>
      <c r="F5637" t="str">
        <f t="shared" si="1238"/>
        <v>001</v>
      </c>
      <c r="G5637">
        <v>9</v>
      </c>
      <c r="H5637" t="str">
        <f t="shared" si="1241"/>
        <v>99</v>
      </c>
      <c r="I5637" t="str">
        <f t="shared" si="1235"/>
        <v>0</v>
      </c>
      <c r="J5637" t="str">
        <f t="shared" si="1242"/>
        <v>01</v>
      </c>
      <c r="K5637">
        <v>20190405</v>
      </c>
      <c r="L5637" t="str">
        <f t="shared" si="1236"/>
        <v>076369</v>
      </c>
      <c r="M5637" t="str">
        <f t="shared" si="1237"/>
        <v>41230</v>
      </c>
      <c r="N5637" t="s">
        <v>1350</v>
      </c>
      <c r="O5637">
        <v>105.63</v>
      </c>
      <c r="P5637">
        <v>20190404</v>
      </c>
      <c r="Q5637" t="s">
        <v>2177</v>
      </c>
      <c r="R5637" t="s">
        <v>4431</v>
      </c>
      <c r="S5637" t="s">
        <v>1615</v>
      </c>
      <c r="T5637" t="s">
        <v>301</v>
      </c>
    </row>
    <row r="5638" spans="1:20" x14ac:dyDescent="0.25">
      <c r="A5638">
        <v>9</v>
      </c>
      <c r="B5638">
        <v>199</v>
      </c>
      <c r="C5638" t="str">
        <f t="shared" si="1239"/>
        <v>36</v>
      </c>
      <c r="D5638">
        <v>6399</v>
      </c>
      <c r="E5638" t="str">
        <f t="shared" si="1240"/>
        <v>09</v>
      </c>
      <c r="F5638" t="str">
        <f t="shared" si="1238"/>
        <v>001</v>
      </c>
      <c r="G5638">
        <v>9</v>
      </c>
      <c r="H5638" t="str">
        <f t="shared" si="1241"/>
        <v>99</v>
      </c>
      <c r="I5638" t="str">
        <f t="shared" si="1235"/>
        <v>0</v>
      </c>
      <c r="J5638" t="str">
        <f t="shared" si="1242"/>
        <v>01</v>
      </c>
      <c r="K5638">
        <v>20190405</v>
      </c>
      <c r="L5638" t="str">
        <f t="shared" si="1236"/>
        <v>076369</v>
      </c>
      <c r="M5638" t="str">
        <f t="shared" si="1237"/>
        <v>41230</v>
      </c>
      <c r="N5638" t="s">
        <v>1350</v>
      </c>
      <c r="O5638">
        <v>144.66999999999999</v>
      </c>
      <c r="P5638">
        <v>20190404</v>
      </c>
      <c r="Q5638" t="s">
        <v>2177</v>
      </c>
      <c r="R5638" t="s">
        <v>4431</v>
      </c>
      <c r="S5638" t="s">
        <v>1615</v>
      </c>
      <c r="T5638" t="s">
        <v>301</v>
      </c>
    </row>
    <row r="5639" spans="1:20" x14ac:dyDescent="0.25">
      <c r="A5639">
        <v>9</v>
      </c>
      <c r="B5639">
        <v>199</v>
      </c>
      <c r="C5639" t="str">
        <f t="shared" si="1239"/>
        <v>36</v>
      </c>
      <c r="D5639">
        <v>6399</v>
      </c>
      <c r="E5639" t="str">
        <f t="shared" si="1240"/>
        <v>09</v>
      </c>
      <c r="F5639" t="str">
        <f t="shared" si="1238"/>
        <v>001</v>
      </c>
      <c r="G5639">
        <v>9</v>
      </c>
      <c r="H5639" t="str">
        <f t="shared" si="1241"/>
        <v>99</v>
      </c>
      <c r="I5639" t="str">
        <f t="shared" si="1235"/>
        <v>0</v>
      </c>
      <c r="J5639" t="str">
        <f t="shared" si="1242"/>
        <v>01</v>
      </c>
      <c r="K5639">
        <v>20190405</v>
      </c>
      <c r="L5639" t="str">
        <f t="shared" si="1236"/>
        <v>076369</v>
      </c>
      <c r="M5639" t="str">
        <f t="shared" si="1237"/>
        <v>41230</v>
      </c>
      <c r="N5639" t="s">
        <v>1350</v>
      </c>
      <c r="O5639">
        <v>52.37</v>
      </c>
      <c r="P5639">
        <v>20190404</v>
      </c>
      <c r="Q5639" t="s">
        <v>2177</v>
      </c>
      <c r="R5639" t="s">
        <v>4431</v>
      </c>
      <c r="S5639" t="s">
        <v>1615</v>
      </c>
      <c r="T5639" t="s">
        <v>301</v>
      </c>
    </row>
    <row r="5640" spans="1:20" x14ac:dyDescent="0.25">
      <c r="A5640">
        <v>9</v>
      </c>
      <c r="B5640">
        <v>199</v>
      </c>
      <c r="C5640" t="str">
        <f t="shared" si="1239"/>
        <v>36</v>
      </c>
      <c r="D5640">
        <v>6399</v>
      </c>
      <c r="E5640" t="str">
        <f t="shared" si="1240"/>
        <v>09</v>
      </c>
      <c r="F5640" t="str">
        <f t="shared" si="1238"/>
        <v>001</v>
      </c>
      <c r="G5640">
        <v>9</v>
      </c>
      <c r="H5640" t="str">
        <f t="shared" si="1241"/>
        <v>99</v>
      </c>
      <c r="I5640" t="str">
        <f t="shared" si="1235"/>
        <v>0</v>
      </c>
      <c r="J5640" t="str">
        <f t="shared" si="1242"/>
        <v>01</v>
      </c>
      <c r="K5640">
        <v>20190405</v>
      </c>
      <c r="L5640" t="str">
        <f t="shared" si="1236"/>
        <v>076369</v>
      </c>
      <c r="M5640" t="str">
        <f t="shared" si="1237"/>
        <v>41230</v>
      </c>
      <c r="N5640" t="s">
        <v>1350</v>
      </c>
      <c r="O5640">
        <v>57.24</v>
      </c>
      <c r="P5640">
        <v>20190404</v>
      </c>
      <c r="Q5640" t="s">
        <v>2177</v>
      </c>
      <c r="R5640" t="s">
        <v>4431</v>
      </c>
      <c r="S5640" t="s">
        <v>1615</v>
      </c>
      <c r="T5640" t="s">
        <v>301</v>
      </c>
    </row>
    <row r="5641" spans="1:20" x14ac:dyDescent="0.25">
      <c r="A5641">
        <v>9</v>
      </c>
      <c r="B5641">
        <v>199</v>
      </c>
      <c r="C5641" t="str">
        <f t="shared" si="1239"/>
        <v>36</v>
      </c>
      <c r="D5641">
        <v>6399</v>
      </c>
      <c r="E5641" t="str">
        <f t="shared" si="1240"/>
        <v>09</v>
      </c>
      <c r="F5641" t="str">
        <f t="shared" si="1238"/>
        <v>001</v>
      </c>
      <c r="G5641">
        <v>9</v>
      </c>
      <c r="H5641" t="str">
        <f t="shared" si="1241"/>
        <v>99</v>
      </c>
      <c r="I5641" t="str">
        <f t="shared" si="1235"/>
        <v>0</v>
      </c>
      <c r="J5641" t="str">
        <f t="shared" si="1242"/>
        <v>01</v>
      </c>
      <c r="K5641">
        <v>20190405</v>
      </c>
      <c r="L5641" t="str">
        <f t="shared" si="1236"/>
        <v>076369</v>
      </c>
      <c r="M5641" t="str">
        <f t="shared" si="1237"/>
        <v>41230</v>
      </c>
      <c r="N5641" t="s">
        <v>1350</v>
      </c>
      <c r="O5641">
        <v>59.45</v>
      </c>
      <c r="P5641">
        <v>20190404</v>
      </c>
      <c r="Q5641" t="s">
        <v>2177</v>
      </c>
      <c r="R5641" t="s">
        <v>4431</v>
      </c>
      <c r="S5641" t="s">
        <v>1615</v>
      </c>
      <c r="T5641" t="s">
        <v>301</v>
      </c>
    </row>
    <row r="5642" spans="1:20" x14ac:dyDescent="0.25">
      <c r="A5642">
        <v>9</v>
      </c>
      <c r="B5642">
        <v>199</v>
      </c>
      <c r="C5642" t="str">
        <f t="shared" si="1239"/>
        <v>36</v>
      </c>
      <c r="D5642">
        <v>6399</v>
      </c>
      <c r="E5642" t="str">
        <f t="shared" si="1240"/>
        <v>09</v>
      </c>
      <c r="F5642" t="str">
        <f t="shared" si="1238"/>
        <v>001</v>
      </c>
      <c r="G5642">
        <v>9</v>
      </c>
      <c r="H5642" t="str">
        <f t="shared" si="1241"/>
        <v>99</v>
      </c>
      <c r="I5642" t="str">
        <f t="shared" si="1235"/>
        <v>0</v>
      </c>
      <c r="J5642" t="str">
        <f t="shared" si="1242"/>
        <v>01</v>
      </c>
      <c r="K5642">
        <v>20190405</v>
      </c>
      <c r="L5642" t="str">
        <f t="shared" si="1236"/>
        <v>076369</v>
      </c>
      <c r="M5642" t="str">
        <f t="shared" si="1237"/>
        <v>41230</v>
      </c>
      <c r="N5642" t="s">
        <v>1350</v>
      </c>
      <c r="O5642">
        <v>64.56</v>
      </c>
      <c r="P5642">
        <v>20190404</v>
      </c>
      <c r="Q5642" t="s">
        <v>2177</v>
      </c>
      <c r="R5642" t="s">
        <v>4431</v>
      </c>
      <c r="S5642" t="s">
        <v>1615</v>
      </c>
      <c r="T5642" t="s">
        <v>301</v>
      </c>
    </row>
    <row r="5643" spans="1:20" x14ac:dyDescent="0.25">
      <c r="A5643">
        <v>9</v>
      </c>
      <c r="B5643">
        <v>199</v>
      </c>
      <c r="C5643" t="str">
        <f t="shared" si="1239"/>
        <v>36</v>
      </c>
      <c r="D5643">
        <v>6399</v>
      </c>
      <c r="E5643" t="str">
        <f t="shared" si="1240"/>
        <v>09</v>
      </c>
      <c r="F5643" t="str">
        <f t="shared" si="1238"/>
        <v>001</v>
      </c>
      <c r="G5643">
        <v>9</v>
      </c>
      <c r="H5643" t="str">
        <f t="shared" si="1241"/>
        <v>99</v>
      </c>
      <c r="I5643" t="str">
        <f t="shared" si="1235"/>
        <v>0</v>
      </c>
      <c r="J5643" t="str">
        <f t="shared" si="1242"/>
        <v>01</v>
      </c>
      <c r="K5643">
        <v>20190405</v>
      </c>
      <c r="L5643" t="str">
        <f t="shared" si="1236"/>
        <v>076369</v>
      </c>
      <c r="M5643" t="str">
        <f t="shared" si="1237"/>
        <v>41230</v>
      </c>
      <c r="N5643" t="s">
        <v>1350</v>
      </c>
      <c r="O5643">
        <v>29.9</v>
      </c>
      <c r="P5643">
        <v>20190404</v>
      </c>
      <c r="Q5643" t="s">
        <v>2177</v>
      </c>
      <c r="R5643" t="s">
        <v>4431</v>
      </c>
      <c r="S5643" t="s">
        <v>1615</v>
      </c>
      <c r="T5643" t="s">
        <v>301</v>
      </c>
    </row>
    <row r="5644" spans="1:20" x14ac:dyDescent="0.25">
      <c r="A5644">
        <v>9</v>
      </c>
      <c r="B5644">
        <v>199</v>
      </c>
      <c r="C5644" t="str">
        <f t="shared" si="1239"/>
        <v>36</v>
      </c>
      <c r="D5644">
        <v>6399</v>
      </c>
      <c r="E5644" t="str">
        <f t="shared" si="1240"/>
        <v>09</v>
      </c>
      <c r="F5644" t="str">
        <f t="shared" si="1238"/>
        <v>001</v>
      </c>
      <c r="G5644">
        <v>9</v>
      </c>
      <c r="H5644" t="str">
        <f t="shared" si="1241"/>
        <v>99</v>
      </c>
      <c r="I5644" t="str">
        <f t="shared" si="1235"/>
        <v>0</v>
      </c>
      <c r="J5644" t="str">
        <f t="shared" si="1242"/>
        <v>01</v>
      </c>
      <c r="K5644">
        <v>20190405</v>
      </c>
      <c r="L5644" t="str">
        <f t="shared" si="1236"/>
        <v>076369</v>
      </c>
      <c r="M5644" t="str">
        <f t="shared" si="1237"/>
        <v>41230</v>
      </c>
      <c r="N5644" t="s">
        <v>1350</v>
      </c>
      <c r="O5644">
        <v>22.47</v>
      </c>
      <c r="P5644">
        <v>20190404</v>
      </c>
      <c r="Q5644" t="s">
        <v>2177</v>
      </c>
      <c r="R5644" t="s">
        <v>4431</v>
      </c>
      <c r="S5644" t="s">
        <v>1615</v>
      </c>
      <c r="T5644" t="s">
        <v>301</v>
      </c>
    </row>
    <row r="5645" spans="1:20" x14ac:dyDescent="0.25">
      <c r="A5645">
        <v>9</v>
      </c>
      <c r="B5645">
        <v>199</v>
      </c>
      <c r="C5645" t="str">
        <f t="shared" si="1239"/>
        <v>36</v>
      </c>
      <c r="D5645">
        <v>6399</v>
      </c>
      <c r="E5645" t="str">
        <f t="shared" si="1240"/>
        <v>09</v>
      </c>
      <c r="F5645" t="str">
        <f t="shared" si="1238"/>
        <v>001</v>
      </c>
      <c r="G5645">
        <v>9</v>
      </c>
      <c r="H5645" t="str">
        <f t="shared" si="1241"/>
        <v>99</v>
      </c>
      <c r="I5645" t="str">
        <f t="shared" si="1235"/>
        <v>0</v>
      </c>
      <c r="J5645" t="str">
        <f t="shared" si="1242"/>
        <v>01</v>
      </c>
      <c r="K5645">
        <v>20190405</v>
      </c>
      <c r="L5645" t="str">
        <f t="shared" si="1236"/>
        <v>076369</v>
      </c>
      <c r="M5645" t="str">
        <f t="shared" si="1237"/>
        <v>41230</v>
      </c>
      <c r="N5645" t="s">
        <v>1350</v>
      </c>
      <c r="O5645">
        <v>29.9</v>
      </c>
      <c r="P5645">
        <v>20190404</v>
      </c>
      <c r="Q5645" t="s">
        <v>2177</v>
      </c>
      <c r="R5645" t="s">
        <v>4431</v>
      </c>
      <c r="S5645" t="s">
        <v>1615</v>
      </c>
      <c r="T5645" t="s">
        <v>301</v>
      </c>
    </row>
    <row r="5646" spans="1:20" x14ac:dyDescent="0.25">
      <c r="A5646">
        <v>9</v>
      </c>
      <c r="B5646">
        <v>199</v>
      </c>
      <c r="C5646" t="str">
        <f t="shared" si="1239"/>
        <v>36</v>
      </c>
      <c r="D5646">
        <v>6399</v>
      </c>
      <c r="E5646" t="str">
        <f t="shared" si="1240"/>
        <v>09</v>
      </c>
      <c r="F5646" t="str">
        <f t="shared" si="1238"/>
        <v>001</v>
      </c>
      <c r="G5646">
        <v>9</v>
      </c>
      <c r="H5646" t="str">
        <f t="shared" si="1241"/>
        <v>99</v>
      </c>
      <c r="I5646" t="str">
        <f t="shared" si="1235"/>
        <v>0</v>
      </c>
      <c r="J5646" t="str">
        <f t="shared" si="1242"/>
        <v>01</v>
      </c>
      <c r="K5646">
        <v>20190405</v>
      </c>
      <c r="L5646" t="str">
        <f t="shared" si="1236"/>
        <v>076369</v>
      </c>
      <c r="M5646" t="str">
        <f t="shared" si="1237"/>
        <v>41230</v>
      </c>
      <c r="N5646" t="s">
        <v>1350</v>
      </c>
      <c r="O5646">
        <v>434.7</v>
      </c>
      <c r="P5646">
        <v>20190404</v>
      </c>
      <c r="Q5646" t="s">
        <v>2177</v>
      </c>
      <c r="R5646" t="s">
        <v>4431</v>
      </c>
      <c r="S5646" t="s">
        <v>1615</v>
      </c>
      <c r="T5646" t="s">
        <v>301</v>
      </c>
    </row>
    <row r="5647" spans="1:20" x14ac:dyDescent="0.25">
      <c r="A5647">
        <v>9</v>
      </c>
      <c r="B5647">
        <v>199</v>
      </c>
      <c r="C5647" t="str">
        <f t="shared" si="1239"/>
        <v>36</v>
      </c>
      <c r="D5647">
        <v>6399</v>
      </c>
      <c r="E5647" t="str">
        <f t="shared" si="1240"/>
        <v>09</v>
      </c>
      <c r="F5647" t="str">
        <f t="shared" si="1238"/>
        <v>001</v>
      </c>
      <c r="G5647">
        <v>9</v>
      </c>
      <c r="H5647" t="str">
        <f t="shared" si="1241"/>
        <v>99</v>
      </c>
      <c r="I5647" t="str">
        <f t="shared" si="1235"/>
        <v>0</v>
      </c>
      <c r="J5647" t="str">
        <f t="shared" si="1242"/>
        <v>01</v>
      </c>
      <c r="K5647">
        <v>20190405</v>
      </c>
      <c r="L5647" t="str">
        <f t="shared" si="1236"/>
        <v>076369</v>
      </c>
      <c r="M5647" t="str">
        <f t="shared" si="1237"/>
        <v>41230</v>
      </c>
      <c r="N5647" t="s">
        <v>1350</v>
      </c>
      <c r="O5647">
        <v>80.069999999999993</v>
      </c>
      <c r="P5647">
        <v>20190404</v>
      </c>
      <c r="Q5647" t="s">
        <v>2177</v>
      </c>
      <c r="R5647" t="s">
        <v>4431</v>
      </c>
      <c r="S5647" t="s">
        <v>1615</v>
      </c>
      <c r="T5647" t="s">
        <v>301</v>
      </c>
    </row>
    <row r="5648" spans="1:20" x14ac:dyDescent="0.25">
      <c r="A5648">
        <v>9</v>
      </c>
      <c r="B5648">
        <v>199</v>
      </c>
      <c r="C5648" t="str">
        <f t="shared" si="1239"/>
        <v>36</v>
      </c>
      <c r="D5648">
        <v>6399</v>
      </c>
      <c r="E5648" t="str">
        <f t="shared" si="1240"/>
        <v>09</v>
      </c>
      <c r="F5648" t="str">
        <f t="shared" si="1238"/>
        <v>001</v>
      </c>
      <c r="G5648">
        <v>9</v>
      </c>
      <c r="H5648" t="str">
        <f t="shared" si="1241"/>
        <v>99</v>
      </c>
      <c r="I5648" t="str">
        <f t="shared" si="1235"/>
        <v>0</v>
      </c>
      <c r="J5648" t="str">
        <f t="shared" si="1242"/>
        <v>01</v>
      </c>
      <c r="K5648">
        <v>20190405</v>
      </c>
      <c r="L5648" t="str">
        <f t="shared" si="1236"/>
        <v>076369</v>
      </c>
      <c r="M5648" t="str">
        <f t="shared" si="1237"/>
        <v>41230</v>
      </c>
      <c r="N5648" t="s">
        <v>1350</v>
      </c>
      <c r="O5648">
        <v>41.86</v>
      </c>
      <c r="P5648">
        <v>20190404</v>
      </c>
      <c r="Q5648" t="s">
        <v>2177</v>
      </c>
      <c r="R5648" t="s">
        <v>4431</v>
      </c>
      <c r="S5648" t="s">
        <v>1615</v>
      </c>
      <c r="T5648" t="s">
        <v>301</v>
      </c>
    </row>
    <row r="5649" spans="1:20" x14ac:dyDescent="0.25">
      <c r="A5649">
        <v>9</v>
      </c>
      <c r="B5649">
        <v>199</v>
      </c>
      <c r="C5649" t="str">
        <f t="shared" si="1239"/>
        <v>36</v>
      </c>
      <c r="D5649">
        <v>6399</v>
      </c>
      <c r="E5649" t="str">
        <f t="shared" si="1240"/>
        <v>09</v>
      </c>
      <c r="F5649" t="str">
        <f t="shared" si="1238"/>
        <v>001</v>
      </c>
      <c r="G5649">
        <v>9</v>
      </c>
      <c r="H5649" t="str">
        <f t="shared" si="1241"/>
        <v>99</v>
      </c>
      <c r="I5649" t="str">
        <f t="shared" si="1235"/>
        <v>0</v>
      </c>
      <c r="J5649" t="str">
        <f t="shared" si="1242"/>
        <v>01</v>
      </c>
      <c r="K5649">
        <v>20190405</v>
      </c>
      <c r="L5649" t="str">
        <f t="shared" si="1236"/>
        <v>076369</v>
      </c>
      <c r="M5649" t="str">
        <f t="shared" si="1237"/>
        <v>41230</v>
      </c>
      <c r="N5649" t="s">
        <v>1350</v>
      </c>
      <c r="O5649">
        <v>89.97</v>
      </c>
      <c r="P5649">
        <v>20190404</v>
      </c>
      <c r="Q5649" t="s">
        <v>2177</v>
      </c>
      <c r="R5649" t="s">
        <v>4431</v>
      </c>
      <c r="S5649" t="s">
        <v>1615</v>
      </c>
      <c r="T5649" t="s">
        <v>301</v>
      </c>
    </row>
    <row r="5650" spans="1:20" x14ac:dyDescent="0.25">
      <c r="A5650">
        <v>9</v>
      </c>
      <c r="B5650">
        <v>199</v>
      </c>
      <c r="C5650" t="str">
        <f t="shared" si="1239"/>
        <v>36</v>
      </c>
      <c r="D5650">
        <v>6399</v>
      </c>
      <c r="E5650" t="str">
        <f t="shared" si="1240"/>
        <v>09</v>
      </c>
      <c r="F5650" t="str">
        <f t="shared" si="1238"/>
        <v>001</v>
      </c>
      <c r="G5650">
        <v>9</v>
      </c>
      <c r="H5650" t="str">
        <f t="shared" si="1241"/>
        <v>99</v>
      </c>
      <c r="I5650" t="str">
        <f t="shared" si="1235"/>
        <v>0</v>
      </c>
      <c r="J5650" t="str">
        <f t="shared" si="1242"/>
        <v>01</v>
      </c>
      <c r="K5650">
        <v>20190405</v>
      </c>
      <c r="L5650" t="str">
        <f t="shared" si="1236"/>
        <v>076369</v>
      </c>
      <c r="M5650" t="str">
        <f t="shared" si="1237"/>
        <v>41230</v>
      </c>
      <c r="N5650" t="s">
        <v>1350</v>
      </c>
      <c r="O5650">
        <v>22.12</v>
      </c>
      <c r="P5650">
        <v>20190404</v>
      </c>
      <c r="Q5650" t="s">
        <v>2177</v>
      </c>
      <c r="R5650" t="s">
        <v>4431</v>
      </c>
      <c r="S5650" t="s">
        <v>1615</v>
      </c>
      <c r="T5650" t="s">
        <v>301</v>
      </c>
    </row>
    <row r="5651" spans="1:20" x14ac:dyDescent="0.25">
      <c r="A5651">
        <v>9</v>
      </c>
      <c r="B5651">
        <v>199</v>
      </c>
      <c r="C5651" t="str">
        <f t="shared" si="1239"/>
        <v>36</v>
      </c>
      <c r="D5651">
        <v>6399</v>
      </c>
      <c r="E5651" t="str">
        <f t="shared" si="1240"/>
        <v>09</v>
      </c>
      <c r="F5651" t="str">
        <f t="shared" si="1238"/>
        <v>001</v>
      </c>
      <c r="G5651">
        <v>9</v>
      </c>
      <c r="H5651" t="str">
        <f t="shared" si="1241"/>
        <v>99</v>
      </c>
      <c r="I5651" t="str">
        <f t="shared" si="1235"/>
        <v>0</v>
      </c>
      <c r="J5651" t="str">
        <f t="shared" si="1242"/>
        <v>01</v>
      </c>
      <c r="K5651">
        <v>20190405</v>
      </c>
      <c r="L5651" t="str">
        <f t="shared" si="1236"/>
        <v>076369</v>
      </c>
      <c r="M5651" t="str">
        <f t="shared" si="1237"/>
        <v>41230</v>
      </c>
      <c r="N5651" t="s">
        <v>1350</v>
      </c>
      <c r="O5651">
        <v>24.49</v>
      </c>
      <c r="P5651">
        <v>20190404</v>
      </c>
      <c r="Q5651" t="s">
        <v>2177</v>
      </c>
      <c r="R5651" t="s">
        <v>4431</v>
      </c>
      <c r="S5651" t="s">
        <v>1615</v>
      </c>
      <c r="T5651" t="s">
        <v>301</v>
      </c>
    </row>
    <row r="5652" spans="1:20" x14ac:dyDescent="0.25">
      <c r="A5652">
        <v>9</v>
      </c>
      <c r="B5652">
        <v>199</v>
      </c>
      <c r="C5652" t="str">
        <f t="shared" si="1239"/>
        <v>36</v>
      </c>
      <c r="D5652">
        <v>6399</v>
      </c>
      <c r="E5652" t="str">
        <f t="shared" si="1240"/>
        <v>09</v>
      </c>
      <c r="F5652" t="str">
        <f t="shared" si="1238"/>
        <v>001</v>
      </c>
      <c r="G5652">
        <v>9</v>
      </c>
      <c r="H5652" t="str">
        <f t="shared" si="1241"/>
        <v>99</v>
      </c>
      <c r="I5652" t="str">
        <f t="shared" si="1235"/>
        <v>0</v>
      </c>
      <c r="J5652" t="str">
        <f t="shared" si="1242"/>
        <v>01</v>
      </c>
      <c r="K5652">
        <v>20190405</v>
      </c>
      <c r="L5652" t="str">
        <f t="shared" si="1236"/>
        <v>076369</v>
      </c>
      <c r="M5652" t="str">
        <f t="shared" si="1237"/>
        <v>41230</v>
      </c>
      <c r="N5652" t="s">
        <v>1350</v>
      </c>
      <c r="O5652">
        <v>114.64</v>
      </c>
      <c r="P5652">
        <v>20190404</v>
      </c>
      <c r="Q5652" t="s">
        <v>2177</v>
      </c>
      <c r="R5652" t="s">
        <v>4431</v>
      </c>
      <c r="S5652" t="s">
        <v>1615</v>
      </c>
      <c r="T5652" t="s">
        <v>301</v>
      </c>
    </row>
    <row r="5653" spans="1:20" x14ac:dyDescent="0.25">
      <c r="A5653">
        <v>9</v>
      </c>
      <c r="B5653">
        <v>199</v>
      </c>
      <c r="C5653" t="str">
        <f t="shared" si="1239"/>
        <v>36</v>
      </c>
      <c r="D5653">
        <v>6399</v>
      </c>
      <c r="E5653" t="str">
        <f t="shared" si="1240"/>
        <v>09</v>
      </c>
      <c r="F5653" t="str">
        <f t="shared" si="1238"/>
        <v>001</v>
      </c>
      <c r="G5653">
        <v>9</v>
      </c>
      <c r="H5653" t="str">
        <f t="shared" si="1241"/>
        <v>99</v>
      </c>
      <c r="I5653" t="str">
        <f t="shared" si="1235"/>
        <v>0</v>
      </c>
      <c r="J5653" t="str">
        <f t="shared" si="1242"/>
        <v>01</v>
      </c>
      <c r="K5653">
        <v>20190405</v>
      </c>
      <c r="L5653" t="str">
        <f t="shared" si="1236"/>
        <v>076369</v>
      </c>
      <c r="M5653" t="str">
        <f t="shared" si="1237"/>
        <v>41230</v>
      </c>
      <c r="N5653" t="s">
        <v>1350</v>
      </c>
      <c r="O5653">
        <v>232.81</v>
      </c>
      <c r="P5653">
        <v>20190404</v>
      </c>
      <c r="Q5653" t="s">
        <v>2177</v>
      </c>
      <c r="R5653" t="s">
        <v>4431</v>
      </c>
      <c r="S5653" t="s">
        <v>1615</v>
      </c>
      <c r="T5653" t="s">
        <v>301</v>
      </c>
    </row>
    <row r="5654" spans="1:20" x14ac:dyDescent="0.25">
      <c r="A5654">
        <v>9</v>
      </c>
      <c r="B5654">
        <v>199</v>
      </c>
      <c r="C5654" t="str">
        <f t="shared" si="1239"/>
        <v>36</v>
      </c>
      <c r="D5654">
        <v>6399</v>
      </c>
      <c r="E5654" t="str">
        <f t="shared" si="1240"/>
        <v>09</v>
      </c>
      <c r="F5654" t="str">
        <f t="shared" si="1238"/>
        <v>001</v>
      </c>
      <c r="G5654">
        <v>9</v>
      </c>
      <c r="H5654" t="str">
        <f t="shared" si="1241"/>
        <v>99</v>
      </c>
      <c r="I5654" t="str">
        <f t="shared" si="1235"/>
        <v>0</v>
      </c>
      <c r="J5654" t="str">
        <f t="shared" si="1242"/>
        <v>01</v>
      </c>
      <c r="K5654">
        <v>20190405</v>
      </c>
      <c r="L5654" t="str">
        <f t="shared" si="1236"/>
        <v>076369</v>
      </c>
      <c r="M5654" t="str">
        <f t="shared" si="1237"/>
        <v>41230</v>
      </c>
      <c r="N5654" t="s">
        <v>1350</v>
      </c>
      <c r="O5654">
        <v>25.91</v>
      </c>
      <c r="P5654">
        <v>20190404</v>
      </c>
      <c r="Q5654" t="s">
        <v>2177</v>
      </c>
      <c r="R5654" t="s">
        <v>4431</v>
      </c>
      <c r="S5654" t="s">
        <v>1615</v>
      </c>
      <c r="T5654" t="s">
        <v>301</v>
      </c>
    </row>
    <row r="5655" spans="1:20" x14ac:dyDescent="0.25">
      <c r="A5655">
        <v>9</v>
      </c>
      <c r="B5655">
        <v>199</v>
      </c>
      <c r="C5655" t="str">
        <f t="shared" si="1239"/>
        <v>36</v>
      </c>
      <c r="D5655">
        <v>6399</v>
      </c>
      <c r="E5655" t="str">
        <f t="shared" si="1240"/>
        <v>09</v>
      </c>
      <c r="F5655" t="str">
        <f t="shared" si="1238"/>
        <v>001</v>
      </c>
      <c r="G5655">
        <v>9</v>
      </c>
      <c r="H5655" t="str">
        <f t="shared" si="1241"/>
        <v>99</v>
      </c>
      <c r="I5655" t="str">
        <f t="shared" si="1235"/>
        <v>0</v>
      </c>
      <c r="J5655" t="str">
        <f t="shared" si="1242"/>
        <v>01</v>
      </c>
      <c r="K5655">
        <v>20190405</v>
      </c>
      <c r="L5655" t="str">
        <f t="shared" si="1236"/>
        <v>076369</v>
      </c>
      <c r="M5655" t="str">
        <f t="shared" si="1237"/>
        <v>41230</v>
      </c>
      <c r="N5655" t="s">
        <v>1350</v>
      </c>
      <c r="O5655">
        <v>25.83</v>
      </c>
      <c r="P5655">
        <v>20190404</v>
      </c>
      <c r="Q5655" t="s">
        <v>2177</v>
      </c>
      <c r="R5655" t="s">
        <v>4431</v>
      </c>
      <c r="S5655" t="s">
        <v>1615</v>
      </c>
      <c r="T5655" t="s">
        <v>301</v>
      </c>
    </row>
    <row r="5656" spans="1:20" x14ac:dyDescent="0.25">
      <c r="A5656">
        <v>9</v>
      </c>
      <c r="B5656">
        <v>199</v>
      </c>
      <c r="C5656" t="str">
        <f t="shared" si="1239"/>
        <v>36</v>
      </c>
      <c r="D5656">
        <v>6399</v>
      </c>
      <c r="E5656" t="str">
        <f t="shared" si="1240"/>
        <v>09</v>
      </c>
      <c r="F5656" t="str">
        <f t="shared" si="1238"/>
        <v>001</v>
      </c>
      <c r="G5656">
        <v>9</v>
      </c>
      <c r="H5656" t="str">
        <f t="shared" si="1241"/>
        <v>99</v>
      </c>
      <c r="I5656" t="str">
        <f t="shared" si="1235"/>
        <v>0</v>
      </c>
      <c r="J5656" t="str">
        <f t="shared" si="1242"/>
        <v>01</v>
      </c>
      <c r="K5656">
        <v>20190405</v>
      </c>
      <c r="L5656" t="str">
        <f t="shared" si="1236"/>
        <v>076369</v>
      </c>
      <c r="M5656" t="str">
        <f t="shared" si="1237"/>
        <v>41230</v>
      </c>
      <c r="N5656" t="s">
        <v>1350</v>
      </c>
      <c r="O5656">
        <v>29.21</v>
      </c>
      <c r="P5656">
        <v>20190404</v>
      </c>
      <c r="Q5656" t="s">
        <v>2177</v>
      </c>
      <c r="R5656" t="s">
        <v>4431</v>
      </c>
      <c r="S5656" t="s">
        <v>1615</v>
      </c>
      <c r="T5656" t="s">
        <v>301</v>
      </c>
    </row>
    <row r="5657" spans="1:20" x14ac:dyDescent="0.25">
      <c r="A5657">
        <v>9</v>
      </c>
      <c r="B5657">
        <v>199</v>
      </c>
      <c r="C5657" t="str">
        <f t="shared" si="1239"/>
        <v>36</v>
      </c>
      <c r="D5657">
        <v>6399</v>
      </c>
      <c r="E5657" t="str">
        <f t="shared" si="1240"/>
        <v>09</v>
      </c>
      <c r="F5657" t="str">
        <f t="shared" si="1238"/>
        <v>001</v>
      </c>
      <c r="G5657">
        <v>9</v>
      </c>
      <c r="H5657" t="str">
        <f t="shared" si="1241"/>
        <v>99</v>
      </c>
      <c r="I5657" t="str">
        <f t="shared" si="1235"/>
        <v>0</v>
      </c>
      <c r="J5657" t="str">
        <f t="shared" si="1242"/>
        <v>01</v>
      </c>
      <c r="K5657">
        <v>20190405</v>
      </c>
      <c r="L5657" t="str">
        <f t="shared" si="1236"/>
        <v>076369</v>
      </c>
      <c r="M5657" t="str">
        <f t="shared" si="1237"/>
        <v>41230</v>
      </c>
      <c r="N5657" t="s">
        <v>1350</v>
      </c>
      <c r="O5657">
        <v>59.82</v>
      </c>
      <c r="P5657">
        <v>20190404</v>
      </c>
      <c r="Q5657" t="s">
        <v>2177</v>
      </c>
      <c r="R5657" t="s">
        <v>4431</v>
      </c>
      <c r="S5657" t="s">
        <v>1615</v>
      </c>
      <c r="T5657" t="s">
        <v>301</v>
      </c>
    </row>
    <row r="5658" spans="1:20" x14ac:dyDescent="0.25">
      <c r="A5658">
        <v>9</v>
      </c>
      <c r="B5658">
        <v>199</v>
      </c>
      <c r="C5658" t="str">
        <f t="shared" si="1239"/>
        <v>36</v>
      </c>
      <c r="D5658">
        <v>6399</v>
      </c>
      <c r="E5658" t="str">
        <f t="shared" si="1240"/>
        <v>09</v>
      </c>
      <c r="F5658" t="str">
        <f t="shared" si="1238"/>
        <v>001</v>
      </c>
      <c r="G5658">
        <v>9</v>
      </c>
      <c r="H5658" t="str">
        <f t="shared" si="1241"/>
        <v>99</v>
      </c>
      <c r="I5658" t="str">
        <f t="shared" si="1235"/>
        <v>0</v>
      </c>
      <c r="J5658" t="str">
        <f t="shared" si="1242"/>
        <v>01</v>
      </c>
      <c r="K5658">
        <v>20190405</v>
      </c>
      <c r="L5658" t="str">
        <f t="shared" si="1236"/>
        <v>076369</v>
      </c>
      <c r="M5658" t="str">
        <f t="shared" si="1237"/>
        <v>41230</v>
      </c>
      <c r="N5658" t="s">
        <v>1350</v>
      </c>
      <c r="O5658">
        <v>133.28</v>
      </c>
      <c r="P5658">
        <v>20190404</v>
      </c>
      <c r="Q5658" t="s">
        <v>2177</v>
      </c>
      <c r="R5658" t="s">
        <v>4431</v>
      </c>
      <c r="S5658" t="s">
        <v>1615</v>
      </c>
      <c r="T5658" t="s">
        <v>301</v>
      </c>
    </row>
    <row r="5659" spans="1:20" x14ac:dyDescent="0.25">
      <c r="A5659">
        <v>9</v>
      </c>
      <c r="B5659">
        <v>199</v>
      </c>
      <c r="C5659" t="str">
        <f t="shared" si="1239"/>
        <v>36</v>
      </c>
      <c r="D5659">
        <v>6399</v>
      </c>
      <c r="E5659" t="str">
        <f t="shared" si="1240"/>
        <v>09</v>
      </c>
      <c r="F5659" t="str">
        <f t="shared" si="1238"/>
        <v>001</v>
      </c>
      <c r="G5659">
        <v>9</v>
      </c>
      <c r="H5659" t="str">
        <f t="shared" si="1241"/>
        <v>99</v>
      </c>
      <c r="I5659" t="str">
        <f t="shared" si="1235"/>
        <v>0</v>
      </c>
      <c r="J5659" t="str">
        <f t="shared" si="1242"/>
        <v>01</v>
      </c>
      <c r="K5659">
        <v>20190405</v>
      </c>
      <c r="L5659" t="str">
        <f t="shared" si="1236"/>
        <v>076369</v>
      </c>
      <c r="M5659" t="str">
        <f t="shared" si="1237"/>
        <v>41230</v>
      </c>
      <c r="N5659" t="s">
        <v>1350</v>
      </c>
      <c r="O5659">
        <v>-26.79</v>
      </c>
      <c r="P5659">
        <v>20190322</v>
      </c>
      <c r="Q5659" t="s">
        <v>2177</v>
      </c>
      <c r="R5659" t="s">
        <v>4059</v>
      </c>
      <c r="S5659" t="s">
        <v>1615</v>
      </c>
      <c r="T5659" t="s">
        <v>301</v>
      </c>
    </row>
    <row r="5660" spans="1:20" x14ac:dyDescent="0.25">
      <c r="A5660">
        <v>9</v>
      </c>
      <c r="B5660">
        <v>199</v>
      </c>
      <c r="C5660" t="str">
        <f t="shared" si="1239"/>
        <v>36</v>
      </c>
      <c r="D5660">
        <v>6399</v>
      </c>
      <c r="E5660" t="str">
        <f t="shared" si="1240"/>
        <v>09</v>
      </c>
      <c r="F5660" t="str">
        <f t="shared" si="1238"/>
        <v>001</v>
      </c>
      <c r="G5660">
        <v>9</v>
      </c>
      <c r="H5660" t="str">
        <f t="shared" si="1241"/>
        <v>99</v>
      </c>
      <c r="I5660" t="str">
        <f t="shared" si="1235"/>
        <v>0</v>
      </c>
      <c r="J5660" t="str">
        <f t="shared" si="1242"/>
        <v>01</v>
      </c>
      <c r="K5660">
        <v>20190405</v>
      </c>
      <c r="L5660" t="str">
        <f t="shared" si="1236"/>
        <v>076369</v>
      </c>
      <c r="M5660" t="str">
        <f t="shared" si="1237"/>
        <v>41230</v>
      </c>
      <c r="N5660" t="s">
        <v>1350</v>
      </c>
      <c r="O5660">
        <v>-102.44</v>
      </c>
      <c r="P5660">
        <v>20190311</v>
      </c>
      <c r="Q5660" t="s">
        <v>2177</v>
      </c>
      <c r="R5660" t="s">
        <v>4059</v>
      </c>
      <c r="S5660" t="s">
        <v>1615</v>
      </c>
      <c r="T5660" t="s">
        <v>301</v>
      </c>
    </row>
    <row r="5661" spans="1:20" x14ac:dyDescent="0.25">
      <c r="A5661">
        <v>9</v>
      </c>
      <c r="B5661">
        <v>199</v>
      </c>
      <c r="C5661" t="str">
        <f t="shared" si="1239"/>
        <v>36</v>
      </c>
      <c r="D5661">
        <v>6399</v>
      </c>
      <c r="E5661" t="str">
        <f t="shared" si="1240"/>
        <v>09</v>
      </c>
      <c r="F5661" t="str">
        <f t="shared" si="1238"/>
        <v>001</v>
      </c>
      <c r="G5661">
        <v>9</v>
      </c>
      <c r="H5661" t="str">
        <f t="shared" si="1241"/>
        <v>99</v>
      </c>
      <c r="I5661" t="str">
        <f t="shared" si="1235"/>
        <v>0</v>
      </c>
      <c r="J5661" t="str">
        <f t="shared" si="1242"/>
        <v>01</v>
      </c>
      <c r="K5661">
        <v>20190405</v>
      </c>
      <c r="L5661" t="str">
        <f t="shared" si="1236"/>
        <v>076369</v>
      </c>
      <c r="M5661" t="str">
        <f t="shared" si="1237"/>
        <v>41230</v>
      </c>
      <c r="N5661" t="s">
        <v>1350</v>
      </c>
      <c r="O5661">
        <v>-200.87</v>
      </c>
      <c r="P5661">
        <v>20190328</v>
      </c>
      <c r="Q5661" t="s">
        <v>2177</v>
      </c>
      <c r="R5661" t="s">
        <v>4059</v>
      </c>
      <c r="S5661" t="s">
        <v>1615</v>
      </c>
      <c r="T5661" t="s">
        <v>301</v>
      </c>
    </row>
    <row r="5662" spans="1:20" x14ac:dyDescent="0.25">
      <c r="A5662">
        <v>9</v>
      </c>
      <c r="B5662">
        <v>199</v>
      </c>
      <c r="C5662" t="str">
        <f t="shared" si="1239"/>
        <v>36</v>
      </c>
      <c r="D5662">
        <v>6399</v>
      </c>
      <c r="E5662" t="str">
        <f t="shared" si="1240"/>
        <v>09</v>
      </c>
      <c r="F5662" t="str">
        <f t="shared" si="1238"/>
        <v>001</v>
      </c>
      <c r="G5662">
        <v>9</v>
      </c>
      <c r="H5662" t="str">
        <f t="shared" si="1241"/>
        <v>99</v>
      </c>
      <c r="I5662" t="str">
        <f t="shared" si="1235"/>
        <v>0</v>
      </c>
      <c r="J5662" t="str">
        <f t="shared" si="1242"/>
        <v>01</v>
      </c>
      <c r="K5662">
        <v>20190405</v>
      </c>
      <c r="L5662" t="str">
        <f t="shared" si="1236"/>
        <v>076369</v>
      </c>
      <c r="M5662" t="str">
        <f t="shared" si="1237"/>
        <v>41230</v>
      </c>
      <c r="N5662" t="s">
        <v>1350</v>
      </c>
      <c r="O5662">
        <v>-49.97</v>
      </c>
      <c r="P5662">
        <v>20190328</v>
      </c>
      <c r="Q5662" t="s">
        <v>2177</v>
      </c>
      <c r="R5662" t="s">
        <v>4059</v>
      </c>
      <c r="S5662" t="s">
        <v>1615</v>
      </c>
      <c r="T5662" t="s">
        <v>301</v>
      </c>
    </row>
    <row r="5663" spans="1:20" x14ac:dyDescent="0.25">
      <c r="A5663">
        <v>9</v>
      </c>
      <c r="B5663">
        <v>199</v>
      </c>
      <c r="C5663" t="str">
        <f>"51"</f>
        <v>51</v>
      </c>
      <c r="D5663">
        <v>6319</v>
      </c>
      <c r="E5663" t="str">
        <f>"MC"</f>
        <v>MC</v>
      </c>
      <c r="F5663" t="str">
        <f>"936"</f>
        <v>936</v>
      </c>
      <c r="G5663">
        <v>9</v>
      </c>
      <c r="H5663" t="str">
        <f t="shared" si="1241"/>
        <v>99</v>
      </c>
      <c r="I5663" t="str">
        <f t="shared" si="1235"/>
        <v>0</v>
      </c>
      <c r="J5663" t="str">
        <f>"81"</f>
        <v>81</v>
      </c>
      <c r="K5663">
        <v>20190405</v>
      </c>
      <c r="L5663" t="str">
        <f t="shared" si="1236"/>
        <v>076369</v>
      </c>
      <c r="M5663" t="str">
        <f t="shared" si="1237"/>
        <v>41230</v>
      </c>
      <c r="N5663" t="s">
        <v>1350</v>
      </c>
      <c r="O5663">
        <v>31.62</v>
      </c>
      <c r="P5663">
        <v>20190404</v>
      </c>
      <c r="Q5663" t="s">
        <v>2060</v>
      </c>
      <c r="R5663" t="s">
        <v>2188</v>
      </c>
      <c r="S5663" t="s">
        <v>1615</v>
      </c>
      <c r="T5663" t="s">
        <v>1713</v>
      </c>
    </row>
    <row r="5664" spans="1:20" x14ac:dyDescent="0.25">
      <c r="A5664">
        <v>9</v>
      </c>
      <c r="B5664">
        <v>199</v>
      </c>
      <c r="C5664" t="str">
        <f>"51"</f>
        <v>51</v>
      </c>
      <c r="D5664">
        <v>6319</v>
      </c>
      <c r="E5664" t="str">
        <f>"MC"</f>
        <v>MC</v>
      </c>
      <c r="F5664" t="str">
        <f>"936"</f>
        <v>936</v>
      </c>
      <c r="G5664">
        <v>9</v>
      </c>
      <c r="H5664" t="str">
        <f t="shared" si="1241"/>
        <v>99</v>
      </c>
      <c r="I5664" t="str">
        <f t="shared" si="1235"/>
        <v>0</v>
      </c>
      <c r="J5664" t="str">
        <f>"81"</f>
        <v>81</v>
      </c>
      <c r="K5664">
        <v>20190405</v>
      </c>
      <c r="L5664" t="str">
        <f t="shared" si="1236"/>
        <v>076369</v>
      </c>
      <c r="M5664" t="str">
        <f t="shared" si="1237"/>
        <v>41230</v>
      </c>
      <c r="N5664" t="s">
        <v>1350</v>
      </c>
      <c r="O5664">
        <v>68.849999999999994</v>
      </c>
      <c r="P5664">
        <v>20190404</v>
      </c>
      <c r="Q5664" t="s">
        <v>2060</v>
      </c>
      <c r="R5664" t="s">
        <v>2188</v>
      </c>
      <c r="S5664" t="s">
        <v>1615</v>
      </c>
      <c r="T5664" t="s">
        <v>1713</v>
      </c>
    </row>
    <row r="5665" spans="1:20" x14ac:dyDescent="0.25">
      <c r="A5665">
        <v>9</v>
      </c>
      <c r="B5665">
        <v>199</v>
      </c>
      <c r="C5665" t="str">
        <f>"51"</f>
        <v>51</v>
      </c>
      <c r="D5665">
        <v>6319</v>
      </c>
      <c r="E5665" t="str">
        <f>"MC"</f>
        <v>MC</v>
      </c>
      <c r="F5665" t="str">
        <f>"936"</f>
        <v>936</v>
      </c>
      <c r="G5665">
        <v>9</v>
      </c>
      <c r="H5665" t="str">
        <f t="shared" si="1241"/>
        <v>99</v>
      </c>
      <c r="I5665" t="str">
        <f t="shared" si="1235"/>
        <v>0</v>
      </c>
      <c r="J5665" t="str">
        <f>"81"</f>
        <v>81</v>
      </c>
      <c r="K5665">
        <v>20190405</v>
      </c>
      <c r="L5665" t="str">
        <f t="shared" si="1236"/>
        <v>076369</v>
      </c>
      <c r="M5665" t="str">
        <f t="shared" si="1237"/>
        <v>41230</v>
      </c>
      <c r="N5665" t="s">
        <v>1350</v>
      </c>
      <c r="O5665">
        <v>94.86</v>
      </c>
      <c r="P5665">
        <v>20190404</v>
      </c>
      <c r="Q5665" t="s">
        <v>2060</v>
      </c>
      <c r="R5665" t="s">
        <v>4529</v>
      </c>
      <c r="S5665" t="s">
        <v>1615</v>
      </c>
      <c r="T5665" t="s">
        <v>1713</v>
      </c>
    </row>
    <row r="5666" spans="1:20" x14ac:dyDescent="0.25">
      <c r="A5666">
        <v>9</v>
      </c>
      <c r="B5666">
        <v>199</v>
      </c>
      <c r="C5666" t="str">
        <f>"51"</f>
        <v>51</v>
      </c>
      <c r="D5666">
        <v>6319</v>
      </c>
      <c r="E5666" t="str">
        <f>"MC"</f>
        <v>MC</v>
      </c>
      <c r="F5666" t="str">
        <f>"936"</f>
        <v>936</v>
      </c>
      <c r="G5666">
        <v>9</v>
      </c>
      <c r="H5666" t="str">
        <f t="shared" si="1241"/>
        <v>99</v>
      </c>
      <c r="I5666" t="str">
        <f t="shared" si="1235"/>
        <v>0</v>
      </c>
      <c r="J5666" t="str">
        <f>"81"</f>
        <v>81</v>
      </c>
      <c r="K5666">
        <v>20190405</v>
      </c>
      <c r="L5666" t="str">
        <f t="shared" si="1236"/>
        <v>076369</v>
      </c>
      <c r="M5666" t="str">
        <f t="shared" si="1237"/>
        <v>41230</v>
      </c>
      <c r="N5666" t="s">
        <v>1350</v>
      </c>
      <c r="O5666">
        <v>220.43</v>
      </c>
      <c r="P5666">
        <v>20190404</v>
      </c>
      <c r="Q5666" t="s">
        <v>2060</v>
      </c>
      <c r="R5666" t="s">
        <v>2188</v>
      </c>
      <c r="S5666" t="s">
        <v>1615</v>
      </c>
      <c r="T5666" t="s">
        <v>1713</v>
      </c>
    </row>
    <row r="5667" spans="1:20" x14ac:dyDescent="0.25">
      <c r="A5667">
        <v>9</v>
      </c>
      <c r="B5667">
        <v>199</v>
      </c>
      <c r="C5667" t="str">
        <f>"51"</f>
        <v>51</v>
      </c>
      <c r="D5667">
        <v>6319</v>
      </c>
      <c r="E5667" t="str">
        <f>"MC"</f>
        <v>MC</v>
      </c>
      <c r="F5667" t="str">
        <f>"936"</f>
        <v>936</v>
      </c>
      <c r="G5667">
        <v>9</v>
      </c>
      <c r="H5667" t="str">
        <f t="shared" si="1241"/>
        <v>99</v>
      </c>
      <c r="I5667" t="str">
        <f t="shared" si="1235"/>
        <v>0</v>
      </c>
      <c r="J5667" t="str">
        <f>"81"</f>
        <v>81</v>
      </c>
      <c r="K5667">
        <v>20190405</v>
      </c>
      <c r="L5667" t="str">
        <f t="shared" si="1236"/>
        <v>076369</v>
      </c>
      <c r="M5667" t="str">
        <f t="shared" si="1237"/>
        <v>41230</v>
      </c>
      <c r="N5667" t="s">
        <v>1350</v>
      </c>
      <c r="O5667">
        <v>239.14</v>
      </c>
      <c r="P5667">
        <v>20190404</v>
      </c>
      <c r="Q5667" t="s">
        <v>2060</v>
      </c>
      <c r="R5667" t="s">
        <v>2188</v>
      </c>
      <c r="S5667" t="s">
        <v>1615</v>
      </c>
      <c r="T5667" t="s">
        <v>1713</v>
      </c>
    </row>
    <row r="5668" spans="1:20" x14ac:dyDescent="0.25">
      <c r="A5668">
        <v>9</v>
      </c>
      <c r="B5668">
        <v>199</v>
      </c>
      <c r="C5668" t="str">
        <f>"41"</f>
        <v>41</v>
      </c>
      <c r="D5668">
        <v>6399</v>
      </c>
      <c r="E5668" t="str">
        <f>"10"</f>
        <v>10</v>
      </c>
      <c r="F5668" t="str">
        <f>"701"</f>
        <v>701</v>
      </c>
      <c r="G5668">
        <v>9</v>
      </c>
      <c r="H5668" t="str">
        <f t="shared" si="1241"/>
        <v>99</v>
      </c>
      <c r="I5668" t="str">
        <f t="shared" si="1235"/>
        <v>0</v>
      </c>
      <c r="J5668" t="str">
        <f>"92"</f>
        <v>92</v>
      </c>
      <c r="K5668">
        <v>20190405</v>
      </c>
      <c r="L5668" t="str">
        <f>"076370"</f>
        <v>076370</v>
      </c>
      <c r="M5668" t="str">
        <f>"45496"</f>
        <v>45496</v>
      </c>
      <c r="N5668" t="s">
        <v>3175</v>
      </c>
      <c r="O5668">
        <v>33.4</v>
      </c>
      <c r="P5668">
        <v>20190404</v>
      </c>
      <c r="Q5668" t="s">
        <v>3177</v>
      </c>
      <c r="R5668" t="s">
        <v>2692</v>
      </c>
      <c r="S5668" t="s">
        <v>1615</v>
      </c>
      <c r="T5668" t="s">
        <v>1841</v>
      </c>
    </row>
    <row r="5669" spans="1:20" x14ac:dyDescent="0.25">
      <c r="A5669">
        <v>9</v>
      </c>
      <c r="B5669">
        <v>199</v>
      </c>
      <c r="C5669" t="str">
        <f>"36"</f>
        <v>36</v>
      </c>
      <c r="D5669">
        <v>6411</v>
      </c>
      <c r="E5669" t="str">
        <f>"09"</f>
        <v>09</v>
      </c>
      <c r="F5669" t="str">
        <f>"001"</f>
        <v>001</v>
      </c>
      <c r="G5669">
        <v>9</v>
      </c>
      <c r="H5669" t="str">
        <f t="shared" si="1241"/>
        <v>99</v>
      </c>
      <c r="I5669" t="str">
        <f t="shared" si="1235"/>
        <v>0</v>
      </c>
      <c r="J5669" t="str">
        <f>"01"</f>
        <v>01</v>
      </c>
      <c r="K5669">
        <v>20190405</v>
      </c>
      <c r="L5669" t="str">
        <f>"076372"</f>
        <v>076372</v>
      </c>
      <c r="M5669" t="str">
        <f>"46348"</f>
        <v>46348</v>
      </c>
      <c r="N5669" t="s">
        <v>1631</v>
      </c>
      <c r="O5669">
        <v>175</v>
      </c>
      <c r="P5669">
        <v>20190404</v>
      </c>
      <c r="Q5669" t="s">
        <v>2513</v>
      </c>
      <c r="R5669" t="s">
        <v>4530</v>
      </c>
      <c r="S5669" t="s">
        <v>1615</v>
      </c>
      <c r="T5669" t="s">
        <v>301</v>
      </c>
    </row>
    <row r="5670" spans="1:20" x14ac:dyDescent="0.25">
      <c r="A5670">
        <v>9</v>
      </c>
      <c r="B5670">
        <v>199</v>
      </c>
      <c r="C5670" t="str">
        <f>"36"</f>
        <v>36</v>
      </c>
      <c r="D5670">
        <v>6412</v>
      </c>
      <c r="E5670" t="str">
        <f>"09"</f>
        <v>09</v>
      </c>
      <c r="F5670" t="str">
        <f>"001"</f>
        <v>001</v>
      </c>
      <c r="G5670">
        <v>9</v>
      </c>
      <c r="H5670" t="str">
        <f t="shared" si="1241"/>
        <v>99</v>
      </c>
      <c r="I5670" t="str">
        <f>"1"</f>
        <v>1</v>
      </c>
      <c r="J5670" t="str">
        <f>"01"</f>
        <v>01</v>
      </c>
      <c r="K5670">
        <v>20190405</v>
      </c>
      <c r="L5670" t="str">
        <f>"076372"</f>
        <v>076372</v>
      </c>
      <c r="M5670" t="str">
        <f>"46348"</f>
        <v>46348</v>
      </c>
      <c r="N5670" t="s">
        <v>1631</v>
      </c>
      <c r="O5670">
        <v>630</v>
      </c>
      <c r="P5670">
        <v>20190404</v>
      </c>
      <c r="Q5670" t="s">
        <v>2514</v>
      </c>
      <c r="R5670" t="s">
        <v>4530</v>
      </c>
      <c r="S5670" t="s">
        <v>1615</v>
      </c>
      <c r="T5670" t="s">
        <v>301</v>
      </c>
    </row>
    <row r="5671" spans="1:20" x14ac:dyDescent="0.25">
      <c r="A5671">
        <v>9</v>
      </c>
      <c r="B5671">
        <v>199</v>
      </c>
      <c r="C5671" t="str">
        <f>"36"</f>
        <v>36</v>
      </c>
      <c r="D5671">
        <v>6412</v>
      </c>
      <c r="E5671" t="str">
        <f>"09"</f>
        <v>09</v>
      </c>
      <c r="F5671" t="str">
        <f>"001"</f>
        <v>001</v>
      </c>
      <c r="G5671">
        <v>9</v>
      </c>
      <c r="H5671" t="str">
        <f t="shared" si="1241"/>
        <v>99</v>
      </c>
      <c r="I5671" t="str">
        <f>"0"</f>
        <v>0</v>
      </c>
      <c r="J5671" t="str">
        <f>"01"</f>
        <v>01</v>
      </c>
      <c r="K5671">
        <v>20190405</v>
      </c>
      <c r="L5671" t="str">
        <f>"076373"</f>
        <v>076373</v>
      </c>
      <c r="M5671" t="str">
        <f>"46348"</f>
        <v>46348</v>
      </c>
      <c r="N5671" t="s">
        <v>1631</v>
      </c>
      <c r="O5671">
        <v>170.02</v>
      </c>
      <c r="P5671">
        <v>20190404</v>
      </c>
      <c r="Q5671" t="s">
        <v>2427</v>
      </c>
      <c r="R5671" t="s">
        <v>4115</v>
      </c>
      <c r="S5671" t="s">
        <v>1615</v>
      </c>
      <c r="T5671" t="s">
        <v>301</v>
      </c>
    </row>
    <row r="5672" spans="1:20" x14ac:dyDescent="0.25">
      <c r="A5672">
        <v>9</v>
      </c>
      <c r="B5672">
        <v>199</v>
      </c>
      <c r="C5672" t="str">
        <f>"00"</f>
        <v>00</v>
      </c>
      <c r="D5672">
        <v>1291</v>
      </c>
      <c r="E5672" t="str">
        <f>"05"</f>
        <v>05</v>
      </c>
      <c r="F5672" t="str">
        <f>"000"</f>
        <v>000</v>
      </c>
      <c r="G5672">
        <v>9</v>
      </c>
      <c r="H5672" t="str">
        <f>"00"</f>
        <v>00</v>
      </c>
      <c r="I5672" t="str">
        <f>"0"</f>
        <v>0</v>
      </c>
      <c r="J5672" t="str">
        <f>"00"</f>
        <v>00</v>
      </c>
      <c r="K5672">
        <v>20190405</v>
      </c>
      <c r="L5672" t="str">
        <f>"076374"</f>
        <v>076374</v>
      </c>
      <c r="M5672" t="str">
        <f>"46351"</f>
        <v>46351</v>
      </c>
      <c r="N5672" t="s">
        <v>1639</v>
      </c>
      <c r="O5672">
        <v>633.32000000000005</v>
      </c>
      <c r="P5672">
        <v>20190404</v>
      </c>
      <c r="Q5672" t="s">
        <v>1637</v>
      </c>
      <c r="R5672" t="s">
        <v>4383</v>
      </c>
      <c r="S5672" t="s">
        <v>1615</v>
      </c>
      <c r="T5672" t="s">
        <v>296</v>
      </c>
    </row>
    <row r="5673" spans="1:20" x14ac:dyDescent="0.25">
      <c r="A5673">
        <v>9</v>
      </c>
      <c r="B5673">
        <v>199</v>
      </c>
      <c r="C5673" t="str">
        <f>"11"</f>
        <v>11</v>
      </c>
      <c r="D5673">
        <v>6299</v>
      </c>
      <c r="E5673" t="str">
        <f>"7B"</f>
        <v>7B</v>
      </c>
      <c r="F5673" t="str">
        <f>"001"</f>
        <v>001</v>
      </c>
      <c r="G5673">
        <v>9</v>
      </c>
      <c r="H5673" t="str">
        <f>"11"</f>
        <v>11</v>
      </c>
      <c r="I5673" t="str">
        <f>"0"</f>
        <v>0</v>
      </c>
      <c r="J5673" t="str">
        <f>"32"</f>
        <v>32</v>
      </c>
      <c r="K5673">
        <v>20190405</v>
      </c>
      <c r="L5673" t="str">
        <f>"076375"</f>
        <v>076375</v>
      </c>
      <c r="M5673" t="str">
        <f>"00783"</f>
        <v>00783</v>
      </c>
      <c r="N5673" t="s">
        <v>4531</v>
      </c>
      <c r="O5673">
        <v>200</v>
      </c>
      <c r="P5673">
        <v>20190404</v>
      </c>
      <c r="Q5673" t="s">
        <v>4436</v>
      </c>
      <c r="R5673" t="s">
        <v>4509</v>
      </c>
      <c r="S5673" t="s">
        <v>1615</v>
      </c>
      <c r="T5673" t="s">
        <v>301</v>
      </c>
    </row>
    <row r="5674" spans="1:20" x14ac:dyDescent="0.25">
      <c r="A5674">
        <v>9</v>
      </c>
      <c r="B5674">
        <v>199</v>
      </c>
      <c r="C5674" t="str">
        <f>"11"</f>
        <v>11</v>
      </c>
      <c r="D5674">
        <v>6411</v>
      </c>
      <c r="E5674" t="str">
        <f>"HB"</f>
        <v>HB</v>
      </c>
      <c r="F5674" t="str">
        <f>"001"</f>
        <v>001</v>
      </c>
      <c r="G5674">
        <v>9</v>
      </c>
      <c r="H5674" t="str">
        <f>"11"</f>
        <v>11</v>
      </c>
      <c r="I5674" t="str">
        <f>"3"</f>
        <v>3</v>
      </c>
      <c r="J5674" t="str">
        <f>"74"</f>
        <v>74</v>
      </c>
      <c r="K5674">
        <v>20190405</v>
      </c>
      <c r="L5674" t="str">
        <f>"076376"</f>
        <v>076376</v>
      </c>
      <c r="M5674" t="str">
        <f>"00171"</f>
        <v>00171</v>
      </c>
      <c r="N5674" t="s">
        <v>4532</v>
      </c>
      <c r="O5674">
        <v>47</v>
      </c>
      <c r="P5674">
        <v>20190404</v>
      </c>
      <c r="Q5674" t="s">
        <v>4533</v>
      </c>
      <c r="R5674" t="s">
        <v>4534</v>
      </c>
      <c r="S5674" t="s">
        <v>1615</v>
      </c>
      <c r="T5674" t="s">
        <v>301</v>
      </c>
    </row>
    <row r="5675" spans="1:20" x14ac:dyDescent="0.25">
      <c r="A5675">
        <v>9</v>
      </c>
      <c r="B5675">
        <v>199</v>
      </c>
      <c r="C5675" t="str">
        <f>"11"</f>
        <v>11</v>
      </c>
      <c r="D5675">
        <v>6299</v>
      </c>
      <c r="E5675" t="str">
        <f>"7B"</f>
        <v>7B</v>
      </c>
      <c r="F5675" t="str">
        <f>"041"</f>
        <v>041</v>
      </c>
      <c r="G5675">
        <v>9</v>
      </c>
      <c r="H5675" t="str">
        <f>"11"</f>
        <v>11</v>
      </c>
      <c r="I5675" t="str">
        <f t="shared" ref="I5675:I5693" si="1243">"0"</f>
        <v>0</v>
      </c>
      <c r="J5675" t="str">
        <f>"36"</f>
        <v>36</v>
      </c>
      <c r="K5675">
        <v>20190405</v>
      </c>
      <c r="L5675" t="str">
        <f>"076378"</f>
        <v>076378</v>
      </c>
      <c r="M5675" t="str">
        <f>"53444"</f>
        <v>53444</v>
      </c>
      <c r="N5675" t="s">
        <v>4535</v>
      </c>
      <c r="O5675">
        <v>250</v>
      </c>
      <c r="P5675">
        <v>20190404</v>
      </c>
      <c r="Q5675" t="s">
        <v>4523</v>
      </c>
      <c r="R5675" t="s">
        <v>4524</v>
      </c>
      <c r="S5675" t="s">
        <v>1615</v>
      </c>
      <c r="T5675" t="s">
        <v>106</v>
      </c>
    </row>
    <row r="5676" spans="1:20" x14ac:dyDescent="0.25">
      <c r="A5676">
        <v>9</v>
      </c>
      <c r="B5676">
        <v>199</v>
      </c>
      <c r="C5676" t="str">
        <f>"52"</f>
        <v>52</v>
      </c>
      <c r="D5676">
        <v>6219</v>
      </c>
      <c r="E5676" t="str">
        <f>"00"</f>
        <v>00</v>
      </c>
      <c r="F5676" t="str">
        <f>"101"</f>
        <v>101</v>
      </c>
      <c r="G5676">
        <v>9</v>
      </c>
      <c r="H5676" t="str">
        <f>"99"</f>
        <v>99</v>
      </c>
      <c r="I5676" t="str">
        <f t="shared" si="1243"/>
        <v>0</v>
      </c>
      <c r="J5676" t="str">
        <f>"00"</f>
        <v>00</v>
      </c>
      <c r="K5676">
        <v>20190405</v>
      </c>
      <c r="L5676" t="str">
        <f>"076379"</f>
        <v>076379</v>
      </c>
      <c r="M5676" t="str">
        <f>"00755"</f>
        <v>00755</v>
      </c>
      <c r="N5676" t="s">
        <v>4268</v>
      </c>
      <c r="O5676">
        <v>300</v>
      </c>
      <c r="P5676">
        <v>20190404</v>
      </c>
      <c r="Q5676" t="s">
        <v>1854</v>
      </c>
      <c r="R5676" t="s">
        <v>4536</v>
      </c>
      <c r="S5676" t="s">
        <v>1615</v>
      </c>
      <c r="T5676" t="s">
        <v>1479</v>
      </c>
    </row>
    <row r="5677" spans="1:20" x14ac:dyDescent="0.25">
      <c r="A5677">
        <v>9</v>
      </c>
      <c r="B5677">
        <v>199</v>
      </c>
      <c r="C5677" t="str">
        <f>"11"</f>
        <v>11</v>
      </c>
      <c r="D5677">
        <v>6399</v>
      </c>
      <c r="E5677" t="str">
        <f>"AP"</f>
        <v>AP</v>
      </c>
      <c r="F5677" t="str">
        <f>"001"</f>
        <v>001</v>
      </c>
      <c r="G5677">
        <v>9</v>
      </c>
      <c r="H5677" t="str">
        <f>"31"</f>
        <v>31</v>
      </c>
      <c r="I5677" t="str">
        <f t="shared" si="1243"/>
        <v>0</v>
      </c>
      <c r="J5677" t="str">
        <f>"34"</f>
        <v>34</v>
      </c>
      <c r="K5677">
        <v>20190405</v>
      </c>
      <c r="L5677" t="str">
        <f>"076380"</f>
        <v>076380</v>
      </c>
      <c r="M5677" t="str">
        <f>"00765"</f>
        <v>00765</v>
      </c>
      <c r="N5677" t="s">
        <v>4537</v>
      </c>
      <c r="O5677" s="1">
        <v>2407</v>
      </c>
      <c r="P5677">
        <v>20190404</v>
      </c>
      <c r="Q5677" t="s">
        <v>1677</v>
      </c>
      <c r="R5677" t="s">
        <v>4538</v>
      </c>
      <c r="S5677" t="s">
        <v>1615</v>
      </c>
      <c r="T5677" t="s">
        <v>301</v>
      </c>
    </row>
    <row r="5678" spans="1:20" x14ac:dyDescent="0.25">
      <c r="A5678">
        <v>9</v>
      </c>
      <c r="B5678">
        <v>199</v>
      </c>
      <c r="C5678" t="str">
        <f>"11"</f>
        <v>11</v>
      </c>
      <c r="D5678">
        <v>6399</v>
      </c>
      <c r="E5678" t="str">
        <f>"P1"</f>
        <v>P1</v>
      </c>
      <c r="F5678" t="str">
        <f>"001"</f>
        <v>001</v>
      </c>
      <c r="G5678">
        <v>9</v>
      </c>
      <c r="H5678" t="str">
        <f>"11"</f>
        <v>11</v>
      </c>
      <c r="I5678" t="str">
        <f t="shared" si="1243"/>
        <v>0</v>
      </c>
      <c r="J5678" t="str">
        <f>"01"</f>
        <v>01</v>
      </c>
      <c r="K5678">
        <v>20190405</v>
      </c>
      <c r="L5678" t="str">
        <f>"076380"</f>
        <v>076380</v>
      </c>
      <c r="M5678" t="str">
        <f>"00765"</f>
        <v>00765</v>
      </c>
      <c r="N5678" t="s">
        <v>4537</v>
      </c>
      <c r="O5678">
        <v>999.2</v>
      </c>
      <c r="P5678">
        <v>20190404</v>
      </c>
      <c r="Q5678" t="s">
        <v>2698</v>
      </c>
      <c r="R5678" t="s">
        <v>4538</v>
      </c>
      <c r="S5678" t="s">
        <v>1615</v>
      </c>
      <c r="T5678" t="s">
        <v>301</v>
      </c>
    </row>
    <row r="5679" spans="1:20" x14ac:dyDescent="0.25">
      <c r="A5679">
        <v>9</v>
      </c>
      <c r="B5679">
        <v>199</v>
      </c>
      <c r="C5679" t="str">
        <f>"36"</f>
        <v>36</v>
      </c>
      <c r="D5679">
        <v>6412</v>
      </c>
      <c r="E5679" t="str">
        <f>"09"</f>
        <v>09</v>
      </c>
      <c r="F5679" t="str">
        <f>"001"</f>
        <v>001</v>
      </c>
      <c r="G5679">
        <v>9</v>
      </c>
      <c r="H5679" t="str">
        <f>"99"</f>
        <v>99</v>
      </c>
      <c r="I5679" t="str">
        <f t="shared" si="1243"/>
        <v>0</v>
      </c>
      <c r="J5679" t="str">
        <f>"01"</f>
        <v>01</v>
      </c>
      <c r="K5679">
        <v>20190405</v>
      </c>
      <c r="L5679" t="str">
        <f>"076381"</f>
        <v>076381</v>
      </c>
      <c r="M5679" t="str">
        <f>"73600"</f>
        <v>73600</v>
      </c>
      <c r="N5679" t="s">
        <v>4539</v>
      </c>
      <c r="O5679">
        <v>675</v>
      </c>
      <c r="P5679">
        <v>20190404</v>
      </c>
      <c r="Q5679" t="s">
        <v>2427</v>
      </c>
      <c r="R5679" t="s">
        <v>4469</v>
      </c>
      <c r="S5679" t="s">
        <v>1615</v>
      </c>
      <c r="T5679" t="s">
        <v>301</v>
      </c>
    </row>
    <row r="5680" spans="1:20" x14ac:dyDescent="0.25">
      <c r="A5680">
        <v>9</v>
      </c>
      <c r="B5680">
        <v>199</v>
      </c>
      <c r="C5680" t="str">
        <f>"51"</f>
        <v>51</v>
      </c>
      <c r="D5680">
        <v>6249</v>
      </c>
      <c r="E5680" t="str">
        <f>"M1"</f>
        <v>M1</v>
      </c>
      <c r="F5680" t="str">
        <f>"936"</f>
        <v>936</v>
      </c>
      <c r="G5680">
        <v>9</v>
      </c>
      <c r="H5680" t="str">
        <f>"99"</f>
        <v>99</v>
      </c>
      <c r="I5680" t="str">
        <f t="shared" si="1243"/>
        <v>0</v>
      </c>
      <c r="J5680" t="str">
        <f>"81"</f>
        <v>81</v>
      </c>
      <c r="K5680">
        <v>20190405</v>
      </c>
      <c r="L5680" t="str">
        <f>"076383"</f>
        <v>076383</v>
      </c>
      <c r="M5680" t="str">
        <f>"00181"</f>
        <v>00181</v>
      </c>
      <c r="N5680" t="s">
        <v>1762</v>
      </c>
      <c r="O5680">
        <v>320</v>
      </c>
      <c r="P5680">
        <v>20190404</v>
      </c>
      <c r="Q5680" t="s">
        <v>1763</v>
      </c>
      <c r="R5680" s="2">
        <v>43556</v>
      </c>
      <c r="S5680" t="s">
        <v>1615</v>
      </c>
      <c r="T5680" t="s">
        <v>1713</v>
      </c>
    </row>
    <row r="5681" spans="1:20" x14ac:dyDescent="0.25">
      <c r="A5681">
        <v>9</v>
      </c>
      <c r="B5681">
        <v>199</v>
      </c>
      <c r="C5681" t="str">
        <f>"34"</f>
        <v>34</v>
      </c>
      <c r="D5681">
        <v>6311</v>
      </c>
      <c r="E5681" t="str">
        <f>"10"</f>
        <v>10</v>
      </c>
      <c r="F5681" t="str">
        <f>"937"</f>
        <v>937</v>
      </c>
      <c r="G5681">
        <v>9</v>
      </c>
      <c r="H5681" t="str">
        <f>"99"</f>
        <v>99</v>
      </c>
      <c r="I5681" t="str">
        <f t="shared" si="1243"/>
        <v>0</v>
      </c>
      <c r="J5681" t="str">
        <f>"82"</f>
        <v>82</v>
      </c>
      <c r="K5681">
        <v>20190405</v>
      </c>
      <c r="L5681" t="str">
        <f>"076384"</f>
        <v>076384</v>
      </c>
      <c r="M5681" t="str">
        <f>"56255"</f>
        <v>56255</v>
      </c>
      <c r="N5681" t="s">
        <v>2399</v>
      </c>
      <c r="O5681" s="1">
        <v>15656.9</v>
      </c>
      <c r="P5681">
        <v>20190404</v>
      </c>
      <c r="Q5681" t="s">
        <v>1914</v>
      </c>
      <c r="R5681" t="s">
        <v>4540</v>
      </c>
      <c r="S5681" t="s">
        <v>1615</v>
      </c>
      <c r="T5681" t="s">
        <v>1810</v>
      </c>
    </row>
    <row r="5682" spans="1:20" x14ac:dyDescent="0.25">
      <c r="A5682">
        <v>9</v>
      </c>
      <c r="B5682">
        <v>199</v>
      </c>
      <c r="C5682" t="str">
        <f>"34"</f>
        <v>34</v>
      </c>
      <c r="D5682">
        <v>6399</v>
      </c>
      <c r="E5682" t="str">
        <f>"11"</f>
        <v>11</v>
      </c>
      <c r="F5682" t="str">
        <f>"937"</f>
        <v>937</v>
      </c>
      <c r="G5682">
        <v>9</v>
      </c>
      <c r="H5682" t="str">
        <f>"99"</f>
        <v>99</v>
      </c>
      <c r="I5682" t="str">
        <f t="shared" si="1243"/>
        <v>0</v>
      </c>
      <c r="J5682" t="str">
        <f>"82"</f>
        <v>82</v>
      </c>
      <c r="K5682">
        <v>20190405</v>
      </c>
      <c r="L5682" t="str">
        <f>"076384"</f>
        <v>076384</v>
      </c>
      <c r="M5682" t="str">
        <f>"56255"</f>
        <v>56255</v>
      </c>
      <c r="N5682" t="s">
        <v>2399</v>
      </c>
      <c r="O5682">
        <v>414.69</v>
      </c>
      <c r="P5682">
        <v>20190404</v>
      </c>
      <c r="Q5682" t="s">
        <v>2210</v>
      </c>
      <c r="R5682" t="s">
        <v>3441</v>
      </c>
      <c r="S5682" t="s">
        <v>1615</v>
      </c>
      <c r="T5682" t="s">
        <v>1810</v>
      </c>
    </row>
    <row r="5683" spans="1:20" x14ac:dyDescent="0.25">
      <c r="A5683">
        <v>9</v>
      </c>
      <c r="B5683">
        <v>199</v>
      </c>
      <c r="C5683" t="str">
        <f>"12"</f>
        <v>12</v>
      </c>
      <c r="D5683">
        <v>6411</v>
      </c>
      <c r="E5683" t="str">
        <f>"00"</f>
        <v>00</v>
      </c>
      <c r="F5683" t="str">
        <f>"001"</f>
        <v>001</v>
      </c>
      <c r="G5683">
        <v>9</v>
      </c>
      <c r="H5683" t="str">
        <f>"11"</f>
        <v>11</v>
      </c>
      <c r="I5683" t="str">
        <f t="shared" si="1243"/>
        <v>0</v>
      </c>
      <c r="J5683" t="str">
        <f>"94"</f>
        <v>94</v>
      </c>
      <c r="K5683">
        <v>20190405</v>
      </c>
      <c r="L5683" t="str">
        <f>"076385"</f>
        <v>076385</v>
      </c>
      <c r="M5683" t="str">
        <f>"56452"</f>
        <v>56452</v>
      </c>
      <c r="N5683" t="s">
        <v>4541</v>
      </c>
      <c r="O5683">
        <v>387.74</v>
      </c>
      <c r="P5683">
        <v>20190404</v>
      </c>
      <c r="Q5683" t="s">
        <v>3129</v>
      </c>
      <c r="R5683" t="s">
        <v>4034</v>
      </c>
      <c r="S5683" t="s">
        <v>1615</v>
      </c>
      <c r="T5683" t="s">
        <v>301</v>
      </c>
    </row>
    <row r="5684" spans="1:20" x14ac:dyDescent="0.25">
      <c r="A5684">
        <v>9</v>
      </c>
      <c r="B5684">
        <v>199</v>
      </c>
      <c r="C5684" t="str">
        <f>"12"</f>
        <v>12</v>
      </c>
      <c r="D5684">
        <v>6411</v>
      </c>
      <c r="E5684" t="str">
        <f>"00"</f>
        <v>00</v>
      </c>
      <c r="F5684" t="str">
        <f>"041"</f>
        <v>041</v>
      </c>
      <c r="G5684">
        <v>9</v>
      </c>
      <c r="H5684" t="str">
        <f>"11"</f>
        <v>11</v>
      </c>
      <c r="I5684" t="str">
        <f t="shared" si="1243"/>
        <v>0</v>
      </c>
      <c r="J5684" t="str">
        <f>"94"</f>
        <v>94</v>
      </c>
      <c r="K5684">
        <v>20190405</v>
      </c>
      <c r="L5684" t="str">
        <f>"076385"</f>
        <v>076385</v>
      </c>
      <c r="M5684" t="str">
        <f>"56452"</f>
        <v>56452</v>
      </c>
      <c r="N5684" t="s">
        <v>4541</v>
      </c>
      <c r="O5684">
        <v>387.74</v>
      </c>
      <c r="P5684">
        <v>20190404</v>
      </c>
      <c r="Q5684" t="s">
        <v>4035</v>
      </c>
      <c r="R5684" t="s">
        <v>4034</v>
      </c>
      <c r="S5684" t="s">
        <v>1615</v>
      </c>
      <c r="T5684" t="s">
        <v>106</v>
      </c>
    </row>
    <row r="5685" spans="1:20" x14ac:dyDescent="0.25">
      <c r="A5685">
        <v>9</v>
      </c>
      <c r="B5685">
        <v>199</v>
      </c>
      <c r="C5685" t="str">
        <f>"12"</f>
        <v>12</v>
      </c>
      <c r="D5685">
        <v>6411</v>
      </c>
      <c r="E5685" t="str">
        <f>"00"</f>
        <v>00</v>
      </c>
      <c r="F5685" t="str">
        <f>"101"</f>
        <v>101</v>
      </c>
      <c r="G5685">
        <v>9</v>
      </c>
      <c r="H5685" t="str">
        <f>"11"</f>
        <v>11</v>
      </c>
      <c r="I5685" t="str">
        <f t="shared" si="1243"/>
        <v>0</v>
      </c>
      <c r="J5685" t="str">
        <f>"94"</f>
        <v>94</v>
      </c>
      <c r="K5685">
        <v>20190405</v>
      </c>
      <c r="L5685" t="str">
        <f>"076385"</f>
        <v>076385</v>
      </c>
      <c r="M5685" t="str">
        <f>"56452"</f>
        <v>56452</v>
      </c>
      <c r="N5685" t="s">
        <v>4541</v>
      </c>
      <c r="O5685">
        <v>387.74</v>
      </c>
      <c r="P5685">
        <v>20190404</v>
      </c>
      <c r="Q5685" t="s">
        <v>4036</v>
      </c>
      <c r="R5685" t="s">
        <v>4034</v>
      </c>
      <c r="S5685" t="s">
        <v>1615</v>
      </c>
      <c r="T5685" t="s">
        <v>1479</v>
      </c>
    </row>
    <row r="5686" spans="1:20" x14ac:dyDescent="0.25">
      <c r="A5686">
        <v>9</v>
      </c>
      <c r="B5686">
        <v>199</v>
      </c>
      <c r="C5686" t="str">
        <f>"12"</f>
        <v>12</v>
      </c>
      <c r="D5686">
        <v>6411</v>
      </c>
      <c r="E5686" t="str">
        <f>"00"</f>
        <v>00</v>
      </c>
      <c r="F5686" t="str">
        <f>"104"</f>
        <v>104</v>
      </c>
      <c r="G5686">
        <v>9</v>
      </c>
      <c r="H5686" t="str">
        <f>"11"</f>
        <v>11</v>
      </c>
      <c r="I5686" t="str">
        <f t="shared" si="1243"/>
        <v>0</v>
      </c>
      <c r="J5686" t="str">
        <f>"94"</f>
        <v>94</v>
      </c>
      <c r="K5686">
        <v>20190405</v>
      </c>
      <c r="L5686" t="str">
        <f>"076385"</f>
        <v>076385</v>
      </c>
      <c r="M5686" t="str">
        <f>"56452"</f>
        <v>56452</v>
      </c>
      <c r="N5686" t="s">
        <v>4541</v>
      </c>
      <c r="O5686">
        <v>387.74</v>
      </c>
      <c r="P5686">
        <v>20190404</v>
      </c>
      <c r="Q5686" t="s">
        <v>4037</v>
      </c>
      <c r="R5686" t="s">
        <v>4034</v>
      </c>
      <c r="S5686" t="s">
        <v>1615</v>
      </c>
      <c r="T5686" t="s">
        <v>46</v>
      </c>
    </row>
    <row r="5687" spans="1:20" x14ac:dyDescent="0.25">
      <c r="A5687">
        <v>9</v>
      </c>
      <c r="B5687">
        <v>199</v>
      </c>
      <c r="C5687" t="str">
        <f>"53"</f>
        <v>53</v>
      </c>
      <c r="D5687">
        <v>6411</v>
      </c>
      <c r="E5687" t="str">
        <f>"10"</f>
        <v>10</v>
      </c>
      <c r="F5687" t="str">
        <f>"880"</f>
        <v>880</v>
      </c>
      <c r="G5687">
        <v>9</v>
      </c>
      <c r="H5687" t="str">
        <f>"99"</f>
        <v>99</v>
      </c>
      <c r="I5687" t="str">
        <f t="shared" si="1243"/>
        <v>0</v>
      </c>
      <c r="J5687" t="str">
        <f>"80"</f>
        <v>80</v>
      </c>
      <c r="K5687">
        <v>20190405</v>
      </c>
      <c r="L5687" t="str">
        <f>"076386"</f>
        <v>076386</v>
      </c>
      <c r="M5687" t="str">
        <f>"56570"</f>
        <v>56570</v>
      </c>
      <c r="N5687" t="s">
        <v>4542</v>
      </c>
      <c r="O5687">
        <v>51.15</v>
      </c>
      <c r="P5687">
        <v>20190404</v>
      </c>
      <c r="Q5687" t="s">
        <v>1901</v>
      </c>
      <c r="R5687" t="s">
        <v>4543</v>
      </c>
      <c r="S5687" t="s">
        <v>1615</v>
      </c>
      <c r="T5687" t="s">
        <v>1866</v>
      </c>
    </row>
    <row r="5688" spans="1:20" x14ac:dyDescent="0.25">
      <c r="A5688">
        <v>9</v>
      </c>
      <c r="B5688">
        <v>199</v>
      </c>
      <c r="C5688" t="str">
        <f>"11"</f>
        <v>11</v>
      </c>
      <c r="D5688">
        <v>6399</v>
      </c>
      <c r="E5688" t="str">
        <f>"10"</f>
        <v>10</v>
      </c>
      <c r="F5688" t="str">
        <f>"041"</f>
        <v>041</v>
      </c>
      <c r="G5688">
        <v>9</v>
      </c>
      <c r="H5688" t="str">
        <f>"11"</f>
        <v>11</v>
      </c>
      <c r="I5688" t="str">
        <f t="shared" si="1243"/>
        <v>0</v>
      </c>
      <c r="J5688" t="str">
        <f>"03"</f>
        <v>03</v>
      </c>
      <c r="K5688">
        <v>20190405</v>
      </c>
      <c r="L5688" t="str">
        <f>"076387"</f>
        <v>076387</v>
      </c>
      <c r="M5688" t="str">
        <f>"58103"</f>
        <v>58103</v>
      </c>
      <c r="N5688" t="s">
        <v>4544</v>
      </c>
      <c r="O5688">
        <v>90.5</v>
      </c>
      <c r="P5688">
        <v>20190404</v>
      </c>
      <c r="Q5688" t="s">
        <v>2956</v>
      </c>
      <c r="R5688" t="s">
        <v>4545</v>
      </c>
      <c r="S5688" t="s">
        <v>1615</v>
      </c>
      <c r="T5688" t="s">
        <v>106</v>
      </c>
    </row>
    <row r="5689" spans="1:20" x14ac:dyDescent="0.25">
      <c r="A5689">
        <v>9</v>
      </c>
      <c r="B5689">
        <v>199</v>
      </c>
      <c r="C5689" t="str">
        <f>"11"</f>
        <v>11</v>
      </c>
      <c r="D5689">
        <v>6399</v>
      </c>
      <c r="E5689" t="str">
        <f>"7K"</f>
        <v>7K</v>
      </c>
      <c r="F5689" t="str">
        <f>"001"</f>
        <v>001</v>
      </c>
      <c r="G5689">
        <v>9</v>
      </c>
      <c r="H5689" t="str">
        <f>"11"</f>
        <v>11</v>
      </c>
      <c r="I5689" t="str">
        <f t="shared" si="1243"/>
        <v>0</v>
      </c>
      <c r="J5689" t="str">
        <f>"01"</f>
        <v>01</v>
      </c>
      <c r="K5689">
        <v>20190405</v>
      </c>
      <c r="L5689" t="str">
        <f>"076389"</f>
        <v>076389</v>
      </c>
      <c r="M5689" t="str">
        <f>"58204"</f>
        <v>58204</v>
      </c>
      <c r="N5689" t="s">
        <v>1767</v>
      </c>
      <c r="O5689">
        <v>212.18</v>
      </c>
      <c r="P5689">
        <v>20190404</v>
      </c>
      <c r="Q5689" t="s">
        <v>1671</v>
      </c>
      <c r="R5689" t="s">
        <v>4546</v>
      </c>
      <c r="S5689" t="s">
        <v>1615</v>
      </c>
      <c r="T5689" t="s">
        <v>301</v>
      </c>
    </row>
    <row r="5690" spans="1:20" x14ac:dyDescent="0.25">
      <c r="A5690">
        <v>9</v>
      </c>
      <c r="B5690">
        <v>199</v>
      </c>
      <c r="C5690" t="str">
        <f>"11"</f>
        <v>11</v>
      </c>
      <c r="D5690">
        <v>6399</v>
      </c>
      <c r="E5690" t="str">
        <f>"7K"</f>
        <v>7K</v>
      </c>
      <c r="F5690" t="str">
        <f>"001"</f>
        <v>001</v>
      </c>
      <c r="G5690">
        <v>9</v>
      </c>
      <c r="H5690" t="str">
        <f>"11"</f>
        <v>11</v>
      </c>
      <c r="I5690" t="str">
        <f t="shared" si="1243"/>
        <v>0</v>
      </c>
      <c r="J5690" t="str">
        <f>"01"</f>
        <v>01</v>
      </c>
      <c r="K5690">
        <v>20190405</v>
      </c>
      <c r="L5690" t="str">
        <f>"076389"</f>
        <v>076389</v>
      </c>
      <c r="M5690" t="str">
        <f>"58204"</f>
        <v>58204</v>
      </c>
      <c r="N5690" t="s">
        <v>1767</v>
      </c>
      <c r="O5690">
        <v>209.3</v>
      </c>
      <c r="P5690">
        <v>20190404</v>
      </c>
      <c r="Q5690" t="s">
        <v>1671</v>
      </c>
      <c r="R5690" t="s">
        <v>4547</v>
      </c>
      <c r="S5690" t="s">
        <v>1615</v>
      </c>
      <c r="T5690" t="s">
        <v>301</v>
      </c>
    </row>
    <row r="5691" spans="1:20" x14ac:dyDescent="0.25">
      <c r="A5691">
        <v>9</v>
      </c>
      <c r="B5691">
        <v>199</v>
      </c>
      <c r="C5691" t="str">
        <f>"11"</f>
        <v>11</v>
      </c>
      <c r="D5691">
        <v>6399</v>
      </c>
      <c r="E5691" t="str">
        <f>"45"</f>
        <v>45</v>
      </c>
      <c r="F5691" t="str">
        <f>"101"</f>
        <v>101</v>
      </c>
      <c r="G5691">
        <v>9</v>
      </c>
      <c r="H5691" t="str">
        <f>"11"</f>
        <v>11</v>
      </c>
      <c r="I5691" t="str">
        <f t="shared" si="1243"/>
        <v>0</v>
      </c>
      <c r="J5691" t="str">
        <f>"04"</f>
        <v>04</v>
      </c>
      <c r="K5691">
        <v>20190405</v>
      </c>
      <c r="L5691" t="str">
        <f>"076391"</f>
        <v>076391</v>
      </c>
      <c r="M5691" t="str">
        <f>"58203"</f>
        <v>58203</v>
      </c>
      <c r="N5691" t="s">
        <v>3051</v>
      </c>
      <c r="O5691">
        <v>101.73</v>
      </c>
      <c r="P5691">
        <v>20190404</v>
      </c>
      <c r="Q5691" t="s">
        <v>1859</v>
      </c>
      <c r="R5691" t="s">
        <v>4548</v>
      </c>
      <c r="S5691" t="s">
        <v>1615</v>
      </c>
      <c r="T5691" t="s">
        <v>1479</v>
      </c>
    </row>
    <row r="5692" spans="1:20" x14ac:dyDescent="0.25">
      <c r="A5692">
        <v>9</v>
      </c>
      <c r="B5692">
        <v>199</v>
      </c>
      <c r="C5692" t="str">
        <f>"23"</f>
        <v>23</v>
      </c>
      <c r="D5692">
        <v>6397</v>
      </c>
      <c r="E5692" t="str">
        <f>"99"</f>
        <v>99</v>
      </c>
      <c r="F5692" t="str">
        <f>"101"</f>
        <v>101</v>
      </c>
      <c r="G5692">
        <v>9</v>
      </c>
      <c r="H5692" t="str">
        <f>"99"</f>
        <v>99</v>
      </c>
      <c r="I5692" t="str">
        <f t="shared" si="1243"/>
        <v>0</v>
      </c>
      <c r="J5692" t="str">
        <f>"04"</f>
        <v>04</v>
      </c>
      <c r="K5692">
        <v>20190405</v>
      </c>
      <c r="L5692" t="str">
        <f>"076391"</f>
        <v>076391</v>
      </c>
      <c r="M5692" t="str">
        <f>"58203"</f>
        <v>58203</v>
      </c>
      <c r="N5692" t="s">
        <v>3051</v>
      </c>
      <c r="O5692">
        <v>7.35</v>
      </c>
      <c r="P5692">
        <v>20190404</v>
      </c>
      <c r="Q5692" t="s">
        <v>4549</v>
      </c>
      <c r="R5692" t="s">
        <v>4550</v>
      </c>
      <c r="S5692" t="s">
        <v>1615</v>
      </c>
      <c r="T5692" t="s">
        <v>1479</v>
      </c>
    </row>
    <row r="5693" spans="1:20" x14ac:dyDescent="0.25">
      <c r="A5693">
        <v>9</v>
      </c>
      <c r="B5693">
        <v>199</v>
      </c>
      <c r="C5693" t="str">
        <f>"36"</f>
        <v>36</v>
      </c>
      <c r="D5693">
        <v>6411</v>
      </c>
      <c r="E5693" t="str">
        <f>"09"</f>
        <v>09</v>
      </c>
      <c r="F5693" t="str">
        <f>"001"</f>
        <v>001</v>
      </c>
      <c r="G5693">
        <v>9</v>
      </c>
      <c r="H5693" t="str">
        <f>"99"</f>
        <v>99</v>
      </c>
      <c r="I5693" t="str">
        <f t="shared" si="1243"/>
        <v>0</v>
      </c>
      <c r="J5693" t="str">
        <f>"01"</f>
        <v>01</v>
      </c>
      <c r="K5693">
        <v>20190405</v>
      </c>
      <c r="L5693" t="str">
        <f>"076392"</f>
        <v>076392</v>
      </c>
      <c r="M5693" t="str">
        <f>"59097"</f>
        <v>59097</v>
      </c>
      <c r="N5693" t="s">
        <v>2294</v>
      </c>
      <c r="O5693">
        <v>300</v>
      </c>
      <c r="P5693">
        <v>20190404</v>
      </c>
      <c r="Q5693" t="s">
        <v>2513</v>
      </c>
      <c r="R5693" t="s">
        <v>4469</v>
      </c>
      <c r="S5693" t="s">
        <v>1615</v>
      </c>
      <c r="T5693" t="s">
        <v>301</v>
      </c>
    </row>
    <row r="5694" spans="1:20" x14ac:dyDescent="0.25">
      <c r="A5694">
        <v>9</v>
      </c>
      <c r="B5694">
        <v>199</v>
      </c>
      <c r="C5694" t="str">
        <f>"36"</f>
        <v>36</v>
      </c>
      <c r="D5694">
        <v>6412</v>
      </c>
      <c r="E5694" t="str">
        <f>"09"</f>
        <v>09</v>
      </c>
      <c r="F5694" t="str">
        <f>"001"</f>
        <v>001</v>
      </c>
      <c r="G5694">
        <v>9</v>
      </c>
      <c r="H5694" t="str">
        <f>"99"</f>
        <v>99</v>
      </c>
      <c r="I5694" t="str">
        <f>"1"</f>
        <v>1</v>
      </c>
      <c r="J5694" t="str">
        <f>"01"</f>
        <v>01</v>
      </c>
      <c r="K5694">
        <v>20190405</v>
      </c>
      <c r="L5694" t="str">
        <f>"076392"</f>
        <v>076392</v>
      </c>
      <c r="M5694" t="str">
        <f>"59097"</f>
        <v>59097</v>
      </c>
      <c r="N5694" t="s">
        <v>2294</v>
      </c>
      <c r="O5694">
        <v>945</v>
      </c>
      <c r="P5694">
        <v>20190404</v>
      </c>
      <c r="Q5694" t="s">
        <v>2514</v>
      </c>
      <c r="R5694" t="s">
        <v>4469</v>
      </c>
      <c r="S5694" t="s">
        <v>1615</v>
      </c>
      <c r="T5694" t="s">
        <v>301</v>
      </c>
    </row>
    <row r="5695" spans="1:20" x14ac:dyDescent="0.25">
      <c r="A5695">
        <v>9</v>
      </c>
      <c r="B5695">
        <v>199</v>
      </c>
      <c r="C5695" t="str">
        <f>"00"</f>
        <v>00</v>
      </c>
      <c r="D5695">
        <v>1312</v>
      </c>
      <c r="E5695" t="str">
        <f>"00"</f>
        <v>00</v>
      </c>
      <c r="F5695" t="str">
        <f>"000"</f>
        <v>000</v>
      </c>
      <c r="G5695">
        <v>9</v>
      </c>
      <c r="H5695" t="str">
        <f>"00"</f>
        <v>00</v>
      </c>
      <c r="I5695" t="str">
        <f>"0"</f>
        <v>0</v>
      </c>
      <c r="J5695" t="str">
        <f>"00"</f>
        <v>00</v>
      </c>
      <c r="K5695">
        <v>20190405</v>
      </c>
      <c r="L5695" t="str">
        <f>"076393"</f>
        <v>076393</v>
      </c>
      <c r="M5695" t="str">
        <f>"60000"</f>
        <v>60000</v>
      </c>
      <c r="N5695" t="s">
        <v>4551</v>
      </c>
      <c r="O5695">
        <v>275.85000000000002</v>
      </c>
      <c r="P5695">
        <v>20190404</v>
      </c>
      <c r="Q5695" t="s">
        <v>1860</v>
      </c>
      <c r="R5695" t="s">
        <v>4552</v>
      </c>
      <c r="S5695" t="s">
        <v>1615</v>
      </c>
      <c r="T5695" t="s">
        <v>296</v>
      </c>
    </row>
    <row r="5696" spans="1:20" x14ac:dyDescent="0.25">
      <c r="A5696">
        <v>9</v>
      </c>
      <c r="B5696">
        <v>199</v>
      </c>
      <c r="C5696" t="str">
        <f>"41"</f>
        <v>41</v>
      </c>
      <c r="D5696">
        <v>6399</v>
      </c>
      <c r="E5696" t="str">
        <f>"10"</f>
        <v>10</v>
      </c>
      <c r="F5696" t="str">
        <f>"933"</f>
        <v>933</v>
      </c>
      <c r="G5696">
        <v>9</v>
      </c>
      <c r="H5696" t="str">
        <f>"99"</f>
        <v>99</v>
      </c>
      <c r="I5696" t="str">
        <f>"0"</f>
        <v>0</v>
      </c>
      <c r="J5696" t="str">
        <f>"85"</f>
        <v>85</v>
      </c>
      <c r="K5696">
        <v>20190405</v>
      </c>
      <c r="L5696" t="str">
        <f>"076393"</f>
        <v>076393</v>
      </c>
      <c r="M5696" t="str">
        <f>"60000"</f>
        <v>60000</v>
      </c>
      <c r="N5696" t="s">
        <v>4551</v>
      </c>
      <c r="O5696">
        <v>78</v>
      </c>
      <c r="P5696">
        <v>20190404</v>
      </c>
      <c r="Q5696" t="s">
        <v>2179</v>
      </c>
      <c r="R5696" t="s">
        <v>4553</v>
      </c>
      <c r="S5696" t="s">
        <v>1615</v>
      </c>
      <c r="T5696" t="s">
        <v>1643</v>
      </c>
    </row>
    <row r="5697" spans="1:20" x14ac:dyDescent="0.25">
      <c r="A5697">
        <v>9</v>
      </c>
      <c r="B5697">
        <v>199</v>
      </c>
      <c r="C5697" t="str">
        <f>"00"</f>
        <v>00</v>
      </c>
      <c r="D5697">
        <v>1415</v>
      </c>
      <c r="E5697" t="str">
        <f>"01"</f>
        <v>01</v>
      </c>
      <c r="F5697" t="str">
        <f>"000"</f>
        <v>000</v>
      </c>
      <c r="G5697">
        <v>9</v>
      </c>
      <c r="H5697" t="str">
        <f>"00"</f>
        <v>00</v>
      </c>
      <c r="I5697" t="str">
        <f>"0"</f>
        <v>0</v>
      </c>
      <c r="J5697" t="str">
        <f>"00"</f>
        <v>00</v>
      </c>
      <c r="K5697">
        <v>20190405</v>
      </c>
      <c r="L5697" t="str">
        <f>"076394"</f>
        <v>076394</v>
      </c>
      <c r="M5697" t="str">
        <f>"60362"</f>
        <v>60362</v>
      </c>
      <c r="N5697" t="s">
        <v>2296</v>
      </c>
      <c r="O5697" s="1">
        <v>4040</v>
      </c>
      <c r="P5697">
        <v>20190404</v>
      </c>
      <c r="Q5697" t="s">
        <v>2297</v>
      </c>
      <c r="R5697" t="s">
        <v>4554</v>
      </c>
      <c r="S5697" t="s">
        <v>1615</v>
      </c>
      <c r="T5697" t="s">
        <v>296</v>
      </c>
    </row>
    <row r="5698" spans="1:20" x14ac:dyDescent="0.25">
      <c r="A5698">
        <v>9</v>
      </c>
      <c r="B5698">
        <v>199</v>
      </c>
      <c r="C5698" t="str">
        <f>"41"</f>
        <v>41</v>
      </c>
      <c r="D5698">
        <v>6499</v>
      </c>
      <c r="E5698" t="str">
        <f>"10"</f>
        <v>10</v>
      </c>
      <c r="F5698" t="str">
        <f>"720"</f>
        <v>720</v>
      </c>
      <c r="G5698">
        <v>9</v>
      </c>
      <c r="H5698" t="str">
        <f>"99"</f>
        <v>99</v>
      </c>
      <c r="I5698" t="str">
        <f>"0"</f>
        <v>0</v>
      </c>
      <c r="J5698" t="str">
        <f>"91"</f>
        <v>91</v>
      </c>
      <c r="K5698">
        <v>20190405</v>
      </c>
      <c r="L5698" t="str">
        <f>"076394"</f>
        <v>076394</v>
      </c>
      <c r="M5698" t="str">
        <f>"60362"</f>
        <v>60362</v>
      </c>
      <c r="N5698" t="s">
        <v>2296</v>
      </c>
      <c r="O5698">
        <v>41</v>
      </c>
      <c r="P5698">
        <v>20190404</v>
      </c>
      <c r="Q5698" t="s">
        <v>4555</v>
      </c>
      <c r="R5698" t="s">
        <v>4554</v>
      </c>
      <c r="S5698" t="s">
        <v>1615</v>
      </c>
      <c r="T5698" t="s">
        <v>2045</v>
      </c>
    </row>
    <row r="5699" spans="1:20" x14ac:dyDescent="0.25">
      <c r="A5699">
        <v>9</v>
      </c>
      <c r="B5699">
        <v>199</v>
      </c>
      <c r="C5699" t="str">
        <f>"36"</f>
        <v>36</v>
      </c>
      <c r="D5699">
        <v>6411</v>
      </c>
      <c r="E5699" t="str">
        <f>"09"</f>
        <v>09</v>
      </c>
      <c r="F5699" t="str">
        <f>"001"</f>
        <v>001</v>
      </c>
      <c r="G5699">
        <v>9</v>
      </c>
      <c r="H5699" t="str">
        <f>"99"</f>
        <v>99</v>
      </c>
      <c r="I5699" t="str">
        <f>"0"</f>
        <v>0</v>
      </c>
      <c r="J5699" t="str">
        <f>"01"</f>
        <v>01</v>
      </c>
      <c r="K5699">
        <v>20190405</v>
      </c>
      <c r="L5699" t="str">
        <f>"076395"</f>
        <v>076395</v>
      </c>
      <c r="M5699" t="str">
        <f>"63053"</f>
        <v>63053</v>
      </c>
      <c r="N5699" t="s">
        <v>2309</v>
      </c>
      <c r="O5699">
        <v>100</v>
      </c>
      <c r="P5699">
        <v>20190404</v>
      </c>
      <c r="Q5699" t="s">
        <v>2513</v>
      </c>
      <c r="R5699" t="s">
        <v>4556</v>
      </c>
      <c r="S5699" t="s">
        <v>1615</v>
      </c>
      <c r="T5699" t="s">
        <v>301</v>
      </c>
    </row>
    <row r="5700" spans="1:20" x14ac:dyDescent="0.25">
      <c r="A5700">
        <v>9</v>
      </c>
      <c r="B5700">
        <v>199</v>
      </c>
      <c r="C5700" t="str">
        <f>"36"</f>
        <v>36</v>
      </c>
      <c r="D5700">
        <v>6412</v>
      </c>
      <c r="E5700" t="str">
        <f>"7E"</f>
        <v>7E</v>
      </c>
      <c r="F5700" t="str">
        <f>"001"</f>
        <v>001</v>
      </c>
      <c r="G5700">
        <v>9</v>
      </c>
      <c r="H5700" t="str">
        <f>"99"</f>
        <v>99</v>
      </c>
      <c r="I5700" t="str">
        <f>"1"</f>
        <v>1</v>
      </c>
      <c r="J5700" t="str">
        <f>"31"</f>
        <v>31</v>
      </c>
      <c r="K5700">
        <v>20190405</v>
      </c>
      <c r="L5700" t="str">
        <f>"076395"</f>
        <v>076395</v>
      </c>
      <c r="M5700" t="str">
        <f>"63053"</f>
        <v>63053</v>
      </c>
      <c r="N5700" t="s">
        <v>2309</v>
      </c>
      <c r="O5700" s="1">
        <v>1370</v>
      </c>
      <c r="P5700">
        <v>20190404</v>
      </c>
      <c r="Q5700" t="s">
        <v>2312</v>
      </c>
      <c r="R5700" t="s">
        <v>4556</v>
      </c>
      <c r="S5700" t="s">
        <v>1615</v>
      </c>
      <c r="T5700" t="s">
        <v>301</v>
      </c>
    </row>
    <row r="5701" spans="1:20" x14ac:dyDescent="0.25">
      <c r="A5701">
        <v>9</v>
      </c>
      <c r="B5701">
        <v>199</v>
      </c>
      <c r="C5701" t="str">
        <f>"11"</f>
        <v>11</v>
      </c>
      <c r="D5701">
        <v>6399</v>
      </c>
      <c r="E5701" t="str">
        <f>"VA"</f>
        <v>VA</v>
      </c>
      <c r="F5701" t="str">
        <f>"001"</f>
        <v>001</v>
      </c>
      <c r="G5701">
        <v>9</v>
      </c>
      <c r="H5701" t="str">
        <f>"22"</f>
        <v>22</v>
      </c>
      <c r="I5701" t="str">
        <f t="shared" ref="I5701:I5746" si="1244">"0"</f>
        <v>0</v>
      </c>
      <c r="J5701" t="str">
        <f>"22"</f>
        <v>22</v>
      </c>
      <c r="K5701">
        <v>20190405</v>
      </c>
      <c r="L5701" t="str">
        <f>"076396"</f>
        <v>076396</v>
      </c>
      <c r="M5701" t="str">
        <f>"63608"</f>
        <v>63608</v>
      </c>
      <c r="N5701" t="s">
        <v>2122</v>
      </c>
      <c r="O5701">
        <v>70.27</v>
      </c>
      <c r="P5701">
        <v>20190404</v>
      </c>
      <c r="Q5701" t="s">
        <v>2186</v>
      </c>
      <c r="R5701" t="s">
        <v>4557</v>
      </c>
      <c r="S5701" t="s">
        <v>1615</v>
      </c>
      <c r="T5701" t="s">
        <v>301</v>
      </c>
    </row>
    <row r="5702" spans="1:20" x14ac:dyDescent="0.25">
      <c r="A5702">
        <v>9</v>
      </c>
      <c r="B5702">
        <v>199</v>
      </c>
      <c r="C5702" t="str">
        <f>"11"</f>
        <v>11</v>
      </c>
      <c r="D5702">
        <v>6399</v>
      </c>
      <c r="E5702" t="str">
        <f>"VA"</f>
        <v>VA</v>
      </c>
      <c r="F5702" t="str">
        <f>"001"</f>
        <v>001</v>
      </c>
      <c r="G5702">
        <v>9</v>
      </c>
      <c r="H5702" t="str">
        <f>"22"</f>
        <v>22</v>
      </c>
      <c r="I5702" t="str">
        <f t="shared" si="1244"/>
        <v>0</v>
      </c>
      <c r="J5702" t="str">
        <f>"22"</f>
        <v>22</v>
      </c>
      <c r="K5702">
        <v>20190405</v>
      </c>
      <c r="L5702" t="str">
        <f>"076396"</f>
        <v>076396</v>
      </c>
      <c r="M5702" t="str">
        <f>"63608"</f>
        <v>63608</v>
      </c>
      <c r="N5702" t="s">
        <v>2122</v>
      </c>
      <c r="O5702">
        <v>86.17</v>
      </c>
      <c r="P5702">
        <v>20190404</v>
      </c>
      <c r="Q5702" t="s">
        <v>2186</v>
      </c>
      <c r="R5702" t="s">
        <v>4557</v>
      </c>
      <c r="S5702" t="s">
        <v>1615</v>
      </c>
      <c r="T5702" t="s">
        <v>301</v>
      </c>
    </row>
    <row r="5703" spans="1:20" x14ac:dyDescent="0.25">
      <c r="A5703">
        <v>9</v>
      </c>
      <c r="B5703">
        <v>199</v>
      </c>
      <c r="C5703" t="str">
        <f>"51"</f>
        <v>51</v>
      </c>
      <c r="D5703">
        <v>6319</v>
      </c>
      <c r="E5703" t="str">
        <f>"M2"</f>
        <v>M2</v>
      </c>
      <c r="F5703" t="str">
        <f>"936"</f>
        <v>936</v>
      </c>
      <c r="G5703">
        <v>9</v>
      </c>
      <c r="H5703" t="str">
        <f>"99"</f>
        <v>99</v>
      </c>
      <c r="I5703" t="str">
        <f t="shared" si="1244"/>
        <v>0</v>
      </c>
      <c r="J5703" t="str">
        <f>"81"</f>
        <v>81</v>
      </c>
      <c r="K5703">
        <v>20190405</v>
      </c>
      <c r="L5703" t="str">
        <f>"076396"</f>
        <v>076396</v>
      </c>
      <c r="M5703" t="str">
        <f>"63608"</f>
        <v>63608</v>
      </c>
      <c r="N5703" t="s">
        <v>2122</v>
      </c>
      <c r="O5703">
        <v>129.80000000000001</v>
      </c>
      <c r="P5703">
        <v>20190404</v>
      </c>
      <c r="Q5703" t="s">
        <v>2074</v>
      </c>
      <c r="R5703" t="s">
        <v>4558</v>
      </c>
      <c r="S5703" t="s">
        <v>1615</v>
      </c>
      <c r="T5703" t="s">
        <v>1713</v>
      </c>
    </row>
    <row r="5704" spans="1:20" x14ac:dyDescent="0.25">
      <c r="A5704">
        <v>9</v>
      </c>
      <c r="B5704">
        <v>199</v>
      </c>
      <c r="C5704" t="str">
        <f>"11"</f>
        <v>11</v>
      </c>
      <c r="D5704">
        <v>6299</v>
      </c>
      <c r="E5704" t="str">
        <f>"7B"</f>
        <v>7B</v>
      </c>
      <c r="F5704" t="str">
        <f>"041"</f>
        <v>041</v>
      </c>
      <c r="G5704">
        <v>9</v>
      </c>
      <c r="H5704" t="str">
        <f>"11"</f>
        <v>11</v>
      </c>
      <c r="I5704" t="str">
        <f t="shared" si="1244"/>
        <v>0</v>
      </c>
      <c r="J5704" t="str">
        <f>"36"</f>
        <v>36</v>
      </c>
      <c r="K5704">
        <v>20190405</v>
      </c>
      <c r="L5704" t="str">
        <f>"076397"</f>
        <v>076397</v>
      </c>
      <c r="M5704" t="str">
        <f>"00454"</f>
        <v>00454</v>
      </c>
      <c r="N5704" t="s">
        <v>4559</v>
      </c>
      <c r="O5704">
        <v>156.25</v>
      </c>
      <c r="P5704">
        <v>20190404</v>
      </c>
      <c r="Q5704" t="s">
        <v>4523</v>
      </c>
      <c r="R5704" t="s">
        <v>4524</v>
      </c>
      <c r="S5704" t="s">
        <v>1615</v>
      </c>
      <c r="T5704" t="s">
        <v>106</v>
      </c>
    </row>
    <row r="5705" spans="1:20" x14ac:dyDescent="0.25">
      <c r="A5705">
        <v>9</v>
      </c>
      <c r="B5705">
        <v>199</v>
      </c>
      <c r="C5705" t="str">
        <f>"11"</f>
        <v>11</v>
      </c>
      <c r="D5705">
        <v>6299</v>
      </c>
      <c r="E5705" t="str">
        <f>"7B"</f>
        <v>7B</v>
      </c>
      <c r="F5705" t="str">
        <f>"001"</f>
        <v>001</v>
      </c>
      <c r="G5705">
        <v>9</v>
      </c>
      <c r="H5705" t="str">
        <f>"11"</f>
        <v>11</v>
      </c>
      <c r="I5705" t="str">
        <f t="shared" si="1244"/>
        <v>0</v>
      </c>
      <c r="J5705" t="str">
        <f>"32"</f>
        <v>32</v>
      </c>
      <c r="K5705">
        <v>20190405</v>
      </c>
      <c r="L5705" t="str">
        <f>"076399"</f>
        <v>076399</v>
      </c>
      <c r="M5705" t="str">
        <f>"65475"</f>
        <v>65475</v>
      </c>
      <c r="N5705" t="s">
        <v>4560</v>
      </c>
      <c r="O5705">
        <v>125</v>
      </c>
      <c r="P5705">
        <v>20190404</v>
      </c>
      <c r="Q5705" t="s">
        <v>4436</v>
      </c>
      <c r="R5705" t="s">
        <v>4509</v>
      </c>
      <c r="S5705" t="s">
        <v>1615</v>
      </c>
      <c r="T5705" t="s">
        <v>301</v>
      </c>
    </row>
    <row r="5706" spans="1:20" x14ac:dyDescent="0.25">
      <c r="A5706">
        <v>9</v>
      </c>
      <c r="B5706">
        <v>199</v>
      </c>
      <c r="C5706" t="str">
        <f>"11"</f>
        <v>11</v>
      </c>
      <c r="D5706">
        <v>6299</v>
      </c>
      <c r="E5706" t="str">
        <f>"7B"</f>
        <v>7B</v>
      </c>
      <c r="F5706" t="str">
        <f>"001"</f>
        <v>001</v>
      </c>
      <c r="G5706">
        <v>9</v>
      </c>
      <c r="H5706" t="str">
        <f>"11"</f>
        <v>11</v>
      </c>
      <c r="I5706" t="str">
        <f t="shared" si="1244"/>
        <v>0</v>
      </c>
      <c r="J5706" t="str">
        <f>"32"</f>
        <v>32</v>
      </c>
      <c r="K5706">
        <v>20190621</v>
      </c>
      <c r="L5706" t="str">
        <f>"076399"</f>
        <v>076399</v>
      </c>
      <c r="M5706" t="str">
        <f>"65475"</f>
        <v>65475</v>
      </c>
      <c r="N5706" t="s">
        <v>4560</v>
      </c>
      <c r="O5706">
        <v>-125</v>
      </c>
      <c r="P5706">
        <v>20190621</v>
      </c>
      <c r="Q5706" t="s">
        <v>4436</v>
      </c>
      <c r="R5706" t="s">
        <v>845</v>
      </c>
      <c r="S5706" t="s">
        <v>1615</v>
      </c>
      <c r="T5706" t="s">
        <v>301</v>
      </c>
    </row>
    <row r="5707" spans="1:20" x14ac:dyDescent="0.25">
      <c r="A5707">
        <v>9</v>
      </c>
      <c r="B5707">
        <v>199</v>
      </c>
      <c r="C5707" t="str">
        <f>"34"</f>
        <v>34</v>
      </c>
      <c r="D5707">
        <v>6249</v>
      </c>
      <c r="E5707" t="str">
        <f>"10"</f>
        <v>10</v>
      </c>
      <c r="F5707" t="str">
        <f>"937"</f>
        <v>937</v>
      </c>
      <c r="G5707">
        <v>9</v>
      </c>
      <c r="H5707" t="str">
        <f t="shared" ref="H5707:H5714" si="1245">"99"</f>
        <v>99</v>
      </c>
      <c r="I5707" t="str">
        <f t="shared" si="1244"/>
        <v>0</v>
      </c>
      <c r="J5707" t="str">
        <f>"82"</f>
        <v>82</v>
      </c>
      <c r="K5707">
        <v>20190405</v>
      </c>
      <c r="L5707" t="str">
        <f t="shared" ref="L5707:L5712" si="1246">"076402"</f>
        <v>076402</v>
      </c>
      <c r="M5707" t="str">
        <f t="shared" ref="M5707:M5712" si="1247">"71225"</f>
        <v>71225</v>
      </c>
      <c r="N5707" t="s">
        <v>1803</v>
      </c>
      <c r="O5707">
        <v>52.5</v>
      </c>
      <c r="P5707">
        <v>20190404</v>
      </c>
      <c r="Q5707" t="s">
        <v>2036</v>
      </c>
      <c r="R5707" t="s">
        <v>4561</v>
      </c>
      <c r="S5707" t="s">
        <v>1615</v>
      </c>
      <c r="T5707" t="s">
        <v>1810</v>
      </c>
    </row>
    <row r="5708" spans="1:20" x14ac:dyDescent="0.25">
      <c r="A5708">
        <v>9</v>
      </c>
      <c r="B5708">
        <v>199</v>
      </c>
      <c r="C5708" t="str">
        <f>"34"</f>
        <v>34</v>
      </c>
      <c r="D5708">
        <v>6249</v>
      </c>
      <c r="E5708" t="str">
        <f>"10"</f>
        <v>10</v>
      </c>
      <c r="F5708" t="str">
        <f>"937"</f>
        <v>937</v>
      </c>
      <c r="G5708">
        <v>9</v>
      </c>
      <c r="H5708" t="str">
        <f t="shared" si="1245"/>
        <v>99</v>
      </c>
      <c r="I5708" t="str">
        <f t="shared" si="1244"/>
        <v>0</v>
      </c>
      <c r="J5708" t="str">
        <f>"82"</f>
        <v>82</v>
      </c>
      <c r="K5708">
        <v>20190405</v>
      </c>
      <c r="L5708" t="str">
        <f t="shared" si="1246"/>
        <v>076402</v>
      </c>
      <c r="M5708" t="str">
        <f t="shared" si="1247"/>
        <v>71225</v>
      </c>
      <c r="N5708" t="s">
        <v>1803</v>
      </c>
      <c r="O5708">
        <v>52.5</v>
      </c>
      <c r="P5708">
        <v>20190404</v>
      </c>
      <c r="Q5708" t="s">
        <v>2036</v>
      </c>
      <c r="R5708" t="s">
        <v>4562</v>
      </c>
      <c r="S5708" t="s">
        <v>1615</v>
      </c>
      <c r="T5708" t="s">
        <v>1810</v>
      </c>
    </row>
    <row r="5709" spans="1:20" x14ac:dyDescent="0.25">
      <c r="A5709">
        <v>9</v>
      </c>
      <c r="B5709">
        <v>199</v>
      </c>
      <c r="C5709" t="str">
        <f>"34"</f>
        <v>34</v>
      </c>
      <c r="D5709">
        <v>6249</v>
      </c>
      <c r="E5709" t="str">
        <f>"10"</f>
        <v>10</v>
      </c>
      <c r="F5709" t="str">
        <f>"937"</f>
        <v>937</v>
      </c>
      <c r="G5709">
        <v>9</v>
      </c>
      <c r="H5709" t="str">
        <f t="shared" si="1245"/>
        <v>99</v>
      </c>
      <c r="I5709" t="str">
        <f t="shared" si="1244"/>
        <v>0</v>
      </c>
      <c r="J5709" t="str">
        <f>"82"</f>
        <v>82</v>
      </c>
      <c r="K5709">
        <v>20190405</v>
      </c>
      <c r="L5709" t="str">
        <f t="shared" si="1246"/>
        <v>076402</v>
      </c>
      <c r="M5709" t="str">
        <f t="shared" si="1247"/>
        <v>71225</v>
      </c>
      <c r="N5709" t="s">
        <v>1803</v>
      </c>
      <c r="O5709">
        <v>52.5</v>
      </c>
      <c r="P5709">
        <v>20190404</v>
      </c>
      <c r="Q5709" t="s">
        <v>2036</v>
      </c>
      <c r="R5709" t="s">
        <v>4563</v>
      </c>
      <c r="S5709" t="s">
        <v>1615</v>
      </c>
      <c r="T5709" t="s">
        <v>1810</v>
      </c>
    </row>
    <row r="5710" spans="1:20" x14ac:dyDescent="0.25">
      <c r="A5710">
        <v>9</v>
      </c>
      <c r="B5710">
        <v>199</v>
      </c>
      <c r="C5710" t="str">
        <f>"51"</f>
        <v>51</v>
      </c>
      <c r="D5710">
        <v>6248</v>
      </c>
      <c r="E5710" t="str">
        <f>"M2"</f>
        <v>M2</v>
      </c>
      <c r="F5710" t="str">
        <f>"936"</f>
        <v>936</v>
      </c>
      <c r="G5710">
        <v>9</v>
      </c>
      <c r="H5710" t="str">
        <f t="shared" si="1245"/>
        <v>99</v>
      </c>
      <c r="I5710" t="str">
        <f t="shared" si="1244"/>
        <v>0</v>
      </c>
      <c r="J5710" t="str">
        <f>"81"</f>
        <v>81</v>
      </c>
      <c r="K5710">
        <v>20190405</v>
      </c>
      <c r="L5710" t="str">
        <f t="shared" si="1246"/>
        <v>076402</v>
      </c>
      <c r="M5710" t="str">
        <f t="shared" si="1247"/>
        <v>71225</v>
      </c>
      <c r="N5710" t="s">
        <v>1803</v>
      </c>
      <c r="O5710">
        <v>326.92</v>
      </c>
      <c r="P5710">
        <v>20190404</v>
      </c>
      <c r="Q5710" t="s">
        <v>4041</v>
      </c>
      <c r="R5710" t="s">
        <v>4564</v>
      </c>
      <c r="S5710" t="s">
        <v>1615</v>
      </c>
      <c r="T5710" t="s">
        <v>1713</v>
      </c>
    </row>
    <row r="5711" spans="1:20" x14ac:dyDescent="0.25">
      <c r="A5711">
        <v>9</v>
      </c>
      <c r="B5711">
        <v>199</v>
      </c>
      <c r="C5711" t="str">
        <f>"51"</f>
        <v>51</v>
      </c>
      <c r="D5711">
        <v>6249</v>
      </c>
      <c r="E5711" t="str">
        <f>"WF"</f>
        <v>WF</v>
      </c>
      <c r="F5711" t="str">
        <f>"936"</f>
        <v>936</v>
      </c>
      <c r="G5711">
        <v>9</v>
      </c>
      <c r="H5711" t="str">
        <f t="shared" si="1245"/>
        <v>99</v>
      </c>
      <c r="I5711" t="str">
        <f t="shared" si="1244"/>
        <v>0</v>
      </c>
      <c r="J5711" t="str">
        <f>"82"</f>
        <v>82</v>
      </c>
      <c r="K5711">
        <v>20190405</v>
      </c>
      <c r="L5711" t="str">
        <f t="shared" si="1246"/>
        <v>076402</v>
      </c>
      <c r="M5711" t="str">
        <f t="shared" si="1247"/>
        <v>71225</v>
      </c>
      <c r="N5711" t="s">
        <v>1803</v>
      </c>
      <c r="O5711">
        <v>27.5</v>
      </c>
      <c r="P5711">
        <v>20190404</v>
      </c>
      <c r="Q5711" t="s">
        <v>2127</v>
      </c>
      <c r="R5711" t="s">
        <v>4565</v>
      </c>
      <c r="S5711" t="s">
        <v>1615</v>
      </c>
      <c r="T5711" t="s">
        <v>1713</v>
      </c>
    </row>
    <row r="5712" spans="1:20" x14ac:dyDescent="0.25">
      <c r="A5712">
        <v>9</v>
      </c>
      <c r="B5712">
        <v>199</v>
      </c>
      <c r="C5712" t="str">
        <f>"51"</f>
        <v>51</v>
      </c>
      <c r="D5712">
        <v>6249</v>
      </c>
      <c r="E5712" t="str">
        <f>"WF"</f>
        <v>WF</v>
      </c>
      <c r="F5712" t="str">
        <f>"936"</f>
        <v>936</v>
      </c>
      <c r="G5712">
        <v>9</v>
      </c>
      <c r="H5712" t="str">
        <f t="shared" si="1245"/>
        <v>99</v>
      </c>
      <c r="I5712" t="str">
        <f t="shared" si="1244"/>
        <v>0</v>
      </c>
      <c r="J5712" t="str">
        <f>"82"</f>
        <v>82</v>
      </c>
      <c r="K5712">
        <v>20190405</v>
      </c>
      <c r="L5712" t="str">
        <f t="shared" si="1246"/>
        <v>076402</v>
      </c>
      <c r="M5712" t="str">
        <f t="shared" si="1247"/>
        <v>71225</v>
      </c>
      <c r="N5712" t="s">
        <v>1803</v>
      </c>
      <c r="O5712">
        <v>132.5</v>
      </c>
      <c r="P5712">
        <v>20190404</v>
      </c>
      <c r="Q5712" t="s">
        <v>2127</v>
      </c>
      <c r="R5712" t="s">
        <v>4566</v>
      </c>
      <c r="S5712" t="s">
        <v>1615</v>
      </c>
      <c r="T5712" t="s">
        <v>1713</v>
      </c>
    </row>
    <row r="5713" spans="1:20" x14ac:dyDescent="0.25">
      <c r="A5713">
        <v>9</v>
      </c>
      <c r="B5713">
        <v>199</v>
      </c>
      <c r="C5713" t="str">
        <f>"51"</f>
        <v>51</v>
      </c>
      <c r="D5713">
        <v>6256</v>
      </c>
      <c r="E5713" t="str">
        <f t="shared" ref="E5713:E5719" si="1248">"10"</f>
        <v>10</v>
      </c>
      <c r="F5713" t="str">
        <f>"936"</f>
        <v>936</v>
      </c>
      <c r="G5713">
        <v>9</v>
      </c>
      <c r="H5713" t="str">
        <f t="shared" si="1245"/>
        <v>99</v>
      </c>
      <c r="I5713" t="str">
        <f t="shared" si="1244"/>
        <v>0</v>
      </c>
      <c r="J5713" t="str">
        <f>"81"</f>
        <v>81</v>
      </c>
      <c r="K5713">
        <v>20190405</v>
      </c>
      <c r="L5713" t="str">
        <f>"076403"</f>
        <v>076403</v>
      </c>
      <c r="M5713" t="str">
        <f>"72340"</f>
        <v>72340</v>
      </c>
      <c r="N5713" t="s">
        <v>1652</v>
      </c>
      <c r="O5713">
        <v>223.36</v>
      </c>
      <c r="P5713">
        <v>20190405</v>
      </c>
      <c r="Q5713" t="s">
        <v>2679</v>
      </c>
      <c r="R5713" t="s">
        <v>4567</v>
      </c>
      <c r="S5713" t="s">
        <v>1615</v>
      </c>
      <c r="T5713" t="s">
        <v>1713</v>
      </c>
    </row>
    <row r="5714" spans="1:20" x14ac:dyDescent="0.25">
      <c r="A5714">
        <v>9</v>
      </c>
      <c r="B5714">
        <v>199</v>
      </c>
      <c r="C5714" t="str">
        <f>"41"</f>
        <v>41</v>
      </c>
      <c r="D5714">
        <v>6299</v>
      </c>
      <c r="E5714" t="str">
        <f t="shared" si="1248"/>
        <v>10</v>
      </c>
      <c r="F5714" t="str">
        <f>"726"</f>
        <v>726</v>
      </c>
      <c r="G5714">
        <v>9</v>
      </c>
      <c r="H5714" t="str">
        <f t="shared" si="1245"/>
        <v>99</v>
      </c>
      <c r="I5714" t="str">
        <f t="shared" si="1244"/>
        <v>0</v>
      </c>
      <c r="J5714" t="str">
        <f>"91"</f>
        <v>91</v>
      </c>
      <c r="K5714">
        <v>20190405</v>
      </c>
      <c r="L5714" t="str">
        <f>"076404"</f>
        <v>076404</v>
      </c>
      <c r="M5714" t="str">
        <f>"24705"</f>
        <v>24705</v>
      </c>
      <c r="N5714" t="s">
        <v>3281</v>
      </c>
      <c r="O5714" s="1">
        <v>4500</v>
      </c>
      <c r="P5714">
        <v>20190405</v>
      </c>
      <c r="Q5714" t="s">
        <v>4568</v>
      </c>
      <c r="R5714" t="s">
        <v>4569</v>
      </c>
      <c r="S5714" t="s">
        <v>1615</v>
      </c>
      <c r="T5714" t="s">
        <v>2608</v>
      </c>
    </row>
    <row r="5715" spans="1:20" x14ac:dyDescent="0.25">
      <c r="A5715">
        <v>9</v>
      </c>
      <c r="B5715">
        <v>199</v>
      </c>
      <c r="C5715" t="str">
        <f>"11"</f>
        <v>11</v>
      </c>
      <c r="D5715">
        <v>6395</v>
      </c>
      <c r="E5715" t="str">
        <f t="shared" si="1248"/>
        <v>10</v>
      </c>
      <c r="F5715" t="str">
        <f>"001"</f>
        <v>001</v>
      </c>
      <c r="G5715">
        <v>9</v>
      </c>
      <c r="H5715" t="str">
        <f>"11"</f>
        <v>11</v>
      </c>
      <c r="I5715" t="str">
        <f t="shared" si="1244"/>
        <v>0</v>
      </c>
      <c r="J5715" t="str">
        <f>"01"</f>
        <v>01</v>
      </c>
      <c r="K5715">
        <v>20190405</v>
      </c>
      <c r="L5715" t="str">
        <f t="shared" ref="L5715:L5724" si="1249">"076405"</f>
        <v>076405</v>
      </c>
      <c r="M5715" t="str">
        <f t="shared" ref="M5715:M5724" si="1250">"81303"</f>
        <v>81303</v>
      </c>
      <c r="N5715" t="s">
        <v>66</v>
      </c>
      <c r="O5715">
        <v>471</v>
      </c>
      <c r="P5715">
        <v>20190405</v>
      </c>
      <c r="Q5715" t="s">
        <v>1929</v>
      </c>
      <c r="R5715" t="s">
        <v>4570</v>
      </c>
      <c r="S5715" t="s">
        <v>1615</v>
      </c>
      <c r="T5715" t="s">
        <v>301</v>
      </c>
    </row>
    <row r="5716" spans="1:20" x14ac:dyDescent="0.25">
      <c r="A5716">
        <v>9</v>
      </c>
      <c r="B5716">
        <v>199</v>
      </c>
      <c r="C5716" t="str">
        <f>"11"</f>
        <v>11</v>
      </c>
      <c r="D5716">
        <v>6395</v>
      </c>
      <c r="E5716" t="str">
        <f t="shared" si="1248"/>
        <v>10</v>
      </c>
      <c r="F5716" t="str">
        <f>"041"</f>
        <v>041</v>
      </c>
      <c r="G5716">
        <v>9</v>
      </c>
      <c r="H5716" t="str">
        <f>"11"</f>
        <v>11</v>
      </c>
      <c r="I5716" t="str">
        <f t="shared" si="1244"/>
        <v>0</v>
      </c>
      <c r="J5716" t="str">
        <f>"03"</f>
        <v>03</v>
      </c>
      <c r="K5716">
        <v>20190405</v>
      </c>
      <c r="L5716" t="str">
        <f t="shared" si="1249"/>
        <v>076405</v>
      </c>
      <c r="M5716" t="str">
        <f t="shared" si="1250"/>
        <v>81303</v>
      </c>
      <c r="N5716" t="s">
        <v>66</v>
      </c>
      <c r="O5716">
        <v>195</v>
      </c>
      <c r="P5716">
        <v>20190405</v>
      </c>
      <c r="Q5716" t="s">
        <v>2927</v>
      </c>
      <c r="R5716" t="s">
        <v>2930</v>
      </c>
      <c r="S5716" t="s">
        <v>1615</v>
      </c>
      <c r="T5716" t="s">
        <v>106</v>
      </c>
    </row>
    <row r="5717" spans="1:20" x14ac:dyDescent="0.25">
      <c r="A5717">
        <v>9</v>
      </c>
      <c r="B5717">
        <v>199</v>
      </c>
      <c r="C5717" t="str">
        <f>"11"</f>
        <v>11</v>
      </c>
      <c r="D5717">
        <v>6395</v>
      </c>
      <c r="E5717" t="str">
        <f t="shared" si="1248"/>
        <v>10</v>
      </c>
      <c r="F5717" t="str">
        <f>"041"</f>
        <v>041</v>
      </c>
      <c r="G5717">
        <v>9</v>
      </c>
      <c r="H5717" t="str">
        <f>"11"</f>
        <v>11</v>
      </c>
      <c r="I5717" t="str">
        <f t="shared" si="1244"/>
        <v>0</v>
      </c>
      <c r="J5717" t="str">
        <f>"03"</f>
        <v>03</v>
      </c>
      <c r="K5717">
        <v>20190405</v>
      </c>
      <c r="L5717" t="str">
        <f t="shared" si="1249"/>
        <v>076405</v>
      </c>
      <c r="M5717" t="str">
        <f t="shared" si="1250"/>
        <v>81303</v>
      </c>
      <c r="N5717" t="s">
        <v>66</v>
      </c>
      <c r="O5717">
        <v>7.5</v>
      </c>
      <c r="P5717">
        <v>20190405</v>
      </c>
      <c r="Q5717" t="s">
        <v>2927</v>
      </c>
      <c r="R5717" t="s">
        <v>4571</v>
      </c>
      <c r="S5717" t="s">
        <v>1615</v>
      </c>
      <c r="T5717" t="s">
        <v>106</v>
      </c>
    </row>
    <row r="5718" spans="1:20" x14ac:dyDescent="0.25">
      <c r="A5718">
        <v>9</v>
      </c>
      <c r="B5718">
        <v>199</v>
      </c>
      <c r="C5718" t="str">
        <f>"11"</f>
        <v>11</v>
      </c>
      <c r="D5718">
        <v>6395</v>
      </c>
      <c r="E5718" t="str">
        <f t="shared" si="1248"/>
        <v>10</v>
      </c>
      <c r="F5718" t="str">
        <f>"041"</f>
        <v>041</v>
      </c>
      <c r="G5718">
        <v>9</v>
      </c>
      <c r="H5718" t="str">
        <f>"11"</f>
        <v>11</v>
      </c>
      <c r="I5718" t="str">
        <f t="shared" si="1244"/>
        <v>0</v>
      </c>
      <c r="J5718" t="str">
        <f>"03"</f>
        <v>03</v>
      </c>
      <c r="K5718">
        <v>20190405</v>
      </c>
      <c r="L5718" t="str">
        <f t="shared" si="1249"/>
        <v>076405</v>
      </c>
      <c r="M5718" t="str">
        <f t="shared" si="1250"/>
        <v>81303</v>
      </c>
      <c r="N5718" t="s">
        <v>66</v>
      </c>
      <c r="O5718">
        <v>175</v>
      </c>
      <c r="P5718">
        <v>20190405</v>
      </c>
      <c r="Q5718" t="s">
        <v>2927</v>
      </c>
      <c r="R5718" t="s">
        <v>4572</v>
      </c>
      <c r="S5718" t="s">
        <v>1615</v>
      </c>
      <c r="T5718" t="s">
        <v>106</v>
      </c>
    </row>
    <row r="5719" spans="1:20" x14ac:dyDescent="0.25">
      <c r="A5719">
        <v>9</v>
      </c>
      <c r="B5719">
        <v>199</v>
      </c>
      <c r="C5719" t="str">
        <f>"11"</f>
        <v>11</v>
      </c>
      <c r="D5719">
        <v>6399</v>
      </c>
      <c r="E5719" t="str">
        <f t="shared" si="1248"/>
        <v>10</v>
      </c>
      <c r="F5719" t="str">
        <f>"002"</f>
        <v>002</v>
      </c>
      <c r="G5719">
        <v>9</v>
      </c>
      <c r="H5719" t="str">
        <f>"11"</f>
        <v>11</v>
      </c>
      <c r="I5719" t="str">
        <f t="shared" si="1244"/>
        <v>0</v>
      </c>
      <c r="J5719" t="str">
        <f>"02"</f>
        <v>02</v>
      </c>
      <c r="K5719">
        <v>20190405</v>
      </c>
      <c r="L5719" t="str">
        <f t="shared" si="1249"/>
        <v>076405</v>
      </c>
      <c r="M5719" t="str">
        <f t="shared" si="1250"/>
        <v>81303</v>
      </c>
      <c r="N5719" t="s">
        <v>66</v>
      </c>
      <c r="O5719">
        <v>33</v>
      </c>
      <c r="P5719">
        <v>20190405</v>
      </c>
      <c r="Q5719" t="s">
        <v>3208</v>
      </c>
      <c r="R5719" t="s">
        <v>4573</v>
      </c>
      <c r="S5719" t="s">
        <v>1615</v>
      </c>
      <c r="T5719" t="s">
        <v>1485</v>
      </c>
    </row>
    <row r="5720" spans="1:20" x14ac:dyDescent="0.25">
      <c r="A5720">
        <v>9</v>
      </c>
      <c r="B5720">
        <v>199</v>
      </c>
      <c r="C5720" t="str">
        <f>"21"</f>
        <v>21</v>
      </c>
      <c r="D5720">
        <v>6394</v>
      </c>
      <c r="E5720" t="str">
        <f>"00"</f>
        <v>00</v>
      </c>
      <c r="F5720" t="str">
        <f>"875"</f>
        <v>875</v>
      </c>
      <c r="G5720">
        <v>9</v>
      </c>
      <c r="H5720" t="str">
        <f>"23"</f>
        <v>23</v>
      </c>
      <c r="I5720" t="str">
        <f t="shared" si="1244"/>
        <v>0</v>
      </c>
      <c r="J5720" t="str">
        <f>"23"</f>
        <v>23</v>
      </c>
      <c r="K5720">
        <v>20190405</v>
      </c>
      <c r="L5720" t="str">
        <f t="shared" si="1249"/>
        <v>076405</v>
      </c>
      <c r="M5720" t="str">
        <f t="shared" si="1250"/>
        <v>81303</v>
      </c>
      <c r="N5720" t="s">
        <v>66</v>
      </c>
      <c r="O5720">
        <v>44</v>
      </c>
      <c r="P5720">
        <v>20190405</v>
      </c>
      <c r="Q5720" t="s">
        <v>2933</v>
      </c>
      <c r="R5720" t="s">
        <v>2935</v>
      </c>
      <c r="S5720" t="s">
        <v>1615</v>
      </c>
      <c r="T5720" t="s">
        <v>2041</v>
      </c>
    </row>
    <row r="5721" spans="1:20" x14ac:dyDescent="0.25">
      <c r="A5721">
        <v>9</v>
      </c>
      <c r="B5721">
        <v>199</v>
      </c>
      <c r="C5721" t="str">
        <f>"23"</f>
        <v>23</v>
      </c>
      <c r="D5721">
        <v>6395</v>
      </c>
      <c r="E5721" t="str">
        <f>"10"</f>
        <v>10</v>
      </c>
      <c r="F5721" t="str">
        <f>"104"</f>
        <v>104</v>
      </c>
      <c r="G5721">
        <v>9</v>
      </c>
      <c r="H5721" t="str">
        <f>"99"</f>
        <v>99</v>
      </c>
      <c r="I5721" t="str">
        <f t="shared" si="1244"/>
        <v>0</v>
      </c>
      <c r="J5721" t="str">
        <f>"05"</f>
        <v>05</v>
      </c>
      <c r="K5721">
        <v>20190405</v>
      </c>
      <c r="L5721" t="str">
        <f t="shared" si="1249"/>
        <v>076405</v>
      </c>
      <c r="M5721" t="str">
        <f t="shared" si="1250"/>
        <v>81303</v>
      </c>
      <c r="N5721" t="s">
        <v>66</v>
      </c>
      <c r="O5721">
        <v>120</v>
      </c>
      <c r="P5721">
        <v>20190405</v>
      </c>
      <c r="Q5721" t="s">
        <v>1933</v>
      </c>
      <c r="R5721" t="s">
        <v>4574</v>
      </c>
      <c r="S5721" t="s">
        <v>1615</v>
      </c>
      <c r="T5721" t="s">
        <v>46</v>
      </c>
    </row>
    <row r="5722" spans="1:20" x14ac:dyDescent="0.25">
      <c r="A5722">
        <v>9</v>
      </c>
      <c r="B5722">
        <v>199</v>
      </c>
      <c r="C5722" t="str">
        <f>"23"</f>
        <v>23</v>
      </c>
      <c r="D5722">
        <v>6399</v>
      </c>
      <c r="E5722" t="str">
        <f>"8K"</f>
        <v>8K</v>
      </c>
      <c r="F5722" t="str">
        <f>"104"</f>
        <v>104</v>
      </c>
      <c r="G5722">
        <v>9</v>
      </c>
      <c r="H5722" t="str">
        <f>"99"</f>
        <v>99</v>
      </c>
      <c r="I5722" t="str">
        <f t="shared" si="1244"/>
        <v>0</v>
      </c>
      <c r="J5722" t="str">
        <f>"05"</f>
        <v>05</v>
      </c>
      <c r="K5722">
        <v>20190405</v>
      </c>
      <c r="L5722" t="str">
        <f t="shared" si="1249"/>
        <v>076405</v>
      </c>
      <c r="M5722" t="str">
        <f t="shared" si="1250"/>
        <v>81303</v>
      </c>
      <c r="N5722" t="s">
        <v>66</v>
      </c>
      <c r="O5722">
        <v>21</v>
      </c>
      <c r="P5722">
        <v>20190405</v>
      </c>
      <c r="Q5722" t="s">
        <v>2326</v>
      </c>
      <c r="R5722" t="s">
        <v>4575</v>
      </c>
      <c r="S5722" t="s">
        <v>1615</v>
      </c>
      <c r="T5722" t="s">
        <v>46</v>
      </c>
    </row>
    <row r="5723" spans="1:20" x14ac:dyDescent="0.25">
      <c r="A5723">
        <v>9</v>
      </c>
      <c r="B5723">
        <v>199</v>
      </c>
      <c r="C5723" t="str">
        <f>"41"</f>
        <v>41</v>
      </c>
      <c r="D5723">
        <v>6395</v>
      </c>
      <c r="E5723" t="str">
        <f>"10"</f>
        <v>10</v>
      </c>
      <c r="F5723" t="str">
        <f>"730"</f>
        <v>730</v>
      </c>
      <c r="G5723">
        <v>9</v>
      </c>
      <c r="H5723" t="str">
        <f>"99"</f>
        <v>99</v>
      </c>
      <c r="I5723" t="str">
        <f t="shared" si="1244"/>
        <v>0</v>
      </c>
      <c r="J5723" t="str">
        <f>"95"</f>
        <v>95</v>
      </c>
      <c r="K5723">
        <v>20190405</v>
      </c>
      <c r="L5723" t="str">
        <f t="shared" si="1249"/>
        <v>076405</v>
      </c>
      <c r="M5723" t="str">
        <f t="shared" si="1250"/>
        <v>81303</v>
      </c>
      <c r="N5723" t="s">
        <v>66</v>
      </c>
      <c r="O5723">
        <v>7.5</v>
      </c>
      <c r="P5723">
        <v>20190405</v>
      </c>
      <c r="Q5723" t="s">
        <v>2547</v>
      </c>
      <c r="R5723" t="s">
        <v>4576</v>
      </c>
      <c r="S5723" t="s">
        <v>1615</v>
      </c>
      <c r="T5723" t="s">
        <v>1794</v>
      </c>
    </row>
    <row r="5724" spans="1:20" x14ac:dyDescent="0.25">
      <c r="A5724">
        <v>9</v>
      </c>
      <c r="B5724">
        <v>199</v>
      </c>
      <c r="C5724" t="str">
        <f>"41"</f>
        <v>41</v>
      </c>
      <c r="D5724">
        <v>6395</v>
      </c>
      <c r="E5724" t="str">
        <f>"10"</f>
        <v>10</v>
      </c>
      <c r="F5724" t="str">
        <f>"735"</f>
        <v>735</v>
      </c>
      <c r="G5724">
        <v>9</v>
      </c>
      <c r="H5724" t="str">
        <f>"99"</f>
        <v>99</v>
      </c>
      <c r="I5724" t="str">
        <f t="shared" si="1244"/>
        <v>0</v>
      </c>
      <c r="J5724" t="str">
        <f>"96"</f>
        <v>96</v>
      </c>
      <c r="K5724">
        <v>20190405</v>
      </c>
      <c r="L5724" t="str">
        <f t="shared" si="1249"/>
        <v>076405</v>
      </c>
      <c r="M5724" t="str">
        <f t="shared" si="1250"/>
        <v>81303</v>
      </c>
      <c r="N5724" t="s">
        <v>66</v>
      </c>
      <c r="O5724">
        <v>90</v>
      </c>
      <c r="P5724">
        <v>20190405</v>
      </c>
      <c r="Q5724" t="s">
        <v>3488</v>
      </c>
      <c r="R5724" t="s">
        <v>4577</v>
      </c>
      <c r="S5724" t="s">
        <v>1615</v>
      </c>
      <c r="T5724" t="s">
        <v>151</v>
      </c>
    </row>
    <row r="5725" spans="1:20" x14ac:dyDescent="0.25">
      <c r="A5725">
        <v>9</v>
      </c>
      <c r="B5725">
        <v>199</v>
      </c>
      <c r="C5725" t="str">
        <f>"36"</f>
        <v>36</v>
      </c>
      <c r="D5725">
        <v>6399</v>
      </c>
      <c r="E5725" t="str">
        <f>"7C"</f>
        <v>7C</v>
      </c>
      <c r="F5725" t="str">
        <f>"001"</f>
        <v>001</v>
      </c>
      <c r="G5725">
        <v>9</v>
      </c>
      <c r="H5725" t="str">
        <f>"99"</f>
        <v>99</v>
      </c>
      <c r="I5725" t="str">
        <f t="shared" si="1244"/>
        <v>0</v>
      </c>
      <c r="J5725" t="str">
        <f>"01"</f>
        <v>01</v>
      </c>
      <c r="K5725">
        <v>20190405</v>
      </c>
      <c r="L5725" t="str">
        <f>"076406"</f>
        <v>076406</v>
      </c>
      <c r="M5725" t="str">
        <f>"82381"</f>
        <v>82381</v>
      </c>
      <c r="N5725" t="s">
        <v>4578</v>
      </c>
      <c r="O5725" s="1">
        <v>1000</v>
      </c>
      <c r="P5725">
        <v>20190405</v>
      </c>
      <c r="Q5725" t="s">
        <v>4579</v>
      </c>
      <c r="R5725" t="s">
        <v>4580</v>
      </c>
      <c r="S5725" t="s">
        <v>1615</v>
      </c>
      <c r="T5725" t="s">
        <v>301</v>
      </c>
    </row>
    <row r="5726" spans="1:20" x14ac:dyDescent="0.25">
      <c r="A5726">
        <v>9</v>
      </c>
      <c r="B5726">
        <v>199</v>
      </c>
      <c r="C5726" t="str">
        <f>"11"</f>
        <v>11</v>
      </c>
      <c r="D5726">
        <v>6299</v>
      </c>
      <c r="E5726" t="str">
        <f>"7B"</f>
        <v>7B</v>
      </c>
      <c r="F5726" t="str">
        <f>"041"</f>
        <v>041</v>
      </c>
      <c r="G5726">
        <v>9</v>
      </c>
      <c r="H5726" t="str">
        <f>"11"</f>
        <v>11</v>
      </c>
      <c r="I5726" t="str">
        <f t="shared" si="1244"/>
        <v>0</v>
      </c>
      <c r="J5726" t="str">
        <f>"36"</f>
        <v>36</v>
      </c>
      <c r="K5726">
        <v>20190405</v>
      </c>
      <c r="L5726" t="str">
        <f>"076407"</f>
        <v>076407</v>
      </c>
      <c r="M5726" t="str">
        <f>"00776"</f>
        <v>00776</v>
      </c>
      <c r="N5726" t="s">
        <v>4581</v>
      </c>
      <c r="O5726">
        <v>150</v>
      </c>
      <c r="P5726">
        <v>20190405</v>
      </c>
      <c r="Q5726" t="s">
        <v>4523</v>
      </c>
      <c r="R5726" t="s">
        <v>4524</v>
      </c>
      <c r="S5726" t="s">
        <v>1615</v>
      </c>
      <c r="T5726" t="s">
        <v>106</v>
      </c>
    </row>
    <row r="5727" spans="1:20" x14ac:dyDescent="0.25">
      <c r="A5727">
        <v>9</v>
      </c>
      <c r="B5727">
        <v>199</v>
      </c>
      <c r="C5727" t="str">
        <f>"51"</f>
        <v>51</v>
      </c>
      <c r="D5727">
        <v>6639</v>
      </c>
      <c r="E5727" t="str">
        <f>"M2"</f>
        <v>M2</v>
      </c>
      <c r="F5727" t="str">
        <f>"936"</f>
        <v>936</v>
      </c>
      <c r="G5727">
        <v>9</v>
      </c>
      <c r="H5727" t="str">
        <f>"99"</f>
        <v>99</v>
      </c>
      <c r="I5727" t="str">
        <f t="shared" si="1244"/>
        <v>0</v>
      </c>
      <c r="J5727" t="str">
        <f>"81"</f>
        <v>81</v>
      </c>
      <c r="K5727">
        <v>20190405</v>
      </c>
      <c r="L5727" t="str">
        <f>"076408"</f>
        <v>076408</v>
      </c>
      <c r="M5727" t="str">
        <f>"00794"</f>
        <v>00794</v>
      </c>
      <c r="N5727" t="s">
        <v>4582</v>
      </c>
      <c r="O5727" s="1">
        <v>30000</v>
      </c>
      <c r="P5727">
        <v>20190405</v>
      </c>
      <c r="Q5727" t="s">
        <v>4583</v>
      </c>
      <c r="R5727" t="s">
        <v>4584</v>
      </c>
      <c r="S5727" t="s">
        <v>1615</v>
      </c>
      <c r="T5727" t="s">
        <v>1713</v>
      </c>
    </row>
    <row r="5728" spans="1:20" x14ac:dyDescent="0.25">
      <c r="A5728">
        <v>9</v>
      </c>
      <c r="B5728">
        <v>199</v>
      </c>
      <c r="C5728" t="str">
        <f t="shared" ref="C5728:C5734" si="1251">"11"</f>
        <v>11</v>
      </c>
      <c r="D5728">
        <v>6399</v>
      </c>
      <c r="E5728" t="str">
        <f>"V8"</f>
        <v>V8</v>
      </c>
      <c r="F5728" t="str">
        <f>"001"</f>
        <v>001</v>
      </c>
      <c r="G5728">
        <v>9</v>
      </c>
      <c r="H5728" t="str">
        <f>"22"</f>
        <v>22</v>
      </c>
      <c r="I5728" t="str">
        <f t="shared" si="1244"/>
        <v>0</v>
      </c>
      <c r="J5728" t="str">
        <f>"22"</f>
        <v>22</v>
      </c>
      <c r="K5728">
        <v>20190412</v>
      </c>
      <c r="L5728" t="str">
        <f>"076411"</f>
        <v>076411</v>
      </c>
      <c r="M5728" t="str">
        <f>"01196"</f>
        <v>01196</v>
      </c>
      <c r="N5728" t="s">
        <v>2560</v>
      </c>
      <c r="O5728">
        <v>71.36</v>
      </c>
      <c r="P5728">
        <v>20190412</v>
      </c>
      <c r="Q5728" t="s">
        <v>2001</v>
      </c>
      <c r="R5728" t="s">
        <v>4585</v>
      </c>
      <c r="S5728" t="s">
        <v>1615</v>
      </c>
      <c r="T5728" t="s">
        <v>301</v>
      </c>
    </row>
    <row r="5729" spans="1:20" x14ac:dyDescent="0.25">
      <c r="A5729">
        <v>9</v>
      </c>
      <c r="B5729">
        <v>199</v>
      </c>
      <c r="C5729" t="str">
        <f t="shared" si="1251"/>
        <v>11</v>
      </c>
      <c r="D5729">
        <v>6269</v>
      </c>
      <c r="E5729" t="str">
        <f>"V8"</f>
        <v>V8</v>
      </c>
      <c r="F5729" t="str">
        <f>"001"</f>
        <v>001</v>
      </c>
      <c r="G5729">
        <v>9</v>
      </c>
      <c r="H5729" t="str">
        <f>"22"</f>
        <v>22</v>
      </c>
      <c r="I5729" t="str">
        <f t="shared" si="1244"/>
        <v>0</v>
      </c>
      <c r="J5729" t="str">
        <f>"22"</f>
        <v>22</v>
      </c>
      <c r="K5729">
        <v>20190412</v>
      </c>
      <c r="L5729" t="str">
        <f>"076412"</f>
        <v>076412</v>
      </c>
      <c r="M5729" t="str">
        <f>"02230"</f>
        <v>02230</v>
      </c>
      <c r="N5729" t="s">
        <v>1673</v>
      </c>
      <c r="O5729">
        <v>88.37</v>
      </c>
      <c r="P5729">
        <v>20190410</v>
      </c>
      <c r="Q5729" t="s">
        <v>2154</v>
      </c>
      <c r="R5729" t="s">
        <v>4333</v>
      </c>
      <c r="S5729" t="s">
        <v>1615</v>
      </c>
      <c r="T5729" t="s">
        <v>301</v>
      </c>
    </row>
    <row r="5730" spans="1:20" x14ac:dyDescent="0.25">
      <c r="A5730">
        <v>9</v>
      </c>
      <c r="B5730">
        <v>199</v>
      </c>
      <c r="C5730" t="str">
        <f t="shared" si="1251"/>
        <v>11</v>
      </c>
      <c r="D5730">
        <v>6399</v>
      </c>
      <c r="E5730" t="str">
        <f>"10"</f>
        <v>10</v>
      </c>
      <c r="F5730" t="str">
        <f>"001"</f>
        <v>001</v>
      </c>
      <c r="G5730">
        <v>9</v>
      </c>
      <c r="H5730" t="str">
        <f>"11"</f>
        <v>11</v>
      </c>
      <c r="I5730" t="str">
        <f t="shared" si="1244"/>
        <v>0</v>
      </c>
      <c r="J5730" t="str">
        <f>"80"</f>
        <v>80</v>
      </c>
      <c r="K5730">
        <v>20190412</v>
      </c>
      <c r="L5730" t="str">
        <f>"076413"</f>
        <v>076413</v>
      </c>
      <c r="M5730" t="str">
        <f>"04240"</f>
        <v>04240</v>
      </c>
      <c r="N5730" t="s">
        <v>2565</v>
      </c>
      <c r="O5730">
        <v>180.09</v>
      </c>
      <c r="P5730">
        <v>20190410</v>
      </c>
      <c r="Q5730" t="s">
        <v>2958</v>
      </c>
      <c r="R5730" t="s">
        <v>1993</v>
      </c>
      <c r="S5730" t="s">
        <v>1615</v>
      </c>
      <c r="T5730" t="s">
        <v>301</v>
      </c>
    </row>
    <row r="5731" spans="1:20" x14ac:dyDescent="0.25">
      <c r="A5731">
        <v>9</v>
      </c>
      <c r="B5731">
        <v>199</v>
      </c>
      <c r="C5731" t="str">
        <f t="shared" si="1251"/>
        <v>11</v>
      </c>
      <c r="D5731">
        <v>6399</v>
      </c>
      <c r="E5731" t="str">
        <f>"8U"</f>
        <v>8U</v>
      </c>
      <c r="F5731" t="str">
        <f>"041"</f>
        <v>041</v>
      </c>
      <c r="G5731">
        <v>9</v>
      </c>
      <c r="H5731" t="str">
        <f>"11"</f>
        <v>11</v>
      </c>
      <c r="I5731" t="str">
        <f t="shared" si="1244"/>
        <v>0</v>
      </c>
      <c r="J5731" t="str">
        <f>"03"</f>
        <v>03</v>
      </c>
      <c r="K5731">
        <v>20190412</v>
      </c>
      <c r="L5731" t="str">
        <f>"076413"</f>
        <v>076413</v>
      </c>
      <c r="M5731" t="str">
        <f>"04240"</f>
        <v>04240</v>
      </c>
      <c r="N5731" t="s">
        <v>2565</v>
      </c>
      <c r="O5731">
        <v>212.01</v>
      </c>
      <c r="P5731">
        <v>20190410</v>
      </c>
      <c r="Q5731" t="s">
        <v>2229</v>
      </c>
      <c r="R5731" t="s">
        <v>1993</v>
      </c>
      <c r="S5731" t="s">
        <v>1615</v>
      </c>
      <c r="T5731" t="s">
        <v>106</v>
      </c>
    </row>
    <row r="5732" spans="1:20" x14ac:dyDescent="0.25">
      <c r="A5732">
        <v>9</v>
      </c>
      <c r="B5732">
        <v>199</v>
      </c>
      <c r="C5732" t="str">
        <f t="shared" si="1251"/>
        <v>11</v>
      </c>
      <c r="D5732">
        <v>6399</v>
      </c>
      <c r="E5732" t="str">
        <f>"10"</f>
        <v>10</v>
      </c>
      <c r="F5732" t="str">
        <f>"104"</f>
        <v>104</v>
      </c>
      <c r="G5732">
        <v>9</v>
      </c>
      <c r="H5732" t="str">
        <f>"11"</f>
        <v>11</v>
      </c>
      <c r="I5732" t="str">
        <f t="shared" si="1244"/>
        <v>0</v>
      </c>
      <c r="J5732" t="str">
        <f>"80"</f>
        <v>80</v>
      </c>
      <c r="K5732">
        <v>20190412</v>
      </c>
      <c r="L5732" t="str">
        <f>"076414"</f>
        <v>076414</v>
      </c>
      <c r="M5732" t="str">
        <f>"04410"</f>
        <v>04410</v>
      </c>
      <c r="N5732" t="s">
        <v>410</v>
      </c>
      <c r="O5732">
        <v>209</v>
      </c>
      <c r="P5732">
        <v>20190410</v>
      </c>
      <c r="Q5732" t="s">
        <v>2695</v>
      </c>
      <c r="R5732" t="s">
        <v>4586</v>
      </c>
      <c r="S5732" t="s">
        <v>1615</v>
      </c>
      <c r="T5732" t="s">
        <v>46</v>
      </c>
    </row>
    <row r="5733" spans="1:20" x14ac:dyDescent="0.25">
      <c r="A5733">
        <v>9</v>
      </c>
      <c r="B5733">
        <v>199</v>
      </c>
      <c r="C5733" t="str">
        <f t="shared" si="1251"/>
        <v>11</v>
      </c>
      <c r="D5733">
        <v>6399</v>
      </c>
      <c r="E5733" t="str">
        <f>"V8"</f>
        <v>V8</v>
      </c>
      <c r="F5733" t="str">
        <f>"041"</f>
        <v>041</v>
      </c>
      <c r="G5733">
        <v>9</v>
      </c>
      <c r="H5733" t="str">
        <f>"11"</f>
        <v>11</v>
      </c>
      <c r="I5733" t="str">
        <f t="shared" si="1244"/>
        <v>0</v>
      </c>
      <c r="J5733" t="str">
        <f>"03"</f>
        <v>03</v>
      </c>
      <c r="K5733">
        <v>20190412</v>
      </c>
      <c r="L5733" t="str">
        <f>"076414"</f>
        <v>076414</v>
      </c>
      <c r="M5733" t="str">
        <f>"04410"</f>
        <v>04410</v>
      </c>
      <c r="N5733" t="s">
        <v>410</v>
      </c>
      <c r="O5733">
        <v>479.97</v>
      </c>
      <c r="P5733">
        <v>20190410</v>
      </c>
      <c r="Q5733" t="s">
        <v>3721</v>
      </c>
      <c r="R5733" t="s">
        <v>4587</v>
      </c>
      <c r="S5733" t="s">
        <v>1615</v>
      </c>
      <c r="T5733" t="s">
        <v>106</v>
      </c>
    </row>
    <row r="5734" spans="1:20" x14ac:dyDescent="0.25">
      <c r="A5734">
        <v>9</v>
      </c>
      <c r="B5734">
        <v>199</v>
      </c>
      <c r="C5734" t="str">
        <f t="shared" si="1251"/>
        <v>11</v>
      </c>
      <c r="D5734">
        <v>6399</v>
      </c>
      <c r="E5734" t="str">
        <f>"VT"</f>
        <v>VT</v>
      </c>
      <c r="F5734" t="str">
        <f>"001"</f>
        <v>001</v>
      </c>
      <c r="G5734">
        <v>9</v>
      </c>
      <c r="H5734" t="str">
        <f>"11"</f>
        <v>11</v>
      </c>
      <c r="I5734" t="str">
        <f t="shared" si="1244"/>
        <v>0</v>
      </c>
      <c r="J5734" t="str">
        <f>"01"</f>
        <v>01</v>
      </c>
      <c r="K5734">
        <v>20190412</v>
      </c>
      <c r="L5734" t="str">
        <f>"076414"</f>
        <v>076414</v>
      </c>
      <c r="M5734" t="str">
        <f>"04410"</f>
        <v>04410</v>
      </c>
      <c r="N5734" t="s">
        <v>410</v>
      </c>
      <c r="O5734">
        <v>269.10000000000002</v>
      </c>
      <c r="P5734">
        <v>20190410</v>
      </c>
      <c r="Q5734" t="s">
        <v>4588</v>
      </c>
      <c r="R5734" t="s">
        <v>4589</v>
      </c>
      <c r="S5734" t="s">
        <v>1615</v>
      </c>
      <c r="T5734" t="s">
        <v>301</v>
      </c>
    </row>
    <row r="5735" spans="1:20" x14ac:dyDescent="0.25">
      <c r="A5735">
        <v>9</v>
      </c>
      <c r="B5735">
        <v>199</v>
      </c>
      <c r="C5735" t="str">
        <f>"51"</f>
        <v>51</v>
      </c>
      <c r="D5735">
        <v>6249</v>
      </c>
      <c r="E5735" t="str">
        <f>"WF"</f>
        <v>WF</v>
      </c>
      <c r="F5735" t="str">
        <f>"936"</f>
        <v>936</v>
      </c>
      <c r="G5735">
        <v>9</v>
      </c>
      <c r="H5735" t="str">
        <f>"99"</f>
        <v>99</v>
      </c>
      <c r="I5735" t="str">
        <f t="shared" si="1244"/>
        <v>0</v>
      </c>
      <c r="J5735" t="str">
        <f>"82"</f>
        <v>82</v>
      </c>
      <c r="K5735">
        <v>20190412</v>
      </c>
      <c r="L5735" t="str">
        <f>"076416"</f>
        <v>076416</v>
      </c>
      <c r="M5735" t="str">
        <f>"24208"</f>
        <v>24208</v>
      </c>
      <c r="N5735" t="s">
        <v>2356</v>
      </c>
      <c r="O5735">
        <v>150</v>
      </c>
      <c r="P5735">
        <v>20190410</v>
      </c>
      <c r="Q5735" t="s">
        <v>2127</v>
      </c>
      <c r="R5735" t="s">
        <v>4590</v>
      </c>
      <c r="S5735" t="s">
        <v>1615</v>
      </c>
      <c r="T5735" t="s">
        <v>1713</v>
      </c>
    </row>
    <row r="5736" spans="1:20" x14ac:dyDescent="0.25">
      <c r="A5736">
        <v>9</v>
      </c>
      <c r="B5736">
        <v>199</v>
      </c>
      <c r="C5736" t="str">
        <f>"11"</f>
        <v>11</v>
      </c>
      <c r="D5736">
        <v>6399</v>
      </c>
      <c r="E5736" t="str">
        <f>"VA"</f>
        <v>VA</v>
      </c>
      <c r="F5736" t="str">
        <f>"001"</f>
        <v>001</v>
      </c>
      <c r="G5736">
        <v>9</v>
      </c>
      <c r="H5736" t="str">
        <f>"22"</f>
        <v>22</v>
      </c>
      <c r="I5736" t="str">
        <f t="shared" si="1244"/>
        <v>0</v>
      </c>
      <c r="J5736" t="str">
        <f>"22"</f>
        <v>22</v>
      </c>
      <c r="K5736">
        <v>20190412</v>
      </c>
      <c r="L5736" t="str">
        <f>"076417"</f>
        <v>076417</v>
      </c>
      <c r="M5736" t="str">
        <f>"08196"</f>
        <v>08196</v>
      </c>
      <c r="N5736" t="s">
        <v>2185</v>
      </c>
      <c r="O5736">
        <v>98.07</v>
      </c>
      <c r="P5736">
        <v>20190410</v>
      </c>
      <c r="Q5736" t="s">
        <v>2186</v>
      </c>
      <c r="R5736" t="s">
        <v>4210</v>
      </c>
      <c r="S5736" t="s">
        <v>1615</v>
      </c>
      <c r="T5736" t="s">
        <v>301</v>
      </c>
    </row>
    <row r="5737" spans="1:20" x14ac:dyDescent="0.25">
      <c r="A5737">
        <v>9</v>
      </c>
      <c r="B5737">
        <v>199</v>
      </c>
      <c r="C5737" t="str">
        <f>"11"</f>
        <v>11</v>
      </c>
      <c r="D5737">
        <v>6399</v>
      </c>
      <c r="E5737" t="str">
        <f>"VA"</f>
        <v>VA</v>
      </c>
      <c r="F5737" t="str">
        <f>"001"</f>
        <v>001</v>
      </c>
      <c r="G5737">
        <v>9</v>
      </c>
      <c r="H5737" t="str">
        <f>"22"</f>
        <v>22</v>
      </c>
      <c r="I5737" t="str">
        <f t="shared" si="1244"/>
        <v>0</v>
      </c>
      <c r="J5737" t="str">
        <f>"22"</f>
        <v>22</v>
      </c>
      <c r="K5737">
        <v>20190412</v>
      </c>
      <c r="L5737" t="str">
        <f>"076417"</f>
        <v>076417</v>
      </c>
      <c r="M5737" t="str">
        <f>"08196"</f>
        <v>08196</v>
      </c>
      <c r="N5737" t="s">
        <v>2185</v>
      </c>
      <c r="O5737">
        <v>21.18</v>
      </c>
      <c r="P5737">
        <v>20190410</v>
      </c>
      <c r="Q5737" t="s">
        <v>2186</v>
      </c>
      <c r="R5737" t="s">
        <v>4591</v>
      </c>
      <c r="S5737" t="s">
        <v>1615</v>
      </c>
      <c r="T5737" t="s">
        <v>301</v>
      </c>
    </row>
    <row r="5738" spans="1:20" x14ac:dyDescent="0.25">
      <c r="A5738">
        <v>9</v>
      </c>
      <c r="B5738">
        <v>199</v>
      </c>
      <c r="C5738" t="str">
        <f>"11"</f>
        <v>11</v>
      </c>
      <c r="D5738">
        <v>6399</v>
      </c>
      <c r="E5738" t="str">
        <f>"VA"</f>
        <v>VA</v>
      </c>
      <c r="F5738" t="str">
        <f>"001"</f>
        <v>001</v>
      </c>
      <c r="G5738">
        <v>9</v>
      </c>
      <c r="H5738" t="str">
        <f>"22"</f>
        <v>22</v>
      </c>
      <c r="I5738" t="str">
        <f t="shared" si="1244"/>
        <v>0</v>
      </c>
      <c r="J5738" t="str">
        <f>"22"</f>
        <v>22</v>
      </c>
      <c r="K5738">
        <v>20190412</v>
      </c>
      <c r="L5738" t="str">
        <f>"076417"</f>
        <v>076417</v>
      </c>
      <c r="M5738" t="str">
        <f>"08196"</f>
        <v>08196</v>
      </c>
      <c r="N5738" t="s">
        <v>2185</v>
      </c>
      <c r="O5738">
        <v>39.979999999999997</v>
      </c>
      <c r="P5738">
        <v>20190410</v>
      </c>
      <c r="Q5738" t="s">
        <v>2186</v>
      </c>
      <c r="R5738" t="s">
        <v>4592</v>
      </c>
      <c r="S5738" t="s">
        <v>1615</v>
      </c>
      <c r="T5738" t="s">
        <v>301</v>
      </c>
    </row>
    <row r="5739" spans="1:20" x14ac:dyDescent="0.25">
      <c r="A5739">
        <v>9</v>
      </c>
      <c r="B5739">
        <v>199</v>
      </c>
      <c r="C5739" t="str">
        <f>"11"</f>
        <v>11</v>
      </c>
      <c r="D5739">
        <v>6399</v>
      </c>
      <c r="E5739" t="str">
        <f>"VA"</f>
        <v>VA</v>
      </c>
      <c r="F5739" t="str">
        <f>"001"</f>
        <v>001</v>
      </c>
      <c r="G5739">
        <v>9</v>
      </c>
      <c r="H5739" t="str">
        <f>"22"</f>
        <v>22</v>
      </c>
      <c r="I5739" t="str">
        <f t="shared" si="1244"/>
        <v>0</v>
      </c>
      <c r="J5739" t="str">
        <f>"22"</f>
        <v>22</v>
      </c>
      <c r="K5739">
        <v>20190412</v>
      </c>
      <c r="L5739" t="str">
        <f>"076417"</f>
        <v>076417</v>
      </c>
      <c r="M5739" t="str">
        <f>"08196"</f>
        <v>08196</v>
      </c>
      <c r="N5739" t="s">
        <v>2185</v>
      </c>
      <c r="O5739">
        <v>26.98</v>
      </c>
      <c r="P5739">
        <v>20190410</v>
      </c>
      <c r="Q5739" t="s">
        <v>2186</v>
      </c>
      <c r="R5739" t="s">
        <v>4593</v>
      </c>
      <c r="S5739" t="s">
        <v>1615</v>
      </c>
      <c r="T5739" t="s">
        <v>301</v>
      </c>
    </row>
    <row r="5740" spans="1:20" x14ac:dyDescent="0.25">
      <c r="A5740">
        <v>9</v>
      </c>
      <c r="B5740">
        <v>199</v>
      </c>
      <c r="C5740" t="str">
        <f>"23"</f>
        <v>23</v>
      </c>
      <c r="D5740">
        <v>6498</v>
      </c>
      <c r="E5740" t="str">
        <f>"10"</f>
        <v>10</v>
      </c>
      <c r="F5740" t="str">
        <f>"001"</f>
        <v>001</v>
      </c>
      <c r="G5740">
        <v>9</v>
      </c>
      <c r="H5740" t="str">
        <f>"99"</f>
        <v>99</v>
      </c>
      <c r="I5740" t="str">
        <f t="shared" si="1244"/>
        <v>0</v>
      </c>
      <c r="J5740" t="str">
        <f>"01"</f>
        <v>01</v>
      </c>
      <c r="K5740">
        <v>20190412</v>
      </c>
      <c r="L5740" t="str">
        <f>"076418"</f>
        <v>076418</v>
      </c>
      <c r="M5740" t="str">
        <f>"10418"</f>
        <v>10418</v>
      </c>
      <c r="N5740" t="s">
        <v>2360</v>
      </c>
      <c r="O5740">
        <v>562.12</v>
      </c>
      <c r="P5740">
        <v>20190410</v>
      </c>
      <c r="Q5740" t="s">
        <v>2108</v>
      </c>
      <c r="R5740" t="s">
        <v>4594</v>
      </c>
      <c r="S5740" t="s">
        <v>1615</v>
      </c>
      <c r="T5740" t="s">
        <v>301</v>
      </c>
    </row>
    <row r="5741" spans="1:20" x14ac:dyDescent="0.25">
      <c r="A5741">
        <v>9</v>
      </c>
      <c r="B5741">
        <v>199</v>
      </c>
      <c r="C5741" t="str">
        <f>"51"</f>
        <v>51</v>
      </c>
      <c r="D5741">
        <v>6256</v>
      </c>
      <c r="E5741" t="str">
        <f>"13"</f>
        <v>13</v>
      </c>
      <c r="F5741" t="str">
        <f>"880"</f>
        <v>880</v>
      </c>
      <c r="G5741">
        <v>9</v>
      </c>
      <c r="H5741" t="str">
        <f>"99"</f>
        <v>99</v>
      </c>
      <c r="I5741" t="str">
        <f t="shared" si="1244"/>
        <v>0</v>
      </c>
      <c r="J5741" t="str">
        <f>"80"</f>
        <v>80</v>
      </c>
      <c r="K5741">
        <v>20190412</v>
      </c>
      <c r="L5741" t="str">
        <f>"076425"</f>
        <v>076425</v>
      </c>
      <c r="M5741" t="str">
        <f>"21146"</f>
        <v>21146</v>
      </c>
      <c r="N5741" t="s">
        <v>2367</v>
      </c>
      <c r="O5741">
        <v>412.8</v>
      </c>
      <c r="P5741">
        <v>20190410</v>
      </c>
      <c r="Q5741" t="s">
        <v>2368</v>
      </c>
      <c r="R5741" t="s">
        <v>4595</v>
      </c>
      <c r="S5741" t="s">
        <v>1615</v>
      </c>
      <c r="T5741" t="s">
        <v>1866</v>
      </c>
    </row>
    <row r="5742" spans="1:20" x14ac:dyDescent="0.25">
      <c r="A5742">
        <v>9</v>
      </c>
      <c r="B5742">
        <v>199</v>
      </c>
      <c r="C5742" t="str">
        <f>"31"</f>
        <v>31</v>
      </c>
      <c r="D5742">
        <v>6219</v>
      </c>
      <c r="E5742" t="str">
        <f>"00"</f>
        <v>00</v>
      </c>
      <c r="F5742" t="str">
        <f>"875"</f>
        <v>875</v>
      </c>
      <c r="G5742">
        <v>9</v>
      </c>
      <c r="H5742" t="str">
        <f>"23"</f>
        <v>23</v>
      </c>
      <c r="I5742" t="str">
        <f t="shared" si="1244"/>
        <v>0</v>
      </c>
      <c r="J5742" t="str">
        <f>"23"</f>
        <v>23</v>
      </c>
      <c r="K5742">
        <v>20190412</v>
      </c>
      <c r="L5742" t="str">
        <f>"076426"</f>
        <v>076426</v>
      </c>
      <c r="M5742" t="str">
        <f>"21769"</f>
        <v>21769</v>
      </c>
      <c r="N5742" t="s">
        <v>1701</v>
      </c>
      <c r="O5742" s="1">
        <v>3870</v>
      </c>
      <c r="P5742">
        <v>20190410</v>
      </c>
      <c r="Q5742" t="s">
        <v>2207</v>
      </c>
      <c r="R5742" t="s">
        <v>4596</v>
      </c>
      <c r="S5742" t="s">
        <v>1615</v>
      </c>
      <c r="T5742" t="s">
        <v>2041</v>
      </c>
    </row>
    <row r="5743" spans="1:20" x14ac:dyDescent="0.25">
      <c r="A5743">
        <v>9</v>
      </c>
      <c r="B5743">
        <v>199</v>
      </c>
      <c r="C5743" t="str">
        <f>"51"</f>
        <v>51</v>
      </c>
      <c r="D5743">
        <v>6249</v>
      </c>
      <c r="E5743" t="str">
        <f>"MC"</f>
        <v>MC</v>
      </c>
      <c r="F5743" t="str">
        <f>"001"</f>
        <v>001</v>
      </c>
      <c r="G5743">
        <v>9</v>
      </c>
      <c r="H5743" t="str">
        <f>"99"</f>
        <v>99</v>
      </c>
      <c r="I5743" t="str">
        <f t="shared" si="1244"/>
        <v>0</v>
      </c>
      <c r="J5743" t="str">
        <f>"81"</f>
        <v>81</v>
      </c>
      <c r="K5743">
        <v>20190412</v>
      </c>
      <c r="L5743" t="str">
        <f>"076428"</f>
        <v>076428</v>
      </c>
      <c r="M5743" t="str">
        <f>"24130"</f>
        <v>24130</v>
      </c>
      <c r="N5743" t="s">
        <v>567</v>
      </c>
      <c r="O5743">
        <v>892.47</v>
      </c>
      <c r="P5743">
        <v>20190410</v>
      </c>
      <c r="Q5743" t="s">
        <v>2386</v>
      </c>
      <c r="R5743" t="s">
        <v>4597</v>
      </c>
      <c r="S5743" t="s">
        <v>1615</v>
      </c>
      <c r="T5743" t="s">
        <v>301</v>
      </c>
    </row>
    <row r="5744" spans="1:20" x14ac:dyDescent="0.25">
      <c r="A5744">
        <v>9</v>
      </c>
      <c r="B5744">
        <v>199</v>
      </c>
      <c r="C5744" t="str">
        <f>"51"</f>
        <v>51</v>
      </c>
      <c r="D5744">
        <v>6249</v>
      </c>
      <c r="E5744" t="str">
        <f>"MC"</f>
        <v>MC</v>
      </c>
      <c r="F5744" t="str">
        <f>"104"</f>
        <v>104</v>
      </c>
      <c r="G5744">
        <v>9</v>
      </c>
      <c r="H5744" t="str">
        <f>"99"</f>
        <v>99</v>
      </c>
      <c r="I5744" t="str">
        <f t="shared" si="1244"/>
        <v>0</v>
      </c>
      <c r="J5744" t="str">
        <f>"81"</f>
        <v>81</v>
      </c>
      <c r="K5744">
        <v>20190412</v>
      </c>
      <c r="L5744" t="str">
        <f>"076428"</f>
        <v>076428</v>
      </c>
      <c r="M5744" t="str">
        <f>"24130"</f>
        <v>24130</v>
      </c>
      <c r="N5744" t="s">
        <v>567</v>
      </c>
      <c r="O5744" s="1">
        <v>1520.4</v>
      </c>
      <c r="P5744">
        <v>20190410</v>
      </c>
      <c r="Q5744" t="s">
        <v>1744</v>
      </c>
      <c r="R5744" t="s">
        <v>4598</v>
      </c>
      <c r="S5744" t="s">
        <v>1615</v>
      </c>
      <c r="T5744" t="s">
        <v>46</v>
      </c>
    </row>
    <row r="5745" spans="1:20" x14ac:dyDescent="0.25">
      <c r="A5745">
        <v>9</v>
      </c>
      <c r="B5745">
        <v>199</v>
      </c>
      <c r="C5745" t="str">
        <f>"11"</f>
        <v>11</v>
      </c>
      <c r="D5745">
        <v>6229</v>
      </c>
      <c r="E5745" t="str">
        <f>"NM"</f>
        <v>NM</v>
      </c>
      <c r="F5745" t="str">
        <f>"001"</f>
        <v>001</v>
      </c>
      <c r="G5745">
        <v>9</v>
      </c>
      <c r="H5745" t="str">
        <f>"22"</f>
        <v>22</v>
      </c>
      <c r="I5745" t="str">
        <f t="shared" si="1244"/>
        <v>0</v>
      </c>
      <c r="J5745" t="str">
        <f>"22"</f>
        <v>22</v>
      </c>
      <c r="K5745">
        <v>20190412</v>
      </c>
      <c r="L5745" t="str">
        <f>"076433"</f>
        <v>076433</v>
      </c>
      <c r="M5745" t="str">
        <f>"25144"</f>
        <v>25144</v>
      </c>
      <c r="N5745" t="s">
        <v>1620</v>
      </c>
      <c r="O5745" s="1">
        <v>3000</v>
      </c>
      <c r="P5745">
        <v>20190410</v>
      </c>
      <c r="Q5745" t="s">
        <v>4599</v>
      </c>
      <c r="R5745" t="s">
        <v>4600</v>
      </c>
      <c r="S5745" t="s">
        <v>1615</v>
      </c>
      <c r="T5745" t="s">
        <v>301</v>
      </c>
    </row>
    <row r="5746" spans="1:20" x14ac:dyDescent="0.25">
      <c r="A5746">
        <v>9</v>
      </c>
      <c r="B5746">
        <v>199</v>
      </c>
      <c r="C5746" t="str">
        <f>"41"</f>
        <v>41</v>
      </c>
      <c r="D5746">
        <v>6399</v>
      </c>
      <c r="E5746" t="str">
        <f>"10"</f>
        <v>10</v>
      </c>
      <c r="F5746" t="str">
        <f>"720"</f>
        <v>720</v>
      </c>
      <c r="G5746">
        <v>9</v>
      </c>
      <c r="H5746" t="str">
        <f>"99"</f>
        <v>99</v>
      </c>
      <c r="I5746" t="str">
        <f t="shared" si="1244"/>
        <v>0</v>
      </c>
      <c r="J5746" t="str">
        <f>"91"</f>
        <v>91</v>
      </c>
      <c r="K5746">
        <v>20190412</v>
      </c>
      <c r="L5746" t="str">
        <f>"076434"</f>
        <v>076434</v>
      </c>
      <c r="M5746" t="str">
        <f>"25179"</f>
        <v>25179</v>
      </c>
      <c r="N5746" t="s">
        <v>2863</v>
      </c>
      <c r="O5746">
        <v>558.32000000000005</v>
      </c>
      <c r="P5746">
        <v>20190412</v>
      </c>
      <c r="Q5746" t="s">
        <v>2132</v>
      </c>
      <c r="R5746" t="s">
        <v>2864</v>
      </c>
      <c r="S5746" t="s">
        <v>1615</v>
      </c>
      <c r="T5746" t="s">
        <v>2045</v>
      </c>
    </row>
    <row r="5747" spans="1:20" x14ac:dyDescent="0.25">
      <c r="A5747">
        <v>9</v>
      </c>
      <c r="B5747">
        <v>199</v>
      </c>
      <c r="C5747" t="str">
        <f>"36"</f>
        <v>36</v>
      </c>
      <c r="D5747">
        <v>6412</v>
      </c>
      <c r="E5747" t="str">
        <f>"VD"</f>
        <v>VD</v>
      </c>
      <c r="F5747" t="str">
        <f>"001"</f>
        <v>001</v>
      </c>
      <c r="G5747">
        <v>9</v>
      </c>
      <c r="H5747" t="str">
        <f>"22"</f>
        <v>22</v>
      </c>
      <c r="I5747" t="str">
        <f>"5"</f>
        <v>5</v>
      </c>
      <c r="J5747" t="str">
        <f>"74"</f>
        <v>74</v>
      </c>
      <c r="K5747">
        <v>20190412</v>
      </c>
      <c r="L5747" t="str">
        <f>"076435"</f>
        <v>076435</v>
      </c>
      <c r="M5747" t="str">
        <f>"25853"</f>
        <v>25853</v>
      </c>
      <c r="N5747" t="s">
        <v>3941</v>
      </c>
      <c r="O5747" s="1">
        <v>4356</v>
      </c>
      <c r="P5747">
        <v>20190410</v>
      </c>
      <c r="Q5747" t="s">
        <v>4369</v>
      </c>
      <c r="R5747" t="s">
        <v>4370</v>
      </c>
      <c r="S5747" t="s">
        <v>1615</v>
      </c>
      <c r="T5747" t="s">
        <v>301</v>
      </c>
    </row>
    <row r="5748" spans="1:20" x14ac:dyDescent="0.25">
      <c r="A5748">
        <v>9</v>
      </c>
      <c r="B5748">
        <v>199</v>
      </c>
      <c r="C5748" t="str">
        <f>"36"</f>
        <v>36</v>
      </c>
      <c r="D5748">
        <v>6412</v>
      </c>
      <c r="E5748" t="str">
        <f>"7E"</f>
        <v>7E</v>
      </c>
      <c r="F5748" t="str">
        <f>"001"</f>
        <v>001</v>
      </c>
      <c r="G5748">
        <v>9</v>
      </c>
      <c r="H5748" t="str">
        <f>"99"</f>
        <v>99</v>
      </c>
      <c r="I5748" t="str">
        <f>"5"</f>
        <v>5</v>
      </c>
      <c r="J5748" t="str">
        <f>"74"</f>
        <v>74</v>
      </c>
      <c r="K5748">
        <v>20190412</v>
      </c>
      <c r="L5748" t="str">
        <f>"076437"</f>
        <v>076437</v>
      </c>
      <c r="M5748" t="str">
        <f>"26340"</f>
        <v>26340</v>
      </c>
      <c r="N5748" t="s">
        <v>4601</v>
      </c>
      <c r="O5748">
        <v>730</v>
      </c>
      <c r="P5748">
        <v>20190410</v>
      </c>
      <c r="Q5748" t="s">
        <v>4602</v>
      </c>
      <c r="R5748" t="s">
        <v>4603</v>
      </c>
      <c r="S5748" t="s">
        <v>1615</v>
      </c>
      <c r="T5748" t="s">
        <v>301</v>
      </c>
    </row>
    <row r="5749" spans="1:20" x14ac:dyDescent="0.25">
      <c r="A5749">
        <v>9</v>
      </c>
      <c r="B5749">
        <v>199</v>
      </c>
      <c r="C5749" t="str">
        <f>"34"</f>
        <v>34</v>
      </c>
      <c r="D5749">
        <v>6411</v>
      </c>
      <c r="E5749" t="str">
        <f>"10"</f>
        <v>10</v>
      </c>
      <c r="F5749" t="str">
        <f>"937"</f>
        <v>937</v>
      </c>
      <c r="G5749">
        <v>9</v>
      </c>
      <c r="H5749" t="str">
        <f>"99"</f>
        <v>99</v>
      </c>
      <c r="I5749" t="str">
        <f>"0"</f>
        <v>0</v>
      </c>
      <c r="J5749" t="str">
        <f>"82"</f>
        <v>82</v>
      </c>
      <c r="K5749">
        <v>20190412</v>
      </c>
      <c r="L5749" t="str">
        <f>"076439"</f>
        <v>076439</v>
      </c>
      <c r="M5749" t="str">
        <f>"27900"</f>
        <v>27900</v>
      </c>
      <c r="N5749" t="s">
        <v>1490</v>
      </c>
      <c r="O5749">
        <v>240</v>
      </c>
      <c r="P5749">
        <v>20190410</v>
      </c>
      <c r="Q5749" t="s">
        <v>2604</v>
      </c>
      <c r="R5749" t="s">
        <v>4604</v>
      </c>
      <c r="S5749" t="s">
        <v>1615</v>
      </c>
      <c r="T5749" t="s">
        <v>1810</v>
      </c>
    </row>
    <row r="5750" spans="1:20" x14ac:dyDescent="0.25">
      <c r="A5750">
        <v>9</v>
      </c>
      <c r="B5750">
        <v>199</v>
      </c>
      <c r="C5750" t="str">
        <f>"41"</f>
        <v>41</v>
      </c>
      <c r="D5750">
        <v>6411</v>
      </c>
      <c r="E5750" t="str">
        <f>"10"</f>
        <v>10</v>
      </c>
      <c r="F5750" t="str">
        <f>"730"</f>
        <v>730</v>
      </c>
      <c r="G5750">
        <v>9</v>
      </c>
      <c r="H5750" t="str">
        <f>"99"</f>
        <v>99</v>
      </c>
      <c r="I5750" t="str">
        <f>"1"</f>
        <v>1</v>
      </c>
      <c r="J5750" t="str">
        <f>"95"</f>
        <v>95</v>
      </c>
      <c r="K5750">
        <v>20190412</v>
      </c>
      <c r="L5750" t="str">
        <f>"076440"</f>
        <v>076440</v>
      </c>
      <c r="M5750" t="str">
        <f>"28634"</f>
        <v>28634</v>
      </c>
      <c r="N5750" t="s">
        <v>4605</v>
      </c>
      <c r="O5750">
        <v>159.56</v>
      </c>
      <c r="P5750">
        <v>20190410</v>
      </c>
      <c r="Q5750" t="s">
        <v>4606</v>
      </c>
      <c r="R5750" t="s">
        <v>4265</v>
      </c>
      <c r="S5750" t="s">
        <v>1615</v>
      </c>
      <c r="T5750" t="s">
        <v>1794</v>
      </c>
    </row>
    <row r="5751" spans="1:20" x14ac:dyDescent="0.25">
      <c r="A5751">
        <v>9</v>
      </c>
      <c r="B5751">
        <v>199</v>
      </c>
      <c r="C5751" t="str">
        <f>"36"</f>
        <v>36</v>
      </c>
      <c r="D5751">
        <v>6411</v>
      </c>
      <c r="E5751" t="str">
        <f>"V8"</f>
        <v>V8</v>
      </c>
      <c r="F5751" t="str">
        <f>"041"</f>
        <v>041</v>
      </c>
      <c r="G5751">
        <v>9</v>
      </c>
      <c r="H5751" t="str">
        <f>"99"</f>
        <v>99</v>
      </c>
      <c r="I5751" t="str">
        <f t="shared" ref="I5751:I5776" si="1252">"0"</f>
        <v>0</v>
      </c>
      <c r="J5751" t="str">
        <f>"03"</f>
        <v>03</v>
      </c>
      <c r="K5751">
        <v>20190412</v>
      </c>
      <c r="L5751" t="str">
        <f>"076441"</f>
        <v>076441</v>
      </c>
      <c r="M5751" t="str">
        <f>"00058"</f>
        <v>00058</v>
      </c>
      <c r="N5751" t="s">
        <v>2609</v>
      </c>
      <c r="O5751">
        <v>25</v>
      </c>
      <c r="P5751">
        <v>20190410</v>
      </c>
      <c r="Q5751" t="s">
        <v>2610</v>
      </c>
      <c r="R5751" t="s">
        <v>4505</v>
      </c>
      <c r="S5751" t="s">
        <v>1615</v>
      </c>
      <c r="T5751" t="s">
        <v>106</v>
      </c>
    </row>
    <row r="5752" spans="1:20" x14ac:dyDescent="0.25">
      <c r="A5752">
        <v>9</v>
      </c>
      <c r="B5752">
        <v>199</v>
      </c>
      <c r="C5752" t="str">
        <f>"36"</f>
        <v>36</v>
      </c>
      <c r="D5752">
        <v>6412</v>
      </c>
      <c r="E5752" t="str">
        <f>"V8"</f>
        <v>V8</v>
      </c>
      <c r="F5752" t="str">
        <f>"041"</f>
        <v>041</v>
      </c>
      <c r="G5752">
        <v>9</v>
      </c>
      <c r="H5752" t="str">
        <f>"99"</f>
        <v>99</v>
      </c>
      <c r="I5752" t="str">
        <f t="shared" si="1252"/>
        <v>0</v>
      </c>
      <c r="J5752" t="str">
        <f>"03"</f>
        <v>03</v>
      </c>
      <c r="K5752">
        <v>20190412</v>
      </c>
      <c r="L5752" t="str">
        <f>"076441"</f>
        <v>076441</v>
      </c>
      <c r="M5752" t="str">
        <f>"00058"</f>
        <v>00058</v>
      </c>
      <c r="N5752" t="s">
        <v>2609</v>
      </c>
      <c r="O5752">
        <v>150</v>
      </c>
      <c r="P5752">
        <v>20190410</v>
      </c>
      <c r="Q5752" t="s">
        <v>2611</v>
      </c>
      <c r="R5752" t="s">
        <v>4505</v>
      </c>
      <c r="S5752" t="s">
        <v>1615</v>
      </c>
      <c r="T5752" t="s">
        <v>106</v>
      </c>
    </row>
    <row r="5753" spans="1:20" x14ac:dyDescent="0.25">
      <c r="A5753">
        <v>9</v>
      </c>
      <c r="B5753">
        <v>199</v>
      </c>
      <c r="C5753" t="str">
        <f>"13"</f>
        <v>13</v>
      </c>
      <c r="D5753">
        <v>6411</v>
      </c>
      <c r="E5753" t="str">
        <f>"PD"</f>
        <v>PD</v>
      </c>
      <c r="F5753" t="str">
        <f>"001"</f>
        <v>001</v>
      </c>
      <c r="G5753">
        <v>9</v>
      </c>
      <c r="H5753" t="str">
        <f>"31"</f>
        <v>31</v>
      </c>
      <c r="I5753" t="str">
        <f t="shared" si="1252"/>
        <v>0</v>
      </c>
      <c r="J5753" t="str">
        <f>"34"</f>
        <v>34</v>
      </c>
      <c r="K5753">
        <v>20190412</v>
      </c>
      <c r="L5753" t="str">
        <f>"076442"</f>
        <v>076442</v>
      </c>
      <c r="M5753" t="str">
        <f>"28680"</f>
        <v>28680</v>
      </c>
      <c r="N5753" t="s">
        <v>482</v>
      </c>
      <c r="O5753">
        <v>124.55</v>
      </c>
      <c r="P5753">
        <v>20190410</v>
      </c>
      <c r="Q5753" t="s">
        <v>2220</v>
      </c>
      <c r="R5753" t="s">
        <v>3864</v>
      </c>
      <c r="S5753" t="s">
        <v>1615</v>
      </c>
      <c r="T5753" t="s">
        <v>301</v>
      </c>
    </row>
    <row r="5754" spans="1:20" x14ac:dyDescent="0.25">
      <c r="A5754">
        <v>9</v>
      </c>
      <c r="B5754">
        <v>199</v>
      </c>
      <c r="C5754" t="str">
        <f>"36"</f>
        <v>36</v>
      </c>
      <c r="D5754">
        <v>6412</v>
      </c>
      <c r="E5754" t="str">
        <f>"8S"</f>
        <v>8S</v>
      </c>
      <c r="F5754" t="str">
        <f>"001"</f>
        <v>001</v>
      </c>
      <c r="G5754">
        <v>9</v>
      </c>
      <c r="H5754" t="str">
        <f>"99"</f>
        <v>99</v>
      </c>
      <c r="I5754" t="str">
        <f t="shared" si="1252"/>
        <v>0</v>
      </c>
      <c r="J5754" t="str">
        <f>"01"</f>
        <v>01</v>
      </c>
      <c r="K5754">
        <v>20190412</v>
      </c>
      <c r="L5754" t="str">
        <f>"076442"</f>
        <v>076442</v>
      </c>
      <c r="M5754" t="str">
        <f>"28680"</f>
        <v>28680</v>
      </c>
      <c r="N5754" t="s">
        <v>482</v>
      </c>
      <c r="O5754">
        <v>310.16000000000003</v>
      </c>
      <c r="P5754">
        <v>20190410</v>
      </c>
      <c r="Q5754" t="s">
        <v>1625</v>
      </c>
      <c r="R5754" t="s">
        <v>4115</v>
      </c>
      <c r="S5754" t="s">
        <v>1615</v>
      </c>
      <c r="T5754" t="s">
        <v>301</v>
      </c>
    </row>
    <row r="5755" spans="1:20" x14ac:dyDescent="0.25">
      <c r="A5755">
        <v>9</v>
      </c>
      <c r="B5755">
        <v>199</v>
      </c>
      <c r="C5755" t="str">
        <f>"41"</f>
        <v>41</v>
      </c>
      <c r="D5755">
        <v>6499</v>
      </c>
      <c r="E5755" t="str">
        <f>"12"</f>
        <v>12</v>
      </c>
      <c r="F5755" t="str">
        <f>"720"</f>
        <v>720</v>
      </c>
      <c r="G5755">
        <v>9</v>
      </c>
      <c r="H5755" t="str">
        <f>"99"</f>
        <v>99</v>
      </c>
      <c r="I5755" t="str">
        <f t="shared" si="1252"/>
        <v>0</v>
      </c>
      <c r="J5755" t="str">
        <f>"91"</f>
        <v>91</v>
      </c>
      <c r="K5755">
        <v>20190412</v>
      </c>
      <c r="L5755" t="str">
        <f>"076444"</f>
        <v>076444</v>
      </c>
      <c r="M5755" t="str">
        <f>"28820"</f>
        <v>28820</v>
      </c>
      <c r="N5755" t="s">
        <v>2224</v>
      </c>
      <c r="O5755">
        <v>29.4</v>
      </c>
      <c r="P5755">
        <v>20190410</v>
      </c>
      <c r="Q5755" t="s">
        <v>2225</v>
      </c>
      <c r="R5755" t="s">
        <v>2227</v>
      </c>
      <c r="S5755" t="s">
        <v>1615</v>
      </c>
      <c r="T5755" t="s">
        <v>2045</v>
      </c>
    </row>
    <row r="5756" spans="1:20" x14ac:dyDescent="0.25">
      <c r="A5756">
        <v>9</v>
      </c>
      <c r="B5756">
        <v>199</v>
      </c>
      <c r="C5756" t="str">
        <f>"41"</f>
        <v>41</v>
      </c>
      <c r="D5756">
        <v>6499</v>
      </c>
      <c r="E5756" t="str">
        <f>"12"</f>
        <v>12</v>
      </c>
      <c r="F5756" t="str">
        <f>"720"</f>
        <v>720</v>
      </c>
      <c r="G5756">
        <v>9</v>
      </c>
      <c r="H5756" t="str">
        <f>"99"</f>
        <v>99</v>
      </c>
      <c r="I5756" t="str">
        <f t="shared" si="1252"/>
        <v>0</v>
      </c>
      <c r="J5756" t="str">
        <f>"91"</f>
        <v>91</v>
      </c>
      <c r="K5756">
        <v>20190412</v>
      </c>
      <c r="L5756" t="str">
        <f>"076444"</f>
        <v>076444</v>
      </c>
      <c r="M5756" t="str">
        <f>"28820"</f>
        <v>28820</v>
      </c>
      <c r="N5756" t="s">
        <v>2224</v>
      </c>
      <c r="O5756">
        <v>95.95</v>
      </c>
      <c r="P5756">
        <v>20190410</v>
      </c>
      <c r="Q5756" t="s">
        <v>2225</v>
      </c>
      <c r="R5756" t="s">
        <v>2615</v>
      </c>
      <c r="S5756" t="s">
        <v>1615</v>
      </c>
      <c r="T5756" t="s">
        <v>2045</v>
      </c>
    </row>
    <row r="5757" spans="1:20" x14ac:dyDescent="0.25">
      <c r="A5757">
        <v>9</v>
      </c>
      <c r="B5757">
        <v>199</v>
      </c>
      <c r="C5757" t="str">
        <f>"11"</f>
        <v>11</v>
      </c>
      <c r="D5757">
        <v>6412</v>
      </c>
      <c r="E5757" t="str">
        <f>"V8"</f>
        <v>V8</v>
      </c>
      <c r="F5757" t="str">
        <f>"001"</f>
        <v>001</v>
      </c>
      <c r="G5757">
        <v>9</v>
      </c>
      <c r="H5757" t="str">
        <f>"22"</f>
        <v>22</v>
      </c>
      <c r="I5757" t="str">
        <f t="shared" si="1252"/>
        <v>0</v>
      </c>
      <c r="J5757" t="str">
        <f>"22"</f>
        <v>22</v>
      </c>
      <c r="K5757">
        <v>20190412</v>
      </c>
      <c r="L5757" t="str">
        <f>"076445"</f>
        <v>076445</v>
      </c>
      <c r="M5757" t="str">
        <f>"21049"</f>
        <v>21049</v>
      </c>
      <c r="N5757" t="s">
        <v>1883</v>
      </c>
      <c r="O5757">
        <v>60</v>
      </c>
      <c r="P5757">
        <v>20190410</v>
      </c>
      <c r="Q5757" t="s">
        <v>1884</v>
      </c>
      <c r="R5757" t="s">
        <v>4607</v>
      </c>
      <c r="S5757" t="s">
        <v>1615</v>
      </c>
      <c r="T5757" t="s">
        <v>301</v>
      </c>
    </row>
    <row r="5758" spans="1:20" x14ac:dyDescent="0.25">
      <c r="A5758">
        <v>9</v>
      </c>
      <c r="B5758">
        <v>199</v>
      </c>
      <c r="C5758" t="str">
        <f t="shared" ref="C5758:C5763" si="1253">"51"</f>
        <v>51</v>
      </c>
      <c r="D5758">
        <v>6319</v>
      </c>
      <c r="E5758" t="str">
        <f t="shared" ref="E5758:E5763" si="1254">"MC"</f>
        <v>MC</v>
      </c>
      <c r="F5758" t="str">
        <f t="shared" ref="F5758:F5763" si="1255">"936"</f>
        <v>936</v>
      </c>
      <c r="G5758">
        <v>9</v>
      </c>
      <c r="H5758" t="str">
        <f t="shared" ref="H5758:H5763" si="1256">"99"</f>
        <v>99</v>
      </c>
      <c r="I5758" t="str">
        <f t="shared" si="1252"/>
        <v>0</v>
      </c>
      <c r="J5758" t="str">
        <f t="shared" ref="J5758:J5763" si="1257">"81"</f>
        <v>81</v>
      </c>
      <c r="K5758">
        <v>20190412</v>
      </c>
      <c r="L5758" t="str">
        <f>"076446"</f>
        <v>076446</v>
      </c>
      <c r="M5758" t="str">
        <f>"29500"</f>
        <v>29500</v>
      </c>
      <c r="N5758" t="s">
        <v>2059</v>
      </c>
      <c r="O5758" s="1">
        <v>1817.76</v>
      </c>
      <c r="P5758">
        <v>20190410</v>
      </c>
      <c r="Q5758" t="s">
        <v>2060</v>
      </c>
      <c r="R5758" t="s">
        <v>2188</v>
      </c>
      <c r="S5758" t="s">
        <v>1615</v>
      </c>
      <c r="T5758" t="s">
        <v>1713</v>
      </c>
    </row>
    <row r="5759" spans="1:20" x14ac:dyDescent="0.25">
      <c r="A5759">
        <v>9</v>
      </c>
      <c r="B5759">
        <v>199</v>
      </c>
      <c r="C5759" t="str">
        <f t="shared" si="1253"/>
        <v>51</v>
      </c>
      <c r="D5759">
        <v>6319</v>
      </c>
      <c r="E5759" t="str">
        <f t="shared" si="1254"/>
        <v>MC</v>
      </c>
      <c r="F5759" t="str">
        <f t="shared" si="1255"/>
        <v>936</v>
      </c>
      <c r="G5759">
        <v>9</v>
      </c>
      <c r="H5759" t="str">
        <f t="shared" si="1256"/>
        <v>99</v>
      </c>
      <c r="I5759" t="str">
        <f t="shared" si="1252"/>
        <v>0</v>
      </c>
      <c r="J5759" t="str">
        <f t="shared" si="1257"/>
        <v>81</v>
      </c>
      <c r="K5759">
        <v>20190412</v>
      </c>
      <c r="L5759" t="str">
        <f>"076446"</f>
        <v>076446</v>
      </c>
      <c r="M5759" t="str">
        <f>"29500"</f>
        <v>29500</v>
      </c>
      <c r="N5759" t="s">
        <v>2059</v>
      </c>
      <c r="O5759" s="1">
        <v>1240.8</v>
      </c>
      <c r="P5759">
        <v>20190410</v>
      </c>
      <c r="Q5759" t="s">
        <v>2060</v>
      </c>
      <c r="R5759" t="s">
        <v>4608</v>
      </c>
      <c r="S5759" t="s">
        <v>1615</v>
      </c>
      <c r="T5759" t="s">
        <v>1713</v>
      </c>
    </row>
    <row r="5760" spans="1:20" x14ac:dyDescent="0.25">
      <c r="A5760">
        <v>9</v>
      </c>
      <c r="B5760">
        <v>199</v>
      </c>
      <c r="C5760" t="str">
        <f t="shared" si="1253"/>
        <v>51</v>
      </c>
      <c r="D5760">
        <v>6319</v>
      </c>
      <c r="E5760" t="str">
        <f t="shared" si="1254"/>
        <v>MC</v>
      </c>
      <c r="F5760" t="str">
        <f t="shared" si="1255"/>
        <v>936</v>
      </c>
      <c r="G5760">
        <v>9</v>
      </c>
      <c r="H5760" t="str">
        <f t="shared" si="1256"/>
        <v>99</v>
      </c>
      <c r="I5760" t="str">
        <f t="shared" si="1252"/>
        <v>0</v>
      </c>
      <c r="J5760" t="str">
        <f t="shared" si="1257"/>
        <v>81</v>
      </c>
      <c r="K5760">
        <v>20190412</v>
      </c>
      <c r="L5760" t="str">
        <f>"076447"</f>
        <v>076447</v>
      </c>
      <c r="M5760" t="str">
        <f>"29548"</f>
        <v>29548</v>
      </c>
      <c r="N5760" t="s">
        <v>2064</v>
      </c>
      <c r="O5760">
        <v>188.5</v>
      </c>
      <c r="P5760">
        <v>20190410</v>
      </c>
      <c r="Q5760" t="s">
        <v>2060</v>
      </c>
      <c r="R5760" t="s">
        <v>4609</v>
      </c>
      <c r="S5760" t="s">
        <v>1615</v>
      </c>
      <c r="T5760" t="s">
        <v>1713</v>
      </c>
    </row>
    <row r="5761" spans="1:20" x14ac:dyDescent="0.25">
      <c r="A5761">
        <v>9</v>
      </c>
      <c r="B5761">
        <v>199</v>
      </c>
      <c r="C5761" t="str">
        <f t="shared" si="1253"/>
        <v>51</v>
      </c>
      <c r="D5761">
        <v>6319</v>
      </c>
      <c r="E5761" t="str">
        <f t="shared" si="1254"/>
        <v>MC</v>
      </c>
      <c r="F5761" t="str">
        <f t="shared" si="1255"/>
        <v>936</v>
      </c>
      <c r="G5761">
        <v>9</v>
      </c>
      <c r="H5761" t="str">
        <f t="shared" si="1256"/>
        <v>99</v>
      </c>
      <c r="I5761" t="str">
        <f t="shared" si="1252"/>
        <v>0</v>
      </c>
      <c r="J5761" t="str">
        <f t="shared" si="1257"/>
        <v>81</v>
      </c>
      <c r="K5761">
        <v>20190412</v>
      </c>
      <c r="L5761" t="str">
        <f>"076447"</f>
        <v>076447</v>
      </c>
      <c r="M5761" t="str">
        <f>"29548"</f>
        <v>29548</v>
      </c>
      <c r="N5761" t="s">
        <v>2064</v>
      </c>
      <c r="O5761">
        <v>435.5</v>
      </c>
      <c r="P5761">
        <v>20190410</v>
      </c>
      <c r="Q5761" t="s">
        <v>2060</v>
      </c>
      <c r="R5761" t="s">
        <v>4610</v>
      </c>
      <c r="S5761" t="s">
        <v>1615</v>
      </c>
      <c r="T5761" t="s">
        <v>1713</v>
      </c>
    </row>
    <row r="5762" spans="1:20" x14ac:dyDescent="0.25">
      <c r="A5762">
        <v>9</v>
      </c>
      <c r="B5762">
        <v>199</v>
      </c>
      <c r="C5762" t="str">
        <f t="shared" si="1253"/>
        <v>51</v>
      </c>
      <c r="D5762">
        <v>6319</v>
      </c>
      <c r="E5762" t="str">
        <f t="shared" si="1254"/>
        <v>MC</v>
      </c>
      <c r="F5762" t="str">
        <f t="shared" si="1255"/>
        <v>936</v>
      </c>
      <c r="G5762">
        <v>9</v>
      </c>
      <c r="H5762" t="str">
        <f t="shared" si="1256"/>
        <v>99</v>
      </c>
      <c r="I5762" t="str">
        <f t="shared" si="1252"/>
        <v>0</v>
      </c>
      <c r="J5762" t="str">
        <f t="shared" si="1257"/>
        <v>81</v>
      </c>
      <c r="K5762">
        <v>20190412</v>
      </c>
      <c r="L5762" t="str">
        <f>"076447"</f>
        <v>076447</v>
      </c>
      <c r="M5762" t="str">
        <f>"29548"</f>
        <v>29548</v>
      </c>
      <c r="N5762" t="s">
        <v>2064</v>
      </c>
      <c r="O5762">
        <v>177</v>
      </c>
      <c r="P5762">
        <v>20190410</v>
      </c>
      <c r="Q5762" t="s">
        <v>2060</v>
      </c>
      <c r="R5762" t="s">
        <v>4611</v>
      </c>
      <c r="S5762" t="s">
        <v>1615</v>
      </c>
      <c r="T5762" t="s">
        <v>1713</v>
      </c>
    </row>
    <row r="5763" spans="1:20" x14ac:dyDescent="0.25">
      <c r="A5763">
        <v>9</v>
      </c>
      <c r="B5763">
        <v>199</v>
      </c>
      <c r="C5763" t="str">
        <f t="shared" si="1253"/>
        <v>51</v>
      </c>
      <c r="D5763">
        <v>6319</v>
      </c>
      <c r="E5763" t="str">
        <f t="shared" si="1254"/>
        <v>MC</v>
      </c>
      <c r="F5763" t="str">
        <f t="shared" si="1255"/>
        <v>936</v>
      </c>
      <c r="G5763">
        <v>9</v>
      </c>
      <c r="H5763" t="str">
        <f t="shared" si="1256"/>
        <v>99</v>
      </c>
      <c r="I5763" t="str">
        <f t="shared" si="1252"/>
        <v>0</v>
      </c>
      <c r="J5763" t="str">
        <f t="shared" si="1257"/>
        <v>81</v>
      </c>
      <c r="K5763">
        <v>20190412</v>
      </c>
      <c r="L5763" t="str">
        <f>"076447"</f>
        <v>076447</v>
      </c>
      <c r="M5763" t="str">
        <f>"29548"</f>
        <v>29548</v>
      </c>
      <c r="N5763" t="s">
        <v>2064</v>
      </c>
      <c r="O5763">
        <v>42.3</v>
      </c>
      <c r="P5763">
        <v>20190410</v>
      </c>
      <c r="Q5763" t="s">
        <v>2060</v>
      </c>
      <c r="R5763" t="s">
        <v>4612</v>
      </c>
      <c r="S5763" t="s">
        <v>1615</v>
      </c>
      <c r="T5763" t="s">
        <v>1713</v>
      </c>
    </row>
    <row r="5764" spans="1:20" x14ac:dyDescent="0.25">
      <c r="A5764">
        <v>9</v>
      </c>
      <c r="B5764">
        <v>199</v>
      </c>
      <c r="C5764" t="str">
        <f>"00"</f>
        <v>00</v>
      </c>
      <c r="D5764">
        <v>1312</v>
      </c>
      <c r="E5764" t="str">
        <f>"00"</f>
        <v>00</v>
      </c>
      <c r="F5764" t="str">
        <f>"000"</f>
        <v>000</v>
      </c>
      <c r="G5764">
        <v>9</v>
      </c>
      <c r="H5764" t="str">
        <f>"00"</f>
        <v>00</v>
      </c>
      <c r="I5764" t="str">
        <f t="shared" si="1252"/>
        <v>0</v>
      </c>
      <c r="J5764" t="str">
        <f>"00"</f>
        <v>00</v>
      </c>
      <c r="K5764">
        <v>20190412</v>
      </c>
      <c r="L5764" t="str">
        <f>"076448"</f>
        <v>076448</v>
      </c>
      <c r="M5764" t="str">
        <f>"29610"</f>
        <v>29610</v>
      </c>
      <c r="N5764" t="s">
        <v>2067</v>
      </c>
      <c r="O5764">
        <v>132.5</v>
      </c>
      <c r="P5764">
        <v>20190410</v>
      </c>
      <c r="Q5764" t="s">
        <v>1860</v>
      </c>
      <c r="R5764" t="s">
        <v>4613</v>
      </c>
      <c r="S5764" t="s">
        <v>1615</v>
      </c>
      <c r="T5764" t="s">
        <v>296</v>
      </c>
    </row>
    <row r="5765" spans="1:20" x14ac:dyDescent="0.25">
      <c r="A5765">
        <v>9</v>
      </c>
      <c r="B5765">
        <v>199</v>
      </c>
      <c r="C5765" t="str">
        <f>"51"</f>
        <v>51</v>
      </c>
      <c r="D5765">
        <v>6319</v>
      </c>
      <c r="E5765" t="str">
        <f>"MC"</f>
        <v>MC</v>
      </c>
      <c r="F5765" t="str">
        <f>"936"</f>
        <v>936</v>
      </c>
      <c r="G5765">
        <v>9</v>
      </c>
      <c r="H5765" t="str">
        <f>"99"</f>
        <v>99</v>
      </c>
      <c r="I5765" t="str">
        <f t="shared" si="1252"/>
        <v>0</v>
      </c>
      <c r="J5765" t="str">
        <f>"81"</f>
        <v>81</v>
      </c>
      <c r="K5765">
        <v>20190412</v>
      </c>
      <c r="L5765" t="str">
        <f>"076449"</f>
        <v>076449</v>
      </c>
      <c r="M5765" t="str">
        <f>"29609"</f>
        <v>29609</v>
      </c>
      <c r="N5765" t="s">
        <v>2491</v>
      </c>
      <c r="O5765">
        <v>290.35000000000002</v>
      </c>
      <c r="P5765">
        <v>20190410</v>
      </c>
      <c r="Q5765" t="s">
        <v>2060</v>
      </c>
      <c r="R5765" t="s">
        <v>4614</v>
      </c>
      <c r="S5765" t="s">
        <v>1615</v>
      </c>
      <c r="T5765" t="s">
        <v>1713</v>
      </c>
    </row>
    <row r="5766" spans="1:20" x14ac:dyDescent="0.25">
      <c r="A5766">
        <v>9</v>
      </c>
      <c r="B5766">
        <v>199</v>
      </c>
      <c r="C5766" t="str">
        <f>"51"</f>
        <v>51</v>
      </c>
      <c r="D5766">
        <v>6319</v>
      </c>
      <c r="E5766" t="str">
        <f>"MC"</f>
        <v>MC</v>
      </c>
      <c r="F5766" t="str">
        <f>"936"</f>
        <v>936</v>
      </c>
      <c r="G5766">
        <v>9</v>
      </c>
      <c r="H5766" t="str">
        <f>"99"</f>
        <v>99</v>
      </c>
      <c r="I5766" t="str">
        <f t="shared" si="1252"/>
        <v>0</v>
      </c>
      <c r="J5766" t="str">
        <f>"81"</f>
        <v>81</v>
      </c>
      <c r="K5766">
        <v>20190412</v>
      </c>
      <c r="L5766" t="str">
        <f>"076449"</f>
        <v>076449</v>
      </c>
      <c r="M5766" t="str">
        <f>"29609"</f>
        <v>29609</v>
      </c>
      <c r="N5766" t="s">
        <v>2491</v>
      </c>
      <c r="O5766">
        <v>254.65</v>
      </c>
      <c r="P5766">
        <v>20190410</v>
      </c>
      <c r="Q5766" t="s">
        <v>2060</v>
      </c>
      <c r="R5766" t="s">
        <v>4615</v>
      </c>
      <c r="S5766" t="s">
        <v>1615</v>
      </c>
      <c r="T5766" t="s">
        <v>1713</v>
      </c>
    </row>
    <row r="5767" spans="1:20" x14ac:dyDescent="0.25">
      <c r="A5767">
        <v>9</v>
      </c>
      <c r="B5767">
        <v>199</v>
      </c>
      <c r="C5767" t="str">
        <f>"51"</f>
        <v>51</v>
      </c>
      <c r="D5767">
        <v>6319</v>
      </c>
      <c r="E5767" t="str">
        <f>"MC"</f>
        <v>MC</v>
      </c>
      <c r="F5767" t="str">
        <f>"936"</f>
        <v>936</v>
      </c>
      <c r="G5767">
        <v>9</v>
      </c>
      <c r="H5767" t="str">
        <f>"99"</f>
        <v>99</v>
      </c>
      <c r="I5767" t="str">
        <f t="shared" si="1252"/>
        <v>0</v>
      </c>
      <c r="J5767" t="str">
        <f>"81"</f>
        <v>81</v>
      </c>
      <c r="K5767">
        <v>20190412</v>
      </c>
      <c r="L5767" t="str">
        <f>"076449"</f>
        <v>076449</v>
      </c>
      <c r="M5767" t="str">
        <f>"29609"</f>
        <v>29609</v>
      </c>
      <c r="N5767" t="s">
        <v>2491</v>
      </c>
      <c r="O5767">
        <v>182.55</v>
      </c>
      <c r="P5767">
        <v>20190410</v>
      </c>
      <c r="Q5767" t="s">
        <v>2060</v>
      </c>
      <c r="R5767" t="s">
        <v>4616</v>
      </c>
      <c r="S5767" t="s">
        <v>1615</v>
      </c>
      <c r="T5767" t="s">
        <v>1713</v>
      </c>
    </row>
    <row r="5768" spans="1:20" x14ac:dyDescent="0.25">
      <c r="A5768">
        <v>9</v>
      </c>
      <c r="B5768">
        <v>199</v>
      </c>
      <c r="C5768" t="str">
        <f>"51"</f>
        <v>51</v>
      </c>
      <c r="D5768">
        <v>6319</v>
      </c>
      <c r="E5768" t="str">
        <f>"MC"</f>
        <v>MC</v>
      </c>
      <c r="F5768" t="str">
        <f>"936"</f>
        <v>936</v>
      </c>
      <c r="G5768">
        <v>9</v>
      </c>
      <c r="H5768" t="str">
        <f>"99"</f>
        <v>99</v>
      </c>
      <c r="I5768" t="str">
        <f t="shared" si="1252"/>
        <v>0</v>
      </c>
      <c r="J5768" t="str">
        <f>"81"</f>
        <v>81</v>
      </c>
      <c r="K5768">
        <v>20190412</v>
      </c>
      <c r="L5768" t="str">
        <f>"076449"</f>
        <v>076449</v>
      </c>
      <c r="M5768" t="str">
        <f>"29609"</f>
        <v>29609</v>
      </c>
      <c r="N5768" t="s">
        <v>2491</v>
      </c>
      <c r="O5768">
        <v>10.130000000000001</v>
      </c>
      <c r="P5768">
        <v>20190410</v>
      </c>
      <c r="Q5768" t="s">
        <v>2060</v>
      </c>
      <c r="R5768" t="s">
        <v>4617</v>
      </c>
      <c r="S5768" t="s">
        <v>1615</v>
      </c>
      <c r="T5768" t="s">
        <v>1713</v>
      </c>
    </row>
    <row r="5769" spans="1:20" x14ac:dyDescent="0.25">
      <c r="A5769">
        <v>9</v>
      </c>
      <c r="B5769">
        <v>199</v>
      </c>
      <c r="C5769" t="str">
        <f>"00"</f>
        <v>00</v>
      </c>
      <c r="D5769">
        <v>1312</v>
      </c>
      <c r="E5769" t="str">
        <f>"00"</f>
        <v>00</v>
      </c>
      <c r="F5769" t="str">
        <f>"000"</f>
        <v>000</v>
      </c>
      <c r="G5769">
        <v>9</v>
      </c>
      <c r="H5769" t="str">
        <f>"00"</f>
        <v>00</v>
      </c>
      <c r="I5769" t="str">
        <f t="shared" si="1252"/>
        <v>0</v>
      </c>
      <c r="J5769" t="str">
        <f>"00"</f>
        <v>00</v>
      </c>
      <c r="K5769">
        <v>20190412</v>
      </c>
      <c r="L5769" t="str">
        <f>"076450"</f>
        <v>076450</v>
      </c>
      <c r="M5769" t="str">
        <f>"29628"</f>
        <v>29628</v>
      </c>
      <c r="N5769" t="s">
        <v>2071</v>
      </c>
      <c r="O5769">
        <v>571.98</v>
      </c>
      <c r="P5769">
        <v>20190410</v>
      </c>
      <c r="Q5769" t="s">
        <v>1860</v>
      </c>
      <c r="R5769" t="s">
        <v>4618</v>
      </c>
      <c r="S5769" t="s">
        <v>1615</v>
      </c>
      <c r="T5769" t="s">
        <v>296</v>
      </c>
    </row>
    <row r="5770" spans="1:20" x14ac:dyDescent="0.25">
      <c r="A5770">
        <v>9</v>
      </c>
      <c r="B5770">
        <v>199</v>
      </c>
      <c r="C5770" t="str">
        <f>"00"</f>
        <v>00</v>
      </c>
      <c r="D5770">
        <v>1312</v>
      </c>
      <c r="E5770" t="str">
        <f>"00"</f>
        <v>00</v>
      </c>
      <c r="F5770" t="str">
        <f>"000"</f>
        <v>000</v>
      </c>
      <c r="G5770">
        <v>9</v>
      </c>
      <c r="H5770" t="str">
        <f>"00"</f>
        <v>00</v>
      </c>
      <c r="I5770" t="str">
        <f t="shared" si="1252"/>
        <v>0</v>
      </c>
      <c r="J5770" t="str">
        <f>"00"</f>
        <v>00</v>
      </c>
      <c r="K5770">
        <v>20190412</v>
      </c>
      <c r="L5770" t="str">
        <f>"076450"</f>
        <v>076450</v>
      </c>
      <c r="M5770" t="str">
        <f>"29628"</f>
        <v>29628</v>
      </c>
      <c r="N5770" t="s">
        <v>2071</v>
      </c>
      <c r="O5770">
        <v>564.95000000000005</v>
      </c>
      <c r="P5770">
        <v>20190410</v>
      </c>
      <c r="Q5770" t="s">
        <v>1860</v>
      </c>
      <c r="R5770" t="s">
        <v>4619</v>
      </c>
      <c r="S5770" t="s">
        <v>1615</v>
      </c>
      <c r="T5770" t="s">
        <v>296</v>
      </c>
    </row>
    <row r="5771" spans="1:20" x14ac:dyDescent="0.25">
      <c r="A5771">
        <v>9</v>
      </c>
      <c r="B5771">
        <v>199</v>
      </c>
      <c r="C5771" t="str">
        <f>"00"</f>
        <v>00</v>
      </c>
      <c r="D5771">
        <v>1312</v>
      </c>
      <c r="E5771" t="str">
        <f>"00"</f>
        <v>00</v>
      </c>
      <c r="F5771" t="str">
        <f>"000"</f>
        <v>000</v>
      </c>
      <c r="G5771">
        <v>9</v>
      </c>
      <c r="H5771" t="str">
        <f>"00"</f>
        <v>00</v>
      </c>
      <c r="I5771" t="str">
        <f t="shared" si="1252"/>
        <v>0</v>
      </c>
      <c r="J5771" t="str">
        <f>"00"</f>
        <v>00</v>
      </c>
      <c r="K5771">
        <v>20190412</v>
      </c>
      <c r="L5771" t="str">
        <f>"076450"</f>
        <v>076450</v>
      </c>
      <c r="M5771" t="str">
        <f>"29628"</f>
        <v>29628</v>
      </c>
      <c r="N5771" t="s">
        <v>2071</v>
      </c>
      <c r="O5771">
        <v>319.98</v>
      </c>
      <c r="P5771">
        <v>20190410</v>
      </c>
      <c r="Q5771" t="s">
        <v>1860</v>
      </c>
      <c r="R5771" t="s">
        <v>4620</v>
      </c>
      <c r="S5771" t="s">
        <v>1615</v>
      </c>
      <c r="T5771" t="s">
        <v>296</v>
      </c>
    </row>
    <row r="5772" spans="1:20" x14ac:dyDescent="0.25">
      <c r="A5772">
        <v>9</v>
      </c>
      <c r="B5772">
        <v>199</v>
      </c>
      <c r="C5772" t="str">
        <f>"00"</f>
        <v>00</v>
      </c>
      <c r="D5772">
        <v>1312</v>
      </c>
      <c r="E5772" t="str">
        <f>"00"</f>
        <v>00</v>
      </c>
      <c r="F5772" t="str">
        <f>"000"</f>
        <v>000</v>
      </c>
      <c r="G5772">
        <v>9</v>
      </c>
      <c r="H5772" t="str">
        <f>"00"</f>
        <v>00</v>
      </c>
      <c r="I5772" t="str">
        <f t="shared" si="1252"/>
        <v>0</v>
      </c>
      <c r="J5772" t="str">
        <f>"00"</f>
        <v>00</v>
      </c>
      <c r="K5772">
        <v>20190412</v>
      </c>
      <c r="L5772" t="str">
        <f>"076450"</f>
        <v>076450</v>
      </c>
      <c r="M5772" t="str">
        <f>"29628"</f>
        <v>29628</v>
      </c>
      <c r="N5772" t="s">
        <v>2071</v>
      </c>
      <c r="O5772">
        <v>929.9</v>
      </c>
      <c r="P5772">
        <v>20190410</v>
      </c>
      <c r="Q5772" t="s">
        <v>1860</v>
      </c>
      <c r="R5772" t="s">
        <v>4621</v>
      </c>
      <c r="S5772" t="s">
        <v>1615</v>
      </c>
      <c r="T5772" t="s">
        <v>296</v>
      </c>
    </row>
    <row r="5773" spans="1:20" x14ac:dyDescent="0.25">
      <c r="A5773">
        <v>9</v>
      </c>
      <c r="B5773">
        <v>199</v>
      </c>
      <c r="C5773" t="str">
        <f>"36"</f>
        <v>36</v>
      </c>
      <c r="D5773">
        <v>6412</v>
      </c>
      <c r="E5773" t="str">
        <f>"H2"</f>
        <v>H2</v>
      </c>
      <c r="F5773" t="str">
        <f>"001"</f>
        <v>001</v>
      </c>
      <c r="G5773">
        <v>9</v>
      </c>
      <c r="H5773" t="str">
        <f>"99"</f>
        <v>99</v>
      </c>
      <c r="I5773" t="str">
        <f t="shared" si="1252"/>
        <v>0</v>
      </c>
      <c r="J5773" t="str">
        <f>"37"</f>
        <v>37</v>
      </c>
      <c r="K5773">
        <v>20190412</v>
      </c>
      <c r="L5773" t="str">
        <f>"076451"</f>
        <v>076451</v>
      </c>
      <c r="M5773" t="str">
        <f>"29680"</f>
        <v>29680</v>
      </c>
      <c r="N5773" t="s">
        <v>4622</v>
      </c>
      <c r="O5773">
        <v>224</v>
      </c>
      <c r="P5773">
        <v>20190410</v>
      </c>
      <c r="Q5773" t="s">
        <v>1704</v>
      </c>
      <c r="R5773" t="s">
        <v>1705</v>
      </c>
      <c r="S5773" t="s">
        <v>1615</v>
      </c>
      <c r="T5773" t="s">
        <v>301</v>
      </c>
    </row>
    <row r="5774" spans="1:20" x14ac:dyDescent="0.25">
      <c r="A5774">
        <v>9</v>
      </c>
      <c r="B5774">
        <v>199</v>
      </c>
      <c r="C5774" t="str">
        <f>"51"</f>
        <v>51</v>
      </c>
      <c r="D5774">
        <v>6249</v>
      </c>
      <c r="E5774" t="str">
        <f>"WF"</f>
        <v>WF</v>
      </c>
      <c r="F5774" t="str">
        <f>"936"</f>
        <v>936</v>
      </c>
      <c r="G5774">
        <v>9</v>
      </c>
      <c r="H5774" t="str">
        <f>"99"</f>
        <v>99</v>
      </c>
      <c r="I5774" t="str">
        <f t="shared" si="1252"/>
        <v>0</v>
      </c>
      <c r="J5774" t="str">
        <f>"82"</f>
        <v>82</v>
      </c>
      <c r="K5774">
        <v>20190412</v>
      </c>
      <c r="L5774" t="str">
        <f>"076452"</f>
        <v>076452</v>
      </c>
      <c r="M5774" t="str">
        <f>"06470"</f>
        <v>06470</v>
      </c>
      <c r="N5774" t="s">
        <v>3144</v>
      </c>
      <c r="O5774">
        <v>927.35</v>
      </c>
      <c r="P5774">
        <v>20190410</v>
      </c>
      <c r="Q5774" t="s">
        <v>2127</v>
      </c>
      <c r="R5774" t="s">
        <v>4623</v>
      </c>
      <c r="S5774" t="s">
        <v>1615</v>
      </c>
      <c r="T5774" t="s">
        <v>1713</v>
      </c>
    </row>
    <row r="5775" spans="1:20" x14ac:dyDescent="0.25">
      <c r="A5775">
        <v>9</v>
      </c>
      <c r="B5775">
        <v>199</v>
      </c>
      <c r="C5775" t="str">
        <f>"51"</f>
        <v>51</v>
      </c>
      <c r="D5775">
        <v>6249</v>
      </c>
      <c r="E5775" t="str">
        <f>"WF"</f>
        <v>WF</v>
      </c>
      <c r="F5775" t="str">
        <f>"936"</f>
        <v>936</v>
      </c>
      <c r="G5775">
        <v>9</v>
      </c>
      <c r="H5775" t="str">
        <f>"99"</f>
        <v>99</v>
      </c>
      <c r="I5775" t="str">
        <f t="shared" si="1252"/>
        <v>0</v>
      </c>
      <c r="J5775" t="str">
        <f>"82"</f>
        <v>82</v>
      </c>
      <c r="K5775">
        <v>20190412</v>
      </c>
      <c r="L5775" t="str">
        <f>"076452"</f>
        <v>076452</v>
      </c>
      <c r="M5775" t="str">
        <f>"06470"</f>
        <v>06470</v>
      </c>
      <c r="N5775" t="s">
        <v>3144</v>
      </c>
      <c r="O5775">
        <v>698.68</v>
      </c>
      <c r="P5775">
        <v>20190410</v>
      </c>
      <c r="Q5775" t="s">
        <v>2127</v>
      </c>
      <c r="R5775" t="s">
        <v>4624</v>
      </c>
      <c r="S5775" t="s">
        <v>1615</v>
      </c>
      <c r="T5775" t="s">
        <v>1713</v>
      </c>
    </row>
    <row r="5776" spans="1:20" x14ac:dyDescent="0.25">
      <c r="A5776">
        <v>9</v>
      </c>
      <c r="B5776">
        <v>199</v>
      </c>
      <c r="C5776" t="str">
        <f t="shared" ref="C5776:C5781" si="1258">"36"</f>
        <v>36</v>
      </c>
      <c r="D5776">
        <v>6412</v>
      </c>
      <c r="E5776" t="str">
        <f>"09"</f>
        <v>09</v>
      </c>
      <c r="F5776" t="str">
        <f t="shared" ref="F5776:F5781" si="1259">"001"</f>
        <v>001</v>
      </c>
      <c r="G5776">
        <v>9</v>
      </c>
      <c r="H5776" t="str">
        <f>"99"</f>
        <v>99</v>
      </c>
      <c r="I5776" t="str">
        <f t="shared" si="1252"/>
        <v>0</v>
      </c>
      <c r="J5776" t="str">
        <f>"01"</f>
        <v>01</v>
      </c>
      <c r="K5776">
        <v>20190412</v>
      </c>
      <c r="L5776" t="str">
        <f t="shared" ref="L5776:L5781" si="1260">"076455"</f>
        <v>076455</v>
      </c>
      <c r="M5776" t="str">
        <f t="shared" ref="M5776:M5781" si="1261">"30744"</f>
        <v>30744</v>
      </c>
      <c r="N5776" t="s">
        <v>422</v>
      </c>
      <c r="O5776">
        <v>19.46</v>
      </c>
      <c r="P5776">
        <v>20190410</v>
      </c>
      <c r="Q5776" t="s">
        <v>2427</v>
      </c>
      <c r="R5776" t="s">
        <v>4356</v>
      </c>
      <c r="S5776" t="s">
        <v>1615</v>
      </c>
      <c r="T5776" t="s">
        <v>301</v>
      </c>
    </row>
    <row r="5777" spans="1:20" x14ac:dyDescent="0.25">
      <c r="A5777">
        <v>9</v>
      </c>
      <c r="B5777">
        <v>199</v>
      </c>
      <c r="C5777" t="str">
        <f t="shared" si="1258"/>
        <v>36</v>
      </c>
      <c r="D5777">
        <v>6412</v>
      </c>
      <c r="E5777" t="str">
        <f>"NL"</f>
        <v>NL</v>
      </c>
      <c r="F5777" t="str">
        <f t="shared" si="1259"/>
        <v>001</v>
      </c>
      <c r="G5777">
        <v>9</v>
      </c>
      <c r="H5777" t="str">
        <f>"22"</f>
        <v>22</v>
      </c>
      <c r="I5777" t="str">
        <f>"5"</f>
        <v>5</v>
      </c>
      <c r="J5777" t="str">
        <f>"74"</f>
        <v>74</v>
      </c>
      <c r="K5777">
        <v>20190412</v>
      </c>
      <c r="L5777" t="str">
        <f t="shared" si="1260"/>
        <v>076455</v>
      </c>
      <c r="M5777" t="str">
        <f t="shared" si="1261"/>
        <v>30744</v>
      </c>
      <c r="N5777" t="s">
        <v>422</v>
      </c>
      <c r="O5777">
        <v>22.38</v>
      </c>
      <c r="P5777">
        <v>20190410</v>
      </c>
      <c r="Q5777" t="s">
        <v>4161</v>
      </c>
      <c r="R5777" t="s">
        <v>4162</v>
      </c>
      <c r="S5777" t="s">
        <v>1615</v>
      </c>
      <c r="T5777" t="s">
        <v>301</v>
      </c>
    </row>
    <row r="5778" spans="1:20" x14ac:dyDescent="0.25">
      <c r="A5778">
        <v>9</v>
      </c>
      <c r="B5778">
        <v>199</v>
      </c>
      <c r="C5778" t="str">
        <f t="shared" si="1258"/>
        <v>36</v>
      </c>
      <c r="D5778">
        <v>6412</v>
      </c>
      <c r="E5778" t="str">
        <f>"VJ"</f>
        <v>VJ</v>
      </c>
      <c r="F5778" t="str">
        <f t="shared" si="1259"/>
        <v>001</v>
      </c>
      <c r="G5778">
        <v>9</v>
      </c>
      <c r="H5778" t="str">
        <f>"22"</f>
        <v>22</v>
      </c>
      <c r="I5778" t="str">
        <f>"5"</f>
        <v>5</v>
      </c>
      <c r="J5778" t="str">
        <f>"74"</f>
        <v>74</v>
      </c>
      <c r="K5778">
        <v>20190412</v>
      </c>
      <c r="L5778" t="str">
        <f t="shared" si="1260"/>
        <v>076455</v>
      </c>
      <c r="M5778" t="str">
        <f t="shared" si="1261"/>
        <v>30744</v>
      </c>
      <c r="N5778" t="s">
        <v>422</v>
      </c>
      <c r="O5778">
        <v>27.61</v>
      </c>
      <c r="P5778">
        <v>20190410</v>
      </c>
      <c r="Q5778" t="s">
        <v>3951</v>
      </c>
      <c r="R5778" t="s">
        <v>3948</v>
      </c>
      <c r="S5778" t="s">
        <v>1615</v>
      </c>
      <c r="T5778" t="s">
        <v>301</v>
      </c>
    </row>
    <row r="5779" spans="1:20" x14ac:dyDescent="0.25">
      <c r="A5779">
        <v>9</v>
      </c>
      <c r="B5779">
        <v>199</v>
      </c>
      <c r="C5779" t="str">
        <f t="shared" si="1258"/>
        <v>36</v>
      </c>
      <c r="D5779">
        <v>6412</v>
      </c>
      <c r="E5779" t="str">
        <f>"VJ"</f>
        <v>VJ</v>
      </c>
      <c r="F5779" t="str">
        <f t="shared" si="1259"/>
        <v>001</v>
      </c>
      <c r="G5779">
        <v>9</v>
      </c>
      <c r="H5779" t="str">
        <f>"22"</f>
        <v>22</v>
      </c>
      <c r="I5779" t="str">
        <f>"5"</f>
        <v>5</v>
      </c>
      <c r="J5779" t="str">
        <f>"74"</f>
        <v>74</v>
      </c>
      <c r="K5779">
        <v>20190412</v>
      </c>
      <c r="L5779" t="str">
        <f t="shared" si="1260"/>
        <v>076455</v>
      </c>
      <c r="M5779" t="str">
        <f t="shared" si="1261"/>
        <v>30744</v>
      </c>
      <c r="N5779" t="s">
        <v>422</v>
      </c>
      <c r="O5779">
        <v>39.35</v>
      </c>
      <c r="P5779">
        <v>20190410</v>
      </c>
      <c r="Q5779" t="s">
        <v>3951</v>
      </c>
      <c r="R5779" t="s">
        <v>3948</v>
      </c>
      <c r="S5779" t="s">
        <v>1615</v>
      </c>
      <c r="T5779" t="s">
        <v>301</v>
      </c>
    </row>
    <row r="5780" spans="1:20" x14ac:dyDescent="0.25">
      <c r="A5780">
        <v>9</v>
      </c>
      <c r="B5780">
        <v>199</v>
      </c>
      <c r="C5780" t="str">
        <f t="shared" si="1258"/>
        <v>36</v>
      </c>
      <c r="D5780">
        <v>6412</v>
      </c>
      <c r="E5780" t="str">
        <f>"VJ"</f>
        <v>VJ</v>
      </c>
      <c r="F5780" t="str">
        <f t="shared" si="1259"/>
        <v>001</v>
      </c>
      <c r="G5780">
        <v>9</v>
      </c>
      <c r="H5780" t="str">
        <f>"22"</f>
        <v>22</v>
      </c>
      <c r="I5780" t="str">
        <f>"5"</f>
        <v>5</v>
      </c>
      <c r="J5780" t="str">
        <f>"74"</f>
        <v>74</v>
      </c>
      <c r="K5780">
        <v>20190412</v>
      </c>
      <c r="L5780" t="str">
        <f t="shared" si="1260"/>
        <v>076455</v>
      </c>
      <c r="M5780" t="str">
        <f t="shared" si="1261"/>
        <v>30744</v>
      </c>
      <c r="N5780" t="s">
        <v>422</v>
      </c>
      <c r="O5780">
        <v>24.74</v>
      </c>
      <c r="P5780">
        <v>20190410</v>
      </c>
      <c r="Q5780" t="s">
        <v>3951</v>
      </c>
      <c r="R5780" t="s">
        <v>3948</v>
      </c>
      <c r="S5780" t="s">
        <v>1615</v>
      </c>
      <c r="T5780" t="s">
        <v>301</v>
      </c>
    </row>
    <row r="5781" spans="1:20" x14ac:dyDescent="0.25">
      <c r="A5781">
        <v>9</v>
      </c>
      <c r="B5781">
        <v>199</v>
      </c>
      <c r="C5781" t="str">
        <f t="shared" si="1258"/>
        <v>36</v>
      </c>
      <c r="D5781">
        <v>6412</v>
      </c>
      <c r="E5781" t="str">
        <f>"VJ"</f>
        <v>VJ</v>
      </c>
      <c r="F5781" t="str">
        <f t="shared" si="1259"/>
        <v>001</v>
      </c>
      <c r="G5781">
        <v>9</v>
      </c>
      <c r="H5781" t="str">
        <f>"22"</f>
        <v>22</v>
      </c>
      <c r="I5781" t="str">
        <f>"5"</f>
        <v>5</v>
      </c>
      <c r="J5781" t="str">
        <f>"74"</f>
        <v>74</v>
      </c>
      <c r="K5781">
        <v>20190412</v>
      </c>
      <c r="L5781" t="str">
        <f t="shared" si="1260"/>
        <v>076455</v>
      </c>
      <c r="M5781" t="str">
        <f t="shared" si="1261"/>
        <v>30744</v>
      </c>
      <c r="N5781" t="s">
        <v>422</v>
      </c>
      <c r="O5781">
        <v>27.75</v>
      </c>
      <c r="P5781">
        <v>20190410</v>
      </c>
      <c r="Q5781" t="s">
        <v>3951</v>
      </c>
      <c r="R5781" t="s">
        <v>3948</v>
      </c>
      <c r="S5781" t="s">
        <v>1615</v>
      </c>
      <c r="T5781" t="s">
        <v>301</v>
      </c>
    </row>
    <row r="5782" spans="1:20" x14ac:dyDescent="0.25">
      <c r="A5782">
        <v>9</v>
      </c>
      <c r="B5782">
        <v>199</v>
      </c>
      <c r="C5782" t="str">
        <f>"41"</f>
        <v>41</v>
      </c>
      <c r="D5782">
        <v>6411</v>
      </c>
      <c r="E5782" t="str">
        <f>"10"</f>
        <v>10</v>
      </c>
      <c r="F5782" t="str">
        <f>"730"</f>
        <v>730</v>
      </c>
      <c r="G5782">
        <v>9</v>
      </c>
      <c r="H5782" t="str">
        <f>"99"</f>
        <v>99</v>
      </c>
      <c r="I5782" t="str">
        <f>"1"</f>
        <v>1</v>
      </c>
      <c r="J5782" t="str">
        <f>"95"</f>
        <v>95</v>
      </c>
      <c r="K5782">
        <v>20190412</v>
      </c>
      <c r="L5782" t="str">
        <f>"076458"</f>
        <v>076458</v>
      </c>
      <c r="M5782" t="str">
        <f>"00516"</f>
        <v>00516</v>
      </c>
      <c r="N5782" t="s">
        <v>4625</v>
      </c>
      <c r="O5782">
        <v>23.24</v>
      </c>
      <c r="P5782">
        <v>20190410</v>
      </c>
      <c r="Q5782" t="s">
        <v>4606</v>
      </c>
      <c r="R5782" t="s">
        <v>4265</v>
      </c>
      <c r="S5782" t="s">
        <v>1615</v>
      </c>
      <c r="T5782" t="s">
        <v>1794</v>
      </c>
    </row>
    <row r="5783" spans="1:20" x14ac:dyDescent="0.25">
      <c r="A5783">
        <v>9</v>
      </c>
      <c r="B5783">
        <v>199</v>
      </c>
      <c r="C5783" t="str">
        <f>"11"</f>
        <v>11</v>
      </c>
      <c r="D5783">
        <v>6412</v>
      </c>
      <c r="E5783" t="str">
        <f>"VD"</f>
        <v>VD</v>
      </c>
      <c r="F5783" t="str">
        <f>"001"</f>
        <v>001</v>
      </c>
      <c r="G5783">
        <v>9</v>
      </c>
      <c r="H5783" t="str">
        <f>"22"</f>
        <v>22</v>
      </c>
      <c r="I5783" t="str">
        <f t="shared" ref="I5783:I5796" si="1262">"0"</f>
        <v>0</v>
      </c>
      <c r="J5783" t="str">
        <f>"22"</f>
        <v>22</v>
      </c>
      <c r="K5783">
        <v>20190412</v>
      </c>
      <c r="L5783" t="str">
        <f>"076459"</f>
        <v>076459</v>
      </c>
      <c r="M5783" t="str">
        <f>"13359"</f>
        <v>13359</v>
      </c>
      <c r="N5783" t="s">
        <v>4516</v>
      </c>
      <c r="O5783">
        <v>120</v>
      </c>
      <c r="P5783">
        <v>20190410</v>
      </c>
      <c r="Q5783" t="s">
        <v>2120</v>
      </c>
      <c r="R5783" t="s">
        <v>4370</v>
      </c>
      <c r="S5783" t="s">
        <v>1615</v>
      </c>
      <c r="T5783" t="s">
        <v>301</v>
      </c>
    </row>
    <row r="5784" spans="1:20" x14ac:dyDescent="0.25">
      <c r="A5784">
        <v>9</v>
      </c>
      <c r="B5784">
        <v>199</v>
      </c>
      <c r="C5784" t="str">
        <f>"11"</f>
        <v>11</v>
      </c>
      <c r="D5784">
        <v>6412</v>
      </c>
      <c r="E5784" t="str">
        <f>"V8"</f>
        <v>V8</v>
      </c>
      <c r="F5784" t="str">
        <f>"001"</f>
        <v>001</v>
      </c>
      <c r="G5784">
        <v>9</v>
      </c>
      <c r="H5784" t="str">
        <f>"22"</f>
        <v>22</v>
      </c>
      <c r="I5784" t="str">
        <f t="shared" si="1262"/>
        <v>0</v>
      </c>
      <c r="J5784" t="str">
        <f>"22"</f>
        <v>22</v>
      </c>
      <c r="K5784">
        <v>20190412</v>
      </c>
      <c r="L5784" t="str">
        <f>"076464"</f>
        <v>076464</v>
      </c>
      <c r="M5784" t="str">
        <f>"34956"</f>
        <v>34956</v>
      </c>
      <c r="N5784" t="s">
        <v>3651</v>
      </c>
      <c r="O5784">
        <v>180</v>
      </c>
      <c r="P5784">
        <v>20190410</v>
      </c>
      <c r="Q5784" t="s">
        <v>1884</v>
      </c>
      <c r="R5784" t="s">
        <v>4607</v>
      </c>
      <c r="S5784" t="s">
        <v>1615</v>
      </c>
      <c r="T5784" t="s">
        <v>301</v>
      </c>
    </row>
    <row r="5785" spans="1:20" x14ac:dyDescent="0.25">
      <c r="A5785">
        <v>9</v>
      </c>
      <c r="B5785">
        <v>199</v>
      </c>
      <c r="C5785" t="str">
        <f>"36"</f>
        <v>36</v>
      </c>
      <c r="D5785">
        <v>6411</v>
      </c>
      <c r="E5785" t="str">
        <f>"V8"</f>
        <v>V8</v>
      </c>
      <c r="F5785" t="str">
        <f>"001"</f>
        <v>001</v>
      </c>
      <c r="G5785">
        <v>9</v>
      </c>
      <c r="H5785" t="str">
        <f>"22"</f>
        <v>22</v>
      </c>
      <c r="I5785" t="str">
        <f t="shared" si="1262"/>
        <v>0</v>
      </c>
      <c r="J5785" t="str">
        <f>"22"</f>
        <v>22</v>
      </c>
      <c r="K5785">
        <v>20190412</v>
      </c>
      <c r="L5785" t="str">
        <f>"076464"</f>
        <v>076464</v>
      </c>
      <c r="M5785" t="str">
        <f>"34956"</f>
        <v>34956</v>
      </c>
      <c r="N5785" t="s">
        <v>3651</v>
      </c>
      <c r="O5785">
        <v>75</v>
      </c>
      <c r="P5785">
        <v>20190410</v>
      </c>
      <c r="Q5785" t="s">
        <v>2602</v>
      </c>
      <c r="R5785" t="s">
        <v>4607</v>
      </c>
      <c r="S5785" t="s">
        <v>1615</v>
      </c>
      <c r="T5785" t="s">
        <v>301</v>
      </c>
    </row>
    <row r="5786" spans="1:20" x14ac:dyDescent="0.25">
      <c r="A5786">
        <v>9</v>
      </c>
      <c r="B5786">
        <v>199</v>
      </c>
      <c r="C5786" t="str">
        <f>"11"</f>
        <v>11</v>
      </c>
      <c r="D5786">
        <v>6299</v>
      </c>
      <c r="E5786" t="str">
        <f>"7E"</f>
        <v>7E</v>
      </c>
      <c r="F5786" t="str">
        <f>"041"</f>
        <v>041</v>
      </c>
      <c r="G5786">
        <v>9</v>
      </c>
      <c r="H5786" t="str">
        <f>"11"</f>
        <v>11</v>
      </c>
      <c r="I5786" t="str">
        <f t="shared" si="1262"/>
        <v>0</v>
      </c>
      <c r="J5786" t="str">
        <f>"35"</f>
        <v>35</v>
      </c>
      <c r="K5786">
        <v>20190412</v>
      </c>
      <c r="L5786" t="str">
        <f>"076465"</f>
        <v>076465</v>
      </c>
      <c r="M5786" t="str">
        <f>"37570"</f>
        <v>37570</v>
      </c>
      <c r="N5786" t="s">
        <v>2876</v>
      </c>
      <c r="O5786">
        <v>430</v>
      </c>
      <c r="P5786">
        <v>20190410</v>
      </c>
      <c r="Q5786" t="s">
        <v>2877</v>
      </c>
      <c r="R5786" t="s">
        <v>4626</v>
      </c>
      <c r="S5786" t="s">
        <v>1615</v>
      </c>
      <c r="T5786" t="s">
        <v>106</v>
      </c>
    </row>
    <row r="5787" spans="1:20" x14ac:dyDescent="0.25">
      <c r="A5787">
        <v>9</v>
      </c>
      <c r="B5787">
        <v>199</v>
      </c>
      <c r="C5787" t="str">
        <f>"11"</f>
        <v>11</v>
      </c>
      <c r="D5787">
        <v>6249</v>
      </c>
      <c r="E5787" t="str">
        <f>"7B"</f>
        <v>7B</v>
      </c>
      <c r="F5787" t="str">
        <f>"001"</f>
        <v>001</v>
      </c>
      <c r="G5787">
        <v>9</v>
      </c>
      <c r="H5787" t="str">
        <f>"11"</f>
        <v>11</v>
      </c>
      <c r="I5787" t="str">
        <f t="shared" si="1262"/>
        <v>0</v>
      </c>
      <c r="J5787" t="str">
        <f>"32"</f>
        <v>32</v>
      </c>
      <c r="K5787">
        <v>20190412</v>
      </c>
      <c r="L5787" t="str">
        <f>"076468"</f>
        <v>076468</v>
      </c>
      <c r="M5787" t="str">
        <f>"39572"</f>
        <v>39572</v>
      </c>
      <c r="N5787" t="s">
        <v>2233</v>
      </c>
      <c r="O5787">
        <v>145</v>
      </c>
      <c r="P5787">
        <v>20190410</v>
      </c>
      <c r="Q5787" t="s">
        <v>2234</v>
      </c>
      <c r="R5787" t="s">
        <v>4627</v>
      </c>
      <c r="S5787" t="s">
        <v>1615</v>
      </c>
      <c r="T5787" t="s">
        <v>301</v>
      </c>
    </row>
    <row r="5788" spans="1:20" x14ac:dyDescent="0.25">
      <c r="A5788">
        <v>9</v>
      </c>
      <c r="B5788">
        <v>199</v>
      </c>
      <c r="C5788" t="str">
        <f>"11"</f>
        <v>11</v>
      </c>
      <c r="D5788">
        <v>6249</v>
      </c>
      <c r="E5788" t="str">
        <f>"7B"</f>
        <v>7B</v>
      </c>
      <c r="F5788" t="str">
        <f>"001"</f>
        <v>001</v>
      </c>
      <c r="G5788">
        <v>9</v>
      </c>
      <c r="H5788" t="str">
        <f>"11"</f>
        <v>11</v>
      </c>
      <c r="I5788" t="str">
        <f t="shared" si="1262"/>
        <v>0</v>
      </c>
      <c r="J5788" t="str">
        <f>"32"</f>
        <v>32</v>
      </c>
      <c r="K5788">
        <v>20190412</v>
      </c>
      <c r="L5788" t="str">
        <f>"076468"</f>
        <v>076468</v>
      </c>
      <c r="M5788" t="str">
        <f>"39572"</f>
        <v>39572</v>
      </c>
      <c r="N5788" t="s">
        <v>2233</v>
      </c>
      <c r="O5788">
        <v>115</v>
      </c>
      <c r="P5788">
        <v>20190410</v>
      </c>
      <c r="Q5788" t="s">
        <v>2234</v>
      </c>
      <c r="R5788" t="s">
        <v>4628</v>
      </c>
      <c r="S5788" t="s">
        <v>1615</v>
      </c>
      <c r="T5788" t="s">
        <v>301</v>
      </c>
    </row>
    <row r="5789" spans="1:20" x14ac:dyDescent="0.25">
      <c r="A5789">
        <v>9</v>
      </c>
      <c r="B5789">
        <v>199</v>
      </c>
      <c r="C5789" t="str">
        <f>"51"</f>
        <v>51</v>
      </c>
      <c r="D5789">
        <v>6319</v>
      </c>
      <c r="E5789" t="str">
        <f>"M3"</f>
        <v>M3</v>
      </c>
      <c r="F5789" t="str">
        <f>"936"</f>
        <v>936</v>
      </c>
      <c r="G5789">
        <v>9</v>
      </c>
      <c r="H5789" t="str">
        <f t="shared" ref="H5789:H5794" si="1263">"99"</f>
        <v>99</v>
      </c>
      <c r="I5789" t="str">
        <f t="shared" si="1262"/>
        <v>0</v>
      </c>
      <c r="J5789" t="str">
        <f>"81"</f>
        <v>81</v>
      </c>
      <c r="K5789">
        <v>20190412</v>
      </c>
      <c r="L5789" t="str">
        <f>"076469"</f>
        <v>076469</v>
      </c>
      <c r="M5789" t="str">
        <f>"00125"</f>
        <v>00125</v>
      </c>
      <c r="N5789" t="s">
        <v>2245</v>
      </c>
      <c r="O5789">
        <v>70.8</v>
      </c>
      <c r="P5789">
        <v>20190410</v>
      </c>
      <c r="Q5789" t="s">
        <v>2246</v>
      </c>
      <c r="R5789" t="s">
        <v>4629</v>
      </c>
      <c r="S5789" t="s">
        <v>1615</v>
      </c>
      <c r="T5789" t="s">
        <v>1713</v>
      </c>
    </row>
    <row r="5790" spans="1:20" x14ac:dyDescent="0.25">
      <c r="A5790">
        <v>9</v>
      </c>
      <c r="B5790">
        <v>199</v>
      </c>
      <c r="C5790" t="str">
        <f>"51"</f>
        <v>51</v>
      </c>
      <c r="D5790">
        <v>6319</v>
      </c>
      <c r="E5790" t="str">
        <f>"M3"</f>
        <v>M3</v>
      </c>
      <c r="F5790" t="str">
        <f>"936"</f>
        <v>936</v>
      </c>
      <c r="G5790">
        <v>9</v>
      </c>
      <c r="H5790" t="str">
        <f t="shared" si="1263"/>
        <v>99</v>
      </c>
      <c r="I5790" t="str">
        <f t="shared" si="1262"/>
        <v>0</v>
      </c>
      <c r="J5790" t="str">
        <f>"81"</f>
        <v>81</v>
      </c>
      <c r="K5790">
        <v>20190412</v>
      </c>
      <c r="L5790" t="str">
        <f>"076469"</f>
        <v>076469</v>
      </c>
      <c r="M5790" t="str">
        <f>"00125"</f>
        <v>00125</v>
      </c>
      <c r="N5790" t="s">
        <v>2245</v>
      </c>
      <c r="O5790" s="1">
        <v>5018.1499999999996</v>
      </c>
      <c r="P5790">
        <v>20190410</v>
      </c>
      <c r="Q5790" t="s">
        <v>2246</v>
      </c>
      <c r="R5790" t="s">
        <v>2249</v>
      </c>
      <c r="S5790" t="s">
        <v>1615</v>
      </c>
      <c r="T5790" t="s">
        <v>1713</v>
      </c>
    </row>
    <row r="5791" spans="1:20" x14ac:dyDescent="0.25">
      <c r="A5791">
        <v>9</v>
      </c>
      <c r="B5791">
        <v>199</v>
      </c>
      <c r="C5791" t="str">
        <f>"51"</f>
        <v>51</v>
      </c>
      <c r="D5791">
        <v>6319</v>
      </c>
      <c r="E5791" t="str">
        <f>"M3"</f>
        <v>M3</v>
      </c>
      <c r="F5791" t="str">
        <f>"936"</f>
        <v>936</v>
      </c>
      <c r="G5791">
        <v>9</v>
      </c>
      <c r="H5791" t="str">
        <f t="shared" si="1263"/>
        <v>99</v>
      </c>
      <c r="I5791" t="str">
        <f t="shared" si="1262"/>
        <v>0</v>
      </c>
      <c r="J5791" t="str">
        <f>"81"</f>
        <v>81</v>
      </c>
      <c r="K5791">
        <v>20190412</v>
      </c>
      <c r="L5791" t="str">
        <f>"076469"</f>
        <v>076469</v>
      </c>
      <c r="M5791" t="str">
        <f>"00125"</f>
        <v>00125</v>
      </c>
      <c r="N5791" t="s">
        <v>2245</v>
      </c>
      <c r="O5791">
        <v>660.33</v>
      </c>
      <c r="P5791">
        <v>20190410</v>
      </c>
      <c r="Q5791" t="s">
        <v>2246</v>
      </c>
      <c r="R5791" t="s">
        <v>4630</v>
      </c>
      <c r="S5791" t="s">
        <v>1615</v>
      </c>
      <c r="T5791" t="s">
        <v>1713</v>
      </c>
    </row>
    <row r="5792" spans="1:20" x14ac:dyDescent="0.25">
      <c r="A5792">
        <v>9</v>
      </c>
      <c r="B5792">
        <v>199</v>
      </c>
      <c r="C5792" t="str">
        <f>"51"</f>
        <v>51</v>
      </c>
      <c r="D5792">
        <v>6319</v>
      </c>
      <c r="E5792" t="str">
        <f>"M3"</f>
        <v>M3</v>
      </c>
      <c r="F5792" t="str">
        <f>"936"</f>
        <v>936</v>
      </c>
      <c r="G5792">
        <v>9</v>
      </c>
      <c r="H5792" t="str">
        <f t="shared" si="1263"/>
        <v>99</v>
      </c>
      <c r="I5792" t="str">
        <f t="shared" si="1262"/>
        <v>0</v>
      </c>
      <c r="J5792" t="str">
        <f>"81"</f>
        <v>81</v>
      </c>
      <c r="K5792">
        <v>20190412</v>
      </c>
      <c r="L5792" t="str">
        <f>"076469"</f>
        <v>076469</v>
      </c>
      <c r="M5792" t="str">
        <f>"00125"</f>
        <v>00125</v>
      </c>
      <c r="N5792" t="s">
        <v>2245</v>
      </c>
      <c r="O5792">
        <v>128.72</v>
      </c>
      <c r="P5792">
        <v>20190410</v>
      </c>
      <c r="Q5792" t="s">
        <v>2246</v>
      </c>
      <c r="R5792" t="s">
        <v>4631</v>
      </c>
      <c r="S5792" t="s">
        <v>1615</v>
      </c>
      <c r="T5792" t="s">
        <v>1713</v>
      </c>
    </row>
    <row r="5793" spans="1:20" x14ac:dyDescent="0.25">
      <c r="A5793">
        <v>9</v>
      </c>
      <c r="B5793">
        <v>199</v>
      </c>
      <c r="C5793" t="str">
        <f>"51"</f>
        <v>51</v>
      </c>
      <c r="D5793">
        <v>6319</v>
      </c>
      <c r="E5793" t="str">
        <f>"M3"</f>
        <v>M3</v>
      </c>
      <c r="F5793" t="str">
        <f>"936"</f>
        <v>936</v>
      </c>
      <c r="G5793">
        <v>9</v>
      </c>
      <c r="H5793" t="str">
        <f t="shared" si="1263"/>
        <v>99</v>
      </c>
      <c r="I5793" t="str">
        <f t="shared" si="1262"/>
        <v>0</v>
      </c>
      <c r="J5793" t="str">
        <f>"81"</f>
        <v>81</v>
      </c>
      <c r="K5793">
        <v>20190412</v>
      </c>
      <c r="L5793" t="str">
        <f>"076469"</f>
        <v>076469</v>
      </c>
      <c r="M5793" t="str">
        <f>"00125"</f>
        <v>00125</v>
      </c>
      <c r="N5793" t="s">
        <v>2245</v>
      </c>
      <c r="O5793">
        <v>7.28</v>
      </c>
      <c r="P5793">
        <v>20190410</v>
      </c>
      <c r="Q5793" t="s">
        <v>2246</v>
      </c>
      <c r="R5793" t="s">
        <v>4631</v>
      </c>
      <c r="S5793" t="s">
        <v>1615</v>
      </c>
      <c r="T5793" t="s">
        <v>1713</v>
      </c>
    </row>
    <row r="5794" spans="1:20" x14ac:dyDescent="0.25">
      <c r="A5794">
        <v>9</v>
      </c>
      <c r="B5794">
        <v>199</v>
      </c>
      <c r="C5794" t="str">
        <f>"36"</f>
        <v>36</v>
      </c>
      <c r="D5794">
        <v>6412</v>
      </c>
      <c r="E5794" t="str">
        <f>"H1"</f>
        <v>H1</v>
      </c>
      <c r="F5794" t="str">
        <f>"041"</f>
        <v>041</v>
      </c>
      <c r="G5794">
        <v>9</v>
      </c>
      <c r="H5794" t="str">
        <f t="shared" si="1263"/>
        <v>99</v>
      </c>
      <c r="I5794" t="str">
        <f t="shared" si="1262"/>
        <v>0</v>
      </c>
      <c r="J5794" t="str">
        <f>"03"</f>
        <v>03</v>
      </c>
      <c r="K5794">
        <v>20190412</v>
      </c>
      <c r="L5794" t="str">
        <f>"076470"</f>
        <v>076470</v>
      </c>
      <c r="M5794" t="str">
        <f>"00808"</f>
        <v>00808</v>
      </c>
      <c r="N5794" t="s">
        <v>592</v>
      </c>
      <c r="O5794">
        <v>659.95</v>
      </c>
      <c r="P5794">
        <v>20190412</v>
      </c>
      <c r="Q5794" t="s">
        <v>4632</v>
      </c>
      <c r="R5794" t="s">
        <v>4633</v>
      </c>
      <c r="S5794" t="s">
        <v>1615</v>
      </c>
      <c r="T5794" t="s">
        <v>106</v>
      </c>
    </row>
    <row r="5795" spans="1:20" x14ac:dyDescent="0.25">
      <c r="A5795">
        <v>9</v>
      </c>
      <c r="B5795">
        <v>199</v>
      </c>
      <c r="C5795" t="str">
        <f>"36"</f>
        <v>36</v>
      </c>
      <c r="D5795">
        <v>6411</v>
      </c>
      <c r="E5795" t="str">
        <f>"VB"</f>
        <v>VB</v>
      </c>
      <c r="F5795" t="str">
        <f>"001"</f>
        <v>001</v>
      </c>
      <c r="G5795">
        <v>9</v>
      </c>
      <c r="H5795" t="str">
        <f>"22"</f>
        <v>22</v>
      </c>
      <c r="I5795" t="str">
        <f t="shared" si="1262"/>
        <v>0</v>
      </c>
      <c r="J5795" t="str">
        <f>"22"</f>
        <v>22</v>
      </c>
      <c r="K5795">
        <v>20190412</v>
      </c>
      <c r="L5795" t="str">
        <f>"076473"</f>
        <v>076473</v>
      </c>
      <c r="M5795" t="str">
        <f>"42212"</f>
        <v>42212</v>
      </c>
      <c r="N5795" t="s">
        <v>1892</v>
      </c>
      <c r="O5795">
        <v>240</v>
      </c>
      <c r="P5795">
        <v>20190410</v>
      </c>
      <c r="Q5795" t="s">
        <v>3734</v>
      </c>
      <c r="R5795" t="s">
        <v>4392</v>
      </c>
      <c r="S5795" t="s">
        <v>1615</v>
      </c>
      <c r="T5795" t="s">
        <v>301</v>
      </c>
    </row>
    <row r="5796" spans="1:20" x14ac:dyDescent="0.25">
      <c r="A5796">
        <v>9</v>
      </c>
      <c r="B5796">
        <v>199</v>
      </c>
      <c r="C5796" t="str">
        <f>"36"</f>
        <v>36</v>
      </c>
      <c r="D5796">
        <v>6411</v>
      </c>
      <c r="E5796" t="str">
        <f>"VB"</f>
        <v>VB</v>
      </c>
      <c r="F5796" t="str">
        <f>"001"</f>
        <v>001</v>
      </c>
      <c r="G5796">
        <v>9</v>
      </c>
      <c r="H5796" t="str">
        <f>"22"</f>
        <v>22</v>
      </c>
      <c r="I5796" t="str">
        <f t="shared" si="1262"/>
        <v>0</v>
      </c>
      <c r="J5796" t="str">
        <f>"22"</f>
        <v>22</v>
      </c>
      <c r="K5796">
        <v>20190412</v>
      </c>
      <c r="L5796" t="str">
        <f>"076473"</f>
        <v>076473</v>
      </c>
      <c r="M5796" t="str">
        <f>"42212"</f>
        <v>42212</v>
      </c>
      <c r="N5796" t="s">
        <v>1892</v>
      </c>
      <c r="O5796">
        <v>152.91999999999999</v>
      </c>
      <c r="P5796">
        <v>20190412</v>
      </c>
      <c r="Q5796" t="s">
        <v>3734</v>
      </c>
      <c r="R5796" t="s">
        <v>4392</v>
      </c>
      <c r="S5796" t="s">
        <v>1615</v>
      </c>
      <c r="T5796" t="s">
        <v>301</v>
      </c>
    </row>
    <row r="5797" spans="1:20" x14ac:dyDescent="0.25">
      <c r="A5797">
        <v>9</v>
      </c>
      <c r="B5797">
        <v>199</v>
      </c>
      <c r="C5797" t="str">
        <f>"36"</f>
        <v>36</v>
      </c>
      <c r="D5797">
        <v>6412</v>
      </c>
      <c r="E5797" t="str">
        <f>"VB"</f>
        <v>VB</v>
      </c>
      <c r="F5797" t="str">
        <f>"001"</f>
        <v>001</v>
      </c>
      <c r="G5797">
        <v>9</v>
      </c>
      <c r="H5797" t="str">
        <f>"22"</f>
        <v>22</v>
      </c>
      <c r="I5797" t="str">
        <f>"5"</f>
        <v>5</v>
      </c>
      <c r="J5797" t="str">
        <f>"74"</f>
        <v>74</v>
      </c>
      <c r="K5797">
        <v>20190412</v>
      </c>
      <c r="L5797" t="str">
        <f>"076473"</f>
        <v>076473</v>
      </c>
      <c r="M5797" t="str">
        <f>"42212"</f>
        <v>42212</v>
      </c>
      <c r="N5797" t="s">
        <v>1892</v>
      </c>
      <c r="O5797">
        <v>480</v>
      </c>
      <c r="P5797">
        <v>20190410</v>
      </c>
      <c r="Q5797" t="s">
        <v>4391</v>
      </c>
      <c r="R5797" t="s">
        <v>4392</v>
      </c>
      <c r="S5797" t="s">
        <v>1615</v>
      </c>
      <c r="T5797" t="s">
        <v>301</v>
      </c>
    </row>
    <row r="5798" spans="1:20" x14ac:dyDescent="0.25">
      <c r="A5798">
        <v>9</v>
      </c>
      <c r="B5798">
        <v>199</v>
      </c>
      <c r="C5798" t="str">
        <f>"23"</f>
        <v>23</v>
      </c>
      <c r="D5798">
        <v>6649</v>
      </c>
      <c r="E5798" t="str">
        <f>"1T"</f>
        <v>1T</v>
      </c>
      <c r="F5798" t="str">
        <f>"041"</f>
        <v>041</v>
      </c>
      <c r="G5798">
        <v>9</v>
      </c>
      <c r="H5798" t="str">
        <f>"99"</f>
        <v>99</v>
      </c>
      <c r="I5798" t="str">
        <f>"0"</f>
        <v>0</v>
      </c>
      <c r="J5798" t="str">
        <f>"03"</f>
        <v>03</v>
      </c>
      <c r="K5798">
        <v>20190412</v>
      </c>
      <c r="L5798" t="str">
        <f>"076474"</f>
        <v>076474</v>
      </c>
      <c r="M5798" t="str">
        <f>"43503"</f>
        <v>43503</v>
      </c>
      <c r="N5798" t="s">
        <v>3402</v>
      </c>
      <c r="O5798" s="1">
        <v>1513.68</v>
      </c>
      <c r="P5798">
        <v>20190410</v>
      </c>
      <c r="Q5798" t="s">
        <v>4634</v>
      </c>
      <c r="R5798" t="s">
        <v>4635</v>
      </c>
      <c r="S5798" t="s">
        <v>1615</v>
      </c>
      <c r="T5798" t="s">
        <v>106</v>
      </c>
    </row>
    <row r="5799" spans="1:20" x14ac:dyDescent="0.25">
      <c r="A5799">
        <v>9</v>
      </c>
      <c r="B5799">
        <v>199</v>
      </c>
      <c r="C5799" t="str">
        <f>"11"</f>
        <v>11</v>
      </c>
      <c r="D5799">
        <v>6649</v>
      </c>
      <c r="E5799" t="str">
        <f>"00"</f>
        <v>00</v>
      </c>
      <c r="F5799" t="str">
        <f>"041"</f>
        <v>041</v>
      </c>
      <c r="G5799">
        <v>9</v>
      </c>
      <c r="H5799" t="str">
        <f>"11"</f>
        <v>11</v>
      </c>
      <c r="I5799" t="str">
        <f>"Z"</f>
        <v>Z</v>
      </c>
      <c r="J5799" t="str">
        <f>"80"</f>
        <v>80</v>
      </c>
      <c r="K5799">
        <v>20190412</v>
      </c>
      <c r="L5799" t="str">
        <f>"076475"</f>
        <v>076475</v>
      </c>
      <c r="M5799" t="str">
        <f>"43534"</f>
        <v>43534</v>
      </c>
      <c r="N5799" t="s">
        <v>4636</v>
      </c>
      <c r="O5799" s="1">
        <v>27370</v>
      </c>
      <c r="P5799">
        <v>20190410</v>
      </c>
      <c r="Q5799" t="s">
        <v>4637</v>
      </c>
      <c r="R5799" t="s">
        <v>4638</v>
      </c>
      <c r="S5799" t="s">
        <v>1615</v>
      </c>
      <c r="T5799" t="s">
        <v>106</v>
      </c>
    </row>
    <row r="5800" spans="1:20" x14ac:dyDescent="0.25">
      <c r="A5800">
        <v>9</v>
      </c>
      <c r="B5800">
        <v>199</v>
      </c>
      <c r="C5800" t="str">
        <f>"21"</f>
        <v>21</v>
      </c>
      <c r="D5800">
        <v>6498</v>
      </c>
      <c r="E5800" t="str">
        <f>"10"</f>
        <v>10</v>
      </c>
      <c r="F5800" t="str">
        <f>"871"</f>
        <v>871</v>
      </c>
      <c r="G5800">
        <v>9</v>
      </c>
      <c r="H5800" t="str">
        <f>"99"</f>
        <v>99</v>
      </c>
      <c r="I5800" t="str">
        <f t="shared" ref="I5800:I5811" si="1264">"0"</f>
        <v>0</v>
      </c>
      <c r="J5800" t="str">
        <f>"94"</f>
        <v>94</v>
      </c>
      <c r="K5800">
        <v>20190412</v>
      </c>
      <c r="L5800" t="str">
        <f>"076477"</f>
        <v>076477</v>
      </c>
      <c r="M5800" t="str">
        <f>"45093"</f>
        <v>45093</v>
      </c>
      <c r="N5800" t="s">
        <v>885</v>
      </c>
      <c r="O5800">
        <v>219.27</v>
      </c>
      <c r="P5800">
        <v>20190410</v>
      </c>
      <c r="Q5800" t="s">
        <v>4639</v>
      </c>
      <c r="R5800" t="s">
        <v>4640</v>
      </c>
      <c r="S5800" t="s">
        <v>1615</v>
      </c>
      <c r="T5800" t="s">
        <v>1932</v>
      </c>
    </row>
    <row r="5801" spans="1:20" x14ac:dyDescent="0.25">
      <c r="A5801">
        <v>9</v>
      </c>
      <c r="B5801">
        <v>199</v>
      </c>
      <c r="C5801" t="str">
        <f>"11"</f>
        <v>11</v>
      </c>
      <c r="D5801">
        <v>6299</v>
      </c>
      <c r="E5801" t="str">
        <f>"7B"</f>
        <v>7B</v>
      </c>
      <c r="F5801" t="str">
        <f>"001"</f>
        <v>001</v>
      </c>
      <c r="G5801">
        <v>9</v>
      </c>
      <c r="H5801" t="str">
        <f>"11"</f>
        <v>11</v>
      </c>
      <c r="I5801" t="str">
        <f t="shared" si="1264"/>
        <v>0</v>
      </c>
      <c r="J5801" t="str">
        <f>"32"</f>
        <v>32</v>
      </c>
      <c r="K5801">
        <v>20190412</v>
      </c>
      <c r="L5801" t="str">
        <f>"076478"</f>
        <v>076478</v>
      </c>
      <c r="M5801" t="str">
        <f>"46145"</f>
        <v>46145</v>
      </c>
      <c r="N5801" t="s">
        <v>4641</v>
      </c>
      <c r="O5801" s="1">
        <v>2025</v>
      </c>
      <c r="P5801">
        <v>20190411</v>
      </c>
      <c r="Q5801" t="s">
        <v>4436</v>
      </c>
      <c r="R5801" t="s">
        <v>4642</v>
      </c>
      <c r="S5801" t="s">
        <v>1615</v>
      </c>
      <c r="T5801" t="s">
        <v>301</v>
      </c>
    </row>
    <row r="5802" spans="1:20" x14ac:dyDescent="0.25">
      <c r="A5802">
        <v>9</v>
      </c>
      <c r="B5802">
        <v>199</v>
      </c>
      <c r="C5802" t="str">
        <f>"51"</f>
        <v>51</v>
      </c>
      <c r="D5802">
        <v>6249</v>
      </c>
      <c r="E5802" t="str">
        <f>"M6"</f>
        <v>M6</v>
      </c>
      <c r="F5802" t="str">
        <f>"936"</f>
        <v>936</v>
      </c>
      <c r="G5802">
        <v>9</v>
      </c>
      <c r="H5802" t="str">
        <f>"99"</f>
        <v>99</v>
      </c>
      <c r="I5802" t="str">
        <f t="shared" si="1264"/>
        <v>0</v>
      </c>
      <c r="J5802" t="str">
        <f>"81"</f>
        <v>81</v>
      </c>
      <c r="K5802">
        <v>20190412</v>
      </c>
      <c r="L5802" t="str">
        <f>"076479"</f>
        <v>076479</v>
      </c>
      <c r="M5802" t="str">
        <f>"46369"</f>
        <v>46369</v>
      </c>
      <c r="N5802" t="s">
        <v>2086</v>
      </c>
      <c r="O5802">
        <v>560</v>
      </c>
      <c r="P5802">
        <v>20190411</v>
      </c>
      <c r="Q5802" t="s">
        <v>2089</v>
      </c>
      <c r="R5802" t="s">
        <v>4643</v>
      </c>
      <c r="S5802" t="s">
        <v>1615</v>
      </c>
      <c r="T5802" t="s">
        <v>1713</v>
      </c>
    </row>
    <row r="5803" spans="1:20" x14ac:dyDescent="0.25">
      <c r="A5803">
        <v>9</v>
      </c>
      <c r="B5803">
        <v>199</v>
      </c>
      <c r="C5803" t="str">
        <f>"51"</f>
        <v>51</v>
      </c>
      <c r="D5803">
        <v>6249</v>
      </c>
      <c r="E5803" t="str">
        <f>"MC"</f>
        <v>MC</v>
      </c>
      <c r="F5803" t="str">
        <f>"001"</f>
        <v>001</v>
      </c>
      <c r="G5803">
        <v>9</v>
      </c>
      <c r="H5803" t="str">
        <f>"99"</f>
        <v>99</v>
      </c>
      <c r="I5803" t="str">
        <f t="shared" si="1264"/>
        <v>0</v>
      </c>
      <c r="J5803" t="str">
        <f>"81"</f>
        <v>81</v>
      </c>
      <c r="K5803">
        <v>20190412</v>
      </c>
      <c r="L5803" t="str">
        <f>"076479"</f>
        <v>076479</v>
      </c>
      <c r="M5803" t="str">
        <f>"46369"</f>
        <v>46369</v>
      </c>
      <c r="N5803" t="s">
        <v>2086</v>
      </c>
      <c r="O5803">
        <v>738</v>
      </c>
      <c r="P5803">
        <v>20190411</v>
      </c>
      <c r="Q5803" t="s">
        <v>2386</v>
      </c>
      <c r="R5803" t="s">
        <v>4644</v>
      </c>
      <c r="S5803" t="s">
        <v>1615</v>
      </c>
      <c r="T5803" t="s">
        <v>301</v>
      </c>
    </row>
    <row r="5804" spans="1:20" x14ac:dyDescent="0.25">
      <c r="A5804">
        <v>9</v>
      </c>
      <c r="B5804">
        <v>199</v>
      </c>
      <c r="C5804" t="str">
        <f>"51"</f>
        <v>51</v>
      </c>
      <c r="D5804">
        <v>6249</v>
      </c>
      <c r="E5804" t="str">
        <f>"MC"</f>
        <v>MC</v>
      </c>
      <c r="F5804" t="str">
        <f>"001"</f>
        <v>001</v>
      </c>
      <c r="G5804">
        <v>9</v>
      </c>
      <c r="H5804" t="str">
        <f>"99"</f>
        <v>99</v>
      </c>
      <c r="I5804" t="str">
        <f t="shared" si="1264"/>
        <v>0</v>
      </c>
      <c r="J5804" t="str">
        <f>"81"</f>
        <v>81</v>
      </c>
      <c r="K5804">
        <v>20190412</v>
      </c>
      <c r="L5804" t="str">
        <f>"076479"</f>
        <v>076479</v>
      </c>
      <c r="M5804" t="str">
        <f>"46369"</f>
        <v>46369</v>
      </c>
      <c r="N5804" t="s">
        <v>2086</v>
      </c>
      <c r="O5804" s="1">
        <v>1337</v>
      </c>
      <c r="P5804">
        <v>20190411</v>
      </c>
      <c r="Q5804" t="s">
        <v>2386</v>
      </c>
      <c r="R5804" t="s">
        <v>4645</v>
      </c>
      <c r="S5804" t="s">
        <v>1615</v>
      </c>
      <c r="T5804" t="s">
        <v>301</v>
      </c>
    </row>
    <row r="5805" spans="1:20" x14ac:dyDescent="0.25">
      <c r="A5805">
        <v>9</v>
      </c>
      <c r="B5805">
        <v>199</v>
      </c>
      <c r="C5805" t="str">
        <f>"00"</f>
        <v>00</v>
      </c>
      <c r="D5805">
        <v>1291</v>
      </c>
      <c r="E5805" t="str">
        <f>"05"</f>
        <v>05</v>
      </c>
      <c r="F5805" t="str">
        <f>"000"</f>
        <v>000</v>
      </c>
      <c r="G5805">
        <v>9</v>
      </c>
      <c r="H5805" t="str">
        <f>"00"</f>
        <v>00</v>
      </c>
      <c r="I5805" t="str">
        <f t="shared" si="1264"/>
        <v>0</v>
      </c>
      <c r="J5805" t="str">
        <f>"00"</f>
        <v>00</v>
      </c>
      <c r="K5805">
        <v>20190412</v>
      </c>
      <c r="L5805" t="str">
        <f>"076480"</f>
        <v>076480</v>
      </c>
      <c r="M5805" t="str">
        <f>"46398"</f>
        <v>46398</v>
      </c>
      <c r="N5805" t="s">
        <v>1636</v>
      </c>
      <c r="O5805">
        <v>219.99</v>
      </c>
      <c r="P5805">
        <v>20190411</v>
      </c>
      <c r="Q5805" t="s">
        <v>1637</v>
      </c>
      <c r="R5805" t="s">
        <v>4646</v>
      </c>
      <c r="S5805" t="s">
        <v>1615</v>
      </c>
      <c r="T5805" t="s">
        <v>296</v>
      </c>
    </row>
    <row r="5806" spans="1:20" x14ac:dyDescent="0.25">
      <c r="A5806">
        <v>9</v>
      </c>
      <c r="B5806">
        <v>199</v>
      </c>
      <c r="C5806" t="str">
        <f>"00"</f>
        <v>00</v>
      </c>
      <c r="D5806">
        <v>1291</v>
      </c>
      <c r="E5806" t="str">
        <f>"05"</f>
        <v>05</v>
      </c>
      <c r="F5806" t="str">
        <f>"000"</f>
        <v>000</v>
      </c>
      <c r="G5806">
        <v>9</v>
      </c>
      <c r="H5806" t="str">
        <f>"00"</f>
        <v>00</v>
      </c>
      <c r="I5806" t="str">
        <f t="shared" si="1264"/>
        <v>0</v>
      </c>
      <c r="J5806" t="str">
        <f>"00"</f>
        <v>00</v>
      </c>
      <c r="K5806">
        <v>20190412</v>
      </c>
      <c r="L5806" t="str">
        <f>"076480"</f>
        <v>076480</v>
      </c>
      <c r="M5806" t="str">
        <f>"46398"</f>
        <v>46398</v>
      </c>
      <c r="N5806" t="s">
        <v>1636</v>
      </c>
      <c r="O5806" s="1">
        <v>15111.37</v>
      </c>
      <c r="P5806">
        <v>20190411</v>
      </c>
      <c r="Q5806" t="s">
        <v>1637</v>
      </c>
      <c r="R5806" t="s">
        <v>4646</v>
      </c>
      <c r="S5806" t="s">
        <v>1615</v>
      </c>
      <c r="T5806" t="s">
        <v>296</v>
      </c>
    </row>
    <row r="5807" spans="1:20" x14ac:dyDescent="0.25">
      <c r="A5807">
        <v>9</v>
      </c>
      <c r="B5807">
        <v>199</v>
      </c>
      <c r="C5807" t="str">
        <f>"41"</f>
        <v>41</v>
      </c>
      <c r="D5807">
        <v>6245</v>
      </c>
      <c r="E5807" t="str">
        <f>"10"</f>
        <v>10</v>
      </c>
      <c r="F5807" t="str">
        <f>"933"</f>
        <v>933</v>
      </c>
      <c r="G5807">
        <v>9</v>
      </c>
      <c r="H5807" t="str">
        <f>"99"</f>
        <v>99</v>
      </c>
      <c r="I5807" t="str">
        <f t="shared" si="1264"/>
        <v>0</v>
      </c>
      <c r="J5807" t="str">
        <f>"85"</f>
        <v>85</v>
      </c>
      <c r="K5807">
        <v>20190412</v>
      </c>
      <c r="L5807" t="str">
        <f>"076480"</f>
        <v>076480</v>
      </c>
      <c r="M5807" t="str">
        <f>"46398"</f>
        <v>46398</v>
      </c>
      <c r="N5807" t="s">
        <v>1636</v>
      </c>
      <c r="O5807">
        <v>853.92</v>
      </c>
      <c r="P5807">
        <v>20190411</v>
      </c>
      <c r="Q5807" t="s">
        <v>2516</v>
      </c>
      <c r="R5807" t="s">
        <v>4646</v>
      </c>
      <c r="S5807" t="s">
        <v>1615</v>
      </c>
      <c r="T5807" t="s">
        <v>1643</v>
      </c>
    </row>
    <row r="5808" spans="1:20" x14ac:dyDescent="0.25">
      <c r="A5808">
        <v>9</v>
      </c>
      <c r="B5808">
        <v>199</v>
      </c>
      <c r="C5808" t="str">
        <f>"00"</f>
        <v>00</v>
      </c>
      <c r="D5808">
        <v>1291</v>
      </c>
      <c r="E5808" t="str">
        <f>"05"</f>
        <v>05</v>
      </c>
      <c r="F5808" t="str">
        <f>"000"</f>
        <v>000</v>
      </c>
      <c r="G5808">
        <v>9</v>
      </c>
      <c r="H5808" t="str">
        <f>"00"</f>
        <v>00</v>
      </c>
      <c r="I5808" t="str">
        <f t="shared" si="1264"/>
        <v>0</v>
      </c>
      <c r="J5808" t="str">
        <f>"00"</f>
        <v>00</v>
      </c>
      <c r="K5808">
        <v>20190412</v>
      </c>
      <c r="L5808" t="str">
        <f>"076481"</f>
        <v>076481</v>
      </c>
      <c r="M5808" t="str">
        <f>"46398"</f>
        <v>46398</v>
      </c>
      <c r="N5808" t="s">
        <v>1636</v>
      </c>
      <c r="O5808" s="1">
        <v>1820</v>
      </c>
      <c r="P5808">
        <v>20190411</v>
      </c>
      <c r="Q5808" t="s">
        <v>1637</v>
      </c>
      <c r="R5808" t="s">
        <v>4647</v>
      </c>
      <c r="S5808" t="s">
        <v>1615</v>
      </c>
      <c r="T5808" t="s">
        <v>296</v>
      </c>
    </row>
    <row r="5809" spans="1:20" x14ac:dyDescent="0.25">
      <c r="A5809">
        <v>9</v>
      </c>
      <c r="B5809">
        <v>199</v>
      </c>
      <c r="C5809" t="str">
        <f>"00"</f>
        <v>00</v>
      </c>
      <c r="D5809">
        <v>1291</v>
      </c>
      <c r="E5809" t="str">
        <f>"05"</f>
        <v>05</v>
      </c>
      <c r="F5809" t="str">
        <f>"000"</f>
        <v>000</v>
      </c>
      <c r="G5809">
        <v>9</v>
      </c>
      <c r="H5809" t="str">
        <f>"00"</f>
        <v>00</v>
      </c>
      <c r="I5809" t="str">
        <f t="shared" si="1264"/>
        <v>0</v>
      </c>
      <c r="J5809" t="str">
        <f>"00"</f>
        <v>00</v>
      </c>
      <c r="K5809">
        <v>20190412</v>
      </c>
      <c r="L5809" t="str">
        <f>"076482"</f>
        <v>076482</v>
      </c>
      <c r="M5809" t="str">
        <f>"46351"</f>
        <v>46351</v>
      </c>
      <c r="N5809" t="s">
        <v>1639</v>
      </c>
      <c r="O5809" s="1">
        <v>11075.67</v>
      </c>
      <c r="P5809">
        <v>20190411</v>
      </c>
      <c r="Q5809" t="s">
        <v>1637</v>
      </c>
      <c r="R5809" t="s">
        <v>4648</v>
      </c>
      <c r="S5809" t="s">
        <v>1615</v>
      </c>
      <c r="T5809" t="s">
        <v>296</v>
      </c>
    </row>
    <row r="5810" spans="1:20" x14ac:dyDescent="0.25">
      <c r="A5810">
        <v>9</v>
      </c>
      <c r="B5810">
        <v>199</v>
      </c>
      <c r="C5810" t="str">
        <f>"41"</f>
        <v>41</v>
      </c>
      <c r="D5810">
        <v>6269</v>
      </c>
      <c r="E5810" t="str">
        <f>"10"</f>
        <v>10</v>
      </c>
      <c r="F5810" t="str">
        <f>"933"</f>
        <v>933</v>
      </c>
      <c r="G5810">
        <v>9</v>
      </c>
      <c r="H5810" t="str">
        <f t="shared" ref="H5810:H5817" si="1265">"99"</f>
        <v>99</v>
      </c>
      <c r="I5810" t="str">
        <f t="shared" si="1264"/>
        <v>0</v>
      </c>
      <c r="J5810" t="str">
        <f>"85"</f>
        <v>85</v>
      </c>
      <c r="K5810">
        <v>20190412</v>
      </c>
      <c r="L5810" t="str">
        <f>"076482"</f>
        <v>076482</v>
      </c>
      <c r="M5810" t="str">
        <f>"46351"</f>
        <v>46351</v>
      </c>
      <c r="N5810" t="s">
        <v>1639</v>
      </c>
      <c r="O5810" s="1">
        <v>4248.04</v>
      </c>
      <c r="P5810">
        <v>20190411</v>
      </c>
      <c r="Q5810" t="s">
        <v>1642</v>
      </c>
      <c r="R5810" t="s">
        <v>4648</v>
      </c>
      <c r="S5810" t="s">
        <v>1615</v>
      </c>
      <c r="T5810" t="s">
        <v>1643</v>
      </c>
    </row>
    <row r="5811" spans="1:20" x14ac:dyDescent="0.25">
      <c r="A5811">
        <v>9</v>
      </c>
      <c r="B5811">
        <v>199</v>
      </c>
      <c r="C5811" t="str">
        <f>"51"</f>
        <v>51</v>
      </c>
      <c r="D5811">
        <v>6319</v>
      </c>
      <c r="E5811" t="str">
        <f>"MC"</f>
        <v>MC</v>
      </c>
      <c r="F5811" t="str">
        <f>"936"</f>
        <v>936</v>
      </c>
      <c r="G5811">
        <v>9</v>
      </c>
      <c r="H5811" t="str">
        <f t="shared" si="1265"/>
        <v>99</v>
      </c>
      <c r="I5811" t="str">
        <f t="shared" si="1264"/>
        <v>0</v>
      </c>
      <c r="J5811" t="str">
        <f>"81"</f>
        <v>81</v>
      </c>
      <c r="K5811">
        <v>20190412</v>
      </c>
      <c r="L5811" t="str">
        <f>"076483"</f>
        <v>076483</v>
      </c>
      <c r="M5811" t="str">
        <f>"47725"</f>
        <v>47725</v>
      </c>
      <c r="N5811" t="s">
        <v>2095</v>
      </c>
      <c r="O5811">
        <v>433</v>
      </c>
      <c r="P5811">
        <v>20190411</v>
      </c>
      <c r="Q5811" t="s">
        <v>2060</v>
      </c>
      <c r="R5811" t="s">
        <v>4649</v>
      </c>
      <c r="S5811" t="s">
        <v>1615</v>
      </c>
      <c r="T5811" t="s">
        <v>1713</v>
      </c>
    </row>
    <row r="5812" spans="1:20" x14ac:dyDescent="0.25">
      <c r="A5812">
        <v>9</v>
      </c>
      <c r="B5812">
        <v>199</v>
      </c>
      <c r="C5812" t="str">
        <f>"23"</f>
        <v>23</v>
      </c>
      <c r="D5812">
        <v>6411</v>
      </c>
      <c r="E5812" t="str">
        <f>"10"</f>
        <v>10</v>
      </c>
      <c r="F5812" t="str">
        <f>"001"</f>
        <v>001</v>
      </c>
      <c r="G5812">
        <v>9</v>
      </c>
      <c r="H5812" t="str">
        <f t="shared" si="1265"/>
        <v>99</v>
      </c>
      <c r="I5812" t="str">
        <f>"1"</f>
        <v>1</v>
      </c>
      <c r="J5812" t="str">
        <f>"01"</f>
        <v>01</v>
      </c>
      <c r="K5812">
        <v>20190412</v>
      </c>
      <c r="L5812" t="str">
        <f>"076486"</f>
        <v>076486</v>
      </c>
      <c r="M5812" t="str">
        <f>"49748"</f>
        <v>49748</v>
      </c>
      <c r="N5812" t="s">
        <v>3044</v>
      </c>
      <c r="O5812">
        <v>148.24</v>
      </c>
      <c r="P5812">
        <v>20190411</v>
      </c>
      <c r="Q5812" t="s">
        <v>2464</v>
      </c>
      <c r="R5812" t="s">
        <v>4650</v>
      </c>
      <c r="S5812" t="s">
        <v>1615</v>
      </c>
      <c r="T5812" t="s">
        <v>301</v>
      </c>
    </row>
    <row r="5813" spans="1:20" x14ac:dyDescent="0.25">
      <c r="A5813">
        <v>9</v>
      </c>
      <c r="B5813">
        <v>199</v>
      </c>
      <c r="C5813" t="str">
        <f>"51"</f>
        <v>51</v>
      </c>
      <c r="D5813">
        <v>6319</v>
      </c>
      <c r="E5813" t="str">
        <f>"MC"</f>
        <v>MC</v>
      </c>
      <c r="F5813" t="str">
        <f>"936"</f>
        <v>936</v>
      </c>
      <c r="G5813">
        <v>9</v>
      </c>
      <c r="H5813" t="str">
        <f t="shared" si="1265"/>
        <v>99</v>
      </c>
      <c r="I5813" t="str">
        <f t="shared" ref="I5813:I5837" si="1266">"0"</f>
        <v>0</v>
      </c>
      <c r="J5813" t="str">
        <f>"81"</f>
        <v>81</v>
      </c>
      <c r="K5813">
        <v>20190412</v>
      </c>
      <c r="L5813" t="str">
        <f>"076489"</f>
        <v>076489</v>
      </c>
      <c r="M5813" t="str">
        <f>"49898"</f>
        <v>49898</v>
      </c>
      <c r="N5813" t="s">
        <v>2390</v>
      </c>
      <c r="O5813">
        <v>383.27</v>
      </c>
      <c r="P5813">
        <v>20190411</v>
      </c>
      <c r="Q5813" t="s">
        <v>2060</v>
      </c>
      <c r="R5813" t="s">
        <v>2188</v>
      </c>
      <c r="S5813" t="s">
        <v>1615</v>
      </c>
      <c r="T5813" t="s">
        <v>1713</v>
      </c>
    </row>
    <row r="5814" spans="1:20" x14ac:dyDescent="0.25">
      <c r="A5814">
        <v>9</v>
      </c>
      <c r="B5814">
        <v>199</v>
      </c>
      <c r="C5814" t="str">
        <f>"51"</f>
        <v>51</v>
      </c>
      <c r="D5814">
        <v>6319</v>
      </c>
      <c r="E5814" t="str">
        <f>"MC"</f>
        <v>MC</v>
      </c>
      <c r="F5814" t="str">
        <f>"936"</f>
        <v>936</v>
      </c>
      <c r="G5814">
        <v>9</v>
      </c>
      <c r="H5814" t="str">
        <f t="shared" si="1265"/>
        <v>99</v>
      </c>
      <c r="I5814" t="str">
        <f t="shared" si="1266"/>
        <v>0</v>
      </c>
      <c r="J5814" t="str">
        <f>"81"</f>
        <v>81</v>
      </c>
      <c r="K5814">
        <v>20190412</v>
      </c>
      <c r="L5814" t="str">
        <f>"076489"</f>
        <v>076489</v>
      </c>
      <c r="M5814" t="str">
        <f>"49898"</f>
        <v>49898</v>
      </c>
      <c r="N5814" t="s">
        <v>2390</v>
      </c>
      <c r="O5814">
        <v>147.47999999999999</v>
      </c>
      <c r="P5814">
        <v>20190411</v>
      </c>
      <c r="Q5814" t="s">
        <v>2060</v>
      </c>
      <c r="R5814" t="s">
        <v>4651</v>
      </c>
      <c r="S5814" t="s">
        <v>1615</v>
      </c>
      <c r="T5814" t="s">
        <v>1713</v>
      </c>
    </row>
    <row r="5815" spans="1:20" x14ac:dyDescent="0.25">
      <c r="A5815">
        <v>9</v>
      </c>
      <c r="B5815">
        <v>199</v>
      </c>
      <c r="C5815" t="str">
        <f>"51"</f>
        <v>51</v>
      </c>
      <c r="D5815">
        <v>6319</v>
      </c>
      <c r="E5815" t="str">
        <f>"MC"</f>
        <v>MC</v>
      </c>
      <c r="F5815" t="str">
        <f>"936"</f>
        <v>936</v>
      </c>
      <c r="G5815">
        <v>9</v>
      </c>
      <c r="H5815" t="str">
        <f t="shared" si="1265"/>
        <v>99</v>
      </c>
      <c r="I5815" t="str">
        <f t="shared" si="1266"/>
        <v>0</v>
      </c>
      <c r="J5815" t="str">
        <f>"81"</f>
        <v>81</v>
      </c>
      <c r="K5815">
        <v>20190412</v>
      </c>
      <c r="L5815" t="str">
        <f>"076489"</f>
        <v>076489</v>
      </c>
      <c r="M5815" t="str">
        <f>"49898"</f>
        <v>49898</v>
      </c>
      <c r="N5815" t="s">
        <v>2390</v>
      </c>
      <c r="O5815">
        <v>93.6</v>
      </c>
      <c r="P5815">
        <v>20190411</v>
      </c>
      <c r="Q5815" t="s">
        <v>2060</v>
      </c>
      <c r="R5815" t="s">
        <v>4652</v>
      </c>
      <c r="S5815" t="s">
        <v>1615</v>
      </c>
      <c r="T5815" t="s">
        <v>1713</v>
      </c>
    </row>
    <row r="5816" spans="1:20" x14ac:dyDescent="0.25">
      <c r="A5816">
        <v>9</v>
      </c>
      <c r="B5816">
        <v>199</v>
      </c>
      <c r="C5816" t="str">
        <f>"51"</f>
        <v>51</v>
      </c>
      <c r="D5816">
        <v>6319</v>
      </c>
      <c r="E5816" t="str">
        <f>"MC"</f>
        <v>MC</v>
      </c>
      <c r="F5816" t="str">
        <f>"936"</f>
        <v>936</v>
      </c>
      <c r="G5816">
        <v>9</v>
      </c>
      <c r="H5816" t="str">
        <f t="shared" si="1265"/>
        <v>99</v>
      </c>
      <c r="I5816" t="str">
        <f t="shared" si="1266"/>
        <v>0</v>
      </c>
      <c r="J5816" t="str">
        <f>"81"</f>
        <v>81</v>
      </c>
      <c r="K5816">
        <v>20190412</v>
      </c>
      <c r="L5816" t="str">
        <f>"076489"</f>
        <v>076489</v>
      </c>
      <c r="M5816" t="str">
        <f>"49898"</f>
        <v>49898</v>
      </c>
      <c r="N5816" t="s">
        <v>2390</v>
      </c>
      <c r="O5816">
        <v>761.67</v>
      </c>
      <c r="P5816">
        <v>20190411</v>
      </c>
      <c r="Q5816" t="s">
        <v>2060</v>
      </c>
      <c r="R5816" t="s">
        <v>2188</v>
      </c>
      <c r="S5816" t="s">
        <v>1615</v>
      </c>
      <c r="T5816" t="s">
        <v>1713</v>
      </c>
    </row>
    <row r="5817" spans="1:20" x14ac:dyDescent="0.25">
      <c r="A5817">
        <v>9</v>
      </c>
      <c r="B5817">
        <v>199</v>
      </c>
      <c r="C5817" t="str">
        <f>"51"</f>
        <v>51</v>
      </c>
      <c r="D5817">
        <v>6319</v>
      </c>
      <c r="E5817" t="str">
        <f>"MC"</f>
        <v>MC</v>
      </c>
      <c r="F5817" t="str">
        <f>"936"</f>
        <v>936</v>
      </c>
      <c r="G5817">
        <v>9</v>
      </c>
      <c r="H5817" t="str">
        <f t="shared" si="1265"/>
        <v>99</v>
      </c>
      <c r="I5817" t="str">
        <f t="shared" si="1266"/>
        <v>0</v>
      </c>
      <c r="J5817" t="str">
        <f>"81"</f>
        <v>81</v>
      </c>
      <c r="K5817">
        <v>20190412</v>
      </c>
      <c r="L5817" t="str">
        <f>"076489"</f>
        <v>076489</v>
      </c>
      <c r="M5817" t="str">
        <f>"49898"</f>
        <v>49898</v>
      </c>
      <c r="N5817" t="s">
        <v>2390</v>
      </c>
      <c r="O5817">
        <v>29.61</v>
      </c>
      <c r="P5817">
        <v>20190411</v>
      </c>
      <c r="Q5817" t="s">
        <v>2060</v>
      </c>
      <c r="R5817" t="s">
        <v>4653</v>
      </c>
      <c r="S5817" t="s">
        <v>1615</v>
      </c>
      <c r="T5817" t="s">
        <v>1713</v>
      </c>
    </row>
    <row r="5818" spans="1:20" x14ac:dyDescent="0.25">
      <c r="A5818">
        <v>9</v>
      </c>
      <c r="B5818">
        <v>199</v>
      </c>
      <c r="C5818" t="str">
        <f>"11"</f>
        <v>11</v>
      </c>
      <c r="D5818">
        <v>6398</v>
      </c>
      <c r="E5818" t="str">
        <f>"00"</f>
        <v>00</v>
      </c>
      <c r="F5818" t="str">
        <f>"001"</f>
        <v>001</v>
      </c>
      <c r="G5818">
        <v>9</v>
      </c>
      <c r="H5818" t="str">
        <f>"23"</f>
        <v>23</v>
      </c>
      <c r="I5818" t="str">
        <f t="shared" si="1266"/>
        <v>0</v>
      </c>
      <c r="J5818" t="str">
        <f>"23"</f>
        <v>23</v>
      </c>
      <c r="K5818">
        <v>20190412</v>
      </c>
      <c r="L5818" t="str">
        <f>"076491"</f>
        <v>076491</v>
      </c>
      <c r="M5818" t="str">
        <f>"51347"</f>
        <v>51347</v>
      </c>
      <c r="N5818" t="s">
        <v>1158</v>
      </c>
      <c r="O5818">
        <v>210</v>
      </c>
      <c r="P5818">
        <v>20190411</v>
      </c>
      <c r="Q5818" t="s">
        <v>4654</v>
      </c>
      <c r="R5818" t="s">
        <v>1160</v>
      </c>
      <c r="S5818" t="s">
        <v>1615</v>
      </c>
      <c r="T5818" t="s">
        <v>301</v>
      </c>
    </row>
    <row r="5819" spans="1:20" x14ac:dyDescent="0.25">
      <c r="A5819">
        <v>9</v>
      </c>
      <c r="B5819">
        <v>199</v>
      </c>
      <c r="C5819" t="str">
        <f>"21"</f>
        <v>21</v>
      </c>
      <c r="D5819">
        <v>6216</v>
      </c>
      <c r="E5819" t="str">
        <f>"00"</f>
        <v>00</v>
      </c>
      <c r="F5819" t="str">
        <f>"875"</f>
        <v>875</v>
      </c>
      <c r="G5819">
        <v>9</v>
      </c>
      <c r="H5819" t="str">
        <f>"23"</f>
        <v>23</v>
      </c>
      <c r="I5819" t="str">
        <f t="shared" si="1266"/>
        <v>0</v>
      </c>
      <c r="J5819" t="str">
        <f>"23"</f>
        <v>23</v>
      </c>
      <c r="K5819">
        <v>20190412</v>
      </c>
      <c r="L5819" t="str">
        <f>"076492"</f>
        <v>076492</v>
      </c>
      <c r="M5819" t="str">
        <f>"51475"</f>
        <v>51475</v>
      </c>
      <c r="N5819" t="s">
        <v>3195</v>
      </c>
      <c r="O5819" s="1">
        <v>1580.96</v>
      </c>
      <c r="P5819">
        <v>20190412</v>
      </c>
      <c r="Q5819" t="s">
        <v>3196</v>
      </c>
      <c r="R5819" t="s">
        <v>4655</v>
      </c>
      <c r="S5819" t="s">
        <v>1615</v>
      </c>
      <c r="T5819" t="s">
        <v>2041</v>
      </c>
    </row>
    <row r="5820" spans="1:20" x14ac:dyDescent="0.25">
      <c r="A5820">
        <v>9</v>
      </c>
      <c r="B5820">
        <v>199</v>
      </c>
      <c r="C5820" t="str">
        <f>"52"</f>
        <v>52</v>
      </c>
      <c r="D5820">
        <v>6219</v>
      </c>
      <c r="E5820" t="str">
        <f>"00"</f>
        <v>00</v>
      </c>
      <c r="F5820" t="str">
        <f>"101"</f>
        <v>101</v>
      </c>
      <c r="G5820">
        <v>9</v>
      </c>
      <c r="H5820" t="str">
        <f>"99"</f>
        <v>99</v>
      </c>
      <c r="I5820" t="str">
        <f t="shared" si="1266"/>
        <v>0</v>
      </c>
      <c r="J5820" t="str">
        <f>"00"</f>
        <v>00</v>
      </c>
      <c r="K5820">
        <v>20190412</v>
      </c>
      <c r="L5820" t="str">
        <f>"076493"</f>
        <v>076493</v>
      </c>
      <c r="M5820" t="str">
        <f>"00755"</f>
        <v>00755</v>
      </c>
      <c r="N5820" t="s">
        <v>4268</v>
      </c>
      <c r="O5820">
        <v>300</v>
      </c>
      <c r="P5820">
        <v>20190411</v>
      </c>
      <c r="Q5820" t="s">
        <v>1854</v>
      </c>
      <c r="R5820" t="s">
        <v>4656</v>
      </c>
      <c r="S5820" t="s">
        <v>1615</v>
      </c>
      <c r="T5820" t="s">
        <v>1479</v>
      </c>
    </row>
    <row r="5821" spans="1:20" x14ac:dyDescent="0.25">
      <c r="A5821">
        <v>9</v>
      </c>
      <c r="B5821">
        <v>199</v>
      </c>
      <c r="C5821" t="str">
        <f>"41"</f>
        <v>41</v>
      </c>
      <c r="D5821">
        <v>6299</v>
      </c>
      <c r="E5821" t="str">
        <f>"10"</f>
        <v>10</v>
      </c>
      <c r="F5821" t="str">
        <f>"735"</f>
        <v>735</v>
      </c>
      <c r="G5821">
        <v>9</v>
      </c>
      <c r="H5821" t="str">
        <f>"99"</f>
        <v>99</v>
      </c>
      <c r="I5821" t="str">
        <f t="shared" si="1266"/>
        <v>0</v>
      </c>
      <c r="J5821" t="str">
        <f>"96"</f>
        <v>96</v>
      </c>
      <c r="K5821">
        <v>20190412</v>
      </c>
      <c r="L5821" t="str">
        <f>"076494"</f>
        <v>076494</v>
      </c>
      <c r="M5821" t="str">
        <f>"00522"</f>
        <v>00522</v>
      </c>
      <c r="N5821" t="s">
        <v>1647</v>
      </c>
      <c r="O5821" s="1">
        <v>2100</v>
      </c>
      <c r="P5821">
        <v>20190412</v>
      </c>
      <c r="Q5821" t="s">
        <v>2101</v>
      </c>
      <c r="R5821" t="s">
        <v>4595</v>
      </c>
      <c r="S5821" t="s">
        <v>1615</v>
      </c>
      <c r="T5821" t="s">
        <v>151</v>
      </c>
    </row>
    <row r="5822" spans="1:20" x14ac:dyDescent="0.25">
      <c r="A5822">
        <v>9</v>
      </c>
      <c r="B5822">
        <v>199</v>
      </c>
      <c r="C5822" t="str">
        <f>"41"</f>
        <v>41</v>
      </c>
      <c r="D5822">
        <v>6399</v>
      </c>
      <c r="E5822" t="str">
        <f>"10"</f>
        <v>10</v>
      </c>
      <c r="F5822" t="str">
        <f>"735"</f>
        <v>735</v>
      </c>
      <c r="G5822">
        <v>9</v>
      </c>
      <c r="H5822" t="str">
        <f>"99"</f>
        <v>99</v>
      </c>
      <c r="I5822" t="str">
        <f t="shared" si="1266"/>
        <v>0</v>
      </c>
      <c r="J5822" t="str">
        <f>"96"</f>
        <v>96</v>
      </c>
      <c r="K5822">
        <v>20190412</v>
      </c>
      <c r="L5822" t="str">
        <f>"076496"</f>
        <v>076496</v>
      </c>
      <c r="M5822" t="str">
        <f>"57403"</f>
        <v>57403</v>
      </c>
      <c r="N5822" t="s">
        <v>3049</v>
      </c>
      <c r="O5822">
        <v>190.23</v>
      </c>
      <c r="P5822">
        <v>20190411</v>
      </c>
      <c r="Q5822" t="s">
        <v>2839</v>
      </c>
      <c r="R5822" t="s">
        <v>4657</v>
      </c>
      <c r="S5822" t="s">
        <v>1615</v>
      </c>
      <c r="T5822" t="s">
        <v>151</v>
      </c>
    </row>
    <row r="5823" spans="1:20" x14ac:dyDescent="0.25">
      <c r="A5823">
        <v>9</v>
      </c>
      <c r="B5823">
        <v>199</v>
      </c>
      <c r="C5823" t="str">
        <f>"51"</f>
        <v>51</v>
      </c>
      <c r="D5823">
        <v>6249</v>
      </c>
      <c r="E5823" t="str">
        <f>"M9"</f>
        <v>M9</v>
      </c>
      <c r="F5823" t="str">
        <f>"936"</f>
        <v>936</v>
      </c>
      <c r="G5823">
        <v>9</v>
      </c>
      <c r="H5823" t="str">
        <f>"99"</f>
        <v>99</v>
      </c>
      <c r="I5823" t="str">
        <f t="shared" si="1266"/>
        <v>0</v>
      </c>
      <c r="J5823" t="str">
        <f>"81"</f>
        <v>81</v>
      </c>
      <c r="K5823">
        <v>20190412</v>
      </c>
      <c r="L5823" t="str">
        <f>"076498"</f>
        <v>076498</v>
      </c>
      <c r="M5823" t="str">
        <f>"58173"</f>
        <v>58173</v>
      </c>
      <c r="N5823" t="s">
        <v>1764</v>
      </c>
      <c r="O5823">
        <v>600</v>
      </c>
      <c r="P5823">
        <v>20190411</v>
      </c>
      <c r="Q5823" t="s">
        <v>2289</v>
      </c>
      <c r="R5823" s="2">
        <v>43525</v>
      </c>
      <c r="S5823" t="s">
        <v>1615</v>
      </c>
      <c r="T5823" t="s">
        <v>1713</v>
      </c>
    </row>
    <row r="5824" spans="1:20" x14ac:dyDescent="0.25">
      <c r="A5824">
        <v>9</v>
      </c>
      <c r="B5824">
        <v>199</v>
      </c>
      <c r="C5824" t="str">
        <f>"11"</f>
        <v>11</v>
      </c>
      <c r="D5824">
        <v>6399</v>
      </c>
      <c r="E5824" t="str">
        <f>"V8"</f>
        <v>V8</v>
      </c>
      <c r="F5824" t="str">
        <f>"002"</f>
        <v>002</v>
      </c>
      <c r="G5824">
        <v>9</v>
      </c>
      <c r="H5824" t="str">
        <f>"22"</f>
        <v>22</v>
      </c>
      <c r="I5824" t="str">
        <f t="shared" si="1266"/>
        <v>0</v>
      </c>
      <c r="J5824" t="str">
        <f>"22"</f>
        <v>22</v>
      </c>
      <c r="K5824">
        <v>20190412</v>
      </c>
      <c r="L5824" t="str">
        <f>"076499"</f>
        <v>076499</v>
      </c>
      <c r="M5824" t="str">
        <f>"58211"</f>
        <v>58211</v>
      </c>
      <c r="N5824" t="s">
        <v>1472</v>
      </c>
      <c r="O5824">
        <v>37.82</v>
      </c>
      <c r="P5824">
        <v>20190411</v>
      </c>
      <c r="Q5824" t="s">
        <v>3210</v>
      </c>
      <c r="R5824" t="s">
        <v>4658</v>
      </c>
      <c r="S5824" t="s">
        <v>1615</v>
      </c>
      <c r="T5824" t="s">
        <v>1485</v>
      </c>
    </row>
    <row r="5825" spans="1:20" x14ac:dyDescent="0.25">
      <c r="A5825">
        <v>9</v>
      </c>
      <c r="B5825">
        <v>199</v>
      </c>
      <c r="C5825" t="str">
        <f>"23"</f>
        <v>23</v>
      </c>
      <c r="D5825">
        <v>6498</v>
      </c>
      <c r="E5825" t="str">
        <f>"10"</f>
        <v>10</v>
      </c>
      <c r="F5825" t="str">
        <f>"002"</f>
        <v>002</v>
      </c>
      <c r="G5825">
        <v>9</v>
      </c>
      <c r="H5825" t="str">
        <f>"99"</f>
        <v>99</v>
      </c>
      <c r="I5825" t="str">
        <f t="shared" si="1266"/>
        <v>0</v>
      </c>
      <c r="J5825" t="str">
        <f>"02"</f>
        <v>02</v>
      </c>
      <c r="K5825">
        <v>20190412</v>
      </c>
      <c r="L5825" t="str">
        <f>"076499"</f>
        <v>076499</v>
      </c>
      <c r="M5825" t="str">
        <f>"58211"</f>
        <v>58211</v>
      </c>
      <c r="N5825" t="s">
        <v>1472</v>
      </c>
      <c r="O5825">
        <v>44</v>
      </c>
      <c r="P5825">
        <v>20190411</v>
      </c>
      <c r="Q5825" t="s">
        <v>3213</v>
      </c>
      <c r="R5825" t="s">
        <v>4659</v>
      </c>
      <c r="S5825" t="s">
        <v>1615</v>
      </c>
      <c r="T5825" t="s">
        <v>1485</v>
      </c>
    </row>
    <row r="5826" spans="1:20" x14ac:dyDescent="0.25">
      <c r="A5826">
        <v>9</v>
      </c>
      <c r="B5826">
        <v>199</v>
      </c>
      <c r="C5826" t="str">
        <f>"23"</f>
        <v>23</v>
      </c>
      <c r="D5826">
        <v>6498</v>
      </c>
      <c r="E5826" t="str">
        <f>"10"</f>
        <v>10</v>
      </c>
      <c r="F5826" t="str">
        <f>"002"</f>
        <v>002</v>
      </c>
      <c r="G5826">
        <v>9</v>
      </c>
      <c r="H5826" t="str">
        <f>"99"</f>
        <v>99</v>
      </c>
      <c r="I5826" t="str">
        <f t="shared" si="1266"/>
        <v>0</v>
      </c>
      <c r="J5826" t="str">
        <f>"02"</f>
        <v>02</v>
      </c>
      <c r="K5826">
        <v>20190412</v>
      </c>
      <c r="L5826" t="str">
        <f>"076499"</f>
        <v>076499</v>
      </c>
      <c r="M5826" t="str">
        <f>"58211"</f>
        <v>58211</v>
      </c>
      <c r="N5826" t="s">
        <v>1472</v>
      </c>
      <c r="O5826">
        <v>39.5</v>
      </c>
      <c r="P5826">
        <v>20190411</v>
      </c>
      <c r="Q5826" t="s">
        <v>3213</v>
      </c>
      <c r="R5826" t="s">
        <v>4660</v>
      </c>
      <c r="S5826" t="s">
        <v>1615</v>
      </c>
      <c r="T5826" t="s">
        <v>1485</v>
      </c>
    </row>
    <row r="5827" spans="1:20" x14ac:dyDescent="0.25">
      <c r="A5827">
        <v>9</v>
      </c>
      <c r="B5827">
        <v>199</v>
      </c>
      <c r="C5827" t="str">
        <f>"23"</f>
        <v>23</v>
      </c>
      <c r="D5827">
        <v>6498</v>
      </c>
      <c r="E5827" t="str">
        <f>"10"</f>
        <v>10</v>
      </c>
      <c r="F5827" t="str">
        <f>"002"</f>
        <v>002</v>
      </c>
      <c r="G5827">
        <v>9</v>
      </c>
      <c r="H5827" t="str">
        <f>"99"</f>
        <v>99</v>
      </c>
      <c r="I5827" t="str">
        <f t="shared" si="1266"/>
        <v>0</v>
      </c>
      <c r="J5827" t="str">
        <f>"02"</f>
        <v>02</v>
      </c>
      <c r="K5827">
        <v>20190412</v>
      </c>
      <c r="L5827" t="str">
        <f>"076499"</f>
        <v>076499</v>
      </c>
      <c r="M5827" t="str">
        <f>"58211"</f>
        <v>58211</v>
      </c>
      <c r="N5827" t="s">
        <v>1472</v>
      </c>
      <c r="O5827">
        <v>93.45</v>
      </c>
      <c r="P5827">
        <v>20190411</v>
      </c>
      <c r="Q5827" t="s">
        <v>3213</v>
      </c>
      <c r="R5827" t="s">
        <v>4661</v>
      </c>
      <c r="S5827" t="s">
        <v>1615</v>
      </c>
      <c r="T5827" t="s">
        <v>1485</v>
      </c>
    </row>
    <row r="5828" spans="1:20" x14ac:dyDescent="0.25">
      <c r="A5828">
        <v>9</v>
      </c>
      <c r="B5828">
        <v>199</v>
      </c>
      <c r="C5828" t="str">
        <f>"41"</f>
        <v>41</v>
      </c>
      <c r="D5828">
        <v>6498</v>
      </c>
      <c r="E5828" t="str">
        <f t="shared" ref="E5828:E5837" si="1267">"00"</f>
        <v>00</v>
      </c>
      <c r="F5828" t="str">
        <f>"709"</f>
        <v>709</v>
      </c>
      <c r="G5828">
        <v>9</v>
      </c>
      <c r="H5828" t="str">
        <f>"99"</f>
        <v>99</v>
      </c>
      <c r="I5828" t="str">
        <f t="shared" si="1266"/>
        <v>0</v>
      </c>
      <c r="J5828" t="str">
        <f>"83"</f>
        <v>83</v>
      </c>
      <c r="K5828">
        <v>20190412</v>
      </c>
      <c r="L5828" t="str">
        <f>"076499"</f>
        <v>076499</v>
      </c>
      <c r="M5828" t="str">
        <f>"58211"</f>
        <v>58211</v>
      </c>
      <c r="N5828" t="s">
        <v>1472</v>
      </c>
      <c r="O5828">
        <v>18.39</v>
      </c>
      <c r="P5828">
        <v>20190411</v>
      </c>
      <c r="Q5828" t="s">
        <v>2314</v>
      </c>
      <c r="R5828" t="s">
        <v>4662</v>
      </c>
      <c r="S5828" t="s">
        <v>1615</v>
      </c>
      <c r="T5828" t="s">
        <v>1820</v>
      </c>
    </row>
    <row r="5829" spans="1:20" x14ac:dyDescent="0.25">
      <c r="A5829">
        <v>9</v>
      </c>
      <c r="B5829">
        <v>199</v>
      </c>
      <c r="C5829" t="str">
        <f t="shared" ref="C5829:C5834" si="1268">"11"</f>
        <v>11</v>
      </c>
      <c r="D5829">
        <v>6399</v>
      </c>
      <c r="E5829" t="str">
        <f t="shared" si="1267"/>
        <v>00</v>
      </c>
      <c r="F5829" t="str">
        <f>"001"</f>
        <v>001</v>
      </c>
      <c r="G5829">
        <v>9</v>
      </c>
      <c r="H5829" t="str">
        <f t="shared" ref="H5829:H5837" si="1269">"23"</f>
        <v>23</v>
      </c>
      <c r="I5829" t="str">
        <f t="shared" si="1266"/>
        <v>0</v>
      </c>
      <c r="J5829" t="str">
        <f t="shared" ref="J5829:J5837" si="1270">"23"</f>
        <v>23</v>
      </c>
      <c r="K5829">
        <v>20190412</v>
      </c>
      <c r="L5829" t="str">
        <f t="shared" ref="L5829:L5837" si="1271">"076501"</f>
        <v>076501</v>
      </c>
      <c r="M5829" t="str">
        <f t="shared" ref="M5829:M5837" si="1272">"58210"</f>
        <v>58210</v>
      </c>
      <c r="N5829" t="s">
        <v>1905</v>
      </c>
      <c r="O5829">
        <v>45</v>
      </c>
      <c r="P5829">
        <v>20190411</v>
      </c>
      <c r="Q5829" t="s">
        <v>2635</v>
      </c>
      <c r="R5829" t="s">
        <v>4663</v>
      </c>
      <c r="S5829" t="s">
        <v>1615</v>
      </c>
      <c r="T5829" t="s">
        <v>301</v>
      </c>
    </row>
    <row r="5830" spans="1:20" x14ac:dyDescent="0.25">
      <c r="A5830">
        <v>9</v>
      </c>
      <c r="B5830">
        <v>199</v>
      </c>
      <c r="C5830" t="str">
        <f t="shared" si="1268"/>
        <v>11</v>
      </c>
      <c r="D5830">
        <v>6399</v>
      </c>
      <c r="E5830" t="str">
        <f t="shared" si="1267"/>
        <v>00</v>
      </c>
      <c r="F5830" t="str">
        <f>"001"</f>
        <v>001</v>
      </c>
      <c r="G5830">
        <v>9</v>
      </c>
      <c r="H5830" t="str">
        <f t="shared" si="1269"/>
        <v>23</v>
      </c>
      <c r="I5830" t="str">
        <f t="shared" si="1266"/>
        <v>0</v>
      </c>
      <c r="J5830" t="str">
        <f t="shared" si="1270"/>
        <v>23</v>
      </c>
      <c r="K5830">
        <v>20190412</v>
      </c>
      <c r="L5830" t="str">
        <f t="shared" si="1271"/>
        <v>076501</v>
      </c>
      <c r="M5830" t="str">
        <f t="shared" si="1272"/>
        <v>58210</v>
      </c>
      <c r="N5830" t="s">
        <v>1905</v>
      </c>
      <c r="O5830">
        <v>24</v>
      </c>
      <c r="P5830">
        <v>20190411</v>
      </c>
      <c r="Q5830" t="s">
        <v>2635</v>
      </c>
      <c r="R5830" t="s">
        <v>4664</v>
      </c>
      <c r="S5830" t="s">
        <v>1615</v>
      </c>
      <c r="T5830" t="s">
        <v>301</v>
      </c>
    </row>
    <row r="5831" spans="1:20" x14ac:dyDescent="0.25">
      <c r="A5831">
        <v>9</v>
      </c>
      <c r="B5831">
        <v>199</v>
      </c>
      <c r="C5831" t="str">
        <f t="shared" si="1268"/>
        <v>11</v>
      </c>
      <c r="D5831">
        <v>6399</v>
      </c>
      <c r="E5831" t="str">
        <f t="shared" si="1267"/>
        <v>00</v>
      </c>
      <c r="F5831" t="str">
        <f>"001"</f>
        <v>001</v>
      </c>
      <c r="G5831">
        <v>9</v>
      </c>
      <c r="H5831" t="str">
        <f t="shared" si="1269"/>
        <v>23</v>
      </c>
      <c r="I5831" t="str">
        <f t="shared" si="1266"/>
        <v>0</v>
      </c>
      <c r="J5831" t="str">
        <f t="shared" si="1270"/>
        <v>23</v>
      </c>
      <c r="K5831">
        <v>20190412</v>
      </c>
      <c r="L5831" t="str">
        <f t="shared" si="1271"/>
        <v>076501</v>
      </c>
      <c r="M5831" t="str">
        <f t="shared" si="1272"/>
        <v>58210</v>
      </c>
      <c r="N5831" t="s">
        <v>1905</v>
      </c>
      <c r="O5831">
        <v>42.48</v>
      </c>
      <c r="P5831">
        <v>20190411</v>
      </c>
      <c r="Q5831" t="s">
        <v>2635</v>
      </c>
      <c r="R5831" t="s">
        <v>4665</v>
      </c>
      <c r="S5831" t="s">
        <v>1615</v>
      </c>
      <c r="T5831" t="s">
        <v>301</v>
      </c>
    </row>
    <row r="5832" spans="1:20" x14ac:dyDescent="0.25">
      <c r="A5832">
        <v>9</v>
      </c>
      <c r="B5832">
        <v>199</v>
      </c>
      <c r="C5832" t="str">
        <f t="shared" si="1268"/>
        <v>11</v>
      </c>
      <c r="D5832">
        <v>6399</v>
      </c>
      <c r="E5832" t="str">
        <f t="shared" si="1267"/>
        <v>00</v>
      </c>
      <c r="F5832" t="str">
        <f>"001"</f>
        <v>001</v>
      </c>
      <c r="G5832">
        <v>9</v>
      </c>
      <c r="H5832" t="str">
        <f t="shared" si="1269"/>
        <v>23</v>
      </c>
      <c r="I5832" t="str">
        <f t="shared" si="1266"/>
        <v>0</v>
      </c>
      <c r="J5832" t="str">
        <f t="shared" si="1270"/>
        <v>23</v>
      </c>
      <c r="K5832">
        <v>20190412</v>
      </c>
      <c r="L5832" t="str">
        <f t="shared" si="1271"/>
        <v>076501</v>
      </c>
      <c r="M5832" t="str">
        <f t="shared" si="1272"/>
        <v>58210</v>
      </c>
      <c r="N5832" t="s">
        <v>1905</v>
      </c>
      <c r="O5832">
        <v>112</v>
      </c>
      <c r="P5832">
        <v>20190411</v>
      </c>
      <c r="Q5832" t="s">
        <v>2635</v>
      </c>
      <c r="R5832" t="s">
        <v>4666</v>
      </c>
      <c r="S5832" t="s">
        <v>1615</v>
      </c>
      <c r="T5832" t="s">
        <v>301</v>
      </c>
    </row>
    <row r="5833" spans="1:20" x14ac:dyDescent="0.25">
      <c r="A5833">
        <v>9</v>
      </c>
      <c r="B5833">
        <v>199</v>
      </c>
      <c r="C5833" t="str">
        <f t="shared" si="1268"/>
        <v>11</v>
      </c>
      <c r="D5833">
        <v>6399</v>
      </c>
      <c r="E5833" t="str">
        <f t="shared" si="1267"/>
        <v>00</v>
      </c>
      <c r="F5833" t="str">
        <f>"041"</f>
        <v>041</v>
      </c>
      <c r="G5833">
        <v>9</v>
      </c>
      <c r="H5833" t="str">
        <f t="shared" si="1269"/>
        <v>23</v>
      </c>
      <c r="I5833" t="str">
        <f t="shared" si="1266"/>
        <v>0</v>
      </c>
      <c r="J5833" t="str">
        <f t="shared" si="1270"/>
        <v>23</v>
      </c>
      <c r="K5833">
        <v>20190412</v>
      </c>
      <c r="L5833" t="str">
        <f t="shared" si="1271"/>
        <v>076501</v>
      </c>
      <c r="M5833" t="str">
        <f t="shared" si="1272"/>
        <v>58210</v>
      </c>
      <c r="N5833" t="s">
        <v>1905</v>
      </c>
      <c r="O5833">
        <v>63.78</v>
      </c>
      <c r="P5833">
        <v>20190411</v>
      </c>
      <c r="Q5833" t="s">
        <v>4116</v>
      </c>
      <c r="R5833" t="s">
        <v>4667</v>
      </c>
      <c r="S5833" t="s">
        <v>1615</v>
      </c>
      <c r="T5833" t="s">
        <v>106</v>
      </c>
    </row>
    <row r="5834" spans="1:20" x14ac:dyDescent="0.25">
      <c r="A5834">
        <v>9</v>
      </c>
      <c r="B5834">
        <v>199</v>
      </c>
      <c r="C5834" t="str">
        <f t="shared" si="1268"/>
        <v>11</v>
      </c>
      <c r="D5834">
        <v>6399</v>
      </c>
      <c r="E5834" t="str">
        <f t="shared" si="1267"/>
        <v>00</v>
      </c>
      <c r="F5834" t="str">
        <f>"101"</f>
        <v>101</v>
      </c>
      <c r="G5834">
        <v>9</v>
      </c>
      <c r="H5834" t="str">
        <f t="shared" si="1269"/>
        <v>23</v>
      </c>
      <c r="I5834" t="str">
        <f t="shared" si="1266"/>
        <v>0</v>
      </c>
      <c r="J5834" t="str">
        <f t="shared" si="1270"/>
        <v>23</v>
      </c>
      <c r="K5834">
        <v>20190412</v>
      </c>
      <c r="L5834" t="str">
        <f t="shared" si="1271"/>
        <v>076501</v>
      </c>
      <c r="M5834" t="str">
        <f t="shared" si="1272"/>
        <v>58210</v>
      </c>
      <c r="N5834" t="s">
        <v>1905</v>
      </c>
      <c r="O5834">
        <v>45.4</v>
      </c>
      <c r="P5834">
        <v>20190411</v>
      </c>
      <c r="Q5834" t="s">
        <v>2078</v>
      </c>
      <c r="R5834" t="s">
        <v>4668</v>
      </c>
      <c r="S5834" t="s">
        <v>1615</v>
      </c>
      <c r="T5834" t="s">
        <v>1479</v>
      </c>
    </row>
    <row r="5835" spans="1:20" x14ac:dyDescent="0.25">
      <c r="A5835">
        <v>9</v>
      </c>
      <c r="B5835">
        <v>199</v>
      </c>
      <c r="C5835" t="str">
        <f>"21"</f>
        <v>21</v>
      </c>
      <c r="D5835">
        <v>6399</v>
      </c>
      <c r="E5835" t="str">
        <f t="shared" si="1267"/>
        <v>00</v>
      </c>
      <c r="F5835" t="str">
        <f>"875"</f>
        <v>875</v>
      </c>
      <c r="G5835">
        <v>9</v>
      </c>
      <c r="H5835" t="str">
        <f t="shared" si="1269"/>
        <v>23</v>
      </c>
      <c r="I5835" t="str">
        <f t="shared" si="1266"/>
        <v>0</v>
      </c>
      <c r="J5835" t="str">
        <f t="shared" si="1270"/>
        <v>23</v>
      </c>
      <c r="K5835">
        <v>20190412</v>
      </c>
      <c r="L5835" t="str">
        <f t="shared" si="1271"/>
        <v>076501</v>
      </c>
      <c r="M5835" t="str">
        <f t="shared" si="1272"/>
        <v>58210</v>
      </c>
      <c r="N5835" t="s">
        <v>1905</v>
      </c>
      <c r="O5835">
        <v>12</v>
      </c>
      <c r="P5835">
        <v>20190411</v>
      </c>
      <c r="Q5835" t="s">
        <v>2039</v>
      </c>
      <c r="R5835" t="s">
        <v>3156</v>
      </c>
      <c r="S5835" t="s">
        <v>1615</v>
      </c>
      <c r="T5835" t="s">
        <v>2041</v>
      </c>
    </row>
    <row r="5836" spans="1:20" x14ac:dyDescent="0.25">
      <c r="A5836">
        <v>9</v>
      </c>
      <c r="B5836">
        <v>199</v>
      </c>
      <c r="C5836" t="str">
        <f>"21"</f>
        <v>21</v>
      </c>
      <c r="D5836">
        <v>6399</v>
      </c>
      <c r="E5836" t="str">
        <f t="shared" si="1267"/>
        <v>00</v>
      </c>
      <c r="F5836" t="str">
        <f>"875"</f>
        <v>875</v>
      </c>
      <c r="G5836">
        <v>9</v>
      </c>
      <c r="H5836" t="str">
        <f t="shared" si="1269"/>
        <v>23</v>
      </c>
      <c r="I5836" t="str">
        <f t="shared" si="1266"/>
        <v>0</v>
      </c>
      <c r="J5836" t="str">
        <f t="shared" si="1270"/>
        <v>23</v>
      </c>
      <c r="K5836">
        <v>20190412</v>
      </c>
      <c r="L5836" t="str">
        <f t="shared" si="1271"/>
        <v>076501</v>
      </c>
      <c r="M5836" t="str">
        <f t="shared" si="1272"/>
        <v>58210</v>
      </c>
      <c r="N5836" t="s">
        <v>1905</v>
      </c>
      <c r="O5836">
        <v>27.9</v>
      </c>
      <c r="P5836">
        <v>20190411</v>
      </c>
      <c r="Q5836" t="s">
        <v>2039</v>
      </c>
      <c r="R5836" t="s">
        <v>4669</v>
      </c>
      <c r="S5836" t="s">
        <v>1615</v>
      </c>
      <c r="T5836" t="s">
        <v>2041</v>
      </c>
    </row>
    <row r="5837" spans="1:20" x14ac:dyDescent="0.25">
      <c r="A5837">
        <v>9</v>
      </c>
      <c r="B5837">
        <v>199</v>
      </c>
      <c r="C5837" t="str">
        <f>"21"</f>
        <v>21</v>
      </c>
      <c r="D5837">
        <v>6399</v>
      </c>
      <c r="E5837" t="str">
        <f t="shared" si="1267"/>
        <v>00</v>
      </c>
      <c r="F5837" t="str">
        <f>"875"</f>
        <v>875</v>
      </c>
      <c r="G5837">
        <v>9</v>
      </c>
      <c r="H5837" t="str">
        <f t="shared" si="1269"/>
        <v>23</v>
      </c>
      <c r="I5837" t="str">
        <f t="shared" si="1266"/>
        <v>0</v>
      </c>
      <c r="J5837" t="str">
        <f t="shared" si="1270"/>
        <v>23</v>
      </c>
      <c r="K5837">
        <v>20190412</v>
      </c>
      <c r="L5837" t="str">
        <f t="shared" si="1271"/>
        <v>076501</v>
      </c>
      <c r="M5837" t="str">
        <f t="shared" si="1272"/>
        <v>58210</v>
      </c>
      <c r="N5837" t="s">
        <v>1905</v>
      </c>
      <c r="O5837">
        <v>42.06</v>
      </c>
      <c r="P5837">
        <v>20190411</v>
      </c>
      <c r="Q5837" t="s">
        <v>2039</v>
      </c>
      <c r="R5837" t="s">
        <v>4670</v>
      </c>
      <c r="S5837" t="s">
        <v>1615</v>
      </c>
      <c r="T5837" t="s">
        <v>2041</v>
      </c>
    </row>
    <row r="5838" spans="1:20" x14ac:dyDescent="0.25">
      <c r="A5838">
        <v>9</v>
      </c>
      <c r="B5838">
        <v>199</v>
      </c>
      <c r="C5838" t="str">
        <f>"36"</f>
        <v>36</v>
      </c>
      <c r="D5838">
        <v>6412</v>
      </c>
      <c r="E5838" t="str">
        <f>"7K"</f>
        <v>7K</v>
      </c>
      <c r="F5838" t="str">
        <f>"001"</f>
        <v>001</v>
      </c>
      <c r="G5838">
        <v>9</v>
      </c>
      <c r="H5838" t="str">
        <f>"99"</f>
        <v>99</v>
      </c>
      <c r="I5838" t="str">
        <f>"5"</f>
        <v>5</v>
      </c>
      <c r="J5838" t="str">
        <f>"74"</f>
        <v>74</v>
      </c>
      <c r="K5838">
        <v>20190412</v>
      </c>
      <c r="L5838" t="str">
        <f>"076503"</f>
        <v>076503</v>
      </c>
      <c r="M5838" t="str">
        <f>"59097"</f>
        <v>59097</v>
      </c>
      <c r="N5838" t="s">
        <v>2294</v>
      </c>
      <c r="O5838">
        <v>192</v>
      </c>
      <c r="P5838">
        <v>20190411</v>
      </c>
      <c r="Q5838" t="s">
        <v>4671</v>
      </c>
      <c r="R5838" t="s">
        <v>4672</v>
      </c>
      <c r="S5838" t="s">
        <v>1615</v>
      </c>
      <c r="T5838" t="s">
        <v>301</v>
      </c>
    </row>
    <row r="5839" spans="1:20" x14ac:dyDescent="0.25">
      <c r="A5839">
        <v>9</v>
      </c>
      <c r="B5839">
        <v>199</v>
      </c>
      <c r="C5839" t="str">
        <f>"11"</f>
        <v>11</v>
      </c>
      <c r="D5839">
        <v>6396</v>
      </c>
      <c r="E5839" t="str">
        <f>"05"</f>
        <v>05</v>
      </c>
      <c r="F5839" t="str">
        <f>"041"</f>
        <v>041</v>
      </c>
      <c r="G5839">
        <v>9</v>
      </c>
      <c r="H5839" t="str">
        <f>"11"</f>
        <v>11</v>
      </c>
      <c r="I5839" t="str">
        <f>"0"</f>
        <v>0</v>
      </c>
      <c r="J5839" t="str">
        <f>"23"</f>
        <v>23</v>
      </c>
      <c r="K5839">
        <v>20190412</v>
      </c>
      <c r="L5839" t="str">
        <f>"076504"</f>
        <v>076504</v>
      </c>
      <c r="M5839" t="str">
        <f>"60178"</f>
        <v>60178</v>
      </c>
      <c r="N5839" t="s">
        <v>3054</v>
      </c>
      <c r="O5839">
        <v>62.85</v>
      </c>
      <c r="P5839">
        <v>20190411</v>
      </c>
      <c r="Q5839" t="s">
        <v>4673</v>
      </c>
      <c r="R5839" t="s">
        <v>4674</v>
      </c>
      <c r="S5839" t="s">
        <v>1615</v>
      </c>
      <c r="T5839" t="s">
        <v>106</v>
      </c>
    </row>
    <row r="5840" spans="1:20" x14ac:dyDescent="0.25">
      <c r="A5840">
        <v>9</v>
      </c>
      <c r="B5840">
        <v>199</v>
      </c>
      <c r="C5840" t="str">
        <f>"51"</f>
        <v>51</v>
      </c>
      <c r="D5840">
        <v>6248</v>
      </c>
      <c r="E5840" t="str">
        <f>"M3"</f>
        <v>M3</v>
      </c>
      <c r="F5840" t="str">
        <f>"936"</f>
        <v>936</v>
      </c>
      <c r="G5840">
        <v>9</v>
      </c>
      <c r="H5840" t="str">
        <f>"99"</f>
        <v>99</v>
      </c>
      <c r="I5840" t="str">
        <f>"0"</f>
        <v>0</v>
      </c>
      <c r="J5840" t="str">
        <f>"81"</f>
        <v>81</v>
      </c>
      <c r="K5840">
        <v>20190412</v>
      </c>
      <c r="L5840" t="str">
        <f>"076505"</f>
        <v>076505</v>
      </c>
      <c r="M5840" t="str">
        <f>"60190"</f>
        <v>60190</v>
      </c>
      <c r="N5840" t="s">
        <v>4277</v>
      </c>
      <c r="O5840" s="1">
        <v>1190.52</v>
      </c>
      <c r="P5840">
        <v>20190411</v>
      </c>
      <c r="Q5840" t="s">
        <v>4278</v>
      </c>
      <c r="R5840" t="s">
        <v>4280</v>
      </c>
      <c r="S5840" t="s">
        <v>1615</v>
      </c>
      <c r="T5840" t="s">
        <v>1713</v>
      </c>
    </row>
    <row r="5841" spans="1:20" x14ac:dyDescent="0.25">
      <c r="A5841">
        <v>9</v>
      </c>
      <c r="B5841">
        <v>199</v>
      </c>
      <c r="C5841" t="str">
        <f>"51"</f>
        <v>51</v>
      </c>
      <c r="D5841">
        <v>6248</v>
      </c>
      <c r="E5841" t="str">
        <f>"M3"</f>
        <v>M3</v>
      </c>
      <c r="F5841" t="str">
        <f>"936"</f>
        <v>936</v>
      </c>
      <c r="G5841">
        <v>9</v>
      </c>
      <c r="H5841" t="str">
        <f>"99"</f>
        <v>99</v>
      </c>
      <c r="I5841" t="str">
        <f>"0"</f>
        <v>0</v>
      </c>
      <c r="J5841" t="str">
        <f>"81"</f>
        <v>81</v>
      </c>
      <c r="K5841">
        <v>20190412</v>
      </c>
      <c r="L5841" t="str">
        <f>"076505"</f>
        <v>076505</v>
      </c>
      <c r="M5841" t="str">
        <f>"60190"</f>
        <v>60190</v>
      </c>
      <c r="N5841" t="s">
        <v>4277</v>
      </c>
      <c r="O5841">
        <v>531.62</v>
      </c>
      <c r="P5841">
        <v>20190411</v>
      </c>
      <c r="Q5841" t="s">
        <v>4278</v>
      </c>
      <c r="R5841" t="s">
        <v>4281</v>
      </c>
      <c r="S5841" t="s">
        <v>1615</v>
      </c>
      <c r="T5841" t="s">
        <v>1713</v>
      </c>
    </row>
    <row r="5842" spans="1:20" x14ac:dyDescent="0.25">
      <c r="A5842">
        <v>9</v>
      </c>
      <c r="B5842">
        <v>199</v>
      </c>
      <c r="C5842" t="str">
        <f>"51"</f>
        <v>51</v>
      </c>
      <c r="D5842">
        <v>6248</v>
      </c>
      <c r="E5842" t="str">
        <f>"M3"</f>
        <v>M3</v>
      </c>
      <c r="F5842" t="str">
        <f>"936"</f>
        <v>936</v>
      </c>
      <c r="G5842">
        <v>9</v>
      </c>
      <c r="H5842" t="str">
        <f>"99"</f>
        <v>99</v>
      </c>
      <c r="I5842" t="str">
        <f>"0"</f>
        <v>0</v>
      </c>
      <c r="J5842" t="str">
        <f>"81"</f>
        <v>81</v>
      </c>
      <c r="K5842">
        <v>20190412</v>
      </c>
      <c r="L5842" t="str">
        <f>"076505"</f>
        <v>076505</v>
      </c>
      <c r="M5842" t="str">
        <f>"60190"</f>
        <v>60190</v>
      </c>
      <c r="N5842" t="s">
        <v>4277</v>
      </c>
      <c r="O5842" s="1">
        <v>1356.03</v>
      </c>
      <c r="P5842">
        <v>20190411</v>
      </c>
      <c r="Q5842" t="s">
        <v>4278</v>
      </c>
      <c r="R5842" t="s">
        <v>4283</v>
      </c>
      <c r="S5842" t="s">
        <v>1615</v>
      </c>
      <c r="T5842" t="s">
        <v>1713</v>
      </c>
    </row>
    <row r="5843" spans="1:20" x14ac:dyDescent="0.25">
      <c r="A5843">
        <v>9</v>
      </c>
      <c r="B5843">
        <v>199</v>
      </c>
      <c r="C5843" t="str">
        <f>"41"</f>
        <v>41</v>
      </c>
      <c r="D5843">
        <v>6411</v>
      </c>
      <c r="E5843" t="str">
        <f>"10"</f>
        <v>10</v>
      </c>
      <c r="F5843" t="str">
        <f>"730"</f>
        <v>730</v>
      </c>
      <c r="G5843">
        <v>9</v>
      </c>
      <c r="H5843" t="str">
        <f>"99"</f>
        <v>99</v>
      </c>
      <c r="I5843" t="str">
        <f>"1"</f>
        <v>1</v>
      </c>
      <c r="J5843" t="str">
        <f>"95"</f>
        <v>95</v>
      </c>
      <c r="K5843">
        <v>20190412</v>
      </c>
      <c r="L5843" t="str">
        <f>"076507"</f>
        <v>076507</v>
      </c>
      <c r="M5843" t="str">
        <f>"63697"</f>
        <v>63697</v>
      </c>
      <c r="N5843" t="s">
        <v>4675</v>
      </c>
      <c r="O5843">
        <v>46.03</v>
      </c>
      <c r="P5843">
        <v>20190411</v>
      </c>
      <c r="Q5843" t="s">
        <v>4606</v>
      </c>
      <c r="R5843" t="s">
        <v>4265</v>
      </c>
      <c r="S5843" t="s">
        <v>1615</v>
      </c>
      <c r="T5843" t="s">
        <v>1794</v>
      </c>
    </row>
    <row r="5844" spans="1:20" x14ac:dyDescent="0.25">
      <c r="A5844">
        <v>9</v>
      </c>
      <c r="B5844">
        <v>199</v>
      </c>
      <c r="C5844" t="str">
        <f>"13"</f>
        <v>13</v>
      </c>
      <c r="D5844">
        <v>6411</v>
      </c>
      <c r="E5844" t="str">
        <f>"NL"</f>
        <v>NL</v>
      </c>
      <c r="F5844" t="str">
        <f>"001"</f>
        <v>001</v>
      </c>
      <c r="G5844">
        <v>9</v>
      </c>
      <c r="H5844" t="str">
        <f>"22"</f>
        <v>22</v>
      </c>
      <c r="I5844" t="str">
        <f t="shared" ref="I5844:I5860" si="1273">"0"</f>
        <v>0</v>
      </c>
      <c r="J5844" t="str">
        <f>"22"</f>
        <v>22</v>
      </c>
      <c r="K5844">
        <v>20190412</v>
      </c>
      <c r="L5844" t="str">
        <f>"076510"</f>
        <v>076510</v>
      </c>
      <c r="M5844" t="str">
        <f>"49900"</f>
        <v>49900</v>
      </c>
      <c r="N5844" t="s">
        <v>3667</v>
      </c>
      <c r="O5844">
        <v>678.73</v>
      </c>
      <c r="P5844">
        <v>20190411</v>
      </c>
      <c r="Q5844" t="s">
        <v>4676</v>
      </c>
      <c r="R5844" t="s">
        <v>4677</v>
      </c>
      <c r="S5844" t="s">
        <v>1615</v>
      </c>
      <c r="T5844" t="s">
        <v>301</v>
      </c>
    </row>
    <row r="5845" spans="1:20" x14ac:dyDescent="0.25">
      <c r="A5845">
        <v>9</v>
      </c>
      <c r="B5845">
        <v>199</v>
      </c>
      <c r="C5845" t="str">
        <f>"11"</f>
        <v>11</v>
      </c>
      <c r="D5845">
        <v>6399</v>
      </c>
      <c r="E5845" t="str">
        <f>"74"</f>
        <v>74</v>
      </c>
      <c r="F5845" t="str">
        <f>"041"</f>
        <v>041</v>
      </c>
      <c r="G5845">
        <v>9</v>
      </c>
      <c r="H5845" t="str">
        <f>"11"</f>
        <v>11</v>
      </c>
      <c r="I5845" t="str">
        <f t="shared" si="1273"/>
        <v>0</v>
      </c>
      <c r="J5845" t="str">
        <f>"03"</f>
        <v>03</v>
      </c>
      <c r="K5845">
        <v>20190412</v>
      </c>
      <c r="L5845" t="str">
        <f>"076511"</f>
        <v>076511</v>
      </c>
      <c r="M5845" t="str">
        <f>"65826"</f>
        <v>65826</v>
      </c>
      <c r="N5845" t="s">
        <v>2787</v>
      </c>
      <c r="O5845">
        <v>566.24</v>
      </c>
      <c r="P5845">
        <v>20190411</v>
      </c>
      <c r="Q5845" t="s">
        <v>2302</v>
      </c>
      <c r="R5845" t="s">
        <v>3456</v>
      </c>
      <c r="S5845" t="s">
        <v>1615</v>
      </c>
      <c r="T5845" t="s">
        <v>106</v>
      </c>
    </row>
    <row r="5846" spans="1:20" x14ac:dyDescent="0.25">
      <c r="A5846">
        <v>9</v>
      </c>
      <c r="B5846">
        <v>199</v>
      </c>
      <c r="C5846" t="str">
        <f>"11"</f>
        <v>11</v>
      </c>
      <c r="D5846">
        <v>6399</v>
      </c>
      <c r="E5846" t="str">
        <f>"V8"</f>
        <v>V8</v>
      </c>
      <c r="F5846" t="str">
        <f>"001"</f>
        <v>001</v>
      </c>
      <c r="G5846">
        <v>9</v>
      </c>
      <c r="H5846" t="str">
        <f>"22"</f>
        <v>22</v>
      </c>
      <c r="I5846" t="str">
        <f t="shared" si="1273"/>
        <v>0</v>
      </c>
      <c r="J5846" t="str">
        <f>"22"</f>
        <v>22</v>
      </c>
      <c r="K5846">
        <v>20190412</v>
      </c>
      <c r="L5846" t="str">
        <f>"076514"</f>
        <v>076514</v>
      </c>
      <c r="M5846" t="str">
        <f>"71250"</f>
        <v>71250</v>
      </c>
      <c r="N5846" t="s">
        <v>1389</v>
      </c>
      <c r="O5846">
        <v>551.11</v>
      </c>
      <c r="P5846">
        <v>20190411</v>
      </c>
      <c r="Q5846" t="s">
        <v>2001</v>
      </c>
      <c r="R5846" t="s">
        <v>4678</v>
      </c>
      <c r="S5846" t="s">
        <v>1615</v>
      </c>
      <c r="T5846" t="s">
        <v>301</v>
      </c>
    </row>
    <row r="5847" spans="1:20" x14ac:dyDescent="0.25">
      <c r="A5847">
        <v>9</v>
      </c>
      <c r="B5847">
        <v>199</v>
      </c>
      <c r="C5847" t="str">
        <f>"11"</f>
        <v>11</v>
      </c>
      <c r="D5847">
        <v>6399</v>
      </c>
      <c r="E5847" t="str">
        <f>"V8"</f>
        <v>V8</v>
      </c>
      <c r="F5847" t="str">
        <f>"001"</f>
        <v>001</v>
      </c>
      <c r="G5847">
        <v>9</v>
      </c>
      <c r="H5847" t="str">
        <f>"22"</f>
        <v>22</v>
      </c>
      <c r="I5847" t="str">
        <f t="shared" si="1273"/>
        <v>0</v>
      </c>
      <c r="J5847" t="str">
        <f>"22"</f>
        <v>22</v>
      </c>
      <c r="K5847">
        <v>20190412</v>
      </c>
      <c r="L5847" t="str">
        <f>"076514"</f>
        <v>076514</v>
      </c>
      <c r="M5847" t="str">
        <f>"71250"</f>
        <v>71250</v>
      </c>
      <c r="N5847" t="s">
        <v>1389</v>
      </c>
      <c r="O5847">
        <v>118.32</v>
      </c>
      <c r="P5847">
        <v>20190411</v>
      </c>
      <c r="Q5847" t="s">
        <v>2001</v>
      </c>
      <c r="R5847" t="s">
        <v>4679</v>
      </c>
      <c r="S5847" t="s">
        <v>1615</v>
      </c>
      <c r="T5847" t="s">
        <v>301</v>
      </c>
    </row>
    <row r="5848" spans="1:20" x14ac:dyDescent="0.25">
      <c r="A5848">
        <v>9</v>
      </c>
      <c r="B5848">
        <v>199</v>
      </c>
      <c r="C5848" t="str">
        <f>"11"</f>
        <v>11</v>
      </c>
      <c r="D5848">
        <v>6399</v>
      </c>
      <c r="E5848" t="str">
        <f>"10"</f>
        <v>10</v>
      </c>
      <c r="F5848" t="str">
        <f>"041"</f>
        <v>041</v>
      </c>
      <c r="G5848">
        <v>9</v>
      </c>
      <c r="H5848" t="str">
        <f>"11"</f>
        <v>11</v>
      </c>
      <c r="I5848" t="str">
        <f t="shared" si="1273"/>
        <v>0</v>
      </c>
      <c r="J5848" t="str">
        <f>"03"</f>
        <v>03</v>
      </c>
      <c r="K5848">
        <v>20190412</v>
      </c>
      <c r="L5848" t="str">
        <f>"076520"</f>
        <v>076520</v>
      </c>
      <c r="M5848" t="str">
        <f>"75735"</f>
        <v>75735</v>
      </c>
      <c r="N5848" t="s">
        <v>2412</v>
      </c>
      <c r="O5848">
        <v>311.11</v>
      </c>
      <c r="P5848">
        <v>20190412</v>
      </c>
      <c r="Q5848" t="s">
        <v>2956</v>
      </c>
      <c r="R5848" t="s">
        <v>4680</v>
      </c>
      <c r="S5848" t="s">
        <v>1615</v>
      </c>
      <c r="T5848" t="s">
        <v>106</v>
      </c>
    </row>
    <row r="5849" spans="1:20" x14ac:dyDescent="0.25">
      <c r="A5849">
        <v>9</v>
      </c>
      <c r="B5849">
        <v>199</v>
      </c>
      <c r="C5849" t="str">
        <f>"11"</f>
        <v>11</v>
      </c>
      <c r="D5849">
        <v>6399</v>
      </c>
      <c r="E5849" t="str">
        <f>"8P"</f>
        <v>8P</v>
      </c>
      <c r="F5849" t="str">
        <f>"001"</f>
        <v>001</v>
      </c>
      <c r="G5849">
        <v>9</v>
      </c>
      <c r="H5849" t="str">
        <f>"11"</f>
        <v>11</v>
      </c>
      <c r="I5849" t="str">
        <f t="shared" si="1273"/>
        <v>0</v>
      </c>
      <c r="J5849" t="str">
        <f>"01"</f>
        <v>01</v>
      </c>
      <c r="K5849">
        <v>20190412</v>
      </c>
      <c r="L5849" t="str">
        <f>"076520"</f>
        <v>076520</v>
      </c>
      <c r="M5849" t="str">
        <f>"75735"</f>
        <v>75735</v>
      </c>
      <c r="N5849" t="s">
        <v>2412</v>
      </c>
      <c r="O5849">
        <v>29.95</v>
      </c>
      <c r="P5849">
        <v>20190412</v>
      </c>
      <c r="Q5849" t="s">
        <v>2319</v>
      </c>
      <c r="R5849" t="s">
        <v>4681</v>
      </c>
      <c r="S5849" t="s">
        <v>1615</v>
      </c>
      <c r="T5849" t="s">
        <v>301</v>
      </c>
    </row>
    <row r="5850" spans="1:20" x14ac:dyDescent="0.25">
      <c r="A5850">
        <v>9</v>
      </c>
      <c r="B5850">
        <v>199</v>
      </c>
      <c r="C5850" t="str">
        <f>"51"</f>
        <v>51</v>
      </c>
      <c r="D5850">
        <v>6249</v>
      </c>
      <c r="E5850" t="str">
        <f>"M4"</f>
        <v>M4</v>
      </c>
      <c r="F5850" t="str">
        <f>"877"</f>
        <v>877</v>
      </c>
      <c r="G5850">
        <v>9</v>
      </c>
      <c r="H5850" t="str">
        <f>"99"</f>
        <v>99</v>
      </c>
      <c r="I5850" t="str">
        <f t="shared" si="1273"/>
        <v>0</v>
      </c>
      <c r="J5850" t="str">
        <f>"81"</f>
        <v>81</v>
      </c>
      <c r="K5850">
        <v>20190412</v>
      </c>
      <c r="L5850" t="str">
        <f>"076521"</f>
        <v>076521</v>
      </c>
      <c r="M5850" t="str">
        <f>"78726"</f>
        <v>78726</v>
      </c>
      <c r="N5850" t="s">
        <v>917</v>
      </c>
      <c r="O5850" s="1">
        <v>2347</v>
      </c>
      <c r="P5850">
        <v>20190412</v>
      </c>
      <c r="Q5850" t="s">
        <v>3071</v>
      </c>
      <c r="R5850" t="s">
        <v>4682</v>
      </c>
      <c r="S5850" t="s">
        <v>1615</v>
      </c>
      <c r="T5850" t="s">
        <v>2024</v>
      </c>
    </row>
    <row r="5851" spans="1:20" x14ac:dyDescent="0.25">
      <c r="A5851">
        <v>9</v>
      </c>
      <c r="B5851">
        <v>199</v>
      </c>
      <c r="C5851" t="str">
        <f>"11"</f>
        <v>11</v>
      </c>
      <c r="D5851">
        <v>6339</v>
      </c>
      <c r="E5851" t="str">
        <f>"10"</f>
        <v>10</v>
      </c>
      <c r="F5851" t="str">
        <f>"041"</f>
        <v>041</v>
      </c>
      <c r="G5851">
        <v>9</v>
      </c>
      <c r="H5851" t="str">
        <f>"11"</f>
        <v>11</v>
      </c>
      <c r="I5851" t="str">
        <f t="shared" si="1273"/>
        <v>0</v>
      </c>
      <c r="J5851" t="str">
        <f>"03"</f>
        <v>03</v>
      </c>
      <c r="K5851">
        <v>20190412</v>
      </c>
      <c r="L5851" t="str">
        <f>"076523"</f>
        <v>076523</v>
      </c>
      <c r="M5851" t="str">
        <f>"79661"</f>
        <v>79661</v>
      </c>
      <c r="N5851" t="s">
        <v>2913</v>
      </c>
      <c r="O5851">
        <v>50</v>
      </c>
      <c r="P5851">
        <v>20190412</v>
      </c>
      <c r="Q5851" t="s">
        <v>4683</v>
      </c>
      <c r="R5851" t="s">
        <v>4684</v>
      </c>
      <c r="S5851" t="s">
        <v>1615</v>
      </c>
      <c r="T5851" t="s">
        <v>106</v>
      </c>
    </row>
    <row r="5852" spans="1:20" x14ac:dyDescent="0.25">
      <c r="A5852">
        <v>9</v>
      </c>
      <c r="B5852">
        <v>199</v>
      </c>
      <c r="C5852" t="str">
        <f>"13"</f>
        <v>13</v>
      </c>
      <c r="D5852">
        <v>6411</v>
      </c>
      <c r="E5852" t="str">
        <f>"11"</f>
        <v>11</v>
      </c>
      <c r="F5852" t="str">
        <f>"104"</f>
        <v>104</v>
      </c>
      <c r="G5852">
        <v>9</v>
      </c>
      <c r="H5852" t="str">
        <f>"11"</f>
        <v>11</v>
      </c>
      <c r="I5852" t="str">
        <f t="shared" si="1273"/>
        <v>0</v>
      </c>
      <c r="J5852" t="str">
        <f>"05"</f>
        <v>05</v>
      </c>
      <c r="K5852">
        <v>20190412</v>
      </c>
      <c r="L5852" t="str">
        <f>"076525"</f>
        <v>076525</v>
      </c>
      <c r="M5852" t="str">
        <f>"80525"</f>
        <v>80525</v>
      </c>
      <c r="N5852" t="s">
        <v>4685</v>
      </c>
      <c r="O5852">
        <v>78.099999999999994</v>
      </c>
      <c r="P5852">
        <v>20190412</v>
      </c>
      <c r="Q5852" t="s">
        <v>4686</v>
      </c>
      <c r="R5852" t="s">
        <v>4687</v>
      </c>
      <c r="S5852" t="s">
        <v>1615</v>
      </c>
      <c r="T5852" t="s">
        <v>46</v>
      </c>
    </row>
    <row r="5853" spans="1:20" x14ac:dyDescent="0.25">
      <c r="A5853">
        <v>9</v>
      </c>
      <c r="B5853">
        <v>199</v>
      </c>
      <c r="C5853" t="str">
        <f>"36"</f>
        <v>36</v>
      </c>
      <c r="D5853">
        <v>6411</v>
      </c>
      <c r="E5853" t="str">
        <f>"7C"</f>
        <v>7C</v>
      </c>
      <c r="F5853" t="str">
        <f>"001"</f>
        <v>001</v>
      </c>
      <c r="G5853">
        <v>9</v>
      </c>
      <c r="H5853" t="str">
        <f>"99"</f>
        <v>99</v>
      </c>
      <c r="I5853" t="str">
        <f t="shared" si="1273"/>
        <v>0</v>
      </c>
      <c r="J5853" t="str">
        <f>"01"</f>
        <v>01</v>
      </c>
      <c r="K5853">
        <v>20190412</v>
      </c>
      <c r="L5853" t="str">
        <f>"076526"</f>
        <v>076526</v>
      </c>
      <c r="M5853" t="str">
        <f>"81719"</f>
        <v>81719</v>
      </c>
      <c r="N5853" t="s">
        <v>4688</v>
      </c>
      <c r="O5853">
        <v>428</v>
      </c>
      <c r="P5853">
        <v>20190412</v>
      </c>
      <c r="Q5853" t="s">
        <v>4689</v>
      </c>
      <c r="R5853" t="s">
        <v>4690</v>
      </c>
      <c r="S5853" t="s">
        <v>1615</v>
      </c>
      <c r="T5853" t="s">
        <v>301</v>
      </c>
    </row>
    <row r="5854" spans="1:20" x14ac:dyDescent="0.25">
      <c r="A5854">
        <v>9</v>
      </c>
      <c r="B5854">
        <v>199</v>
      </c>
      <c r="C5854" t="str">
        <f>"36"</f>
        <v>36</v>
      </c>
      <c r="D5854">
        <v>6411</v>
      </c>
      <c r="E5854" t="str">
        <f>"7C"</f>
        <v>7C</v>
      </c>
      <c r="F5854" t="str">
        <f>"041"</f>
        <v>041</v>
      </c>
      <c r="G5854">
        <v>9</v>
      </c>
      <c r="H5854" t="str">
        <f>"91"</f>
        <v>91</v>
      </c>
      <c r="I5854" t="str">
        <f t="shared" si="1273"/>
        <v>0</v>
      </c>
      <c r="J5854" t="str">
        <f>"03"</f>
        <v>03</v>
      </c>
      <c r="K5854">
        <v>20190412</v>
      </c>
      <c r="L5854" t="str">
        <f>"076526"</f>
        <v>076526</v>
      </c>
      <c r="M5854" t="str">
        <f>"81719"</f>
        <v>81719</v>
      </c>
      <c r="N5854" t="s">
        <v>4688</v>
      </c>
      <c r="O5854">
        <v>400</v>
      </c>
      <c r="P5854">
        <v>20190412</v>
      </c>
      <c r="Q5854" t="s">
        <v>4691</v>
      </c>
      <c r="R5854" t="s">
        <v>4690</v>
      </c>
      <c r="S5854" t="s">
        <v>1615</v>
      </c>
      <c r="T5854" t="s">
        <v>106</v>
      </c>
    </row>
    <row r="5855" spans="1:20" x14ac:dyDescent="0.25">
      <c r="A5855">
        <v>9</v>
      </c>
      <c r="B5855">
        <v>199</v>
      </c>
      <c r="C5855" t="str">
        <f>"13"</f>
        <v>13</v>
      </c>
      <c r="D5855">
        <v>6411</v>
      </c>
      <c r="E5855" t="str">
        <f>"PD"</f>
        <v>PD</v>
      </c>
      <c r="F5855" t="str">
        <f>"001"</f>
        <v>001</v>
      </c>
      <c r="G5855">
        <v>9</v>
      </c>
      <c r="H5855" t="str">
        <f>"31"</f>
        <v>31</v>
      </c>
      <c r="I5855" t="str">
        <f t="shared" si="1273"/>
        <v>0</v>
      </c>
      <c r="J5855" t="str">
        <f>"34"</f>
        <v>34</v>
      </c>
      <c r="K5855">
        <v>20190412</v>
      </c>
      <c r="L5855" t="str">
        <f>"076527"</f>
        <v>076527</v>
      </c>
      <c r="M5855" t="str">
        <f>"82166"</f>
        <v>82166</v>
      </c>
      <c r="N5855" t="s">
        <v>1286</v>
      </c>
      <c r="O5855">
        <v>565</v>
      </c>
      <c r="P5855">
        <v>20190412</v>
      </c>
      <c r="Q5855" t="s">
        <v>2220</v>
      </c>
      <c r="R5855" t="s">
        <v>4692</v>
      </c>
      <c r="S5855" t="s">
        <v>1615</v>
      </c>
      <c r="T5855" t="s">
        <v>301</v>
      </c>
    </row>
    <row r="5856" spans="1:20" x14ac:dyDescent="0.25">
      <c r="A5856">
        <v>9</v>
      </c>
      <c r="B5856">
        <v>199</v>
      </c>
      <c r="C5856" t="str">
        <f>"36"</f>
        <v>36</v>
      </c>
      <c r="D5856">
        <v>6399</v>
      </c>
      <c r="E5856" t="str">
        <f>"8T"</f>
        <v>8T</v>
      </c>
      <c r="F5856" t="str">
        <f>"001"</f>
        <v>001</v>
      </c>
      <c r="G5856">
        <v>9</v>
      </c>
      <c r="H5856" t="str">
        <f>"99"</f>
        <v>99</v>
      </c>
      <c r="I5856" t="str">
        <f t="shared" si="1273"/>
        <v>0</v>
      </c>
      <c r="J5856" t="str">
        <f>"01"</f>
        <v>01</v>
      </c>
      <c r="K5856">
        <v>20190412</v>
      </c>
      <c r="L5856" t="str">
        <f>"076529"</f>
        <v>076529</v>
      </c>
      <c r="M5856" t="str">
        <f>"82381"</f>
        <v>82381</v>
      </c>
      <c r="N5856" t="s">
        <v>4578</v>
      </c>
      <c r="O5856">
        <v>228</v>
      </c>
      <c r="P5856">
        <v>20190412</v>
      </c>
      <c r="Q5856" t="s">
        <v>2966</v>
      </c>
      <c r="R5856" t="s">
        <v>4693</v>
      </c>
      <c r="S5856" t="s">
        <v>1615</v>
      </c>
      <c r="T5856" t="s">
        <v>301</v>
      </c>
    </row>
    <row r="5857" spans="1:20" x14ac:dyDescent="0.25">
      <c r="A5857">
        <v>9</v>
      </c>
      <c r="B5857">
        <v>199</v>
      </c>
      <c r="C5857" t="str">
        <f>"36"</f>
        <v>36</v>
      </c>
      <c r="D5857">
        <v>6412</v>
      </c>
      <c r="E5857" t="str">
        <f>"H1"</f>
        <v>H1</v>
      </c>
      <c r="F5857" t="str">
        <f>"041"</f>
        <v>041</v>
      </c>
      <c r="G5857">
        <v>9</v>
      </c>
      <c r="H5857" t="str">
        <f>"99"</f>
        <v>99</v>
      </c>
      <c r="I5857" t="str">
        <f t="shared" si="1273"/>
        <v>0</v>
      </c>
      <c r="J5857" t="str">
        <f>"03"</f>
        <v>03</v>
      </c>
      <c r="K5857">
        <v>20190412</v>
      </c>
      <c r="L5857" t="str">
        <f>"076531"</f>
        <v>076531</v>
      </c>
      <c r="M5857" t="str">
        <f>"00767"</f>
        <v>00767</v>
      </c>
      <c r="N5857" t="s">
        <v>4694</v>
      </c>
      <c r="O5857">
        <v>202.5</v>
      </c>
      <c r="P5857">
        <v>20190412</v>
      </c>
      <c r="Q5857" t="s">
        <v>4632</v>
      </c>
      <c r="R5857" t="s">
        <v>4633</v>
      </c>
      <c r="S5857" t="s">
        <v>1615</v>
      </c>
      <c r="T5857" t="s">
        <v>106</v>
      </c>
    </row>
    <row r="5858" spans="1:20" x14ac:dyDescent="0.25">
      <c r="A5858">
        <v>9</v>
      </c>
      <c r="B5858">
        <v>199</v>
      </c>
      <c r="C5858" t="str">
        <f>"36"</f>
        <v>36</v>
      </c>
      <c r="D5858">
        <v>6412</v>
      </c>
      <c r="E5858" t="str">
        <f>"H1"</f>
        <v>H1</v>
      </c>
      <c r="F5858" t="str">
        <f>"041"</f>
        <v>041</v>
      </c>
      <c r="G5858">
        <v>9</v>
      </c>
      <c r="H5858" t="str">
        <f>"99"</f>
        <v>99</v>
      </c>
      <c r="I5858" t="str">
        <f t="shared" si="1273"/>
        <v>0</v>
      </c>
      <c r="J5858" t="str">
        <f>"03"</f>
        <v>03</v>
      </c>
      <c r="K5858">
        <v>20190412</v>
      </c>
      <c r="L5858" t="str">
        <f>"076531"</f>
        <v>076531</v>
      </c>
      <c r="M5858" t="str">
        <f>"00767"</f>
        <v>00767</v>
      </c>
      <c r="N5858" t="s">
        <v>4694</v>
      </c>
      <c r="O5858">
        <v>112.5</v>
      </c>
      <c r="P5858">
        <v>20190412</v>
      </c>
      <c r="Q5858" t="s">
        <v>4632</v>
      </c>
      <c r="R5858" t="s">
        <v>4633</v>
      </c>
      <c r="S5858" t="s">
        <v>1615</v>
      </c>
      <c r="T5858" t="s">
        <v>106</v>
      </c>
    </row>
    <row r="5859" spans="1:20" x14ac:dyDescent="0.25">
      <c r="A5859">
        <v>9</v>
      </c>
      <c r="B5859">
        <v>199</v>
      </c>
      <c r="C5859" t="str">
        <f>"11"</f>
        <v>11</v>
      </c>
      <c r="D5859">
        <v>6396</v>
      </c>
      <c r="E5859" t="str">
        <f>"50"</f>
        <v>50</v>
      </c>
      <c r="F5859" t="str">
        <f t="shared" ref="F5859:F5871" si="1274">"001"</f>
        <v>001</v>
      </c>
      <c r="G5859">
        <v>9</v>
      </c>
      <c r="H5859" t="str">
        <f>"11"</f>
        <v>11</v>
      </c>
      <c r="I5859" t="str">
        <f t="shared" si="1273"/>
        <v>0</v>
      </c>
      <c r="J5859" t="str">
        <f>"80"</f>
        <v>80</v>
      </c>
      <c r="K5859">
        <v>20190419</v>
      </c>
      <c r="L5859" t="str">
        <f t="shared" ref="L5859:L5874" si="1275">"076534"</f>
        <v>076534</v>
      </c>
      <c r="M5859" t="str">
        <f t="shared" ref="M5859:M5874" si="1276">"09170"</f>
        <v>09170</v>
      </c>
      <c r="N5859" t="s">
        <v>679</v>
      </c>
      <c r="O5859">
        <v>299</v>
      </c>
      <c r="P5859">
        <v>20190418</v>
      </c>
      <c r="Q5859" t="s">
        <v>2281</v>
      </c>
      <c r="R5859" t="s">
        <v>4695</v>
      </c>
      <c r="S5859" t="s">
        <v>1615</v>
      </c>
      <c r="T5859" t="s">
        <v>301</v>
      </c>
    </row>
    <row r="5860" spans="1:20" x14ac:dyDescent="0.25">
      <c r="A5860">
        <v>9</v>
      </c>
      <c r="B5860">
        <v>199</v>
      </c>
      <c r="C5860" t="str">
        <f>"11"</f>
        <v>11</v>
      </c>
      <c r="D5860">
        <v>6396</v>
      </c>
      <c r="E5860" t="str">
        <f>"50"</f>
        <v>50</v>
      </c>
      <c r="F5860" t="str">
        <f t="shared" si="1274"/>
        <v>001</v>
      </c>
      <c r="G5860">
        <v>9</v>
      </c>
      <c r="H5860" t="str">
        <f>"11"</f>
        <v>11</v>
      </c>
      <c r="I5860" t="str">
        <f t="shared" si="1273"/>
        <v>0</v>
      </c>
      <c r="J5860" t="str">
        <f>"80"</f>
        <v>80</v>
      </c>
      <c r="K5860">
        <v>20190419</v>
      </c>
      <c r="L5860" t="str">
        <f t="shared" si="1275"/>
        <v>076534</v>
      </c>
      <c r="M5860" t="str">
        <f t="shared" si="1276"/>
        <v>09170</v>
      </c>
      <c r="N5860" t="s">
        <v>679</v>
      </c>
      <c r="O5860">
        <v>8.9700000000000006</v>
      </c>
      <c r="P5860">
        <v>20190418</v>
      </c>
      <c r="Q5860" t="s">
        <v>2281</v>
      </c>
      <c r="R5860" t="s">
        <v>4696</v>
      </c>
      <c r="S5860" t="s">
        <v>1615</v>
      </c>
      <c r="T5860" t="s">
        <v>301</v>
      </c>
    </row>
    <row r="5861" spans="1:20" x14ac:dyDescent="0.25">
      <c r="A5861">
        <v>9</v>
      </c>
      <c r="B5861">
        <v>199</v>
      </c>
      <c r="C5861" t="str">
        <f>"11"</f>
        <v>11</v>
      </c>
      <c r="D5861">
        <v>6411</v>
      </c>
      <c r="E5861" t="str">
        <f>"VA"</f>
        <v>VA</v>
      </c>
      <c r="F5861" t="str">
        <f t="shared" si="1274"/>
        <v>001</v>
      </c>
      <c r="G5861">
        <v>9</v>
      </c>
      <c r="H5861" t="str">
        <f>"22"</f>
        <v>22</v>
      </c>
      <c r="I5861" t="str">
        <f>"1"</f>
        <v>1</v>
      </c>
      <c r="J5861" t="str">
        <f>"22"</f>
        <v>22</v>
      </c>
      <c r="K5861">
        <v>20190419</v>
      </c>
      <c r="L5861" t="str">
        <f t="shared" si="1275"/>
        <v>076534</v>
      </c>
      <c r="M5861" t="str">
        <f t="shared" si="1276"/>
        <v>09170</v>
      </c>
      <c r="N5861" t="s">
        <v>679</v>
      </c>
      <c r="O5861">
        <v>15.43</v>
      </c>
      <c r="P5861">
        <v>20190418</v>
      </c>
      <c r="Q5861" t="s">
        <v>4697</v>
      </c>
      <c r="R5861" t="s">
        <v>4698</v>
      </c>
      <c r="S5861" t="s">
        <v>1615</v>
      </c>
      <c r="T5861" t="s">
        <v>301</v>
      </c>
    </row>
    <row r="5862" spans="1:20" x14ac:dyDescent="0.25">
      <c r="A5862">
        <v>9</v>
      </c>
      <c r="B5862">
        <v>199</v>
      </c>
      <c r="C5862" t="str">
        <f>"11"</f>
        <v>11</v>
      </c>
      <c r="D5862">
        <v>6412</v>
      </c>
      <c r="E5862" t="str">
        <f>"V8"</f>
        <v>V8</v>
      </c>
      <c r="F5862" t="str">
        <f t="shared" si="1274"/>
        <v>001</v>
      </c>
      <c r="G5862">
        <v>9</v>
      </c>
      <c r="H5862" t="str">
        <f>"22"</f>
        <v>22</v>
      </c>
      <c r="I5862" t="str">
        <f>"0"</f>
        <v>0</v>
      </c>
      <c r="J5862" t="str">
        <f>"22"</f>
        <v>22</v>
      </c>
      <c r="K5862">
        <v>20190419</v>
      </c>
      <c r="L5862" t="str">
        <f t="shared" si="1275"/>
        <v>076534</v>
      </c>
      <c r="M5862" t="str">
        <f t="shared" si="1276"/>
        <v>09170</v>
      </c>
      <c r="N5862" t="s">
        <v>679</v>
      </c>
      <c r="O5862">
        <v>533.4</v>
      </c>
      <c r="P5862">
        <v>20190418</v>
      </c>
      <c r="Q5862" t="s">
        <v>1884</v>
      </c>
      <c r="R5862" t="s">
        <v>4339</v>
      </c>
      <c r="S5862" t="s">
        <v>1615</v>
      </c>
      <c r="T5862" t="s">
        <v>301</v>
      </c>
    </row>
    <row r="5863" spans="1:20" x14ac:dyDescent="0.25">
      <c r="A5863">
        <v>9</v>
      </c>
      <c r="B5863">
        <v>199</v>
      </c>
      <c r="C5863" t="str">
        <f>"11"</f>
        <v>11</v>
      </c>
      <c r="D5863">
        <v>6412</v>
      </c>
      <c r="E5863" t="str">
        <f>"VA"</f>
        <v>VA</v>
      </c>
      <c r="F5863" t="str">
        <f t="shared" si="1274"/>
        <v>001</v>
      </c>
      <c r="G5863">
        <v>9</v>
      </c>
      <c r="H5863" t="str">
        <f>"22"</f>
        <v>22</v>
      </c>
      <c r="I5863" t="str">
        <f>"1"</f>
        <v>1</v>
      </c>
      <c r="J5863" t="str">
        <f>"22"</f>
        <v>22</v>
      </c>
      <c r="K5863">
        <v>20190419</v>
      </c>
      <c r="L5863" t="str">
        <f t="shared" si="1275"/>
        <v>076534</v>
      </c>
      <c r="M5863" t="str">
        <f t="shared" si="1276"/>
        <v>09170</v>
      </c>
      <c r="N5863" t="s">
        <v>679</v>
      </c>
      <c r="O5863">
        <v>69.86</v>
      </c>
      <c r="P5863">
        <v>20190418</v>
      </c>
      <c r="Q5863" t="s">
        <v>4699</v>
      </c>
      <c r="R5863" t="s">
        <v>4698</v>
      </c>
      <c r="S5863" t="s">
        <v>1615</v>
      </c>
      <c r="T5863" t="s">
        <v>301</v>
      </c>
    </row>
    <row r="5864" spans="1:20" x14ac:dyDescent="0.25">
      <c r="A5864">
        <v>9</v>
      </c>
      <c r="B5864">
        <v>199</v>
      </c>
      <c r="C5864" t="str">
        <f>"13"</f>
        <v>13</v>
      </c>
      <c r="D5864">
        <v>6411</v>
      </c>
      <c r="E5864" t="str">
        <f>"7B"</f>
        <v>7B</v>
      </c>
      <c r="F5864" t="str">
        <f t="shared" si="1274"/>
        <v>001</v>
      </c>
      <c r="G5864">
        <v>9</v>
      </c>
      <c r="H5864" t="str">
        <f>"11"</f>
        <v>11</v>
      </c>
      <c r="I5864" t="str">
        <f>"0"</f>
        <v>0</v>
      </c>
      <c r="J5864" t="str">
        <f>"32"</f>
        <v>32</v>
      </c>
      <c r="K5864">
        <v>20190419</v>
      </c>
      <c r="L5864" t="str">
        <f t="shared" si="1275"/>
        <v>076534</v>
      </c>
      <c r="M5864" t="str">
        <f t="shared" si="1276"/>
        <v>09170</v>
      </c>
      <c r="N5864" t="s">
        <v>679</v>
      </c>
      <c r="O5864">
        <v>-24.6</v>
      </c>
      <c r="P5864">
        <v>20190328</v>
      </c>
      <c r="Q5864" t="s">
        <v>2911</v>
      </c>
      <c r="R5864" t="s">
        <v>4700</v>
      </c>
      <c r="S5864" t="s">
        <v>1615</v>
      </c>
      <c r="T5864" t="s">
        <v>301</v>
      </c>
    </row>
    <row r="5865" spans="1:20" x14ac:dyDescent="0.25">
      <c r="A5865">
        <v>9</v>
      </c>
      <c r="B5865">
        <v>199</v>
      </c>
      <c r="C5865" t="str">
        <f>"13"</f>
        <v>13</v>
      </c>
      <c r="D5865">
        <v>6411</v>
      </c>
      <c r="E5865" t="str">
        <f>"NL"</f>
        <v>NL</v>
      </c>
      <c r="F5865" t="str">
        <f t="shared" si="1274"/>
        <v>001</v>
      </c>
      <c r="G5865">
        <v>9</v>
      </c>
      <c r="H5865" t="str">
        <f>"22"</f>
        <v>22</v>
      </c>
      <c r="I5865" t="str">
        <f>"0"</f>
        <v>0</v>
      </c>
      <c r="J5865" t="str">
        <f>"22"</f>
        <v>22</v>
      </c>
      <c r="K5865">
        <v>20190419</v>
      </c>
      <c r="L5865" t="str">
        <f t="shared" si="1275"/>
        <v>076534</v>
      </c>
      <c r="M5865" t="str">
        <f t="shared" si="1276"/>
        <v>09170</v>
      </c>
      <c r="N5865" t="s">
        <v>679</v>
      </c>
      <c r="O5865">
        <v>300</v>
      </c>
      <c r="P5865">
        <v>20190418</v>
      </c>
      <c r="Q5865" t="s">
        <v>4676</v>
      </c>
      <c r="R5865" t="s">
        <v>4677</v>
      </c>
      <c r="S5865" t="s">
        <v>1615</v>
      </c>
      <c r="T5865" t="s">
        <v>301</v>
      </c>
    </row>
    <row r="5866" spans="1:20" x14ac:dyDescent="0.25">
      <c r="A5866">
        <v>9</v>
      </c>
      <c r="B5866">
        <v>199</v>
      </c>
      <c r="C5866" t="str">
        <f>"23"</f>
        <v>23</v>
      </c>
      <c r="D5866">
        <v>6411</v>
      </c>
      <c r="E5866" t="str">
        <f>"10"</f>
        <v>10</v>
      </c>
      <c r="F5866" t="str">
        <f t="shared" si="1274"/>
        <v>001</v>
      </c>
      <c r="G5866">
        <v>9</v>
      </c>
      <c r="H5866" t="str">
        <f>"99"</f>
        <v>99</v>
      </c>
      <c r="I5866" t="str">
        <f>"1"</f>
        <v>1</v>
      </c>
      <c r="J5866" t="str">
        <f>"01"</f>
        <v>01</v>
      </c>
      <c r="K5866">
        <v>20190419</v>
      </c>
      <c r="L5866" t="str">
        <f t="shared" si="1275"/>
        <v>076534</v>
      </c>
      <c r="M5866" t="str">
        <f t="shared" si="1276"/>
        <v>09170</v>
      </c>
      <c r="N5866" t="s">
        <v>679</v>
      </c>
      <c r="O5866">
        <v>36.75</v>
      </c>
      <c r="P5866">
        <v>20190418</v>
      </c>
      <c r="Q5866" t="s">
        <v>2464</v>
      </c>
      <c r="R5866" t="s">
        <v>2975</v>
      </c>
      <c r="S5866" t="s">
        <v>1615</v>
      </c>
      <c r="T5866" t="s">
        <v>301</v>
      </c>
    </row>
    <row r="5867" spans="1:20" x14ac:dyDescent="0.25">
      <c r="A5867">
        <v>9</v>
      </c>
      <c r="B5867">
        <v>199</v>
      </c>
      <c r="C5867" t="str">
        <f>"36"</f>
        <v>36</v>
      </c>
      <c r="D5867">
        <v>6411</v>
      </c>
      <c r="E5867" t="str">
        <f>"V8"</f>
        <v>V8</v>
      </c>
      <c r="F5867" t="str">
        <f t="shared" si="1274"/>
        <v>001</v>
      </c>
      <c r="G5867">
        <v>9</v>
      </c>
      <c r="H5867" t="str">
        <f>"22"</f>
        <v>22</v>
      </c>
      <c r="I5867" t="str">
        <f>"0"</f>
        <v>0</v>
      </c>
      <c r="J5867" t="str">
        <f>"22"</f>
        <v>22</v>
      </c>
      <c r="K5867">
        <v>20190419</v>
      </c>
      <c r="L5867" t="str">
        <f t="shared" si="1275"/>
        <v>076534</v>
      </c>
      <c r="M5867" t="str">
        <f t="shared" si="1276"/>
        <v>09170</v>
      </c>
      <c r="N5867" t="s">
        <v>679</v>
      </c>
      <c r="O5867">
        <v>355.6</v>
      </c>
      <c r="P5867">
        <v>20190418</v>
      </c>
      <c r="Q5867" t="s">
        <v>2602</v>
      </c>
      <c r="R5867" t="s">
        <v>4339</v>
      </c>
      <c r="S5867" t="s">
        <v>1615</v>
      </c>
      <c r="T5867" t="s">
        <v>301</v>
      </c>
    </row>
    <row r="5868" spans="1:20" x14ac:dyDescent="0.25">
      <c r="A5868">
        <v>9</v>
      </c>
      <c r="B5868">
        <v>199</v>
      </c>
      <c r="C5868" t="str">
        <f>"36"</f>
        <v>36</v>
      </c>
      <c r="D5868">
        <v>6411</v>
      </c>
      <c r="E5868" t="str">
        <f>"VJ"</f>
        <v>VJ</v>
      </c>
      <c r="F5868" t="str">
        <f t="shared" si="1274"/>
        <v>001</v>
      </c>
      <c r="G5868">
        <v>9</v>
      </c>
      <c r="H5868" t="str">
        <f>"22"</f>
        <v>22</v>
      </c>
      <c r="I5868" t="str">
        <f>"5"</f>
        <v>5</v>
      </c>
      <c r="J5868" t="str">
        <f>"74"</f>
        <v>74</v>
      </c>
      <c r="K5868">
        <v>20190419</v>
      </c>
      <c r="L5868" t="str">
        <f t="shared" si="1275"/>
        <v>076534</v>
      </c>
      <c r="M5868" t="str">
        <f t="shared" si="1276"/>
        <v>09170</v>
      </c>
      <c r="N5868" t="s">
        <v>679</v>
      </c>
      <c r="O5868">
        <v>20.04</v>
      </c>
      <c r="P5868">
        <v>20190418</v>
      </c>
      <c r="Q5868" t="s">
        <v>3949</v>
      </c>
      <c r="R5868" t="s">
        <v>2570</v>
      </c>
      <c r="S5868" t="s">
        <v>1615</v>
      </c>
      <c r="T5868" t="s">
        <v>301</v>
      </c>
    </row>
    <row r="5869" spans="1:20" x14ac:dyDescent="0.25">
      <c r="A5869">
        <v>9</v>
      </c>
      <c r="B5869">
        <v>199</v>
      </c>
      <c r="C5869" t="str">
        <f>"36"</f>
        <v>36</v>
      </c>
      <c r="D5869">
        <v>6412</v>
      </c>
      <c r="E5869" t="str">
        <f>"09"</f>
        <v>09</v>
      </c>
      <c r="F5869" t="str">
        <f t="shared" si="1274"/>
        <v>001</v>
      </c>
      <c r="G5869">
        <v>9</v>
      </c>
      <c r="H5869" t="str">
        <f>"99"</f>
        <v>99</v>
      </c>
      <c r="I5869" t="str">
        <f>"0"</f>
        <v>0</v>
      </c>
      <c r="J5869" t="str">
        <f>"01"</f>
        <v>01</v>
      </c>
      <c r="K5869">
        <v>20190419</v>
      </c>
      <c r="L5869" t="str">
        <f t="shared" si="1275"/>
        <v>076534</v>
      </c>
      <c r="M5869" t="str">
        <f t="shared" si="1276"/>
        <v>09170</v>
      </c>
      <c r="N5869" t="s">
        <v>679</v>
      </c>
      <c r="O5869" s="1">
        <v>1099.74</v>
      </c>
      <c r="P5869">
        <v>20190418</v>
      </c>
      <c r="Q5869" t="s">
        <v>2427</v>
      </c>
      <c r="R5869" t="s">
        <v>4530</v>
      </c>
      <c r="S5869" t="s">
        <v>1615</v>
      </c>
      <c r="T5869" t="s">
        <v>301</v>
      </c>
    </row>
    <row r="5870" spans="1:20" x14ac:dyDescent="0.25">
      <c r="A5870">
        <v>9</v>
      </c>
      <c r="B5870">
        <v>199</v>
      </c>
      <c r="C5870" t="str">
        <f>"36"</f>
        <v>36</v>
      </c>
      <c r="D5870">
        <v>6412</v>
      </c>
      <c r="E5870" t="str">
        <f>"NA"</f>
        <v>NA</v>
      </c>
      <c r="F5870" t="str">
        <f t="shared" si="1274"/>
        <v>001</v>
      </c>
      <c r="G5870">
        <v>9</v>
      </c>
      <c r="H5870" t="str">
        <f>"99"</f>
        <v>99</v>
      </c>
      <c r="I5870" t="str">
        <f>"5"</f>
        <v>5</v>
      </c>
      <c r="J5870" t="str">
        <f>"74"</f>
        <v>74</v>
      </c>
      <c r="K5870">
        <v>20190419</v>
      </c>
      <c r="L5870" t="str">
        <f t="shared" si="1275"/>
        <v>076534</v>
      </c>
      <c r="M5870" t="str">
        <f t="shared" si="1276"/>
        <v>09170</v>
      </c>
      <c r="N5870" t="s">
        <v>679</v>
      </c>
      <c r="O5870" s="1">
        <v>3423</v>
      </c>
      <c r="P5870">
        <v>20190418</v>
      </c>
      <c r="Q5870" t="s">
        <v>4414</v>
      </c>
      <c r="R5870" t="s">
        <v>4701</v>
      </c>
      <c r="S5870" t="s">
        <v>1615</v>
      </c>
      <c r="T5870" t="s">
        <v>301</v>
      </c>
    </row>
    <row r="5871" spans="1:20" x14ac:dyDescent="0.25">
      <c r="A5871">
        <v>9</v>
      </c>
      <c r="B5871">
        <v>199</v>
      </c>
      <c r="C5871" t="str">
        <f>"36"</f>
        <v>36</v>
      </c>
      <c r="D5871">
        <v>6412</v>
      </c>
      <c r="E5871" t="str">
        <f>"VB"</f>
        <v>VB</v>
      </c>
      <c r="F5871" t="str">
        <f t="shared" si="1274"/>
        <v>001</v>
      </c>
      <c r="G5871">
        <v>9</v>
      </c>
      <c r="H5871" t="str">
        <f>"22"</f>
        <v>22</v>
      </c>
      <c r="I5871" t="str">
        <f>"5"</f>
        <v>5</v>
      </c>
      <c r="J5871" t="str">
        <f>"74"</f>
        <v>74</v>
      </c>
      <c r="K5871">
        <v>20190419</v>
      </c>
      <c r="L5871" t="str">
        <f t="shared" si="1275"/>
        <v>076534</v>
      </c>
      <c r="M5871" t="str">
        <f t="shared" si="1276"/>
        <v>09170</v>
      </c>
      <c r="N5871" t="s">
        <v>679</v>
      </c>
      <c r="O5871" s="1">
        <v>1443</v>
      </c>
      <c r="P5871">
        <v>20190418</v>
      </c>
      <c r="Q5871" t="s">
        <v>4391</v>
      </c>
      <c r="R5871" t="s">
        <v>4392</v>
      </c>
      <c r="S5871" t="s">
        <v>1615</v>
      </c>
      <c r="T5871" t="s">
        <v>301</v>
      </c>
    </row>
    <row r="5872" spans="1:20" x14ac:dyDescent="0.25">
      <c r="A5872">
        <v>9</v>
      </c>
      <c r="B5872">
        <v>199</v>
      </c>
      <c r="C5872" t="str">
        <f>"41"</f>
        <v>41</v>
      </c>
      <c r="D5872">
        <v>6299</v>
      </c>
      <c r="E5872" t="str">
        <f>"10"</f>
        <v>10</v>
      </c>
      <c r="F5872" t="str">
        <f>"730"</f>
        <v>730</v>
      </c>
      <c r="G5872">
        <v>9</v>
      </c>
      <c r="H5872" t="str">
        <f t="shared" ref="H5872:H5894" si="1277">"99"</f>
        <v>99</v>
      </c>
      <c r="I5872" t="str">
        <f t="shared" ref="I5872:I5905" si="1278">"0"</f>
        <v>0</v>
      </c>
      <c r="J5872" t="str">
        <f>"95"</f>
        <v>95</v>
      </c>
      <c r="K5872">
        <v>20190419</v>
      </c>
      <c r="L5872" t="str">
        <f t="shared" si="1275"/>
        <v>076534</v>
      </c>
      <c r="M5872" t="str">
        <f t="shared" si="1276"/>
        <v>09170</v>
      </c>
      <c r="N5872" t="s">
        <v>679</v>
      </c>
      <c r="O5872">
        <v>49.25</v>
      </c>
      <c r="P5872">
        <v>20190418</v>
      </c>
      <c r="Q5872" t="s">
        <v>2434</v>
      </c>
      <c r="R5872" s="3">
        <v>43559</v>
      </c>
      <c r="S5872" t="s">
        <v>1615</v>
      </c>
      <c r="T5872" t="s">
        <v>1794</v>
      </c>
    </row>
    <row r="5873" spans="1:20" x14ac:dyDescent="0.25">
      <c r="A5873">
        <v>9</v>
      </c>
      <c r="B5873">
        <v>199</v>
      </c>
      <c r="C5873" t="str">
        <f>"41"</f>
        <v>41</v>
      </c>
      <c r="D5873">
        <v>6399</v>
      </c>
      <c r="E5873" t="str">
        <f>"10"</f>
        <v>10</v>
      </c>
      <c r="F5873" t="str">
        <f>"702"</f>
        <v>702</v>
      </c>
      <c r="G5873">
        <v>9</v>
      </c>
      <c r="H5873" t="str">
        <f t="shared" si="1277"/>
        <v>99</v>
      </c>
      <c r="I5873" t="str">
        <f t="shared" si="1278"/>
        <v>0</v>
      </c>
      <c r="J5873" t="str">
        <f>"93"</f>
        <v>93</v>
      </c>
      <c r="K5873">
        <v>20190419</v>
      </c>
      <c r="L5873" t="str">
        <f t="shared" si="1275"/>
        <v>076534</v>
      </c>
      <c r="M5873" t="str">
        <f t="shared" si="1276"/>
        <v>09170</v>
      </c>
      <c r="N5873" t="s">
        <v>679</v>
      </c>
      <c r="O5873">
        <v>58.9</v>
      </c>
      <c r="P5873">
        <v>20190418</v>
      </c>
      <c r="Q5873" t="s">
        <v>2195</v>
      </c>
      <c r="R5873" t="s">
        <v>2692</v>
      </c>
      <c r="S5873" t="s">
        <v>1615</v>
      </c>
      <c r="T5873" t="s">
        <v>1611</v>
      </c>
    </row>
    <row r="5874" spans="1:20" x14ac:dyDescent="0.25">
      <c r="A5874">
        <v>9</v>
      </c>
      <c r="B5874">
        <v>199</v>
      </c>
      <c r="C5874" t="str">
        <f>"41"</f>
        <v>41</v>
      </c>
      <c r="D5874">
        <v>6499</v>
      </c>
      <c r="E5874" t="str">
        <f>"14"</f>
        <v>14</v>
      </c>
      <c r="F5874" t="str">
        <f>"726"</f>
        <v>726</v>
      </c>
      <c r="G5874">
        <v>9</v>
      </c>
      <c r="H5874" t="str">
        <f t="shared" si="1277"/>
        <v>99</v>
      </c>
      <c r="I5874" t="str">
        <f t="shared" si="1278"/>
        <v>0</v>
      </c>
      <c r="J5874" t="str">
        <f>"91"</f>
        <v>91</v>
      </c>
      <c r="K5874">
        <v>20190419</v>
      </c>
      <c r="L5874" t="str">
        <f t="shared" si="1275"/>
        <v>076534</v>
      </c>
      <c r="M5874" t="str">
        <f t="shared" si="1276"/>
        <v>09170</v>
      </c>
      <c r="N5874" t="s">
        <v>679</v>
      </c>
      <c r="O5874">
        <v>45</v>
      </c>
      <c r="P5874">
        <v>20190418</v>
      </c>
      <c r="Q5874" t="s">
        <v>4389</v>
      </c>
      <c r="R5874" t="s">
        <v>757</v>
      </c>
      <c r="S5874" t="s">
        <v>1615</v>
      </c>
      <c r="T5874" t="s">
        <v>2608</v>
      </c>
    </row>
    <row r="5875" spans="1:20" x14ac:dyDescent="0.25">
      <c r="A5875">
        <v>9</v>
      </c>
      <c r="B5875">
        <v>199</v>
      </c>
      <c r="C5875" t="str">
        <f t="shared" ref="C5875:C5892" si="1279">"36"</f>
        <v>36</v>
      </c>
      <c r="D5875">
        <v>6399</v>
      </c>
      <c r="E5875" t="str">
        <f t="shared" ref="E5875:E5892" si="1280">"09"</f>
        <v>09</v>
      </c>
      <c r="F5875" t="str">
        <f t="shared" ref="F5875:F5892" si="1281">"001"</f>
        <v>001</v>
      </c>
      <c r="G5875">
        <v>9</v>
      </c>
      <c r="H5875" t="str">
        <f t="shared" si="1277"/>
        <v>99</v>
      </c>
      <c r="I5875" t="str">
        <f t="shared" si="1278"/>
        <v>0</v>
      </c>
      <c r="J5875" t="str">
        <f t="shared" ref="J5875:J5892" si="1282">"01"</f>
        <v>01</v>
      </c>
      <c r="K5875">
        <v>20190419</v>
      </c>
      <c r="L5875" t="str">
        <f t="shared" ref="L5875:L5892" si="1283">"076536"</f>
        <v>076536</v>
      </c>
      <c r="M5875" t="str">
        <f t="shared" ref="M5875:M5892" si="1284">"40550"</f>
        <v>40550</v>
      </c>
      <c r="N5875" t="s">
        <v>2645</v>
      </c>
      <c r="O5875">
        <v>73.400000000000006</v>
      </c>
      <c r="P5875">
        <v>20190418</v>
      </c>
      <c r="Q5875" t="s">
        <v>2177</v>
      </c>
      <c r="R5875" t="s">
        <v>4431</v>
      </c>
      <c r="S5875" t="s">
        <v>1615</v>
      </c>
      <c r="T5875" t="s">
        <v>301</v>
      </c>
    </row>
    <row r="5876" spans="1:20" x14ac:dyDescent="0.25">
      <c r="A5876">
        <v>9</v>
      </c>
      <c r="B5876">
        <v>199</v>
      </c>
      <c r="C5876" t="str">
        <f t="shared" si="1279"/>
        <v>36</v>
      </c>
      <c r="D5876">
        <v>6399</v>
      </c>
      <c r="E5876" t="str">
        <f t="shared" si="1280"/>
        <v>09</v>
      </c>
      <c r="F5876" t="str">
        <f t="shared" si="1281"/>
        <v>001</v>
      </c>
      <c r="G5876">
        <v>9</v>
      </c>
      <c r="H5876" t="str">
        <f t="shared" si="1277"/>
        <v>99</v>
      </c>
      <c r="I5876" t="str">
        <f t="shared" si="1278"/>
        <v>0</v>
      </c>
      <c r="J5876" t="str">
        <f t="shared" si="1282"/>
        <v>01</v>
      </c>
      <c r="K5876">
        <v>20190419</v>
      </c>
      <c r="L5876" t="str">
        <f t="shared" si="1283"/>
        <v>076536</v>
      </c>
      <c r="M5876" t="str">
        <f t="shared" si="1284"/>
        <v>40550</v>
      </c>
      <c r="N5876" t="s">
        <v>2645</v>
      </c>
      <c r="O5876">
        <v>83.54</v>
      </c>
      <c r="P5876">
        <v>20190418</v>
      </c>
      <c r="Q5876" t="s">
        <v>2177</v>
      </c>
      <c r="R5876" t="s">
        <v>4431</v>
      </c>
      <c r="S5876" t="s">
        <v>1615</v>
      </c>
      <c r="T5876" t="s">
        <v>301</v>
      </c>
    </row>
    <row r="5877" spans="1:20" x14ac:dyDescent="0.25">
      <c r="A5877">
        <v>9</v>
      </c>
      <c r="B5877">
        <v>199</v>
      </c>
      <c r="C5877" t="str">
        <f t="shared" si="1279"/>
        <v>36</v>
      </c>
      <c r="D5877">
        <v>6399</v>
      </c>
      <c r="E5877" t="str">
        <f t="shared" si="1280"/>
        <v>09</v>
      </c>
      <c r="F5877" t="str">
        <f t="shared" si="1281"/>
        <v>001</v>
      </c>
      <c r="G5877">
        <v>9</v>
      </c>
      <c r="H5877" t="str">
        <f t="shared" si="1277"/>
        <v>99</v>
      </c>
      <c r="I5877" t="str">
        <f t="shared" si="1278"/>
        <v>0</v>
      </c>
      <c r="J5877" t="str">
        <f t="shared" si="1282"/>
        <v>01</v>
      </c>
      <c r="K5877">
        <v>20190419</v>
      </c>
      <c r="L5877" t="str">
        <f t="shared" si="1283"/>
        <v>076536</v>
      </c>
      <c r="M5877" t="str">
        <f t="shared" si="1284"/>
        <v>40550</v>
      </c>
      <c r="N5877" t="s">
        <v>2645</v>
      </c>
      <c r="O5877">
        <v>23.35</v>
      </c>
      <c r="P5877">
        <v>20190418</v>
      </c>
      <c r="Q5877" t="s">
        <v>2177</v>
      </c>
      <c r="R5877" t="s">
        <v>4431</v>
      </c>
      <c r="S5877" t="s">
        <v>1615</v>
      </c>
      <c r="T5877" t="s">
        <v>301</v>
      </c>
    </row>
    <row r="5878" spans="1:20" x14ac:dyDescent="0.25">
      <c r="A5878">
        <v>9</v>
      </c>
      <c r="B5878">
        <v>199</v>
      </c>
      <c r="C5878" t="str">
        <f t="shared" si="1279"/>
        <v>36</v>
      </c>
      <c r="D5878">
        <v>6399</v>
      </c>
      <c r="E5878" t="str">
        <f t="shared" si="1280"/>
        <v>09</v>
      </c>
      <c r="F5878" t="str">
        <f t="shared" si="1281"/>
        <v>001</v>
      </c>
      <c r="G5878">
        <v>9</v>
      </c>
      <c r="H5878" t="str">
        <f t="shared" si="1277"/>
        <v>99</v>
      </c>
      <c r="I5878" t="str">
        <f t="shared" si="1278"/>
        <v>0</v>
      </c>
      <c r="J5878" t="str">
        <f t="shared" si="1282"/>
        <v>01</v>
      </c>
      <c r="K5878">
        <v>20190419</v>
      </c>
      <c r="L5878" t="str">
        <f t="shared" si="1283"/>
        <v>076536</v>
      </c>
      <c r="M5878" t="str">
        <f t="shared" si="1284"/>
        <v>40550</v>
      </c>
      <c r="N5878" t="s">
        <v>2645</v>
      </c>
      <c r="O5878">
        <v>95.01</v>
      </c>
      <c r="P5878">
        <v>20190418</v>
      </c>
      <c r="Q5878" t="s">
        <v>2177</v>
      </c>
      <c r="R5878" t="s">
        <v>4431</v>
      </c>
      <c r="S5878" t="s">
        <v>1615</v>
      </c>
      <c r="T5878" t="s">
        <v>301</v>
      </c>
    </row>
    <row r="5879" spans="1:20" x14ac:dyDescent="0.25">
      <c r="A5879">
        <v>9</v>
      </c>
      <c r="B5879">
        <v>199</v>
      </c>
      <c r="C5879" t="str">
        <f t="shared" si="1279"/>
        <v>36</v>
      </c>
      <c r="D5879">
        <v>6399</v>
      </c>
      <c r="E5879" t="str">
        <f t="shared" si="1280"/>
        <v>09</v>
      </c>
      <c r="F5879" t="str">
        <f t="shared" si="1281"/>
        <v>001</v>
      </c>
      <c r="G5879">
        <v>9</v>
      </c>
      <c r="H5879" t="str">
        <f t="shared" si="1277"/>
        <v>99</v>
      </c>
      <c r="I5879" t="str">
        <f t="shared" si="1278"/>
        <v>0</v>
      </c>
      <c r="J5879" t="str">
        <f t="shared" si="1282"/>
        <v>01</v>
      </c>
      <c r="K5879">
        <v>20190419</v>
      </c>
      <c r="L5879" t="str">
        <f t="shared" si="1283"/>
        <v>076536</v>
      </c>
      <c r="M5879" t="str">
        <f t="shared" si="1284"/>
        <v>40550</v>
      </c>
      <c r="N5879" t="s">
        <v>2645</v>
      </c>
      <c r="O5879">
        <v>113.39</v>
      </c>
      <c r="P5879">
        <v>20190418</v>
      </c>
      <c r="Q5879" t="s">
        <v>2177</v>
      </c>
      <c r="R5879" t="s">
        <v>4431</v>
      </c>
      <c r="S5879" t="s">
        <v>1615</v>
      </c>
      <c r="T5879" t="s">
        <v>301</v>
      </c>
    </row>
    <row r="5880" spans="1:20" x14ac:dyDescent="0.25">
      <c r="A5880">
        <v>9</v>
      </c>
      <c r="B5880">
        <v>199</v>
      </c>
      <c r="C5880" t="str">
        <f t="shared" si="1279"/>
        <v>36</v>
      </c>
      <c r="D5880">
        <v>6399</v>
      </c>
      <c r="E5880" t="str">
        <f t="shared" si="1280"/>
        <v>09</v>
      </c>
      <c r="F5880" t="str">
        <f t="shared" si="1281"/>
        <v>001</v>
      </c>
      <c r="G5880">
        <v>9</v>
      </c>
      <c r="H5880" t="str">
        <f t="shared" si="1277"/>
        <v>99</v>
      </c>
      <c r="I5880" t="str">
        <f t="shared" si="1278"/>
        <v>0</v>
      </c>
      <c r="J5880" t="str">
        <f t="shared" si="1282"/>
        <v>01</v>
      </c>
      <c r="K5880">
        <v>20190419</v>
      </c>
      <c r="L5880" t="str">
        <f t="shared" si="1283"/>
        <v>076536</v>
      </c>
      <c r="M5880" t="str">
        <f t="shared" si="1284"/>
        <v>40550</v>
      </c>
      <c r="N5880" t="s">
        <v>2645</v>
      </c>
      <c r="O5880">
        <v>115.97</v>
      </c>
      <c r="P5880">
        <v>20190418</v>
      </c>
      <c r="Q5880" t="s">
        <v>2177</v>
      </c>
      <c r="R5880" t="s">
        <v>4431</v>
      </c>
      <c r="S5880" t="s">
        <v>1615</v>
      </c>
      <c r="T5880" t="s">
        <v>301</v>
      </c>
    </row>
    <row r="5881" spans="1:20" x14ac:dyDescent="0.25">
      <c r="A5881">
        <v>9</v>
      </c>
      <c r="B5881">
        <v>199</v>
      </c>
      <c r="C5881" t="str">
        <f t="shared" si="1279"/>
        <v>36</v>
      </c>
      <c r="D5881">
        <v>6399</v>
      </c>
      <c r="E5881" t="str">
        <f t="shared" si="1280"/>
        <v>09</v>
      </c>
      <c r="F5881" t="str">
        <f t="shared" si="1281"/>
        <v>001</v>
      </c>
      <c r="G5881">
        <v>9</v>
      </c>
      <c r="H5881" t="str">
        <f t="shared" si="1277"/>
        <v>99</v>
      </c>
      <c r="I5881" t="str">
        <f t="shared" si="1278"/>
        <v>0</v>
      </c>
      <c r="J5881" t="str">
        <f t="shared" si="1282"/>
        <v>01</v>
      </c>
      <c r="K5881">
        <v>20190419</v>
      </c>
      <c r="L5881" t="str">
        <f t="shared" si="1283"/>
        <v>076536</v>
      </c>
      <c r="M5881" t="str">
        <f t="shared" si="1284"/>
        <v>40550</v>
      </c>
      <c r="N5881" t="s">
        <v>2645</v>
      </c>
      <c r="O5881">
        <v>288.5</v>
      </c>
      <c r="P5881">
        <v>20190418</v>
      </c>
      <c r="Q5881" t="s">
        <v>2177</v>
      </c>
      <c r="R5881" t="s">
        <v>4431</v>
      </c>
      <c r="S5881" t="s">
        <v>1615</v>
      </c>
      <c r="T5881" t="s">
        <v>301</v>
      </c>
    </row>
    <row r="5882" spans="1:20" x14ac:dyDescent="0.25">
      <c r="A5882">
        <v>9</v>
      </c>
      <c r="B5882">
        <v>199</v>
      </c>
      <c r="C5882" t="str">
        <f t="shared" si="1279"/>
        <v>36</v>
      </c>
      <c r="D5882">
        <v>6399</v>
      </c>
      <c r="E5882" t="str">
        <f t="shared" si="1280"/>
        <v>09</v>
      </c>
      <c r="F5882" t="str">
        <f t="shared" si="1281"/>
        <v>001</v>
      </c>
      <c r="G5882">
        <v>9</v>
      </c>
      <c r="H5882" t="str">
        <f t="shared" si="1277"/>
        <v>99</v>
      </c>
      <c r="I5882" t="str">
        <f t="shared" si="1278"/>
        <v>0</v>
      </c>
      <c r="J5882" t="str">
        <f t="shared" si="1282"/>
        <v>01</v>
      </c>
      <c r="K5882">
        <v>20190419</v>
      </c>
      <c r="L5882" t="str">
        <f t="shared" si="1283"/>
        <v>076536</v>
      </c>
      <c r="M5882" t="str">
        <f t="shared" si="1284"/>
        <v>40550</v>
      </c>
      <c r="N5882" t="s">
        <v>2645</v>
      </c>
      <c r="O5882">
        <v>45.31</v>
      </c>
      <c r="P5882">
        <v>20190418</v>
      </c>
      <c r="Q5882" t="s">
        <v>2177</v>
      </c>
      <c r="R5882" t="s">
        <v>4431</v>
      </c>
      <c r="S5882" t="s">
        <v>1615</v>
      </c>
      <c r="T5882" t="s">
        <v>301</v>
      </c>
    </row>
    <row r="5883" spans="1:20" x14ac:dyDescent="0.25">
      <c r="A5883">
        <v>9</v>
      </c>
      <c r="B5883">
        <v>199</v>
      </c>
      <c r="C5883" t="str">
        <f t="shared" si="1279"/>
        <v>36</v>
      </c>
      <c r="D5883">
        <v>6399</v>
      </c>
      <c r="E5883" t="str">
        <f t="shared" si="1280"/>
        <v>09</v>
      </c>
      <c r="F5883" t="str">
        <f t="shared" si="1281"/>
        <v>001</v>
      </c>
      <c r="G5883">
        <v>9</v>
      </c>
      <c r="H5883" t="str">
        <f t="shared" si="1277"/>
        <v>99</v>
      </c>
      <c r="I5883" t="str">
        <f t="shared" si="1278"/>
        <v>0</v>
      </c>
      <c r="J5883" t="str">
        <f t="shared" si="1282"/>
        <v>01</v>
      </c>
      <c r="K5883">
        <v>20190419</v>
      </c>
      <c r="L5883" t="str">
        <f t="shared" si="1283"/>
        <v>076536</v>
      </c>
      <c r="M5883" t="str">
        <f t="shared" si="1284"/>
        <v>40550</v>
      </c>
      <c r="N5883" t="s">
        <v>2645</v>
      </c>
      <c r="O5883">
        <v>10.78</v>
      </c>
      <c r="P5883">
        <v>20190418</v>
      </c>
      <c r="Q5883" t="s">
        <v>2177</v>
      </c>
      <c r="R5883" t="s">
        <v>4431</v>
      </c>
      <c r="S5883" t="s">
        <v>1615</v>
      </c>
      <c r="T5883" t="s">
        <v>301</v>
      </c>
    </row>
    <row r="5884" spans="1:20" x14ac:dyDescent="0.25">
      <c r="A5884">
        <v>9</v>
      </c>
      <c r="B5884">
        <v>199</v>
      </c>
      <c r="C5884" t="str">
        <f t="shared" si="1279"/>
        <v>36</v>
      </c>
      <c r="D5884">
        <v>6399</v>
      </c>
      <c r="E5884" t="str">
        <f t="shared" si="1280"/>
        <v>09</v>
      </c>
      <c r="F5884" t="str">
        <f t="shared" si="1281"/>
        <v>001</v>
      </c>
      <c r="G5884">
        <v>9</v>
      </c>
      <c r="H5884" t="str">
        <f t="shared" si="1277"/>
        <v>99</v>
      </c>
      <c r="I5884" t="str">
        <f t="shared" si="1278"/>
        <v>0</v>
      </c>
      <c r="J5884" t="str">
        <f t="shared" si="1282"/>
        <v>01</v>
      </c>
      <c r="K5884">
        <v>20190419</v>
      </c>
      <c r="L5884" t="str">
        <f t="shared" si="1283"/>
        <v>076536</v>
      </c>
      <c r="M5884" t="str">
        <f t="shared" si="1284"/>
        <v>40550</v>
      </c>
      <c r="N5884" t="s">
        <v>2645</v>
      </c>
      <c r="O5884">
        <v>97.92</v>
      </c>
      <c r="P5884">
        <v>20190418</v>
      </c>
      <c r="Q5884" t="s">
        <v>2177</v>
      </c>
      <c r="R5884" t="s">
        <v>4431</v>
      </c>
      <c r="S5884" t="s">
        <v>1615</v>
      </c>
      <c r="T5884" t="s">
        <v>301</v>
      </c>
    </row>
    <row r="5885" spans="1:20" x14ac:dyDescent="0.25">
      <c r="A5885">
        <v>9</v>
      </c>
      <c r="B5885">
        <v>199</v>
      </c>
      <c r="C5885" t="str">
        <f t="shared" si="1279"/>
        <v>36</v>
      </c>
      <c r="D5885">
        <v>6399</v>
      </c>
      <c r="E5885" t="str">
        <f t="shared" si="1280"/>
        <v>09</v>
      </c>
      <c r="F5885" t="str">
        <f t="shared" si="1281"/>
        <v>001</v>
      </c>
      <c r="G5885">
        <v>9</v>
      </c>
      <c r="H5885" t="str">
        <f t="shared" si="1277"/>
        <v>99</v>
      </c>
      <c r="I5885" t="str">
        <f t="shared" si="1278"/>
        <v>0</v>
      </c>
      <c r="J5885" t="str">
        <f t="shared" si="1282"/>
        <v>01</v>
      </c>
      <c r="K5885">
        <v>20190419</v>
      </c>
      <c r="L5885" t="str">
        <f t="shared" si="1283"/>
        <v>076536</v>
      </c>
      <c r="M5885" t="str">
        <f t="shared" si="1284"/>
        <v>40550</v>
      </c>
      <c r="N5885" t="s">
        <v>2645</v>
      </c>
      <c r="O5885">
        <v>27.92</v>
      </c>
      <c r="P5885">
        <v>20190418</v>
      </c>
      <c r="Q5885" t="s">
        <v>2177</v>
      </c>
      <c r="R5885" t="s">
        <v>4431</v>
      </c>
      <c r="S5885" t="s">
        <v>1615</v>
      </c>
      <c r="T5885" t="s">
        <v>301</v>
      </c>
    </row>
    <row r="5886" spans="1:20" x14ac:dyDescent="0.25">
      <c r="A5886">
        <v>9</v>
      </c>
      <c r="B5886">
        <v>199</v>
      </c>
      <c r="C5886" t="str">
        <f t="shared" si="1279"/>
        <v>36</v>
      </c>
      <c r="D5886">
        <v>6399</v>
      </c>
      <c r="E5886" t="str">
        <f t="shared" si="1280"/>
        <v>09</v>
      </c>
      <c r="F5886" t="str">
        <f t="shared" si="1281"/>
        <v>001</v>
      </c>
      <c r="G5886">
        <v>9</v>
      </c>
      <c r="H5886" t="str">
        <f t="shared" si="1277"/>
        <v>99</v>
      </c>
      <c r="I5886" t="str">
        <f t="shared" si="1278"/>
        <v>0</v>
      </c>
      <c r="J5886" t="str">
        <f t="shared" si="1282"/>
        <v>01</v>
      </c>
      <c r="K5886">
        <v>20190419</v>
      </c>
      <c r="L5886" t="str">
        <f t="shared" si="1283"/>
        <v>076536</v>
      </c>
      <c r="M5886" t="str">
        <f t="shared" si="1284"/>
        <v>40550</v>
      </c>
      <c r="N5886" t="s">
        <v>2645</v>
      </c>
      <c r="O5886">
        <v>25.16</v>
      </c>
      <c r="P5886">
        <v>20190418</v>
      </c>
      <c r="Q5886" t="s">
        <v>2177</v>
      </c>
      <c r="R5886" t="s">
        <v>4431</v>
      </c>
      <c r="S5886" t="s">
        <v>1615</v>
      </c>
      <c r="T5886" t="s">
        <v>301</v>
      </c>
    </row>
    <row r="5887" spans="1:20" x14ac:dyDescent="0.25">
      <c r="A5887">
        <v>9</v>
      </c>
      <c r="B5887">
        <v>199</v>
      </c>
      <c r="C5887" t="str">
        <f t="shared" si="1279"/>
        <v>36</v>
      </c>
      <c r="D5887">
        <v>6399</v>
      </c>
      <c r="E5887" t="str">
        <f t="shared" si="1280"/>
        <v>09</v>
      </c>
      <c r="F5887" t="str">
        <f t="shared" si="1281"/>
        <v>001</v>
      </c>
      <c r="G5887">
        <v>9</v>
      </c>
      <c r="H5887" t="str">
        <f t="shared" si="1277"/>
        <v>99</v>
      </c>
      <c r="I5887" t="str">
        <f t="shared" si="1278"/>
        <v>0</v>
      </c>
      <c r="J5887" t="str">
        <f t="shared" si="1282"/>
        <v>01</v>
      </c>
      <c r="K5887">
        <v>20190419</v>
      </c>
      <c r="L5887" t="str">
        <f t="shared" si="1283"/>
        <v>076536</v>
      </c>
      <c r="M5887" t="str">
        <f t="shared" si="1284"/>
        <v>40550</v>
      </c>
      <c r="N5887" t="s">
        <v>2645</v>
      </c>
      <c r="O5887">
        <v>238.3</v>
      </c>
      <c r="P5887">
        <v>20190418</v>
      </c>
      <c r="Q5887" t="s">
        <v>2177</v>
      </c>
      <c r="R5887" t="s">
        <v>4431</v>
      </c>
      <c r="S5887" t="s">
        <v>1615</v>
      </c>
      <c r="T5887" t="s">
        <v>301</v>
      </c>
    </row>
    <row r="5888" spans="1:20" x14ac:dyDescent="0.25">
      <c r="A5888">
        <v>9</v>
      </c>
      <c r="B5888">
        <v>199</v>
      </c>
      <c r="C5888" t="str">
        <f t="shared" si="1279"/>
        <v>36</v>
      </c>
      <c r="D5888">
        <v>6399</v>
      </c>
      <c r="E5888" t="str">
        <f t="shared" si="1280"/>
        <v>09</v>
      </c>
      <c r="F5888" t="str">
        <f t="shared" si="1281"/>
        <v>001</v>
      </c>
      <c r="G5888">
        <v>9</v>
      </c>
      <c r="H5888" t="str">
        <f t="shared" si="1277"/>
        <v>99</v>
      </c>
      <c r="I5888" t="str">
        <f t="shared" si="1278"/>
        <v>0</v>
      </c>
      <c r="J5888" t="str">
        <f t="shared" si="1282"/>
        <v>01</v>
      </c>
      <c r="K5888">
        <v>20190419</v>
      </c>
      <c r="L5888" t="str">
        <f t="shared" si="1283"/>
        <v>076536</v>
      </c>
      <c r="M5888" t="str">
        <f t="shared" si="1284"/>
        <v>40550</v>
      </c>
      <c r="N5888" t="s">
        <v>2645</v>
      </c>
      <c r="O5888">
        <v>161.94</v>
      </c>
      <c r="P5888">
        <v>20190418</v>
      </c>
      <c r="Q5888" t="s">
        <v>2177</v>
      </c>
      <c r="R5888" t="s">
        <v>4431</v>
      </c>
      <c r="S5888" t="s">
        <v>1615</v>
      </c>
      <c r="T5888" t="s">
        <v>301</v>
      </c>
    </row>
    <row r="5889" spans="1:20" x14ac:dyDescent="0.25">
      <c r="A5889">
        <v>9</v>
      </c>
      <c r="B5889">
        <v>199</v>
      </c>
      <c r="C5889" t="str">
        <f t="shared" si="1279"/>
        <v>36</v>
      </c>
      <c r="D5889">
        <v>6399</v>
      </c>
      <c r="E5889" t="str">
        <f t="shared" si="1280"/>
        <v>09</v>
      </c>
      <c r="F5889" t="str">
        <f t="shared" si="1281"/>
        <v>001</v>
      </c>
      <c r="G5889">
        <v>9</v>
      </c>
      <c r="H5889" t="str">
        <f t="shared" si="1277"/>
        <v>99</v>
      </c>
      <c r="I5889" t="str">
        <f t="shared" si="1278"/>
        <v>0</v>
      </c>
      <c r="J5889" t="str">
        <f t="shared" si="1282"/>
        <v>01</v>
      </c>
      <c r="K5889">
        <v>20190419</v>
      </c>
      <c r="L5889" t="str">
        <f t="shared" si="1283"/>
        <v>076536</v>
      </c>
      <c r="M5889" t="str">
        <f t="shared" si="1284"/>
        <v>40550</v>
      </c>
      <c r="N5889" t="s">
        <v>2645</v>
      </c>
      <c r="O5889">
        <v>43.19</v>
      </c>
      <c r="P5889">
        <v>20190418</v>
      </c>
      <c r="Q5889" t="s">
        <v>2177</v>
      </c>
      <c r="R5889" t="s">
        <v>4702</v>
      </c>
      <c r="S5889" t="s">
        <v>1615</v>
      </c>
      <c r="T5889" t="s">
        <v>301</v>
      </c>
    </row>
    <row r="5890" spans="1:20" x14ac:dyDescent="0.25">
      <c r="A5890">
        <v>9</v>
      </c>
      <c r="B5890">
        <v>199</v>
      </c>
      <c r="C5890" t="str">
        <f t="shared" si="1279"/>
        <v>36</v>
      </c>
      <c r="D5890">
        <v>6399</v>
      </c>
      <c r="E5890" t="str">
        <f t="shared" si="1280"/>
        <v>09</v>
      </c>
      <c r="F5890" t="str">
        <f t="shared" si="1281"/>
        <v>001</v>
      </c>
      <c r="G5890">
        <v>9</v>
      </c>
      <c r="H5890" t="str">
        <f t="shared" si="1277"/>
        <v>99</v>
      </c>
      <c r="I5890" t="str">
        <f t="shared" si="1278"/>
        <v>0</v>
      </c>
      <c r="J5890" t="str">
        <f t="shared" si="1282"/>
        <v>01</v>
      </c>
      <c r="K5890">
        <v>20190419</v>
      </c>
      <c r="L5890" t="str">
        <f t="shared" si="1283"/>
        <v>076536</v>
      </c>
      <c r="M5890" t="str">
        <f t="shared" si="1284"/>
        <v>40550</v>
      </c>
      <c r="N5890" t="s">
        <v>2645</v>
      </c>
      <c r="O5890">
        <v>29.99</v>
      </c>
      <c r="P5890">
        <v>20190418</v>
      </c>
      <c r="Q5890" t="s">
        <v>2177</v>
      </c>
      <c r="R5890" t="s">
        <v>4702</v>
      </c>
      <c r="S5890" t="s">
        <v>1615</v>
      </c>
      <c r="T5890" t="s">
        <v>301</v>
      </c>
    </row>
    <row r="5891" spans="1:20" x14ac:dyDescent="0.25">
      <c r="A5891">
        <v>9</v>
      </c>
      <c r="B5891">
        <v>199</v>
      </c>
      <c r="C5891" t="str">
        <f t="shared" si="1279"/>
        <v>36</v>
      </c>
      <c r="D5891">
        <v>6399</v>
      </c>
      <c r="E5891" t="str">
        <f t="shared" si="1280"/>
        <v>09</v>
      </c>
      <c r="F5891" t="str">
        <f t="shared" si="1281"/>
        <v>001</v>
      </c>
      <c r="G5891">
        <v>9</v>
      </c>
      <c r="H5891" t="str">
        <f t="shared" si="1277"/>
        <v>99</v>
      </c>
      <c r="I5891" t="str">
        <f t="shared" si="1278"/>
        <v>0</v>
      </c>
      <c r="J5891" t="str">
        <f t="shared" si="1282"/>
        <v>01</v>
      </c>
      <c r="K5891">
        <v>20190419</v>
      </c>
      <c r="L5891" t="str">
        <f t="shared" si="1283"/>
        <v>076536</v>
      </c>
      <c r="M5891" t="str">
        <f t="shared" si="1284"/>
        <v>40550</v>
      </c>
      <c r="N5891" t="s">
        <v>2645</v>
      </c>
      <c r="O5891">
        <v>-69.98</v>
      </c>
      <c r="P5891">
        <v>20190322</v>
      </c>
      <c r="Q5891" t="s">
        <v>2177</v>
      </c>
      <c r="R5891" t="s">
        <v>4059</v>
      </c>
      <c r="S5891" t="s">
        <v>1615</v>
      </c>
      <c r="T5891" t="s">
        <v>301</v>
      </c>
    </row>
    <row r="5892" spans="1:20" x14ac:dyDescent="0.25">
      <c r="A5892">
        <v>9</v>
      </c>
      <c r="B5892">
        <v>199</v>
      </c>
      <c r="C5892" t="str">
        <f t="shared" si="1279"/>
        <v>36</v>
      </c>
      <c r="D5892">
        <v>6399</v>
      </c>
      <c r="E5892" t="str">
        <f t="shared" si="1280"/>
        <v>09</v>
      </c>
      <c r="F5892" t="str">
        <f t="shared" si="1281"/>
        <v>001</v>
      </c>
      <c r="G5892">
        <v>9</v>
      </c>
      <c r="H5892" t="str">
        <f t="shared" si="1277"/>
        <v>99</v>
      </c>
      <c r="I5892" t="str">
        <f t="shared" si="1278"/>
        <v>0</v>
      </c>
      <c r="J5892" t="str">
        <f t="shared" si="1282"/>
        <v>01</v>
      </c>
      <c r="K5892">
        <v>20190419</v>
      </c>
      <c r="L5892" t="str">
        <f t="shared" si="1283"/>
        <v>076536</v>
      </c>
      <c r="M5892" t="str">
        <f t="shared" si="1284"/>
        <v>40550</v>
      </c>
      <c r="N5892" t="s">
        <v>2645</v>
      </c>
      <c r="O5892">
        <v>-34.54</v>
      </c>
      <c r="P5892">
        <v>20190322</v>
      </c>
      <c r="Q5892" t="s">
        <v>2177</v>
      </c>
      <c r="R5892" t="s">
        <v>4059</v>
      </c>
      <c r="S5892" t="s">
        <v>1615</v>
      </c>
      <c r="T5892" t="s">
        <v>301</v>
      </c>
    </row>
    <row r="5893" spans="1:20" x14ac:dyDescent="0.25">
      <c r="A5893">
        <v>9</v>
      </c>
      <c r="B5893">
        <v>199</v>
      </c>
      <c r="C5893" t="str">
        <f>"23"</f>
        <v>23</v>
      </c>
      <c r="D5893">
        <v>6299</v>
      </c>
      <c r="E5893" t="str">
        <f>"10"</f>
        <v>10</v>
      </c>
      <c r="F5893" t="str">
        <f>"041"</f>
        <v>041</v>
      </c>
      <c r="G5893">
        <v>9</v>
      </c>
      <c r="H5893" t="str">
        <f t="shared" si="1277"/>
        <v>99</v>
      </c>
      <c r="I5893" t="str">
        <f t="shared" si="1278"/>
        <v>0</v>
      </c>
      <c r="J5893" t="str">
        <f>"03"</f>
        <v>03</v>
      </c>
      <c r="K5893">
        <v>20190419</v>
      </c>
      <c r="L5893" t="str">
        <f>"076539"</f>
        <v>076539</v>
      </c>
      <c r="M5893" t="str">
        <f>"61221"</f>
        <v>61221</v>
      </c>
      <c r="N5893" t="s">
        <v>1782</v>
      </c>
      <c r="O5893">
        <v>510</v>
      </c>
      <c r="P5893">
        <v>20190418</v>
      </c>
      <c r="Q5893" t="s">
        <v>4703</v>
      </c>
      <c r="R5893" t="s">
        <v>4704</v>
      </c>
      <c r="S5893" t="s">
        <v>1615</v>
      </c>
      <c r="T5893" t="s">
        <v>106</v>
      </c>
    </row>
    <row r="5894" spans="1:20" x14ac:dyDescent="0.25">
      <c r="A5894">
        <v>9</v>
      </c>
      <c r="B5894">
        <v>199</v>
      </c>
      <c r="C5894" t="str">
        <f>"23"</f>
        <v>23</v>
      </c>
      <c r="D5894">
        <v>6299</v>
      </c>
      <c r="E5894" t="str">
        <f>"10"</f>
        <v>10</v>
      </c>
      <c r="F5894" t="str">
        <f>"104"</f>
        <v>104</v>
      </c>
      <c r="G5894">
        <v>9</v>
      </c>
      <c r="H5894" t="str">
        <f t="shared" si="1277"/>
        <v>99</v>
      </c>
      <c r="I5894" t="str">
        <f t="shared" si="1278"/>
        <v>0</v>
      </c>
      <c r="J5894" t="str">
        <f>"05"</f>
        <v>05</v>
      </c>
      <c r="K5894">
        <v>20190419</v>
      </c>
      <c r="L5894" t="str">
        <f>"076539"</f>
        <v>076539</v>
      </c>
      <c r="M5894" t="str">
        <f>"61221"</f>
        <v>61221</v>
      </c>
      <c r="N5894" t="s">
        <v>1782</v>
      </c>
      <c r="O5894">
        <v>525</v>
      </c>
      <c r="P5894">
        <v>20190418</v>
      </c>
      <c r="Q5894" t="s">
        <v>4705</v>
      </c>
      <c r="R5894" t="s">
        <v>4706</v>
      </c>
      <c r="S5894" t="s">
        <v>1615</v>
      </c>
      <c r="T5894" t="s">
        <v>46</v>
      </c>
    </row>
    <row r="5895" spans="1:20" x14ac:dyDescent="0.25">
      <c r="A5895">
        <v>9</v>
      </c>
      <c r="B5895">
        <v>199</v>
      </c>
      <c r="C5895" t="str">
        <f>"11"</f>
        <v>11</v>
      </c>
      <c r="D5895">
        <v>6399</v>
      </c>
      <c r="E5895" t="str">
        <f>"45"</f>
        <v>45</v>
      </c>
      <c r="F5895" t="str">
        <f>"101"</f>
        <v>101</v>
      </c>
      <c r="G5895">
        <v>9</v>
      </c>
      <c r="H5895" t="str">
        <f>"11"</f>
        <v>11</v>
      </c>
      <c r="I5895" t="str">
        <f t="shared" si="1278"/>
        <v>0</v>
      </c>
      <c r="J5895" t="str">
        <f>"04"</f>
        <v>04</v>
      </c>
      <c r="K5895">
        <v>20190419</v>
      </c>
      <c r="L5895" t="str">
        <f t="shared" ref="L5895:L5901" si="1285">"076540"</f>
        <v>076540</v>
      </c>
      <c r="M5895" t="str">
        <f t="shared" ref="M5895:M5901" si="1286">"72730"</f>
        <v>72730</v>
      </c>
      <c r="N5895" t="s">
        <v>639</v>
      </c>
      <c r="O5895">
        <v>510.21</v>
      </c>
      <c r="P5895">
        <v>20190418</v>
      </c>
      <c r="Q5895" t="s">
        <v>1859</v>
      </c>
      <c r="R5895" t="s">
        <v>641</v>
      </c>
      <c r="S5895" t="s">
        <v>1615</v>
      </c>
      <c r="T5895" t="s">
        <v>1479</v>
      </c>
    </row>
    <row r="5896" spans="1:20" x14ac:dyDescent="0.25">
      <c r="A5896">
        <v>9</v>
      </c>
      <c r="B5896">
        <v>199</v>
      </c>
      <c r="C5896" t="str">
        <f>"11"</f>
        <v>11</v>
      </c>
      <c r="D5896">
        <v>6399</v>
      </c>
      <c r="E5896" t="str">
        <f>"45"</f>
        <v>45</v>
      </c>
      <c r="F5896" t="str">
        <f>"101"</f>
        <v>101</v>
      </c>
      <c r="G5896">
        <v>9</v>
      </c>
      <c r="H5896" t="str">
        <f>"11"</f>
        <v>11</v>
      </c>
      <c r="I5896" t="str">
        <f t="shared" si="1278"/>
        <v>0</v>
      </c>
      <c r="J5896" t="str">
        <f>"04"</f>
        <v>04</v>
      </c>
      <c r="K5896">
        <v>20190419</v>
      </c>
      <c r="L5896" t="str">
        <f t="shared" si="1285"/>
        <v>076540</v>
      </c>
      <c r="M5896" t="str">
        <f t="shared" si="1286"/>
        <v>72730</v>
      </c>
      <c r="N5896" t="s">
        <v>639</v>
      </c>
      <c r="O5896">
        <v>70.8</v>
      </c>
      <c r="P5896">
        <v>20190418</v>
      </c>
      <c r="Q5896" t="s">
        <v>1859</v>
      </c>
      <c r="R5896" t="s">
        <v>2793</v>
      </c>
      <c r="S5896" t="s">
        <v>1615</v>
      </c>
      <c r="T5896" t="s">
        <v>1479</v>
      </c>
    </row>
    <row r="5897" spans="1:20" x14ac:dyDescent="0.25">
      <c r="A5897">
        <v>9</v>
      </c>
      <c r="B5897">
        <v>199</v>
      </c>
      <c r="C5897" t="str">
        <f>"11"</f>
        <v>11</v>
      </c>
      <c r="D5897">
        <v>6399</v>
      </c>
      <c r="E5897" t="str">
        <f>"45"</f>
        <v>45</v>
      </c>
      <c r="F5897" t="str">
        <f>"104"</f>
        <v>104</v>
      </c>
      <c r="G5897">
        <v>9</v>
      </c>
      <c r="H5897" t="str">
        <f>"11"</f>
        <v>11</v>
      </c>
      <c r="I5897" t="str">
        <f t="shared" si="1278"/>
        <v>0</v>
      </c>
      <c r="J5897" t="str">
        <f>"05"</f>
        <v>05</v>
      </c>
      <c r="K5897">
        <v>20190419</v>
      </c>
      <c r="L5897" t="str">
        <f t="shared" si="1285"/>
        <v>076540</v>
      </c>
      <c r="M5897" t="str">
        <f t="shared" si="1286"/>
        <v>72730</v>
      </c>
      <c r="N5897" t="s">
        <v>639</v>
      </c>
      <c r="O5897">
        <v>827.03</v>
      </c>
      <c r="P5897">
        <v>20190418</v>
      </c>
      <c r="Q5897" t="s">
        <v>2069</v>
      </c>
      <c r="R5897" t="s">
        <v>2793</v>
      </c>
      <c r="S5897" t="s">
        <v>1615</v>
      </c>
      <c r="T5897" t="s">
        <v>46</v>
      </c>
    </row>
    <row r="5898" spans="1:20" x14ac:dyDescent="0.25">
      <c r="A5898">
        <v>9</v>
      </c>
      <c r="B5898">
        <v>199</v>
      </c>
      <c r="C5898" t="str">
        <f>"23"</f>
        <v>23</v>
      </c>
      <c r="D5898">
        <v>6399</v>
      </c>
      <c r="E5898" t="str">
        <f>"8K"</f>
        <v>8K</v>
      </c>
      <c r="F5898" t="str">
        <f>"104"</f>
        <v>104</v>
      </c>
      <c r="G5898">
        <v>9</v>
      </c>
      <c r="H5898" t="str">
        <f>"99"</f>
        <v>99</v>
      </c>
      <c r="I5898" t="str">
        <f t="shared" si="1278"/>
        <v>0</v>
      </c>
      <c r="J5898" t="str">
        <f>"05"</f>
        <v>05</v>
      </c>
      <c r="K5898">
        <v>20190419</v>
      </c>
      <c r="L5898" t="str">
        <f t="shared" si="1285"/>
        <v>076540</v>
      </c>
      <c r="M5898" t="str">
        <f t="shared" si="1286"/>
        <v>72730</v>
      </c>
      <c r="N5898" t="s">
        <v>639</v>
      </c>
      <c r="O5898">
        <v>160.1</v>
      </c>
      <c r="P5898">
        <v>20190418</v>
      </c>
      <c r="Q5898" t="s">
        <v>2326</v>
      </c>
      <c r="R5898" t="s">
        <v>4707</v>
      </c>
      <c r="S5898" t="s">
        <v>1615</v>
      </c>
      <c r="T5898" t="s">
        <v>46</v>
      </c>
    </row>
    <row r="5899" spans="1:20" x14ac:dyDescent="0.25">
      <c r="A5899">
        <v>9</v>
      </c>
      <c r="B5899">
        <v>199</v>
      </c>
      <c r="C5899" t="str">
        <f>"23"</f>
        <v>23</v>
      </c>
      <c r="D5899">
        <v>6399</v>
      </c>
      <c r="E5899" t="str">
        <f>"8K"</f>
        <v>8K</v>
      </c>
      <c r="F5899" t="str">
        <f>"104"</f>
        <v>104</v>
      </c>
      <c r="G5899">
        <v>9</v>
      </c>
      <c r="H5899" t="str">
        <f>"99"</f>
        <v>99</v>
      </c>
      <c r="I5899" t="str">
        <f t="shared" si="1278"/>
        <v>0</v>
      </c>
      <c r="J5899" t="str">
        <f>"05"</f>
        <v>05</v>
      </c>
      <c r="K5899">
        <v>20190419</v>
      </c>
      <c r="L5899" t="str">
        <f t="shared" si="1285"/>
        <v>076540</v>
      </c>
      <c r="M5899" t="str">
        <f t="shared" si="1286"/>
        <v>72730</v>
      </c>
      <c r="N5899" t="s">
        <v>639</v>
      </c>
      <c r="O5899">
        <v>103.41</v>
      </c>
      <c r="P5899">
        <v>20190418</v>
      </c>
      <c r="Q5899" t="s">
        <v>2326</v>
      </c>
      <c r="R5899" t="s">
        <v>641</v>
      </c>
      <c r="S5899" t="s">
        <v>1615</v>
      </c>
      <c r="T5899" t="s">
        <v>46</v>
      </c>
    </row>
    <row r="5900" spans="1:20" x14ac:dyDescent="0.25">
      <c r="A5900">
        <v>9</v>
      </c>
      <c r="B5900">
        <v>199</v>
      </c>
      <c r="C5900" t="str">
        <f>"23"</f>
        <v>23</v>
      </c>
      <c r="D5900">
        <v>6399</v>
      </c>
      <c r="E5900" t="str">
        <f>"8K"</f>
        <v>8K</v>
      </c>
      <c r="F5900" t="str">
        <f>"104"</f>
        <v>104</v>
      </c>
      <c r="G5900">
        <v>9</v>
      </c>
      <c r="H5900" t="str">
        <f>"99"</f>
        <v>99</v>
      </c>
      <c r="I5900" t="str">
        <f t="shared" si="1278"/>
        <v>0</v>
      </c>
      <c r="J5900" t="str">
        <f>"05"</f>
        <v>05</v>
      </c>
      <c r="K5900">
        <v>20190419</v>
      </c>
      <c r="L5900" t="str">
        <f t="shared" si="1285"/>
        <v>076540</v>
      </c>
      <c r="M5900" t="str">
        <f t="shared" si="1286"/>
        <v>72730</v>
      </c>
      <c r="N5900" t="s">
        <v>639</v>
      </c>
      <c r="O5900">
        <v>68.849999999999994</v>
      </c>
      <c r="P5900">
        <v>20190418</v>
      </c>
      <c r="Q5900" t="s">
        <v>2326</v>
      </c>
      <c r="R5900" t="s">
        <v>4708</v>
      </c>
      <c r="S5900" t="s">
        <v>1615</v>
      </c>
      <c r="T5900" t="s">
        <v>46</v>
      </c>
    </row>
    <row r="5901" spans="1:20" x14ac:dyDescent="0.25">
      <c r="A5901">
        <v>9</v>
      </c>
      <c r="B5901">
        <v>199</v>
      </c>
      <c r="C5901" t="str">
        <f>"51"</f>
        <v>51</v>
      </c>
      <c r="D5901">
        <v>6399</v>
      </c>
      <c r="E5901" t="str">
        <f>"10"</f>
        <v>10</v>
      </c>
      <c r="F5901" t="str">
        <f>"936"</f>
        <v>936</v>
      </c>
      <c r="G5901">
        <v>9</v>
      </c>
      <c r="H5901" t="str">
        <f>"99"</f>
        <v>99</v>
      </c>
      <c r="I5901" t="str">
        <f t="shared" si="1278"/>
        <v>0</v>
      </c>
      <c r="J5901" t="str">
        <f>"81"</f>
        <v>81</v>
      </c>
      <c r="K5901">
        <v>20190419</v>
      </c>
      <c r="L5901" t="str">
        <f t="shared" si="1285"/>
        <v>076540</v>
      </c>
      <c r="M5901" t="str">
        <f t="shared" si="1286"/>
        <v>72730</v>
      </c>
      <c r="N5901" t="s">
        <v>639</v>
      </c>
      <c r="O5901">
        <v>119.5</v>
      </c>
      <c r="P5901">
        <v>20190418</v>
      </c>
      <c r="Q5901" t="s">
        <v>3264</v>
      </c>
      <c r="R5901" t="s">
        <v>4709</v>
      </c>
      <c r="S5901" t="s">
        <v>1615</v>
      </c>
      <c r="T5901" t="s">
        <v>1713</v>
      </c>
    </row>
    <row r="5902" spans="1:20" x14ac:dyDescent="0.25">
      <c r="A5902">
        <v>9</v>
      </c>
      <c r="B5902">
        <v>199</v>
      </c>
      <c r="C5902" t="str">
        <f>"12"</f>
        <v>12</v>
      </c>
      <c r="D5902">
        <v>6299</v>
      </c>
      <c r="E5902" t="str">
        <f>"7U"</f>
        <v>7U</v>
      </c>
      <c r="F5902" t="str">
        <f>"104"</f>
        <v>104</v>
      </c>
      <c r="G5902">
        <v>9</v>
      </c>
      <c r="H5902" t="str">
        <f>"11"</f>
        <v>11</v>
      </c>
      <c r="I5902" t="str">
        <f t="shared" si="1278"/>
        <v>0</v>
      </c>
      <c r="J5902" t="str">
        <f>"05"</f>
        <v>05</v>
      </c>
      <c r="K5902">
        <v>20190419</v>
      </c>
      <c r="L5902" t="str">
        <f>"076541"</f>
        <v>076541</v>
      </c>
      <c r="M5902" t="str">
        <f>"53995"</f>
        <v>53995</v>
      </c>
      <c r="N5902" t="s">
        <v>3989</v>
      </c>
      <c r="O5902">
        <v>450</v>
      </c>
      <c r="P5902">
        <v>20190418</v>
      </c>
      <c r="Q5902" t="s">
        <v>4710</v>
      </c>
      <c r="R5902" t="s">
        <v>4711</v>
      </c>
      <c r="S5902" t="s">
        <v>1615</v>
      </c>
      <c r="T5902" t="s">
        <v>46</v>
      </c>
    </row>
    <row r="5903" spans="1:20" x14ac:dyDescent="0.25">
      <c r="A5903">
        <v>9</v>
      </c>
      <c r="B5903">
        <v>199</v>
      </c>
      <c r="C5903" t="str">
        <f>"23"</f>
        <v>23</v>
      </c>
      <c r="D5903">
        <v>6495</v>
      </c>
      <c r="E5903" t="str">
        <f>"10"</f>
        <v>10</v>
      </c>
      <c r="F5903" t="str">
        <f>"002"</f>
        <v>002</v>
      </c>
      <c r="G5903">
        <v>9</v>
      </c>
      <c r="H5903" t="str">
        <f>"99"</f>
        <v>99</v>
      </c>
      <c r="I5903" t="str">
        <f t="shared" si="1278"/>
        <v>0</v>
      </c>
      <c r="J5903" t="str">
        <f>"02"</f>
        <v>02</v>
      </c>
      <c r="K5903">
        <v>20190419</v>
      </c>
      <c r="L5903" t="str">
        <f>"076542"</f>
        <v>076542</v>
      </c>
      <c r="M5903" t="str">
        <f>"74220"</f>
        <v>74220</v>
      </c>
      <c r="N5903" t="s">
        <v>1565</v>
      </c>
      <c r="O5903">
        <v>300</v>
      </c>
      <c r="P5903">
        <v>20190418</v>
      </c>
      <c r="Q5903" t="s">
        <v>4362</v>
      </c>
      <c r="R5903" t="s">
        <v>1755</v>
      </c>
      <c r="S5903" t="s">
        <v>1615</v>
      </c>
      <c r="T5903" t="s">
        <v>1485</v>
      </c>
    </row>
    <row r="5904" spans="1:20" x14ac:dyDescent="0.25">
      <c r="A5904">
        <v>9</v>
      </c>
      <c r="B5904">
        <v>199</v>
      </c>
      <c r="C5904" t="str">
        <f>"51"</f>
        <v>51</v>
      </c>
      <c r="D5904">
        <v>6219</v>
      </c>
      <c r="E5904" t="str">
        <f>"M7"</f>
        <v>M7</v>
      </c>
      <c r="F5904" t="str">
        <f>"936"</f>
        <v>936</v>
      </c>
      <c r="G5904">
        <v>9</v>
      </c>
      <c r="H5904" t="str">
        <f>"99"</f>
        <v>99</v>
      </c>
      <c r="I5904" t="str">
        <f t="shared" si="1278"/>
        <v>0</v>
      </c>
      <c r="J5904" t="str">
        <f>"81"</f>
        <v>81</v>
      </c>
      <c r="K5904">
        <v>20190419</v>
      </c>
      <c r="L5904" t="str">
        <f>"076543"</f>
        <v>076543</v>
      </c>
      <c r="M5904" t="str">
        <f>"77120"</f>
        <v>77120</v>
      </c>
      <c r="N5904" t="s">
        <v>1003</v>
      </c>
      <c r="O5904">
        <v>210</v>
      </c>
      <c r="P5904">
        <v>20190418</v>
      </c>
      <c r="Q5904" t="s">
        <v>2259</v>
      </c>
      <c r="R5904" t="s">
        <v>4712</v>
      </c>
      <c r="S5904" t="s">
        <v>1615</v>
      </c>
      <c r="T5904" t="s">
        <v>1713</v>
      </c>
    </row>
    <row r="5905" spans="1:20" x14ac:dyDescent="0.25">
      <c r="A5905">
        <v>9</v>
      </c>
      <c r="B5905">
        <v>199</v>
      </c>
      <c r="C5905" t="str">
        <f>"36"</f>
        <v>36</v>
      </c>
      <c r="D5905">
        <v>6411</v>
      </c>
      <c r="E5905" t="str">
        <f>"7C"</f>
        <v>7C</v>
      </c>
      <c r="F5905" t="str">
        <f>"001"</f>
        <v>001</v>
      </c>
      <c r="G5905">
        <v>9</v>
      </c>
      <c r="H5905" t="str">
        <f>"99"</f>
        <v>99</v>
      </c>
      <c r="I5905" t="str">
        <f t="shared" si="1278"/>
        <v>0</v>
      </c>
      <c r="J5905" t="str">
        <f>"01"</f>
        <v>01</v>
      </c>
      <c r="K5905">
        <v>20190419</v>
      </c>
      <c r="L5905" t="str">
        <f>"076546"</f>
        <v>076546</v>
      </c>
      <c r="M5905" t="str">
        <f>"81719"</f>
        <v>81719</v>
      </c>
      <c r="N5905" t="s">
        <v>4688</v>
      </c>
      <c r="O5905" s="1">
        <v>2572</v>
      </c>
      <c r="P5905">
        <v>20190418</v>
      </c>
      <c r="Q5905" t="s">
        <v>4689</v>
      </c>
      <c r="R5905" t="s">
        <v>4713</v>
      </c>
      <c r="S5905" t="s">
        <v>1615</v>
      </c>
      <c r="T5905" t="s">
        <v>301</v>
      </c>
    </row>
    <row r="5906" spans="1:20" x14ac:dyDescent="0.25">
      <c r="A5906">
        <v>9</v>
      </c>
      <c r="B5906">
        <v>199</v>
      </c>
      <c r="C5906" t="str">
        <f>"36"</f>
        <v>36</v>
      </c>
      <c r="D5906">
        <v>6411</v>
      </c>
      <c r="E5906" t="str">
        <f>"7C"</f>
        <v>7C</v>
      </c>
      <c r="F5906" t="str">
        <f>"001"</f>
        <v>001</v>
      </c>
      <c r="G5906">
        <v>9</v>
      </c>
      <c r="H5906" t="str">
        <f>"99"</f>
        <v>99</v>
      </c>
      <c r="I5906" t="str">
        <f>"1"</f>
        <v>1</v>
      </c>
      <c r="J5906" t="str">
        <f>"01"</f>
        <v>01</v>
      </c>
      <c r="K5906">
        <v>20190419</v>
      </c>
      <c r="L5906" t="str">
        <f>"076546"</f>
        <v>076546</v>
      </c>
      <c r="M5906" t="str">
        <f>"81719"</f>
        <v>81719</v>
      </c>
      <c r="N5906" t="s">
        <v>4688</v>
      </c>
      <c r="O5906">
        <v>234</v>
      </c>
      <c r="P5906">
        <v>20190418</v>
      </c>
      <c r="Q5906" t="s">
        <v>1732</v>
      </c>
      <c r="R5906" t="s">
        <v>4713</v>
      </c>
      <c r="S5906" t="s">
        <v>1615</v>
      </c>
      <c r="T5906" t="s">
        <v>301</v>
      </c>
    </row>
    <row r="5907" spans="1:20" x14ac:dyDescent="0.25">
      <c r="A5907">
        <v>9</v>
      </c>
      <c r="B5907">
        <v>199</v>
      </c>
      <c r="C5907" t="str">
        <f>"36"</f>
        <v>36</v>
      </c>
      <c r="D5907">
        <v>6411</v>
      </c>
      <c r="E5907" t="str">
        <f>"7C"</f>
        <v>7C</v>
      </c>
      <c r="F5907" t="str">
        <f>"001"</f>
        <v>001</v>
      </c>
      <c r="G5907">
        <v>9</v>
      </c>
      <c r="H5907" t="str">
        <f>"99"</f>
        <v>99</v>
      </c>
      <c r="I5907" t="str">
        <f>"3"</f>
        <v>3</v>
      </c>
      <c r="J5907" t="str">
        <f>"01"</f>
        <v>01</v>
      </c>
      <c r="K5907">
        <v>20190419</v>
      </c>
      <c r="L5907" t="str">
        <f>"076546"</f>
        <v>076546</v>
      </c>
      <c r="M5907" t="str">
        <f>"81719"</f>
        <v>81719</v>
      </c>
      <c r="N5907" t="s">
        <v>4688</v>
      </c>
      <c r="O5907">
        <v>29</v>
      </c>
      <c r="P5907">
        <v>20190418</v>
      </c>
      <c r="Q5907" t="s">
        <v>4714</v>
      </c>
      <c r="R5907" t="s">
        <v>4713</v>
      </c>
      <c r="S5907" t="s">
        <v>1615</v>
      </c>
      <c r="T5907" t="s">
        <v>301</v>
      </c>
    </row>
    <row r="5908" spans="1:20" x14ac:dyDescent="0.25">
      <c r="A5908">
        <v>9</v>
      </c>
      <c r="B5908">
        <v>199</v>
      </c>
      <c r="C5908" t="str">
        <f t="shared" ref="C5908:C5916" si="1287">"11"</f>
        <v>11</v>
      </c>
      <c r="D5908">
        <v>6399</v>
      </c>
      <c r="E5908" t="str">
        <f>"45"</f>
        <v>45</v>
      </c>
      <c r="F5908" t="str">
        <f>"101"</f>
        <v>101</v>
      </c>
      <c r="G5908">
        <v>9</v>
      </c>
      <c r="H5908" t="str">
        <f>"11"</f>
        <v>11</v>
      </c>
      <c r="I5908" t="str">
        <f t="shared" ref="I5908:I5929" si="1288">"0"</f>
        <v>0</v>
      </c>
      <c r="J5908" t="str">
        <f>"04"</f>
        <v>04</v>
      </c>
      <c r="K5908">
        <v>20190426</v>
      </c>
      <c r="L5908" t="str">
        <f>"076549"</f>
        <v>076549</v>
      </c>
      <c r="M5908" t="str">
        <f>"00314"</f>
        <v>00314</v>
      </c>
      <c r="N5908" t="s">
        <v>1858</v>
      </c>
      <c r="O5908">
        <v>107.96</v>
      </c>
      <c r="P5908">
        <v>20190424</v>
      </c>
      <c r="Q5908" t="s">
        <v>1859</v>
      </c>
      <c r="R5908" t="s">
        <v>1959</v>
      </c>
      <c r="S5908" t="s">
        <v>1615</v>
      </c>
      <c r="T5908" t="s">
        <v>1479</v>
      </c>
    </row>
    <row r="5909" spans="1:20" x14ac:dyDescent="0.25">
      <c r="A5909">
        <v>9</v>
      </c>
      <c r="B5909">
        <v>199</v>
      </c>
      <c r="C5909" t="str">
        <f t="shared" si="1287"/>
        <v>11</v>
      </c>
      <c r="D5909">
        <v>6339</v>
      </c>
      <c r="E5909" t="str">
        <f>"11"</f>
        <v>11</v>
      </c>
      <c r="F5909" t="str">
        <f>"001"</f>
        <v>001</v>
      </c>
      <c r="G5909">
        <v>9</v>
      </c>
      <c r="H5909" t="str">
        <f>"11"</f>
        <v>11</v>
      </c>
      <c r="I5909" t="str">
        <f t="shared" si="1288"/>
        <v>0</v>
      </c>
      <c r="J5909" t="str">
        <f>"01"</f>
        <v>01</v>
      </c>
      <c r="K5909">
        <v>20190426</v>
      </c>
      <c r="L5909" t="str">
        <f t="shared" ref="L5909:L5919" si="1289">"076550"</f>
        <v>076550</v>
      </c>
      <c r="M5909" t="str">
        <f t="shared" ref="M5909:M5919" si="1290">"04410"</f>
        <v>04410</v>
      </c>
      <c r="N5909" t="s">
        <v>410</v>
      </c>
      <c r="O5909">
        <v>160.47</v>
      </c>
      <c r="P5909">
        <v>20190424</v>
      </c>
      <c r="Q5909" t="s">
        <v>3336</v>
      </c>
      <c r="R5909" t="s">
        <v>4715</v>
      </c>
      <c r="S5909" t="s">
        <v>1615</v>
      </c>
      <c r="T5909" t="s">
        <v>301</v>
      </c>
    </row>
    <row r="5910" spans="1:20" x14ac:dyDescent="0.25">
      <c r="A5910">
        <v>9</v>
      </c>
      <c r="B5910">
        <v>199</v>
      </c>
      <c r="C5910" t="str">
        <f t="shared" si="1287"/>
        <v>11</v>
      </c>
      <c r="D5910">
        <v>6339</v>
      </c>
      <c r="E5910" t="str">
        <f>"11"</f>
        <v>11</v>
      </c>
      <c r="F5910" t="str">
        <f>"001"</f>
        <v>001</v>
      </c>
      <c r="G5910">
        <v>9</v>
      </c>
      <c r="H5910" t="str">
        <f>"11"</f>
        <v>11</v>
      </c>
      <c r="I5910" t="str">
        <f t="shared" si="1288"/>
        <v>0</v>
      </c>
      <c r="J5910" t="str">
        <f>"01"</f>
        <v>01</v>
      </c>
      <c r="K5910">
        <v>20190426</v>
      </c>
      <c r="L5910" t="str">
        <f t="shared" si="1289"/>
        <v>076550</v>
      </c>
      <c r="M5910" t="str">
        <f t="shared" si="1290"/>
        <v>04410</v>
      </c>
      <c r="N5910" t="s">
        <v>410</v>
      </c>
      <c r="O5910">
        <v>374.09</v>
      </c>
      <c r="P5910">
        <v>20190424</v>
      </c>
      <c r="Q5910" t="s">
        <v>3336</v>
      </c>
      <c r="R5910" t="s">
        <v>4716</v>
      </c>
      <c r="S5910" t="s">
        <v>1615</v>
      </c>
      <c r="T5910" t="s">
        <v>301</v>
      </c>
    </row>
    <row r="5911" spans="1:20" x14ac:dyDescent="0.25">
      <c r="A5911">
        <v>9</v>
      </c>
      <c r="B5911">
        <v>199</v>
      </c>
      <c r="C5911" t="str">
        <f t="shared" si="1287"/>
        <v>11</v>
      </c>
      <c r="D5911">
        <v>6399</v>
      </c>
      <c r="E5911" t="str">
        <f>"00"</f>
        <v>00</v>
      </c>
      <c r="F5911" t="str">
        <f>"104"</f>
        <v>104</v>
      </c>
      <c r="G5911">
        <v>9</v>
      </c>
      <c r="H5911" t="str">
        <f>"23"</f>
        <v>23</v>
      </c>
      <c r="I5911" t="str">
        <f t="shared" si="1288"/>
        <v>0</v>
      </c>
      <c r="J5911" t="str">
        <f>"23"</f>
        <v>23</v>
      </c>
      <c r="K5911">
        <v>20190426</v>
      </c>
      <c r="L5911" t="str">
        <f t="shared" si="1289"/>
        <v>076550</v>
      </c>
      <c r="M5911" t="str">
        <f t="shared" si="1290"/>
        <v>04410</v>
      </c>
      <c r="N5911" t="s">
        <v>410</v>
      </c>
      <c r="O5911">
        <v>11.82</v>
      </c>
      <c r="P5911">
        <v>20190424</v>
      </c>
      <c r="Q5911" t="s">
        <v>4318</v>
      </c>
      <c r="R5911" t="s">
        <v>4717</v>
      </c>
      <c r="S5911" t="s">
        <v>1615</v>
      </c>
      <c r="T5911" t="s">
        <v>46</v>
      </c>
    </row>
    <row r="5912" spans="1:20" x14ac:dyDescent="0.25">
      <c r="A5912">
        <v>9</v>
      </c>
      <c r="B5912">
        <v>199</v>
      </c>
      <c r="C5912" t="str">
        <f t="shared" si="1287"/>
        <v>11</v>
      </c>
      <c r="D5912">
        <v>6399</v>
      </c>
      <c r="E5912" t="str">
        <f>"01"</f>
        <v>01</v>
      </c>
      <c r="F5912" t="str">
        <f>"001"</f>
        <v>001</v>
      </c>
      <c r="G5912">
        <v>9</v>
      </c>
      <c r="H5912" t="str">
        <f>"25"</f>
        <v>25</v>
      </c>
      <c r="I5912" t="str">
        <f t="shared" si="1288"/>
        <v>0</v>
      </c>
      <c r="J5912" t="str">
        <f>"25"</f>
        <v>25</v>
      </c>
      <c r="K5912">
        <v>20190426</v>
      </c>
      <c r="L5912" t="str">
        <f t="shared" si="1289"/>
        <v>076550</v>
      </c>
      <c r="M5912" t="str">
        <f t="shared" si="1290"/>
        <v>04410</v>
      </c>
      <c r="N5912" t="s">
        <v>410</v>
      </c>
      <c r="O5912">
        <v>95.96</v>
      </c>
      <c r="P5912">
        <v>20190424</v>
      </c>
      <c r="Q5912" t="s">
        <v>4192</v>
      </c>
      <c r="R5912" t="s">
        <v>4718</v>
      </c>
      <c r="S5912" t="s">
        <v>1615</v>
      </c>
      <c r="T5912" t="s">
        <v>301</v>
      </c>
    </row>
    <row r="5913" spans="1:20" x14ac:dyDescent="0.25">
      <c r="A5913">
        <v>9</v>
      </c>
      <c r="B5913">
        <v>199</v>
      </c>
      <c r="C5913" t="str">
        <f t="shared" si="1287"/>
        <v>11</v>
      </c>
      <c r="D5913">
        <v>6399</v>
      </c>
      <c r="E5913" t="str">
        <f>"01"</f>
        <v>01</v>
      </c>
      <c r="F5913" t="str">
        <f>"001"</f>
        <v>001</v>
      </c>
      <c r="G5913">
        <v>9</v>
      </c>
      <c r="H5913" t="str">
        <f>"25"</f>
        <v>25</v>
      </c>
      <c r="I5913" t="str">
        <f t="shared" si="1288"/>
        <v>0</v>
      </c>
      <c r="J5913" t="str">
        <f>"25"</f>
        <v>25</v>
      </c>
      <c r="K5913">
        <v>20190426</v>
      </c>
      <c r="L5913" t="str">
        <f t="shared" si="1289"/>
        <v>076550</v>
      </c>
      <c r="M5913" t="str">
        <f t="shared" si="1290"/>
        <v>04410</v>
      </c>
      <c r="N5913" t="s">
        <v>410</v>
      </c>
      <c r="O5913">
        <v>43.64</v>
      </c>
      <c r="P5913">
        <v>20190424</v>
      </c>
      <c r="Q5913" t="s">
        <v>4192</v>
      </c>
      <c r="R5913" t="s">
        <v>4718</v>
      </c>
      <c r="S5913" t="s">
        <v>1615</v>
      </c>
      <c r="T5913" t="s">
        <v>301</v>
      </c>
    </row>
    <row r="5914" spans="1:20" x14ac:dyDescent="0.25">
      <c r="A5914">
        <v>9</v>
      </c>
      <c r="B5914">
        <v>199</v>
      </c>
      <c r="C5914" t="str">
        <f t="shared" si="1287"/>
        <v>11</v>
      </c>
      <c r="D5914">
        <v>6399</v>
      </c>
      <c r="E5914" t="str">
        <f>"10"</f>
        <v>10</v>
      </c>
      <c r="F5914" t="str">
        <f>"101"</f>
        <v>101</v>
      </c>
      <c r="G5914">
        <v>9</v>
      </c>
      <c r="H5914" t="str">
        <f>"11"</f>
        <v>11</v>
      </c>
      <c r="I5914" t="str">
        <f t="shared" si="1288"/>
        <v>0</v>
      </c>
      <c r="J5914" t="str">
        <f>"80"</f>
        <v>80</v>
      </c>
      <c r="K5914">
        <v>20190426</v>
      </c>
      <c r="L5914" t="str">
        <f t="shared" si="1289"/>
        <v>076550</v>
      </c>
      <c r="M5914" t="str">
        <f t="shared" si="1290"/>
        <v>04410</v>
      </c>
      <c r="N5914" t="s">
        <v>410</v>
      </c>
      <c r="O5914">
        <v>179</v>
      </c>
      <c r="P5914">
        <v>20190424</v>
      </c>
      <c r="Q5914" t="s">
        <v>1981</v>
      </c>
      <c r="R5914" t="s">
        <v>1993</v>
      </c>
      <c r="S5914" t="s">
        <v>1615</v>
      </c>
      <c r="T5914" t="s">
        <v>1479</v>
      </c>
    </row>
    <row r="5915" spans="1:20" x14ac:dyDescent="0.25">
      <c r="A5915">
        <v>9</v>
      </c>
      <c r="B5915">
        <v>199</v>
      </c>
      <c r="C5915" t="str">
        <f t="shared" si="1287"/>
        <v>11</v>
      </c>
      <c r="D5915">
        <v>6399</v>
      </c>
      <c r="E5915" t="str">
        <f>"7E"</f>
        <v>7E</v>
      </c>
      <c r="F5915" t="str">
        <f>"001"</f>
        <v>001</v>
      </c>
      <c r="G5915">
        <v>9</v>
      </c>
      <c r="H5915" t="str">
        <f>"11"</f>
        <v>11</v>
      </c>
      <c r="I5915" t="str">
        <f t="shared" si="1288"/>
        <v>0</v>
      </c>
      <c r="J5915" t="str">
        <f>"31"</f>
        <v>31</v>
      </c>
      <c r="K5915">
        <v>20190426</v>
      </c>
      <c r="L5915" t="str">
        <f t="shared" si="1289"/>
        <v>076550</v>
      </c>
      <c r="M5915" t="str">
        <f t="shared" si="1290"/>
        <v>04410</v>
      </c>
      <c r="N5915" t="s">
        <v>410</v>
      </c>
      <c r="O5915">
        <v>65.209999999999994</v>
      </c>
      <c r="P5915">
        <v>20190424</v>
      </c>
      <c r="Q5915" t="s">
        <v>2382</v>
      </c>
      <c r="R5915" t="s">
        <v>4719</v>
      </c>
      <c r="S5915" t="s">
        <v>1615</v>
      </c>
      <c r="T5915" t="s">
        <v>301</v>
      </c>
    </row>
    <row r="5916" spans="1:20" x14ac:dyDescent="0.25">
      <c r="A5916">
        <v>9</v>
      </c>
      <c r="B5916">
        <v>199</v>
      </c>
      <c r="C5916" t="str">
        <f t="shared" si="1287"/>
        <v>11</v>
      </c>
      <c r="D5916">
        <v>6399</v>
      </c>
      <c r="E5916" t="str">
        <f>"8P"</f>
        <v>8P</v>
      </c>
      <c r="F5916" t="str">
        <f>"001"</f>
        <v>001</v>
      </c>
      <c r="G5916">
        <v>9</v>
      </c>
      <c r="H5916" t="str">
        <f>"11"</f>
        <v>11</v>
      </c>
      <c r="I5916" t="str">
        <f t="shared" si="1288"/>
        <v>0</v>
      </c>
      <c r="J5916" t="str">
        <f>"01"</f>
        <v>01</v>
      </c>
      <c r="K5916">
        <v>20190426</v>
      </c>
      <c r="L5916" t="str">
        <f t="shared" si="1289"/>
        <v>076550</v>
      </c>
      <c r="M5916" t="str">
        <f t="shared" si="1290"/>
        <v>04410</v>
      </c>
      <c r="N5916" t="s">
        <v>410</v>
      </c>
      <c r="O5916">
        <v>80.239999999999995</v>
      </c>
      <c r="P5916">
        <v>20190424</v>
      </c>
      <c r="Q5916" t="s">
        <v>2319</v>
      </c>
      <c r="R5916" t="s">
        <v>4720</v>
      </c>
      <c r="S5916" t="s">
        <v>1615</v>
      </c>
      <c r="T5916" t="s">
        <v>301</v>
      </c>
    </row>
    <row r="5917" spans="1:20" x14ac:dyDescent="0.25">
      <c r="A5917">
        <v>9</v>
      </c>
      <c r="B5917">
        <v>199</v>
      </c>
      <c r="C5917" t="str">
        <f>"36"</f>
        <v>36</v>
      </c>
      <c r="D5917">
        <v>6399</v>
      </c>
      <c r="E5917" t="str">
        <f>"7C"</f>
        <v>7C</v>
      </c>
      <c r="F5917" t="str">
        <f>"001"</f>
        <v>001</v>
      </c>
      <c r="G5917">
        <v>9</v>
      </c>
      <c r="H5917" t="str">
        <f>"99"</f>
        <v>99</v>
      </c>
      <c r="I5917" t="str">
        <f t="shared" si="1288"/>
        <v>0</v>
      </c>
      <c r="J5917" t="str">
        <f>"01"</f>
        <v>01</v>
      </c>
      <c r="K5917">
        <v>20190426</v>
      </c>
      <c r="L5917" t="str">
        <f t="shared" si="1289"/>
        <v>076550</v>
      </c>
      <c r="M5917" t="str">
        <f t="shared" si="1290"/>
        <v>04410</v>
      </c>
      <c r="N5917" t="s">
        <v>410</v>
      </c>
      <c r="O5917">
        <v>66.98</v>
      </c>
      <c r="P5917">
        <v>20190424</v>
      </c>
      <c r="Q5917" t="s">
        <v>4579</v>
      </c>
      <c r="R5917" t="s">
        <v>4721</v>
      </c>
      <c r="S5917" t="s">
        <v>1615</v>
      </c>
      <c r="T5917" t="s">
        <v>301</v>
      </c>
    </row>
    <row r="5918" spans="1:20" x14ac:dyDescent="0.25">
      <c r="A5918">
        <v>9</v>
      </c>
      <c r="B5918">
        <v>199</v>
      </c>
      <c r="C5918" t="str">
        <f>"41"</f>
        <v>41</v>
      </c>
      <c r="D5918">
        <v>6329</v>
      </c>
      <c r="E5918" t="str">
        <f>"10"</f>
        <v>10</v>
      </c>
      <c r="F5918" t="str">
        <f>"701"</f>
        <v>701</v>
      </c>
      <c r="G5918">
        <v>9</v>
      </c>
      <c r="H5918" t="str">
        <f>"99"</f>
        <v>99</v>
      </c>
      <c r="I5918" t="str">
        <f t="shared" si="1288"/>
        <v>0</v>
      </c>
      <c r="J5918" t="str">
        <f>"92"</f>
        <v>92</v>
      </c>
      <c r="K5918">
        <v>20190426</v>
      </c>
      <c r="L5918" t="str">
        <f t="shared" si="1289"/>
        <v>076550</v>
      </c>
      <c r="M5918" t="str">
        <f t="shared" si="1290"/>
        <v>04410</v>
      </c>
      <c r="N5918" t="s">
        <v>410</v>
      </c>
      <c r="O5918">
        <v>68.42</v>
      </c>
      <c r="P5918">
        <v>20190424</v>
      </c>
      <c r="Q5918" t="s">
        <v>2305</v>
      </c>
      <c r="R5918" t="s">
        <v>4722</v>
      </c>
      <c r="S5918" t="s">
        <v>1615</v>
      </c>
      <c r="T5918" t="s">
        <v>1841</v>
      </c>
    </row>
    <row r="5919" spans="1:20" x14ac:dyDescent="0.25">
      <c r="A5919">
        <v>9</v>
      </c>
      <c r="B5919">
        <v>199</v>
      </c>
      <c r="C5919" t="str">
        <f>"41"</f>
        <v>41</v>
      </c>
      <c r="D5919">
        <v>6399</v>
      </c>
      <c r="E5919" t="str">
        <f>"10"</f>
        <v>10</v>
      </c>
      <c r="F5919" t="str">
        <f>"730"</f>
        <v>730</v>
      </c>
      <c r="G5919">
        <v>9</v>
      </c>
      <c r="H5919" t="str">
        <f>"99"</f>
        <v>99</v>
      </c>
      <c r="I5919" t="str">
        <f t="shared" si="1288"/>
        <v>0</v>
      </c>
      <c r="J5919" t="str">
        <f>"95"</f>
        <v>95</v>
      </c>
      <c r="K5919">
        <v>20190426</v>
      </c>
      <c r="L5919" t="str">
        <f t="shared" si="1289"/>
        <v>076550</v>
      </c>
      <c r="M5919" t="str">
        <f t="shared" si="1290"/>
        <v>04410</v>
      </c>
      <c r="N5919" t="s">
        <v>410</v>
      </c>
      <c r="O5919">
        <v>85.99</v>
      </c>
      <c r="P5919">
        <v>20190424</v>
      </c>
      <c r="Q5919" t="s">
        <v>1987</v>
      </c>
      <c r="R5919" t="s">
        <v>4723</v>
      </c>
      <c r="S5919" t="s">
        <v>1615</v>
      </c>
      <c r="T5919" t="s">
        <v>1794</v>
      </c>
    </row>
    <row r="5920" spans="1:20" x14ac:dyDescent="0.25">
      <c r="A5920">
        <v>9</v>
      </c>
      <c r="B5920">
        <v>199</v>
      </c>
      <c r="C5920" t="str">
        <f>"11"</f>
        <v>11</v>
      </c>
      <c r="D5920">
        <v>6649</v>
      </c>
      <c r="E5920" t="str">
        <f>"V1"</f>
        <v>V1</v>
      </c>
      <c r="F5920" t="str">
        <f>"001"</f>
        <v>001</v>
      </c>
      <c r="G5920">
        <v>9</v>
      </c>
      <c r="H5920" t="str">
        <f>"22"</f>
        <v>22</v>
      </c>
      <c r="I5920" t="str">
        <f t="shared" si="1288"/>
        <v>0</v>
      </c>
      <c r="J5920" t="str">
        <f>"22"</f>
        <v>22</v>
      </c>
      <c r="K5920">
        <v>20190426</v>
      </c>
      <c r="L5920" t="str">
        <f>"076551"</f>
        <v>076551</v>
      </c>
      <c r="M5920" t="str">
        <f>"06509"</f>
        <v>06509</v>
      </c>
      <c r="N5920" t="s">
        <v>1545</v>
      </c>
      <c r="O5920" s="1">
        <v>1287</v>
      </c>
      <c r="P5920">
        <v>20190424</v>
      </c>
      <c r="Q5920" t="s">
        <v>4724</v>
      </c>
      <c r="R5920" t="s">
        <v>4725</v>
      </c>
      <c r="S5920" t="s">
        <v>1615</v>
      </c>
      <c r="T5920" t="s">
        <v>301</v>
      </c>
    </row>
    <row r="5921" spans="1:20" x14ac:dyDescent="0.25">
      <c r="A5921">
        <v>9</v>
      </c>
      <c r="B5921">
        <v>199</v>
      </c>
      <c r="C5921" t="str">
        <f>"11"</f>
        <v>11</v>
      </c>
      <c r="D5921">
        <v>6649</v>
      </c>
      <c r="E5921" t="str">
        <f>"VC"</f>
        <v>VC</v>
      </c>
      <c r="F5921" t="str">
        <f>"001"</f>
        <v>001</v>
      </c>
      <c r="G5921">
        <v>9</v>
      </c>
      <c r="H5921" t="str">
        <f>"22"</f>
        <v>22</v>
      </c>
      <c r="I5921" t="str">
        <f t="shared" si="1288"/>
        <v>0</v>
      </c>
      <c r="J5921" t="str">
        <f>"22"</f>
        <v>22</v>
      </c>
      <c r="K5921">
        <v>20190426</v>
      </c>
      <c r="L5921" t="str">
        <f>"076551"</f>
        <v>076551</v>
      </c>
      <c r="M5921" t="str">
        <f>"06509"</f>
        <v>06509</v>
      </c>
      <c r="N5921" t="s">
        <v>1545</v>
      </c>
      <c r="O5921">
        <v>12</v>
      </c>
      <c r="P5921">
        <v>20190424</v>
      </c>
      <c r="Q5921" t="s">
        <v>4726</v>
      </c>
      <c r="R5921" t="s">
        <v>4725</v>
      </c>
      <c r="S5921" t="s">
        <v>1615</v>
      </c>
      <c r="T5921" t="s">
        <v>301</v>
      </c>
    </row>
    <row r="5922" spans="1:20" x14ac:dyDescent="0.25">
      <c r="A5922">
        <v>9</v>
      </c>
      <c r="B5922">
        <v>199</v>
      </c>
      <c r="C5922" t="str">
        <f>"11"</f>
        <v>11</v>
      </c>
      <c r="D5922">
        <v>6649</v>
      </c>
      <c r="E5922" t="str">
        <f>"VC"</f>
        <v>VC</v>
      </c>
      <c r="F5922" t="str">
        <f>"001"</f>
        <v>001</v>
      </c>
      <c r="G5922">
        <v>9</v>
      </c>
      <c r="H5922" t="str">
        <f>"22"</f>
        <v>22</v>
      </c>
      <c r="I5922" t="str">
        <f t="shared" si="1288"/>
        <v>0</v>
      </c>
      <c r="J5922" t="str">
        <f>"22"</f>
        <v>22</v>
      </c>
      <c r="K5922">
        <v>20190426</v>
      </c>
      <c r="L5922" t="str">
        <f>"076551"</f>
        <v>076551</v>
      </c>
      <c r="M5922" t="str">
        <f>"06509"</f>
        <v>06509</v>
      </c>
      <c r="N5922" t="s">
        <v>1545</v>
      </c>
      <c r="O5922">
        <v>179</v>
      </c>
      <c r="P5922">
        <v>20190424</v>
      </c>
      <c r="Q5922" t="s">
        <v>4726</v>
      </c>
      <c r="R5922" t="s">
        <v>4727</v>
      </c>
      <c r="S5922" t="s">
        <v>1615</v>
      </c>
      <c r="T5922" t="s">
        <v>301</v>
      </c>
    </row>
    <row r="5923" spans="1:20" x14ac:dyDescent="0.25">
      <c r="A5923">
        <v>9</v>
      </c>
      <c r="B5923">
        <v>199</v>
      </c>
      <c r="C5923" t="str">
        <f>"11"</f>
        <v>11</v>
      </c>
      <c r="D5923">
        <v>6399</v>
      </c>
      <c r="E5923" t="str">
        <f>"AP"</f>
        <v>AP</v>
      </c>
      <c r="F5923" t="str">
        <f>"001"</f>
        <v>001</v>
      </c>
      <c r="G5923">
        <v>9</v>
      </c>
      <c r="H5923" t="str">
        <f>"31"</f>
        <v>31</v>
      </c>
      <c r="I5923" t="str">
        <f t="shared" si="1288"/>
        <v>0</v>
      </c>
      <c r="J5923" t="str">
        <f>"34"</f>
        <v>34</v>
      </c>
      <c r="K5923">
        <v>20190426</v>
      </c>
      <c r="L5923" t="str">
        <f>"076552"</f>
        <v>076552</v>
      </c>
      <c r="M5923" t="str">
        <f>"06512"</f>
        <v>06512</v>
      </c>
      <c r="N5923" t="s">
        <v>2968</v>
      </c>
      <c r="O5923">
        <v>201.6</v>
      </c>
      <c r="P5923">
        <v>20190424</v>
      </c>
      <c r="Q5923" t="s">
        <v>1677</v>
      </c>
      <c r="R5923" t="s">
        <v>4728</v>
      </c>
      <c r="S5923" t="s">
        <v>1615</v>
      </c>
      <c r="T5923" t="s">
        <v>301</v>
      </c>
    </row>
    <row r="5924" spans="1:20" x14ac:dyDescent="0.25">
      <c r="A5924">
        <v>9</v>
      </c>
      <c r="B5924">
        <v>199</v>
      </c>
      <c r="C5924" t="str">
        <f>"51"</f>
        <v>51</v>
      </c>
      <c r="D5924">
        <v>6256</v>
      </c>
      <c r="E5924" t="str">
        <f>"10"</f>
        <v>10</v>
      </c>
      <c r="F5924" t="str">
        <f>"880"</f>
        <v>880</v>
      </c>
      <c r="G5924">
        <v>9</v>
      </c>
      <c r="H5924" t="str">
        <f>"99"</f>
        <v>99</v>
      </c>
      <c r="I5924" t="str">
        <f t="shared" si="1288"/>
        <v>0</v>
      </c>
      <c r="J5924" t="str">
        <f>"80"</f>
        <v>80</v>
      </c>
      <c r="K5924">
        <v>20190426</v>
      </c>
      <c r="L5924" t="str">
        <f>"076554"</f>
        <v>076554</v>
      </c>
      <c r="M5924" t="str">
        <f>"00390"</f>
        <v>00390</v>
      </c>
      <c r="N5924" t="s">
        <v>1869</v>
      </c>
      <c r="O5924">
        <v>86.44</v>
      </c>
      <c r="P5924">
        <v>20190424</v>
      </c>
      <c r="Q5924" t="s">
        <v>1870</v>
      </c>
      <c r="R5924" t="s">
        <v>4729</v>
      </c>
      <c r="S5924" t="s">
        <v>1615</v>
      </c>
      <c r="T5924" t="s">
        <v>1866</v>
      </c>
    </row>
    <row r="5925" spans="1:20" x14ac:dyDescent="0.25">
      <c r="A5925">
        <v>9</v>
      </c>
      <c r="B5925">
        <v>199</v>
      </c>
      <c r="C5925" t="str">
        <f>"51"</f>
        <v>51</v>
      </c>
      <c r="D5925">
        <v>6256</v>
      </c>
      <c r="E5925" t="str">
        <f>"10"</f>
        <v>10</v>
      </c>
      <c r="F5925" t="str">
        <f>"880"</f>
        <v>880</v>
      </c>
      <c r="G5925">
        <v>9</v>
      </c>
      <c r="H5925" t="str">
        <f>"99"</f>
        <v>99</v>
      </c>
      <c r="I5925" t="str">
        <f t="shared" si="1288"/>
        <v>0</v>
      </c>
      <c r="J5925" t="str">
        <f>"80"</f>
        <v>80</v>
      </c>
      <c r="K5925">
        <v>20190426</v>
      </c>
      <c r="L5925" t="str">
        <f>"076554"</f>
        <v>076554</v>
      </c>
      <c r="M5925" t="str">
        <f>"00390"</f>
        <v>00390</v>
      </c>
      <c r="N5925" t="s">
        <v>1869</v>
      </c>
      <c r="O5925" s="1">
        <v>4344.75</v>
      </c>
      <c r="P5925">
        <v>20190424</v>
      </c>
      <c r="Q5925" t="s">
        <v>1870</v>
      </c>
      <c r="R5925" t="s">
        <v>4729</v>
      </c>
      <c r="S5925" t="s">
        <v>1615</v>
      </c>
      <c r="T5925" t="s">
        <v>1866</v>
      </c>
    </row>
    <row r="5926" spans="1:20" x14ac:dyDescent="0.25">
      <c r="A5926">
        <v>9</v>
      </c>
      <c r="B5926">
        <v>199</v>
      </c>
      <c r="C5926" t="str">
        <f>"11"</f>
        <v>11</v>
      </c>
      <c r="D5926">
        <v>6499</v>
      </c>
      <c r="E5926" t="str">
        <f>"7Q"</f>
        <v>7Q</v>
      </c>
      <c r="F5926" t="str">
        <f>"001"</f>
        <v>001</v>
      </c>
      <c r="G5926">
        <v>9</v>
      </c>
      <c r="H5926" t="str">
        <f>"11"</f>
        <v>11</v>
      </c>
      <c r="I5926" t="str">
        <f t="shared" si="1288"/>
        <v>0</v>
      </c>
      <c r="J5926" t="str">
        <f>"01"</f>
        <v>01</v>
      </c>
      <c r="K5926">
        <v>20190426</v>
      </c>
      <c r="L5926" t="str">
        <f>"076555"</f>
        <v>076555</v>
      </c>
      <c r="M5926" t="str">
        <f>"09009"</f>
        <v>09009</v>
      </c>
      <c r="N5926" t="s">
        <v>4214</v>
      </c>
      <c r="O5926" s="1">
        <v>3123.5</v>
      </c>
      <c r="P5926">
        <v>20190424</v>
      </c>
      <c r="Q5926" t="s">
        <v>4215</v>
      </c>
      <c r="R5926" t="s">
        <v>4730</v>
      </c>
      <c r="S5926" t="s">
        <v>1615</v>
      </c>
      <c r="T5926" t="s">
        <v>301</v>
      </c>
    </row>
    <row r="5927" spans="1:20" x14ac:dyDescent="0.25">
      <c r="A5927">
        <v>9</v>
      </c>
      <c r="B5927">
        <v>199</v>
      </c>
      <c r="C5927" t="str">
        <f>"36"</f>
        <v>36</v>
      </c>
      <c r="D5927">
        <v>6499</v>
      </c>
      <c r="E5927" t="str">
        <f>"7B"</f>
        <v>7B</v>
      </c>
      <c r="F5927" t="str">
        <f>"001"</f>
        <v>001</v>
      </c>
      <c r="G5927">
        <v>9</v>
      </c>
      <c r="H5927" t="str">
        <f>"99"</f>
        <v>99</v>
      </c>
      <c r="I5927" t="str">
        <f t="shared" si="1288"/>
        <v>0</v>
      </c>
      <c r="J5927" t="str">
        <f>"32"</f>
        <v>32</v>
      </c>
      <c r="K5927">
        <v>20190426</v>
      </c>
      <c r="L5927" t="str">
        <f>"076556"</f>
        <v>076556</v>
      </c>
      <c r="M5927" t="str">
        <f>"10085"</f>
        <v>10085</v>
      </c>
      <c r="N5927" t="s">
        <v>4217</v>
      </c>
      <c r="O5927" s="1">
        <v>1239.29</v>
      </c>
      <c r="P5927">
        <v>20190424</v>
      </c>
      <c r="Q5927" t="s">
        <v>4731</v>
      </c>
      <c r="R5927" t="s">
        <v>4732</v>
      </c>
      <c r="S5927" t="s">
        <v>1615</v>
      </c>
      <c r="T5927" t="s">
        <v>301</v>
      </c>
    </row>
    <row r="5928" spans="1:20" x14ac:dyDescent="0.25">
      <c r="A5928">
        <v>9</v>
      </c>
      <c r="B5928">
        <v>199</v>
      </c>
      <c r="C5928" t="str">
        <f>"41"</f>
        <v>41</v>
      </c>
      <c r="D5928">
        <v>6499</v>
      </c>
      <c r="E5928" t="str">
        <f>"11"</f>
        <v>11</v>
      </c>
      <c r="F5928" t="str">
        <f>"735"</f>
        <v>735</v>
      </c>
      <c r="G5928">
        <v>9</v>
      </c>
      <c r="H5928" t="str">
        <f>"99"</f>
        <v>99</v>
      </c>
      <c r="I5928" t="str">
        <f t="shared" si="1288"/>
        <v>0</v>
      </c>
      <c r="J5928" t="str">
        <f>"96"</f>
        <v>96</v>
      </c>
      <c r="K5928">
        <v>20190426</v>
      </c>
      <c r="L5928" t="str">
        <f>"076561"</f>
        <v>076561</v>
      </c>
      <c r="M5928" t="str">
        <f>"13271"</f>
        <v>13271</v>
      </c>
      <c r="N5928" t="s">
        <v>4733</v>
      </c>
      <c r="O5928" s="1">
        <v>1654.05</v>
      </c>
      <c r="P5928">
        <v>20190425</v>
      </c>
      <c r="Q5928" t="s">
        <v>4734</v>
      </c>
      <c r="R5928" t="s">
        <v>4735</v>
      </c>
      <c r="S5928" t="s">
        <v>1615</v>
      </c>
      <c r="T5928" t="s">
        <v>151</v>
      </c>
    </row>
    <row r="5929" spans="1:20" x14ac:dyDescent="0.25">
      <c r="A5929">
        <v>9</v>
      </c>
      <c r="B5929">
        <v>199</v>
      </c>
      <c r="C5929" t="str">
        <f>"11"</f>
        <v>11</v>
      </c>
      <c r="D5929">
        <v>6339</v>
      </c>
      <c r="E5929" t="str">
        <f>"VL"</f>
        <v>VL</v>
      </c>
      <c r="F5929" t="str">
        <f>"001"</f>
        <v>001</v>
      </c>
      <c r="G5929">
        <v>9</v>
      </c>
      <c r="H5929" t="str">
        <f>"22"</f>
        <v>22</v>
      </c>
      <c r="I5929" t="str">
        <f t="shared" si="1288"/>
        <v>0</v>
      </c>
      <c r="J5929" t="str">
        <f>"22"</f>
        <v>22</v>
      </c>
      <c r="K5929">
        <v>20190426</v>
      </c>
      <c r="L5929" t="str">
        <f>"076563"</f>
        <v>076563</v>
      </c>
      <c r="M5929" t="str">
        <f>"45705"</f>
        <v>45705</v>
      </c>
      <c r="N5929" t="s">
        <v>2979</v>
      </c>
      <c r="O5929">
        <v>625</v>
      </c>
      <c r="P5929">
        <v>20190425</v>
      </c>
      <c r="Q5929" t="s">
        <v>2980</v>
      </c>
      <c r="R5929" t="s">
        <v>2981</v>
      </c>
      <c r="S5929" t="s">
        <v>1615</v>
      </c>
      <c r="T5929" t="s">
        <v>301</v>
      </c>
    </row>
    <row r="5930" spans="1:20" x14ac:dyDescent="0.25">
      <c r="A5930">
        <v>9</v>
      </c>
      <c r="B5930">
        <v>199</v>
      </c>
      <c r="C5930" t="str">
        <f>"34"</f>
        <v>34</v>
      </c>
      <c r="D5930">
        <v>6411</v>
      </c>
      <c r="E5930" t="str">
        <f>"11"</f>
        <v>11</v>
      </c>
      <c r="F5930" t="str">
        <f>"937"</f>
        <v>937</v>
      </c>
      <c r="G5930">
        <v>9</v>
      </c>
      <c r="H5930" t="str">
        <f>"99"</f>
        <v>99</v>
      </c>
      <c r="I5930" t="str">
        <f>"1"</f>
        <v>1</v>
      </c>
      <c r="J5930" t="str">
        <f>"82"</f>
        <v>82</v>
      </c>
      <c r="K5930">
        <v>20190426</v>
      </c>
      <c r="L5930" t="str">
        <f>"076564"</f>
        <v>076564</v>
      </c>
      <c r="M5930" t="str">
        <f>"19283"</f>
        <v>19283</v>
      </c>
      <c r="N5930" t="s">
        <v>3103</v>
      </c>
      <c r="O5930">
        <v>34.82</v>
      </c>
      <c r="P5930">
        <v>20190425</v>
      </c>
      <c r="Q5930" t="s">
        <v>2531</v>
      </c>
      <c r="R5930" t="s">
        <v>4337</v>
      </c>
      <c r="S5930" t="s">
        <v>1615</v>
      </c>
      <c r="T5930" t="s">
        <v>1810</v>
      </c>
    </row>
    <row r="5931" spans="1:20" x14ac:dyDescent="0.25">
      <c r="A5931">
        <v>9</v>
      </c>
      <c r="B5931">
        <v>199</v>
      </c>
      <c r="C5931" t="str">
        <f>"34"</f>
        <v>34</v>
      </c>
      <c r="D5931">
        <v>6411</v>
      </c>
      <c r="E5931" t="str">
        <f>"11"</f>
        <v>11</v>
      </c>
      <c r="F5931" t="str">
        <f>"937"</f>
        <v>937</v>
      </c>
      <c r="G5931">
        <v>9</v>
      </c>
      <c r="H5931" t="str">
        <f>"99"</f>
        <v>99</v>
      </c>
      <c r="I5931" t="str">
        <f>"1"</f>
        <v>1</v>
      </c>
      <c r="J5931" t="str">
        <f>"82"</f>
        <v>82</v>
      </c>
      <c r="K5931">
        <v>20190426</v>
      </c>
      <c r="L5931" t="str">
        <f>"076564"</f>
        <v>076564</v>
      </c>
      <c r="M5931" t="str">
        <f>"19283"</f>
        <v>19283</v>
      </c>
      <c r="N5931" t="s">
        <v>3103</v>
      </c>
      <c r="O5931">
        <v>41.83</v>
      </c>
      <c r="P5931">
        <v>20190425</v>
      </c>
      <c r="Q5931" t="s">
        <v>2531</v>
      </c>
      <c r="R5931" t="s">
        <v>4404</v>
      </c>
      <c r="S5931" t="s">
        <v>1615</v>
      </c>
      <c r="T5931" t="s">
        <v>1810</v>
      </c>
    </row>
    <row r="5932" spans="1:20" x14ac:dyDescent="0.25">
      <c r="A5932">
        <v>9</v>
      </c>
      <c r="B5932">
        <v>199</v>
      </c>
      <c r="C5932" t="str">
        <f t="shared" ref="C5932:C5941" si="1291">"11"</f>
        <v>11</v>
      </c>
      <c r="D5932">
        <v>6412</v>
      </c>
      <c r="E5932" t="str">
        <f>"00"</f>
        <v>00</v>
      </c>
      <c r="F5932" t="str">
        <f>"101"</f>
        <v>101</v>
      </c>
      <c r="G5932">
        <v>9</v>
      </c>
      <c r="H5932" t="str">
        <f>"23"</f>
        <v>23</v>
      </c>
      <c r="I5932" t="str">
        <f t="shared" ref="I5932:I5953" si="1292">"0"</f>
        <v>0</v>
      </c>
      <c r="J5932" t="str">
        <f>"23"</f>
        <v>23</v>
      </c>
      <c r="K5932">
        <v>20190426</v>
      </c>
      <c r="L5932" t="str">
        <f>"076565"</f>
        <v>076565</v>
      </c>
      <c r="M5932" t="str">
        <f>"51346"</f>
        <v>51346</v>
      </c>
      <c r="N5932" t="s">
        <v>418</v>
      </c>
      <c r="O5932">
        <v>63</v>
      </c>
      <c r="P5932">
        <v>20190425</v>
      </c>
      <c r="Q5932" t="s">
        <v>4736</v>
      </c>
      <c r="R5932" t="s">
        <v>4737</v>
      </c>
      <c r="S5932" t="s">
        <v>1615</v>
      </c>
      <c r="T5932" t="s">
        <v>1479</v>
      </c>
    </row>
    <row r="5933" spans="1:20" x14ac:dyDescent="0.25">
      <c r="A5933">
        <v>9</v>
      </c>
      <c r="B5933">
        <v>199</v>
      </c>
      <c r="C5933" t="str">
        <f t="shared" si="1291"/>
        <v>11</v>
      </c>
      <c r="D5933">
        <v>6269</v>
      </c>
      <c r="E5933" t="str">
        <f>"VA"</f>
        <v>VA</v>
      </c>
      <c r="F5933" t="str">
        <f t="shared" ref="F5933:F5941" si="1293">"001"</f>
        <v>001</v>
      </c>
      <c r="G5933">
        <v>9</v>
      </c>
      <c r="H5933" t="str">
        <f t="shared" ref="H5933:H5940" si="1294">"22"</f>
        <v>22</v>
      </c>
      <c r="I5933" t="str">
        <f t="shared" si="1292"/>
        <v>0</v>
      </c>
      <c r="J5933" t="str">
        <f t="shared" ref="J5933:J5940" si="1295">"22"</f>
        <v>22</v>
      </c>
      <c r="K5933">
        <v>20190426</v>
      </c>
      <c r="L5933" t="str">
        <f t="shared" ref="L5933:L5940" si="1296">"076566"</f>
        <v>076566</v>
      </c>
      <c r="M5933" t="str">
        <f t="shared" ref="M5933:M5940" si="1297">"20683"</f>
        <v>20683</v>
      </c>
      <c r="N5933" t="s">
        <v>1697</v>
      </c>
      <c r="O5933">
        <v>49.76</v>
      </c>
      <c r="P5933">
        <v>20190425</v>
      </c>
      <c r="Q5933" t="s">
        <v>2213</v>
      </c>
      <c r="R5933" t="s">
        <v>4738</v>
      </c>
      <c r="S5933" t="s">
        <v>1615</v>
      </c>
      <c r="T5933" t="s">
        <v>301</v>
      </c>
    </row>
    <row r="5934" spans="1:20" x14ac:dyDescent="0.25">
      <c r="A5934">
        <v>9</v>
      </c>
      <c r="B5934">
        <v>199</v>
      </c>
      <c r="C5934" t="str">
        <f t="shared" si="1291"/>
        <v>11</v>
      </c>
      <c r="D5934">
        <v>6269</v>
      </c>
      <c r="E5934" t="str">
        <f>"VA"</f>
        <v>VA</v>
      </c>
      <c r="F5934" t="str">
        <f t="shared" si="1293"/>
        <v>001</v>
      </c>
      <c r="G5934">
        <v>9</v>
      </c>
      <c r="H5934" t="str">
        <f t="shared" si="1294"/>
        <v>22</v>
      </c>
      <c r="I5934" t="str">
        <f t="shared" si="1292"/>
        <v>0</v>
      </c>
      <c r="J5934" t="str">
        <f t="shared" si="1295"/>
        <v>22</v>
      </c>
      <c r="K5934">
        <v>20190426</v>
      </c>
      <c r="L5934" t="str">
        <f t="shared" si="1296"/>
        <v>076566</v>
      </c>
      <c r="M5934" t="str">
        <f t="shared" si="1297"/>
        <v>20683</v>
      </c>
      <c r="N5934" t="s">
        <v>1697</v>
      </c>
      <c r="O5934">
        <v>49.76</v>
      </c>
      <c r="P5934">
        <v>20190425</v>
      </c>
      <c r="Q5934" t="s">
        <v>2213</v>
      </c>
      <c r="R5934" t="s">
        <v>4739</v>
      </c>
      <c r="S5934" t="s">
        <v>1615</v>
      </c>
      <c r="T5934" t="s">
        <v>301</v>
      </c>
    </row>
    <row r="5935" spans="1:20" x14ac:dyDescent="0.25">
      <c r="A5935">
        <v>9</v>
      </c>
      <c r="B5935">
        <v>199</v>
      </c>
      <c r="C5935" t="str">
        <f t="shared" si="1291"/>
        <v>11</v>
      </c>
      <c r="D5935">
        <v>6269</v>
      </c>
      <c r="E5935" t="str">
        <f>"VA"</f>
        <v>VA</v>
      </c>
      <c r="F5935" t="str">
        <f t="shared" si="1293"/>
        <v>001</v>
      </c>
      <c r="G5935">
        <v>9</v>
      </c>
      <c r="H5935" t="str">
        <f t="shared" si="1294"/>
        <v>22</v>
      </c>
      <c r="I5935" t="str">
        <f t="shared" si="1292"/>
        <v>0</v>
      </c>
      <c r="J5935" t="str">
        <f t="shared" si="1295"/>
        <v>22</v>
      </c>
      <c r="K5935">
        <v>20190426</v>
      </c>
      <c r="L5935" t="str">
        <f t="shared" si="1296"/>
        <v>076566</v>
      </c>
      <c r="M5935" t="str">
        <f t="shared" si="1297"/>
        <v>20683</v>
      </c>
      <c r="N5935" t="s">
        <v>1697</v>
      </c>
      <c r="O5935">
        <v>97.37</v>
      </c>
      <c r="P5935">
        <v>20190425</v>
      </c>
      <c r="Q5935" t="s">
        <v>2213</v>
      </c>
      <c r="R5935" t="s">
        <v>4740</v>
      </c>
      <c r="S5935" t="s">
        <v>1615</v>
      </c>
      <c r="T5935" t="s">
        <v>301</v>
      </c>
    </row>
    <row r="5936" spans="1:20" x14ac:dyDescent="0.25">
      <c r="A5936">
        <v>9</v>
      </c>
      <c r="B5936">
        <v>199</v>
      </c>
      <c r="C5936" t="str">
        <f t="shared" si="1291"/>
        <v>11</v>
      </c>
      <c r="D5936">
        <v>6269</v>
      </c>
      <c r="E5936" t="str">
        <f>"VA"</f>
        <v>VA</v>
      </c>
      <c r="F5936" t="str">
        <f t="shared" si="1293"/>
        <v>001</v>
      </c>
      <c r="G5936">
        <v>9</v>
      </c>
      <c r="H5936" t="str">
        <f t="shared" si="1294"/>
        <v>22</v>
      </c>
      <c r="I5936" t="str">
        <f t="shared" si="1292"/>
        <v>0</v>
      </c>
      <c r="J5936" t="str">
        <f t="shared" si="1295"/>
        <v>22</v>
      </c>
      <c r="K5936">
        <v>20190426</v>
      </c>
      <c r="L5936" t="str">
        <f t="shared" si="1296"/>
        <v>076566</v>
      </c>
      <c r="M5936" t="str">
        <f t="shared" si="1297"/>
        <v>20683</v>
      </c>
      <c r="N5936" t="s">
        <v>1697</v>
      </c>
      <c r="O5936">
        <v>50.88</v>
      </c>
      <c r="P5936">
        <v>20190425</v>
      </c>
      <c r="Q5936" t="s">
        <v>2213</v>
      </c>
      <c r="R5936" t="s">
        <v>4741</v>
      </c>
      <c r="S5936" t="s">
        <v>1615</v>
      </c>
      <c r="T5936" t="s">
        <v>301</v>
      </c>
    </row>
    <row r="5937" spans="1:20" x14ac:dyDescent="0.25">
      <c r="A5937">
        <v>9</v>
      </c>
      <c r="B5937">
        <v>199</v>
      </c>
      <c r="C5937" t="str">
        <f t="shared" si="1291"/>
        <v>11</v>
      </c>
      <c r="D5937">
        <v>6399</v>
      </c>
      <c r="E5937" t="str">
        <f>"V8"</f>
        <v>V8</v>
      </c>
      <c r="F5937" t="str">
        <f t="shared" si="1293"/>
        <v>001</v>
      </c>
      <c r="G5937">
        <v>9</v>
      </c>
      <c r="H5937" t="str">
        <f t="shared" si="1294"/>
        <v>22</v>
      </c>
      <c r="I5937" t="str">
        <f t="shared" si="1292"/>
        <v>0</v>
      </c>
      <c r="J5937" t="str">
        <f t="shared" si="1295"/>
        <v>22</v>
      </c>
      <c r="K5937">
        <v>20190426</v>
      </c>
      <c r="L5937" t="str">
        <f t="shared" si="1296"/>
        <v>076566</v>
      </c>
      <c r="M5937" t="str">
        <f t="shared" si="1297"/>
        <v>20683</v>
      </c>
      <c r="N5937" t="s">
        <v>1697</v>
      </c>
      <c r="O5937">
        <v>13.69</v>
      </c>
      <c r="P5937">
        <v>20190425</v>
      </c>
      <c r="Q5937" t="s">
        <v>2001</v>
      </c>
      <c r="R5937" t="s">
        <v>4738</v>
      </c>
      <c r="S5937" t="s">
        <v>1615</v>
      </c>
      <c r="T5937" t="s">
        <v>301</v>
      </c>
    </row>
    <row r="5938" spans="1:20" x14ac:dyDescent="0.25">
      <c r="A5938">
        <v>9</v>
      </c>
      <c r="B5938">
        <v>199</v>
      </c>
      <c r="C5938" t="str">
        <f t="shared" si="1291"/>
        <v>11</v>
      </c>
      <c r="D5938">
        <v>6399</v>
      </c>
      <c r="E5938" t="str">
        <f>"V8"</f>
        <v>V8</v>
      </c>
      <c r="F5938" t="str">
        <f t="shared" si="1293"/>
        <v>001</v>
      </c>
      <c r="G5938">
        <v>9</v>
      </c>
      <c r="H5938" t="str">
        <f t="shared" si="1294"/>
        <v>22</v>
      </c>
      <c r="I5938" t="str">
        <f t="shared" si="1292"/>
        <v>0</v>
      </c>
      <c r="J5938" t="str">
        <f t="shared" si="1295"/>
        <v>22</v>
      </c>
      <c r="K5938">
        <v>20190426</v>
      </c>
      <c r="L5938" t="str">
        <f t="shared" si="1296"/>
        <v>076566</v>
      </c>
      <c r="M5938" t="str">
        <f t="shared" si="1297"/>
        <v>20683</v>
      </c>
      <c r="N5938" t="s">
        <v>1697</v>
      </c>
      <c r="O5938">
        <v>13.69</v>
      </c>
      <c r="P5938">
        <v>20190425</v>
      </c>
      <c r="Q5938" t="s">
        <v>2001</v>
      </c>
      <c r="R5938" t="s">
        <v>4739</v>
      </c>
      <c r="S5938" t="s">
        <v>1615</v>
      </c>
      <c r="T5938" t="s">
        <v>301</v>
      </c>
    </row>
    <row r="5939" spans="1:20" x14ac:dyDescent="0.25">
      <c r="A5939">
        <v>9</v>
      </c>
      <c r="B5939">
        <v>199</v>
      </c>
      <c r="C5939" t="str">
        <f t="shared" si="1291"/>
        <v>11</v>
      </c>
      <c r="D5939">
        <v>6399</v>
      </c>
      <c r="E5939" t="str">
        <f>"V8"</f>
        <v>V8</v>
      </c>
      <c r="F5939" t="str">
        <f t="shared" si="1293"/>
        <v>001</v>
      </c>
      <c r="G5939">
        <v>9</v>
      </c>
      <c r="H5939" t="str">
        <f t="shared" si="1294"/>
        <v>22</v>
      </c>
      <c r="I5939" t="str">
        <f t="shared" si="1292"/>
        <v>0</v>
      </c>
      <c r="J5939" t="str">
        <f t="shared" si="1295"/>
        <v>22</v>
      </c>
      <c r="K5939">
        <v>20190426</v>
      </c>
      <c r="L5939" t="str">
        <f t="shared" si="1296"/>
        <v>076566</v>
      </c>
      <c r="M5939" t="str">
        <f t="shared" si="1297"/>
        <v>20683</v>
      </c>
      <c r="N5939" t="s">
        <v>1697</v>
      </c>
      <c r="O5939">
        <v>13.69</v>
      </c>
      <c r="P5939">
        <v>20190425</v>
      </c>
      <c r="Q5939" t="s">
        <v>2001</v>
      </c>
      <c r="R5939" t="s">
        <v>4740</v>
      </c>
      <c r="S5939" t="s">
        <v>1615</v>
      </c>
      <c r="T5939" t="s">
        <v>301</v>
      </c>
    </row>
    <row r="5940" spans="1:20" x14ac:dyDescent="0.25">
      <c r="A5940">
        <v>9</v>
      </c>
      <c r="B5940">
        <v>199</v>
      </c>
      <c r="C5940" t="str">
        <f t="shared" si="1291"/>
        <v>11</v>
      </c>
      <c r="D5940">
        <v>6399</v>
      </c>
      <c r="E5940" t="str">
        <f>"V8"</f>
        <v>V8</v>
      </c>
      <c r="F5940" t="str">
        <f t="shared" si="1293"/>
        <v>001</v>
      </c>
      <c r="G5940">
        <v>9</v>
      </c>
      <c r="H5940" t="str">
        <f t="shared" si="1294"/>
        <v>22</v>
      </c>
      <c r="I5940" t="str">
        <f t="shared" si="1292"/>
        <v>0</v>
      </c>
      <c r="J5940" t="str">
        <f t="shared" si="1295"/>
        <v>22</v>
      </c>
      <c r="K5940">
        <v>20190426</v>
      </c>
      <c r="L5940" t="str">
        <f t="shared" si="1296"/>
        <v>076566</v>
      </c>
      <c r="M5940" t="str">
        <f t="shared" si="1297"/>
        <v>20683</v>
      </c>
      <c r="N5940" t="s">
        <v>1697</v>
      </c>
      <c r="O5940">
        <v>13.69</v>
      </c>
      <c r="P5940">
        <v>20190425</v>
      </c>
      <c r="Q5940" t="s">
        <v>2001</v>
      </c>
      <c r="R5940" t="s">
        <v>4741</v>
      </c>
      <c r="S5940" t="s">
        <v>1615</v>
      </c>
      <c r="T5940" t="s">
        <v>301</v>
      </c>
    </row>
    <row r="5941" spans="1:20" x14ac:dyDescent="0.25">
      <c r="A5941">
        <v>9</v>
      </c>
      <c r="B5941">
        <v>199</v>
      </c>
      <c r="C5941" t="str">
        <f t="shared" si="1291"/>
        <v>11</v>
      </c>
      <c r="D5941">
        <v>6399</v>
      </c>
      <c r="E5941" t="str">
        <f>"AP"</f>
        <v>AP</v>
      </c>
      <c r="F5941" t="str">
        <f t="shared" si="1293"/>
        <v>001</v>
      </c>
      <c r="G5941">
        <v>9</v>
      </c>
      <c r="H5941" t="str">
        <f>"31"</f>
        <v>31</v>
      </c>
      <c r="I5941" t="str">
        <f t="shared" si="1292"/>
        <v>0</v>
      </c>
      <c r="J5941" t="str">
        <f>"34"</f>
        <v>34</v>
      </c>
      <c r="K5941">
        <v>20190426</v>
      </c>
      <c r="L5941" t="str">
        <f>"076568"</f>
        <v>076568</v>
      </c>
      <c r="M5941" t="str">
        <f>"21283"</f>
        <v>21283</v>
      </c>
      <c r="N5941" t="s">
        <v>3856</v>
      </c>
      <c r="O5941" s="1">
        <v>1050</v>
      </c>
      <c r="P5941">
        <v>20190425</v>
      </c>
      <c r="Q5941" t="s">
        <v>1677</v>
      </c>
      <c r="R5941" t="s">
        <v>3858</v>
      </c>
      <c r="S5941" t="s">
        <v>1615</v>
      </c>
      <c r="T5941" t="s">
        <v>301</v>
      </c>
    </row>
    <row r="5942" spans="1:20" x14ac:dyDescent="0.25">
      <c r="A5942">
        <v>9</v>
      </c>
      <c r="B5942">
        <v>199</v>
      </c>
      <c r="C5942" t="str">
        <f>"51"</f>
        <v>51</v>
      </c>
      <c r="D5942">
        <v>6256</v>
      </c>
      <c r="E5942" t="str">
        <f>"15"</f>
        <v>15</v>
      </c>
      <c r="F5942" t="str">
        <f>"880"</f>
        <v>880</v>
      </c>
      <c r="G5942">
        <v>9</v>
      </c>
      <c r="H5942" t="str">
        <f>"99"</f>
        <v>99</v>
      </c>
      <c r="I5942" t="str">
        <f t="shared" si="1292"/>
        <v>0</v>
      </c>
      <c r="J5942" t="str">
        <f>"80"</f>
        <v>80</v>
      </c>
      <c r="K5942">
        <v>20190426</v>
      </c>
      <c r="L5942" t="str">
        <f>"076572"</f>
        <v>076572</v>
      </c>
      <c r="M5942" t="str">
        <f>"77113"</f>
        <v>77113</v>
      </c>
      <c r="N5942" t="s">
        <v>1880</v>
      </c>
      <c r="O5942">
        <v>105.34</v>
      </c>
      <c r="P5942">
        <v>20190425</v>
      </c>
      <c r="Q5942" t="s">
        <v>2487</v>
      </c>
      <c r="R5942" t="s">
        <v>4333</v>
      </c>
      <c r="S5942" t="s">
        <v>1615</v>
      </c>
      <c r="T5942" t="s">
        <v>1866</v>
      </c>
    </row>
    <row r="5943" spans="1:20" x14ac:dyDescent="0.25">
      <c r="A5943">
        <v>9</v>
      </c>
      <c r="B5943">
        <v>199</v>
      </c>
      <c r="C5943" t="str">
        <f>"36"</f>
        <v>36</v>
      </c>
      <c r="D5943">
        <v>6411</v>
      </c>
      <c r="E5943" t="str">
        <f>"V8"</f>
        <v>V8</v>
      </c>
      <c r="F5943" t="str">
        <f>"001"</f>
        <v>001</v>
      </c>
      <c r="G5943">
        <v>9</v>
      </c>
      <c r="H5943" t="str">
        <f>"22"</f>
        <v>22</v>
      </c>
      <c r="I5943" t="str">
        <f t="shared" si="1292"/>
        <v>0</v>
      </c>
      <c r="J5943" t="str">
        <f>"22"</f>
        <v>22</v>
      </c>
      <c r="K5943">
        <v>20190426</v>
      </c>
      <c r="L5943" t="str">
        <f>"076573"</f>
        <v>076573</v>
      </c>
      <c r="M5943" t="str">
        <f>"25460"</f>
        <v>25460</v>
      </c>
      <c r="N5943" t="s">
        <v>2600</v>
      </c>
      <c r="O5943">
        <v>27.06</v>
      </c>
      <c r="P5943">
        <v>20190425</v>
      </c>
      <c r="Q5943" t="s">
        <v>2602</v>
      </c>
      <c r="R5943" t="s">
        <v>3865</v>
      </c>
      <c r="S5943" t="s">
        <v>1615</v>
      </c>
      <c r="T5943" t="s">
        <v>301</v>
      </c>
    </row>
    <row r="5944" spans="1:20" x14ac:dyDescent="0.25">
      <c r="A5944">
        <v>9</v>
      </c>
      <c r="B5944">
        <v>199</v>
      </c>
      <c r="C5944" t="str">
        <f>"51"</f>
        <v>51</v>
      </c>
      <c r="D5944">
        <v>6319</v>
      </c>
      <c r="E5944" t="str">
        <f>"M3"</f>
        <v>M3</v>
      </c>
      <c r="F5944" t="str">
        <f>"936"</f>
        <v>936</v>
      </c>
      <c r="G5944">
        <v>9</v>
      </c>
      <c r="H5944" t="str">
        <f>"99"</f>
        <v>99</v>
      </c>
      <c r="I5944" t="str">
        <f t="shared" si="1292"/>
        <v>0</v>
      </c>
      <c r="J5944" t="str">
        <f>"81"</f>
        <v>81</v>
      </c>
      <c r="K5944">
        <v>20190426</v>
      </c>
      <c r="L5944" t="str">
        <f>"076575"</f>
        <v>076575</v>
      </c>
      <c r="M5944" t="str">
        <f>"27136"</f>
        <v>27136</v>
      </c>
      <c r="N5944" t="s">
        <v>4742</v>
      </c>
      <c r="O5944">
        <v>636.70000000000005</v>
      </c>
      <c r="P5944">
        <v>20190425</v>
      </c>
      <c r="Q5944" t="s">
        <v>2246</v>
      </c>
      <c r="R5944" t="s">
        <v>4743</v>
      </c>
      <c r="S5944" t="s">
        <v>1615</v>
      </c>
      <c r="T5944" t="s">
        <v>1713</v>
      </c>
    </row>
    <row r="5945" spans="1:20" x14ac:dyDescent="0.25">
      <c r="A5945">
        <v>9</v>
      </c>
      <c r="B5945">
        <v>199</v>
      </c>
      <c r="C5945" t="str">
        <f>"11"</f>
        <v>11</v>
      </c>
      <c r="D5945">
        <v>6299</v>
      </c>
      <c r="E5945" t="str">
        <f>"7B"</f>
        <v>7B</v>
      </c>
      <c r="F5945" t="str">
        <f>"001"</f>
        <v>001</v>
      </c>
      <c r="G5945">
        <v>9</v>
      </c>
      <c r="H5945" t="str">
        <f>"11"</f>
        <v>11</v>
      </c>
      <c r="I5945" t="str">
        <f t="shared" si="1292"/>
        <v>0</v>
      </c>
      <c r="J5945" t="str">
        <f>"32"</f>
        <v>32</v>
      </c>
      <c r="K5945">
        <v>20190426</v>
      </c>
      <c r="L5945" t="str">
        <f>"076576"</f>
        <v>076576</v>
      </c>
      <c r="M5945" t="str">
        <f>"28827"</f>
        <v>28827</v>
      </c>
      <c r="N5945" t="s">
        <v>4508</v>
      </c>
      <c r="O5945">
        <v>100</v>
      </c>
      <c r="P5945">
        <v>20190425</v>
      </c>
      <c r="Q5945" t="s">
        <v>4436</v>
      </c>
      <c r="R5945" t="s">
        <v>4315</v>
      </c>
      <c r="S5945" t="s">
        <v>1615</v>
      </c>
      <c r="T5945" t="s">
        <v>301</v>
      </c>
    </row>
    <row r="5946" spans="1:20" x14ac:dyDescent="0.25">
      <c r="A5946">
        <v>9</v>
      </c>
      <c r="B5946">
        <v>199</v>
      </c>
      <c r="C5946" t="str">
        <f>"11"</f>
        <v>11</v>
      </c>
      <c r="D5946">
        <v>6412</v>
      </c>
      <c r="E5946" t="str">
        <f>"V8"</f>
        <v>V8</v>
      </c>
      <c r="F5946" t="str">
        <f>"001"</f>
        <v>001</v>
      </c>
      <c r="G5946">
        <v>9</v>
      </c>
      <c r="H5946" t="str">
        <f>"22"</f>
        <v>22</v>
      </c>
      <c r="I5946" t="str">
        <f t="shared" si="1292"/>
        <v>0</v>
      </c>
      <c r="J5946" t="str">
        <f>"22"</f>
        <v>22</v>
      </c>
      <c r="K5946">
        <v>20190426</v>
      </c>
      <c r="L5946" t="str">
        <f>"076579"</f>
        <v>076579</v>
      </c>
      <c r="M5946" t="str">
        <f>"30744"</f>
        <v>30744</v>
      </c>
      <c r="N5946" t="s">
        <v>422</v>
      </c>
      <c r="O5946">
        <v>41.17</v>
      </c>
      <c r="P5946">
        <v>20190425</v>
      </c>
      <c r="Q5946" t="s">
        <v>1884</v>
      </c>
      <c r="R5946" t="s">
        <v>4339</v>
      </c>
      <c r="S5946" t="s">
        <v>1615</v>
      </c>
      <c r="T5946" t="s">
        <v>301</v>
      </c>
    </row>
    <row r="5947" spans="1:20" x14ac:dyDescent="0.25">
      <c r="A5947">
        <v>9</v>
      </c>
      <c r="B5947">
        <v>199</v>
      </c>
      <c r="C5947" t="str">
        <f>"34"</f>
        <v>34</v>
      </c>
      <c r="D5947">
        <v>6311</v>
      </c>
      <c r="E5947" t="str">
        <f>"10"</f>
        <v>10</v>
      </c>
      <c r="F5947" t="str">
        <f>"937"</f>
        <v>937</v>
      </c>
      <c r="G5947">
        <v>9</v>
      </c>
      <c r="H5947" t="str">
        <f>"99"</f>
        <v>99</v>
      </c>
      <c r="I5947" t="str">
        <f t="shared" si="1292"/>
        <v>0</v>
      </c>
      <c r="J5947" t="str">
        <f>"82"</f>
        <v>82</v>
      </c>
      <c r="K5947">
        <v>20190426</v>
      </c>
      <c r="L5947" t="str">
        <f>"076579"</f>
        <v>076579</v>
      </c>
      <c r="M5947" t="str">
        <f>"30744"</f>
        <v>30744</v>
      </c>
      <c r="N5947" t="s">
        <v>422</v>
      </c>
      <c r="O5947">
        <v>59.62</v>
      </c>
      <c r="P5947">
        <v>20190425</v>
      </c>
      <c r="Q5947" t="s">
        <v>1914</v>
      </c>
      <c r="R5947" t="s">
        <v>4404</v>
      </c>
      <c r="S5947" t="s">
        <v>1615</v>
      </c>
      <c r="T5947" t="s">
        <v>1810</v>
      </c>
    </row>
    <row r="5948" spans="1:20" x14ac:dyDescent="0.25">
      <c r="A5948">
        <v>9</v>
      </c>
      <c r="B5948">
        <v>199</v>
      </c>
      <c r="C5948" t="str">
        <f>"34"</f>
        <v>34</v>
      </c>
      <c r="D5948">
        <v>6311</v>
      </c>
      <c r="E5948" t="str">
        <f>"10"</f>
        <v>10</v>
      </c>
      <c r="F5948" t="str">
        <f>"937"</f>
        <v>937</v>
      </c>
      <c r="G5948">
        <v>9</v>
      </c>
      <c r="H5948" t="str">
        <f>"99"</f>
        <v>99</v>
      </c>
      <c r="I5948" t="str">
        <f t="shared" si="1292"/>
        <v>0</v>
      </c>
      <c r="J5948" t="str">
        <f>"82"</f>
        <v>82</v>
      </c>
      <c r="K5948">
        <v>20190426</v>
      </c>
      <c r="L5948" t="str">
        <f>"076579"</f>
        <v>076579</v>
      </c>
      <c r="M5948" t="str">
        <f>"30744"</f>
        <v>30744</v>
      </c>
      <c r="N5948" t="s">
        <v>422</v>
      </c>
      <c r="O5948">
        <v>137.31</v>
      </c>
      <c r="P5948">
        <v>20190425</v>
      </c>
      <c r="Q5948" t="s">
        <v>1914</v>
      </c>
      <c r="R5948" t="s">
        <v>4179</v>
      </c>
      <c r="S5948" t="s">
        <v>1615</v>
      </c>
      <c r="T5948" t="s">
        <v>1810</v>
      </c>
    </row>
    <row r="5949" spans="1:20" x14ac:dyDescent="0.25">
      <c r="A5949">
        <v>9</v>
      </c>
      <c r="B5949">
        <v>199</v>
      </c>
      <c r="C5949" t="str">
        <f>"36"</f>
        <v>36</v>
      </c>
      <c r="D5949">
        <v>6412</v>
      </c>
      <c r="E5949" t="str">
        <f>"09"</f>
        <v>09</v>
      </c>
      <c r="F5949" t="str">
        <f>"001"</f>
        <v>001</v>
      </c>
      <c r="G5949">
        <v>9</v>
      </c>
      <c r="H5949" t="str">
        <f>"99"</f>
        <v>99</v>
      </c>
      <c r="I5949" t="str">
        <f t="shared" si="1292"/>
        <v>0</v>
      </c>
      <c r="J5949" t="str">
        <f>"01"</f>
        <v>01</v>
      </c>
      <c r="K5949">
        <v>20190426</v>
      </c>
      <c r="L5949" t="str">
        <f>"076579"</f>
        <v>076579</v>
      </c>
      <c r="M5949" t="str">
        <f>"30744"</f>
        <v>30744</v>
      </c>
      <c r="N5949" t="s">
        <v>422</v>
      </c>
      <c r="O5949">
        <v>84.43</v>
      </c>
      <c r="P5949">
        <v>20190425</v>
      </c>
      <c r="Q5949" t="s">
        <v>2427</v>
      </c>
      <c r="R5949" t="s">
        <v>4337</v>
      </c>
      <c r="S5949" t="s">
        <v>1615</v>
      </c>
      <c r="T5949" t="s">
        <v>301</v>
      </c>
    </row>
    <row r="5950" spans="1:20" x14ac:dyDescent="0.25">
      <c r="A5950">
        <v>9</v>
      </c>
      <c r="B5950">
        <v>199</v>
      </c>
      <c r="C5950" t="str">
        <f>"11"</f>
        <v>11</v>
      </c>
      <c r="D5950">
        <v>6399</v>
      </c>
      <c r="E5950" t="str">
        <f>"VH"</f>
        <v>VH</v>
      </c>
      <c r="F5950" t="str">
        <f>"002"</f>
        <v>002</v>
      </c>
      <c r="G5950">
        <v>9</v>
      </c>
      <c r="H5950" t="str">
        <f>"22"</f>
        <v>22</v>
      </c>
      <c r="I5950" t="str">
        <f t="shared" si="1292"/>
        <v>0</v>
      </c>
      <c r="J5950" t="str">
        <f>"22"</f>
        <v>22</v>
      </c>
      <c r="K5950">
        <v>20190426</v>
      </c>
      <c r="L5950" t="str">
        <f>"076580"</f>
        <v>076580</v>
      </c>
      <c r="M5950" t="str">
        <f>"31284"</f>
        <v>31284</v>
      </c>
      <c r="N5950" t="s">
        <v>2875</v>
      </c>
      <c r="O5950">
        <v>151.28</v>
      </c>
      <c r="P5950">
        <v>20190425</v>
      </c>
      <c r="Q5950" t="s">
        <v>1912</v>
      </c>
      <c r="R5950" t="s">
        <v>4744</v>
      </c>
      <c r="S5950" t="s">
        <v>1615</v>
      </c>
      <c r="T5950" t="s">
        <v>1485</v>
      </c>
    </row>
    <row r="5951" spans="1:20" x14ac:dyDescent="0.25">
      <c r="A5951">
        <v>9</v>
      </c>
      <c r="B5951">
        <v>199</v>
      </c>
      <c r="C5951" t="str">
        <f>"51"</f>
        <v>51</v>
      </c>
      <c r="D5951">
        <v>6249</v>
      </c>
      <c r="E5951" t="str">
        <f>"MC"</f>
        <v>MC</v>
      </c>
      <c r="F5951" t="str">
        <f>"001"</f>
        <v>001</v>
      </c>
      <c r="G5951">
        <v>9</v>
      </c>
      <c r="H5951" t="str">
        <f>"99"</f>
        <v>99</v>
      </c>
      <c r="I5951" t="str">
        <f t="shared" si="1292"/>
        <v>0</v>
      </c>
      <c r="J5951" t="str">
        <f>"81"</f>
        <v>81</v>
      </c>
      <c r="K5951">
        <v>20190426</v>
      </c>
      <c r="L5951" t="str">
        <f>"076584"</f>
        <v>076584</v>
      </c>
      <c r="M5951" t="str">
        <f>"00268"</f>
        <v>00268</v>
      </c>
      <c r="N5951" t="s">
        <v>4745</v>
      </c>
      <c r="O5951" s="1">
        <v>3670</v>
      </c>
      <c r="P5951">
        <v>20190425</v>
      </c>
      <c r="Q5951" t="s">
        <v>2386</v>
      </c>
      <c r="R5951" t="s">
        <v>4746</v>
      </c>
      <c r="S5951" t="s">
        <v>1615</v>
      </c>
      <c r="T5951" t="s">
        <v>301</v>
      </c>
    </row>
    <row r="5952" spans="1:20" x14ac:dyDescent="0.25">
      <c r="A5952">
        <v>9</v>
      </c>
      <c r="B5952">
        <v>199</v>
      </c>
      <c r="C5952" t="str">
        <f>"11"</f>
        <v>11</v>
      </c>
      <c r="D5952">
        <v>6412</v>
      </c>
      <c r="E5952" t="str">
        <f>"TA"</f>
        <v>TA</v>
      </c>
      <c r="F5952" t="str">
        <f>"001"</f>
        <v>001</v>
      </c>
      <c r="G5952">
        <v>9</v>
      </c>
      <c r="H5952" t="str">
        <f>"31"</f>
        <v>31</v>
      </c>
      <c r="I5952" t="str">
        <f t="shared" si="1292"/>
        <v>0</v>
      </c>
      <c r="J5952" t="str">
        <f>"34"</f>
        <v>34</v>
      </c>
      <c r="K5952">
        <v>20190426</v>
      </c>
      <c r="L5952" t="str">
        <f>"076585"</f>
        <v>076585</v>
      </c>
      <c r="M5952" t="str">
        <f>"40565"</f>
        <v>40565</v>
      </c>
      <c r="N5952" t="s">
        <v>3894</v>
      </c>
      <c r="O5952">
        <v>99.14</v>
      </c>
      <c r="P5952">
        <v>20190425</v>
      </c>
      <c r="Q5952" t="s">
        <v>3895</v>
      </c>
      <c r="R5952" t="s">
        <v>4344</v>
      </c>
      <c r="S5952" t="s">
        <v>1615</v>
      </c>
      <c r="T5952" t="s">
        <v>301</v>
      </c>
    </row>
    <row r="5953" spans="1:20" x14ac:dyDescent="0.25">
      <c r="A5953">
        <v>9</v>
      </c>
      <c r="B5953">
        <v>199</v>
      </c>
      <c r="C5953" t="str">
        <f>"51"</f>
        <v>51</v>
      </c>
      <c r="D5953">
        <v>6249</v>
      </c>
      <c r="E5953" t="str">
        <f>"MC"</f>
        <v>MC</v>
      </c>
      <c r="F5953" t="str">
        <f>"001"</f>
        <v>001</v>
      </c>
      <c r="G5953">
        <v>9</v>
      </c>
      <c r="H5953" t="str">
        <f t="shared" ref="H5953:H5958" si="1298">"99"</f>
        <v>99</v>
      </c>
      <c r="I5953" t="str">
        <f t="shared" si="1292"/>
        <v>0</v>
      </c>
      <c r="J5953" t="str">
        <f>"81"</f>
        <v>81</v>
      </c>
      <c r="K5953">
        <v>20190426</v>
      </c>
      <c r="L5953" t="str">
        <f>"076587"</f>
        <v>076587</v>
      </c>
      <c r="M5953" t="str">
        <f>"42191"</f>
        <v>42191</v>
      </c>
      <c r="N5953" t="s">
        <v>4747</v>
      </c>
      <c r="O5953">
        <v>169</v>
      </c>
      <c r="P5953">
        <v>20190425</v>
      </c>
      <c r="Q5953" t="s">
        <v>2386</v>
      </c>
      <c r="R5953" t="s">
        <v>4748</v>
      </c>
      <c r="S5953" t="s">
        <v>1615</v>
      </c>
      <c r="T5953" t="s">
        <v>301</v>
      </c>
    </row>
    <row r="5954" spans="1:20" x14ac:dyDescent="0.25">
      <c r="A5954">
        <v>9</v>
      </c>
      <c r="B5954">
        <v>199</v>
      </c>
      <c r="C5954" t="str">
        <f>"51"</f>
        <v>51</v>
      </c>
      <c r="D5954">
        <v>6254</v>
      </c>
      <c r="E5954" t="str">
        <f>"ME"</f>
        <v>ME</v>
      </c>
      <c r="F5954" t="str">
        <f>"936"</f>
        <v>936</v>
      </c>
      <c r="G5954">
        <v>9</v>
      </c>
      <c r="H5954" t="str">
        <f t="shared" si="1298"/>
        <v>99</v>
      </c>
      <c r="I5954" t="str">
        <f>"1"</f>
        <v>1</v>
      </c>
      <c r="J5954" t="str">
        <f>"73"</f>
        <v>73</v>
      </c>
      <c r="K5954">
        <v>20190426</v>
      </c>
      <c r="L5954" t="str">
        <f>"076588"</f>
        <v>076588</v>
      </c>
      <c r="M5954" t="str">
        <f>"42194"</f>
        <v>42194</v>
      </c>
      <c r="N5954" t="s">
        <v>1736</v>
      </c>
      <c r="O5954" s="1">
        <v>67209.86</v>
      </c>
      <c r="P5954">
        <v>20190425</v>
      </c>
      <c r="Q5954" t="s">
        <v>1891</v>
      </c>
      <c r="R5954" t="s">
        <v>4749</v>
      </c>
      <c r="S5954" t="s">
        <v>1615</v>
      </c>
      <c r="T5954" t="s">
        <v>1713</v>
      </c>
    </row>
    <row r="5955" spans="1:20" x14ac:dyDescent="0.25">
      <c r="A5955">
        <v>9</v>
      </c>
      <c r="B5955">
        <v>199</v>
      </c>
      <c r="C5955" t="str">
        <f>"51"</f>
        <v>51</v>
      </c>
      <c r="D5955">
        <v>6254</v>
      </c>
      <c r="E5955" t="str">
        <f>"ME"</f>
        <v>ME</v>
      </c>
      <c r="F5955" t="str">
        <f>"936"</f>
        <v>936</v>
      </c>
      <c r="G5955">
        <v>9</v>
      </c>
      <c r="H5955" t="str">
        <f t="shared" si="1298"/>
        <v>99</v>
      </c>
      <c r="I5955" t="str">
        <f>"1"</f>
        <v>1</v>
      </c>
      <c r="J5955" t="str">
        <f>"73"</f>
        <v>73</v>
      </c>
      <c r="K5955">
        <v>20190426</v>
      </c>
      <c r="L5955" t="str">
        <f>"076588"</f>
        <v>076588</v>
      </c>
      <c r="M5955" t="str">
        <f>"42194"</f>
        <v>42194</v>
      </c>
      <c r="N5955" t="s">
        <v>1736</v>
      </c>
      <c r="O5955" s="1">
        <v>1558.27</v>
      </c>
      <c r="P5955">
        <v>20190425</v>
      </c>
      <c r="Q5955" t="s">
        <v>1891</v>
      </c>
      <c r="R5955" t="s">
        <v>4750</v>
      </c>
      <c r="S5955" t="s">
        <v>1615</v>
      </c>
      <c r="T5955" t="s">
        <v>1713</v>
      </c>
    </row>
    <row r="5956" spans="1:20" x14ac:dyDescent="0.25">
      <c r="A5956">
        <v>9</v>
      </c>
      <c r="B5956">
        <v>199</v>
      </c>
      <c r="C5956" t="str">
        <f>"81"</f>
        <v>81</v>
      </c>
      <c r="D5956">
        <v>6629</v>
      </c>
      <c r="E5956" t="str">
        <f>"00"</f>
        <v>00</v>
      </c>
      <c r="F5956" t="str">
        <f>"101"</f>
        <v>101</v>
      </c>
      <c r="G5956">
        <v>9</v>
      </c>
      <c r="H5956" t="str">
        <f t="shared" si="1298"/>
        <v>99</v>
      </c>
      <c r="I5956" t="str">
        <f t="shared" ref="I5956:I5975" si="1299">"0"</f>
        <v>0</v>
      </c>
      <c r="J5956" t="str">
        <f>"80"</f>
        <v>80</v>
      </c>
      <c r="K5956">
        <v>20190426</v>
      </c>
      <c r="L5956" t="str">
        <f>"076589"</f>
        <v>076589</v>
      </c>
      <c r="M5956" t="str">
        <f>"43532"</f>
        <v>43532</v>
      </c>
      <c r="N5956" t="s">
        <v>2261</v>
      </c>
      <c r="O5956" s="1">
        <v>1068.1300000000001</v>
      </c>
      <c r="P5956">
        <v>20190425</v>
      </c>
      <c r="Q5956" t="s">
        <v>2265</v>
      </c>
      <c r="R5956" t="s">
        <v>4751</v>
      </c>
      <c r="S5956" t="s">
        <v>1615</v>
      </c>
      <c r="T5956" t="s">
        <v>1479</v>
      </c>
    </row>
    <row r="5957" spans="1:20" x14ac:dyDescent="0.25">
      <c r="A5957">
        <v>9</v>
      </c>
      <c r="B5957">
        <v>199</v>
      </c>
      <c r="C5957" t="str">
        <f>"41"</f>
        <v>41</v>
      </c>
      <c r="D5957">
        <v>6219</v>
      </c>
      <c r="E5957" t="str">
        <f>"11"</f>
        <v>11</v>
      </c>
      <c r="F5957" t="str">
        <f>"730"</f>
        <v>730</v>
      </c>
      <c r="G5957">
        <v>9</v>
      </c>
      <c r="H5957" t="str">
        <f t="shared" si="1298"/>
        <v>99</v>
      </c>
      <c r="I5957" t="str">
        <f t="shared" si="1299"/>
        <v>0</v>
      </c>
      <c r="J5957" t="str">
        <f>"95"</f>
        <v>95</v>
      </c>
      <c r="K5957">
        <v>20190426</v>
      </c>
      <c r="L5957" t="str">
        <f>"076590"</f>
        <v>076590</v>
      </c>
      <c r="M5957" t="str">
        <f>"46025"</f>
        <v>46025</v>
      </c>
      <c r="N5957" t="s">
        <v>1741</v>
      </c>
      <c r="O5957">
        <v>972.5</v>
      </c>
      <c r="P5957">
        <v>20190425</v>
      </c>
      <c r="Q5957" t="s">
        <v>2385</v>
      </c>
      <c r="R5957" s="2">
        <v>43497</v>
      </c>
      <c r="S5957" t="s">
        <v>1615</v>
      </c>
      <c r="T5957" t="s">
        <v>1794</v>
      </c>
    </row>
    <row r="5958" spans="1:20" x14ac:dyDescent="0.25">
      <c r="A5958">
        <v>9</v>
      </c>
      <c r="B5958">
        <v>199</v>
      </c>
      <c r="C5958" t="str">
        <f>"41"</f>
        <v>41</v>
      </c>
      <c r="D5958">
        <v>6219</v>
      </c>
      <c r="E5958" t="str">
        <f>"11"</f>
        <v>11</v>
      </c>
      <c r="F5958" t="str">
        <f>"730"</f>
        <v>730</v>
      </c>
      <c r="G5958">
        <v>9</v>
      </c>
      <c r="H5958" t="str">
        <f t="shared" si="1298"/>
        <v>99</v>
      </c>
      <c r="I5958" t="str">
        <f t="shared" si="1299"/>
        <v>0</v>
      </c>
      <c r="J5958" t="str">
        <f>"95"</f>
        <v>95</v>
      </c>
      <c r="K5958">
        <v>20190426</v>
      </c>
      <c r="L5958" t="str">
        <f>"076590"</f>
        <v>076590</v>
      </c>
      <c r="M5958" t="str">
        <f>"46025"</f>
        <v>46025</v>
      </c>
      <c r="N5958" t="s">
        <v>1741</v>
      </c>
      <c r="O5958" s="1">
        <v>1032.5</v>
      </c>
      <c r="P5958">
        <v>20190425</v>
      </c>
      <c r="Q5958" t="s">
        <v>2385</v>
      </c>
      <c r="R5958" s="2">
        <v>43525</v>
      </c>
      <c r="S5958" t="s">
        <v>1615</v>
      </c>
      <c r="T5958" t="s">
        <v>1794</v>
      </c>
    </row>
    <row r="5959" spans="1:20" x14ac:dyDescent="0.25">
      <c r="A5959">
        <v>9</v>
      </c>
      <c r="B5959">
        <v>199</v>
      </c>
      <c r="C5959" t="str">
        <f>"00"</f>
        <v>00</v>
      </c>
      <c r="D5959">
        <v>1291</v>
      </c>
      <c r="E5959" t="str">
        <f>"05"</f>
        <v>05</v>
      </c>
      <c r="F5959" t="str">
        <f>"000"</f>
        <v>000</v>
      </c>
      <c r="G5959">
        <v>9</v>
      </c>
      <c r="H5959" t="str">
        <f>"00"</f>
        <v>00</v>
      </c>
      <c r="I5959" t="str">
        <f t="shared" si="1299"/>
        <v>0</v>
      </c>
      <c r="J5959" t="str">
        <f>"00"</f>
        <v>00</v>
      </c>
      <c r="K5959">
        <v>20190426</v>
      </c>
      <c r="L5959" t="str">
        <f>"076591"</f>
        <v>076591</v>
      </c>
      <c r="M5959" t="str">
        <f>"46351"</f>
        <v>46351</v>
      </c>
      <c r="N5959" t="s">
        <v>1639</v>
      </c>
      <c r="O5959">
        <v>633.32000000000005</v>
      </c>
      <c r="P5959">
        <v>20190425</v>
      </c>
      <c r="Q5959" t="s">
        <v>1637</v>
      </c>
      <c r="R5959" t="s">
        <v>4729</v>
      </c>
      <c r="S5959" t="s">
        <v>1615</v>
      </c>
      <c r="T5959" t="s">
        <v>296</v>
      </c>
    </row>
    <row r="5960" spans="1:20" x14ac:dyDescent="0.25">
      <c r="A5960">
        <v>9</v>
      </c>
      <c r="B5960">
        <v>199</v>
      </c>
      <c r="C5960" t="str">
        <f>"11"</f>
        <v>11</v>
      </c>
      <c r="D5960">
        <v>6399</v>
      </c>
      <c r="E5960" t="str">
        <f>"8U"</f>
        <v>8U</v>
      </c>
      <c r="F5960" t="str">
        <f>"104"</f>
        <v>104</v>
      </c>
      <c r="G5960">
        <v>9</v>
      </c>
      <c r="H5960" t="str">
        <f>"11"</f>
        <v>11</v>
      </c>
      <c r="I5960" t="str">
        <f t="shared" si="1299"/>
        <v>0</v>
      </c>
      <c r="J5960" t="str">
        <f>"05"</f>
        <v>05</v>
      </c>
      <c r="K5960">
        <v>20190426</v>
      </c>
      <c r="L5960" t="str">
        <f>"076592"</f>
        <v>076592</v>
      </c>
      <c r="M5960" t="str">
        <f>"46850"</f>
        <v>46850</v>
      </c>
      <c r="N5960" t="s">
        <v>4752</v>
      </c>
      <c r="O5960">
        <v>122.55</v>
      </c>
      <c r="P5960">
        <v>20190425</v>
      </c>
      <c r="Q5960" t="s">
        <v>2563</v>
      </c>
      <c r="R5960" t="s">
        <v>4753</v>
      </c>
      <c r="S5960" t="s">
        <v>1615</v>
      </c>
      <c r="T5960" t="s">
        <v>46</v>
      </c>
    </row>
    <row r="5961" spans="1:20" x14ac:dyDescent="0.25">
      <c r="A5961">
        <v>9</v>
      </c>
      <c r="B5961">
        <v>199</v>
      </c>
      <c r="C5961" t="str">
        <f>"51"</f>
        <v>51</v>
      </c>
      <c r="D5961">
        <v>6319</v>
      </c>
      <c r="E5961" t="str">
        <f>"MC"</f>
        <v>MC</v>
      </c>
      <c r="F5961" t="str">
        <f>"936"</f>
        <v>936</v>
      </c>
      <c r="G5961">
        <v>9</v>
      </c>
      <c r="H5961" t="str">
        <f>"99"</f>
        <v>99</v>
      </c>
      <c r="I5961" t="str">
        <f t="shared" si="1299"/>
        <v>0</v>
      </c>
      <c r="J5961" t="str">
        <f>"81"</f>
        <v>81</v>
      </c>
      <c r="K5961">
        <v>20190426</v>
      </c>
      <c r="L5961" t="str">
        <f>"076593"</f>
        <v>076593</v>
      </c>
      <c r="M5961" t="str">
        <f>"47725"</f>
        <v>47725</v>
      </c>
      <c r="N5961" t="s">
        <v>2095</v>
      </c>
      <c r="O5961">
        <v>45.68</v>
      </c>
      <c r="P5961">
        <v>20190425</v>
      </c>
      <c r="Q5961" t="s">
        <v>2060</v>
      </c>
      <c r="R5961" t="s">
        <v>3426</v>
      </c>
      <c r="S5961" t="s">
        <v>1615</v>
      </c>
      <c r="T5961" t="s">
        <v>1713</v>
      </c>
    </row>
    <row r="5962" spans="1:20" x14ac:dyDescent="0.25">
      <c r="A5962">
        <v>9</v>
      </c>
      <c r="B5962">
        <v>199</v>
      </c>
      <c r="C5962" t="str">
        <f>"13"</f>
        <v>13</v>
      </c>
      <c r="D5962">
        <v>6411</v>
      </c>
      <c r="E5962" t="str">
        <f>"VB"</f>
        <v>VB</v>
      </c>
      <c r="F5962" t="str">
        <f>"001"</f>
        <v>001</v>
      </c>
      <c r="G5962">
        <v>9</v>
      </c>
      <c r="H5962" t="str">
        <f>"22"</f>
        <v>22</v>
      </c>
      <c r="I5962" t="str">
        <f t="shared" si="1299"/>
        <v>0</v>
      </c>
      <c r="J5962" t="str">
        <f>"22"</f>
        <v>22</v>
      </c>
      <c r="K5962">
        <v>20190426</v>
      </c>
      <c r="L5962" t="str">
        <f>"076594"</f>
        <v>076594</v>
      </c>
      <c r="M5962" t="str">
        <f>"00799"</f>
        <v>00799</v>
      </c>
      <c r="N5962" t="s">
        <v>4754</v>
      </c>
      <c r="O5962" s="1">
        <v>1695</v>
      </c>
      <c r="P5962">
        <v>20190425</v>
      </c>
      <c r="Q5962" t="s">
        <v>3135</v>
      </c>
      <c r="R5962" t="s">
        <v>4755</v>
      </c>
      <c r="S5962" t="s">
        <v>1615</v>
      </c>
      <c r="T5962" t="s">
        <v>301</v>
      </c>
    </row>
    <row r="5963" spans="1:20" x14ac:dyDescent="0.25">
      <c r="A5963">
        <v>9</v>
      </c>
      <c r="B5963">
        <v>199</v>
      </c>
      <c r="C5963" t="str">
        <f>"13"</f>
        <v>13</v>
      </c>
      <c r="D5963">
        <v>6411</v>
      </c>
      <c r="E5963" t="str">
        <f>"VB"</f>
        <v>VB</v>
      </c>
      <c r="F5963" t="str">
        <f>"001"</f>
        <v>001</v>
      </c>
      <c r="G5963">
        <v>9</v>
      </c>
      <c r="H5963" t="str">
        <f>"22"</f>
        <v>22</v>
      </c>
      <c r="I5963" t="str">
        <f t="shared" si="1299"/>
        <v>0</v>
      </c>
      <c r="J5963" t="str">
        <f>"22"</f>
        <v>22</v>
      </c>
      <c r="K5963">
        <v>20190426</v>
      </c>
      <c r="L5963" t="str">
        <f>"076594"</f>
        <v>076594</v>
      </c>
      <c r="M5963" t="str">
        <f>"00799"</f>
        <v>00799</v>
      </c>
      <c r="N5963" t="s">
        <v>4754</v>
      </c>
      <c r="O5963">
        <v>845</v>
      </c>
      <c r="P5963">
        <v>20190425</v>
      </c>
      <c r="Q5963" t="s">
        <v>3135</v>
      </c>
      <c r="R5963" t="s">
        <v>4755</v>
      </c>
      <c r="S5963" t="s">
        <v>1615</v>
      </c>
      <c r="T5963" t="s">
        <v>301</v>
      </c>
    </row>
    <row r="5964" spans="1:20" x14ac:dyDescent="0.25">
      <c r="A5964">
        <v>9</v>
      </c>
      <c r="B5964">
        <v>199</v>
      </c>
      <c r="C5964" t="str">
        <f>"13"</f>
        <v>13</v>
      </c>
      <c r="D5964">
        <v>6411</v>
      </c>
      <c r="E5964" t="str">
        <f>"VL"</f>
        <v>VL</v>
      </c>
      <c r="F5964" t="str">
        <f>"001"</f>
        <v>001</v>
      </c>
      <c r="G5964">
        <v>9</v>
      </c>
      <c r="H5964" t="str">
        <f>"22"</f>
        <v>22</v>
      </c>
      <c r="I5964" t="str">
        <f t="shared" si="1299"/>
        <v>0</v>
      </c>
      <c r="J5964" t="str">
        <f>"22"</f>
        <v>22</v>
      </c>
      <c r="K5964">
        <v>20190426</v>
      </c>
      <c r="L5964" t="str">
        <f>"076594"</f>
        <v>076594</v>
      </c>
      <c r="M5964" t="str">
        <f>"00799"</f>
        <v>00799</v>
      </c>
      <c r="N5964" t="s">
        <v>4754</v>
      </c>
      <c r="O5964" s="1">
        <v>1095</v>
      </c>
      <c r="P5964">
        <v>20190425</v>
      </c>
      <c r="Q5964" t="s">
        <v>4756</v>
      </c>
      <c r="R5964" t="s">
        <v>4757</v>
      </c>
      <c r="S5964" t="s">
        <v>1615</v>
      </c>
      <c r="T5964" t="s">
        <v>301</v>
      </c>
    </row>
    <row r="5965" spans="1:20" x14ac:dyDescent="0.25">
      <c r="A5965">
        <v>9</v>
      </c>
      <c r="B5965">
        <v>199</v>
      </c>
      <c r="C5965" t="str">
        <f>"51"</f>
        <v>51</v>
      </c>
      <c r="D5965">
        <v>6319</v>
      </c>
      <c r="E5965" t="str">
        <f>"M3"</f>
        <v>M3</v>
      </c>
      <c r="F5965" t="str">
        <f>"936"</f>
        <v>936</v>
      </c>
      <c r="G5965">
        <v>9</v>
      </c>
      <c r="H5965" t="str">
        <f>"99"</f>
        <v>99</v>
      </c>
      <c r="I5965" t="str">
        <f t="shared" si="1299"/>
        <v>0</v>
      </c>
      <c r="J5965" t="str">
        <f>"81"</f>
        <v>81</v>
      </c>
      <c r="K5965">
        <v>20190426</v>
      </c>
      <c r="L5965" t="str">
        <f>"076595"</f>
        <v>076595</v>
      </c>
      <c r="M5965" t="str">
        <f>"49970"</f>
        <v>49970</v>
      </c>
      <c r="N5965" t="s">
        <v>2273</v>
      </c>
      <c r="O5965">
        <v>916.25</v>
      </c>
      <c r="P5965">
        <v>20190425</v>
      </c>
      <c r="Q5965" t="s">
        <v>2246</v>
      </c>
      <c r="R5965" t="s">
        <v>4758</v>
      </c>
      <c r="S5965" t="s">
        <v>1615</v>
      </c>
      <c r="T5965" t="s">
        <v>1713</v>
      </c>
    </row>
    <row r="5966" spans="1:20" x14ac:dyDescent="0.25">
      <c r="A5966">
        <v>9</v>
      </c>
      <c r="B5966">
        <v>199</v>
      </c>
      <c r="C5966" t="str">
        <f>"52"</f>
        <v>52</v>
      </c>
      <c r="D5966">
        <v>6219</v>
      </c>
      <c r="E5966" t="str">
        <f>"00"</f>
        <v>00</v>
      </c>
      <c r="F5966" t="str">
        <f>"101"</f>
        <v>101</v>
      </c>
      <c r="G5966">
        <v>9</v>
      </c>
      <c r="H5966" t="str">
        <f>"99"</f>
        <v>99</v>
      </c>
      <c r="I5966" t="str">
        <f t="shared" si="1299"/>
        <v>0</v>
      </c>
      <c r="J5966" t="str">
        <f>"00"</f>
        <v>00</v>
      </c>
      <c r="K5966">
        <v>20190426</v>
      </c>
      <c r="L5966" t="str">
        <f>"076600"</f>
        <v>076600</v>
      </c>
      <c r="M5966" t="str">
        <f>"00755"</f>
        <v>00755</v>
      </c>
      <c r="N5966" t="s">
        <v>4268</v>
      </c>
      <c r="O5966">
        <v>300</v>
      </c>
      <c r="P5966">
        <v>20190425</v>
      </c>
      <c r="Q5966" t="s">
        <v>1854</v>
      </c>
      <c r="R5966" t="s">
        <v>4759</v>
      </c>
      <c r="S5966" t="s">
        <v>1615</v>
      </c>
      <c r="T5966" t="s">
        <v>1479</v>
      </c>
    </row>
    <row r="5967" spans="1:20" x14ac:dyDescent="0.25">
      <c r="A5967">
        <v>9</v>
      </c>
      <c r="B5967">
        <v>199</v>
      </c>
      <c r="C5967" t="str">
        <f t="shared" ref="C5967:C5972" si="1300">"11"</f>
        <v>11</v>
      </c>
      <c r="D5967">
        <v>6399</v>
      </c>
      <c r="E5967" t="str">
        <f>"72"</f>
        <v>72</v>
      </c>
      <c r="F5967" t="str">
        <f>"041"</f>
        <v>041</v>
      </c>
      <c r="G5967">
        <v>9</v>
      </c>
      <c r="H5967" t="str">
        <f>"11"</f>
        <v>11</v>
      </c>
      <c r="I5967" t="str">
        <f t="shared" si="1299"/>
        <v>0</v>
      </c>
      <c r="J5967" t="str">
        <f>"03"</f>
        <v>03</v>
      </c>
      <c r="K5967">
        <v>20190426</v>
      </c>
      <c r="L5967" t="str">
        <f>"076602"</f>
        <v>076602</v>
      </c>
      <c r="M5967" t="str">
        <f>"54149"</f>
        <v>54149</v>
      </c>
      <c r="N5967" t="s">
        <v>3434</v>
      </c>
      <c r="O5967">
        <v>843.86</v>
      </c>
      <c r="P5967">
        <v>20190425</v>
      </c>
      <c r="Q5967" t="s">
        <v>2054</v>
      </c>
      <c r="R5967" t="s">
        <v>4760</v>
      </c>
      <c r="S5967" t="s">
        <v>1615</v>
      </c>
      <c r="T5967" t="s">
        <v>106</v>
      </c>
    </row>
    <row r="5968" spans="1:20" x14ac:dyDescent="0.25">
      <c r="A5968">
        <v>9</v>
      </c>
      <c r="B5968">
        <v>199</v>
      </c>
      <c r="C5968" t="str">
        <f t="shared" si="1300"/>
        <v>11</v>
      </c>
      <c r="D5968">
        <v>6399</v>
      </c>
      <c r="E5968" t="str">
        <f>"72"</f>
        <v>72</v>
      </c>
      <c r="F5968" t="str">
        <f>"041"</f>
        <v>041</v>
      </c>
      <c r="G5968">
        <v>9</v>
      </c>
      <c r="H5968" t="str">
        <f>"11"</f>
        <v>11</v>
      </c>
      <c r="I5968" t="str">
        <f t="shared" si="1299"/>
        <v>0</v>
      </c>
      <c r="J5968" t="str">
        <f>"03"</f>
        <v>03</v>
      </c>
      <c r="K5968">
        <v>20190426</v>
      </c>
      <c r="L5968" t="str">
        <f>"076602"</f>
        <v>076602</v>
      </c>
      <c r="M5968" t="str">
        <f>"54149"</f>
        <v>54149</v>
      </c>
      <c r="N5968" t="s">
        <v>3434</v>
      </c>
      <c r="O5968">
        <v>258.08</v>
      </c>
      <c r="P5968">
        <v>20190425</v>
      </c>
      <c r="Q5968" t="s">
        <v>2054</v>
      </c>
      <c r="R5968" t="s">
        <v>4761</v>
      </c>
      <c r="S5968" t="s">
        <v>1615</v>
      </c>
      <c r="T5968" t="s">
        <v>106</v>
      </c>
    </row>
    <row r="5969" spans="1:20" x14ac:dyDescent="0.25">
      <c r="A5969">
        <v>9</v>
      </c>
      <c r="B5969">
        <v>199</v>
      </c>
      <c r="C5969" t="str">
        <f t="shared" si="1300"/>
        <v>11</v>
      </c>
      <c r="D5969">
        <v>6399</v>
      </c>
      <c r="E5969" t="str">
        <f>"VH"</f>
        <v>VH</v>
      </c>
      <c r="F5969" t="str">
        <f>"002"</f>
        <v>002</v>
      </c>
      <c r="G5969">
        <v>9</v>
      </c>
      <c r="H5969" t="str">
        <f>"22"</f>
        <v>22</v>
      </c>
      <c r="I5969" t="str">
        <f t="shared" si="1299"/>
        <v>0</v>
      </c>
      <c r="J5969" t="str">
        <f>"22"</f>
        <v>22</v>
      </c>
      <c r="K5969">
        <v>20190426</v>
      </c>
      <c r="L5969" t="str">
        <f>"076602"</f>
        <v>076602</v>
      </c>
      <c r="M5969" t="str">
        <f>"54149"</f>
        <v>54149</v>
      </c>
      <c r="N5969" t="s">
        <v>3434</v>
      </c>
      <c r="O5969">
        <v>124.88</v>
      </c>
      <c r="P5969">
        <v>20190425</v>
      </c>
      <c r="Q5969" t="s">
        <v>1912</v>
      </c>
      <c r="R5969" t="s">
        <v>4762</v>
      </c>
      <c r="S5969" t="s">
        <v>1615</v>
      </c>
      <c r="T5969" t="s">
        <v>1485</v>
      </c>
    </row>
    <row r="5970" spans="1:20" x14ac:dyDescent="0.25">
      <c r="A5970">
        <v>9</v>
      </c>
      <c r="B5970">
        <v>199</v>
      </c>
      <c r="C5970" t="str">
        <f t="shared" si="1300"/>
        <v>11</v>
      </c>
      <c r="D5970">
        <v>6399</v>
      </c>
      <c r="E5970" t="str">
        <f>"VH"</f>
        <v>VH</v>
      </c>
      <c r="F5970" t="str">
        <f>"002"</f>
        <v>002</v>
      </c>
      <c r="G5970">
        <v>9</v>
      </c>
      <c r="H5970" t="str">
        <f>"22"</f>
        <v>22</v>
      </c>
      <c r="I5970" t="str">
        <f t="shared" si="1299"/>
        <v>0</v>
      </c>
      <c r="J5970" t="str">
        <f>"22"</f>
        <v>22</v>
      </c>
      <c r="K5970">
        <v>20190426</v>
      </c>
      <c r="L5970" t="str">
        <f>"076602"</f>
        <v>076602</v>
      </c>
      <c r="M5970" t="str">
        <f>"54149"</f>
        <v>54149</v>
      </c>
      <c r="N5970" t="s">
        <v>3434</v>
      </c>
      <c r="O5970">
        <v>462.85</v>
      </c>
      <c r="P5970">
        <v>20190425</v>
      </c>
      <c r="Q5970" t="s">
        <v>1912</v>
      </c>
      <c r="R5970" t="s">
        <v>2636</v>
      </c>
      <c r="S5970" t="s">
        <v>1615</v>
      </c>
      <c r="T5970" t="s">
        <v>1485</v>
      </c>
    </row>
    <row r="5971" spans="1:20" x14ac:dyDescent="0.25">
      <c r="A5971">
        <v>9</v>
      </c>
      <c r="B5971">
        <v>199</v>
      </c>
      <c r="C5971" t="str">
        <f t="shared" si="1300"/>
        <v>11</v>
      </c>
      <c r="D5971">
        <v>6396</v>
      </c>
      <c r="E5971" t="str">
        <f>"05"</f>
        <v>05</v>
      </c>
      <c r="F5971" t="str">
        <f>"001"</f>
        <v>001</v>
      </c>
      <c r="G5971">
        <v>9</v>
      </c>
      <c r="H5971" t="str">
        <f>"11"</f>
        <v>11</v>
      </c>
      <c r="I5971" t="str">
        <f t="shared" si="1299"/>
        <v>0</v>
      </c>
      <c r="J5971" t="str">
        <f>"23"</f>
        <v>23</v>
      </c>
      <c r="K5971">
        <v>20190426</v>
      </c>
      <c r="L5971" t="str">
        <f>"076604"</f>
        <v>076604</v>
      </c>
      <c r="M5971" t="str">
        <f>"54495"</f>
        <v>54495</v>
      </c>
      <c r="N5971" t="s">
        <v>2102</v>
      </c>
      <c r="O5971">
        <v>95.4</v>
      </c>
      <c r="P5971">
        <v>20190425</v>
      </c>
      <c r="Q5971" t="s">
        <v>2435</v>
      </c>
      <c r="R5971" t="s">
        <v>4763</v>
      </c>
      <c r="S5971" t="s">
        <v>1615</v>
      </c>
      <c r="T5971" t="s">
        <v>301</v>
      </c>
    </row>
    <row r="5972" spans="1:20" x14ac:dyDescent="0.25">
      <c r="A5972">
        <v>9</v>
      </c>
      <c r="B5972">
        <v>199</v>
      </c>
      <c r="C5972" t="str">
        <f t="shared" si="1300"/>
        <v>11</v>
      </c>
      <c r="D5972">
        <v>6396</v>
      </c>
      <c r="E5972" t="str">
        <f>"05"</f>
        <v>05</v>
      </c>
      <c r="F5972" t="str">
        <f>"041"</f>
        <v>041</v>
      </c>
      <c r="G5972">
        <v>9</v>
      </c>
      <c r="H5972" t="str">
        <f>"11"</f>
        <v>11</v>
      </c>
      <c r="I5972" t="str">
        <f t="shared" si="1299"/>
        <v>0</v>
      </c>
      <c r="J5972" t="str">
        <f>"23"</f>
        <v>23</v>
      </c>
      <c r="K5972">
        <v>20190426</v>
      </c>
      <c r="L5972" t="str">
        <f>"076604"</f>
        <v>076604</v>
      </c>
      <c r="M5972" t="str">
        <f>"54495"</f>
        <v>54495</v>
      </c>
      <c r="N5972" t="s">
        <v>2102</v>
      </c>
      <c r="O5972">
        <v>95.4</v>
      </c>
      <c r="P5972">
        <v>20190425</v>
      </c>
      <c r="Q5972" t="s">
        <v>4673</v>
      </c>
      <c r="R5972" t="s">
        <v>4763</v>
      </c>
      <c r="S5972" t="s">
        <v>1615</v>
      </c>
      <c r="T5972" t="s">
        <v>106</v>
      </c>
    </row>
    <row r="5973" spans="1:20" x14ac:dyDescent="0.25">
      <c r="A5973">
        <v>9</v>
      </c>
      <c r="B5973">
        <v>199</v>
      </c>
      <c r="C5973" t="str">
        <f>"41"</f>
        <v>41</v>
      </c>
      <c r="D5973">
        <v>6213</v>
      </c>
      <c r="E5973" t="str">
        <f>"11"</f>
        <v>11</v>
      </c>
      <c r="F5973" t="str">
        <f>"703"</f>
        <v>703</v>
      </c>
      <c r="G5973">
        <v>9</v>
      </c>
      <c r="H5973" t="str">
        <f>"99"</f>
        <v>99</v>
      </c>
      <c r="I5973" t="str">
        <f t="shared" si="1299"/>
        <v>0</v>
      </c>
      <c r="J5973" t="str">
        <f>"91"</f>
        <v>91</v>
      </c>
      <c r="K5973">
        <v>20190426</v>
      </c>
      <c r="L5973" t="str">
        <f>"076606"</f>
        <v>076606</v>
      </c>
      <c r="M5973" t="str">
        <f>"61166"</f>
        <v>61166</v>
      </c>
      <c r="N5973" t="s">
        <v>2892</v>
      </c>
      <c r="O5973">
        <v>214.36</v>
      </c>
      <c r="P5973">
        <v>20190425</v>
      </c>
      <c r="Q5973" t="s">
        <v>2893</v>
      </c>
      <c r="R5973" t="s">
        <v>2894</v>
      </c>
      <c r="S5973" t="s">
        <v>1615</v>
      </c>
      <c r="T5973" t="s">
        <v>1761</v>
      </c>
    </row>
    <row r="5974" spans="1:20" x14ac:dyDescent="0.25">
      <c r="A5974">
        <v>9</v>
      </c>
      <c r="B5974">
        <v>199</v>
      </c>
      <c r="C5974" t="str">
        <f>"51"</f>
        <v>51</v>
      </c>
      <c r="D5974">
        <v>6249</v>
      </c>
      <c r="E5974" t="str">
        <f>"M1"</f>
        <v>M1</v>
      </c>
      <c r="F5974" t="str">
        <f>"936"</f>
        <v>936</v>
      </c>
      <c r="G5974">
        <v>9</v>
      </c>
      <c r="H5974" t="str">
        <f>"99"</f>
        <v>99</v>
      </c>
      <c r="I5974" t="str">
        <f t="shared" si="1299"/>
        <v>0</v>
      </c>
      <c r="J5974" t="str">
        <f>"81"</f>
        <v>81</v>
      </c>
      <c r="K5974">
        <v>20190426</v>
      </c>
      <c r="L5974" t="str">
        <f>"076607"</f>
        <v>076607</v>
      </c>
      <c r="M5974" t="str">
        <f>"00181"</f>
        <v>00181</v>
      </c>
      <c r="N5974" t="s">
        <v>1762</v>
      </c>
      <c r="O5974">
        <v>297</v>
      </c>
      <c r="P5974">
        <v>20190425</v>
      </c>
      <c r="Q5974" t="s">
        <v>1763</v>
      </c>
      <c r="R5974" t="s">
        <v>4764</v>
      </c>
      <c r="S5974" t="s">
        <v>1615</v>
      </c>
      <c r="T5974" t="s">
        <v>1713</v>
      </c>
    </row>
    <row r="5975" spans="1:20" x14ac:dyDescent="0.25">
      <c r="A5975">
        <v>9</v>
      </c>
      <c r="B5975">
        <v>199</v>
      </c>
      <c r="C5975" t="str">
        <f>"36"</f>
        <v>36</v>
      </c>
      <c r="D5975">
        <v>6399</v>
      </c>
      <c r="E5975" t="str">
        <f>"8T"</f>
        <v>8T</v>
      </c>
      <c r="F5975" t="str">
        <f>"001"</f>
        <v>001</v>
      </c>
      <c r="G5975">
        <v>9</v>
      </c>
      <c r="H5975" t="str">
        <f>"99"</f>
        <v>99</v>
      </c>
      <c r="I5975" t="str">
        <f t="shared" si="1299"/>
        <v>0</v>
      </c>
      <c r="J5975" t="str">
        <f>"01"</f>
        <v>01</v>
      </c>
      <c r="K5975">
        <v>20190426</v>
      </c>
      <c r="L5975" t="str">
        <f>"076608"</f>
        <v>076608</v>
      </c>
      <c r="M5975" t="str">
        <f>"56564"</f>
        <v>56564</v>
      </c>
      <c r="N5975" t="s">
        <v>4765</v>
      </c>
      <c r="O5975">
        <v>123.01</v>
      </c>
      <c r="P5975">
        <v>20190425</v>
      </c>
      <c r="Q5975" t="s">
        <v>2966</v>
      </c>
      <c r="R5975" t="s">
        <v>2967</v>
      </c>
      <c r="S5975" t="s">
        <v>1615</v>
      </c>
      <c r="T5975" t="s">
        <v>301</v>
      </c>
    </row>
    <row r="5976" spans="1:20" x14ac:dyDescent="0.25">
      <c r="A5976">
        <v>9</v>
      </c>
      <c r="B5976">
        <v>199</v>
      </c>
      <c r="C5976" t="str">
        <f>"34"</f>
        <v>34</v>
      </c>
      <c r="D5976">
        <v>6411</v>
      </c>
      <c r="E5976" t="str">
        <f>"11"</f>
        <v>11</v>
      </c>
      <c r="F5976" t="str">
        <f>"937"</f>
        <v>937</v>
      </c>
      <c r="G5976">
        <v>9</v>
      </c>
      <c r="H5976" t="str">
        <f>"99"</f>
        <v>99</v>
      </c>
      <c r="I5976" t="str">
        <f>"1"</f>
        <v>1</v>
      </c>
      <c r="J5976" t="str">
        <f>"82"</f>
        <v>82</v>
      </c>
      <c r="K5976">
        <v>20190426</v>
      </c>
      <c r="L5976" t="str">
        <f>"076609"</f>
        <v>076609</v>
      </c>
      <c r="M5976" t="str">
        <f>"57617"</f>
        <v>57617</v>
      </c>
      <c r="N5976" t="s">
        <v>4766</v>
      </c>
      <c r="O5976">
        <v>36.04</v>
      </c>
      <c r="P5976">
        <v>20190425</v>
      </c>
      <c r="Q5976" t="s">
        <v>2531</v>
      </c>
      <c r="R5976" t="s">
        <v>4337</v>
      </c>
      <c r="S5976" t="s">
        <v>1615</v>
      </c>
      <c r="T5976" t="s">
        <v>1810</v>
      </c>
    </row>
    <row r="5977" spans="1:20" x14ac:dyDescent="0.25">
      <c r="A5977">
        <v>9</v>
      </c>
      <c r="B5977">
        <v>199</v>
      </c>
      <c r="C5977" t="str">
        <f>"34"</f>
        <v>34</v>
      </c>
      <c r="D5977">
        <v>6411</v>
      </c>
      <c r="E5977" t="str">
        <f>"11"</f>
        <v>11</v>
      </c>
      <c r="F5977" t="str">
        <f>"937"</f>
        <v>937</v>
      </c>
      <c r="G5977">
        <v>9</v>
      </c>
      <c r="H5977" t="str">
        <f>"99"</f>
        <v>99</v>
      </c>
      <c r="I5977" t="str">
        <f>"1"</f>
        <v>1</v>
      </c>
      <c r="J5977" t="str">
        <f>"82"</f>
        <v>82</v>
      </c>
      <c r="K5977">
        <v>20190426</v>
      </c>
      <c r="L5977" t="str">
        <f>"076609"</f>
        <v>076609</v>
      </c>
      <c r="M5977" t="str">
        <f>"57617"</f>
        <v>57617</v>
      </c>
      <c r="N5977" t="s">
        <v>4766</v>
      </c>
      <c r="O5977">
        <v>25.16</v>
      </c>
      <c r="P5977">
        <v>20190425</v>
      </c>
      <c r="Q5977" t="s">
        <v>2531</v>
      </c>
      <c r="R5977" t="s">
        <v>4351</v>
      </c>
      <c r="S5977" t="s">
        <v>1615</v>
      </c>
      <c r="T5977" t="s">
        <v>1810</v>
      </c>
    </row>
    <row r="5978" spans="1:20" x14ac:dyDescent="0.25">
      <c r="A5978">
        <v>9</v>
      </c>
      <c r="B5978">
        <v>199</v>
      </c>
      <c r="C5978" t="str">
        <f>"11"</f>
        <v>11</v>
      </c>
      <c r="D5978">
        <v>6399</v>
      </c>
      <c r="E5978" t="str">
        <f>"VH"</f>
        <v>VH</v>
      </c>
      <c r="F5978" t="str">
        <f>"001"</f>
        <v>001</v>
      </c>
      <c r="G5978">
        <v>9</v>
      </c>
      <c r="H5978" t="str">
        <f>"22"</f>
        <v>22</v>
      </c>
      <c r="I5978" t="str">
        <f t="shared" ref="I5978:I5988" si="1301">"0"</f>
        <v>0</v>
      </c>
      <c r="J5978" t="str">
        <f>"22"</f>
        <v>22</v>
      </c>
      <c r="K5978">
        <v>20190426</v>
      </c>
      <c r="L5978" t="str">
        <f>"076613"</f>
        <v>076613</v>
      </c>
      <c r="M5978" t="str">
        <f>"61914"</f>
        <v>61914</v>
      </c>
      <c r="N5978" t="s">
        <v>1911</v>
      </c>
      <c r="O5978" s="1">
        <v>3008.8</v>
      </c>
      <c r="P5978">
        <v>20190425</v>
      </c>
      <c r="Q5978" t="s">
        <v>2206</v>
      </c>
      <c r="R5978" t="s">
        <v>4767</v>
      </c>
      <c r="S5978" t="s">
        <v>1615</v>
      </c>
      <c r="T5978" t="s">
        <v>301</v>
      </c>
    </row>
    <row r="5979" spans="1:20" x14ac:dyDescent="0.25">
      <c r="A5979">
        <v>9</v>
      </c>
      <c r="B5979">
        <v>199</v>
      </c>
      <c r="C5979" t="str">
        <f>"41"</f>
        <v>41</v>
      </c>
      <c r="D5979">
        <v>6491</v>
      </c>
      <c r="E5979" t="str">
        <f>"10"</f>
        <v>10</v>
      </c>
      <c r="F5979" t="str">
        <f>"939"</f>
        <v>939</v>
      </c>
      <c r="G5979">
        <v>9</v>
      </c>
      <c r="H5979" t="str">
        <f>"99"</f>
        <v>99</v>
      </c>
      <c r="I5979" t="str">
        <f t="shared" si="1301"/>
        <v>0</v>
      </c>
      <c r="J5979" t="str">
        <f>"87"</f>
        <v>87</v>
      </c>
      <c r="K5979">
        <v>20190426</v>
      </c>
      <c r="L5979" t="str">
        <f>"076614"</f>
        <v>076614</v>
      </c>
      <c r="M5979" t="str">
        <f>"00355"</f>
        <v>00355</v>
      </c>
      <c r="N5979" t="s">
        <v>2304</v>
      </c>
      <c r="O5979">
        <v>160</v>
      </c>
      <c r="P5979">
        <v>20190425</v>
      </c>
      <c r="Q5979" t="s">
        <v>3861</v>
      </c>
      <c r="R5979" t="s">
        <v>4768</v>
      </c>
      <c r="S5979" t="s">
        <v>1615</v>
      </c>
      <c r="T5979" t="s">
        <v>2985</v>
      </c>
    </row>
    <row r="5980" spans="1:20" x14ac:dyDescent="0.25">
      <c r="A5980">
        <v>9</v>
      </c>
      <c r="B5980">
        <v>199</v>
      </c>
      <c r="C5980" t="str">
        <f>"21"</f>
        <v>21</v>
      </c>
      <c r="D5980">
        <v>6498</v>
      </c>
      <c r="E5980" t="str">
        <f>"10"</f>
        <v>10</v>
      </c>
      <c r="F5980" t="str">
        <f>"871"</f>
        <v>871</v>
      </c>
      <c r="G5980">
        <v>9</v>
      </c>
      <c r="H5980" t="str">
        <f>"99"</f>
        <v>99</v>
      </c>
      <c r="I5980" t="str">
        <f t="shared" si="1301"/>
        <v>0</v>
      </c>
      <c r="J5980" t="str">
        <f>"94"</f>
        <v>94</v>
      </c>
      <c r="K5980">
        <v>20190426</v>
      </c>
      <c r="L5980" t="str">
        <f>"076615"</f>
        <v>076615</v>
      </c>
      <c r="M5980" t="str">
        <f>"62881"</f>
        <v>62881</v>
      </c>
      <c r="N5980" t="s">
        <v>1791</v>
      </c>
      <c r="O5980">
        <v>231.9</v>
      </c>
      <c r="P5980">
        <v>20190425</v>
      </c>
      <c r="Q5980" t="s">
        <v>4639</v>
      </c>
      <c r="R5980" t="s">
        <v>4769</v>
      </c>
      <c r="S5980" t="s">
        <v>1615</v>
      </c>
      <c r="T5980" t="s">
        <v>1932</v>
      </c>
    </row>
    <row r="5981" spans="1:20" x14ac:dyDescent="0.25">
      <c r="A5981">
        <v>9</v>
      </c>
      <c r="B5981">
        <v>199</v>
      </c>
      <c r="C5981" t="str">
        <f>"00"</f>
        <v>00</v>
      </c>
      <c r="D5981">
        <v>1312</v>
      </c>
      <c r="E5981" t="str">
        <f>"00"</f>
        <v>00</v>
      </c>
      <c r="F5981" t="str">
        <f>"000"</f>
        <v>000</v>
      </c>
      <c r="G5981">
        <v>9</v>
      </c>
      <c r="H5981" t="str">
        <f>"00"</f>
        <v>00</v>
      </c>
      <c r="I5981" t="str">
        <f t="shared" si="1301"/>
        <v>0</v>
      </c>
      <c r="J5981" t="str">
        <f>"00"</f>
        <v>00</v>
      </c>
      <c r="K5981">
        <v>20190426</v>
      </c>
      <c r="L5981" t="str">
        <f>"076616"</f>
        <v>076616</v>
      </c>
      <c r="M5981" t="str">
        <f>"00608"</f>
        <v>00608</v>
      </c>
      <c r="N5981" t="s">
        <v>2785</v>
      </c>
      <c r="O5981">
        <v>516</v>
      </c>
      <c r="P5981">
        <v>20190425</v>
      </c>
      <c r="Q5981" t="s">
        <v>1860</v>
      </c>
      <c r="R5981" t="s">
        <v>2786</v>
      </c>
      <c r="S5981" t="s">
        <v>1615</v>
      </c>
      <c r="T5981" t="s">
        <v>296</v>
      </c>
    </row>
    <row r="5982" spans="1:20" x14ac:dyDescent="0.25">
      <c r="A5982">
        <v>9</v>
      </c>
      <c r="B5982">
        <v>199</v>
      </c>
      <c r="C5982" t="str">
        <f>"11"</f>
        <v>11</v>
      </c>
      <c r="D5982">
        <v>6299</v>
      </c>
      <c r="E5982" t="str">
        <f>"7B"</f>
        <v>7B</v>
      </c>
      <c r="F5982" t="str">
        <f>"001"</f>
        <v>001</v>
      </c>
      <c r="G5982">
        <v>9</v>
      </c>
      <c r="H5982" t="str">
        <f>"11"</f>
        <v>11</v>
      </c>
      <c r="I5982" t="str">
        <f t="shared" si="1301"/>
        <v>0</v>
      </c>
      <c r="J5982" t="str">
        <f>"32"</f>
        <v>32</v>
      </c>
      <c r="K5982">
        <v>20190426</v>
      </c>
      <c r="L5982" t="str">
        <f>"076617"</f>
        <v>076617</v>
      </c>
      <c r="M5982" t="str">
        <f>"64823"</f>
        <v>64823</v>
      </c>
      <c r="N5982" t="s">
        <v>4770</v>
      </c>
      <c r="O5982" s="1">
        <v>3210</v>
      </c>
      <c r="P5982">
        <v>20190425</v>
      </c>
      <c r="Q5982" t="s">
        <v>4436</v>
      </c>
      <c r="R5982" t="s">
        <v>4771</v>
      </c>
      <c r="S5982" t="s">
        <v>1615</v>
      </c>
      <c r="T5982" t="s">
        <v>301</v>
      </c>
    </row>
    <row r="5983" spans="1:20" x14ac:dyDescent="0.25">
      <c r="A5983">
        <v>9</v>
      </c>
      <c r="B5983">
        <v>199</v>
      </c>
      <c r="C5983" t="str">
        <f>"36"</f>
        <v>36</v>
      </c>
      <c r="D5983">
        <v>6299</v>
      </c>
      <c r="E5983" t="str">
        <f>"7B"</f>
        <v>7B</v>
      </c>
      <c r="F5983" t="str">
        <f>"001"</f>
        <v>001</v>
      </c>
      <c r="G5983">
        <v>9</v>
      </c>
      <c r="H5983" t="str">
        <f>"99"</f>
        <v>99</v>
      </c>
      <c r="I5983" t="str">
        <f t="shared" si="1301"/>
        <v>0</v>
      </c>
      <c r="J5983" t="str">
        <f>"32"</f>
        <v>32</v>
      </c>
      <c r="K5983">
        <v>20190426</v>
      </c>
      <c r="L5983" t="str">
        <f>"076617"</f>
        <v>076617</v>
      </c>
      <c r="M5983" t="str">
        <f>"64823"</f>
        <v>64823</v>
      </c>
      <c r="N5983" t="s">
        <v>4770</v>
      </c>
      <c r="O5983">
        <v>290</v>
      </c>
      <c r="P5983">
        <v>20190425</v>
      </c>
      <c r="Q5983" t="s">
        <v>4772</v>
      </c>
      <c r="R5983" t="s">
        <v>4771</v>
      </c>
      <c r="S5983" t="s">
        <v>1615</v>
      </c>
      <c r="T5983" t="s">
        <v>301</v>
      </c>
    </row>
    <row r="5984" spans="1:20" x14ac:dyDescent="0.25">
      <c r="A5984">
        <v>9</v>
      </c>
      <c r="B5984">
        <v>199</v>
      </c>
      <c r="C5984" t="str">
        <f>"11"</f>
        <v>11</v>
      </c>
      <c r="D5984">
        <v>6399</v>
      </c>
      <c r="E5984" t="str">
        <f>"AY"</f>
        <v>AY</v>
      </c>
      <c r="F5984" t="str">
        <f>"001"</f>
        <v>001</v>
      </c>
      <c r="G5984">
        <v>9</v>
      </c>
      <c r="H5984" t="str">
        <f>"11"</f>
        <v>11</v>
      </c>
      <c r="I5984" t="str">
        <f t="shared" si="1301"/>
        <v>0</v>
      </c>
      <c r="J5984" t="str">
        <f>"01"</f>
        <v>01</v>
      </c>
      <c r="K5984">
        <v>20190426</v>
      </c>
      <c r="L5984" t="str">
        <f>"076619"</f>
        <v>076619</v>
      </c>
      <c r="M5984" t="str">
        <f>"65106"</f>
        <v>65106</v>
      </c>
      <c r="N5984" t="s">
        <v>1175</v>
      </c>
      <c r="O5984">
        <v>950.4</v>
      </c>
      <c r="P5984">
        <v>20190425</v>
      </c>
      <c r="Q5984" t="s">
        <v>3098</v>
      </c>
      <c r="R5984" t="s">
        <v>4197</v>
      </c>
      <c r="S5984" t="s">
        <v>1615</v>
      </c>
      <c r="T5984" t="s">
        <v>301</v>
      </c>
    </row>
    <row r="5985" spans="1:20" x14ac:dyDescent="0.25">
      <c r="A5985">
        <v>9</v>
      </c>
      <c r="B5985">
        <v>199</v>
      </c>
      <c r="C5985" t="str">
        <f>"21"</f>
        <v>21</v>
      </c>
      <c r="D5985">
        <v>6498</v>
      </c>
      <c r="E5985" t="str">
        <f>"10"</f>
        <v>10</v>
      </c>
      <c r="F5985" t="str">
        <f>"871"</f>
        <v>871</v>
      </c>
      <c r="G5985">
        <v>9</v>
      </c>
      <c r="H5985" t="str">
        <f t="shared" ref="H5985:H5992" si="1302">"99"</f>
        <v>99</v>
      </c>
      <c r="I5985" t="str">
        <f t="shared" si="1301"/>
        <v>0</v>
      </c>
      <c r="J5985" t="str">
        <f>"94"</f>
        <v>94</v>
      </c>
      <c r="K5985">
        <v>20190426</v>
      </c>
      <c r="L5985" t="str">
        <f>"076619"</f>
        <v>076619</v>
      </c>
      <c r="M5985" t="str">
        <f>"65106"</f>
        <v>65106</v>
      </c>
      <c r="N5985" t="s">
        <v>1175</v>
      </c>
      <c r="O5985">
        <v>155.26</v>
      </c>
      <c r="P5985">
        <v>20190425</v>
      </c>
      <c r="Q5985" t="s">
        <v>4639</v>
      </c>
      <c r="R5985" t="s">
        <v>4773</v>
      </c>
      <c r="S5985" t="s">
        <v>1615</v>
      </c>
      <c r="T5985" t="s">
        <v>1932</v>
      </c>
    </row>
    <row r="5986" spans="1:20" x14ac:dyDescent="0.25">
      <c r="A5986">
        <v>9</v>
      </c>
      <c r="B5986">
        <v>199</v>
      </c>
      <c r="C5986" t="str">
        <f>"23"</f>
        <v>23</v>
      </c>
      <c r="D5986">
        <v>6498</v>
      </c>
      <c r="E5986" t="str">
        <f>"10"</f>
        <v>10</v>
      </c>
      <c r="F5986" t="str">
        <f>"104"</f>
        <v>104</v>
      </c>
      <c r="G5986">
        <v>9</v>
      </c>
      <c r="H5986" t="str">
        <f t="shared" si="1302"/>
        <v>99</v>
      </c>
      <c r="I5986" t="str">
        <f t="shared" si="1301"/>
        <v>0</v>
      </c>
      <c r="J5986" t="str">
        <f>"05"</f>
        <v>05</v>
      </c>
      <c r="K5986">
        <v>20190426</v>
      </c>
      <c r="L5986" t="str">
        <f>"076619"</f>
        <v>076619</v>
      </c>
      <c r="M5986" t="str">
        <f>"65106"</f>
        <v>65106</v>
      </c>
      <c r="N5986" t="s">
        <v>1175</v>
      </c>
      <c r="O5986">
        <v>332.24</v>
      </c>
      <c r="P5986">
        <v>20190425</v>
      </c>
      <c r="Q5986" t="s">
        <v>2402</v>
      </c>
      <c r="R5986" t="s">
        <v>4774</v>
      </c>
      <c r="S5986" t="s">
        <v>1615</v>
      </c>
      <c r="T5986" t="s">
        <v>46</v>
      </c>
    </row>
    <row r="5987" spans="1:20" x14ac:dyDescent="0.25">
      <c r="A5987">
        <v>9</v>
      </c>
      <c r="B5987">
        <v>199</v>
      </c>
      <c r="C5987" t="str">
        <f>"31"</f>
        <v>31</v>
      </c>
      <c r="D5987">
        <v>6399</v>
      </c>
      <c r="E5987" t="str">
        <f>"7F"</f>
        <v>7F</v>
      </c>
      <c r="F5987" t="str">
        <f>"001"</f>
        <v>001</v>
      </c>
      <c r="G5987">
        <v>9</v>
      </c>
      <c r="H5987" t="str">
        <f t="shared" si="1302"/>
        <v>99</v>
      </c>
      <c r="I5987" t="str">
        <f t="shared" si="1301"/>
        <v>0</v>
      </c>
      <c r="J5987" t="str">
        <f>"01"</f>
        <v>01</v>
      </c>
      <c r="K5987">
        <v>20190426</v>
      </c>
      <c r="L5987" t="str">
        <f>"076619"</f>
        <v>076619</v>
      </c>
      <c r="M5987" t="str">
        <f>"65106"</f>
        <v>65106</v>
      </c>
      <c r="N5987" t="s">
        <v>1175</v>
      </c>
      <c r="O5987">
        <v>359.8</v>
      </c>
      <c r="P5987">
        <v>20190425</v>
      </c>
      <c r="Q5987" t="s">
        <v>2965</v>
      </c>
      <c r="R5987" t="s">
        <v>4775</v>
      </c>
      <c r="S5987" t="s">
        <v>1615</v>
      </c>
      <c r="T5987" t="s">
        <v>301</v>
      </c>
    </row>
    <row r="5988" spans="1:20" x14ac:dyDescent="0.25">
      <c r="A5988">
        <v>9</v>
      </c>
      <c r="B5988">
        <v>199</v>
      </c>
      <c r="C5988" t="str">
        <f>"51"</f>
        <v>51</v>
      </c>
      <c r="D5988">
        <v>6249</v>
      </c>
      <c r="E5988" t="str">
        <f>"MA"</f>
        <v>MA</v>
      </c>
      <c r="F5988" t="str">
        <f>"936"</f>
        <v>936</v>
      </c>
      <c r="G5988">
        <v>9</v>
      </c>
      <c r="H5988" t="str">
        <f t="shared" si="1302"/>
        <v>99</v>
      </c>
      <c r="I5988" t="str">
        <f t="shared" si="1301"/>
        <v>0</v>
      </c>
      <c r="J5988" t="str">
        <f>"81"</f>
        <v>81</v>
      </c>
      <c r="K5988">
        <v>20190426</v>
      </c>
      <c r="L5988" t="str">
        <f>"076620"</f>
        <v>076620</v>
      </c>
      <c r="M5988" t="str">
        <f>"65760"</f>
        <v>65760</v>
      </c>
      <c r="N5988" t="s">
        <v>4776</v>
      </c>
      <c r="O5988" s="1">
        <v>25617.97</v>
      </c>
      <c r="P5988">
        <v>20190425</v>
      </c>
      <c r="Q5988" t="s">
        <v>4777</v>
      </c>
      <c r="R5988" t="s">
        <v>4778</v>
      </c>
      <c r="S5988" t="s">
        <v>1615</v>
      </c>
      <c r="T5988" t="s">
        <v>1713</v>
      </c>
    </row>
    <row r="5989" spans="1:20" x14ac:dyDescent="0.25">
      <c r="A5989">
        <v>9</v>
      </c>
      <c r="B5989">
        <v>199</v>
      </c>
      <c r="C5989" t="str">
        <f>"34"</f>
        <v>34</v>
      </c>
      <c r="D5989">
        <v>6411</v>
      </c>
      <c r="E5989" t="str">
        <f>"11"</f>
        <v>11</v>
      </c>
      <c r="F5989" t="str">
        <f>"937"</f>
        <v>937</v>
      </c>
      <c r="G5989">
        <v>9</v>
      </c>
      <c r="H5989" t="str">
        <f t="shared" si="1302"/>
        <v>99</v>
      </c>
      <c r="I5989" t="str">
        <f>"1"</f>
        <v>1</v>
      </c>
      <c r="J5989" t="str">
        <f>"82"</f>
        <v>82</v>
      </c>
      <c r="K5989">
        <v>20190426</v>
      </c>
      <c r="L5989" t="str">
        <f>"076623"</f>
        <v>076623</v>
      </c>
      <c r="M5989" t="str">
        <f>"71149"</f>
        <v>71149</v>
      </c>
      <c r="N5989" t="s">
        <v>2530</v>
      </c>
      <c r="O5989">
        <v>32.11</v>
      </c>
      <c r="P5989">
        <v>20190425</v>
      </c>
      <c r="Q5989" t="s">
        <v>2531</v>
      </c>
      <c r="R5989" t="s">
        <v>4779</v>
      </c>
      <c r="S5989" t="s">
        <v>1615</v>
      </c>
      <c r="T5989" t="s">
        <v>1810</v>
      </c>
    </row>
    <row r="5990" spans="1:20" x14ac:dyDescent="0.25">
      <c r="A5990">
        <v>9</v>
      </c>
      <c r="B5990">
        <v>199</v>
      </c>
      <c r="C5990" t="str">
        <f>"23"</f>
        <v>23</v>
      </c>
      <c r="D5990">
        <v>6498</v>
      </c>
      <c r="E5990" t="str">
        <f>"10"</f>
        <v>10</v>
      </c>
      <c r="F5990" t="str">
        <f>"104"</f>
        <v>104</v>
      </c>
      <c r="G5990">
        <v>9</v>
      </c>
      <c r="H5990" t="str">
        <f t="shared" si="1302"/>
        <v>99</v>
      </c>
      <c r="I5990" t="str">
        <f t="shared" ref="I5990:I6020" si="1303">"0"</f>
        <v>0</v>
      </c>
      <c r="J5990" t="str">
        <f>"05"</f>
        <v>05</v>
      </c>
      <c r="K5990">
        <v>20190426</v>
      </c>
      <c r="L5990" t="str">
        <f>"076625"</f>
        <v>076625</v>
      </c>
      <c r="M5990" t="str">
        <f>"74160"</f>
        <v>74160</v>
      </c>
      <c r="N5990" t="s">
        <v>3604</v>
      </c>
      <c r="O5990">
        <v>116.4</v>
      </c>
      <c r="P5990">
        <v>20190425</v>
      </c>
      <c r="Q5990" t="s">
        <v>2402</v>
      </c>
      <c r="R5990" t="s">
        <v>4780</v>
      </c>
      <c r="S5990" t="s">
        <v>1615</v>
      </c>
      <c r="T5990" t="s">
        <v>46</v>
      </c>
    </row>
    <row r="5991" spans="1:20" x14ac:dyDescent="0.25">
      <c r="A5991">
        <v>9</v>
      </c>
      <c r="B5991">
        <v>199</v>
      </c>
      <c r="C5991" t="str">
        <f>"23"</f>
        <v>23</v>
      </c>
      <c r="D5991">
        <v>6498</v>
      </c>
      <c r="E5991" t="str">
        <f>"10"</f>
        <v>10</v>
      </c>
      <c r="F5991" t="str">
        <f>"104"</f>
        <v>104</v>
      </c>
      <c r="G5991">
        <v>9</v>
      </c>
      <c r="H5991" t="str">
        <f t="shared" si="1302"/>
        <v>99</v>
      </c>
      <c r="I5991" t="str">
        <f t="shared" si="1303"/>
        <v>0</v>
      </c>
      <c r="J5991" t="str">
        <f>"05"</f>
        <v>05</v>
      </c>
      <c r="K5991">
        <v>20190426</v>
      </c>
      <c r="L5991" t="str">
        <f>"076625"</f>
        <v>076625</v>
      </c>
      <c r="M5991" t="str">
        <f>"74160"</f>
        <v>74160</v>
      </c>
      <c r="N5991" t="s">
        <v>3604</v>
      </c>
      <c r="O5991">
        <v>96.2</v>
      </c>
      <c r="P5991">
        <v>20190425</v>
      </c>
      <c r="Q5991" t="s">
        <v>2402</v>
      </c>
      <c r="R5991" t="s">
        <v>4781</v>
      </c>
      <c r="S5991" t="s">
        <v>1615</v>
      </c>
      <c r="T5991" t="s">
        <v>46</v>
      </c>
    </row>
    <row r="5992" spans="1:20" x14ac:dyDescent="0.25">
      <c r="A5992">
        <v>9</v>
      </c>
      <c r="B5992">
        <v>199</v>
      </c>
      <c r="C5992" t="str">
        <f>"41"</f>
        <v>41</v>
      </c>
      <c r="D5992">
        <v>6495</v>
      </c>
      <c r="E5992" t="str">
        <f>"10"</f>
        <v>10</v>
      </c>
      <c r="F5992" t="str">
        <f>"730"</f>
        <v>730</v>
      </c>
      <c r="G5992">
        <v>9</v>
      </c>
      <c r="H5992" t="str">
        <f t="shared" si="1302"/>
        <v>99</v>
      </c>
      <c r="I5992" t="str">
        <f t="shared" si="1303"/>
        <v>0</v>
      </c>
      <c r="J5992" t="str">
        <f>"95"</f>
        <v>95</v>
      </c>
      <c r="K5992">
        <v>20190426</v>
      </c>
      <c r="L5992" t="str">
        <f>"076626"</f>
        <v>076626</v>
      </c>
      <c r="M5992" t="str">
        <f>"74391"</f>
        <v>74391</v>
      </c>
      <c r="N5992" t="s">
        <v>4367</v>
      </c>
      <c r="O5992">
        <v>110</v>
      </c>
      <c r="P5992">
        <v>20190425</v>
      </c>
      <c r="Q5992" t="s">
        <v>4177</v>
      </c>
      <c r="R5992" t="s">
        <v>4782</v>
      </c>
      <c r="S5992" t="s">
        <v>1615</v>
      </c>
      <c r="T5992" t="s">
        <v>1794</v>
      </c>
    </row>
    <row r="5993" spans="1:20" x14ac:dyDescent="0.25">
      <c r="A5993">
        <v>9</v>
      </c>
      <c r="B5993">
        <v>199</v>
      </c>
      <c r="C5993" t="str">
        <f t="shared" ref="C5993:C6003" si="1304">"11"</f>
        <v>11</v>
      </c>
      <c r="D5993">
        <v>6339</v>
      </c>
      <c r="E5993" t="str">
        <f>"V8"</f>
        <v>V8</v>
      </c>
      <c r="F5993" t="str">
        <f>"001"</f>
        <v>001</v>
      </c>
      <c r="G5993">
        <v>9</v>
      </c>
      <c r="H5993" t="str">
        <f>"22"</f>
        <v>22</v>
      </c>
      <c r="I5993" t="str">
        <f t="shared" si="1303"/>
        <v>0</v>
      </c>
      <c r="J5993" t="str">
        <f>"22"</f>
        <v>22</v>
      </c>
      <c r="K5993">
        <v>20190426</v>
      </c>
      <c r="L5993" t="str">
        <f>"076627"</f>
        <v>076627</v>
      </c>
      <c r="M5993" t="str">
        <f>"79427"</f>
        <v>79427</v>
      </c>
      <c r="N5993" t="s">
        <v>4783</v>
      </c>
      <c r="O5993">
        <v>600</v>
      </c>
      <c r="P5993">
        <v>20190425</v>
      </c>
      <c r="Q5993" t="s">
        <v>3517</v>
      </c>
      <c r="R5993" t="s">
        <v>4784</v>
      </c>
      <c r="S5993" t="s">
        <v>1615</v>
      </c>
      <c r="T5993" t="s">
        <v>301</v>
      </c>
    </row>
    <row r="5994" spans="1:20" x14ac:dyDescent="0.25">
      <c r="A5994">
        <v>9</v>
      </c>
      <c r="B5994">
        <v>199</v>
      </c>
      <c r="C5994" t="str">
        <f t="shared" si="1304"/>
        <v>11</v>
      </c>
      <c r="D5994">
        <v>6395</v>
      </c>
      <c r="E5994" t="str">
        <f t="shared" ref="E5994:E6000" si="1305">"10"</f>
        <v>10</v>
      </c>
      <c r="F5994" t="str">
        <f>"001"</f>
        <v>001</v>
      </c>
      <c r="G5994">
        <v>9</v>
      </c>
      <c r="H5994" t="str">
        <f t="shared" ref="H5994:H6003" si="1306">"11"</f>
        <v>11</v>
      </c>
      <c r="I5994" t="str">
        <f t="shared" si="1303"/>
        <v>0</v>
      </c>
      <c r="J5994" t="str">
        <f>"01"</f>
        <v>01</v>
      </c>
      <c r="K5994">
        <v>20190426</v>
      </c>
      <c r="L5994" t="str">
        <f t="shared" ref="L5994:L6008" si="1307">"076629"</f>
        <v>076629</v>
      </c>
      <c r="M5994" t="str">
        <f t="shared" ref="M5994:M6008" si="1308">"81303"</f>
        <v>81303</v>
      </c>
      <c r="N5994" t="s">
        <v>66</v>
      </c>
      <c r="O5994">
        <v>76</v>
      </c>
      <c r="P5994">
        <v>20190425</v>
      </c>
      <c r="Q5994" t="s">
        <v>1929</v>
      </c>
      <c r="R5994" t="s">
        <v>4785</v>
      </c>
      <c r="S5994" t="s">
        <v>1615</v>
      </c>
      <c r="T5994" t="s">
        <v>301</v>
      </c>
    </row>
    <row r="5995" spans="1:20" x14ac:dyDescent="0.25">
      <c r="A5995">
        <v>9</v>
      </c>
      <c r="B5995">
        <v>199</v>
      </c>
      <c r="C5995" t="str">
        <f t="shared" si="1304"/>
        <v>11</v>
      </c>
      <c r="D5995">
        <v>6395</v>
      </c>
      <c r="E5995" t="str">
        <f t="shared" si="1305"/>
        <v>10</v>
      </c>
      <c r="F5995" t="str">
        <f>"001"</f>
        <v>001</v>
      </c>
      <c r="G5995">
        <v>9</v>
      </c>
      <c r="H5995" t="str">
        <f t="shared" si="1306"/>
        <v>11</v>
      </c>
      <c r="I5995" t="str">
        <f t="shared" si="1303"/>
        <v>0</v>
      </c>
      <c r="J5995" t="str">
        <f>"01"</f>
        <v>01</v>
      </c>
      <c r="K5995">
        <v>20190426</v>
      </c>
      <c r="L5995" t="str">
        <f t="shared" si="1307"/>
        <v>076629</v>
      </c>
      <c r="M5995" t="str">
        <f t="shared" si="1308"/>
        <v>81303</v>
      </c>
      <c r="N5995" t="s">
        <v>66</v>
      </c>
      <c r="O5995">
        <v>323</v>
      </c>
      <c r="P5995">
        <v>20190425</v>
      </c>
      <c r="Q5995" t="s">
        <v>1929</v>
      </c>
      <c r="R5995" t="s">
        <v>4786</v>
      </c>
      <c r="S5995" t="s">
        <v>1615</v>
      </c>
      <c r="T5995" t="s">
        <v>301</v>
      </c>
    </row>
    <row r="5996" spans="1:20" x14ac:dyDescent="0.25">
      <c r="A5996">
        <v>9</v>
      </c>
      <c r="B5996">
        <v>199</v>
      </c>
      <c r="C5996" t="str">
        <f t="shared" si="1304"/>
        <v>11</v>
      </c>
      <c r="D5996">
        <v>6395</v>
      </c>
      <c r="E5996" t="str">
        <f t="shared" si="1305"/>
        <v>10</v>
      </c>
      <c r="F5996" t="str">
        <f>"001"</f>
        <v>001</v>
      </c>
      <c r="G5996">
        <v>9</v>
      </c>
      <c r="H5996" t="str">
        <f t="shared" si="1306"/>
        <v>11</v>
      </c>
      <c r="I5996" t="str">
        <f t="shared" si="1303"/>
        <v>0</v>
      </c>
      <c r="J5996" t="str">
        <f>"01"</f>
        <v>01</v>
      </c>
      <c r="K5996">
        <v>20190426</v>
      </c>
      <c r="L5996" t="str">
        <f t="shared" si="1307"/>
        <v>076629</v>
      </c>
      <c r="M5996" t="str">
        <f t="shared" si="1308"/>
        <v>81303</v>
      </c>
      <c r="N5996" t="s">
        <v>66</v>
      </c>
      <c r="O5996">
        <v>381</v>
      </c>
      <c r="P5996">
        <v>20190425</v>
      </c>
      <c r="Q5996" t="s">
        <v>1929</v>
      </c>
      <c r="R5996" t="s">
        <v>4787</v>
      </c>
      <c r="S5996" t="s">
        <v>1615</v>
      </c>
      <c r="T5996" t="s">
        <v>301</v>
      </c>
    </row>
    <row r="5997" spans="1:20" x14ac:dyDescent="0.25">
      <c r="A5997">
        <v>9</v>
      </c>
      <c r="B5997">
        <v>199</v>
      </c>
      <c r="C5997" t="str">
        <f t="shared" si="1304"/>
        <v>11</v>
      </c>
      <c r="D5997">
        <v>6395</v>
      </c>
      <c r="E5997" t="str">
        <f t="shared" si="1305"/>
        <v>10</v>
      </c>
      <c r="F5997" t="str">
        <f>"001"</f>
        <v>001</v>
      </c>
      <c r="G5997">
        <v>9</v>
      </c>
      <c r="H5997" t="str">
        <f t="shared" si="1306"/>
        <v>11</v>
      </c>
      <c r="I5997" t="str">
        <f t="shared" si="1303"/>
        <v>0</v>
      </c>
      <c r="J5997" t="str">
        <f>"01"</f>
        <v>01</v>
      </c>
      <c r="K5997">
        <v>20190426</v>
      </c>
      <c r="L5997" t="str">
        <f t="shared" si="1307"/>
        <v>076629</v>
      </c>
      <c r="M5997" t="str">
        <f t="shared" si="1308"/>
        <v>81303</v>
      </c>
      <c r="N5997" t="s">
        <v>66</v>
      </c>
      <c r="O5997">
        <v>24</v>
      </c>
      <c r="P5997">
        <v>20190425</v>
      </c>
      <c r="Q5997" t="s">
        <v>1929</v>
      </c>
      <c r="R5997" t="s">
        <v>2924</v>
      </c>
      <c r="S5997" t="s">
        <v>1615</v>
      </c>
      <c r="T5997" t="s">
        <v>301</v>
      </c>
    </row>
    <row r="5998" spans="1:20" x14ac:dyDescent="0.25">
      <c r="A5998">
        <v>9</v>
      </c>
      <c r="B5998">
        <v>199</v>
      </c>
      <c r="C5998" t="str">
        <f t="shared" si="1304"/>
        <v>11</v>
      </c>
      <c r="D5998">
        <v>6395</v>
      </c>
      <c r="E5998" t="str">
        <f t="shared" si="1305"/>
        <v>10</v>
      </c>
      <c r="F5998" t="str">
        <f>"041"</f>
        <v>041</v>
      </c>
      <c r="G5998">
        <v>9</v>
      </c>
      <c r="H5998" t="str">
        <f t="shared" si="1306"/>
        <v>11</v>
      </c>
      <c r="I5998" t="str">
        <f t="shared" si="1303"/>
        <v>0</v>
      </c>
      <c r="J5998" t="str">
        <f>"03"</f>
        <v>03</v>
      </c>
      <c r="K5998">
        <v>20190426</v>
      </c>
      <c r="L5998" t="str">
        <f t="shared" si="1307"/>
        <v>076629</v>
      </c>
      <c r="M5998" t="str">
        <f t="shared" si="1308"/>
        <v>81303</v>
      </c>
      <c r="N5998" t="s">
        <v>66</v>
      </c>
      <c r="O5998">
        <v>141.5</v>
      </c>
      <c r="P5998">
        <v>20190425</v>
      </c>
      <c r="Q5998" t="s">
        <v>2927</v>
      </c>
      <c r="R5998" t="s">
        <v>3923</v>
      </c>
      <c r="S5998" t="s">
        <v>1615</v>
      </c>
      <c r="T5998" t="s">
        <v>106</v>
      </c>
    </row>
    <row r="5999" spans="1:20" x14ac:dyDescent="0.25">
      <c r="A5999">
        <v>9</v>
      </c>
      <c r="B5999">
        <v>199</v>
      </c>
      <c r="C5999" t="str">
        <f t="shared" si="1304"/>
        <v>11</v>
      </c>
      <c r="D5999">
        <v>6395</v>
      </c>
      <c r="E5999" t="str">
        <f t="shared" si="1305"/>
        <v>10</v>
      </c>
      <c r="F5999" t="str">
        <f>"041"</f>
        <v>041</v>
      </c>
      <c r="G5999">
        <v>9</v>
      </c>
      <c r="H5999" t="str">
        <f t="shared" si="1306"/>
        <v>11</v>
      </c>
      <c r="I5999" t="str">
        <f t="shared" si="1303"/>
        <v>0</v>
      </c>
      <c r="J5999" t="str">
        <f>"03"</f>
        <v>03</v>
      </c>
      <c r="K5999">
        <v>20190426</v>
      </c>
      <c r="L5999" t="str">
        <f t="shared" si="1307"/>
        <v>076629</v>
      </c>
      <c r="M5999" t="str">
        <f t="shared" si="1308"/>
        <v>81303</v>
      </c>
      <c r="N5999" t="s">
        <v>66</v>
      </c>
      <c r="O5999">
        <v>165</v>
      </c>
      <c r="P5999">
        <v>20190425</v>
      </c>
      <c r="Q5999" t="s">
        <v>2927</v>
      </c>
      <c r="R5999" t="s">
        <v>4788</v>
      </c>
      <c r="S5999" t="s">
        <v>1615</v>
      </c>
      <c r="T5999" t="s">
        <v>106</v>
      </c>
    </row>
    <row r="6000" spans="1:20" x14ac:dyDescent="0.25">
      <c r="A6000">
        <v>9</v>
      </c>
      <c r="B6000">
        <v>199</v>
      </c>
      <c r="C6000" t="str">
        <f t="shared" si="1304"/>
        <v>11</v>
      </c>
      <c r="D6000">
        <v>6395</v>
      </c>
      <c r="E6000" t="str">
        <f t="shared" si="1305"/>
        <v>10</v>
      </c>
      <c r="F6000" t="str">
        <f>"041"</f>
        <v>041</v>
      </c>
      <c r="G6000">
        <v>9</v>
      </c>
      <c r="H6000" t="str">
        <f t="shared" si="1306"/>
        <v>11</v>
      </c>
      <c r="I6000" t="str">
        <f t="shared" si="1303"/>
        <v>0</v>
      </c>
      <c r="J6000" t="str">
        <f>"03"</f>
        <v>03</v>
      </c>
      <c r="K6000">
        <v>20190426</v>
      </c>
      <c r="L6000" t="str">
        <f t="shared" si="1307"/>
        <v>076629</v>
      </c>
      <c r="M6000" t="str">
        <f t="shared" si="1308"/>
        <v>81303</v>
      </c>
      <c r="N6000" t="s">
        <v>66</v>
      </c>
      <c r="O6000">
        <v>120</v>
      </c>
      <c r="P6000">
        <v>20190425</v>
      </c>
      <c r="Q6000" t="s">
        <v>2927</v>
      </c>
      <c r="R6000" t="s">
        <v>4789</v>
      </c>
      <c r="S6000" t="s">
        <v>1615</v>
      </c>
      <c r="T6000" t="s">
        <v>106</v>
      </c>
    </row>
    <row r="6001" spans="1:20" x14ac:dyDescent="0.25">
      <c r="A6001">
        <v>9</v>
      </c>
      <c r="B6001">
        <v>199</v>
      </c>
      <c r="C6001" t="str">
        <f t="shared" si="1304"/>
        <v>11</v>
      </c>
      <c r="D6001">
        <v>6395</v>
      </c>
      <c r="E6001" t="str">
        <f>"45"</f>
        <v>45</v>
      </c>
      <c r="F6001" t="str">
        <f>"101"</f>
        <v>101</v>
      </c>
      <c r="G6001">
        <v>9</v>
      </c>
      <c r="H6001" t="str">
        <f t="shared" si="1306"/>
        <v>11</v>
      </c>
      <c r="I6001" t="str">
        <f t="shared" si="1303"/>
        <v>0</v>
      </c>
      <c r="J6001" t="str">
        <f>"04"</f>
        <v>04</v>
      </c>
      <c r="K6001">
        <v>20190426</v>
      </c>
      <c r="L6001" t="str">
        <f t="shared" si="1307"/>
        <v>076629</v>
      </c>
      <c r="M6001" t="str">
        <f t="shared" si="1308"/>
        <v>81303</v>
      </c>
      <c r="N6001" t="s">
        <v>66</v>
      </c>
      <c r="O6001">
        <v>135</v>
      </c>
      <c r="P6001">
        <v>20190425</v>
      </c>
      <c r="Q6001" t="s">
        <v>2542</v>
      </c>
      <c r="R6001" t="s">
        <v>4790</v>
      </c>
      <c r="S6001" t="s">
        <v>1615</v>
      </c>
      <c r="T6001" t="s">
        <v>1479</v>
      </c>
    </row>
    <row r="6002" spans="1:20" x14ac:dyDescent="0.25">
      <c r="A6002">
        <v>9</v>
      </c>
      <c r="B6002">
        <v>199</v>
      </c>
      <c r="C6002" t="str">
        <f t="shared" si="1304"/>
        <v>11</v>
      </c>
      <c r="D6002">
        <v>6395</v>
      </c>
      <c r="E6002" t="str">
        <f>"45"</f>
        <v>45</v>
      </c>
      <c r="F6002" t="str">
        <f>"101"</f>
        <v>101</v>
      </c>
      <c r="G6002">
        <v>9</v>
      </c>
      <c r="H6002" t="str">
        <f t="shared" si="1306"/>
        <v>11</v>
      </c>
      <c r="I6002" t="str">
        <f t="shared" si="1303"/>
        <v>0</v>
      </c>
      <c r="J6002" t="str">
        <f>"04"</f>
        <v>04</v>
      </c>
      <c r="K6002">
        <v>20190426</v>
      </c>
      <c r="L6002" t="str">
        <f t="shared" si="1307"/>
        <v>076629</v>
      </c>
      <c r="M6002" t="str">
        <f t="shared" si="1308"/>
        <v>81303</v>
      </c>
      <c r="N6002" t="s">
        <v>66</v>
      </c>
      <c r="O6002">
        <v>755</v>
      </c>
      <c r="P6002">
        <v>20190425</v>
      </c>
      <c r="Q6002" t="s">
        <v>2542</v>
      </c>
      <c r="R6002" t="s">
        <v>3923</v>
      </c>
      <c r="S6002" t="s">
        <v>1615</v>
      </c>
      <c r="T6002" t="s">
        <v>1479</v>
      </c>
    </row>
    <row r="6003" spans="1:20" x14ac:dyDescent="0.25">
      <c r="A6003">
        <v>9</v>
      </c>
      <c r="B6003">
        <v>199</v>
      </c>
      <c r="C6003" t="str">
        <f t="shared" si="1304"/>
        <v>11</v>
      </c>
      <c r="D6003">
        <v>6399</v>
      </c>
      <c r="E6003" t="str">
        <f>"10"</f>
        <v>10</v>
      </c>
      <c r="F6003" t="str">
        <f>"001"</f>
        <v>001</v>
      </c>
      <c r="G6003">
        <v>9</v>
      </c>
      <c r="H6003" t="str">
        <f t="shared" si="1306"/>
        <v>11</v>
      </c>
      <c r="I6003" t="str">
        <f t="shared" si="1303"/>
        <v>0</v>
      </c>
      <c r="J6003" t="str">
        <f>"01"</f>
        <v>01</v>
      </c>
      <c r="K6003">
        <v>20190426</v>
      </c>
      <c r="L6003" t="str">
        <f t="shared" si="1307"/>
        <v>076629</v>
      </c>
      <c r="M6003" t="str">
        <f t="shared" si="1308"/>
        <v>81303</v>
      </c>
      <c r="N6003" t="s">
        <v>66</v>
      </c>
      <c r="O6003">
        <v>20.399999999999999</v>
      </c>
      <c r="P6003">
        <v>20190425</v>
      </c>
      <c r="Q6003" t="s">
        <v>1675</v>
      </c>
      <c r="R6003" t="s">
        <v>4791</v>
      </c>
      <c r="S6003" t="s">
        <v>1615</v>
      </c>
      <c r="T6003" t="s">
        <v>301</v>
      </c>
    </row>
    <row r="6004" spans="1:20" x14ac:dyDescent="0.25">
      <c r="A6004">
        <v>9</v>
      </c>
      <c r="B6004">
        <v>199</v>
      </c>
      <c r="C6004" t="str">
        <f>"23"</f>
        <v>23</v>
      </c>
      <c r="D6004">
        <v>6399</v>
      </c>
      <c r="E6004" t="str">
        <f>"10"</f>
        <v>10</v>
      </c>
      <c r="F6004" t="str">
        <f>"002"</f>
        <v>002</v>
      </c>
      <c r="G6004">
        <v>9</v>
      </c>
      <c r="H6004" t="str">
        <f t="shared" ref="H6004:H6009" si="1309">"99"</f>
        <v>99</v>
      </c>
      <c r="I6004" t="str">
        <f t="shared" si="1303"/>
        <v>0</v>
      </c>
      <c r="J6004" t="str">
        <f>"02"</f>
        <v>02</v>
      </c>
      <c r="K6004">
        <v>20190426</v>
      </c>
      <c r="L6004" t="str">
        <f t="shared" si="1307"/>
        <v>076629</v>
      </c>
      <c r="M6004" t="str">
        <f t="shared" si="1308"/>
        <v>81303</v>
      </c>
      <c r="N6004" t="s">
        <v>66</v>
      </c>
      <c r="O6004">
        <v>124</v>
      </c>
      <c r="P6004">
        <v>20190425</v>
      </c>
      <c r="Q6004" t="s">
        <v>2937</v>
      </c>
      <c r="R6004" t="s">
        <v>4792</v>
      </c>
      <c r="S6004" t="s">
        <v>1615</v>
      </c>
      <c r="T6004" t="s">
        <v>1485</v>
      </c>
    </row>
    <row r="6005" spans="1:20" x14ac:dyDescent="0.25">
      <c r="A6005">
        <v>9</v>
      </c>
      <c r="B6005">
        <v>199</v>
      </c>
      <c r="C6005" t="str">
        <f>"23"</f>
        <v>23</v>
      </c>
      <c r="D6005">
        <v>6399</v>
      </c>
      <c r="E6005" t="str">
        <f>"8K"</f>
        <v>8K</v>
      </c>
      <c r="F6005" t="str">
        <f>"104"</f>
        <v>104</v>
      </c>
      <c r="G6005">
        <v>9</v>
      </c>
      <c r="H6005" t="str">
        <f t="shared" si="1309"/>
        <v>99</v>
      </c>
      <c r="I6005" t="str">
        <f t="shared" si="1303"/>
        <v>0</v>
      </c>
      <c r="J6005" t="str">
        <f>"05"</f>
        <v>05</v>
      </c>
      <c r="K6005">
        <v>20190426</v>
      </c>
      <c r="L6005" t="str">
        <f t="shared" si="1307"/>
        <v>076629</v>
      </c>
      <c r="M6005" t="str">
        <f t="shared" si="1308"/>
        <v>81303</v>
      </c>
      <c r="N6005" t="s">
        <v>66</v>
      </c>
      <c r="O6005">
        <v>126</v>
      </c>
      <c r="P6005">
        <v>20190425</v>
      </c>
      <c r="Q6005" t="s">
        <v>2326</v>
      </c>
      <c r="R6005" t="s">
        <v>4793</v>
      </c>
      <c r="S6005" t="s">
        <v>1615</v>
      </c>
      <c r="T6005" t="s">
        <v>46</v>
      </c>
    </row>
    <row r="6006" spans="1:20" x14ac:dyDescent="0.25">
      <c r="A6006">
        <v>9</v>
      </c>
      <c r="B6006">
        <v>199</v>
      </c>
      <c r="C6006" t="str">
        <f>"31"</f>
        <v>31</v>
      </c>
      <c r="D6006">
        <v>6395</v>
      </c>
      <c r="E6006" t="str">
        <f>"7F"</f>
        <v>7F</v>
      </c>
      <c r="F6006" t="str">
        <f>"001"</f>
        <v>001</v>
      </c>
      <c r="G6006">
        <v>9</v>
      </c>
      <c r="H6006" t="str">
        <f t="shared" si="1309"/>
        <v>99</v>
      </c>
      <c r="I6006" t="str">
        <f t="shared" si="1303"/>
        <v>0</v>
      </c>
      <c r="J6006" t="str">
        <f>"01"</f>
        <v>01</v>
      </c>
      <c r="K6006">
        <v>20190426</v>
      </c>
      <c r="L6006" t="str">
        <f t="shared" si="1307"/>
        <v>076629</v>
      </c>
      <c r="M6006" t="str">
        <f t="shared" si="1308"/>
        <v>81303</v>
      </c>
      <c r="N6006" t="s">
        <v>66</v>
      </c>
      <c r="O6006">
        <v>264</v>
      </c>
      <c r="P6006">
        <v>20190425</v>
      </c>
      <c r="Q6006" t="s">
        <v>1934</v>
      </c>
      <c r="R6006" t="s">
        <v>4794</v>
      </c>
      <c r="S6006" t="s">
        <v>1615</v>
      </c>
      <c r="T6006" t="s">
        <v>301</v>
      </c>
    </row>
    <row r="6007" spans="1:20" x14ac:dyDescent="0.25">
      <c r="A6007">
        <v>9</v>
      </c>
      <c r="B6007">
        <v>199</v>
      </c>
      <c r="C6007" t="str">
        <f>"31"</f>
        <v>31</v>
      </c>
      <c r="D6007">
        <v>6395</v>
      </c>
      <c r="E6007" t="str">
        <f>"7F"</f>
        <v>7F</v>
      </c>
      <c r="F6007" t="str">
        <f>"001"</f>
        <v>001</v>
      </c>
      <c r="G6007">
        <v>9</v>
      </c>
      <c r="H6007" t="str">
        <f t="shared" si="1309"/>
        <v>99</v>
      </c>
      <c r="I6007" t="str">
        <f t="shared" si="1303"/>
        <v>0</v>
      </c>
      <c r="J6007" t="str">
        <f>"01"</f>
        <v>01</v>
      </c>
      <c r="K6007">
        <v>20190426</v>
      </c>
      <c r="L6007" t="str">
        <f t="shared" si="1307"/>
        <v>076629</v>
      </c>
      <c r="M6007" t="str">
        <f t="shared" si="1308"/>
        <v>81303</v>
      </c>
      <c r="N6007" t="s">
        <v>66</v>
      </c>
      <c r="O6007">
        <v>192</v>
      </c>
      <c r="P6007">
        <v>20190425</v>
      </c>
      <c r="Q6007" t="s">
        <v>1934</v>
      </c>
      <c r="R6007" t="s">
        <v>4789</v>
      </c>
      <c r="S6007" t="s">
        <v>1615</v>
      </c>
      <c r="T6007" t="s">
        <v>301</v>
      </c>
    </row>
    <row r="6008" spans="1:20" x14ac:dyDescent="0.25">
      <c r="A6008">
        <v>9</v>
      </c>
      <c r="B6008">
        <v>199</v>
      </c>
      <c r="C6008" t="str">
        <f>"33"</f>
        <v>33</v>
      </c>
      <c r="D6008">
        <v>6394</v>
      </c>
      <c r="E6008" t="str">
        <f>"8F"</f>
        <v>8F</v>
      </c>
      <c r="F6008" t="str">
        <f>"101"</f>
        <v>101</v>
      </c>
      <c r="G6008">
        <v>9</v>
      </c>
      <c r="H6008" t="str">
        <f t="shared" si="1309"/>
        <v>99</v>
      </c>
      <c r="I6008" t="str">
        <f t="shared" si="1303"/>
        <v>0</v>
      </c>
      <c r="J6008" t="str">
        <f>"04"</f>
        <v>04</v>
      </c>
      <c r="K6008">
        <v>20190426</v>
      </c>
      <c r="L6008" t="str">
        <f t="shared" si="1307"/>
        <v>076629</v>
      </c>
      <c r="M6008" t="str">
        <f t="shared" si="1308"/>
        <v>81303</v>
      </c>
      <c r="N6008" t="s">
        <v>66</v>
      </c>
      <c r="O6008">
        <v>200.33</v>
      </c>
      <c r="P6008">
        <v>20190425</v>
      </c>
      <c r="Q6008" t="s">
        <v>2545</v>
      </c>
      <c r="R6008" t="s">
        <v>3923</v>
      </c>
      <c r="S6008" t="s">
        <v>1615</v>
      </c>
      <c r="T6008" t="s">
        <v>1479</v>
      </c>
    </row>
    <row r="6009" spans="1:20" x14ac:dyDescent="0.25">
      <c r="A6009">
        <v>9</v>
      </c>
      <c r="B6009">
        <v>199</v>
      </c>
      <c r="C6009" t="str">
        <f>"41"</f>
        <v>41</v>
      </c>
      <c r="D6009">
        <v>6269</v>
      </c>
      <c r="E6009" t="str">
        <f>"10"</f>
        <v>10</v>
      </c>
      <c r="F6009" t="str">
        <f>"720"</f>
        <v>720</v>
      </c>
      <c r="G6009">
        <v>9</v>
      </c>
      <c r="H6009" t="str">
        <f t="shared" si="1309"/>
        <v>99</v>
      </c>
      <c r="I6009" t="str">
        <f t="shared" si="1303"/>
        <v>0</v>
      </c>
      <c r="J6009" t="str">
        <f>"91"</f>
        <v>91</v>
      </c>
      <c r="K6009">
        <v>20190426</v>
      </c>
      <c r="L6009" t="str">
        <f>"076630"</f>
        <v>076630</v>
      </c>
      <c r="M6009" t="str">
        <f>"58985"</f>
        <v>58985</v>
      </c>
      <c r="N6009" t="s">
        <v>4795</v>
      </c>
      <c r="O6009">
        <v>235</v>
      </c>
      <c r="P6009">
        <v>20190425</v>
      </c>
      <c r="Q6009" t="s">
        <v>2348</v>
      </c>
      <c r="R6009" t="s">
        <v>4796</v>
      </c>
      <c r="S6009" t="s">
        <v>1615</v>
      </c>
      <c r="T6009" t="s">
        <v>2045</v>
      </c>
    </row>
    <row r="6010" spans="1:20" x14ac:dyDescent="0.25">
      <c r="A6010">
        <v>9</v>
      </c>
      <c r="B6010">
        <v>199</v>
      </c>
      <c r="C6010" t="str">
        <f>"11"</f>
        <v>11</v>
      </c>
      <c r="D6010">
        <v>6399</v>
      </c>
      <c r="E6010" t="str">
        <f>"11"</f>
        <v>11</v>
      </c>
      <c r="F6010" t="str">
        <f>"041"</f>
        <v>041</v>
      </c>
      <c r="G6010">
        <v>9</v>
      </c>
      <c r="H6010" t="str">
        <f>"11"</f>
        <v>11</v>
      </c>
      <c r="I6010" t="str">
        <f t="shared" si="1303"/>
        <v>0</v>
      </c>
      <c r="J6010" t="str">
        <f>"03"</f>
        <v>03</v>
      </c>
      <c r="K6010">
        <v>20190426</v>
      </c>
      <c r="L6010" t="str">
        <f>"076633"</f>
        <v>076633</v>
      </c>
      <c r="M6010" t="str">
        <f>"83022"</f>
        <v>83022</v>
      </c>
      <c r="N6010" t="s">
        <v>691</v>
      </c>
      <c r="O6010">
        <v>399.6</v>
      </c>
      <c r="P6010">
        <v>20190425</v>
      </c>
      <c r="Q6010" t="s">
        <v>2941</v>
      </c>
      <c r="R6010" t="s">
        <v>3978</v>
      </c>
      <c r="S6010" t="s">
        <v>1615</v>
      </c>
      <c r="T6010" t="s">
        <v>106</v>
      </c>
    </row>
    <row r="6011" spans="1:20" x14ac:dyDescent="0.25">
      <c r="A6011">
        <v>9</v>
      </c>
      <c r="B6011">
        <v>199</v>
      </c>
      <c r="C6011" t="str">
        <f>"11"</f>
        <v>11</v>
      </c>
      <c r="D6011">
        <v>6399</v>
      </c>
      <c r="E6011" t="str">
        <f>"45"</f>
        <v>45</v>
      </c>
      <c r="F6011" t="str">
        <f>"101"</f>
        <v>101</v>
      </c>
      <c r="G6011">
        <v>9</v>
      </c>
      <c r="H6011" t="str">
        <f>"11"</f>
        <v>11</v>
      </c>
      <c r="I6011" t="str">
        <f t="shared" si="1303"/>
        <v>0</v>
      </c>
      <c r="J6011" t="str">
        <f>"04"</f>
        <v>04</v>
      </c>
      <c r="K6011">
        <v>20190426</v>
      </c>
      <c r="L6011" t="str">
        <f>"076633"</f>
        <v>076633</v>
      </c>
      <c r="M6011" t="str">
        <f>"83022"</f>
        <v>83022</v>
      </c>
      <c r="N6011" t="s">
        <v>691</v>
      </c>
      <c r="O6011">
        <v>129</v>
      </c>
      <c r="P6011">
        <v>20190425</v>
      </c>
      <c r="Q6011" t="s">
        <v>1859</v>
      </c>
      <c r="R6011" t="s">
        <v>641</v>
      </c>
      <c r="S6011" t="s">
        <v>1615</v>
      </c>
      <c r="T6011" t="s">
        <v>1479</v>
      </c>
    </row>
    <row r="6012" spans="1:20" x14ac:dyDescent="0.25">
      <c r="A6012">
        <v>9</v>
      </c>
      <c r="B6012">
        <v>199</v>
      </c>
      <c r="C6012" t="str">
        <f>"11"</f>
        <v>11</v>
      </c>
      <c r="D6012">
        <v>6499</v>
      </c>
      <c r="E6012" t="str">
        <f>"13"</f>
        <v>13</v>
      </c>
      <c r="F6012" t="str">
        <f>"041"</f>
        <v>041</v>
      </c>
      <c r="G6012">
        <v>9</v>
      </c>
      <c r="H6012" t="str">
        <f>"11"</f>
        <v>11</v>
      </c>
      <c r="I6012" t="str">
        <f t="shared" si="1303"/>
        <v>0</v>
      </c>
      <c r="J6012" t="str">
        <f>"03"</f>
        <v>03</v>
      </c>
      <c r="K6012">
        <v>20190426</v>
      </c>
      <c r="L6012" t="str">
        <f>"076633"</f>
        <v>076633</v>
      </c>
      <c r="M6012" t="str">
        <f>"83022"</f>
        <v>83022</v>
      </c>
      <c r="N6012" t="s">
        <v>691</v>
      </c>
      <c r="O6012">
        <v>152.72</v>
      </c>
      <c r="P6012">
        <v>20190425</v>
      </c>
      <c r="Q6012" t="s">
        <v>1739</v>
      </c>
      <c r="R6012" t="s">
        <v>2641</v>
      </c>
      <c r="S6012" t="s">
        <v>1615</v>
      </c>
      <c r="T6012" t="s">
        <v>106</v>
      </c>
    </row>
    <row r="6013" spans="1:20" x14ac:dyDescent="0.25">
      <c r="A6013">
        <v>9</v>
      </c>
      <c r="B6013">
        <v>199</v>
      </c>
      <c r="C6013" t="str">
        <f>"23"</f>
        <v>23</v>
      </c>
      <c r="D6013">
        <v>6498</v>
      </c>
      <c r="E6013" t="str">
        <f>"99"</f>
        <v>99</v>
      </c>
      <c r="F6013" t="str">
        <f>"041"</f>
        <v>041</v>
      </c>
      <c r="G6013">
        <v>9</v>
      </c>
      <c r="H6013" t="str">
        <f>"99"</f>
        <v>99</v>
      </c>
      <c r="I6013" t="str">
        <f t="shared" si="1303"/>
        <v>0</v>
      </c>
      <c r="J6013" t="str">
        <f>"03"</f>
        <v>03</v>
      </c>
      <c r="K6013">
        <v>20190426</v>
      </c>
      <c r="L6013" t="str">
        <f>"076633"</f>
        <v>076633</v>
      </c>
      <c r="M6013" t="str">
        <f>"83022"</f>
        <v>83022</v>
      </c>
      <c r="N6013" t="s">
        <v>691</v>
      </c>
      <c r="O6013">
        <v>262.62</v>
      </c>
      <c r="P6013">
        <v>20190425</v>
      </c>
      <c r="Q6013" t="s">
        <v>2140</v>
      </c>
      <c r="R6013" t="s">
        <v>4797</v>
      </c>
      <c r="S6013" t="s">
        <v>1615</v>
      </c>
      <c r="T6013" t="s">
        <v>106</v>
      </c>
    </row>
    <row r="6014" spans="1:20" x14ac:dyDescent="0.25">
      <c r="A6014">
        <v>9</v>
      </c>
      <c r="B6014">
        <v>199</v>
      </c>
      <c r="C6014" t="str">
        <f>"41"</f>
        <v>41</v>
      </c>
      <c r="D6014">
        <v>6211</v>
      </c>
      <c r="E6014" t="str">
        <f>"10"</f>
        <v>10</v>
      </c>
      <c r="F6014" t="str">
        <f>"730"</f>
        <v>730</v>
      </c>
      <c r="G6014">
        <v>9</v>
      </c>
      <c r="H6014" t="str">
        <f>"99"</f>
        <v>99</v>
      </c>
      <c r="I6014" t="str">
        <f t="shared" si="1303"/>
        <v>0</v>
      </c>
      <c r="J6014" t="str">
        <f>"95"</f>
        <v>95</v>
      </c>
      <c r="K6014">
        <v>20190426</v>
      </c>
      <c r="L6014" t="str">
        <f>"076634"</f>
        <v>076634</v>
      </c>
      <c r="M6014" t="str">
        <f>"83034"</f>
        <v>83034</v>
      </c>
      <c r="N6014" t="s">
        <v>1852</v>
      </c>
      <c r="O6014">
        <v>88.5</v>
      </c>
      <c r="P6014">
        <v>20190425</v>
      </c>
      <c r="Q6014" t="s">
        <v>2350</v>
      </c>
      <c r="R6014" t="s">
        <v>4798</v>
      </c>
      <c r="S6014" t="s">
        <v>1615</v>
      </c>
      <c r="T6014" t="s">
        <v>1794</v>
      </c>
    </row>
    <row r="6015" spans="1:20" x14ac:dyDescent="0.25">
      <c r="A6015">
        <v>9</v>
      </c>
      <c r="B6015">
        <v>199</v>
      </c>
      <c r="C6015" t="str">
        <f>"53"</f>
        <v>53</v>
      </c>
      <c r="D6015">
        <v>6411</v>
      </c>
      <c r="E6015" t="str">
        <f>"10"</f>
        <v>10</v>
      </c>
      <c r="F6015" t="str">
        <f>"880"</f>
        <v>880</v>
      </c>
      <c r="G6015">
        <v>9</v>
      </c>
      <c r="H6015" t="str">
        <f>"99"</f>
        <v>99</v>
      </c>
      <c r="I6015" t="str">
        <f t="shared" si="1303"/>
        <v>0</v>
      </c>
      <c r="J6015" t="str">
        <f>"80"</f>
        <v>80</v>
      </c>
      <c r="K6015">
        <v>20190426</v>
      </c>
      <c r="L6015" t="str">
        <f>"076637"</f>
        <v>076637</v>
      </c>
      <c r="M6015" t="str">
        <f>"84607"</f>
        <v>84607</v>
      </c>
      <c r="N6015" t="s">
        <v>2802</v>
      </c>
      <c r="O6015">
        <v>110.95</v>
      </c>
      <c r="P6015">
        <v>20190425</v>
      </c>
      <c r="Q6015" t="s">
        <v>1901</v>
      </c>
      <c r="R6015" t="s">
        <v>4799</v>
      </c>
      <c r="S6015" t="s">
        <v>1615</v>
      </c>
      <c r="T6015" t="s">
        <v>1866</v>
      </c>
    </row>
    <row r="6016" spans="1:20" x14ac:dyDescent="0.25">
      <c r="A6016">
        <v>9</v>
      </c>
      <c r="B6016">
        <v>199</v>
      </c>
      <c r="C6016" t="str">
        <f>"11"</f>
        <v>11</v>
      </c>
      <c r="D6016">
        <v>6399</v>
      </c>
      <c r="E6016" t="str">
        <f>"10"</f>
        <v>10</v>
      </c>
      <c r="F6016" t="str">
        <f>"041"</f>
        <v>041</v>
      </c>
      <c r="G6016">
        <v>9</v>
      </c>
      <c r="H6016" t="str">
        <f>"11"</f>
        <v>11</v>
      </c>
      <c r="I6016" t="str">
        <f t="shared" si="1303"/>
        <v>0</v>
      </c>
      <c r="J6016" t="str">
        <f>"03"</f>
        <v>03</v>
      </c>
      <c r="K6016">
        <v>20190503</v>
      </c>
      <c r="L6016" t="str">
        <f>"076638"</f>
        <v>076638</v>
      </c>
      <c r="M6016" t="str">
        <f>"03710"</f>
        <v>03710</v>
      </c>
      <c r="N6016" t="s">
        <v>1385</v>
      </c>
      <c r="O6016">
        <v>40.94</v>
      </c>
      <c r="P6016">
        <v>20190502</v>
      </c>
      <c r="Q6016" t="s">
        <v>2956</v>
      </c>
      <c r="R6016" t="s">
        <v>4800</v>
      </c>
      <c r="S6016" t="s">
        <v>1615</v>
      </c>
      <c r="T6016" t="s">
        <v>106</v>
      </c>
    </row>
    <row r="6017" spans="1:20" x14ac:dyDescent="0.25">
      <c r="A6017">
        <v>9</v>
      </c>
      <c r="B6017">
        <v>199</v>
      </c>
      <c r="C6017" t="str">
        <f>"11"</f>
        <v>11</v>
      </c>
      <c r="D6017">
        <v>6399</v>
      </c>
      <c r="E6017" t="str">
        <f>"45"</f>
        <v>45</v>
      </c>
      <c r="F6017" t="str">
        <f>"104"</f>
        <v>104</v>
      </c>
      <c r="G6017">
        <v>9</v>
      </c>
      <c r="H6017" t="str">
        <f>"11"</f>
        <v>11</v>
      </c>
      <c r="I6017" t="str">
        <f t="shared" si="1303"/>
        <v>0</v>
      </c>
      <c r="J6017" t="str">
        <f>"05"</f>
        <v>05</v>
      </c>
      <c r="K6017">
        <v>20190503</v>
      </c>
      <c r="L6017" t="str">
        <f>"076638"</f>
        <v>076638</v>
      </c>
      <c r="M6017" t="str">
        <f>"03710"</f>
        <v>03710</v>
      </c>
      <c r="N6017" t="s">
        <v>1385</v>
      </c>
      <c r="O6017" s="1">
        <v>1559.5</v>
      </c>
      <c r="P6017">
        <v>20190502</v>
      </c>
      <c r="Q6017" t="s">
        <v>2069</v>
      </c>
      <c r="R6017" t="s">
        <v>1225</v>
      </c>
      <c r="S6017" t="s">
        <v>1615</v>
      </c>
      <c r="T6017" t="s">
        <v>46</v>
      </c>
    </row>
    <row r="6018" spans="1:20" x14ac:dyDescent="0.25">
      <c r="A6018">
        <v>9</v>
      </c>
      <c r="B6018">
        <v>199</v>
      </c>
      <c r="C6018" t="str">
        <f>"11"</f>
        <v>11</v>
      </c>
      <c r="D6018">
        <v>6399</v>
      </c>
      <c r="E6018" t="str">
        <f>"72"</f>
        <v>72</v>
      </c>
      <c r="F6018" t="str">
        <f>"041"</f>
        <v>041</v>
      </c>
      <c r="G6018">
        <v>9</v>
      </c>
      <c r="H6018" t="str">
        <f>"11"</f>
        <v>11</v>
      </c>
      <c r="I6018" t="str">
        <f t="shared" si="1303"/>
        <v>0</v>
      </c>
      <c r="J6018" t="str">
        <f>"03"</f>
        <v>03</v>
      </c>
      <c r="K6018">
        <v>20190503</v>
      </c>
      <c r="L6018" t="str">
        <f>"076638"</f>
        <v>076638</v>
      </c>
      <c r="M6018" t="str">
        <f>"03710"</f>
        <v>03710</v>
      </c>
      <c r="N6018" t="s">
        <v>1385</v>
      </c>
      <c r="O6018">
        <v>559.89</v>
      </c>
      <c r="P6018">
        <v>20190502</v>
      </c>
      <c r="Q6018" t="s">
        <v>2054</v>
      </c>
      <c r="R6018" t="s">
        <v>641</v>
      </c>
      <c r="S6018" t="s">
        <v>1615</v>
      </c>
      <c r="T6018" t="s">
        <v>106</v>
      </c>
    </row>
    <row r="6019" spans="1:20" x14ac:dyDescent="0.25">
      <c r="A6019">
        <v>9</v>
      </c>
      <c r="B6019">
        <v>199</v>
      </c>
      <c r="C6019" t="str">
        <f>"41"</f>
        <v>41</v>
      </c>
      <c r="D6019">
        <v>6399</v>
      </c>
      <c r="E6019" t="str">
        <f>"10"</f>
        <v>10</v>
      </c>
      <c r="F6019" t="str">
        <f>"730"</f>
        <v>730</v>
      </c>
      <c r="G6019">
        <v>9</v>
      </c>
      <c r="H6019" t="str">
        <f t="shared" ref="H6019:H6027" si="1310">"99"</f>
        <v>99</v>
      </c>
      <c r="I6019" t="str">
        <f t="shared" si="1303"/>
        <v>0</v>
      </c>
      <c r="J6019" t="str">
        <f>"95"</f>
        <v>95</v>
      </c>
      <c r="K6019">
        <v>20190503</v>
      </c>
      <c r="L6019" t="str">
        <f>"076638"</f>
        <v>076638</v>
      </c>
      <c r="M6019" t="str">
        <f>"03710"</f>
        <v>03710</v>
      </c>
      <c r="N6019" t="s">
        <v>1385</v>
      </c>
      <c r="O6019">
        <v>294.38</v>
      </c>
      <c r="P6019">
        <v>20190503</v>
      </c>
      <c r="Q6019" t="s">
        <v>1987</v>
      </c>
      <c r="R6019" t="s">
        <v>641</v>
      </c>
      <c r="S6019" t="s">
        <v>1615</v>
      </c>
      <c r="T6019" t="s">
        <v>1794</v>
      </c>
    </row>
    <row r="6020" spans="1:20" x14ac:dyDescent="0.25">
      <c r="A6020">
        <v>9</v>
      </c>
      <c r="B6020">
        <v>199</v>
      </c>
      <c r="C6020" t="str">
        <f t="shared" ref="C6020:C6026" si="1311">"51"</f>
        <v>51</v>
      </c>
      <c r="D6020">
        <v>6249</v>
      </c>
      <c r="E6020" t="str">
        <f>"MC"</f>
        <v>MC</v>
      </c>
      <c r="F6020" t="str">
        <f>"001"</f>
        <v>001</v>
      </c>
      <c r="G6020">
        <v>9</v>
      </c>
      <c r="H6020" t="str">
        <f t="shared" si="1310"/>
        <v>99</v>
      </c>
      <c r="I6020" t="str">
        <f t="shared" si="1303"/>
        <v>0</v>
      </c>
      <c r="J6020" t="str">
        <f t="shared" ref="J6020:J6026" si="1312">"81"</f>
        <v>81</v>
      </c>
      <c r="K6020">
        <v>20190503</v>
      </c>
      <c r="L6020" t="str">
        <f>"076639"</f>
        <v>076639</v>
      </c>
      <c r="M6020" t="str">
        <f>"00216"</f>
        <v>00216</v>
      </c>
      <c r="N6020" t="s">
        <v>4801</v>
      </c>
      <c r="O6020" s="1">
        <v>6531</v>
      </c>
      <c r="P6020">
        <v>20190502</v>
      </c>
      <c r="Q6020" t="s">
        <v>2386</v>
      </c>
      <c r="R6020" t="s">
        <v>4802</v>
      </c>
      <c r="S6020" t="s">
        <v>1615</v>
      </c>
      <c r="T6020" t="s">
        <v>301</v>
      </c>
    </row>
    <row r="6021" spans="1:20" x14ac:dyDescent="0.25">
      <c r="A6021">
        <v>9</v>
      </c>
      <c r="B6021">
        <v>199</v>
      </c>
      <c r="C6021" t="str">
        <f t="shared" si="1311"/>
        <v>51</v>
      </c>
      <c r="D6021">
        <v>6249</v>
      </c>
      <c r="E6021" t="str">
        <f t="shared" ref="E6021:E6026" si="1313">"PM"</f>
        <v>PM</v>
      </c>
      <c r="F6021" t="str">
        <f t="shared" ref="F6021:F6026" si="1314">"936"</f>
        <v>936</v>
      </c>
      <c r="G6021">
        <v>9</v>
      </c>
      <c r="H6021" t="str">
        <f t="shared" si="1310"/>
        <v>99</v>
      </c>
      <c r="I6021" t="str">
        <f t="shared" ref="I6021:I6026" si="1315">"1"</f>
        <v>1</v>
      </c>
      <c r="J6021" t="str">
        <f t="shared" si="1312"/>
        <v>81</v>
      </c>
      <c r="K6021">
        <v>20190503</v>
      </c>
      <c r="L6021" t="str">
        <f t="shared" ref="L6021:L6026" si="1316">"076641"</f>
        <v>076641</v>
      </c>
      <c r="M6021" t="str">
        <f t="shared" ref="M6021:M6026" si="1317">"00306"</f>
        <v>00306</v>
      </c>
      <c r="N6021" t="s">
        <v>2810</v>
      </c>
      <c r="O6021">
        <v>160.29</v>
      </c>
      <c r="P6021">
        <v>20190502</v>
      </c>
      <c r="Q6021" t="s">
        <v>2811</v>
      </c>
      <c r="R6021" t="s">
        <v>4803</v>
      </c>
      <c r="S6021" t="s">
        <v>1615</v>
      </c>
      <c r="T6021" t="s">
        <v>1713</v>
      </c>
    </row>
    <row r="6022" spans="1:20" x14ac:dyDescent="0.25">
      <c r="A6022">
        <v>9</v>
      </c>
      <c r="B6022">
        <v>199</v>
      </c>
      <c r="C6022" t="str">
        <f t="shared" si="1311"/>
        <v>51</v>
      </c>
      <c r="D6022">
        <v>6249</v>
      </c>
      <c r="E6022" t="str">
        <f t="shared" si="1313"/>
        <v>PM</v>
      </c>
      <c r="F6022" t="str">
        <f t="shared" si="1314"/>
        <v>936</v>
      </c>
      <c r="G6022">
        <v>9</v>
      </c>
      <c r="H6022" t="str">
        <f t="shared" si="1310"/>
        <v>99</v>
      </c>
      <c r="I6022" t="str">
        <f t="shared" si="1315"/>
        <v>1</v>
      </c>
      <c r="J6022" t="str">
        <f t="shared" si="1312"/>
        <v>81</v>
      </c>
      <c r="K6022">
        <v>20190503</v>
      </c>
      <c r="L6022" t="str">
        <f t="shared" si="1316"/>
        <v>076641</v>
      </c>
      <c r="M6022" t="str">
        <f t="shared" si="1317"/>
        <v>00306</v>
      </c>
      <c r="N6022" t="s">
        <v>2810</v>
      </c>
      <c r="O6022">
        <v>83.03</v>
      </c>
      <c r="P6022">
        <v>20190502</v>
      </c>
      <c r="Q6022" t="s">
        <v>2811</v>
      </c>
      <c r="R6022" t="s">
        <v>4804</v>
      </c>
      <c r="S6022" t="s">
        <v>1615</v>
      </c>
      <c r="T6022" t="s">
        <v>1713</v>
      </c>
    </row>
    <row r="6023" spans="1:20" x14ac:dyDescent="0.25">
      <c r="A6023">
        <v>9</v>
      </c>
      <c r="B6023">
        <v>199</v>
      </c>
      <c r="C6023" t="str">
        <f t="shared" si="1311"/>
        <v>51</v>
      </c>
      <c r="D6023">
        <v>6249</v>
      </c>
      <c r="E6023" t="str">
        <f t="shared" si="1313"/>
        <v>PM</v>
      </c>
      <c r="F6023" t="str">
        <f t="shared" si="1314"/>
        <v>936</v>
      </c>
      <c r="G6023">
        <v>9</v>
      </c>
      <c r="H6023" t="str">
        <f t="shared" si="1310"/>
        <v>99</v>
      </c>
      <c r="I6023" t="str">
        <f t="shared" si="1315"/>
        <v>1</v>
      </c>
      <c r="J6023" t="str">
        <f t="shared" si="1312"/>
        <v>81</v>
      </c>
      <c r="K6023">
        <v>20190503</v>
      </c>
      <c r="L6023" t="str">
        <f t="shared" si="1316"/>
        <v>076641</v>
      </c>
      <c r="M6023" t="str">
        <f t="shared" si="1317"/>
        <v>00306</v>
      </c>
      <c r="N6023" t="s">
        <v>2810</v>
      </c>
      <c r="O6023">
        <v>22.84</v>
      </c>
      <c r="P6023">
        <v>20190502</v>
      </c>
      <c r="Q6023" t="s">
        <v>2811</v>
      </c>
      <c r="R6023" t="s">
        <v>4805</v>
      </c>
      <c r="S6023" t="s">
        <v>1615</v>
      </c>
      <c r="T6023" t="s">
        <v>1713</v>
      </c>
    </row>
    <row r="6024" spans="1:20" x14ac:dyDescent="0.25">
      <c r="A6024">
        <v>9</v>
      </c>
      <c r="B6024">
        <v>199</v>
      </c>
      <c r="C6024" t="str">
        <f t="shared" si="1311"/>
        <v>51</v>
      </c>
      <c r="D6024">
        <v>6249</v>
      </c>
      <c r="E6024" t="str">
        <f t="shared" si="1313"/>
        <v>PM</v>
      </c>
      <c r="F6024" t="str">
        <f t="shared" si="1314"/>
        <v>936</v>
      </c>
      <c r="G6024">
        <v>9</v>
      </c>
      <c r="H6024" t="str">
        <f t="shared" si="1310"/>
        <v>99</v>
      </c>
      <c r="I6024" t="str">
        <f t="shared" si="1315"/>
        <v>1</v>
      </c>
      <c r="J6024" t="str">
        <f t="shared" si="1312"/>
        <v>81</v>
      </c>
      <c r="K6024">
        <v>20190503</v>
      </c>
      <c r="L6024" t="str">
        <f t="shared" si="1316"/>
        <v>076641</v>
      </c>
      <c r="M6024" t="str">
        <f t="shared" si="1317"/>
        <v>00306</v>
      </c>
      <c r="N6024" t="s">
        <v>2810</v>
      </c>
      <c r="O6024">
        <v>90.78</v>
      </c>
      <c r="P6024">
        <v>20190502</v>
      </c>
      <c r="Q6024" t="s">
        <v>2811</v>
      </c>
      <c r="R6024" t="s">
        <v>4806</v>
      </c>
      <c r="S6024" t="s">
        <v>1615</v>
      </c>
      <c r="T6024" t="s">
        <v>1713</v>
      </c>
    </row>
    <row r="6025" spans="1:20" x14ac:dyDescent="0.25">
      <c r="A6025">
        <v>9</v>
      </c>
      <c r="B6025">
        <v>199</v>
      </c>
      <c r="C6025" t="str">
        <f t="shared" si="1311"/>
        <v>51</v>
      </c>
      <c r="D6025">
        <v>6249</v>
      </c>
      <c r="E6025" t="str">
        <f t="shared" si="1313"/>
        <v>PM</v>
      </c>
      <c r="F6025" t="str">
        <f t="shared" si="1314"/>
        <v>936</v>
      </c>
      <c r="G6025">
        <v>9</v>
      </c>
      <c r="H6025" t="str">
        <f t="shared" si="1310"/>
        <v>99</v>
      </c>
      <c r="I6025" t="str">
        <f t="shared" si="1315"/>
        <v>1</v>
      </c>
      <c r="J6025" t="str">
        <f t="shared" si="1312"/>
        <v>81</v>
      </c>
      <c r="K6025">
        <v>20190503</v>
      </c>
      <c r="L6025" t="str">
        <f t="shared" si="1316"/>
        <v>076641</v>
      </c>
      <c r="M6025" t="str">
        <f t="shared" si="1317"/>
        <v>00306</v>
      </c>
      <c r="N6025" t="s">
        <v>2810</v>
      </c>
      <c r="O6025">
        <v>160.28</v>
      </c>
      <c r="P6025">
        <v>20190502</v>
      </c>
      <c r="Q6025" t="s">
        <v>2811</v>
      </c>
      <c r="R6025" t="s">
        <v>4807</v>
      </c>
      <c r="S6025" t="s">
        <v>1615</v>
      </c>
      <c r="T6025" t="s">
        <v>1713</v>
      </c>
    </row>
    <row r="6026" spans="1:20" x14ac:dyDescent="0.25">
      <c r="A6026">
        <v>9</v>
      </c>
      <c r="B6026">
        <v>199</v>
      </c>
      <c r="C6026" t="str">
        <f t="shared" si="1311"/>
        <v>51</v>
      </c>
      <c r="D6026">
        <v>6249</v>
      </c>
      <c r="E6026" t="str">
        <f t="shared" si="1313"/>
        <v>PM</v>
      </c>
      <c r="F6026" t="str">
        <f t="shared" si="1314"/>
        <v>936</v>
      </c>
      <c r="G6026">
        <v>9</v>
      </c>
      <c r="H6026" t="str">
        <f t="shared" si="1310"/>
        <v>99</v>
      </c>
      <c r="I6026" t="str">
        <f t="shared" si="1315"/>
        <v>1</v>
      </c>
      <c r="J6026" t="str">
        <f t="shared" si="1312"/>
        <v>81</v>
      </c>
      <c r="K6026">
        <v>20190503</v>
      </c>
      <c r="L6026" t="str">
        <f t="shared" si="1316"/>
        <v>076641</v>
      </c>
      <c r="M6026" t="str">
        <f t="shared" si="1317"/>
        <v>00306</v>
      </c>
      <c r="N6026" t="s">
        <v>2810</v>
      </c>
      <c r="O6026" s="1">
        <v>2507.16</v>
      </c>
      <c r="P6026">
        <v>20190502</v>
      </c>
      <c r="Q6026" t="s">
        <v>2811</v>
      </c>
      <c r="R6026" t="s">
        <v>4808</v>
      </c>
      <c r="S6026" t="s">
        <v>1615</v>
      </c>
      <c r="T6026" t="s">
        <v>1713</v>
      </c>
    </row>
    <row r="6027" spans="1:20" x14ac:dyDescent="0.25">
      <c r="A6027">
        <v>9</v>
      </c>
      <c r="B6027">
        <v>199</v>
      </c>
      <c r="C6027" t="str">
        <f>"34"</f>
        <v>34</v>
      </c>
      <c r="D6027">
        <v>6249</v>
      </c>
      <c r="E6027" t="str">
        <f>"10"</f>
        <v>10</v>
      </c>
      <c r="F6027" t="str">
        <f>"937"</f>
        <v>937</v>
      </c>
      <c r="G6027">
        <v>9</v>
      </c>
      <c r="H6027" t="str">
        <f t="shared" si="1310"/>
        <v>99</v>
      </c>
      <c r="I6027" t="str">
        <f t="shared" ref="I6027:I6069" si="1318">"0"</f>
        <v>0</v>
      </c>
      <c r="J6027" t="str">
        <f>"82"</f>
        <v>82</v>
      </c>
      <c r="K6027">
        <v>20190503</v>
      </c>
      <c r="L6027" t="str">
        <f>"076643"</f>
        <v>076643</v>
      </c>
      <c r="M6027" t="str">
        <f>"03846"</f>
        <v>03846</v>
      </c>
      <c r="N6027" t="s">
        <v>3678</v>
      </c>
      <c r="O6027" s="1">
        <v>19598.32</v>
      </c>
      <c r="P6027">
        <v>20190502</v>
      </c>
      <c r="Q6027" t="s">
        <v>2036</v>
      </c>
      <c r="R6027" t="s">
        <v>4809</v>
      </c>
      <c r="S6027" t="s">
        <v>1615</v>
      </c>
      <c r="T6027" t="s">
        <v>1810</v>
      </c>
    </row>
    <row r="6028" spans="1:20" x14ac:dyDescent="0.25">
      <c r="A6028">
        <v>9</v>
      </c>
      <c r="B6028">
        <v>199</v>
      </c>
      <c r="C6028" t="str">
        <f>"11"</f>
        <v>11</v>
      </c>
      <c r="D6028">
        <v>6399</v>
      </c>
      <c r="E6028" t="str">
        <f>"VA"</f>
        <v>VA</v>
      </c>
      <c r="F6028" t="str">
        <f>"001"</f>
        <v>001</v>
      </c>
      <c r="G6028">
        <v>9</v>
      </c>
      <c r="H6028" t="str">
        <f>"22"</f>
        <v>22</v>
      </c>
      <c r="I6028" t="str">
        <f t="shared" si="1318"/>
        <v>0</v>
      </c>
      <c r="J6028" t="str">
        <f>"22"</f>
        <v>22</v>
      </c>
      <c r="K6028">
        <v>20190503</v>
      </c>
      <c r="L6028" t="str">
        <f>"076645"</f>
        <v>076645</v>
      </c>
      <c r="M6028" t="str">
        <f>"05692"</f>
        <v>05692</v>
      </c>
      <c r="N6028" t="s">
        <v>4810</v>
      </c>
      <c r="O6028">
        <v>165</v>
      </c>
      <c r="P6028">
        <v>20190502</v>
      </c>
      <c r="Q6028" t="s">
        <v>2186</v>
      </c>
      <c r="R6028" t="s">
        <v>4811</v>
      </c>
      <c r="S6028" t="s">
        <v>1615</v>
      </c>
      <c r="T6028" t="s">
        <v>301</v>
      </c>
    </row>
    <row r="6029" spans="1:20" x14ac:dyDescent="0.25">
      <c r="A6029">
        <v>9</v>
      </c>
      <c r="B6029">
        <v>199</v>
      </c>
      <c r="C6029" t="str">
        <f>"41"</f>
        <v>41</v>
      </c>
      <c r="D6029">
        <v>6495</v>
      </c>
      <c r="E6029" t="str">
        <f>"00"</f>
        <v>00</v>
      </c>
      <c r="F6029" t="str">
        <f>"932"</f>
        <v>932</v>
      </c>
      <c r="G6029">
        <v>9</v>
      </c>
      <c r="H6029" t="str">
        <f>"99"</f>
        <v>99</v>
      </c>
      <c r="I6029" t="str">
        <f t="shared" si="1318"/>
        <v>0</v>
      </c>
      <c r="J6029" t="str">
        <f>"84"</f>
        <v>84</v>
      </c>
      <c r="K6029">
        <v>20190503</v>
      </c>
      <c r="L6029" t="str">
        <f>"076646"</f>
        <v>076646</v>
      </c>
      <c r="M6029" t="str">
        <f>"06800"</f>
        <v>06800</v>
      </c>
      <c r="N6029" t="s">
        <v>4812</v>
      </c>
      <c r="O6029">
        <v>175</v>
      </c>
      <c r="P6029">
        <v>20190502</v>
      </c>
      <c r="Q6029" t="s">
        <v>4813</v>
      </c>
      <c r="R6029" t="s">
        <v>4814</v>
      </c>
      <c r="S6029" t="s">
        <v>1615</v>
      </c>
      <c r="T6029" t="s">
        <v>2900</v>
      </c>
    </row>
    <row r="6030" spans="1:20" x14ac:dyDescent="0.25">
      <c r="A6030">
        <v>9</v>
      </c>
      <c r="B6030">
        <v>199</v>
      </c>
      <c r="C6030" t="str">
        <f>"36"</f>
        <v>36</v>
      </c>
      <c r="D6030">
        <v>6299</v>
      </c>
      <c r="E6030" t="str">
        <f>"7E"</f>
        <v>7E</v>
      </c>
      <c r="F6030" t="str">
        <f>"001"</f>
        <v>001</v>
      </c>
      <c r="G6030">
        <v>9</v>
      </c>
      <c r="H6030" t="str">
        <f>"99"</f>
        <v>99</v>
      </c>
      <c r="I6030" t="str">
        <f t="shared" si="1318"/>
        <v>0</v>
      </c>
      <c r="J6030" t="str">
        <f>"31"</f>
        <v>31</v>
      </c>
      <c r="K6030">
        <v>20190503</v>
      </c>
      <c r="L6030" t="str">
        <f>"076647"</f>
        <v>076647</v>
      </c>
      <c r="M6030" t="str">
        <f>"00798"</f>
        <v>00798</v>
      </c>
      <c r="N6030" t="s">
        <v>4815</v>
      </c>
      <c r="O6030">
        <v>235</v>
      </c>
      <c r="P6030">
        <v>20190502</v>
      </c>
      <c r="Q6030" t="s">
        <v>3883</v>
      </c>
      <c r="R6030" t="s">
        <v>4556</v>
      </c>
      <c r="S6030" t="s">
        <v>1615</v>
      </c>
      <c r="T6030" t="s">
        <v>301</v>
      </c>
    </row>
    <row r="6031" spans="1:20" x14ac:dyDescent="0.25">
      <c r="A6031">
        <v>9</v>
      </c>
      <c r="B6031">
        <v>199</v>
      </c>
      <c r="C6031" t="str">
        <f>"36"</f>
        <v>36</v>
      </c>
      <c r="D6031">
        <v>6299</v>
      </c>
      <c r="E6031" t="str">
        <f>"7E"</f>
        <v>7E</v>
      </c>
      <c r="F6031" t="str">
        <f>"001"</f>
        <v>001</v>
      </c>
      <c r="G6031">
        <v>9</v>
      </c>
      <c r="H6031" t="str">
        <f>"99"</f>
        <v>99</v>
      </c>
      <c r="I6031" t="str">
        <f t="shared" si="1318"/>
        <v>0</v>
      </c>
      <c r="J6031" t="str">
        <f>"31"</f>
        <v>31</v>
      </c>
      <c r="K6031">
        <v>20190503</v>
      </c>
      <c r="L6031" t="str">
        <f>"076649"</f>
        <v>076649</v>
      </c>
      <c r="M6031" t="str">
        <f>"13165"</f>
        <v>13165</v>
      </c>
      <c r="N6031" t="s">
        <v>1872</v>
      </c>
      <c r="O6031">
        <v>235</v>
      </c>
      <c r="P6031">
        <v>20190502</v>
      </c>
      <c r="Q6031" t="s">
        <v>3883</v>
      </c>
      <c r="R6031" t="s">
        <v>4556</v>
      </c>
      <c r="S6031" t="s">
        <v>1615</v>
      </c>
      <c r="T6031" t="s">
        <v>301</v>
      </c>
    </row>
    <row r="6032" spans="1:20" x14ac:dyDescent="0.25">
      <c r="A6032">
        <v>9</v>
      </c>
      <c r="B6032">
        <v>199</v>
      </c>
      <c r="C6032" t="str">
        <f>"51"</f>
        <v>51</v>
      </c>
      <c r="D6032">
        <v>6248</v>
      </c>
      <c r="E6032" t="str">
        <f>"MC"</f>
        <v>MC</v>
      </c>
      <c r="F6032" t="str">
        <f>"936"</f>
        <v>936</v>
      </c>
      <c r="G6032">
        <v>9</v>
      </c>
      <c r="H6032" t="str">
        <f>"99"</f>
        <v>99</v>
      </c>
      <c r="I6032" t="str">
        <f t="shared" si="1318"/>
        <v>0</v>
      </c>
      <c r="J6032" t="str">
        <f>"81"</f>
        <v>81</v>
      </c>
      <c r="K6032">
        <v>20190503</v>
      </c>
      <c r="L6032" t="str">
        <f>"076652"</f>
        <v>076652</v>
      </c>
      <c r="M6032" t="str">
        <f>"21842"</f>
        <v>21842</v>
      </c>
      <c r="N6032" t="s">
        <v>2576</v>
      </c>
      <c r="O6032">
        <v>100.75</v>
      </c>
      <c r="P6032">
        <v>20190502</v>
      </c>
      <c r="Q6032" t="s">
        <v>3287</v>
      </c>
      <c r="R6032" t="s">
        <v>4816</v>
      </c>
      <c r="S6032" t="s">
        <v>1615</v>
      </c>
      <c r="T6032" t="s">
        <v>1713</v>
      </c>
    </row>
    <row r="6033" spans="1:20" x14ac:dyDescent="0.25">
      <c r="A6033">
        <v>9</v>
      </c>
      <c r="B6033">
        <v>199</v>
      </c>
      <c r="C6033" t="str">
        <f>"11"</f>
        <v>11</v>
      </c>
      <c r="D6033">
        <v>6649</v>
      </c>
      <c r="E6033" t="str">
        <f>"45"</f>
        <v>45</v>
      </c>
      <c r="F6033" t="str">
        <f>"101"</f>
        <v>101</v>
      </c>
      <c r="G6033">
        <v>9</v>
      </c>
      <c r="H6033" t="str">
        <f>"11"</f>
        <v>11</v>
      </c>
      <c r="I6033" t="str">
        <f t="shared" si="1318"/>
        <v>0</v>
      </c>
      <c r="J6033" t="str">
        <f>"04"</f>
        <v>04</v>
      </c>
      <c r="K6033">
        <v>20190503</v>
      </c>
      <c r="L6033" t="str">
        <f>"076654"</f>
        <v>076654</v>
      </c>
      <c r="M6033" t="str">
        <f>"16807"</f>
        <v>16807</v>
      </c>
      <c r="N6033" t="s">
        <v>1581</v>
      </c>
      <c r="O6033" s="1">
        <v>1647</v>
      </c>
      <c r="P6033">
        <v>20190502</v>
      </c>
      <c r="Q6033" t="s">
        <v>4817</v>
      </c>
      <c r="R6033" t="s">
        <v>1997</v>
      </c>
      <c r="S6033" t="s">
        <v>1615</v>
      </c>
      <c r="T6033" t="s">
        <v>1479</v>
      </c>
    </row>
    <row r="6034" spans="1:20" x14ac:dyDescent="0.25">
      <c r="A6034">
        <v>9</v>
      </c>
      <c r="B6034">
        <v>199</v>
      </c>
      <c r="C6034" t="str">
        <f>"11"</f>
        <v>11</v>
      </c>
      <c r="D6034">
        <v>6649</v>
      </c>
      <c r="E6034" t="str">
        <f>"45"</f>
        <v>45</v>
      </c>
      <c r="F6034" t="str">
        <f>"101"</f>
        <v>101</v>
      </c>
      <c r="G6034">
        <v>9</v>
      </c>
      <c r="H6034" t="str">
        <f>"11"</f>
        <v>11</v>
      </c>
      <c r="I6034" t="str">
        <f t="shared" si="1318"/>
        <v>0</v>
      </c>
      <c r="J6034" t="str">
        <f>"04"</f>
        <v>04</v>
      </c>
      <c r="K6034">
        <v>20190503</v>
      </c>
      <c r="L6034" t="str">
        <f>"076654"</f>
        <v>076654</v>
      </c>
      <c r="M6034" t="str">
        <f>"16807"</f>
        <v>16807</v>
      </c>
      <c r="N6034" t="s">
        <v>1581</v>
      </c>
      <c r="O6034">
        <v>395.46</v>
      </c>
      <c r="P6034">
        <v>20190502</v>
      </c>
      <c r="Q6034" t="s">
        <v>4817</v>
      </c>
      <c r="R6034" t="s">
        <v>4818</v>
      </c>
      <c r="S6034" t="s">
        <v>1615</v>
      </c>
      <c r="T6034" t="s">
        <v>1479</v>
      </c>
    </row>
    <row r="6035" spans="1:20" x14ac:dyDescent="0.25">
      <c r="A6035">
        <v>9</v>
      </c>
      <c r="B6035">
        <v>199</v>
      </c>
      <c r="C6035" t="str">
        <f>"11"</f>
        <v>11</v>
      </c>
      <c r="D6035">
        <v>6649</v>
      </c>
      <c r="E6035" t="str">
        <f>"DC"</f>
        <v>DC</v>
      </c>
      <c r="F6035" t="str">
        <f>"001"</f>
        <v>001</v>
      </c>
      <c r="G6035">
        <v>9</v>
      </c>
      <c r="H6035" t="str">
        <f>"31"</f>
        <v>31</v>
      </c>
      <c r="I6035" t="str">
        <f t="shared" si="1318"/>
        <v>0</v>
      </c>
      <c r="J6035" t="str">
        <f>"34"</f>
        <v>34</v>
      </c>
      <c r="K6035">
        <v>20190503</v>
      </c>
      <c r="L6035" t="str">
        <f>"076654"</f>
        <v>076654</v>
      </c>
      <c r="M6035" t="str">
        <f>"16807"</f>
        <v>16807</v>
      </c>
      <c r="N6035" t="s">
        <v>1581</v>
      </c>
      <c r="O6035" s="1">
        <v>1350.81</v>
      </c>
      <c r="P6035">
        <v>20190502</v>
      </c>
      <c r="Q6035" t="s">
        <v>2477</v>
      </c>
      <c r="R6035" t="s">
        <v>4819</v>
      </c>
      <c r="S6035" t="s">
        <v>1615</v>
      </c>
      <c r="T6035" t="s">
        <v>301</v>
      </c>
    </row>
    <row r="6036" spans="1:20" x14ac:dyDescent="0.25">
      <c r="A6036">
        <v>9</v>
      </c>
      <c r="B6036">
        <v>199</v>
      </c>
      <c r="C6036" t="str">
        <f>"53"</f>
        <v>53</v>
      </c>
      <c r="D6036">
        <v>6399</v>
      </c>
      <c r="E6036" t="str">
        <f>"10"</f>
        <v>10</v>
      </c>
      <c r="F6036" t="str">
        <f>"880"</f>
        <v>880</v>
      </c>
      <c r="G6036">
        <v>9</v>
      </c>
      <c r="H6036" t="str">
        <f>"99"</f>
        <v>99</v>
      </c>
      <c r="I6036" t="str">
        <f t="shared" si="1318"/>
        <v>0</v>
      </c>
      <c r="J6036" t="str">
        <f>"80"</f>
        <v>80</v>
      </c>
      <c r="K6036">
        <v>20190503</v>
      </c>
      <c r="L6036" t="str">
        <f>"076654"</f>
        <v>076654</v>
      </c>
      <c r="M6036" t="str">
        <f>"16807"</f>
        <v>16807</v>
      </c>
      <c r="N6036" t="s">
        <v>1581</v>
      </c>
      <c r="O6036">
        <v>176.25</v>
      </c>
      <c r="P6036">
        <v>20190502</v>
      </c>
      <c r="Q6036" t="s">
        <v>1865</v>
      </c>
      <c r="R6036" t="s">
        <v>4820</v>
      </c>
      <c r="S6036" t="s">
        <v>1615</v>
      </c>
      <c r="T6036" t="s">
        <v>1866</v>
      </c>
    </row>
    <row r="6037" spans="1:20" x14ac:dyDescent="0.25">
      <c r="A6037">
        <v>9</v>
      </c>
      <c r="B6037">
        <v>199</v>
      </c>
      <c r="C6037" t="str">
        <f>"00"</f>
        <v>00</v>
      </c>
      <c r="D6037">
        <v>1312</v>
      </c>
      <c r="E6037" t="str">
        <f>"00"</f>
        <v>00</v>
      </c>
      <c r="F6037" t="str">
        <f>"000"</f>
        <v>000</v>
      </c>
      <c r="G6037">
        <v>9</v>
      </c>
      <c r="H6037" t="str">
        <f>"00"</f>
        <v>00</v>
      </c>
      <c r="I6037" t="str">
        <f t="shared" si="1318"/>
        <v>0</v>
      </c>
      <c r="J6037" t="str">
        <f>"00"</f>
        <v>00</v>
      </c>
      <c r="K6037">
        <v>20190503</v>
      </c>
      <c r="L6037" t="str">
        <f>"076655"</f>
        <v>076655</v>
      </c>
      <c r="M6037" t="str">
        <f>"14184"</f>
        <v>14184</v>
      </c>
      <c r="N6037" t="s">
        <v>2478</v>
      </c>
      <c r="O6037">
        <v>88.2</v>
      </c>
      <c r="P6037">
        <v>20190502</v>
      </c>
      <c r="Q6037" t="s">
        <v>1860</v>
      </c>
      <c r="R6037" t="s">
        <v>4821</v>
      </c>
      <c r="S6037" t="s">
        <v>1615</v>
      </c>
      <c r="T6037" t="s">
        <v>296</v>
      </c>
    </row>
    <row r="6038" spans="1:20" x14ac:dyDescent="0.25">
      <c r="A6038">
        <v>9</v>
      </c>
      <c r="B6038">
        <v>199</v>
      </c>
      <c r="C6038" t="str">
        <f>"31"</f>
        <v>31</v>
      </c>
      <c r="D6038">
        <v>6219</v>
      </c>
      <c r="E6038" t="str">
        <f>"00"</f>
        <v>00</v>
      </c>
      <c r="F6038" t="str">
        <f>"875"</f>
        <v>875</v>
      </c>
      <c r="G6038">
        <v>9</v>
      </c>
      <c r="H6038" t="str">
        <f>"23"</f>
        <v>23</v>
      </c>
      <c r="I6038" t="str">
        <f t="shared" si="1318"/>
        <v>0</v>
      </c>
      <c r="J6038" t="str">
        <f>"23"</f>
        <v>23</v>
      </c>
      <c r="K6038">
        <v>20190503</v>
      </c>
      <c r="L6038" t="str">
        <f>"076656"</f>
        <v>076656</v>
      </c>
      <c r="M6038" t="str">
        <f>"74150"</f>
        <v>74150</v>
      </c>
      <c r="N6038" t="s">
        <v>1691</v>
      </c>
      <c r="O6038" s="1">
        <v>1105.2</v>
      </c>
      <c r="P6038">
        <v>20190502</v>
      </c>
      <c r="Q6038" t="s">
        <v>2207</v>
      </c>
      <c r="R6038" t="s">
        <v>4822</v>
      </c>
      <c r="S6038" t="s">
        <v>1615</v>
      </c>
      <c r="T6038" t="s">
        <v>2041</v>
      </c>
    </row>
    <row r="6039" spans="1:20" x14ac:dyDescent="0.25">
      <c r="A6039">
        <v>9</v>
      </c>
      <c r="B6039">
        <v>199</v>
      </c>
      <c r="C6039" t="str">
        <f>"11"</f>
        <v>11</v>
      </c>
      <c r="D6039">
        <v>6229</v>
      </c>
      <c r="E6039" t="str">
        <f>"NM"</f>
        <v>NM</v>
      </c>
      <c r="F6039" t="str">
        <f>"001"</f>
        <v>001</v>
      </c>
      <c r="G6039">
        <v>9</v>
      </c>
      <c r="H6039" t="str">
        <f>"22"</f>
        <v>22</v>
      </c>
      <c r="I6039" t="str">
        <f t="shared" si="1318"/>
        <v>0</v>
      </c>
      <c r="J6039" t="str">
        <f>"22"</f>
        <v>22</v>
      </c>
      <c r="K6039">
        <v>20190503</v>
      </c>
      <c r="L6039" t="str">
        <f>"076661"</f>
        <v>076661</v>
      </c>
      <c r="M6039" t="str">
        <f>"25144"</f>
        <v>25144</v>
      </c>
      <c r="N6039" t="s">
        <v>1620</v>
      </c>
      <c r="O6039" s="1">
        <v>1250</v>
      </c>
      <c r="P6039">
        <v>20190502</v>
      </c>
      <c r="Q6039" t="s">
        <v>4599</v>
      </c>
      <c r="R6039" t="s">
        <v>4823</v>
      </c>
      <c r="S6039" t="s">
        <v>1615</v>
      </c>
      <c r="T6039" t="s">
        <v>301</v>
      </c>
    </row>
    <row r="6040" spans="1:20" x14ac:dyDescent="0.25">
      <c r="A6040">
        <v>9</v>
      </c>
      <c r="B6040">
        <v>199</v>
      </c>
      <c r="C6040" t="str">
        <f>"36"</f>
        <v>36</v>
      </c>
      <c r="D6040">
        <v>6299</v>
      </c>
      <c r="E6040" t="str">
        <f>"7E"</f>
        <v>7E</v>
      </c>
      <c r="F6040" t="str">
        <f>"001"</f>
        <v>001</v>
      </c>
      <c r="G6040">
        <v>9</v>
      </c>
      <c r="H6040" t="str">
        <f>"99"</f>
        <v>99</v>
      </c>
      <c r="I6040" t="str">
        <f t="shared" si="1318"/>
        <v>0</v>
      </c>
      <c r="J6040" t="str">
        <f>"31"</f>
        <v>31</v>
      </c>
      <c r="K6040">
        <v>20190503</v>
      </c>
      <c r="L6040" t="str">
        <f>"076662"</f>
        <v>076662</v>
      </c>
      <c r="M6040" t="str">
        <f>"25875"</f>
        <v>25875</v>
      </c>
      <c r="N6040" t="s">
        <v>1881</v>
      </c>
      <c r="O6040">
        <v>320</v>
      </c>
      <c r="P6040">
        <v>20190502</v>
      </c>
      <c r="Q6040" t="s">
        <v>3883</v>
      </c>
      <c r="R6040" t="s">
        <v>4556</v>
      </c>
      <c r="S6040" t="s">
        <v>1615</v>
      </c>
      <c r="T6040" t="s">
        <v>301</v>
      </c>
    </row>
    <row r="6041" spans="1:20" x14ac:dyDescent="0.25">
      <c r="A6041">
        <v>9</v>
      </c>
      <c r="B6041">
        <v>199</v>
      </c>
      <c r="C6041" t="str">
        <f>"00"</f>
        <v>00</v>
      </c>
      <c r="D6041">
        <v>1312</v>
      </c>
      <c r="E6041" t="str">
        <f>"00"</f>
        <v>00</v>
      </c>
      <c r="F6041" t="str">
        <f>"000"</f>
        <v>000</v>
      </c>
      <c r="G6041">
        <v>9</v>
      </c>
      <c r="H6041" t="str">
        <f>"00"</f>
        <v>00</v>
      </c>
      <c r="I6041" t="str">
        <f t="shared" si="1318"/>
        <v>0</v>
      </c>
      <c r="J6041" t="str">
        <f>"00"</f>
        <v>00</v>
      </c>
      <c r="K6041">
        <v>20190503</v>
      </c>
      <c r="L6041" t="str">
        <f>"076667"</f>
        <v>076667</v>
      </c>
      <c r="M6041" t="str">
        <f>"29610"</f>
        <v>29610</v>
      </c>
      <c r="N6041" t="s">
        <v>2067</v>
      </c>
      <c r="O6041">
        <v>670</v>
      </c>
      <c r="P6041">
        <v>20190502</v>
      </c>
      <c r="Q6041" t="s">
        <v>1860</v>
      </c>
      <c r="R6041" t="s">
        <v>4824</v>
      </c>
      <c r="S6041" t="s">
        <v>1615</v>
      </c>
      <c r="T6041" t="s">
        <v>296</v>
      </c>
    </row>
    <row r="6042" spans="1:20" x14ac:dyDescent="0.25">
      <c r="A6042">
        <v>9</v>
      </c>
      <c r="B6042">
        <v>199</v>
      </c>
      <c r="C6042" t="str">
        <f>"36"</f>
        <v>36</v>
      </c>
      <c r="D6042">
        <v>6299</v>
      </c>
      <c r="E6042" t="str">
        <f t="shared" ref="E6042:E6048" si="1319">"7E"</f>
        <v>7E</v>
      </c>
      <c r="F6042" t="str">
        <f t="shared" ref="F6042:F6052" si="1320">"001"</f>
        <v>001</v>
      </c>
      <c r="G6042">
        <v>9</v>
      </c>
      <c r="H6042" t="str">
        <f>"99"</f>
        <v>99</v>
      </c>
      <c r="I6042" t="str">
        <f t="shared" si="1318"/>
        <v>0</v>
      </c>
      <c r="J6042" t="str">
        <f t="shared" ref="J6042:J6048" si="1321">"31"</f>
        <v>31</v>
      </c>
      <c r="K6042">
        <v>20190503</v>
      </c>
      <c r="L6042" t="str">
        <f>"076669"</f>
        <v>076669</v>
      </c>
      <c r="M6042" t="str">
        <f>"30169"</f>
        <v>30169</v>
      </c>
      <c r="N6042" t="s">
        <v>4825</v>
      </c>
      <c r="O6042">
        <v>320</v>
      </c>
      <c r="P6042">
        <v>20190502</v>
      </c>
      <c r="Q6042" t="s">
        <v>3883</v>
      </c>
      <c r="R6042" t="s">
        <v>4556</v>
      </c>
      <c r="S6042" t="s">
        <v>1615</v>
      </c>
      <c r="T6042" t="s">
        <v>301</v>
      </c>
    </row>
    <row r="6043" spans="1:20" x14ac:dyDescent="0.25">
      <c r="A6043">
        <v>9</v>
      </c>
      <c r="B6043">
        <v>199</v>
      </c>
      <c r="C6043" t="str">
        <f>"36"</f>
        <v>36</v>
      </c>
      <c r="D6043">
        <v>6299</v>
      </c>
      <c r="E6043" t="str">
        <f t="shared" si="1319"/>
        <v>7E</v>
      </c>
      <c r="F6043" t="str">
        <f t="shared" si="1320"/>
        <v>001</v>
      </c>
      <c r="G6043">
        <v>9</v>
      </c>
      <c r="H6043" t="str">
        <f>"99"</f>
        <v>99</v>
      </c>
      <c r="I6043" t="str">
        <f t="shared" si="1318"/>
        <v>0</v>
      </c>
      <c r="J6043" t="str">
        <f t="shared" si="1321"/>
        <v>31</v>
      </c>
      <c r="K6043">
        <v>20190503</v>
      </c>
      <c r="L6043" t="str">
        <f>"076674"</f>
        <v>076674</v>
      </c>
      <c r="M6043" t="str">
        <f>"34525"</f>
        <v>34525</v>
      </c>
      <c r="N6043" t="s">
        <v>3389</v>
      </c>
      <c r="O6043">
        <v>260</v>
      </c>
      <c r="P6043">
        <v>20190502</v>
      </c>
      <c r="Q6043" t="s">
        <v>3883</v>
      </c>
      <c r="R6043" t="s">
        <v>4556</v>
      </c>
      <c r="S6043" t="s">
        <v>1615</v>
      </c>
      <c r="T6043" t="s">
        <v>301</v>
      </c>
    </row>
    <row r="6044" spans="1:20" x14ac:dyDescent="0.25">
      <c r="A6044">
        <v>9</v>
      </c>
      <c r="B6044">
        <v>199</v>
      </c>
      <c r="C6044" t="str">
        <f>"36"</f>
        <v>36</v>
      </c>
      <c r="D6044">
        <v>6299</v>
      </c>
      <c r="E6044" t="str">
        <f t="shared" si="1319"/>
        <v>7E</v>
      </c>
      <c r="F6044" t="str">
        <f t="shared" si="1320"/>
        <v>001</v>
      </c>
      <c r="G6044">
        <v>9</v>
      </c>
      <c r="H6044" t="str">
        <f>"99"</f>
        <v>99</v>
      </c>
      <c r="I6044" t="str">
        <f t="shared" si="1318"/>
        <v>0</v>
      </c>
      <c r="J6044" t="str">
        <f t="shared" si="1321"/>
        <v>31</v>
      </c>
      <c r="K6044">
        <v>20190503</v>
      </c>
      <c r="L6044" t="str">
        <f>"076675"</f>
        <v>076675</v>
      </c>
      <c r="M6044" t="str">
        <f>"37260"</f>
        <v>37260</v>
      </c>
      <c r="N6044" t="s">
        <v>1890</v>
      </c>
      <c r="O6044" s="1">
        <v>1465</v>
      </c>
      <c r="P6044">
        <v>20190502</v>
      </c>
      <c r="Q6044" t="s">
        <v>3883</v>
      </c>
      <c r="R6044" t="s">
        <v>4556</v>
      </c>
      <c r="S6044" t="s">
        <v>1615</v>
      </c>
      <c r="T6044" t="s">
        <v>301</v>
      </c>
    </row>
    <row r="6045" spans="1:20" x14ac:dyDescent="0.25">
      <c r="A6045">
        <v>9</v>
      </c>
      <c r="B6045">
        <v>199</v>
      </c>
      <c r="C6045" t="str">
        <f>"36"</f>
        <v>36</v>
      </c>
      <c r="D6045">
        <v>6299</v>
      </c>
      <c r="E6045" t="str">
        <f t="shared" si="1319"/>
        <v>7E</v>
      </c>
      <c r="F6045" t="str">
        <f t="shared" si="1320"/>
        <v>001</v>
      </c>
      <c r="G6045">
        <v>9</v>
      </c>
      <c r="H6045" t="str">
        <f>"99"</f>
        <v>99</v>
      </c>
      <c r="I6045" t="str">
        <f t="shared" si="1318"/>
        <v>0</v>
      </c>
      <c r="J6045" t="str">
        <f t="shared" si="1321"/>
        <v>31</v>
      </c>
      <c r="K6045">
        <v>20190503</v>
      </c>
      <c r="L6045" t="str">
        <f>"076676"</f>
        <v>076676</v>
      </c>
      <c r="M6045" t="str">
        <f>"37530"</f>
        <v>37530</v>
      </c>
      <c r="N6045" t="s">
        <v>4826</v>
      </c>
      <c r="O6045">
        <v>320</v>
      </c>
      <c r="P6045">
        <v>20190502</v>
      </c>
      <c r="Q6045" t="s">
        <v>3883</v>
      </c>
      <c r="R6045" t="s">
        <v>4556</v>
      </c>
      <c r="S6045" t="s">
        <v>1615</v>
      </c>
      <c r="T6045" t="s">
        <v>301</v>
      </c>
    </row>
    <row r="6046" spans="1:20" x14ac:dyDescent="0.25">
      <c r="A6046">
        <v>9</v>
      </c>
      <c r="B6046">
        <v>199</v>
      </c>
      <c r="C6046" t="str">
        <f>"11"</f>
        <v>11</v>
      </c>
      <c r="D6046">
        <v>6249</v>
      </c>
      <c r="E6046" t="str">
        <f t="shared" si="1319"/>
        <v>7E</v>
      </c>
      <c r="F6046" t="str">
        <f t="shared" si="1320"/>
        <v>001</v>
      </c>
      <c r="G6046">
        <v>9</v>
      </c>
      <c r="H6046" t="str">
        <f>"11"</f>
        <v>11</v>
      </c>
      <c r="I6046" t="str">
        <f t="shared" si="1318"/>
        <v>0</v>
      </c>
      <c r="J6046" t="str">
        <f t="shared" si="1321"/>
        <v>31</v>
      </c>
      <c r="K6046">
        <v>20190503</v>
      </c>
      <c r="L6046" t="str">
        <f>"076677"</f>
        <v>076677</v>
      </c>
      <c r="M6046" t="str">
        <f>"37897"</f>
        <v>37897</v>
      </c>
      <c r="N6046" t="s">
        <v>3392</v>
      </c>
      <c r="O6046">
        <v>100</v>
      </c>
      <c r="P6046">
        <v>20190502</v>
      </c>
      <c r="Q6046" t="s">
        <v>3393</v>
      </c>
      <c r="R6046" t="s">
        <v>4827</v>
      </c>
      <c r="S6046" t="s">
        <v>1615</v>
      </c>
      <c r="T6046" t="s">
        <v>301</v>
      </c>
    </row>
    <row r="6047" spans="1:20" x14ac:dyDescent="0.25">
      <c r="A6047">
        <v>9</v>
      </c>
      <c r="B6047">
        <v>199</v>
      </c>
      <c r="C6047" t="str">
        <f>"11"</f>
        <v>11</v>
      </c>
      <c r="D6047">
        <v>6249</v>
      </c>
      <c r="E6047" t="str">
        <f t="shared" si="1319"/>
        <v>7E</v>
      </c>
      <c r="F6047" t="str">
        <f t="shared" si="1320"/>
        <v>001</v>
      </c>
      <c r="G6047">
        <v>9</v>
      </c>
      <c r="H6047" t="str">
        <f>"11"</f>
        <v>11</v>
      </c>
      <c r="I6047" t="str">
        <f t="shared" si="1318"/>
        <v>0</v>
      </c>
      <c r="J6047" t="str">
        <f t="shared" si="1321"/>
        <v>31</v>
      </c>
      <c r="K6047">
        <v>20190503</v>
      </c>
      <c r="L6047" t="str">
        <f>"076677"</f>
        <v>076677</v>
      </c>
      <c r="M6047" t="str">
        <f>"37897"</f>
        <v>37897</v>
      </c>
      <c r="N6047" t="s">
        <v>3392</v>
      </c>
      <c r="O6047">
        <v>100</v>
      </c>
      <c r="P6047">
        <v>20190502</v>
      </c>
      <c r="Q6047" t="s">
        <v>3393</v>
      </c>
      <c r="R6047" t="s">
        <v>4827</v>
      </c>
      <c r="S6047" t="s">
        <v>1615</v>
      </c>
      <c r="T6047" t="s">
        <v>301</v>
      </c>
    </row>
    <row r="6048" spans="1:20" x14ac:dyDescent="0.25">
      <c r="A6048">
        <v>9</v>
      </c>
      <c r="B6048">
        <v>199</v>
      </c>
      <c r="C6048" t="str">
        <f>"36"</f>
        <v>36</v>
      </c>
      <c r="D6048">
        <v>6299</v>
      </c>
      <c r="E6048" t="str">
        <f t="shared" si="1319"/>
        <v>7E</v>
      </c>
      <c r="F6048" t="str">
        <f t="shared" si="1320"/>
        <v>001</v>
      </c>
      <c r="G6048">
        <v>9</v>
      </c>
      <c r="H6048" t="str">
        <f>"99"</f>
        <v>99</v>
      </c>
      <c r="I6048" t="str">
        <f t="shared" si="1318"/>
        <v>0</v>
      </c>
      <c r="J6048" t="str">
        <f t="shared" si="1321"/>
        <v>31</v>
      </c>
      <c r="K6048">
        <v>20190503</v>
      </c>
      <c r="L6048" t="str">
        <f>"076679"</f>
        <v>076679</v>
      </c>
      <c r="M6048" t="str">
        <f>"00581"</f>
        <v>00581</v>
      </c>
      <c r="N6048" t="s">
        <v>2494</v>
      </c>
      <c r="O6048">
        <v>235</v>
      </c>
      <c r="P6048">
        <v>20190502</v>
      </c>
      <c r="Q6048" t="s">
        <v>3883</v>
      </c>
      <c r="R6048" t="s">
        <v>4556</v>
      </c>
      <c r="S6048" t="s">
        <v>1615</v>
      </c>
      <c r="T6048" t="s">
        <v>301</v>
      </c>
    </row>
    <row r="6049" spans="1:20" x14ac:dyDescent="0.25">
      <c r="A6049">
        <v>9</v>
      </c>
      <c r="B6049">
        <v>199</v>
      </c>
      <c r="C6049" t="str">
        <f>"11"</f>
        <v>11</v>
      </c>
      <c r="D6049">
        <v>6249</v>
      </c>
      <c r="E6049" t="str">
        <f>"7B"</f>
        <v>7B</v>
      </c>
      <c r="F6049" t="str">
        <f t="shared" si="1320"/>
        <v>001</v>
      </c>
      <c r="G6049">
        <v>9</v>
      </c>
      <c r="H6049" t="str">
        <f>"11"</f>
        <v>11</v>
      </c>
      <c r="I6049" t="str">
        <f t="shared" si="1318"/>
        <v>0</v>
      </c>
      <c r="J6049" t="str">
        <f>"32"</f>
        <v>32</v>
      </c>
      <c r="K6049">
        <v>20190503</v>
      </c>
      <c r="L6049" t="str">
        <f>"076682"</f>
        <v>076682</v>
      </c>
      <c r="M6049" t="str">
        <f>"39572"</f>
        <v>39572</v>
      </c>
      <c r="N6049" t="s">
        <v>2233</v>
      </c>
      <c r="O6049">
        <v>350</v>
      </c>
      <c r="P6049">
        <v>20190502</v>
      </c>
      <c r="Q6049" t="s">
        <v>2234</v>
      </c>
      <c r="R6049" t="s">
        <v>4828</v>
      </c>
      <c r="S6049" t="s">
        <v>1615</v>
      </c>
      <c r="T6049" t="s">
        <v>301</v>
      </c>
    </row>
    <row r="6050" spans="1:20" x14ac:dyDescent="0.25">
      <c r="A6050">
        <v>9</v>
      </c>
      <c r="B6050">
        <v>199</v>
      </c>
      <c r="C6050" t="str">
        <f>"11"</f>
        <v>11</v>
      </c>
      <c r="D6050">
        <v>6249</v>
      </c>
      <c r="E6050" t="str">
        <f>"7B"</f>
        <v>7B</v>
      </c>
      <c r="F6050" t="str">
        <f t="shared" si="1320"/>
        <v>001</v>
      </c>
      <c r="G6050">
        <v>9</v>
      </c>
      <c r="H6050" t="str">
        <f>"11"</f>
        <v>11</v>
      </c>
      <c r="I6050" t="str">
        <f t="shared" si="1318"/>
        <v>0</v>
      </c>
      <c r="J6050" t="str">
        <f>"32"</f>
        <v>32</v>
      </c>
      <c r="K6050">
        <v>20190503</v>
      </c>
      <c r="L6050" t="str">
        <f>"076682"</f>
        <v>076682</v>
      </c>
      <c r="M6050" t="str">
        <f>"39572"</f>
        <v>39572</v>
      </c>
      <c r="N6050" t="s">
        <v>2233</v>
      </c>
      <c r="O6050">
        <v>75</v>
      </c>
      <c r="P6050">
        <v>20190502</v>
      </c>
      <c r="Q6050" t="s">
        <v>2234</v>
      </c>
      <c r="R6050" t="s">
        <v>4829</v>
      </c>
      <c r="S6050" t="s">
        <v>1615</v>
      </c>
      <c r="T6050" t="s">
        <v>301</v>
      </c>
    </row>
    <row r="6051" spans="1:20" x14ac:dyDescent="0.25">
      <c r="A6051">
        <v>9</v>
      </c>
      <c r="B6051">
        <v>199</v>
      </c>
      <c r="C6051" t="str">
        <f>"11"</f>
        <v>11</v>
      </c>
      <c r="D6051">
        <v>6249</v>
      </c>
      <c r="E6051" t="str">
        <f>"7B"</f>
        <v>7B</v>
      </c>
      <c r="F6051" t="str">
        <f t="shared" si="1320"/>
        <v>001</v>
      </c>
      <c r="G6051">
        <v>9</v>
      </c>
      <c r="H6051" t="str">
        <f>"11"</f>
        <v>11</v>
      </c>
      <c r="I6051" t="str">
        <f t="shared" si="1318"/>
        <v>0</v>
      </c>
      <c r="J6051" t="str">
        <f>"32"</f>
        <v>32</v>
      </c>
      <c r="K6051">
        <v>20190503</v>
      </c>
      <c r="L6051" t="str">
        <f>"076682"</f>
        <v>076682</v>
      </c>
      <c r="M6051" t="str">
        <f>"39572"</f>
        <v>39572</v>
      </c>
      <c r="N6051" t="s">
        <v>2233</v>
      </c>
      <c r="O6051">
        <v>95</v>
      </c>
      <c r="P6051">
        <v>20190502</v>
      </c>
      <c r="Q6051" t="s">
        <v>2234</v>
      </c>
      <c r="R6051" t="s">
        <v>4830</v>
      </c>
      <c r="S6051" t="s">
        <v>1615</v>
      </c>
      <c r="T6051" t="s">
        <v>301</v>
      </c>
    </row>
    <row r="6052" spans="1:20" x14ac:dyDescent="0.25">
      <c r="A6052">
        <v>9</v>
      </c>
      <c r="B6052">
        <v>199</v>
      </c>
      <c r="C6052" t="str">
        <f>"52"</f>
        <v>52</v>
      </c>
      <c r="D6052">
        <v>6299</v>
      </c>
      <c r="E6052" t="str">
        <f>"10"</f>
        <v>10</v>
      </c>
      <c r="F6052" t="str">
        <f t="shared" si="1320"/>
        <v>001</v>
      </c>
      <c r="G6052">
        <v>9</v>
      </c>
      <c r="H6052" t="str">
        <f t="shared" ref="H6052:H6065" si="1322">"99"</f>
        <v>99</v>
      </c>
      <c r="I6052" t="str">
        <f t="shared" si="1318"/>
        <v>0</v>
      </c>
      <c r="J6052" t="str">
        <f>"87"</f>
        <v>87</v>
      </c>
      <c r="K6052">
        <v>20190503</v>
      </c>
      <c r="L6052" t="str">
        <f>"076687"</f>
        <v>076687</v>
      </c>
      <c r="M6052" t="str">
        <f>"44450"</f>
        <v>44450</v>
      </c>
      <c r="N6052" t="s">
        <v>2500</v>
      </c>
      <c r="O6052">
        <v>150</v>
      </c>
      <c r="P6052">
        <v>20190502</v>
      </c>
      <c r="Q6052" t="s">
        <v>2501</v>
      </c>
      <c r="R6052" t="s">
        <v>4831</v>
      </c>
      <c r="S6052" t="s">
        <v>1615</v>
      </c>
      <c r="T6052" t="s">
        <v>301</v>
      </c>
    </row>
    <row r="6053" spans="1:20" x14ac:dyDescent="0.25">
      <c r="A6053">
        <v>9</v>
      </c>
      <c r="B6053">
        <v>199</v>
      </c>
      <c r="C6053" t="str">
        <f>"52"</f>
        <v>52</v>
      </c>
      <c r="D6053">
        <v>6299</v>
      </c>
      <c r="E6053" t="str">
        <f>"10"</f>
        <v>10</v>
      </c>
      <c r="F6053" t="str">
        <f>"002"</f>
        <v>002</v>
      </c>
      <c r="G6053">
        <v>9</v>
      </c>
      <c r="H6053" t="str">
        <f t="shared" si="1322"/>
        <v>99</v>
      </c>
      <c r="I6053" t="str">
        <f t="shared" si="1318"/>
        <v>0</v>
      </c>
      <c r="J6053" t="str">
        <f>"87"</f>
        <v>87</v>
      </c>
      <c r="K6053">
        <v>20190503</v>
      </c>
      <c r="L6053" t="str">
        <f>"076687"</f>
        <v>076687</v>
      </c>
      <c r="M6053" t="str">
        <f>"44450"</f>
        <v>44450</v>
      </c>
      <c r="N6053" t="s">
        <v>2500</v>
      </c>
      <c r="O6053">
        <v>150</v>
      </c>
      <c r="P6053">
        <v>20190502</v>
      </c>
      <c r="Q6053" t="s">
        <v>2503</v>
      </c>
      <c r="R6053" t="s">
        <v>4831</v>
      </c>
      <c r="S6053" t="s">
        <v>1615</v>
      </c>
      <c r="T6053" t="s">
        <v>1485</v>
      </c>
    </row>
    <row r="6054" spans="1:20" x14ac:dyDescent="0.25">
      <c r="A6054">
        <v>9</v>
      </c>
      <c r="B6054">
        <v>199</v>
      </c>
      <c r="C6054" t="str">
        <f>"52"</f>
        <v>52</v>
      </c>
      <c r="D6054">
        <v>6299</v>
      </c>
      <c r="E6054" t="str">
        <f>"10"</f>
        <v>10</v>
      </c>
      <c r="F6054" t="str">
        <f>"041"</f>
        <v>041</v>
      </c>
      <c r="G6054">
        <v>9</v>
      </c>
      <c r="H6054" t="str">
        <f t="shared" si="1322"/>
        <v>99</v>
      </c>
      <c r="I6054" t="str">
        <f t="shared" si="1318"/>
        <v>0</v>
      </c>
      <c r="J6054" t="str">
        <f>"87"</f>
        <v>87</v>
      </c>
      <c r="K6054">
        <v>20190503</v>
      </c>
      <c r="L6054" t="str">
        <f>"076687"</f>
        <v>076687</v>
      </c>
      <c r="M6054" t="str">
        <f>"44450"</f>
        <v>44450</v>
      </c>
      <c r="N6054" t="s">
        <v>2500</v>
      </c>
      <c r="O6054">
        <v>225</v>
      </c>
      <c r="P6054">
        <v>20190502</v>
      </c>
      <c r="Q6054" t="s">
        <v>2505</v>
      </c>
      <c r="R6054" t="s">
        <v>4832</v>
      </c>
      <c r="S6054" t="s">
        <v>1615</v>
      </c>
      <c r="T6054" t="s">
        <v>106</v>
      </c>
    </row>
    <row r="6055" spans="1:20" x14ac:dyDescent="0.25">
      <c r="A6055">
        <v>9</v>
      </c>
      <c r="B6055">
        <v>199</v>
      </c>
      <c r="C6055" t="str">
        <f>"52"</f>
        <v>52</v>
      </c>
      <c r="D6055">
        <v>6299</v>
      </c>
      <c r="E6055" t="str">
        <f>"10"</f>
        <v>10</v>
      </c>
      <c r="F6055" t="str">
        <f>"041"</f>
        <v>041</v>
      </c>
      <c r="G6055">
        <v>9</v>
      </c>
      <c r="H6055" t="str">
        <f t="shared" si="1322"/>
        <v>99</v>
      </c>
      <c r="I6055" t="str">
        <f t="shared" si="1318"/>
        <v>0</v>
      </c>
      <c r="J6055" t="str">
        <f>"87"</f>
        <v>87</v>
      </c>
      <c r="K6055">
        <v>20190503</v>
      </c>
      <c r="L6055" t="str">
        <f>"076687"</f>
        <v>076687</v>
      </c>
      <c r="M6055" t="str">
        <f>"44450"</f>
        <v>44450</v>
      </c>
      <c r="N6055" t="s">
        <v>2500</v>
      </c>
      <c r="O6055">
        <v>150</v>
      </c>
      <c r="P6055">
        <v>20190502</v>
      </c>
      <c r="Q6055" t="s">
        <v>2505</v>
      </c>
      <c r="R6055" t="s">
        <v>4831</v>
      </c>
      <c r="S6055" t="s">
        <v>1615</v>
      </c>
      <c r="T6055" t="s">
        <v>106</v>
      </c>
    </row>
    <row r="6056" spans="1:20" x14ac:dyDescent="0.25">
      <c r="A6056">
        <v>9</v>
      </c>
      <c r="B6056">
        <v>199</v>
      </c>
      <c r="C6056" t="str">
        <f t="shared" ref="C6056:C6061" si="1323">"51"</f>
        <v>51</v>
      </c>
      <c r="D6056">
        <v>6319</v>
      </c>
      <c r="E6056" t="str">
        <f t="shared" ref="E6056:E6061" si="1324">"MC"</f>
        <v>MC</v>
      </c>
      <c r="F6056" t="str">
        <f t="shared" ref="F6056:F6061" si="1325">"936"</f>
        <v>936</v>
      </c>
      <c r="G6056">
        <v>9</v>
      </c>
      <c r="H6056" t="str">
        <f t="shared" si="1322"/>
        <v>99</v>
      </c>
      <c r="I6056" t="str">
        <f t="shared" si="1318"/>
        <v>0</v>
      </c>
      <c r="J6056" t="str">
        <f t="shared" ref="J6056:J6061" si="1326">"81"</f>
        <v>81</v>
      </c>
      <c r="K6056">
        <v>20190503</v>
      </c>
      <c r="L6056" t="str">
        <f>"076690"</f>
        <v>076690</v>
      </c>
      <c r="M6056" t="str">
        <f>"45492"</f>
        <v>45492</v>
      </c>
      <c r="N6056" t="s">
        <v>3410</v>
      </c>
      <c r="O6056">
        <v>188</v>
      </c>
      <c r="P6056">
        <v>20190502</v>
      </c>
      <c r="Q6056" t="s">
        <v>2060</v>
      </c>
      <c r="R6056" t="s">
        <v>4833</v>
      </c>
      <c r="S6056" t="s">
        <v>1615</v>
      </c>
      <c r="T6056" t="s">
        <v>1713</v>
      </c>
    </row>
    <row r="6057" spans="1:20" x14ac:dyDescent="0.25">
      <c r="A6057">
        <v>9</v>
      </c>
      <c r="B6057">
        <v>199</v>
      </c>
      <c r="C6057" t="str">
        <f t="shared" si="1323"/>
        <v>51</v>
      </c>
      <c r="D6057">
        <v>6319</v>
      </c>
      <c r="E6057" t="str">
        <f t="shared" si="1324"/>
        <v>MC</v>
      </c>
      <c r="F6057" t="str">
        <f t="shared" si="1325"/>
        <v>936</v>
      </c>
      <c r="G6057">
        <v>9</v>
      </c>
      <c r="H6057" t="str">
        <f t="shared" si="1322"/>
        <v>99</v>
      </c>
      <c r="I6057" t="str">
        <f t="shared" si="1318"/>
        <v>0</v>
      </c>
      <c r="J6057" t="str">
        <f t="shared" si="1326"/>
        <v>81</v>
      </c>
      <c r="K6057">
        <v>20190503</v>
      </c>
      <c r="L6057" t="str">
        <f>"076691"</f>
        <v>076691</v>
      </c>
      <c r="M6057" t="str">
        <f>"49898"</f>
        <v>49898</v>
      </c>
      <c r="N6057" t="s">
        <v>2390</v>
      </c>
      <c r="O6057">
        <v>54.91</v>
      </c>
      <c r="P6057">
        <v>20190502</v>
      </c>
      <c r="Q6057" t="s">
        <v>2060</v>
      </c>
      <c r="R6057" t="s">
        <v>4834</v>
      </c>
      <c r="S6057" t="s">
        <v>1615</v>
      </c>
      <c r="T6057" t="s">
        <v>1713</v>
      </c>
    </row>
    <row r="6058" spans="1:20" x14ac:dyDescent="0.25">
      <c r="A6058">
        <v>9</v>
      </c>
      <c r="B6058">
        <v>199</v>
      </c>
      <c r="C6058" t="str">
        <f t="shared" si="1323"/>
        <v>51</v>
      </c>
      <c r="D6058">
        <v>6319</v>
      </c>
      <c r="E6058" t="str">
        <f t="shared" si="1324"/>
        <v>MC</v>
      </c>
      <c r="F6058" t="str">
        <f t="shared" si="1325"/>
        <v>936</v>
      </c>
      <c r="G6058">
        <v>9</v>
      </c>
      <c r="H6058" t="str">
        <f t="shared" si="1322"/>
        <v>99</v>
      </c>
      <c r="I6058" t="str">
        <f t="shared" si="1318"/>
        <v>0</v>
      </c>
      <c r="J6058" t="str">
        <f t="shared" si="1326"/>
        <v>81</v>
      </c>
      <c r="K6058">
        <v>20190503</v>
      </c>
      <c r="L6058" t="str">
        <f>"076691"</f>
        <v>076691</v>
      </c>
      <c r="M6058" t="str">
        <f>"49898"</f>
        <v>49898</v>
      </c>
      <c r="N6058" t="s">
        <v>2390</v>
      </c>
      <c r="O6058">
        <v>94.67</v>
      </c>
      <c r="P6058">
        <v>20190502</v>
      </c>
      <c r="Q6058" t="s">
        <v>2060</v>
      </c>
      <c r="R6058" t="s">
        <v>4835</v>
      </c>
      <c r="S6058" t="s">
        <v>1615</v>
      </c>
      <c r="T6058" t="s">
        <v>1713</v>
      </c>
    </row>
    <row r="6059" spans="1:20" x14ac:dyDescent="0.25">
      <c r="A6059">
        <v>9</v>
      </c>
      <c r="B6059">
        <v>199</v>
      </c>
      <c r="C6059" t="str">
        <f t="shared" si="1323"/>
        <v>51</v>
      </c>
      <c r="D6059">
        <v>6319</v>
      </c>
      <c r="E6059" t="str">
        <f t="shared" si="1324"/>
        <v>MC</v>
      </c>
      <c r="F6059" t="str">
        <f t="shared" si="1325"/>
        <v>936</v>
      </c>
      <c r="G6059">
        <v>9</v>
      </c>
      <c r="H6059" t="str">
        <f t="shared" si="1322"/>
        <v>99</v>
      </c>
      <c r="I6059" t="str">
        <f t="shared" si="1318"/>
        <v>0</v>
      </c>
      <c r="J6059" t="str">
        <f t="shared" si="1326"/>
        <v>81</v>
      </c>
      <c r="K6059">
        <v>20190503</v>
      </c>
      <c r="L6059" t="str">
        <f>"076691"</f>
        <v>076691</v>
      </c>
      <c r="M6059" t="str">
        <f>"49898"</f>
        <v>49898</v>
      </c>
      <c r="N6059" t="s">
        <v>2390</v>
      </c>
      <c r="O6059">
        <v>116.29</v>
      </c>
      <c r="P6059">
        <v>20190502</v>
      </c>
      <c r="Q6059" t="s">
        <v>2060</v>
      </c>
      <c r="R6059" t="s">
        <v>4836</v>
      </c>
      <c r="S6059" t="s">
        <v>1615</v>
      </c>
      <c r="T6059" t="s">
        <v>1713</v>
      </c>
    </row>
    <row r="6060" spans="1:20" x14ac:dyDescent="0.25">
      <c r="A6060">
        <v>9</v>
      </c>
      <c r="B6060">
        <v>199</v>
      </c>
      <c r="C6060" t="str">
        <f t="shared" si="1323"/>
        <v>51</v>
      </c>
      <c r="D6060">
        <v>6319</v>
      </c>
      <c r="E6060" t="str">
        <f t="shared" si="1324"/>
        <v>MC</v>
      </c>
      <c r="F6060" t="str">
        <f t="shared" si="1325"/>
        <v>936</v>
      </c>
      <c r="G6060">
        <v>9</v>
      </c>
      <c r="H6060" t="str">
        <f t="shared" si="1322"/>
        <v>99</v>
      </c>
      <c r="I6060" t="str">
        <f t="shared" si="1318"/>
        <v>0</v>
      </c>
      <c r="J6060" t="str">
        <f t="shared" si="1326"/>
        <v>81</v>
      </c>
      <c r="K6060">
        <v>20190503</v>
      </c>
      <c r="L6060" t="str">
        <f>"076691"</f>
        <v>076691</v>
      </c>
      <c r="M6060" t="str">
        <f>"49898"</f>
        <v>49898</v>
      </c>
      <c r="N6060" t="s">
        <v>2390</v>
      </c>
      <c r="O6060">
        <v>122.65</v>
      </c>
      <c r="P6060">
        <v>20190502</v>
      </c>
      <c r="Q6060" t="s">
        <v>2060</v>
      </c>
      <c r="R6060" t="s">
        <v>4837</v>
      </c>
      <c r="S6060" t="s">
        <v>1615</v>
      </c>
      <c r="T6060" t="s">
        <v>1713</v>
      </c>
    </row>
    <row r="6061" spans="1:20" x14ac:dyDescent="0.25">
      <c r="A6061">
        <v>9</v>
      </c>
      <c r="B6061">
        <v>199</v>
      </c>
      <c r="C6061" t="str">
        <f t="shared" si="1323"/>
        <v>51</v>
      </c>
      <c r="D6061">
        <v>6319</v>
      </c>
      <c r="E6061" t="str">
        <f t="shared" si="1324"/>
        <v>MC</v>
      </c>
      <c r="F6061" t="str">
        <f t="shared" si="1325"/>
        <v>936</v>
      </c>
      <c r="G6061">
        <v>9</v>
      </c>
      <c r="H6061" t="str">
        <f t="shared" si="1322"/>
        <v>99</v>
      </c>
      <c r="I6061" t="str">
        <f t="shared" si="1318"/>
        <v>0</v>
      </c>
      <c r="J6061" t="str">
        <f t="shared" si="1326"/>
        <v>81</v>
      </c>
      <c r="K6061">
        <v>20190503</v>
      </c>
      <c r="L6061" t="str">
        <f>"076691"</f>
        <v>076691</v>
      </c>
      <c r="M6061" t="str">
        <f>"49898"</f>
        <v>49898</v>
      </c>
      <c r="N6061" t="s">
        <v>2390</v>
      </c>
      <c r="O6061">
        <v>111.5</v>
      </c>
      <c r="P6061">
        <v>20190502</v>
      </c>
      <c r="Q6061" t="s">
        <v>2060</v>
      </c>
      <c r="R6061" t="s">
        <v>4837</v>
      </c>
      <c r="S6061" t="s">
        <v>1615</v>
      </c>
      <c r="T6061" t="s">
        <v>1713</v>
      </c>
    </row>
    <row r="6062" spans="1:20" x14ac:dyDescent="0.25">
      <c r="A6062">
        <v>9</v>
      </c>
      <c r="B6062">
        <v>199</v>
      </c>
      <c r="C6062" t="str">
        <f>"36"</f>
        <v>36</v>
      </c>
      <c r="D6062">
        <v>6412</v>
      </c>
      <c r="E6062" t="str">
        <f>"09"</f>
        <v>09</v>
      </c>
      <c r="F6062" t="str">
        <f>"001"</f>
        <v>001</v>
      </c>
      <c r="G6062">
        <v>9</v>
      </c>
      <c r="H6062" t="str">
        <f t="shared" si="1322"/>
        <v>99</v>
      </c>
      <c r="I6062" t="str">
        <f t="shared" si="1318"/>
        <v>0</v>
      </c>
      <c r="J6062" t="str">
        <f>"01"</f>
        <v>01</v>
      </c>
      <c r="K6062">
        <v>20190503</v>
      </c>
      <c r="L6062" t="str">
        <f>"076693"</f>
        <v>076693</v>
      </c>
      <c r="M6062" t="str">
        <f>"51519"</f>
        <v>51519</v>
      </c>
      <c r="N6062" t="s">
        <v>4838</v>
      </c>
      <c r="O6062">
        <v>44.2</v>
      </c>
      <c r="P6062">
        <v>20190502</v>
      </c>
      <c r="Q6062" t="s">
        <v>2427</v>
      </c>
      <c r="R6062" t="s">
        <v>4530</v>
      </c>
      <c r="S6062" t="s">
        <v>1615</v>
      </c>
      <c r="T6062" t="s">
        <v>301</v>
      </c>
    </row>
    <row r="6063" spans="1:20" x14ac:dyDescent="0.25">
      <c r="A6063">
        <v>9</v>
      </c>
      <c r="B6063">
        <v>199</v>
      </c>
      <c r="C6063" t="str">
        <f>"52"</f>
        <v>52</v>
      </c>
      <c r="D6063">
        <v>6219</v>
      </c>
      <c r="E6063" t="str">
        <f>"00"</f>
        <v>00</v>
      </c>
      <c r="F6063" t="str">
        <f>"101"</f>
        <v>101</v>
      </c>
      <c r="G6063">
        <v>9</v>
      </c>
      <c r="H6063" t="str">
        <f t="shared" si="1322"/>
        <v>99</v>
      </c>
      <c r="I6063" t="str">
        <f t="shared" si="1318"/>
        <v>0</v>
      </c>
      <c r="J6063" t="str">
        <f>"00"</f>
        <v>00</v>
      </c>
      <c r="K6063">
        <v>20190503</v>
      </c>
      <c r="L6063" t="str">
        <f>"076695"</f>
        <v>076695</v>
      </c>
      <c r="M6063" t="str">
        <f>"00755"</f>
        <v>00755</v>
      </c>
      <c r="N6063" t="s">
        <v>4268</v>
      </c>
      <c r="O6063">
        <v>300</v>
      </c>
      <c r="P6063">
        <v>20190502</v>
      </c>
      <c r="Q6063" t="s">
        <v>1854</v>
      </c>
      <c r="R6063" t="s">
        <v>4839</v>
      </c>
      <c r="S6063" t="s">
        <v>1615</v>
      </c>
      <c r="T6063" t="s">
        <v>1479</v>
      </c>
    </row>
    <row r="6064" spans="1:20" x14ac:dyDescent="0.25">
      <c r="A6064">
        <v>9</v>
      </c>
      <c r="B6064">
        <v>199</v>
      </c>
      <c r="C6064" t="str">
        <f>"51"</f>
        <v>51</v>
      </c>
      <c r="D6064">
        <v>6249</v>
      </c>
      <c r="E6064" t="str">
        <f>"M1"</f>
        <v>M1</v>
      </c>
      <c r="F6064" t="str">
        <f>"936"</f>
        <v>936</v>
      </c>
      <c r="G6064">
        <v>9</v>
      </c>
      <c r="H6064" t="str">
        <f t="shared" si="1322"/>
        <v>99</v>
      </c>
      <c r="I6064" t="str">
        <f t="shared" si="1318"/>
        <v>0</v>
      </c>
      <c r="J6064" t="str">
        <f>"81"</f>
        <v>81</v>
      </c>
      <c r="K6064">
        <v>20190503</v>
      </c>
      <c r="L6064" t="str">
        <f>"076700"</f>
        <v>076700</v>
      </c>
      <c r="M6064" t="str">
        <f>"00181"</f>
        <v>00181</v>
      </c>
      <c r="N6064" t="s">
        <v>1762</v>
      </c>
      <c r="O6064">
        <v>320</v>
      </c>
      <c r="P6064">
        <v>20190502</v>
      </c>
      <c r="Q6064" t="s">
        <v>1763</v>
      </c>
      <c r="R6064" s="2">
        <v>43586</v>
      </c>
      <c r="S6064" t="s">
        <v>1615</v>
      </c>
      <c r="T6064" t="s">
        <v>1713</v>
      </c>
    </row>
    <row r="6065" spans="1:20" x14ac:dyDescent="0.25">
      <c r="A6065">
        <v>9</v>
      </c>
      <c r="B6065">
        <v>199</v>
      </c>
      <c r="C6065" t="str">
        <f>"34"</f>
        <v>34</v>
      </c>
      <c r="D6065">
        <v>6311</v>
      </c>
      <c r="E6065" t="str">
        <f>"10"</f>
        <v>10</v>
      </c>
      <c r="F6065" t="str">
        <f>"937"</f>
        <v>937</v>
      </c>
      <c r="G6065">
        <v>9</v>
      </c>
      <c r="H6065" t="str">
        <f t="shared" si="1322"/>
        <v>99</v>
      </c>
      <c r="I6065" t="str">
        <f t="shared" si="1318"/>
        <v>0</v>
      </c>
      <c r="J6065" t="str">
        <f>"82"</f>
        <v>82</v>
      </c>
      <c r="K6065">
        <v>20190503</v>
      </c>
      <c r="L6065" t="str">
        <f>"076702"</f>
        <v>076702</v>
      </c>
      <c r="M6065" t="str">
        <f>"56255"</f>
        <v>56255</v>
      </c>
      <c r="N6065" t="s">
        <v>2399</v>
      </c>
      <c r="O6065" s="1">
        <v>15236.52</v>
      </c>
      <c r="P6065">
        <v>20190502</v>
      </c>
      <c r="Q6065" t="s">
        <v>1914</v>
      </c>
      <c r="R6065" t="s">
        <v>4840</v>
      </c>
      <c r="S6065" t="s">
        <v>1615</v>
      </c>
      <c r="T6065" t="s">
        <v>1810</v>
      </c>
    </row>
    <row r="6066" spans="1:20" x14ac:dyDescent="0.25">
      <c r="A6066">
        <v>9</v>
      </c>
      <c r="B6066">
        <v>199</v>
      </c>
      <c r="C6066" t="str">
        <f>"12"</f>
        <v>12</v>
      </c>
      <c r="D6066">
        <v>6328</v>
      </c>
      <c r="E6066" t="str">
        <f>"7U"</f>
        <v>7U</v>
      </c>
      <c r="F6066" t="str">
        <f t="shared" ref="F6066:F6071" si="1327">"001"</f>
        <v>001</v>
      </c>
      <c r="G6066">
        <v>9</v>
      </c>
      <c r="H6066" t="str">
        <f>"11"</f>
        <v>11</v>
      </c>
      <c r="I6066" t="str">
        <f t="shared" si="1318"/>
        <v>0</v>
      </c>
      <c r="J6066" t="str">
        <f>"01"</f>
        <v>01</v>
      </c>
      <c r="K6066">
        <v>20190503</v>
      </c>
      <c r="L6066" t="str">
        <f>"076703"</f>
        <v>076703</v>
      </c>
      <c r="M6066" t="str">
        <f>"00270"</f>
        <v>00270</v>
      </c>
      <c r="N6066" t="s">
        <v>4271</v>
      </c>
      <c r="O6066" s="1">
        <v>1000</v>
      </c>
      <c r="P6066">
        <v>20190502</v>
      </c>
      <c r="Q6066" t="s">
        <v>1894</v>
      </c>
      <c r="R6066" t="s">
        <v>1945</v>
      </c>
      <c r="S6066" t="s">
        <v>1615</v>
      </c>
      <c r="T6066" t="s">
        <v>301</v>
      </c>
    </row>
    <row r="6067" spans="1:20" x14ac:dyDescent="0.25">
      <c r="A6067">
        <v>9</v>
      </c>
      <c r="B6067">
        <v>199</v>
      </c>
      <c r="C6067" t="str">
        <f>"36"</f>
        <v>36</v>
      </c>
      <c r="D6067">
        <v>6299</v>
      </c>
      <c r="E6067" t="str">
        <f>"7E"</f>
        <v>7E</v>
      </c>
      <c r="F6067" t="str">
        <f t="shared" si="1327"/>
        <v>001</v>
      </c>
      <c r="G6067">
        <v>9</v>
      </c>
      <c r="H6067" t="str">
        <f>"99"</f>
        <v>99</v>
      </c>
      <c r="I6067" t="str">
        <f t="shared" si="1318"/>
        <v>0</v>
      </c>
      <c r="J6067" t="str">
        <f>"31"</f>
        <v>31</v>
      </c>
      <c r="K6067">
        <v>20190503</v>
      </c>
      <c r="L6067" t="str">
        <f>"076705"</f>
        <v>076705</v>
      </c>
      <c r="M6067" t="str">
        <f>"00655"</f>
        <v>00655</v>
      </c>
      <c r="N6067" t="s">
        <v>3442</v>
      </c>
      <c r="O6067">
        <v>320</v>
      </c>
      <c r="P6067">
        <v>20190502</v>
      </c>
      <c r="Q6067" t="s">
        <v>3883</v>
      </c>
      <c r="R6067" t="s">
        <v>4556</v>
      </c>
      <c r="S6067" t="s">
        <v>1615</v>
      </c>
      <c r="T6067" t="s">
        <v>301</v>
      </c>
    </row>
    <row r="6068" spans="1:20" x14ac:dyDescent="0.25">
      <c r="A6068">
        <v>9</v>
      </c>
      <c r="B6068">
        <v>199</v>
      </c>
      <c r="C6068" t="str">
        <f>"11"</f>
        <v>11</v>
      </c>
      <c r="D6068">
        <v>6399</v>
      </c>
      <c r="E6068" t="str">
        <f>"R1"</f>
        <v>R1</v>
      </c>
      <c r="F6068" t="str">
        <f t="shared" si="1327"/>
        <v>001</v>
      </c>
      <c r="G6068">
        <v>9</v>
      </c>
      <c r="H6068" t="str">
        <f>"11"</f>
        <v>11</v>
      </c>
      <c r="I6068" t="str">
        <f t="shared" si="1318"/>
        <v>0</v>
      </c>
      <c r="J6068" t="str">
        <f>"01"</f>
        <v>01</v>
      </c>
      <c r="K6068">
        <v>20190503</v>
      </c>
      <c r="L6068" t="str">
        <f>"076706"</f>
        <v>076706</v>
      </c>
      <c r="M6068" t="str">
        <f>"58204"</f>
        <v>58204</v>
      </c>
      <c r="N6068" t="s">
        <v>1767</v>
      </c>
      <c r="O6068">
        <v>80</v>
      </c>
      <c r="P6068">
        <v>20190502</v>
      </c>
      <c r="Q6068" t="s">
        <v>2441</v>
      </c>
      <c r="R6068" t="s">
        <v>4019</v>
      </c>
      <c r="S6068" t="s">
        <v>1615</v>
      </c>
      <c r="T6068" t="s">
        <v>301</v>
      </c>
    </row>
    <row r="6069" spans="1:20" x14ac:dyDescent="0.25">
      <c r="A6069">
        <v>9</v>
      </c>
      <c r="B6069">
        <v>199</v>
      </c>
      <c r="C6069" t="str">
        <f>"12"</f>
        <v>12</v>
      </c>
      <c r="D6069">
        <v>6329</v>
      </c>
      <c r="E6069" t="str">
        <f>"7U"</f>
        <v>7U</v>
      </c>
      <c r="F6069" t="str">
        <f t="shared" si="1327"/>
        <v>001</v>
      </c>
      <c r="G6069">
        <v>9</v>
      </c>
      <c r="H6069" t="str">
        <f>"11"</f>
        <v>11</v>
      </c>
      <c r="I6069" t="str">
        <f t="shared" si="1318"/>
        <v>0</v>
      </c>
      <c r="J6069" t="str">
        <f>"01"</f>
        <v>01</v>
      </c>
      <c r="K6069">
        <v>20190503</v>
      </c>
      <c r="L6069" t="str">
        <f>"076706"</f>
        <v>076706</v>
      </c>
      <c r="M6069" t="str">
        <f>"58204"</f>
        <v>58204</v>
      </c>
      <c r="N6069" t="s">
        <v>1767</v>
      </c>
      <c r="O6069">
        <v>96</v>
      </c>
      <c r="P6069">
        <v>20190502</v>
      </c>
      <c r="Q6069" t="s">
        <v>3553</v>
      </c>
      <c r="R6069" t="s">
        <v>4841</v>
      </c>
      <c r="S6069" t="s">
        <v>1615</v>
      </c>
      <c r="T6069" t="s">
        <v>301</v>
      </c>
    </row>
    <row r="6070" spans="1:20" x14ac:dyDescent="0.25">
      <c r="A6070">
        <v>9</v>
      </c>
      <c r="B6070">
        <v>199</v>
      </c>
      <c r="C6070" t="str">
        <f>"23"</f>
        <v>23</v>
      </c>
      <c r="D6070">
        <v>6411</v>
      </c>
      <c r="E6070" t="str">
        <f>"10"</f>
        <v>10</v>
      </c>
      <c r="F6070" t="str">
        <f t="shared" si="1327"/>
        <v>001</v>
      </c>
      <c r="G6070">
        <v>9</v>
      </c>
      <c r="H6070" t="str">
        <f>"99"</f>
        <v>99</v>
      </c>
      <c r="I6070" t="str">
        <f>"1"</f>
        <v>1</v>
      </c>
      <c r="J6070" t="str">
        <f>"01"</f>
        <v>01</v>
      </c>
      <c r="K6070">
        <v>20190503</v>
      </c>
      <c r="L6070" t="str">
        <f>"076706"</f>
        <v>076706</v>
      </c>
      <c r="M6070" t="str">
        <f>"58204"</f>
        <v>58204</v>
      </c>
      <c r="N6070" t="s">
        <v>1767</v>
      </c>
      <c r="O6070">
        <v>28</v>
      </c>
      <c r="P6070">
        <v>20190502</v>
      </c>
      <c r="Q6070" t="s">
        <v>2464</v>
      </c>
      <c r="R6070" t="s">
        <v>4672</v>
      </c>
      <c r="S6070" t="s">
        <v>1615</v>
      </c>
      <c r="T6070" t="s">
        <v>301</v>
      </c>
    </row>
    <row r="6071" spans="1:20" x14ac:dyDescent="0.25">
      <c r="A6071">
        <v>9</v>
      </c>
      <c r="B6071">
        <v>199</v>
      </c>
      <c r="C6071" t="str">
        <f>"23"</f>
        <v>23</v>
      </c>
      <c r="D6071">
        <v>6411</v>
      </c>
      <c r="E6071" t="str">
        <f>"10"</f>
        <v>10</v>
      </c>
      <c r="F6071" t="str">
        <f t="shared" si="1327"/>
        <v>001</v>
      </c>
      <c r="G6071">
        <v>9</v>
      </c>
      <c r="H6071" t="str">
        <f>"99"</f>
        <v>99</v>
      </c>
      <c r="I6071" t="str">
        <f>"1"</f>
        <v>1</v>
      </c>
      <c r="J6071" t="str">
        <f>"01"</f>
        <v>01</v>
      </c>
      <c r="K6071">
        <v>20190503</v>
      </c>
      <c r="L6071" t="str">
        <f>"076707"</f>
        <v>076707</v>
      </c>
      <c r="M6071" t="str">
        <f>"59018"</f>
        <v>59018</v>
      </c>
      <c r="N6071" t="s">
        <v>2526</v>
      </c>
      <c r="O6071">
        <v>37.01</v>
      </c>
      <c r="P6071">
        <v>20190502</v>
      </c>
      <c r="Q6071" t="s">
        <v>2464</v>
      </c>
      <c r="R6071" t="s">
        <v>4469</v>
      </c>
      <c r="S6071" t="s">
        <v>1615</v>
      </c>
      <c r="T6071" t="s">
        <v>301</v>
      </c>
    </row>
    <row r="6072" spans="1:20" x14ac:dyDescent="0.25">
      <c r="A6072">
        <v>9</v>
      </c>
      <c r="B6072">
        <v>199</v>
      </c>
      <c r="C6072" t="str">
        <f>"41"</f>
        <v>41</v>
      </c>
      <c r="D6072">
        <v>6399</v>
      </c>
      <c r="E6072" t="str">
        <f>"10"</f>
        <v>10</v>
      </c>
      <c r="F6072" t="str">
        <f>"726"</f>
        <v>726</v>
      </c>
      <c r="G6072">
        <v>9</v>
      </c>
      <c r="H6072" t="str">
        <f>"99"</f>
        <v>99</v>
      </c>
      <c r="I6072" t="str">
        <f t="shared" ref="I6072:I6103" si="1328">"0"</f>
        <v>0</v>
      </c>
      <c r="J6072" t="str">
        <f>"91"</f>
        <v>91</v>
      </c>
      <c r="K6072">
        <v>20190503</v>
      </c>
      <c r="L6072" t="str">
        <f>"076710"</f>
        <v>076710</v>
      </c>
      <c r="M6072" t="str">
        <f>"60179"</f>
        <v>60179</v>
      </c>
      <c r="N6072" t="s">
        <v>3908</v>
      </c>
      <c r="O6072">
        <v>339.65</v>
      </c>
      <c r="P6072">
        <v>20190502</v>
      </c>
      <c r="Q6072" t="s">
        <v>2702</v>
      </c>
      <c r="R6072" t="s">
        <v>4842</v>
      </c>
      <c r="S6072" t="s">
        <v>1615</v>
      </c>
      <c r="T6072" t="s">
        <v>2608</v>
      </c>
    </row>
    <row r="6073" spans="1:20" x14ac:dyDescent="0.25">
      <c r="A6073">
        <v>9</v>
      </c>
      <c r="B6073">
        <v>199</v>
      </c>
      <c r="C6073" t="str">
        <f>"11"</f>
        <v>11</v>
      </c>
      <c r="D6073">
        <v>6399</v>
      </c>
      <c r="E6073" t="str">
        <f>"45"</f>
        <v>45</v>
      </c>
      <c r="F6073" t="str">
        <f>"104"</f>
        <v>104</v>
      </c>
      <c r="G6073">
        <v>9</v>
      </c>
      <c r="H6073" t="str">
        <f>"11"</f>
        <v>11</v>
      </c>
      <c r="I6073" t="str">
        <f t="shared" si="1328"/>
        <v>0</v>
      </c>
      <c r="J6073" t="str">
        <f>"05"</f>
        <v>05</v>
      </c>
      <c r="K6073">
        <v>20190503</v>
      </c>
      <c r="L6073" t="str">
        <f>"076711"</f>
        <v>076711</v>
      </c>
      <c r="M6073" t="str">
        <f>"60603"</f>
        <v>60603</v>
      </c>
      <c r="N6073" t="s">
        <v>1909</v>
      </c>
      <c r="O6073">
        <v>412.79</v>
      </c>
      <c r="P6073">
        <v>20190502</v>
      </c>
      <c r="Q6073" t="s">
        <v>2069</v>
      </c>
      <c r="R6073" t="s">
        <v>3459</v>
      </c>
      <c r="S6073" t="s">
        <v>1615</v>
      </c>
      <c r="T6073" t="s">
        <v>46</v>
      </c>
    </row>
    <row r="6074" spans="1:20" x14ac:dyDescent="0.25">
      <c r="A6074">
        <v>9</v>
      </c>
      <c r="B6074">
        <v>199</v>
      </c>
      <c r="C6074" t="str">
        <f>"11"</f>
        <v>11</v>
      </c>
      <c r="D6074">
        <v>6399</v>
      </c>
      <c r="E6074" t="str">
        <f>"01"</f>
        <v>01</v>
      </c>
      <c r="F6074" t="str">
        <f>"101"</f>
        <v>101</v>
      </c>
      <c r="G6074">
        <v>9</v>
      </c>
      <c r="H6074" t="str">
        <f>"25"</f>
        <v>25</v>
      </c>
      <c r="I6074" t="str">
        <f t="shared" si="1328"/>
        <v>0</v>
      </c>
      <c r="J6074" t="str">
        <f>"25"</f>
        <v>25</v>
      </c>
      <c r="K6074">
        <v>20190503</v>
      </c>
      <c r="L6074" t="str">
        <f>"076712"</f>
        <v>076712</v>
      </c>
      <c r="M6074" t="str">
        <f>"61912"</f>
        <v>61912</v>
      </c>
      <c r="N6074" t="s">
        <v>2301</v>
      </c>
      <c r="O6074" s="1">
        <v>2849.89</v>
      </c>
      <c r="P6074">
        <v>20190502</v>
      </c>
      <c r="Q6074" t="s">
        <v>4843</v>
      </c>
      <c r="R6074" t="s">
        <v>4753</v>
      </c>
      <c r="S6074" t="s">
        <v>1615</v>
      </c>
      <c r="T6074" t="s">
        <v>1479</v>
      </c>
    </row>
    <row r="6075" spans="1:20" x14ac:dyDescent="0.25">
      <c r="A6075">
        <v>9</v>
      </c>
      <c r="B6075">
        <v>199</v>
      </c>
      <c r="C6075" t="str">
        <f>"51"</f>
        <v>51</v>
      </c>
      <c r="D6075">
        <v>6259</v>
      </c>
      <c r="E6075" t="str">
        <f>"10"</f>
        <v>10</v>
      </c>
      <c r="F6075" t="str">
        <f>"936"</f>
        <v>936</v>
      </c>
      <c r="G6075">
        <v>9</v>
      </c>
      <c r="H6075" t="str">
        <f>"99"</f>
        <v>99</v>
      </c>
      <c r="I6075" t="str">
        <f t="shared" si="1328"/>
        <v>0</v>
      </c>
      <c r="J6075" t="str">
        <f>"73"</f>
        <v>73</v>
      </c>
      <c r="K6075">
        <v>20190503</v>
      </c>
      <c r="L6075" t="str">
        <f>"076713"</f>
        <v>076713</v>
      </c>
      <c r="M6075" t="str">
        <f>"62340"</f>
        <v>62340</v>
      </c>
      <c r="N6075" t="s">
        <v>1787</v>
      </c>
      <c r="O6075" s="1">
        <v>5968.98</v>
      </c>
      <c r="P6075">
        <v>20190502</v>
      </c>
      <c r="Q6075" t="s">
        <v>1789</v>
      </c>
      <c r="R6075" t="s">
        <v>4333</v>
      </c>
      <c r="S6075" t="s">
        <v>1615</v>
      </c>
      <c r="T6075" t="s">
        <v>1713</v>
      </c>
    </row>
    <row r="6076" spans="1:20" x14ac:dyDescent="0.25">
      <c r="A6076">
        <v>9</v>
      </c>
      <c r="B6076">
        <v>199</v>
      </c>
      <c r="C6076" t="str">
        <f>"51"</f>
        <v>51</v>
      </c>
      <c r="D6076">
        <v>6259</v>
      </c>
      <c r="E6076" t="str">
        <f>"10"</f>
        <v>10</v>
      </c>
      <c r="F6076" t="str">
        <f>"936"</f>
        <v>936</v>
      </c>
      <c r="G6076">
        <v>9</v>
      </c>
      <c r="H6076" t="str">
        <f>"99"</f>
        <v>99</v>
      </c>
      <c r="I6076" t="str">
        <f t="shared" si="1328"/>
        <v>0</v>
      </c>
      <c r="J6076" t="str">
        <f>"73"</f>
        <v>73</v>
      </c>
      <c r="K6076">
        <v>20190503</v>
      </c>
      <c r="L6076" t="str">
        <f>"076713"</f>
        <v>076713</v>
      </c>
      <c r="M6076" t="str">
        <f>"62340"</f>
        <v>62340</v>
      </c>
      <c r="N6076" t="s">
        <v>1787</v>
      </c>
      <c r="O6076" s="1">
        <v>6007.44</v>
      </c>
      <c r="P6076">
        <v>20190502</v>
      </c>
      <c r="Q6076" t="s">
        <v>1789</v>
      </c>
      <c r="R6076" t="s">
        <v>4595</v>
      </c>
      <c r="S6076" t="s">
        <v>1615</v>
      </c>
      <c r="T6076" t="s">
        <v>1713</v>
      </c>
    </row>
    <row r="6077" spans="1:20" x14ac:dyDescent="0.25">
      <c r="A6077">
        <v>9</v>
      </c>
      <c r="B6077">
        <v>199</v>
      </c>
      <c r="C6077" t="str">
        <f>"51"</f>
        <v>51</v>
      </c>
      <c r="D6077">
        <v>6259</v>
      </c>
      <c r="E6077" t="str">
        <f>"10"</f>
        <v>10</v>
      </c>
      <c r="F6077" t="str">
        <f>"936"</f>
        <v>936</v>
      </c>
      <c r="G6077">
        <v>9</v>
      </c>
      <c r="H6077" t="str">
        <f>"99"</f>
        <v>99</v>
      </c>
      <c r="I6077" t="str">
        <f t="shared" si="1328"/>
        <v>0</v>
      </c>
      <c r="J6077" t="str">
        <f>"73"</f>
        <v>73</v>
      </c>
      <c r="K6077">
        <v>20190503</v>
      </c>
      <c r="L6077" t="str">
        <f>"076713"</f>
        <v>076713</v>
      </c>
      <c r="M6077" t="str">
        <f>"62340"</f>
        <v>62340</v>
      </c>
      <c r="N6077" t="s">
        <v>1787</v>
      </c>
      <c r="O6077" s="1">
        <v>2481.79</v>
      </c>
      <c r="P6077">
        <v>20190502</v>
      </c>
      <c r="Q6077" t="s">
        <v>1789</v>
      </c>
      <c r="R6077" t="s">
        <v>4844</v>
      </c>
      <c r="S6077" t="s">
        <v>1615</v>
      </c>
      <c r="T6077" t="s">
        <v>1713</v>
      </c>
    </row>
    <row r="6078" spans="1:20" x14ac:dyDescent="0.25">
      <c r="A6078">
        <v>9</v>
      </c>
      <c r="B6078">
        <v>199</v>
      </c>
      <c r="C6078" t="str">
        <f>"11"</f>
        <v>11</v>
      </c>
      <c r="D6078">
        <v>6299</v>
      </c>
      <c r="E6078" t="str">
        <f>"7E"</f>
        <v>7E</v>
      </c>
      <c r="F6078" t="str">
        <f>"041"</f>
        <v>041</v>
      </c>
      <c r="G6078">
        <v>9</v>
      </c>
      <c r="H6078" t="str">
        <f>"11"</f>
        <v>11</v>
      </c>
      <c r="I6078" t="str">
        <f t="shared" si="1328"/>
        <v>0</v>
      </c>
      <c r="J6078" t="str">
        <f>"35"</f>
        <v>35</v>
      </c>
      <c r="K6078">
        <v>20190503</v>
      </c>
      <c r="L6078" t="str">
        <f>"076714"</f>
        <v>076714</v>
      </c>
      <c r="M6078" t="str">
        <f>"00768"</f>
        <v>00768</v>
      </c>
      <c r="N6078" t="s">
        <v>4845</v>
      </c>
      <c r="O6078">
        <v>245</v>
      </c>
      <c r="P6078">
        <v>20190502</v>
      </c>
      <c r="Q6078" t="s">
        <v>2877</v>
      </c>
      <c r="R6078" t="s">
        <v>4846</v>
      </c>
      <c r="S6078" t="s">
        <v>1615</v>
      </c>
      <c r="T6078" t="s">
        <v>106</v>
      </c>
    </row>
    <row r="6079" spans="1:20" x14ac:dyDescent="0.25">
      <c r="A6079">
        <v>9</v>
      </c>
      <c r="B6079">
        <v>199</v>
      </c>
      <c r="C6079" t="str">
        <f>"51"</f>
        <v>51</v>
      </c>
      <c r="D6079">
        <v>6319</v>
      </c>
      <c r="E6079" t="str">
        <f>"M2"</f>
        <v>M2</v>
      </c>
      <c r="F6079" t="str">
        <f>"936"</f>
        <v>936</v>
      </c>
      <c r="G6079">
        <v>9</v>
      </c>
      <c r="H6079" t="str">
        <f>"99"</f>
        <v>99</v>
      </c>
      <c r="I6079" t="str">
        <f t="shared" si="1328"/>
        <v>0</v>
      </c>
      <c r="J6079" t="str">
        <f>"81"</f>
        <v>81</v>
      </c>
      <c r="K6079">
        <v>20190503</v>
      </c>
      <c r="L6079" t="str">
        <f>"076716"</f>
        <v>076716</v>
      </c>
      <c r="M6079" t="str">
        <f>"63608"</f>
        <v>63608</v>
      </c>
      <c r="N6079" t="s">
        <v>2122</v>
      </c>
      <c r="O6079">
        <v>176.08</v>
      </c>
      <c r="P6079">
        <v>20190502</v>
      </c>
      <c r="Q6079" t="s">
        <v>2074</v>
      </c>
      <c r="R6079" t="s">
        <v>4847</v>
      </c>
      <c r="S6079" t="s">
        <v>1615</v>
      </c>
      <c r="T6079" t="s">
        <v>1713</v>
      </c>
    </row>
    <row r="6080" spans="1:20" x14ac:dyDescent="0.25">
      <c r="A6080">
        <v>9</v>
      </c>
      <c r="B6080">
        <v>199</v>
      </c>
      <c r="C6080" t="str">
        <f>"36"</f>
        <v>36</v>
      </c>
      <c r="D6080">
        <v>6299</v>
      </c>
      <c r="E6080" t="str">
        <f>"7E"</f>
        <v>7E</v>
      </c>
      <c r="F6080" t="str">
        <f>"001"</f>
        <v>001</v>
      </c>
      <c r="G6080">
        <v>9</v>
      </c>
      <c r="H6080" t="str">
        <f>"99"</f>
        <v>99</v>
      </c>
      <c r="I6080" t="str">
        <f t="shared" si="1328"/>
        <v>0</v>
      </c>
      <c r="J6080" t="str">
        <f>"31"</f>
        <v>31</v>
      </c>
      <c r="K6080">
        <v>20190503</v>
      </c>
      <c r="L6080" t="str">
        <f>"076719"</f>
        <v>076719</v>
      </c>
      <c r="M6080" t="str">
        <f>"69035"</f>
        <v>69035</v>
      </c>
      <c r="N6080" t="s">
        <v>3462</v>
      </c>
      <c r="O6080">
        <v>20</v>
      </c>
      <c r="P6080">
        <v>20190502</v>
      </c>
      <c r="Q6080" t="s">
        <v>3883</v>
      </c>
      <c r="R6080" t="s">
        <v>4556</v>
      </c>
      <c r="S6080" t="s">
        <v>1615</v>
      </c>
      <c r="T6080" t="s">
        <v>301</v>
      </c>
    </row>
    <row r="6081" spans="1:20" x14ac:dyDescent="0.25">
      <c r="A6081">
        <v>9</v>
      </c>
      <c r="B6081">
        <v>199</v>
      </c>
      <c r="C6081" t="str">
        <f>"34"</f>
        <v>34</v>
      </c>
      <c r="D6081">
        <v>6249</v>
      </c>
      <c r="E6081" t="str">
        <f>"10"</f>
        <v>10</v>
      </c>
      <c r="F6081" t="str">
        <f>"937"</f>
        <v>937</v>
      </c>
      <c r="G6081">
        <v>9</v>
      </c>
      <c r="H6081" t="str">
        <f>"99"</f>
        <v>99</v>
      </c>
      <c r="I6081" t="str">
        <f t="shared" si="1328"/>
        <v>0</v>
      </c>
      <c r="J6081" t="str">
        <f>"82"</f>
        <v>82</v>
      </c>
      <c r="K6081">
        <v>20190503</v>
      </c>
      <c r="L6081" t="str">
        <f>"076720"</f>
        <v>076720</v>
      </c>
      <c r="M6081" t="str">
        <f>"71225"</f>
        <v>71225</v>
      </c>
      <c r="N6081" t="s">
        <v>1803</v>
      </c>
      <c r="O6081">
        <v>823.68</v>
      </c>
      <c r="P6081">
        <v>20190502</v>
      </c>
      <c r="Q6081" t="s">
        <v>2036</v>
      </c>
      <c r="R6081" t="s">
        <v>4848</v>
      </c>
      <c r="S6081" t="s">
        <v>1615</v>
      </c>
      <c r="T6081" t="s">
        <v>1810</v>
      </c>
    </row>
    <row r="6082" spans="1:20" x14ac:dyDescent="0.25">
      <c r="A6082">
        <v>9</v>
      </c>
      <c r="B6082">
        <v>199</v>
      </c>
      <c r="C6082" t="str">
        <f>"51"</f>
        <v>51</v>
      </c>
      <c r="D6082">
        <v>6249</v>
      </c>
      <c r="E6082" t="str">
        <f>"WF"</f>
        <v>WF</v>
      </c>
      <c r="F6082" t="str">
        <f>"936"</f>
        <v>936</v>
      </c>
      <c r="G6082">
        <v>9</v>
      </c>
      <c r="H6082" t="str">
        <f>"99"</f>
        <v>99</v>
      </c>
      <c r="I6082" t="str">
        <f t="shared" si="1328"/>
        <v>0</v>
      </c>
      <c r="J6082" t="str">
        <f>"82"</f>
        <v>82</v>
      </c>
      <c r="K6082">
        <v>20190503</v>
      </c>
      <c r="L6082" t="str">
        <f>"076720"</f>
        <v>076720</v>
      </c>
      <c r="M6082" t="str">
        <f>"71225"</f>
        <v>71225</v>
      </c>
      <c r="N6082" t="s">
        <v>1803</v>
      </c>
      <c r="O6082">
        <v>27.5</v>
      </c>
      <c r="P6082">
        <v>20190502</v>
      </c>
      <c r="Q6082" t="s">
        <v>2127</v>
      </c>
      <c r="R6082" t="s">
        <v>3465</v>
      </c>
      <c r="S6082" t="s">
        <v>1615</v>
      </c>
      <c r="T6082" t="s">
        <v>1713</v>
      </c>
    </row>
    <row r="6083" spans="1:20" x14ac:dyDescent="0.25">
      <c r="A6083">
        <v>9</v>
      </c>
      <c r="B6083">
        <v>199</v>
      </c>
      <c r="C6083" t="str">
        <f>"12"</f>
        <v>12</v>
      </c>
      <c r="D6083">
        <v>6411</v>
      </c>
      <c r="E6083" t="str">
        <f>"00"</f>
        <v>00</v>
      </c>
      <c r="F6083" t="str">
        <f>"001"</f>
        <v>001</v>
      </c>
      <c r="G6083">
        <v>9</v>
      </c>
      <c r="H6083" t="str">
        <f>"11"</f>
        <v>11</v>
      </c>
      <c r="I6083" t="str">
        <f t="shared" si="1328"/>
        <v>0</v>
      </c>
      <c r="J6083" t="str">
        <f>"94"</f>
        <v>94</v>
      </c>
      <c r="K6083">
        <v>20190503</v>
      </c>
      <c r="L6083" t="str">
        <f>"076725"</f>
        <v>076725</v>
      </c>
      <c r="M6083" t="str">
        <f>"82370"</f>
        <v>82370</v>
      </c>
      <c r="N6083" t="s">
        <v>3490</v>
      </c>
      <c r="O6083">
        <v>93.89</v>
      </c>
      <c r="P6083">
        <v>20190502</v>
      </c>
      <c r="Q6083" t="s">
        <v>3129</v>
      </c>
      <c r="R6083" t="s">
        <v>4034</v>
      </c>
      <c r="S6083" t="s">
        <v>1615</v>
      </c>
      <c r="T6083" t="s">
        <v>301</v>
      </c>
    </row>
    <row r="6084" spans="1:20" x14ac:dyDescent="0.25">
      <c r="A6084">
        <v>9</v>
      </c>
      <c r="B6084">
        <v>199</v>
      </c>
      <c r="C6084" t="str">
        <f>"11"</f>
        <v>11</v>
      </c>
      <c r="D6084">
        <v>6269</v>
      </c>
      <c r="E6084" t="str">
        <f>"V8"</f>
        <v>V8</v>
      </c>
      <c r="F6084" t="str">
        <f>"001"</f>
        <v>001</v>
      </c>
      <c r="G6084">
        <v>9</v>
      </c>
      <c r="H6084" t="str">
        <f>"22"</f>
        <v>22</v>
      </c>
      <c r="I6084" t="str">
        <f t="shared" si="1328"/>
        <v>0</v>
      </c>
      <c r="J6084" t="str">
        <f>"22"</f>
        <v>22</v>
      </c>
      <c r="K6084">
        <v>20190510</v>
      </c>
      <c r="L6084" t="str">
        <f>"076728"</f>
        <v>076728</v>
      </c>
      <c r="M6084" t="str">
        <f>"02230"</f>
        <v>02230</v>
      </c>
      <c r="N6084" t="s">
        <v>1673</v>
      </c>
      <c r="O6084">
        <v>85.82</v>
      </c>
      <c r="P6084">
        <v>20190508</v>
      </c>
      <c r="Q6084" t="s">
        <v>2154</v>
      </c>
      <c r="R6084" t="s">
        <v>4595</v>
      </c>
      <c r="S6084" t="s">
        <v>1615</v>
      </c>
      <c r="T6084" t="s">
        <v>301</v>
      </c>
    </row>
    <row r="6085" spans="1:20" x14ac:dyDescent="0.25">
      <c r="A6085">
        <v>9</v>
      </c>
      <c r="B6085">
        <v>199</v>
      </c>
      <c r="C6085" t="str">
        <f>"00"</f>
        <v>00</v>
      </c>
      <c r="D6085">
        <v>5749</v>
      </c>
      <c r="E6085" t="str">
        <f>"00"</f>
        <v>00</v>
      </c>
      <c r="F6085" t="str">
        <f>"000"</f>
        <v>000</v>
      </c>
      <c r="G6085">
        <v>9</v>
      </c>
      <c r="H6085" t="str">
        <f>"00"</f>
        <v>00</v>
      </c>
      <c r="I6085" t="str">
        <f t="shared" si="1328"/>
        <v>0</v>
      </c>
      <c r="J6085" t="str">
        <f>"00"</f>
        <v>00</v>
      </c>
      <c r="K6085">
        <v>20190510</v>
      </c>
      <c r="L6085" t="str">
        <f>"076730"</f>
        <v>076730</v>
      </c>
      <c r="M6085" t="str">
        <f>"00067"</f>
        <v>00067</v>
      </c>
      <c r="N6085" t="s">
        <v>4849</v>
      </c>
      <c r="O6085">
        <v>9.83</v>
      </c>
      <c r="P6085">
        <v>20190508</v>
      </c>
      <c r="Q6085" t="s">
        <v>4850</v>
      </c>
      <c r="R6085" t="s">
        <v>4851</v>
      </c>
      <c r="S6085" t="s">
        <v>1615</v>
      </c>
      <c r="T6085" t="s">
        <v>296</v>
      </c>
    </row>
    <row r="6086" spans="1:20" x14ac:dyDescent="0.25">
      <c r="A6086">
        <v>9</v>
      </c>
      <c r="B6086">
        <v>199</v>
      </c>
      <c r="C6086" t="str">
        <f t="shared" ref="C6086:C6113" si="1329">"11"</f>
        <v>11</v>
      </c>
      <c r="D6086">
        <v>6321</v>
      </c>
      <c r="E6086" t="str">
        <f>"10"</f>
        <v>10</v>
      </c>
      <c r="F6086" t="str">
        <f t="shared" ref="F6086:F6111" si="1330">"001"</f>
        <v>001</v>
      </c>
      <c r="G6086">
        <v>9</v>
      </c>
      <c r="H6086" t="str">
        <f t="shared" ref="H6086:H6095" si="1331">"11"</f>
        <v>11</v>
      </c>
      <c r="I6086" t="str">
        <f t="shared" si="1328"/>
        <v>0</v>
      </c>
      <c r="J6086" t="str">
        <f t="shared" ref="J6086:J6094" si="1332">"01"</f>
        <v>01</v>
      </c>
      <c r="K6086">
        <v>20190510</v>
      </c>
      <c r="L6086" t="str">
        <f t="shared" ref="L6086:L6116" si="1333">"076731"</f>
        <v>076731</v>
      </c>
      <c r="M6086" t="str">
        <f t="shared" ref="M6086:M6116" si="1334">"04410"</f>
        <v>04410</v>
      </c>
      <c r="N6086" t="s">
        <v>410</v>
      </c>
      <c r="O6086">
        <v>781.72</v>
      </c>
      <c r="P6086">
        <v>20190508</v>
      </c>
      <c r="Q6086" t="s">
        <v>1861</v>
      </c>
      <c r="R6086" t="s">
        <v>4852</v>
      </c>
      <c r="S6086" t="s">
        <v>1615</v>
      </c>
      <c r="T6086" t="s">
        <v>301</v>
      </c>
    </row>
    <row r="6087" spans="1:20" x14ac:dyDescent="0.25">
      <c r="A6087">
        <v>9</v>
      </c>
      <c r="B6087">
        <v>199</v>
      </c>
      <c r="C6087" t="str">
        <f t="shared" si="1329"/>
        <v>11</v>
      </c>
      <c r="D6087">
        <v>6339</v>
      </c>
      <c r="E6087" t="str">
        <f>"11"</f>
        <v>11</v>
      </c>
      <c r="F6087" t="str">
        <f t="shared" si="1330"/>
        <v>001</v>
      </c>
      <c r="G6087">
        <v>9</v>
      </c>
      <c r="H6087" t="str">
        <f t="shared" si="1331"/>
        <v>11</v>
      </c>
      <c r="I6087" t="str">
        <f t="shared" si="1328"/>
        <v>0</v>
      </c>
      <c r="J6087" t="str">
        <f t="shared" si="1332"/>
        <v>01</v>
      </c>
      <c r="K6087">
        <v>20190510</v>
      </c>
      <c r="L6087" t="str">
        <f t="shared" si="1333"/>
        <v>076731</v>
      </c>
      <c r="M6087" t="str">
        <f t="shared" si="1334"/>
        <v>04410</v>
      </c>
      <c r="N6087" t="s">
        <v>410</v>
      </c>
      <c r="O6087">
        <v>70.89</v>
      </c>
      <c r="P6087">
        <v>20190508</v>
      </c>
      <c r="Q6087" t="s">
        <v>3336</v>
      </c>
      <c r="R6087" t="s">
        <v>4853</v>
      </c>
      <c r="S6087" t="s">
        <v>1615</v>
      </c>
      <c r="T6087" t="s">
        <v>301</v>
      </c>
    </row>
    <row r="6088" spans="1:20" x14ac:dyDescent="0.25">
      <c r="A6088">
        <v>9</v>
      </c>
      <c r="B6088">
        <v>199</v>
      </c>
      <c r="C6088" t="str">
        <f t="shared" si="1329"/>
        <v>11</v>
      </c>
      <c r="D6088">
        <v>6339</v>
      </c>
      <c r="E6088" t="str">
        <f>"11"</f>
        <v>11</v>
      </c>
      <c r="F6088" t="str">
        <f t="shared" si="1330"/>
        <v>001</v>
      </c>
      <c r="G6088">
        <v>9</v>
      </c>
      <c r="H6088" t="str">
        <f t="shared" si="1331"/>
        <v>11</v>
      </c>
      <c r="I6088" t="str">
        <f t="shared" si="1328"/>
        <v>0</v>
      </c>
      <c r="J6088" t="str">
        <f t="shared" si="1332"/>
        <v>01</v>
      </c>
      <c r="K6088">
        <v>20190510</v>
      </c>
      <c r="L6088" t="str">
        <f t="shared" si="1333"/>
        <v>076731</v>
      </c>
      <c r="M6088" t="str">
        <f t="shared" si="1334"/>
        <v>04410</v>
      </c>
      <c r="N6088" t="s">
        <v>410</v>
      </c>
      <c r="O6088" s="1">
        <v>1091.57</v>
      </c>
      <c r="P6088">
        <v>20190508</v>
      </c>
      <c r="Q6088" t="s">
        <v>3336</v>
      </c>
      <c r="R6088" t="s">
        <v>4854</v>
      </c>
      <c r="S6088" t="s">
        <v>1615</v>
      </c>
      <c r="T6088" t="s">
        <v>301</v>
      </c>
    </row>
    <row r="6089" spans="1:20" x14ac:dyDescent="0.25">
      <c r="A6089">
        <v>9</v>
      </c>
      <c r="B6089">
        <v>199</v>
      </c>
      <c r="C6089" t="str">
        <f t="shared" si="1329"/>
        <v>11</v>
      </c>
      <c r="D6089">
        <v>6399</v>
      </c>
      <c r="E6089" t="str">
        <f>"10"</f>
        <v>10</v>
      </c>
      <c r="F6089" t="str">
        <f t="shared" si="1330"/>
        <v>001</v>
      </c>
      <c r="G6089">
        <v>9</v>
      </c>
      <c r="H6089" t="str">
        <f t="shared" si="1331"/>
        <v>11</v>
      </c>
      <c r="I6089" t="str">
        <f t="shared" si="1328"/>
        <v>0</v>
      </c>
      <c r="J6089" t="str">
        <f t="shared" si="1332"/>
        <v>01</v>
      </c>
      <c r="K6089">
        <v>20190510</v>
      </c>
      <c r="L6089" t="str">
        <f t="shared" si="1333"/>
        <v>076731</v>
      </c>
      <c r="M6089" t="str">
        <f t="shared" si="1334"/>
        <v>04410</v>
      </c>
      <c r="N6089" t="s">
        <v>410</v>
      </c>
      <c r="O6089">
        <v>275.83999999999997</v>
      </c>
      <c r="P6089">
        <v>20190508</v>
      </c>
      <c r="Q6089" t="s">
        <v>1675</v>
      </c>
      <c r="R6089" t="s">
        <v>4855</v>
      </c>
      <c r="S6089" t="s">
        <v>1615</v>
      </c>
      <c r="T6089" t="s">
        <v>301</v>
      </c>
    </row>
    <row r="6090" spans="1:20" x14ac:dyDescent="0.25">
      <c r="A6090">
        <v>9</v>
      </c>
      <c r="B6090">
        <v>199</v>
      </c>
      <c r="C6090" t="str">
        <f t="shared" si="1329"/>
        <v>11</v>
      </c>
      <c r="D6090">
        <v>6399</v>
      </c>
      <c r="E6090" t="str">
        <f>"10"</f>
        <v>10</v>
      </c>
      <c r="F6090" t="str">
        <f t="shared" si="1330"/>
        <v>001</v>
      </c>
      <c r="G6090">
        <v>9</v>
      </c>
      <c r="H6090" t="str">
        <f t="shared" si="1331"/>
        <v>11</v>
      </c>
      <c r="I6090" t="str">
        <f t="shared" si="1328"/>
        <v>0</v>
      </c>
      <c r="J6090" t="str">
        <f t="shared" si="1332"/>
        <v>01</v>
      </c>
      <c r="K6090">
        <v>20190510</v>
      </c>
      <c r="L6090" t="str">
        <f t="shared" si="1333"/>
        <v>076731</v>
      </c>
      <c r="M6090" t="str">
        <f t="shared" si="1334"/>
        <v>04410</v>
      </c>
      <c r="N6090" t="s">
        <v>410</v>
      </c>
      <c r="O6090">
        <v>203.97</v>
      </c>
      <c r="P6090">
        <v>20190508</v>
      </c>
      <c r="Q6090" t="s">
        <v>1675</v>
      </c>
      <c r="R6090" t="s">
        <v>4856</v>
      </c>
      <c r="S6090" t="s">
        <v>1615</v>
      </c>
      <c r="T6090" t="s">
        <v>301</v>
      </c>
    </row>
    <row r="6091" spans="1:20" x14ac:dyDescent="0.25">
      <c r="A6091">
        <v>9</v>
      </c>
      <c r="B6091">
        <v>199</v>
      </c>
      <c r="C6091" t="str">
        <f t="shared" si="1329"/>
        <v>11</v>
      </c>
      <c r="D6091">
        <v>6399</v>
      </c>
      <c r="E6091" t="str">
        <f>"10"</f>
        <v>10</v>
      </c>
      <c r="F6091" t="str">
        <f t="shared" si="1330"/>
        <v>001</v>
      </c>
      <c r="G6091">
        <v>9</v>
      </c>
      <c r="H6091" t="str">
        <f t="shared" si="1331"/>
        <v>11</v>
      </c>
      <c r="I6091" t="str">
        <f t="shared" si="1328"/>
        <v>0</v>
      </c>
      <c r="J6091" t="str">
        <f t="shared" si="1332"/>
        <v>01</v>
      </c>
      <c r="K6091">
        <v>20190510</v>
      </c>
      <c r="L6091" t="str">
        <f t="shared" si="1333"/>
        <v>076731</v>
      </c>
      <c r="M6091" t="str">
        <f t="shared" si="1334"/>
        <v>04410</v>
      </c>
      <c r="N6091" t="s">
        <v>410</v>
      </c>
      <c r="O6091">
        <v>61.1</v>
      </c>
      <c r="P6091">
        <v>20190508</v>
      </c>
      <c r="Q6091" t="s">
        <v>1675</v>
      </c>
      <c r="R6091" t="s">
        <v>4857</v>
      </c>
      <c r="S6091" t="s">
        <v>1615</v>
      </c>
      <c r="T6091" t="s">
        <v>301</v>
      </c>
    </row>
    <row r="6092" spans="1:20" x14ac:dyDescent="0.25">
      <c r="A6092">
        <v>9</v>
      </c>
      <c r="B6092">
        <v>199</v>
      </c>
      <c r="C6092" t="str">
        <f t="shared" si="1329"/>
        <v>11</v>
      </c>
      <c r="D6092">
        <v>6399</v>
      </c>
      <c r="E6092" t="str">
        <f>"10"</f>
        <v>10</v>
      </c>
      <c r="F6092" t="str">
        <f t="shared" si="1330"/>
        <v>001</v>
      </c>
      <c r="G6092">
        <v>9</v>
      </c>
      <c r="H6092" t="str">
        <f t="shared" si="1331"/>
        <v>11</v>
      </c>
      <c r="I6092" t="str">
        <f t="shared" si="1328"/>
        <v>0</v>
      </c>
      <c r="J6092" t="str">
        <f t="shared" si="1332"/>
        <v>01</v>
      </c>
      <c r="K6092">
        <v>20190510</v>
      </c>
      <c r="L6092" t="str">
        <f t="shared" si="1333"/>
        <v>076731</v>
      </c>
      <c r="M6092" t="str">
        <f t="shared" si="1334"/>
        <v>04410</v>
      </c>
      <c r="N6092" t="s">
        <v>410</v>
      </c>
      <c r="O6092">
        <v>158.49</v>
      </c>
      <c r="P6092">
        <v>20190508</v>
      </c>
      <c r="Q6092" t="s">
        <v>1675</v>
      </c>
      <c r="R6092" t="s">
        <v>2793</v>
      </c>
      <c r="S6092" t="s">
        <v>1615</v>
      </c>
      <c r="T6092" t="s">
        <v>301</v>
      </c>
    </row>
    <row r="6093" spans="1:20" x14ac:dyDescent="0.25">
      <c r="A6093">
        <v>9</v>
      </c>
      <c r="B6093">
        <v>199</v>
      </c>
      <c r="C6093" t="str">
        <f t="shared" si="1329"/>
        <v>11</v>
      </c>
      <c r="D6093">
        <v>6399</v>
      </c>
      <c r="E6093" t="str">
        <f>"72"</f>
        <v>72</v>
      </c>
      <c r="F6093" t="str">
        <f t="shared" si="1330"/>
        <v>001</v>
      </c>
      <c r="G6093">
        <v>9</v>
      </c>
      <c r="H6093" t="str">
        <f t="shared" si="1331"/>
        <v>11</v>
      </c>
      <c r="I6093" t="str">
        <f t="shared" si="1328"/>
        <v>0</v>
      </c>
      <c r="J6093" t="str">
        <f t="shared" si="1332"/>
        <v>01</v>
      </c>
      <c r="K6093">
        <v>20190510</v>
      </c>
      <c r="L6093" t="str">
        <f t="shared" si="1333"/>
        <v>076731</v>
      </c>
      <c r="M6093" t="str">
        <f t="shared" si="1334"/>
        <v>04410</v>
      </c>
      <c r="N6093" t="s">
        <v>410</v>
      </c>
      <c r="O6093" s="1">
        <v>1151.96</v>
      </c>
      <c r="P6093">
        <v>20190508</v>
      </c>
      <c r="Q6093" t="s">
        <v>3841</v>
      </c>
      <c r="R6093" t="s">
        <v>4760</v>
      </c>
      <c r="S6093" t="s">
        <v>1615</v>
      </c>
      <c r="T6093" t="s">
        <v>301</v>
      </c>
    </row>
    <row r="6094" spans="1:20" x14ac:dyDescent="0.25">
      <c r="A6094">
        <v>9</v>
      </c>
      <c r="B6094">
        <v>199</v>
      </c>
      <c r="C6094" t="str">
        <f t="shared" si="1329"/>
        <v>11</v>
      </c>
      <c r="D6094">
        <v>6399</v>
      </c>
      <c r="E6094" t="str">
        <f>"7K"</f>
        <v>7K</v>
      </c>
      <c r="F6094" t="str">
        <f t="shared" si="1330"/>
        <v>001</v>
      </c>
      <c r="G6094">
        <v>9</v>
      </c>
      <c r="H6094" t="str">
        <f t="shared" si="1331"/>
        <v>11</v>
      </c>
      <c r="I6094" t="str">
        <f t="shared" si="1328"/>
        <v>0</v>
      </c>
      <c r="J6094" t="str">
        <f t="shared" si="1332"/>
        <v>01</v>
      </c>
      <c r="K6094">
        <v>20190510</v>
      </c>
      <c r="L6094" t="str">
        <f t="shared" si="1333"/>
        <v>076731</v>
      </c>
      <c r="M6094" t="str">
        <f t="shared" si="1334"/>
        <v>04410</v>
      </c>
      <c r="N6094" t="s">
        <v>410</v>
      </c>
      <c r="O6094">
        <v>243.24</v>
      </c>
      <c r="P6094">
        <v>20190508</v>
      </c>
      <c r="Q6094" t="s">
        <v>1671</v>
      </c>
      <c r="R6094" t="s">
        <v>4858</v>
      </c>
      <c r="S6094" t="s">
        <v>1615</v>
      </c>
      <c r="T6094" t="s">
        <v>301</v>
      </c>
    </row>
    <row r="6095" spans="1:20" x14ac:dyDescent="0.25">
      <c r="A6095">
        <v>9</v>
      </c>
      <c r="B6095">
        <v>199</v>
      </c>
      <c r="C6095" t="str">
        <f t="shared" si="1329"/>
        <v>11</v>
      </c>
      <c r="D6095">
        <v>6399</v>
      </c>
      <c r="E6095" t="str">
        <f>"8M"</f>
        <v>8M</v>
      </c>
      <c r="F6095" t="str">
        <f t="shared" si="1330"/>
        <v>001</v>
      </c>
      <c r="G6095">
        <v>9</v>
      </c>
      <c r="H6095" t="str">
        <f t="shared" si="1331"/>
        <v>11</v>
      </c>
      <c r="I6095" t="str">
        <f t="shared" si="1328"/>
        <v>0</v>
      </c>
      <c r="J6095" t="str">
        <f>"33"</f>
        <v>33</v>
      </c>
      <c r="K6095">
        <v>20190510</v>
      </c>
      <c r="L6095" t="str">
        <f t="shared" si="1333"/>
        <v>076731</v>
      </c>
      <c r="M6095" t="str">
        <f t="shared" si="1334"/>
        <v>04410</v>
      </c>
      <c r="N6095" t="s">
        <v>410</v>
      </c>
      <c r="O6095">
        <v>713.2</v>
      </c>
      <c r="P6095">
        <v>20190508</v>
      </c>
      <c r="Q6095" t="s">
        <v>1928</v>
      </c>
      <c r="R6095" t="s">
        <v>4859</v>
      </c>
      <c r="S6095" t="s">
        <v>1615</v>
      </c>
      <c r="T6095" t="s">
        <v>301</v>
      </c>
    </row>
    <row r="6096" spans="1:20" x14ac:dyDescent="0.25">
      <c r="A6096">
        <v>9</v>
      </c>
      <c r="B6096">
        <v>199</v>
      </c>
      <c r="C6096" t="str">
        <f t="shared" si="1329"/>
        <v>11</v>
      </c>
      <c r="D6096">
        <v>6399</v>
      </c>
      <c r="E6096" t="str">
        <f>"AP"</f>
        <v>AP</v>
      </c>
      <c r="F6096" t="str">
        <f t="shared" si="1330"/>
        <v>001</v>
      </c>
      <c r="G6096">
        <v>9</v>
      </c>
      <c r="H6096" t="str">
        <f>"31"</f>
        <v>31</v>
      </c>
      <c r="I6096" t="str">
        <f t="shared" si="1328"/>
        <v>0</v>
      </c>
      <c r="J6096" t="str">
        <f>"34"</f>
        <v>34</v>
      </c>
      <c r="K6096">
        <v>20190510</v>
      </c>
      <c r="L6096" t="str">
        <f t="shared" si="1333"/>
        <v>076731</v>
      </c>
      <c r="M6096" t="str">
        <f t="shared" si="1334"/>
        <v>04410</v>
      </c>
      <c r="N6096" t="s">
        <v>410</v>
      </c>
      <c r="O6096">
        <v>124</v>
      </c>
      <c r="P6096">
        <v>20190508</v>
      </c>
      <c r="Q6096" t="s">
        <v>1677</v>
      </c>
      <c r="R6096" t="s">
        <v>4860</v>
      </c>
      <c r="S6096" t="s">
        <v>1615</v>
      </c>
      <c r="T6096" t="s">
        <v>301</v>
      </c>
    </row>
    <row r="6097" spans="1:20" x14ac:dyDescent="0.25">
      <c r="A6097">
        <v>9</v>
      </c>
      <c r="B6097">
        <v>199</v>
      </c>
      <c r="C6097" t="str">
        <f t="shared" si="1329"/>
        <v>11</v>
      </c>
      <c r="D6097">
        <v>6399</v>
      </c>
      <c r="E6097" t="str">
        <f>"AP"</f>
        <v>AP</v>
      </c>
      <c r="F6097" t="str">
        <f t="shared" si="1330"/>
        <v>001</v>
      </c>
      <c r="G6097">
        <v>9</v>
      </c>
      <c r="H6097" t="str">
        <f>"31"</f>
        <v>31</v>
      </c>
      <c r="I6097" t="str">
        <f t="shared" si="1328"/>
        <v>0</v>
      </c>
      <c r="J6097" t="str">
        <f>"34"</f>
        <v>34</v>
      </c>
      <c r="K6097">
        <v>20190510</v>
      </c>
      <c r="L6097" t="str">
        <f t="shared" si="1333"/>
        <v>076731</v>
      </c>
      <c r="M6097" t="str">
        <f t="shared" si="1334"/>
        <v>04410</v>
      </c>
      <c r="N6097" t="s">
        <v>410</v>
      </c>
      <c r="O6097">
        <v>160.91</v>
      </c>
      <c r="P6097">
        <v>20190508</v>
      </c>
      <c r="Q6097" t="s">
        <v>1677</v>
      </c>
      <c r="R6097" t="s">
        <v>4861</v>
      </c>
      <c r="S6097" t="s">
        <v>1615</v>
      </c>
      <c r="T6097" t="s">
        <v>301</v>
      </c>
    </row>
    <row r="6098" spans="1:20" x14ac:dyDescent="0.25">
      <c r="A6098">
        <v>9</v>
      </c>
      <c r="B6098">
        <v>199</v>
      </c>
      <c r="C6098" t="str">
        <f t="shared" si="1329"/>
        <v>11</v>
      </c>
      <c r="D6098">
        <v>6399</v>
      </c>
      <c r="E6098" t="str">
        <f>"DC"</f>
        <v>DC</v>
      </c>
      <c r="F6098" t="str">
        <f t="shared" si="1330"/>
        <v>001</v>
      </c>
      <c r="G6098">
        <v>9</v>
      </c>
      <c r="H6098" t="str">
        <f>"31"</f>
        <v>31</v>
      </c>
      <c r="I6098" t="str">
        <f t="shared" si="1328"/>
        <v>0</v>
      </c>
      <c r="J6098" t="str">
        <f>"34"</f>
        <v>34</v>
      </c>
      <c r="K6098">
        <v>20190510</v>
      </c>
      <c r="L6098" t="str">
        <f t="shared" si="1333"/>
        <v>076731</v>
      </c>
      <c r="M6098" t="str">
        <f t="shared" si="1334"/>
        <v>04410</v>
      </c>
      <c r="N6098" t="s">
        <v>410</v>
      </c>
      <c r="O6098">
        <v>160.91</v>
      </c>
      <c r="P6098">
        <v>20190508</v>
      </c>
      <c r="Q6098" t="s">
        <v>3857</v>
      </c>
      <c r="R6098" t="s">
        <v>4861</v>
      </c>
      <c r="S6098" t="s">
        <v>1615</v>
      </c>
      <c r="T6098" t="s">
        <v>301</v>
      </c>
    </row>
    <row r="6099" spans="1:20" x14ac:dyDescent="0.25">
      <c r="A6099">
        <v>9</v>
      </c>
      <c r="B6099">
        <v>199</v>
      </c>
      <c r="C6099" t="str">
        <f t="shared" si="1329"/>
        <v>11</v>
      </c>
      <c r="D6099">
        <v>6399</v>
      </c>
      <c r="E6099" t="str">
        <f>"DC"</f>
        <v>DC</v>
      </c>
      <c r="F6099" t="str">
        <f t="shared" si="1330"/>
        <v>001</v>
      </c>
      <c r="G6099">
        <v>9</v>
      </c>
      <c r="H6099" t="str">
        <f>"31"</f>
        <v>31</v>
      </c>
      <c r="I6099" t="str">
        <f t="shared" si="1328"/>
        <v>0</v>
      </c>
      <c r="J6099" t="str">
        <f>"34"</f>
        <v>34</v>
      </c>
      <c r="K6099">
        <v>20190510</v>
      </c>
      <c r="L6099" t="str">
        <f t="shared" si="1333"/>
        <v>076731</v>
      </c>
      <c r="M6099" t="str">
        <f t="shared" si="1334"/>
        <v>04410</v>
      </c>
      <c r="N6099" t="s">
        <v>410</v>
      </c>
      <c r="O6099">
        <v>160.91</v>
      </c>
      <c r="P6099">
        <v>20190508</v>
      </c>
      <c r="Q6099" t="s">
        <v>3857</v>
      </c>
      <c r="R6099" t="s">
        <v>4861</v>
      </c>
      <c r="S6099" t="s">
        <v>1615</v>
      </c>
      <c r="T6099" t="s">
        <v>301</v>
      </c>
    </row>
    <row r="6100" spans="1:20" x14ac:dyDescent="0.25">
      <c r="A6100">
        <v>9</v>
      </c>
      <c r="B6100">
        <v>199</v>
      </c>
      <c r="C6100" t="str">
        <f t="shared" si="1329"/>
        <v>11</v>
      </c>
      <c r="D6100">
        <v>6399</v>
      </c>
      <c r="E6100" t="str">
        <f>"H2"</f>
        <v>H2</v>
      </c>
      <c r="F6100" t="str">
        <f t="shared" si="1330"/>
        <v>001</v>
      </c>
      <c r="G6100">
        <v>9</v>
      </c>
      <c r="H6100" t="str">
        <f t="shared" ref="H6100:H6109" si="1335">"11"</f>
        <v>11</v>
      </c>
      <c r="I6100" t="str">
        <f t="shared" si="1328"/>
        <v>0</v>
      </c>
      <c r="J6100" t="str">
        <f>"37"</f>
        <v>37</v>
      </c>
      <c r="K6100">
        <v>20190510</v>
      </c>
      <c r="L6100" t="str">
        <f t="shared" si="1333"/>
        <v>076731</v>
      </c>
      <c r="M6100" t="str">
        <f t="shared" si="1334"/>
        <v>04410</v>
      </c>
      <c r="N6100" t="s">
        <v>410</v>
      </c>
      <c r="O6100">
        <v>3.1</v>
      </c>
      <c r="P6100">
        <v>20190508</v>
      </c>
      <c r="Q6100" t="s">
        <v>3510</v>
      </c>
      <c r="R6100" t="s">
        <v>4862</v>
      </c>
      <c r="S6100" t="s">
        <v>1615</v>
      </c>
      <c r="T6100" t="s">
        <v>301</v>
      </c>
    </row>
    <row r="6101" spans="1:20" x14ac:dyDescent="0.25">
      <c r="A6101">
        <v>9</v>
      </c>
      <c r="B6101">
        <v>199</v>
      </c>
      <c r="C6101" t="str">
        <f t="shared" si="1329"/>
        <v>11</v>
      </c>
      <c r="D6101">
        <v>6399</v>
      </c>
      <c r="E6101" t="str">
        <f>"H2"</f>
        <v>H2</v>
      </c>
      <c r="F6101" t="str">
        <f t="shared" si="1330"/>
        <v>001</v>
      </c>
      <c r="G6101">
        <v>9</v>
      </c>
      <c r="H6101" t="str">
        <f t="shared" si="1335"/>
        <v>11</v>
      </c>
      <c r="I6101" t="str">
        <f t="shared" si="1328"/>
        <v>0</v>
      </c>
      <c r="J6101" t="str">
        <f>"37"</f>
        <v>37</v>
      </c>
      <c r="K6101">
        <v>20190510</v>
      </c>
      <c r="L6101" t="str">
        <f t="shared" si="1333"/>
        <v>076731</v>
      </c>
      <c r="M6101" t="str">
        <f t="shared" si="1334"/>
        <v>04410</v>
      </c>
      <c r="N6101" t="s">
        <v>410</v>
      </c>
      <c r="O6101">
        <v>82.32</v>
      </c>
      <c r="P6101">
        <v>20190508</v>
      </c>
      <c r="Q6101" t="s">
        <v>3510</v>
      </c>
      <c r="R6101" t="s">
        <v>3340</v>
      </c>
      <c r="S6101" t="s">
        <v>1615</v>
      </c>
      <c r="T6101" t="s">
        <v>301</v>
      </c>
    </row>
    <row r="6102" spans="1:20" x14ac:dyDescent="0.25">
      <c r="A6102">
        <v>9</v>
      </c>
      <c r="B6102">
        <v>199</v>
      </c>
      <c r="C6102" t="str">
        <f t="shared" si="1329"/>
        <v>11</v>
      </c>
      <c r="D6102">
        <v>6399</v>
      </c>
      <c r="E6102" t="str">
        <f>"H4"</f>
        <v>H4</v>
      </c>
      <c r="F6102" t="str">
        <f t="shared" si="1330"/>
        <v>001</v>
      </c>
      <c r="G6102">
        <v>9</v>
      </c>
      <c r="H6102" t="str">
        <f t="shared" si="1335"/>
        <v>11</v>
      </c>
      <c r="I6102" t="str">
        <f t="shared" si="1328"/>
        <v>0</v>
      </c>
      <c r="J6102" t="str">
        <f t="shared" ref="J6102:J6109" si="1336">"01"</f>
        <v>01</v>
      </c>
      <c r="K6102">
        <v>20190510</v>
      </c>
      <c r="L6102" t="str">
        <f t="shared" si="1333"/>
        <v>076731</v>
      </c>
      <c r="M6102" t="str">
        <f t="shared" si="1334"/>
        <v>04410</v>
      </c>
      <c r="N6102" t="s">
        <v>410</v>
      </c>
      <c r="O6102">
        <v>596.99</v>
      </c>
      <c r="P6102">
        <v>20190508</v>
      </c>
      <c r="Q6102" t="s">
        <v>2856</v>
      </c>
      <c r="R6102" t="s">
        <v>4863</v>
      </c>
      <c r="S6102" t="s">
        <v>1615</v>
      </c>
      <c r="T6102" t="s">
        <v>301</v>
      </c>
    </row>
    <row r="6103" spans="1:20" x14ac:dyDescent="0.25">
      <c r="A6103">
        <v>9</v>
      </c>
      <c r="B6103">
        <v>199</v>
      </c>
      <c r="C6103" t="str">
        <f t="shared" si="1329"/>
        <v>11</v>
      </c>
      <c r="D6103">
        <v>6399</v>
      </c>
      <c r="E6103" t="str">
        <f>"N1"</f>
        <v>N1</v>
      </c>
      <c r="F6103" t="str">
        <f t="shared" si="1330"/>
        <v>001</v>
      </c>
      <c r="G6103">
        <v>9</v>
      </c>
      <c r="H6103" t="str">
        <f t="shared" si="1335"/>
        <v>11</v>
      </c>
      <c r="I6103" t="str">
        <f t="shared" si="1328"/>
        <v>0</v>
      </c>
      <c r="J6103" t="str">
        <f t="shared" si="1336"/>
        <v>01</v>
      </c>
      <c r="K6103">
        <v>20190510</v>
      </c>
      <c r="L6103" t="str">
        <f t="shared" si="1333"/>
        <v>076731</v>
      </c>
      <c r="M6103" t="str">
        <f t="shared" si="1334"/>
        <v>04410</v>
      </c>
      <c r="N6103" t="s">
        <v>410</v>
      </c>
      <c r="O6103">
        <v>680.7</v>
      </c>
      <c r="P6103">
        <v>20190508</v>
      </c>
      <c r="Q6103" t="s">
        <v>2637</v>
      </c>
      <c r="R6103" t="s">
        <v>4864</v>
      </c>
      <c r="S6103" t="s">
        <v>1615</v>
      </c>
      <c r="T6103" t="s">
        <v>301</v>
      </c>
    </row>
    <row r="6104" spans="1:20" x14ac:dyDescent="0.25">
      <c r="A6104">
        <v>9</v>
      </c>
      <c r="B6104">
        <v>199</v>
      </c>
      <c r="C6104" t="str">
        <f t="shared" si="1329"/>
        <v>11</v>
      </c>
      <c r="D6104">
        <v>6399</v>
      </c>
      <c r="E6104" t="str">
        <f>"N9"</f>
        <v>N9</v>
      </c>
      <c r="F6104" t="str">
        <f t="shared" si="1330"/>
        <v>001</v>
      </c>
      <c r="G6104">
        <v>9</v>
      </c>
      <c r="H6104" t="str">
        <f t="shared" si="1335"/>
        <v>11</v>
      </c>
      <c r="I6104" t="str">
        <f t="shared" ref="I6104:I6123" si="1337">"0"</f>
        <v>0</v>
      </c>
      <c r="J6104" t="str">
        <f t="shared" si="1336"/>
        <v>01</v>
      </c>
      <c r="K6104">
        <v>20190510</v>
      </c>
      <c r="L6104" t="str">
        <f t="shared" si="1333"/>
        <v>076731</v>
      </c>
      <c r="M6104" t="str">
        <f t="shared" si="1334"/>
        <v>04410</v>
      </c>
      <c r="N6104" t="s">
        <v>410</v>
      </c>
      <c r="O6104">
        <v>320.83999999999997</v>
      </c>
      <c r="P6104">
        <v>20190508</v>
      </c>
      <c r="Q6104" t="s">
        <v>2160</v>
      </c>
      <c r="R6104" t="s">
        <v>4855</v>
      </c>
      <c r="S6104" t="s">
        <v>1615</v>
      </c>
      <c r="T6104" t="s">
        <v>301</v>
      </c>
    </row>
    <row r="6105" spans="1:20" x14ac:dyDescent="0.25">
      <c r="A6105">
        <v>9</v>
      </c>
      <c r="B6105">
        <v>199</v>
      </c>
      <c r="C6105" t="str">
        <f t="shared" si="1329"/>
        <v>11</v>
      </c>
      <c r="D6105">
        <v>6399</v>
      </c>
      <c r="E6105" t="str">
        <f>"N9"</f>
        <v>N9</v>
      </c>
      <c r="F6105" t="str">
        <f t="shared" si="1330"/>
        <v>001</v>
      </c>
      <c r="G6105">
        <v>9</v>
      </c>
      <c r="H6105" t="str">
        <f t="shared" si="1335"/>
        <v>11</v>
      </c>
      <c r="I6105" t="str">
        <f t="shared" si="1337"/>
        <v>0</v>
      </c>
      <c r="J6105" t="str">
        <f t="shared" si="1336"/>
        <v>01</v>
      </c>
      <c r="K6105">
        <v>20190510</v>
      </c>
      <c r="L6105" t="str">
        <f t="shared" si="1333"/>
        <v>076731</v>
      </c>
      <c r="M6105" t="str">
        <f t="shared" si="1334"/>
        <v>04410</v>
      </c>
      <c r="N6105" t="s">
        <v>410</v>
      </c>
      <c r="O6105">
        <v>45</v>
      </c>
      <c r="P6105">
        <v>20190508</v>
      </c>
      <c r="Q6105" t="s">
        <v>2160</v>
      </c>
      <c r="R6105" t="s">
        <v>4855</v>
      </c>
      <c r="S6105" t="s">
        <v>1615</v>
      </c>
      <c r="T6105" t="s">
        <v>301</v>
      </c>
    </row>
    <row r="6106" spans="1:20" x14ac:dyDescent="0.25">
      <c r="A6106">
        <v>9</v>
      </c>
      <c r="B6106">
        <v>199</v>
      </c>
      <c r="C6106" t="str">
        <f t="shared" si="1329"/>
        <v>11</v>
      </c>
      <c r="D6106">
        <v>6399</v>
      </c>
      <c r="E6106" t="str">
        <f>"N9"</f>
        <v>N9</v>
      </c>
      <c r="F6106" t="str">
        <f t="shared" si="1330"/>
        <v>001</v>
      </c>
      <c r="G6106">
        <v>9</v>
      </c>
      <c r="H6106" t="str">
        <f t="shared" si="1335"/>
        <v>11</v>
      </c>
      <c r="I6106" t="str">
        <f t="shared" si="1337"/>
        <v>0</v>
      </c>
      <c r="J6106" t="str">
        <f t="shared" si="1336"/>
        <v>01</v>
      </c>
      <c r="K6106">
        <v>20190510</v>
      </c>
      <c r="L6106" t="str">
        <f t="shared" si="1333"/>
        <v>076731</v>
      </c>
      <c r="M6106" t="str">
        <f t="shared" si="1334"/>
        <v>04410</v>
      </c>
      <c r="N6106" t="s">
        <v>410</v>
      </c>
      <c r="O6106">
        <v>54.86</v>
      </c>
      <c r="P6106">
        <v>20190508</v>
      </c>
      <c r="Q6106" t="s">
        <v>2160</v>
      </c>
      <c r="R6106" t="s">
        <v>4865</v>
      </c>
      <c r="S6106" t="s">
        <v>1615</v>
      </c>
      <c r="T6106" t="s">
        <v>301</v>
      </c>
    </row>
    <row r="6107" spans="1:20" x14ac:dyDescent="0.25">
      <c r="A6107">
        <v>9</v>
      </c>
      <c r="B6107">
        <v>199</v>
      </c>
      <c r="C6107" t="str">
        <f t="shared" si="1329"/>
        <v>11</v>
      </c>
      <c r="D6107">
        <v>6399</v>
      </c>
      <c r="E6107" t="str">
        <f>"R1"</f>
        <v>R1</v>
      </c>
      <c r="F6107" t="str">
        <f t="shared" si="1330"/>
        <v>001</v>
      </c>
      <c r="G6107">
        <v>9</v>
      </c>
      <c r="H6107" t="str">
        <f t="shared" si="1335"/>
        <v>11</v>
      </c>
      <c r="I6107" t="str">
        <f t="shared" si="1337"/>
        <v>0</v>
      </c>
      <c r="J6107" t="str">
        <f t="shared" si="1336"/>
        <v>01</v>
      </c>
      <c r="K6107">
        <v>20190510</v>
      </c>
      <c r="L6107" t="str">
        <f t="shared" si="1333"/>
        <v>076731</v>
      </c>
      <c r="M6107" t="str">
        <f t="shared" si="1334"/>
        <v>04410</v>
      </c>
      <c r="N6107" t="s">
        <v>410</v>
      </c>
      <c r="O6107">
        <v>467.55</v>
      </c>
      <c r="P6107">
        <v>20190508</v>
      </c>
      <c r="Q6107" t="s">
        <v>2441</v>
      </c>
      <c r="R6107" t="s">
        <v>4861</v>
      </c>
      <c r="S6107" t="s">
        <v>1615</v>
      </c>
      <c r="T6107" t="s">
        <v>301</v>
      </c>
    </row>
    <row r="6108" spans="1:20" x14ac:dyDescent="0.25">
      <c r="A6108">
        <v>9</v>
      </c>
      <c r="B6108">
        <v>199</v>
      </c>
      <c r="C6108" t="str">
        <f t="shared" si="1329"/>
        <v>11</v>
      </c>
      <c r="D6108">
        <v>6399</v>
      </c>
      <c r="E6108" t="str">
        <f>"SE"</f>
        <v>SE</v>
      </c>
      <c r="F6108" t="str">
        <f t="shared" si="1330"/>
        <v>001</v>
      </c>
      <c r="G6108">
        <v>9</v>
      </c>
      <c r="H6108" t="str">
        <f t="shared" si="1335"/>
        <v>11</v>
      </c>
      <c r="I6108" t="str">
        <f t="shared" si="1337"/>
        <v>0</v>
      </c>
      <c r="J6108" t="str">
        <f t="shared" si="1336"/>
        <v>01</v>
      </c>
      <c r="K6108">
        <v>20190510</v>
      </c>
      <c r="L6108" t="str">
        <f t="shared" si="1333"/>
        <v>076731</v>
      </c>
      <c r="M6108" t="str">
        <f t="shared" si="1334"/>
        <v>04410</v>
      </c>
      <c r="N6108" t="s">
        <v>410</v>
      </c>
      <c r="O6108">
        <v>39.36</v>
      </c>
      <c r="P6108">
        <v>20190508</v>
      </c>
      <c r="Q6108" t="s">
        <v>3242</v>
      </c>
      <c r="R6108" t="s">
        <v>4866</v>
      </c>
      <c r="S6108" t="s">
        <v>1615</v>
      </c>
      <c r="T6108" t="s">
        <v>301</v>
      </c>
    </row>
    <row r="6109" spans="1:20" x14ac:dyDescent="0.25">
      <c r="A6109">
        <v>9</v>
      </c>
      <c r="B6109">
        <v>199</v>
      </c>
      <c r="C6109" t="str">
        <f t="shared" si="1329"/>
        <v>11</v>
      </c>
      <c r="D6109">
        <v>6399</v>
      </c>
      <c r="E6109" t="str">
        <f>"SR"</f>
        <v>SR</v>
      </c>
      <c r="F6109" t="str">
        <f t="shared" si="1330"/>
        <v>001</v>
      </c>
      <c r="G6109">
        <v>9</v>
      </c>
      <c r="H6109" t="str">
        <f t="shared" si="1335"/>
        <v>11</v>
      </c>
      <c r="I6109" t="str">
        <f t="shared" si="1337"/>
        <v>0</v>
      </c>
      <c r="J6109" t="str">
        <f t="shared" si="1336"/>
        <v>01</v>
      </c>
      <c r="K6109">
        <v>20190510</v>
      </c>
      <c r="L6109" t="str">
        <f t="shared" si="1333"/>
        <v>076731</v>
      </c>
      <c r="M6109" t="str">
        <f t="shared" si="1334"/>
        <v>04410</v>
      </c>
      <c r="N6109" t="s">
        <v>410</v>
      </c>
      <c r="O6109">
        <v>236.57</v>
      </c>
      <c r="P6109">
        <v>20190508</v>
      </c>
      <c r="Q6109" t="s">
        <v>2162</v>
      </c>
      <c r="R6109" t="s">
        <v>4857</v>
      </c>
      <c r="S6109" t="s">
        <v>1615</v>
      </c>
      <c r="T6109" t="s">
        <v>301</v>
      </c>
    </row>
    <row r="6110" spans="1:20" x14ac:dyDescent="0.25">
      <c r="A6110">
        <v>9</v>
      </c>
      <c r="B6110">
        <v>199</v>
      </c>
      <c r="C6110" t="str">
        <f t="shared" si="1329"/>
        <v>11</v>
      </c>
      <c r="D6110">
        <v>6399</v>
      </c>
      <c r="E6110" t="str">
        <f>"V8"</f>
        <v>V8</v>
      </c>
      <c r="F6110" t="str">
        <f t="shared" si="1330"/>
        <v>001</v>
      </c>
      <c r="G6110">
        <v>9</v>
      </c>
      <c r="H6110" t="str">
        <f>"22"</f>
        <v>22</v>
      </c>
      <c r="I6110" t="str">
        <f t="shared" si="1337"/>
        <v>0</v>
      </c>
      <c r="J6110" t="str">
        <f>"22"</f>
        <v>22</v>
      </c>
      <c r="K6110">
        <v>20190510</v>
      </c>
      <c r="L6110" t="str">
        <f t="shared" si="1333"/>
        <v>076731</v>
      </c>
      <c r="M6110" t="str">
        <f t="shared" si="1334"/>
        <v>04410</v>
      </c>
      <c r="N6110" t="s">
        <v>410</v>
      </c>
      <c r="O6110">
        <v>446.51</v>
      </c>
      <c r="P6110">
        <v>20190508</v>
      </c>
      <c r="Q6110" t="s">
        <v>2001</v>
      </c>
      <c r="R6110" t="s">
        <v>2646</v>
      </c>
      <c r="S6110" t="s">
        <v>1615</v>
      </c>
      <c r="T6110" t="s">
        <v>301</v>
      </c>
    </row>
    <row r="6111" spans="1:20" x14ac:dyDescent="0.25">
      <c r="A6111">
        <v>9</v>
      </c>
      <c r="B6111">
        <v>199</v>
      </c>
      <c r="C6111" t="str">
        <f t="shared" si="1329"/>
        <v>11</v>
      </c>
      <c r="D6111">
        <v>6399</v>
      </c>
      <c r="E6111" t="str">
        <f>"V8"</f>
        <v>V8</v>
      </c>
      <c r="F6111" t="str">
        <f t="shared" si="1330"/>
        <v>001</v>
      </c>
      <c r="G6111">
        <v>9</v>
      </c>
      <c r="H6111" t="str">
        <f>"22"</f>
        <v>22</v>
      </c>
      <c r="I6111" t="str">
        <f t="shared" si="1337"/>
        <v>0</v>
      </c>
      <c r="J6111" t="str">
        <f>"22"</f>
        <v>22</v>
      </c>
      <c r="K6111">
        <v>20190510</v>
      </c>
      <c r="L6111" t="str">
        <f t="shared" si="1333"/>
        <v>076731</v>
      </c>
      <c r="M6111" t="str">
        <f t="shared" si="1334"/>
        <v>04410</v>
      </c>
      <c r="N6111" t="s">
        <v>410</v>
      </c>
      <c r="O6111">
        <v>196.86</v>
      </c>
      <c r="P6111">
        <v>20190508</v>
      </c>
      <c r="Q6111" t="s">
        <v>2001</v>
      </c>
      <c r="R6111" t="s">
        <v>4867</v>
      </c>
      <c r="S6111" t="s">
        <v>1615</v>
      </c>
      <c r="T6111" t="s">
        <v>301</v>
      </c>
    </row>
    <row r="6112" spans="1:20" x14ac:dyDescent="0.25">
      <c r="A6112">
        <v>9</v>
      </c>
      <c r="B6112">
        <v>199</v>
      </c>
      <c r="C6112" t="str">
        <f t="shared" si="1329"/>
        <v>11</v>
      </c>
      <c r="D6112">
        <v>6399</v>
      </c>
      <c r="E6112" t="str">
        <f>"V8"</f>
        <v>V8</v>
      </c>
      <c r="F6112" t="str">
        <f>"041"</f>
        <v>041</v>
      </c>
      <c r="G6112">
        <v>9</v>
      </c>
      <c r="H6112" t="str">
        <f>"11"</f>
        <v>11</v>
      </c>
      <c r="I6112" t="str">
        <f t="shared" si="1337"/>
        <v>0</v>
      </c>
      <c r="J6112" t="str">
        <f>"03"</f>
        <v>03</v>
      </c>
      <c r="K6112">
        <v>20190510</v>
      </c>
      <c r="L6112" t="str">
        <f t="shared" si="1333"/>
        <v>076731</v>
      </c>
      <c r="M6112" t="str">
        <f t="shared" si="1334"/>
        <v>04410</v>
      </c>
      <c r="N6112" t="s">
        <v>410</v>
      </c>
      <c r="O6112">
        <v>299.97000000000003</v>
      </c>
      <c r="P6112">
        <v>20190508</v>
      </c>
      <c r="Q6112" t="s">
        <v>3721</v>
      </c>
      <c r="R6112" t="s">
        <v>4868</v>
      </c>
      <c r="S6112" t="s">
        <v>1615</v>
      </c>
      <c r="T6112" t="s">
        <v>106</v>
      </c>
    </row>
    <row r="6113" spans="1:20" x14ac:dyDescent="0.25">
      <c r="A6113">
        <v>9</v>
      </c>
      <c r="B6113">
        <v>199</v>
      </c>
      <c r="C6113" t="str">
        <f t="shared" si="1329"/>
        <v>11</v>
      </c>
      <c r="D6113">
        <v>6399</v>
      </c>
      <c r="E6113" t="str">
        <f>"VH"</f>
        <v>VH</v>
      </c>
      <c r="F6113" t="str">
        <f>"001"</f>
        <v>001</v>
      </c>
      <c r="G6113">
        <v>9</v>
      </c>
      <c r="H6113" t="str">
        <f>"22"</f>
        <v>22</v>
      </c>
      <c r="I6113" t="str">
        <f t="shared" si="1337"/>
        <v>0</v>
      </c>
      <c r="J6113" t="str">
        <f>"22"</f>
        <v>22</v>
      </c>
      <c r="K6113">
        <v>20190510</v>
      </c>
      <c r="L6113" t="str">
        <f t="shared" si="1333"/>
        <v>076731</v>
      </c>
      <c r="M6113" t="str">
        <f t="shared" si="1334"/>
        <v>04410</v>
      </c>
      <c r="N6113" t="s">
        <v>410</v>
      </c>
      <c r="O6113">
        <v>23.92</v>
      </c>
      <c r="P6113">
        <v>20190508</v>
      </c>
      <c r="Q6113" t="s">
        <v>2206</v>
      </c>
      <c r="R6113" t="s">
        <v>4869</v>
      </c>
      <c r="S6113" t="s">
        <v>1615</v>
      </c>
      <c r="T6113" t="s">
        <v>301</v>
      </c>
    </row>
    <row r="6114" spans="1:20" x14ac:dyDescent="0.25">
      <c r="A6114">
        <v>9</v>
      </c>
      <c r="B6114">
        <v>199</v>
      </c>
      <c r="C6114" t="str">
        <f>"36"</f>
        <v>36</v>
      </c>
      <c r="D6114">
        <v>6399</v>
      </c>
      <c r="E6114" t="str">
        <f>"09"</f>
        <v>09</v>
      </c>
      <c r="F6114" t="str">
        <f>"001"</f>
        <v>001</v>
      </c>
      <c r="G6114">
        <v>9</v>
      </c>
      <c r="H6114" t="str">
        <f>"99"</f>
        <v>99</v>
      </c>
      <c r="I6114" t="str">
        <f t="shared" si="1337"/>
        <v>0</v>
      </c>
      <c r="J6114" t="str">
        <f>"01"</f>
        <v>01</v>
      </c>
      <c r="K6114">
        <v>20190510</v>
      </c>
      <c r="L6114" t="str">
        <f t="shared" si="1333"/>
        <v>076731</v>
      </c>
      <c r="M6114" t="str">
        <f t="shared" si="1334"/>
        <v>04410</v>
      </c>
      <c r="N6114" t="s">
        <v>410</v>
      </c>
      <c r="O6114">
        <v>342.16</v>
      </c>
      <c r="P6114">
        <v>20190508</v>
      </c>
      <c r="Q6114" t="s">
        <v>2177</v>
      </c>
      <c r="R6114" t="s">
        <v>4519</v>
      </c>
      <c r="S6114" t="s">
        <v>1615</v>
      </c>
      <c r="T6114" t="s">
        <v>301</v>
      </c>
    </row>
    <row r="6115" spans="1:20" x14ac:dyDescent="0.25">
      <c r="A6115">
        <v>9</v>
      </c>
      <c r="B6115">
        <v>199</v>
      </c>
      <c r="C6115" t="str">
        <f>"36"</f>
        <v>36</v>
      </c>
      <c r="D6115">
        <v>6399</v>
      </c>
      <c r="E6115" t="str">
        <f>"09"</f>
        <v>09</v>
      </c>
      <c r="F6115" t="str">
        <f>"001"</f>
        <v>001</v>
      </c>
      <c r="G6115">
        <v>9</v>
      </c>
      <c r="H6115" t="str">
        <f>"99"</f>
        <v>99</v>
      </c>
      <c r="I6115" t="str">
        <f t="shared" si="1337"/>
        <v>0</v>
      </c>
      <c r="J6115" t="str">
        <f>"01"</f>
        <v>01</v>
      </c>
      <c r="K6115">
        <v>20190510</v>
      </c>
      <c r="L6115" t="str">
        <f t="shared" si="1333"/>
        <v>076731</v>
      </c>
      <c r="M6115" t="str">
        <f t="shared" si="1334"/>
        <v>04410</v>
      </c>
      <c r="N6115" t="s">
        <v>410</v>
      </c>
      <c r="O6115">
        <v>-71.150000000000006</v>
      </c>
      <c r="P6115">
        <v>20190503</v>
      </c>
      <c r="Q6115" t="s">
        <v>2177</v>
      </c>
      <c r="R6115" t="s">
        <v>4870</v>
      </c>
      <c r="S6115" t="s">
        <v>1615</v>
      </c>
      <c r="T6115" t="s">
        <v>301</v>
      </c>
    </row>
    <row r="6116" spans="1:20" x14ac:dyDescent="0.25">
      <c r="A6116">
        <v>9</v>
      </c>
      <c r="B6116">
        <v>199</v>
      </c>
      <c r="C6116" t="str">
        <f>"36"</f>
        <v>36</v>
      </c>
      <c r="D6116">
        <v>6399</v>
      </c>
      <c r="E6116" t="str">
        <f>"H1"</f>
        <v>H1</v>
      </c>
      <c r="F6116" t="str">
        <f>"001"</f>
        <v>001</v>
      </c>
      <c r="G6116">
        <v>9</v>
      </c>
      <c r="H6116" t="str">
        <f>"31"</f>
        <v>31</v>
      </c>
      <c r="I6116" t="str">
        <f t="shared" si="1337"/>
        <v>0</v>
      </c>
      <c r="J6116" t="str">
        <f>"34"</f>
        <v>34</v>
      </c>
      <c r="K6116">
        <v>20190510</v>
      </c>
      <c r="L6116" t="str">
        <f t="shared" si="1333"/>
        <v>076731</v>
      </c>
      <c r="M6116" t="str">
        <f t="shared" si="1334"/>
        <v>04410</v>
      </c>
      <c r="N6116" t="s">
        <v>410</v>
      </c>
      <c r="O6116">
        <v>209.17</v>
      </c>
      <c r="P6116">
        <v>20190508</v>
      </c>
      <c r="Q6116" t="s">
        <v>4871</v>
      </c>
      <c r="R6116" t="s">
        <v>4872</v>
      </c>
      <c r="S6116" t="s">
        <v>1615</v>
      </c>
      <c r="T6116" t="s">
        <v>301</v>
      </c>
    </row>
    <row r="6117" spans="1:20" x14ac:dyDescent="0.25">
      <c r="A6117">
        <v>9</v>
      </c>
      <c r="B6117">
        <v>199</v>
      </c>
      <c r="C6117" t="str">
        <f>"11"</f>
        <v>11</v>
      </c>
      <c r="D6117">
        <v>6399</v>
      </c>
      <c r="E6117" t="str">
        <f>"AP"</f>
        <v>AP</v>
      </c>
      <c r="F6117" t="str">
        <f>"001"</f>
        <v>001</v>
      </c>
      <c r="G6117">
        <v>9</v>
      </c>
      <c r="H6117" t="str">
        <f>"31"</f>
        <v>31</v>
      </c>
      <c r="I6117" t="str">
        <f t="shared" si="1337"/>
        <v>0</v>
      </c>
      <c r="J6117" t="str">
        <f>"34"</f>
        <v>34</v>
      </c>
      <c r="K6117">
        <v>20190510</v>
      </c>
      <c r="L6117" t="str">
        <f>"076732"</f>
        <v>076732</v>
      </c>
      <c r="M6117" t="str">
        <f>"06512"</f>
        <v>06512</v>
      </c>
      <c r="N6117" t="s">
        <v>2968</v>
      </c>
      <c r="O6117">
        <v>224</v>
      </c>
      <c r="P6117">
        <v>20190508</v>
      </c>
      <c r="Q6117" t="s">
        <v>1677</v>
      </c>
      <c r="R6117" t="s">
        <v>4873</v>
      </c>
      <c r="S6117" t="s">
        <v>1615</v>
      </c>
      <c r="T6117" t="s">
        <v>301</v>
      </c>
    </row>
    <row r="6118" spans="1:20" x14ac:dyDescent="0.25">
      <c r="A6118">
        <v>9</v>
      </c>
      <c r="B6118">
        <v>199</v>
      </c>
      <c r="C6118" t="str">
        <f>"51"</f>
        <v>51</v>
      </c>
      <c r="D6118">
        <v>6256</v>
      </c>
      <c r="E6118" t="str">
        <f>"11"</f>
        <v>11</v>
      </c>
      <c r="F6118" t="str">
        <f>"880"</f>
        <v>880</v>
      </c>
      <c r="G6118">
        <v>9</v>
      </c>
      <c r="H6118" t="str">
        <f>"99"</f>
        <v>99</v>
      </c>
      <c r="I6118" t="str">
        <f t="shared" si="1337"/>
        <v>0</v>
      </c>
      <c r="J6118" t="str">
        <f>"80"</f>
        <v>80</v>
      </c>
      <c r="K6118">
        <v>20190510</v>
      </c>
      <c r="L6118" t="str">
        <f>"076734"</f>
        <v>076734</v>
      </c>
      <c r="M6118" t="str">
        <f>"00392"</f>
        <v>00392</v>
      </c>
      <c r="N6118" t="s">
        <v>1869</v>
      </c>
      <c r="O6118">
        <v>46.36</v>
      </c>
      <c r="P6118">
        <v>20190508</v>
      </c>
      <c r="Q6118" t="s">
        <v>1871</v>
      </c>
      <c r="R6118" t="s">
        <v>4729</v>
      </c>
      <c r="S6118" t="s">
        <v>1615</v>
      </c>
      <c r="T6118" t="s">
        <v>1866</v>
      </c>
    </row>
    <row r="6119" spans="1:20" x14ac:dyDescent="0.25">
      <c r="A6119">
        <v>9</v>
      </c>
      <c r="B6119">
        <v>199</v>
      </c>
      <c r="C6119" t="str">
        <f>"51"</f>
        <v>51</v>
      </c>
      <c r="D6119">
        <v>6248</v>
      </c>
      <c r="E6119" t="str">
        <f>"M2"</f>
        <v>M2</v>
      </c>
      <c r="F6119" t="str">
        <f>"936"</f>
        <v>936</v>
      </c>
      <c r="G6119">
        <v>9</v>
      </c>
      <c r="H6119" t="str">
        <f>"99"</f>
        <v>99</v>
      </c>
      <c r="I6119" t="str">
        <f t="shared" si="1337"/>
        <v>0</v>
      </c>
      <c r="J6119" t="str">
        <f>"81"</f>
        <v>81</v>
      </c>
      <c r="K6119">
        <v>20190510</v>
      </c>
      <c r="L6119" t="str">
        <f>"076735"</f>
        <v>076735</v>
      </c>
      <c r="M6119" t="str">
        <f>"08133"</f>
        <v>08133</v>
      </c>
      <c r="N6119" t="s">
        <v>4208</v>
      </c>
      <c r="O6119" s="1">
        <v>2844.82</v>
      </c>
      <c r="P6119">
        <v>20190508</v>
      </c>
      <c r="Q6119" t="s">
        <v>4041</v>
      </c>
      <c r="R6119" t="s">
        <v>4874</v>
      </c>
      <c r="S6119" t="s">
        <v>1615</v>
      </c>
      <c r="T6119" t="s">
        <v>1713</v>
      </c>
    </row>
    <row r="6120" spans="1:20" x14ac:dyDescent="0.25">
      <c r="A6120">
        <v>9</v>
      </c>
      <c r="B6120">
        <v>199</v>
      </c>
      <c r="C6120" t="str">
        <f>"11"</f>
        <v>11</v>
      </c>
      <c r="D6120">
        <v>6399</v>
      </c>
      <c r="E6120" t="str">
        <f>"VA"</f>
        <v>VA</v>
      </c>
      <c r="F6120" t="str">
        <f>"001"</f>
        <v>001</v>
      </c>
      <c r="G6120">
        <v>9</v>
      </c>
      <c r="H6120" t="str">
        <f>"22"</f>
        <v>22</v>
      </c>
      <c r="I6120" t="str">
        <f t="shared" si="1337"/>
        <v>0</v>
      </c>
      <c r="J6120" t="str">
        <f>"22"</f>
        <v>22</v>
      </c>
      <c r="K6120">
        <v>20190510</v>
      </c>
      <c r="L6120" t="str">
        <f>"076736"</f>
        <v>076736</v>
      </c>
      <c r="M6120" t="str">
        <f>"08196"</f>
        <v>08196</v>
      </c>
      <c r="N6120" t="s">
        <v>2185</v>
      </c>
      <c r="O6120">
        <v>229.99</v>
      </c>
      <c r="P6120">
        <v>20190508</v>
      </c>
      <c r="Q6120" t="s">
        <v>2186</v>
      </c>
      <c r="R6120" t="s">
        <v>4875</v>
      </c>
      <c r="S6120" t="s">
        <v>1615</v>
      </c>
      <c r="T6120" t="s">
        <v>301</v>
      </c>
    </row>
    <row r="6121" spans="1:20" x14ac:dyDescent="0.25">
      <c r="A6121">
        <v>9</v>
      </c>
      <c r="B6121">
        <v>199</v>
      </c>
      <c r="C6121" t="str">
        <f>"34"</f>
        <v>34</v>
      </c>
      <c r="D6121">
        <v>6399</v>
      </c>
      <c r="E6121" t="str">
        <f>"11"</f>
        <v>11</v>
      </c>
      <c r="F6121" t="str">
        <f>"937"</f>
        <v>937</v>
      </c>
      <c r="G6121">
        <v>9</v>
      </c>
      <c r="H6121" t="str">
        <f>"99"</f>
        <v>99</v>
      </c>
      <c r="I6121" t="str">
        <f t="shared" si="1337"/>
        <v>0</v>
      </c>
      <c r="J6121" t="str">
        <f>"82"</f>
        <v>82</v>
      </c>
      <c r="K6121">
        <v>20190510</v>
      </c>
      <c r="L6121" t="str">
        <f>"076736"</f>
        <v>076736</v>
      </c>
      <c r="M6121" t="str">
        <f>"08196"</f>
        <v>08196</v>
      </c>
      <c r="N6121" t="s">
        <v>2185</v>
      </c>
      <c r="O6121">
        <v>89.46</v>
      </c>
      <c r="P6121">
        <v>20190508</v>
      </c>
      <c r="Q6121" t="s">
        <v>2210</v>
      </c>
      <c r="R6121" t="s">
        <v>2211</v>
      </c>
      <c r="S6121" t="s">
        <v>1615</v>
      </c>
      <c r="T6121" t="s">
        <v>1810</v>
      </c>
    </row>
    <row r="6122" spans="1:20" x14ac:dyDescent="0.25">
      <c r="A6122">
        <v>9</v>
      </c>
      <c r="B6122">
        <v>199</v>
      </c>
      <c r="C6122" t="str">
        <f>"11"</f>
        <v>11</v>
      </c>
      <c r="D6122">
        <v>6399</v>
      </c>
      <c r="E6122" t="str">
        <f>"10"</f>
        <v>10</v>
      </c>
      <c r="F6122" t="str">
        <f>"001"</f>
        <v>001</v>
      </c>
      <c r="G6122">
        <v>9</v>
      </c>
      <c r="H6122" t="str">
        <f>"11"</f>
        <v>11</v>
      </c>
      <c r="I6122" t="str">
        <f t="shared" si="1337"/>
        <v>0</v>
      </c>
      <c r="J6122" t="str">
        <f>"01"</f>
        <v>01</v>
      </c>
      <c r="K6122">
        <v>20190510</v>
      </c>
      <c r="L6122" t="str">
        <f>"076738"</f>
        <v>076738</v>
      </c>
      <c r="M6122" t="str">
        <f>"11210"</f>
        <v>11210</v>
      </c>
      <c r="N6122" t="s">
        <v>2465</v>
      </c>
      <c r="O6122">
        <v>4.0599999999999996</v>
      </c>
      <c r="P6122">
        <v>20190508</v>
      </c>
      <c r="Q6122" t="s">
        <v>1675</v>
      </c>
      <c r="R6122" t="s">
        <v>2466</v>
      </c>
      <c r="S6122" t="s">
        <v>1615</v>
      </c>
      <c r="T6122" t="s">
        <v>301</v>
      </c>
    </row>
    <row r="6123" spans="1:20" x14ac:dyDescent="0.25">
      <c r="A6123">
        <v>9</v>
      </c>
      <c r="B6123">
        <v>199</v>
      </c>
      <c r="C6123" t="str">
        <f>"11"</f>
        <v>11</v>
      </c>
      <c r="D6123">
        <v>6399</v>
      </c>
      <c r="E6123" t="str">
        <f>"7A"</f>
        <v>7A</v>
      </c>
      <c r="F6123" t="str">
        <f>"001"</f>
        <v>001</v>
      </c>
      <c r="G6123">
        <v>9</v>
      </c>
      <c r="H6123" t="str">
        <f>"11"</f>
        <v>11</v>
      </c>
      <c r="I6123" t="str">
        <f t="shared" si="1337"/>
        <v>0</v>
      </c>
      <c r="J6123" t="str">
        <f>"01"</f>
        <v>01</v>
      </c>
      <c r="K6123">
        <v>20190510</v>
      </c>
      <c r="L6123" t="str">
        <f>"076738"</f>
        <v>076738</v>
      </c>
      <c r="M6123" t="str">
        <f>"11210"</f>
        <v>11210</v>
      </c>
      <c r="N6123" t="s">
        <v>2465</v>
      </c>
      <c r="O6123">
        <v>158.33000000000001</v>
      </c>
      <c r="P6123">
        <v>20190508</v>
      </c>
      <c r="Q6123" t="s">
        <v>2157</v>
      </c>
      <c r="R6123" t="s">
        <v>2466</v>
      </c>
      <c r="S6123" t="s">
        <v>1615</v>
      </c>
      <c r="T6123" t="s">
        <v>301</v>
      </c>
    </row>
    <row r="6124" spans="1:20" x14ac:dyDescent="0.25">
      <c r="A6124">
        <v>9</v>
      </c>
      <c r="B6124">
        <v>199</v>
      </c>
      <c r="C6124" t="str">
        <f>"23"</f>
        <v>23</v>
      </c>
      <c r="D6124">
        <v>6411</v>
      </c>
      <c r="E6124" t="str">
        <f>"8K"</f>
        <v>8K</v>
      </c>
      <c r="F6124" t="str">
        <f>"104"</f>
        <v>104</v>
      </c>
      <c r="G6124">
        <v>9</v>
      </c>
      <c r="H6124" t="str">
        <f>"99"</f>
        <v>99</v>
      </c>
      <c r="I6124" t="str">
        <f>"1"</f>
        <v>1</v>
      </c>
      <c r="J6124" t="str">
        <f>"05"</f>
        <v>05</v>
      </c>
      <c r="K6124">
        <v>20190510</v>
      </c>
      <c r="L6124" t="str">
        <f>"076739"</f>
        <v>076739</v>
      </c>
      <c r="M6124" t="str">
        <f>"21158"</f>
        <v>21158</v>
      </c>
      <c r="N6124" t="s">
        <v>2719</v>
      </c>
      <c r="O6124">
        <v>57.4</v>
      </c>
      <c r="P6124">
        <v>20190508</v>
      </c>
      <c r="Q6124" t="s">
        <v>2720</v>
      </c>
      <c r="R6124" t="s">
        <v>4876</v>
      </c>
      <c r="S6124" t="s">
        <v>1615</v>
      </c>
      <c r="T6124" t="s">
        <v>46</v>
      </c>
    </row>
    <row r="6125" spans="1:20" x14ac:dyDescent="0.25">
      <c r="A6125">
        <v>9</v>
      </c>
      <c r="B6125">
        <v>199</v>
      </c>
      <c r="C6125" t="str">
        <f>"11"</f>
        <v>11</v>
      </c>
      <c r="D6125">
        <v>6649</v>
      </c>
      <c r="E6125" t="str">
        <f>"VH"</f>
        <v>VH</v>
      </c>
      <c r="F6125" t="str">
        <f>"001"</f>
        <v>001</v>
      </c>
      <c r="G6125">
        <v>9</v>
      </c>
      <c r="H6125" t="str">
        <f>"22"</f>
        <v>22</v>
      </c>
      <c r="I6125" t="str">
        <f>"0"</f>
        <v>0</v>
      </c>
      <c r="J6125" t="str">
        <f>"22"</f>
        <v>22</v>
      </c>
      <c r="K6125">
        <v>20190510</v>
      </c>
      <c r="L6125" t="str">
        <f>"076740"</f>
        <v>076740</v>
      </c>
      <c r="M6125" t="str">
        <f>"11774"</f>
        <v>11774</v>
      </c>
      <c r="N6125" t="s">
        <v>4877</v>
      </c>
      <c r="O6125" s="1">
        <v>1500</v>
      </c>
      <c r="P6125">
        <v>20190508</v>
      </c>
      <c r="Q6125" t="s">
        <v>4878</v>
      </c>
      <c r="R6125" t="s">
        <v>4879</v>
      </c>
      <c r="S6125" t="s">
        <v>1615</v>
      </c>
      <c r="T6125" t="s">
        <v>301</v>
      </c>
    </row>
    <row r="6126" spans="1:20" x14ac:dyDescent="0.25">
      <c r="A6126">
        <v>9</v>
      </c>
      <c r="B6126">
        <v>199</v>
      </c>
      <c r="C6126" t="str">
        <f>"41"</f>
        <v>41</v>
      </c>
      <c r="D6126">
        <v>6211</v>
      </c>
      <c r="E6126" t="str">
        <f>"01"</f>
        <v>01</v>
      </c>
      <c r="F6126" t="str">
        <f>"702"</f>
        <v>702</v>
      </c>
      <c r="G6126">
        <v>9</v>
      </c>
      <c r="H6126" t="str">
        <f>"99"</f>
        <v>99</v>
      </c>
      <c r="I6126" t="str">
        <f>"0"</f>
        <v>0</v>
      </c>
      <c r="J6126" t="str">
        <f>"93"</f>
        <v>93</v>
      </c>
      <c r="K6126">
        <v>20190510</v>
      </c>
      <c r="L6126" t="str">
        <f>"076741"</f>
        <v>076741</v>
      </c>
      <c r="M6126" t="str">
        <f>"13281"</f>
        <v>13281</v>
      </c>
      <c r="N6126" t="s">
        <v>1684</v>
      </c>
      <c r="O6126" s="1">
        <v>3208.33</v>
      </c>
      <c r="P6126">
        <v>20190508</v>
      </c>
      <c r="Q6126" t="s">
        <v>1685</v>
      </c>
      <c r="R6126" t="s">
        <v>4880</v>
      </c>
      <c r="S6126" t="s">
        <v>1615</v>
      </c>
      <c r="T6126" t="s">
        <v>1611</v>
      </c>
    </row>
    <row r="6127" spans="1:20" x14ac:dyDescent="0.25">
      <c r="A6127">
        <v>9</v>
      </c>
      <c r="B6127">
        <v>199</v>
      </c>
      <c r="C6127" t="str">
        <f>"00"</f>
        <v>00</v>
      </c>
      <c r="D6127">
        <v>5749</v>
      </c>
      <c r="E6127" t="str">
        <f>"00"</f>
        <v>00</v>
      </c>
      <c r="F6127" t="str">
        <f>"000"</f>
        <v>000</v>
      </c>
      <c r="G6127">
        <v>9</v>
      </c>
      <c r="H6127" t="str">
        <f>"00"</f>
        <v>00</v>
      </c>
      <c r="I6127" t="str">
        <f>"0"</f>
        <v>0</v>
      </c>
      <c r="J6127" t="str">
        <f>"00"</f>
        <v>00</v>
      </c>
      <c r="K6127">
        <v>20190510</v>
      </c>
      <c r="L6127" t="str">
        <f>"076743"</f>
        <v>076743</v>
      </c>
      <c r="M6127" t="str">
        <f>"19041"</f>
        <v>19041</v>
      </c>
      <c r="N6127" t="s">
        <v>4881</v>
      </c>
      <c r="O6127">
        <v>225</v>
      </c>
      <c r="P6127">
        <v>20190508</v>
      </c>
      <c r="Q6127" t="s">
        <v>4850</v>
      </c>
      <c r="R6127" t="s">
        <v>4882</v>
      </c>
      <c r="S6127" t="s">
        <v>1615</v>
      </c>
      <c r="T6127" t="s">
        <v>296</v>
      </c>
    </row>
    <row r="6128" spans="1:20" x14ac:dyDescent="0.25">
      <c r="A6128">
        <v>9</v>
      </c>
      <c r="B6128">
        <v>199</v>
      </c>
      <c r="C6128" t="str">
        <f>"00"</f>
        <v>00</v>
      </c>
      <c r="D6128">
        <v>5749</v>
      </c>
      <c r="E6128" t="str">
        <f>"00"</f>
        <v>00</v>
      </c>
      <c r="F6128" t="str">
        <f>"000"</f>
        <v>000</v>
      </c>
      <c r="G6128">
        <v>9</v>
      </c>
      <c r="H6128" t="str">
        <f>"00"</f>
        <v>00</v>
      </c>
      <c r="I6128" t="str">
        <f>"0"</f>
        <v>0</v>
      </c>
      <c r="J6128" t="str">
        <f>"00"</f>
        <v>00</v>
      </c>
      <c r="K6128">
        <v>20190510</v>
      </c>
      <c r="L6128" t="str">
        <f>"076744"</f>
        <v>076744</v>
      </c>
      <c r="M6128" t="str">
        <f>"19307"</f>
        <v>19307</v>
      </c>
      <c r="N6128" t="s">
        <v>4883</v>
      </c>
      <c r="O6128">
        <v>10.26</v>
      </c>
      <c r="P6128">
        <v>20190509</v>
      </c>
      <c r="Q6128" t="s">
        <v>4850</v>
      </c>
      <c r="R6128" t="s">
        <v>4884</v>
      </c>
      <c r="S6128" t="s">
        <v>1615</v>
      </c>
      <c r="T6128" t="s">
        <v>296</v>
      </c>
    </row>
    <row r="6129" spans="1:20" x14ac:dyDescent="0.25">
      <c r="A6129">
        <v>9</v>
      </c>
      <c r="B6129">
        <v>199</v>
      </c>
      <c r="C6129" t="str">
        <f>"34"</f>
        <v>34</v>
      </c>
      <c r="D6129">
        <v>6411</v>
      </c>
      <c r="E6129" t="str">
        <f>"10"</f>
        <v>10</v>
      </c>
      <c r="F6129" t="str">
        <f>"937"</f>
        <v>937</v>
      </c>
      <c r="G6129">
        <v>9</v>
      </c>
      <c r="H6129" t="str">
        <f>"99"</f>
        <v>99</v>
      </c>
      <c r="I6129" t="str">
        <f>"1"</f>
        <v>1</v>
      </c>
      <c r="J6129" t="str">
        <f>"82"</f>
        <v>82</v>
      </c>
      <c r="K6129">
        <v>20190510</v>
      </c>
      <c r="L6129" t="str">
        <f>"076745"</f>
        <v>076745</v>
      </c>
      <c r="M6129" t="str">
        <f>"19283"</f>
        <v>19283</v>
      </c>
      <c r="N6129" t="s">
        <v>3103</v>
      </c>
      <c r="O6129">
        <v>15.35</v>
      </c>
      <c r="P6129">
        <v>20190508</v>
      </c>
      <c r="Q6129" t="s">
        <v>4885</v>
      </c>
      <c r="R6129" t="s">
        <v>4672</v>
      </c>
      <c r="S6129" t="s">
        <v>1615</v>
      </c>
      <c r="T6129" t="s">
        <v>1810</v>
      </c>
    </row>
    <row r="6130" spans="1:20" x14ac:dyDescent="0.25">
      <c r="A6130">
        <v>9</v>
      </c>
      <c r="B6130">
        <v>199</v>
      </c>
      <c r="C6130" t="str">
        <f>"51"</f>
        <v>51</v>
      </c>
      <c r="D6130">
        <v>6254</v>
      </c>
      <c r="E6130" t="str">
        <f>"ME"</f>
        <v>ME</v>
      </c>
      <c r="F6130" t="str">
        <f>"936"</f>
        <v>936</v>
      </c>
      <c r="G6130">
        <v>9</v>
      </c>
      <c r="H6130" t="str">
        <f>"99"</f>
        <v>99</v>
      </c>
      <c r="I6130" t="str">
        <f>"1"</f>
        <v>1</v>
      </c>
      <c r="J6130" t="str">
        <f>"73"</f>
        <v>73</v>
      </c>
      <c r="K6130">
        <v>20190510</v>
      </c>
      <c r="L6130" t="str">
        <f>"076746"</f>
        <v>076746</v>
      </c>
      <c r="M6130" t="str">
        <f>"19310"</f>
        <v>19310</v>
      </c>
      <c r="N6130" t="s">
        <v>1689</v>
      </c>
      <c r="O6130" s="1">
        <v>2723.79</v>
      </c>
      <c r="P6130">
        <v>20190508</v>
      </c>
      <c r="Q6130" t="s">
        <v>1891</v>
      </c>
      <c r="R6130" t="s">
        <v>4886</v>
      </c>
      <c r="S6130" t="s">
        <v>1615</v>
      </c>
      <c r="T6130" t="s">
        <v>1713</v>
      </c>
    </row>
    <row r="6131" spans="1:20" x14ac:dyDescent="0.25">
      <c r="A6131">
        <v>9</v>
      </c>
      <c r="B6131">
        <v>199</v>
      </c>
      <c r="C6131" t="str">
        <f>"51"</f>
        <v>51</v>
      </c>
      <c r="D6131">
        <v>6254</v>
      </c>
      <c r="E6131" t="str">
        <f>"ME"</f>
        <v>ME</v>
      </c>
      <c r="F6131" t="str">
        <f>"936"</f>
        <v>936</v>
      </c>
      <c r="G6131">
        <v>9</v>
      </c>
      <c r="H6131" t="str">
        <f>"99"</f>
        <v>99</v>
      </c>
      <c r="I6131" t="str">
        <f>"1"</f>
        <v>1</v>
      </c>
      <c r="J6131" t="str">
        <f>"73"</f>
        <v>73</v>
      </c>
      <c r="K6131">
        <v>20190510</v>
      </c>
      <c r="L6131" t="str">
        <f>"076746"</f>
        <v>076746</v>
      </c>
      <c r="M6131" t="str">
        <f>"19310"</f>
        <v>19310</v>
      </c>
      <c r="N6131" t="s">
        <v>1689</v>
      </c>
      <c r="O6131">
        <v>318.5</v>
      </c>
      <c r="P6131">
        <v>20190508</v>
      </c>
      <c r="Q6131" t="s">
        <v>1891</v>
      </c>
      <c r="R6131" t="s">
        <v>4887</v>
      </c>
      <c r="S6131" t="s">
        <v>1615</v>
      </c>
      <c r="T6131" t="s">
        <v>1713</v>
      </c>
    </row>
    <row r="6132" spans="1:20" x14ac:dyDescent="0.25">
      <c r="A6132">
        <v>9</v>
      </c>
      <c r="B6132">
        <v>199</v>
      </c>
      <c r="C6132" t="str">
        <f>"11"</f>
        <v>11</v>
      </c>
      <c r="D6132">
        <v>6399</v>
      </c>
      <c r="E6132" t="str">
        <f>"45"</f>
        <v>45</v>
      </c>
      <c r="F6132" t="str">
        <f>"101"</f>
        <v>101</v>
      </c>
      <c r="G6132">
        <v>9</v>
      </c>
      <c r="H6132" t="str">
        <f>"11"</f>
        <v>11</v>
      </c>
      <c r="I6132" t="str">
        <f>"0"</f>
        <v>0</v>
      </c>
      <c r="J6132" t="str">
        <f>"04"</f>
        <v>04</v>
      </c>
      <c r="K6132">
        <v>20190510</v>
      </c>
      <c r="L6132" t="str">
        <f>"076747"</f>
        <v>076747</v>
      </c>
      <c r="M6132" t="str">
        <f>"14821"</f>
        <v>14821</v>
      </c>
      <c r="N6132" t="s">
        <v>1224</v>
      </c>
      <c r="O6132" s="1">
        <v>1566.5</v>
      </c>
      <c r="P6132">
        <v>20190508</v>
      </c>
      <c r="Q6132" t="s">
        <v>1859</v>
      </c>
      <c r="R6132" t="s">
        <v>1225</v>
      </c>
      <c r="S6132" t="s">
        <v>1615</v>
      </c>
      <c r="T6132" t="s">
        <v>1479</v>
      </c>
    </row>
    <row r="6133" spans="1:20" x14ac:dyDescent="0.25">
      <c r="A6133">
        <v>9</v>
      </c>
      <c r="B6133">
        <v>199</v>
      </c>
      <c r="C6133" t="str">
        <f>"34"</f>
        <v>34</v>
      </c>
      <c r="D6133">
        <v>6399</v>
      </c>
      <c r="E6133" t="str">
        <f>"11"</f>
        <v>11</v>
      </c>
      <c r="F6133" t="str">
        <f>"937"</f>
        <v>937</v>
      </c>
      <c r="G6133">
        <v>9</v>
      </c>
      <c r="H6133" t="str">
        <f>"99"</f>
        <v>99</v>
      </c>
      <c r="I6133" t="str">
        <f>"0"</f>
        <v>0</v>
      </c>
      <c r="J6133" t="str">
        <f>"82"</f>
        <v>82</v>
      </c>
      <c r="K6133">
        <v>20190510</v>
      </c>
      <c r="L6133" t="str">
        <f>"076748"</f>
        <v>076748</v>
      </c>
      <c r="M6133" t="str">
        <f>"19425"</f>
        <v>19425</v>
      </c>
      <c r="N6133" t="s">
        <v>2209</v>
      </c>
      <c r="O6133">
        <v>66.14</v>
      </c>
      <c r="P6133">
        <v>20190508</v>
      </c>
      <c r="Q6133" t="s">
        <v>2210</v>
      </c>
      <c r="R6133" t="s">
        <v>4888</v>
      </c>
      <c r="S6133" t="s">
        <v>1615</v>
      </c>
      <c r="T6133" t="s">
        <v>1810</v>
      </c>
    </row>
    <row r="6134" spans="1:20" x14ac:dyDescent="0.25">
      <c r="A6134">
        <v>9</v>
      </c>
      <c r="B6134">
        <v>199</v>
      </c>
      <c r="C6134" t="str">
        <f>"34"</f>
        <v>34</v>
      </c>
      <c r="D6134">
        <v>6399</v>
      </c>
      <c r="E6134" t="str">
        <f>"11"</f>
        <v>11</v>
      </c>
      <c r="F6134" t="str">
        <f>"937"</f>
        <v>937</v>
      </c>
      <c r="G6134">
        <v>9</v>
      </c>
      <c r="H6134" t="str">
        <f>"99"</f>
        <v>99</v>
      </c>
      <c r="I6134" t="str">
        <f>"0"</f>
        <v>0</v>
      </c>
      <c r="J6134" t="str">
        <f>"82"</f>
        <v>82</v>
      </c>
      <c r="K6134">
        <v>20190510</v>
      </c>
      <c r="L6134" t="str">
        <f>"076748"</f>
        <v>076748</v>
      </c>
      <c r="M6134" t="str">
        <f>"19425"</f>
        <v>19425</v>
      </c>
      <c r="N6134" t="s">
        <v>2209</v>
      </c>
      <c r="O6134">
        <v>39.17</v>
      </c>
      <c r="P6134">
        <v>20190508</v>
      </c>
      <c r="Q6134" t="s">
        <v>2210</v>
      </c>
      <c r="R6134" t="s">
        <v>4889</v>
      </c>
      <c r="S6134" t="s">
        <v>1615</v>
      </c>
      <c r="T6134" t="s">
        <v>1810</v>
      </c>
    </row>
    <row r="6135" spans="1:20" x14ac:dyDescent="0.25">
      <c r="A6135">
        <v>9</v>
      </c>
      <c r="B6135">
        <v>199</v>
      </c>
      <c r="C6135" t="str">
        <f>"34"</f>
        <v>34</v>
      </c>
      <c r="D6135">
        <v>6399</v>
      </c>
      <c r="E6135" t="str">
        <f>"11"</f>
        <v>11</v>
      </c>
      <c r="F6135" t="str">
        <f>"937"</f>
        <v>937</v>
      </c>
      <c r="G6135">
        <v>9</v>
      </c>
      <c r="H6135" t="str">
        <f>"99"</f>
        <v>99</v>
      </c>
      <c r="I6135" t="str">
        <f>"0"</f>
        <v>0</v>
      </c>
      <c r="J6135" t="str">
        <f>"82"</f>
        <v>82</v>
      </c>
      <c r="K6135">
        <v>20190510</v>
      </c>
      <c r="L6135" t="str">
        <f>"076748"</f>
        <v>076748</v>
      </c>
      <c r="M6135" t="str">
        <f>"19425"</f>
        <v>19425</v>
      </c>
      <c r="N6135" t="s">
        <v>2209</v>
      </c>
      <c r="O6135">
        <v>-18</v>
      </c>
      <c r="P6135">
        <v>20190424</v>
      </c>
      <c r="Q6135" t="s">
        <v>2210</v>
      </c>
      <c r="R6135" t="s">
        <v>4862</v>
      </c>
      <c r="S6135" t="s">
        <v>1615</v>
      </c>
      <c r="T6135" t="s">
        <v>1810</v>
      </c>
    </row>
    <row r="6136" spans="1:20" x14ac:dyDescent="0.25">
      <c r="A6136">
        <v>9</v>
      </c>
      <c r="B6136">
        <v>199</v>
      </c>
      <c r="C6136" t="str">
        <f>"00"</f>
        <v>00</v>
      </c>
      <c r="D6136">
        <v>5749</v>
      </c>
      <c r="E6136" t="str">
        <f>"00"</f>
        <v>00</v>
      </c>
      <c r="F6136" t="str">
        <f>"000"</f>
        <v>000</v>
      </c>
      <c r="G6136">
        <v>9</v>
      </c>
      <c r="H6136" t="str">
        <f>"00"</f>
        <v>00</v>
      </c>
      <c r="I6136" t="str">
        <f>"0"</f>
        <v>0</v>
      </c>
      <c r="J6136" t="str">
        <f>"00"</f>
        <v>00</v>
      </c>
      <c r="K6136">
        <v>20190510</v>
      </c>
      <c r="L6136" t="str">
        <f>"076749"</f>
        <v>076749</v>
      </c>
      <c r="M6136" t="str">
        <f>"20430"</f>
        <v>20430</v>
      </c>
      <c r="N6136" t="s">
        <v>2582</v>
      </c>
      <c r="O6136">
        <v>50.5</v>
      </c>
      <c r="P6136">
        <v>20190508</v>
      </c>
      <c r="Q6136" t="s">
        <v>4850</v>
      </c>
      <c r="R6136" t="s">
        <v>4890</v>
      </c>
      <c r="S6136" t="s">
        <v>1615</v>
      </c>
      <c r="T6136" t="s">
        <v>296</v>
      </c>
    </row>
    <row r="6137" spans="1:20" x14ac:dyDescent="0.25">
      <c r="A6137">
        <v>9</v>
      </c>
      <c r="B6137">
        <v>199</v>
      </c>
      <c r="C6137" t="str">
        <f>"34"</f>
        <v>34</v>
      </c>
      <c r="D6137">
        <v>6411</v>
      </c>
      <c r="E6137" t="str">
        <f>"11"</f>
        <v>11</v>
      </c>
      <c r="F6137" t="str">
        <f>"937"</f>
        <v>937</v>
      </c>
      <c r="G6137">
        <v>9</v>
      </c>
      <c r="H6137" t="str">
        <f t="shared" ref="H6137:H6155" si="1338">"99"</f>
        <v>99</v>
      </c>
      <c r="I6137" t="str">
        <f>"1"</f>
        <v>1</v>
      </c>
      <c r="J6137" t="str">
        <f>"82"</f>
        <v>82</v>
      </c>
      <c r="K6137">
        <v>20190510</v>
      </c>
      <c r="L6137" t="str">
        <f>"076754"</f>
        <v>076754</v>
      </c>
      <c r="M6137" t="str">
        <f>"00289"</f>
        <v>00289</v>
      </c>
      <c r="N6137" t="s">
        <v>3116</v>
      </c>
      <c r="O6137">
        <v>25.47</v>
      </c>
      <c r="P6137">
        <v>20190509</v>
      </c>
      <c r="Q6137" t="s">
        <v>2531</v>
      </c>
      <c r="R6137" t="s">
        <v>4469</v>
      </c>
      <c r="S6137" t="s">
        <v>1615</v>
      </c>
      <c r="T6137" t="s">
        <v>1810</v>
      </c>
    </row>
    <row r="6138" spans="1:20" x14ac:dyDescent="0.25">
      <c r="A6138">
        <v>9</v>
      </c>
      <c r="B6138">
        <v>199</v>
      </c>
      <c r="C6138" t="str">
        <f t="shared" ref="C6138:C6150" si="1339">"51"</f>
        <v>51</v>
      </c>
      <c r="D6138">
        <v>6255</v>
      </c>
      <c r="E6138" t="str">
        <f t="shared" ref="E6138:E6143" si="1340">"10"</f>
        <v>10</v>
      </c>
      <c r="F6138" t="str">
        <f>"002"</f>
        <v>002</v>
      </c>
      <c r="G6138">
        <v>9</v>
      </c>
      <c r="H6138" t="str">
        <f t="shared" si="1338"/>
        <v>99</v>
      </c>
      <c r="I6138" t="str">
        <f t="shared" ref="I6138:I6166" si="1341">"0"</f>
        <v>0</v>
      </c>
      <c r="J6138" t="str">
        <f t="shared" ref="J6138:J6150" si="1342">"73"</f>
        <v>73</v>
      </c>
      <c r="K6138">
        <v>20190510</v>
      </c>
      <c r="L6138" t="str">
        <f t="shared" ref="L6138:L6150" si="1343">"076755"</f>
        <v>076755</v>
      </c>
      <c r="M6138" t="str">
        <f t="shared" ref="M6138:M6150" si="1344">"20706"</f>
        <v>20706</v>
      </c>
      <c r="N6138" t="s">
        <v>2003</v>
      </c>
      <c r="O6138">
        <v>54.89</v>
      </c>
      <c r="P6138">
        <v>20190508</v>
      </c>
      <c r="Q6138" t="s">
        <v>2006</v>
      </c>
      <c r="R6138" t="s">
        <v>4891</v>
      </c>
      <c r="S6138" t="s">
        <v>1615</v>
      </c>
      <c r="T6138" t="s">
        <v>1485</v>
      </c>
    </row>
    <row r="6139" spans="1:20" x14ac:dyDescent="0.25">
      <c r="A6139">
        <v>9</v>
      </c>
      <c r="B6139">
        <v>199</v>
      </c>
      <c r="C6139" t="str">
        <f t="shared" si="1339"/>
        <v>51</v>
      </c>
      <c r="D6139">
        <v>6255</v>
      </c>
      <c r="E6139" t="str">
        <f t="shared" si="1340"/>
        <v>10</v>
      </c>
      <c r="F6139" t="str">
        <f>"041"</f>
        <v>041</v>
      </c>
      <c r="G6139">
        <v>9</v>
      </c>
      <c r="H6139" t="str">
        <f t="shared" si="1338"/>
        <v>99</v>
      </c>
      <c r="I6139" t="str">
        <f t="shared" si="1341"/>
        <v>0</v>
      </c>
      <c r="J6139" t="str">
        <f t="shared" si="1342"/>
        <v>73</v>
      </c>
      <c r="K6139">
        <v>20190510</v>
      </c>
      <c r="L6139" t="str">
        <f t="shared" si="1343"/>
        <v>076755</v>
      </c>
      <c r="M6139" t="str">
        <f t="shared" si="1344"/>
        <v>20706</v>
      </c>
      <c r="N6139" t="s">
        <v>2003</v>
      </c>
      <c r="O6139">
        <v>874.65</v>
      </c>
      <c r="P6139">
        <v>20190508</v>
      </c>
      <c r="Q6139" t="s">
        <v>2008</v>
      </c>
      <c r="R6139" t="s">
        <v>4892</v>
      </c>
      <c r="S6139" t="s">
        <v>1615</v>
      </c>
      <c r="T6139" t="s">
        <v>106</v>
      </c>
    </row>
    <row r="6140" spans="1:20" x14ac:dyDescent="0.25">
      <c r="A6140">
        <v>9</v>
      </c>
      <c r="B6140">
        <v>199</v>
      </c>
      <c r="C6140" t="str">
        <f t="shared" si="1339"/>
        <v>51</v>
      </c>
      <c r="D6140">
        <v>6255</v>
      </c>
      <c r="E6140" t="str">
        <f t="shared" si="1340"/>
        <v>10</v>
      </c>
      <c r="F6140" t="str">
        <f>"101"</f>
        <v>101</v>
      </c>
      <c r="G6140">
        <v>9</v>
      </c>
      <c r="H6140" t="str">
        <f t="shared" si="1338"/>
        <v>99</v>
      </c>
      <c r="I6140" t="str">
        <f t="shared" si="1341"/>
        <v>0</v>
      </c>
      <c r="J6140" t="str">
        <f t="shared" si="1342"/>
        <v>73</v>
      </c>
      <c r="K6140">
        <v>20190510</v>
      </c>
      <c r="L6140" t="str">
        <f t="shared" si="1343"/>
        <v>076755</v>
      </c>
      <c r="M6140" t="str">
        <f t="shared" si="1344"/>
        <v>20706</v>
      </c>
      <c r="N6140" t="s">
        <v>2003</v>
      </c>
      <c r="O6140" s="1">
        <v>2282.2600000000002</v>
      </c>
      <c r="P6140">
        <v>20190508</v>
      </c>
      <c r="Q6140" t="s">
        <v>2010</v>
      </c>
      <c r="R6140" t="s">
        <v>4893</v>
      </c>
      <c r="S6140" t="s">
        <v>1615</v>
      </c>
      <c r="T6140" t="s">
        <v>1479</v>
      </c>
    </row>
    <row r="6141" spans="1:20" x14ac:dyDescent="0.25">
      <c r="A6141">
        <v>9</v>
      </c>
      <c r="B6141">
        <v>199</v>
      </c>
      <c r="C6141" t="str">
        <f t="shared" si="1339"/>
        <v>51</v>
      </c>
      <c r="D6141">
        <v>6255</v>
      </c>
      <c r="E6141" t="str">
        <f t="shared" si="1340"/>
        <v>10</v>
      </c>
      <c r="F6141" t="str">
        <f>"104"</f>
        <v>104</v>
      </c>
      <c r="G6141">
        <v>9</v>
      </c>
      <c r="H6141" t="str">
        <f t="shared" si="1338"/>
        <v>99</v>
      </c>
      <c r="I6141" t="str">
        <f t="shared" si="1341"/>
        <v>0</v>
      </c>
      <c r="J6141" t="str">
        <f t="shared" si="1342"/>
        <v>73</v>
      </c>
      <c r="K6141">
        <v>20190510</v>
      </c>
      <c r="L6141" t="str">
        <f t="shared" si="1343"/>
        <v>076755</v>
      </c>
      <c r="M6141" t="str">
        <f t="shared" si="1344"/>
        <v>20706</v>
      </c>
      <c r="N6141" t="s">
        <v>2003</v>
      </c>
      <c r="O6141" s="1">
        <v>1583.43</v>
      </c>
      <c r="P6141">
        <v>20190508</v>
      </c>
      <c r="Q6141" t="s">
        <v>2012</v>
      </c>
      <c r="R6141" t="s">
        <v>4894</v>
      </c>
      <c r="S6141" t="s">
        <v>1615</v>
      </c>
      <c r="T6141" t="s">
        <v>46</v>
      </c>
    </row>
    <row r="6142" spans="1:20" x14ac:dyDescent="0.25">
      <c r="A6142">
        <v>9</v>
      </c>
      <c r="B6142">
        <v>199</v>
      </c>
      <c r="C6142" t="str">
        <f t="shared" si="1339"/>
        <v>51</v>
      </c>
      <c r="D6142">
        <v>6255</v>
      </c>
      <c r="E6142" t="str">
        <f t="shared" si="1340"/>
        <v>10</v>
      </c>
      <c r="F6142" t="str">
        <f>"935"</f>
        <v>935</v>
      </c>
      <c r="G6142">
        <v>9</v>
      </c>
      <c r="H6142" t="str">
        <f t="shared" si="1338"/>
        <v>99</v>
      </c>
      <c r="I6142" t="str">
        <f t="shared" si="1341"/>
        <v>0</v>
      </c>
      <c r="J6142" t="str">
        <f t="shared" si="1342"/>
        <v>73</v>
      </c>
      <c r="K6142">
        <v>20190510</v>
      </c>
      <c r="L6142" t="str">
        <f t="shared" si="1343"/>
        <v>076755</v>
      </c>
      <c r="M6142" t="str">
        <f t="shared" si="1344"/>
        <v>20706</v>
      </c>
      <c r="N6142" t="s">
        <v>2003</v>
      </c>
      <c r="O6142">
        <v>798.2</v>
      </c>
      <c r="P6142">
        <v>20190508</v>
      </c>
      <c r="Q6142" t="s">
        <v>2014</v>
      </c>
      <c r="R6142" t="s">
        <v>4895</v>
      </c>
      <c r="S6142" t="s">
        <v>1615</v>
      </c>
      <c r="T6142" t="s">
        <v>1876</v>
      </c>
    </row>
    <row r="6143" spans="1:20" x14ac:dyDescent="0.25">
      <c r="A6143">
        <v>9</v>
      </c>
      <c r="B6143">
        <v>199</v>
      </c>
      <c r="C6143" t="str">
        <f t="shared" si="1339"/>
        <v>51</v>
      </c>
      <c r="D6143">
        <v>6255</v>
      </c>
      <c r="E6143" t="str">
        <f t="shared" si="1340"/>
        <v>10</v>
      </c>
      <c r="F6143" t="str">
        <f>"936"</f>
        <v>936</v>
      </c>
      <c r="G6143">
        <v>9</v>
      </c>
      <c r="H6143" t="str">
        <f t="shared" si="1338"/>
        <v>99</v>
      </c>
      <c r="I6143" t="str">
        <f t="shared" si="1341"/>
        <v>0</v>
      </c>
      <c r="J6143" t="str">
        <f t="shared" si="1342"/>
        <v>73</v>
      </c>
      <c r="K6143">
        <v>20190510</v>
      </c>
      <c r="L6143" t="str">
        <f t="shared" si="1343"/>
        <v>076755</v>
      </c>
      <c r="M6143" t="str">
        <f t="shared" si="1344"/>
        <v>20706</v>
      </c>
      <c r="N6143" t="s">
        <v>2003</v>
      </c>
      <c r="O6143">
        <v>103.15</v>
      </c>
      <c r="P6143">
        <v>20190508</v>
      </c>
      <c r="Q6143" t="s">
        <v>2016</v>
      </c>
      <c r="R6143" t="s">
        <v>4896</v>
      </c>
      <c r="S6143" t="s">
        <v>1615</v>
      </c>
      <c r="T6143" t="s">
        <v>1713</v>
      </c>
    </row>
    <row r="6144" spans="1:20" x14ac:dyDescent="0.25">
      <c r="A6144">
        <v>9</v>
      </c>
      <c r="B6144">
        <v>199</v>
      </c>
      <c r="C6144" t="str">
        <f t="shared" si="1339"/>
        <v>51</v>
      </c>
      <c r="D6144">
        <v>6255</v>
      </c>
      <c r="E6144" t="str">
        <f>"11"</f>
        <v>11</v>
      </c>
      <c r="F6144" t="str">
        <f>"001"</f>
        <v>001</v>
      </c>
      <c r="G6144">
        <v>9</v>
      </c>
      <c r="H6144" t="str">
        <f t="shared" si="1338"/>
        <v>99</v>
      </c>
      <c r="I6144" t="str">
        <f t="shared" si="1341"/>
        <v>0</v>
      </c>
      <c r="J6144" t="str">
        <f t="shared" si="1342"/>
        <v>73</v>
      </c>
      <c r="K6144">
        <v>20190510</v>
      </c>
      <c r="L6144" t="str">
        <f t="shared" si="1343"/>
        <v>076755</v>
      </c>
      <c r="M6144" t="str">
        <f t="shared" si="1344"/>
        <v>20706</v>
      </c>
      <c r="N6144" t="s">
        <v>2003</v>
      </c>
      <c r="O6144">
        <v>486.84</v>
      </c>
      <c r="P6144">
        <v>20190508</v>
      </c>
      <c r="Q6144" t="s">
        <v>2018</v>
      </c>
      <c r="R6144" t="s">
        <v>4897</v>
      </c>
      <c r="S6144" t="s">
        <v>1615</v>
      </c>
      <c r="T6144" t="s">
        <v>301</v>
      </c>
    </row>
    <row r="6145" spans="1:20" x14ac:dyDescent="0.25">
      <c r="A6145">
        <v>9</v>
      </c>
      <c r="B6145">
        <v>199</v>
      </c>
      <c r="C6145" t="str">
        <f t="shared" si="1339"/>
        <v>51</v>
      </c>
      <c r="D6145">
        <v>6255</v>
      </c>
      <c r="E6145" t="str">
        <f>"11"</f>
        <v>11</v>
      </c>
      <c r="F6145" t="str">
        <f>"104"</f>
        <v>104</v>
      </c>
      <c r="G6145">
        <v>9</v>
      </c>
      <c r="H6145" t="str">
        <f t="shared" si="1338"/>
        <v>99</v>
      </c>
      <c r="I6145" t="str">
        <f t="shared" si="1341"/>
        <v>0</v>
      </c>
      <c r="J6145" t="str">
        <f t="shared" si="1342"/>
        <v>73</v>
      </c>
      <c r="K6145">
        <v>20190510</v>
      </c>
      <c r="L6145" t="str">
        <f t="shared" si="1343"/>
        <v>076755</v>
      </c>
      <c r="M6145" t="str">
        <f t="shared" si="1344"/>
        <v>20706</v>
      </c>
      <c r="N6145" t="s">
        <v>2003</v>
      </c>
      <c r="O6145">
        <v>63.4</v>
      </c>
      <c r="P6145">
        <v>20190508</v>
      </c>
      <c r="Q6145" t="s">
        <v>2020</v>
      </c>
      <c r="R6145" t="s">
        <v>4898</v>
      </c>
      <c r="S6145" t="s">
        <v>1615</v>
      </c>
      <c r="T6145" t="s">
        <v>46</v>
      </c>
    </row>
    <row r="6146" spans="1:20" x14ac:dyDescent="0.25">
      <c r="A6146">
        <v>9</v>
      </c>
      <c r="B6146">
        <v>199</v>
      </c>
      <c r="C6146" t="str">
        <f t="shared" si="1339"/>
        <v>51</v>
      </c>
      <c r="D6146">
        <v>6255</v>
      </c>
      <c r="E6146" t="str">
        <f>"3F"</f>
        <v>3F</v>
      </c>
      <c r="F6146" t="str">
        <f>"877"</f>
        <v>877</v>
      </c>
      <c r="G6146">
        <v>9</v>
      </c>
      <c r="H6146" t="str">
        <f t="shared" si="1338"/>
        <v>99</v>
      </c>
      <c r="I6146" t="str">
        <f t="shared" si="1341"/>
        <v>0</v>
      </c>
      <c r="J6146" t="str">
        <f t="shared" si="1342"/>
        <v>73</v>
      </c>
      <c r="K6146">
        <v>20190510</v>
      </c>
      <c r="L6146" t="str">
        <f t="shared" si="1343"/>
        <v>076755</v>
      </c>
      <c r="M6146" t="str">
        <f t="shared" si="1344"/>
        <v>20706</v>
      </c>
      <c r="N6146" t="s">
        <v>2003</v>
      </c>
      <c r="O6146" s="1">
        <v>4150.72</v>
      </c>
      <c r="P6146">
        <v>20190508</v>
      </c>
      <c r="Q6146" t="s">
        <v>2022</v>
      </c>
      <c r="R6146" t="s">
        <v>4899</v>
      </c>
      <c r="S6146" t="s">
        <v>1615</v>
      </c>
      <c r="T6146" t="s">
        <v>2024</v>
      </c>
    </row>
    <row r="6147" spans="1:20" x14ac:dyDescent="0.25">
      <c r="A6147">
        <v>9</v>
      </c>
      <c r="B6147">
        <v>199</v>
      </c>
      <c r="C6147" t="str">
        <f t="shared" si="1339"/>
        <v>51</v>
      </c>
      <c r="D6147">
        <v>6258</v>
      </c>
      <c r="E6147" t="str">
        <f>"10"</f>
        <v>10</v>
      </c>
      <c r="F6147" t="str">
        <f>"041"</f>
        <v>041</v>
      </c>
      <c r="G6147">
        <v>9</v>
      </c>
      <c r="H6147" t="str">
        <f t="shared" si="1338"/>
        <v>99</v>
      </c>
      <c r="I6147" t="str">
        <f t="shared" si="1341"/>
        <v>0</v>
      </c>
      <c r="J6147" t="str">
        <f t="shared" si="1342"/>
        <v>73</v>
      </c>
      <c r="K6147">
        <v>20190510</v>
      </c>
      <c r="L6147" t="str">
        <f t="shared" si="1343"/>
        <v>076755</v>
      </c>
      <c r="M6147" t="str">
        <f t="shared" si="1344"/>
        <v>20706</v>
      </c>
      <c r="N6147" t="s">
        <v>2003</v>
      </c>
      <c r="O6147">
        <v>550.27</v>
      </c>
      <c r="P6147">
        <v>20190508</v>
      </c>
      <c r="Q6147" t="s">
        <v>2027</v>
      </c>
      <c r="R6147" t="s">
        <v>4900</v>
      </c>
      <c r="S6147" t="s">
        <v>1615</v>
      </c>
      <c r="T6147" t="s">
        <v>106</v>
      </c>
    </row>
    <row r="6148" spans="1:20" x14ac:dyDescent="0.25">
      <c r="A6148">
        <v>9</v>
      </c>
      <c r="B6148">
        <v>199</v>
      </c>
      <c r="C6148" t="str">
        <f t="shared" si="1339"/>
        <v>51</v>
      </c>
      <c r="D6148">
        <v>6258</v>
      </c>
      <c r="E6148" t="str">
        <f>"10"</f>
        <v>10</v>
      </c>
      <c r="F6148" t="str">
        <f>"101"</f>
        <v>101</v>
      </c>
      <c r="G6148">
        <v>9</v>
      </c>
      <c r="H6148" t="str">
        <f t="shared" si="1338"/>
        <v>99</v>
      </c>
      <c r="I6148" t="str">
        <f t="shared" si="1341"/>
        <v>0</v>
      </c>
      <c r="J6148" t="str">
        <f t="shared" si="1342"/>
        <v>73</v>
      </c>
      <c r="K6148">
        <v>20190510</v>
      </c>
      <c r="L6148" t="str">
        <f t="shared" si="1343"/>
        <v>076755</v>
      </c>
      <c r="M6148" t="str">
        <f t="shared" si="1344"/>
        <v>20706</v>
      </c>
      <c r="N6148" t="s">
        <v>2003</v>
      </c>
      <c r="O6148">
        <v>269.92</v>
      </c>
      <c r="P6148">
        <v>20190508</v>
      </c>
      <c r="Q6148" t="s">
        <v>2029</v>
      </c>
      <c r="R6148" t="s">
        <v>4901</v>
      </c>
      <c r="S6148" t="s">
        <v>1615</v>
      </c>
      <c r="T6148" t="s">
        <v>1479</v>
      </c>
    </row>
    <row r="6149" spans="1:20" x14ac:dyDescent="0.25">
      <c r="A6149">
        <v>9</v>
      </c>
      <c r="B6149">
        <v>199</v>
      </c>
      <c r="C6149" t="str">
        <f t="shared" si="1339"/>
        <v>51</v>
      </c>
      <c r="D6149">
        <v>6258</v>
      </c>
      <c r="E6149" t="str">
        <f>"10"</f>
        <v>10</v>
      </c>
      <c r="F6149" t="str">
        <f>"104"</f>
        <v>104</v>
      </c>
      <c r="G6149">
        <v>9</v>
      </c>
      <c r="H6149" t="str">
        <f t="shared" si="1338"/>
        <v>99</v>
      </c>
      <c r="I6149" t="str">
        <f t="shared" si="1341"/>
        <v>0</v>
      </c>
      <c r="J6149" t="str">
        <f t="shared" si="1342"/>
        <v>73</v>
      </c>
      <c r="K6149">
        <v>20190510</v>
      </c>
      <c r="L6149" t="str">
        <f t="shared" si="1343"/>
        <v>076755</v>
      </c>
      <c r="M6149" t="str">
        <f t="shared" si="1344"/>
        <v>20706</v>
      </c>
      <c r="N6149" t="s">
        <v>2003</v>
      </c>
      <c r="O6149">
        <v>251.77</v>
      </c>
      <c r="P6149">
        <v>20190508</v>
      </c>
      <c r="Q6149" t="s">
        <v>2031</v>
      </c>
      <c r="R6149" t="s">
        <v>4902</v>
      </c>
      <c r="S6149" t="s">
        <v>1615</v>
      </c>
      <c r="T6149" t="s">
        <v>46</v>
      </c>
    </row>
    <row r="6150" spans="1:20" x14ac:dyDescent="0.25">
      <c r="A6150">
        <v>9</v>
      </c>
      <c r="B6150">
        <v>199</v>
      </c>
      <c r="C6150" t="str">
        <f t="shared" si="1339"/>
        <v>51</v>
      </c>
      <c r="D6150">
        <v>6258</v>
      </c>
      <c r="E6150" t="str">
        <f>"11"</f>
        <v>11</v>
      </c>
      <c r="F6150" t="str">
        <f>"001"</f>
        <v>001</v>
      </c>
      <c r="G6150">
        <v>9</v>
      </c>
      <c r="H6150" t="str">
        <f t="shared" si="1338"/>
        <v>99</v>
      </c>
      <c r="I6150" t="str">
        <f t="shared" si="1341"/>
        <v>0</v>
      </c>
      <c r="J6150" t="str">
        <f t="shared" si="1342"/>
        <v>73</v>
      </c>
      <c r="K6150">
        <v>20190510</v>
      </c>
      <c r="L6150" t="str">
        <f t="shared" si="1343"/>
        <v>076755</v>
      </c>
      <c r="M6150" t="str">
        <f t="shared" si="1344"/>
        <v>20706</v>
      </c>
      <c r="N6150" t="s">
        <v>2003</v>
      </c>
      <c r="O6150">
        <v>220.72</v>
      </c>
      <c r="P6150">
        <v>20190508</v>
      </c>
      <c r="Q6150" t="s">
        <v>2033</v>
      </c>
      <c r="R6150" t="s">
        <v>4903</v>
      </c>
      <c r="S6150" t="s">
        <v>1615</v>
      </c>
      <c r="T6150" t="s">
        <v>301</v>
      </c>
    </row>
    <row r="6151" spans="1:20" x14ac:dyDescent="0.25">
      <c r="A6151">
        <v>9</v>
      </c>
      <c r="B6151">
        <v>199</v>
      </c>
      <c r="C6151" t="str">
        <f>"34"</f>
        <v>34</v>
      </c>
      <c r="D6151">
        <v>6249</v>
      </c>
      <c r="E6151" t="str">
        <f>"10"</f>
        <v>10</v>
      </c>
      <c r="F6151" t="str">
        <f>"937"</f>
        <v>937</v>
      </c>
      <c r="G6151">
        <v>9</v>
      </c>
      <c r="H6151" t="str">
        <f t="shared" si="1338"/>
        <v>99</v>
      </c>
      <c r="I6151" t="str">
        <f t="shared" si="1341"/>
        <v>0</v>
      </c>
      <c r="J6151" t="str">
        <f>"82"</f>
        <v>82</v>
      </c>
      <c r="K6151">
        <v>20190510</v>
      </c>
      <c r="L6151" t="str">
        <f>"076756"</f>
        <v>076756</v>
      </c>
      <c r="M6151" t="str">
        <f>"21091"</f>
        <v>21091</v>
      </c>
      <c r="N6151" t="s">
        <v>2035</v>
      </c>
      <c r="O6151">
        <v>371.86</v>
      </c>
      <c r="P6151">
        <v>20190508</v>
      </c>
      <c r="Q6151" t="s">
        <v>2036</v>
      </c>
      <c r="R6151" t="s">
        <v>4904</v>
      </c>
      <c r="S6151" t="s">
        <v>1615</v>
      </c>
      <c r="T6151" t="s">
        <v>1810</v>
      </c>
    </row>
    <row r="6152" spans="1:20" x14ac:dyDescent="0.25">
      <c r="A6152">
        <v>9</v>
      </c>
      <c r="B6152">
        <v>199</v>
      </c>
      <c r="C6152" t="str">
        <f>"34"</f>
        <v>34</v>
      </c>
      <c r="D6152">
        <v>6249</v>
      </c>
      <c r="E6152" t="str">
        <f>"10"</f>
        <v>10</v>
      </c>
      <c r="F6152" t="str">
        <f>"937"</f>
        <v>937</v>
      </c>
      <c r="G6152">
        <v>9</v>
      </c>
      <c r="H6152" t="str">
        <f t="shared" si="1338"/>
        <v>99</v>
      </c>
      <c r="I6152" t="str">
        <f t="shared" si="1341"/>
        <v>0</v>
      </c>
      <c r="J6152" t="str">
        <f>"82"</f>
        <v>82</v>
      </c>
      <c r="K6152">
        <v>20190510</v>
      </c>
      <c r="L6152" t="str">
        <f>"076756"</f>
        <v>076756</v>
      </c>
      <c r="M6152" t="str">
        <f>"21091"</f>
        <v>21091</v>
      </c>
      <c r="N6152" t="s">
        <v>2035</v>
      </c>
      <c r="O6152" s="1">
        <v>2862.45</v>
      </c>
      <c r="P6152">
        <v>20190508</v>
      </c>
      <c r="Q6152" t="s">
        <v>2036</v>
      </c>
      <c r="R6152" t="s">
        <v>4905</v>
      </c>
      <c r="S6152" t="s">
        <v>1615</v>
      </c>
      <c r="T6152" t="s">
        <v>1810</v>
      </c>
    </row>
    <row r="6153" spans="1:20" x14ac:dyDescent="0.25">
      <c r="A6153">
        <v>9</v>
      </c>
      <c r="B6153">
        <v>199</v>
      </c>
      <c r="C6153" t="str">
        <f>"51"</f>
        <v>51</v>
      </c>
      <c r="D6153">
        <v>6249</v>
      </c>
      <c r="E6153" t="str">
        <f>"M8"</f>
        <v>M8</v>
      </c>
      <c r="F6153" t="str">
        <f>"936"</f>
        <v>936</v>
      </c>
      <c r="G6153">
        <v>9</v>
      </c>
      <c r="H6153" t="str">
        <f t="shared" si="1338"/>
        <v>99</v>
      </c>
      <c r="I6153" t="str">
        <f t="shared" si="1341"/>
        <v>0</v>
      </c>
      <c r="J6153" t="str">
        <f>"81"</f>
        <v>81</v>
      </c>
      <c r="K6153">
        <v>20190510</v>
      </c>
      <c r="L6153" t="str">
        <f>"076757"</f>
        <v>076757</v>
      </c>
      <c r="M6153" t="str">
        <f>"00679"</f>
        <v>00679</v>
      </c>
      <c r="N6153" t="s">
        <v>4084</v>
      </c>
      <c r="O6153" s="1">
        <v>1962</v>
      </c>
      <c r="P6153">
        <v>20190508</v>
      </c>
      <c r="Q6153" t="s">
        <v>2096</v>
      </c>
      <c r="R6153" t="s">
        <v>4433</v>
      </c>
      <c r="S6153" t="s">
        <v>1615</v>
      </c>
      <c r="T6153" t="s">
        <v>1713</v>
      </c>
    </row>
    <row r="6154" spans="1:20" x14ac:dyDescent="0.25">
      <c r="A6154">
        <v>9</v>
      </c>
      <c r="B6154">
        <v>199</v>
      </c>
      <c r="C6154" t="str">
        <f>"21"</f>
        <v>21</v>
      </c>
      <c r="D6154">
        <v>6649</v>
      </c>
      <c r="E6154" t="str">
        <f>"10"</f>
        <v>10</v>
      </c>
      <c r="F6154" t="str">
        <f>"871"</f>
        <v>871</v>
      </c>
      <c r="G6154">
        <v>9</v>
      </c>
      <c r="H6154" t="str">
        <f t="shared" si="1338"/>
        <v>99</v>
      </c>
      <c r="I6154" t="str">
        <f t="shared" si="1341"/>
        <v>0</v>
      </c>
      <c r="J6154" t="str">
        <f>"94"</f>
        <v>94</v>
      </c>
      <c r="K6154">
        <v>20190510</v>
      </c>
      <c r="L6154" t="str">
        <f>"076759"</f>
        <v>076759</v>
      </c>
      <c r="M6154" t="str">
        <f>"25165"</f>
        <v>25165</v>
      </c>
      <c r="N6154" t="s">
        <v>2860</v>
      </c>
      <c r="O6154">
        <v>960.77</v>
      </c>
      <c r="P6154">
        <v>20190508</v>
      </c>
      <c r="Q6154" t="s">
        <v>4906</v>
      </c>
      <c r="R6154" t="s">
        <v>4907</v>
      </c>
      <c r="S6154" t="s">
        <v>1615</v>
      </c>
      <c r="T6154" t="s">
        <v>1932</v>
      </c>
    </row>
    <row r="6155" spans="1:20" x14ac:dyDescent="0.25">
      <c r="A6155">
        <v>9</v>
      </c>
      <c r="B6155">
        <v>199</v>
      </c>
      <c r="C6155" t="str">
        <f>"36"</f>
        <v>36</v>
      </c>
      <c r="D6155">
        <v>6499</v>
      </c>
      <c r="E6155" t="str">
        <f>"7K"</f>
        <v>7K</v>
      </c>
      <c r="F6155" t="str">
        <f t="shared" ref="F6155:F6167" si="1345">"001"</f>
        <v>001</v>
      </c>
      <c r="G6155">
        <v>9</v>
      </c>
      <c r="H6155" t="str">
        <f t="shared" si="1338"/>
        <v>99</v>
      </c>
      <c r="I6155" t="str">
        <f t="shared" si="1341"/>
        <v>0</v>
      </c>
      <c r="J6155" t="str">
        <f>"01"</f>
        <v>01</v>
      </c>
      <c r="K6155">
        <v>20190510</v>
      </c>
      <c r="L6155" t="str">
        <f>"076761"</f>
        <v>076761</v>
      </c>
      <c r="M6155" t="str">
        <f>"28417"</f>
        <v>28417</v>
      </c>
      <c r="N6155" t="s">
        <v>4908</v>
      </c>
      <c r="O6155">
        <v>420</v>
      </c>
      <c r="P6155">
        <v>20190508</v>
      </c>
      <c r="Q6155" t="s">
        <v>4909</v>
      </c>
      <c r="R6155" t="s">
        <v>4910</v>
      </c>
      <c r="S6155" t="s">
        <v>1615</v>
      </c>
      <c r="T6155" t="s">
        <v>301</v>
      </c>
    </row>
    <row r="6156" spans="1:20" x14ac:dyDescent="0.25">
      <c r="A6156">
        <v>9</v>
      </c>
      <c r="B6156">
        <v>199</v>
      </c>
      <c r="C6156" t="str">
        <f>"11"</f>
        <v>11</v>
      </c>
      <c r="D6156">
        <v>6412</v>
      </c>
      <c r="E6156" t="str">
        <f>"TA"</f>
        <v>TA</v>
      </c>
      <c r="F6156" t="str">
        <f t="shared" si="1345"/>
        <v>001</v>
      </c>
      <c r="G6156">
        <v>9</v>
      </c>
      <c r="H6156" t="str">
        <f>"31"</f>
        <v>31</v>
      </c>
      <c r="I6156" t="str">
        <f t="shared" si="1341"/>
        <v>0</v>
      </c>
      <c r="J6156" t="str">
        <f>"34"</f>
        <v>34</v>
      </c>
      <c r="K6156">
        <v>20190510</v>
      </c>
      <c r="L6156" t="str">
        <f t="shared" ref="L6156:L6171" si="1346">"076762"</f>
        <v>076762</v>
      </c>
      <c r="M6156" t="str">
        <f t="shared" ref="M6156:M6171" si="1347">"28680"</f>
        <v>28680</v>
      </c>
      <c r="N6156" t="s">
        <v>482</v>
      </c>
      <c r="O6156">
        <v>465.88</v>
      </c>
      <c r="P6156">
        <v>20190508</v>
      </c>
      <c r="Q6156" t="s">
        <v>3895</v>
      </c>
      <c r="R6156" t="s">
        <v>4344</v>
      </c>
      <c r="S6156" t="s">
        <v>1615</v>
      </c>
      <c r="T6156" t="s">
        <v>301</v>
      </c>
    </row>
    <row r="6157" spans="1:20" x14ac:dyDescent="0.25">
      <c r="A6157">
        <v>9</v>
      </c>
      <c r="B6157">
        <v>199</v>
      </c>
      <c r="C6157" t="str">
        <f>"11"</f>
        <v>11</v>
      </c>
      <c r="D6157">
        <v>6412</v>
      </c>
      <c r="E6157" t="str">
        <f>"V8"</f>
        <v>V8</v>
      </c>
      <c r="F6157" t="str">
        <f t="shared" si="1345"/>
        <v>001</v>
      </c>
      <c r="G6157">
        <v>9</v>
      </c>
      <c r="H6157" t="str">
        <f>"22"</f>
        <v>22</v>
      </c>
      <c r="I6157" t="str">
        <f t="shared" si="1341"/>
        <v>0</v>
      </c>
      <c r="J6157" t="str">
        <f>"22"</f>
        <v>22</v>
      </c>
      <c r="K6157">
        <v>20190510</v>
      </c>
      <c r="L6157" t="str">
        <f t="shared" si="1346"/>
        <v>076762</v>
      </c>
      <c r="M6157" t="str">
        <f t="shared" si="1347"/>
        <v>28680</v>
      </c>
      <c r="N6157" t="s">
        <v>482</v>
      </c>
      <c r="O6157">
        <v>186.83</v>
      </c>
      <c r="P6157">
        <v>20190508</v>
      </c>
      <c r="Q6157" t="s">
        <v>1884</v>
      </c>
      <c r="R6157" t="s">
        <v>4607</v>
      </c>
      <c r="S6157" t="s">
        <v>1615</v>
      </c>
      <c r="T6157" t="s">
        <v>301</v>
      </c>
    </row>
    <row r="6158" spans="1:20" x14ac:dyDescent="0.25">
      <c r="A6158">
        <v>9</v>
      </c>
      <c r="B6158">
        <v>199</v>
      </c>
      <c r="C6158" t="str">
        <f>"23"</f>
        <v>23</v>
      </c>
      <c r="D6158">
        <v>6411</v>
      </c>
      <c r="E6158" t="str">
        <f>"10"</f>
        <v>10</v>
      </c>
      <c r="F6158" t="str">
        <f t="shared" si="1345"/>
        <v>001</v>
      </c>
      <c r="G6158">
        <v>9</v>
      </c>
      <c r="H6158" t="str">
        <f t="shared" ref="H6158:H6169" si="1348">"99"</f>
        <v>99</v>
      </c>
      <c r="I6158" t="str">
        <f t="shared" si="1341"/>
        <v>0</v>
      </c>
      <c r="J6158" t="str">
        <f t="shared" ref="J6158:J6166" si="1349">"01"</f>
        <v>01</v>
      </c>
      <c r="K6158">
        <v>20190510</v>
      </c>
      <c r="L6158" t="str">
        <f t="shared" si="1346"/>
        <v>076762</v>
      </c>
      <c r="M6158" t="str">
        <f t="shared" si="1347"/>
        <v>28680</v>
      </c>
      <c r="N6158" t="s">
        <v>482</v>
      </c>
      <c r="O6158">
        <v>117.29</v>
      </c>
      <c r="P6158">
        <v>20190508</v>
      </c>
      <c r="Q6158" t="s">
        <v>2389</v>
      </c>
      <c r="R6158" t="s">
        <v>4469</v>
      </c>
      <c r="S6158" t="s">
        <v>1615</v>
      </c>
      <c r="T6158" t="s">
        <v>301</v>
      </c>
    </row>
    <row r="6159" spans="1:20" x14ac:dyDescent="0.25">
      <c r="A6159">
        <v>9</v>
      </c>
      <c r="B6159">
        <v>199</v>
      </c>
      <c r="C6159" t="str">
        <f t="shared" ref="C6159:C6171" si="1350">"36"</f>
        <v>36</v>
      </c>
      <c r="D6159">
        <v>6412</v>
      </c>
      <c r="E6159" t="str">
        <f t="shared" ref="E6159:E6166" si="1351">"09"</f>
        <v>09</v>
      </c>
      <c r="F6159" t="str">
        <f t="shared" si="1345"/>
        <v>001</v>
      </c>
      <c r="G6159">
        <v>9</v>
      </c>
      <c r="H6159" t="str">
        <f t="shared" si="1348"/>
        <v>99</v>
      </c>
      <c r="I6159" t="str">
        <f t="shared" si="1341"/>
        <v>0</v>
      </c>
      <c r="J6159" t="str">
        <f t="shared" si="1349"/>
        <v>01</v>
      </c>
      <c r="K6159">
        <v>20190510</v>
      </c>
      <c r="L6159" t="str">
        <f t="shared" si="1346"/>
        <v>076762</v>
      </c>
      <c r="M6159" t="str">
        <f t="shared" si="1347"/>
        <v>28680</v>
      </c>
      <c r="N6159" t="s">
        <v>482</v>
      </c>
      <c r="O6159">
        <v>230.92</v>
      </c>
      <c r="P6159">
        <v>20190508</v>
      </c>
      <c r="Q6159" t="s">
        <v>2427</v>
      </c>
      <c r="R6159" t="s">
        <v>4356</v>
      </c>
      <c r="S6159" t="s">
        <v>1615</v>
      </c>
      <c r="T6159" t="s">
        <v>301</v>
      </c>
    </row>
    <row r="6160" spans="1:20" x14ac:dyDescent="0.25">
      <c r="A6160">
        <v>9</v>
      </c>
      <c r="B6160">
        <v>199</v>
      </c>
      <c r="C6160" t="str">
        <f t="shared" si="1350"/>
        <v>36</v>
      </c>
      <c r="D6160">
        <v>6412</v>
      </c>
      <c r="E6160" t="str">
        <f t="shared" si="1351"/>
        <v>09</v>
      </c>
      <c r="F6160" t="str">
        <f t="shared" si="1345"/>
        <v>001</v>
      </c>
      <c r="G6160">
        <v>9</v>
      </c>
      <c r="H6160" t="str">
        <f t="shared" si="1348"/>
        <v>99</v>
      </c>
      <c r="I6160" t="str">
        <f t="shared" si="1341"/>
        <v>0</v>
      </c>
      <c r="J6160" t="str">
        <f t="shared" si="1349"/>
        <v>01</v>
      </c>
      <c r="K6160">
        <v>20190510</v>
      </c>
      <c r="L6160" t="str">
        <f t="shared" si="1346"/>
        <v>076762</v>
      </c>
      <c r="M6160" t="str">
        <f t="shared" si="1347"/>
        <v>28680</v>
      </c>
      <c r="N6160" t="s">
        <v>482</v>
      </c>
      <c r="O6160">
        <v>524.98</v>
      </c>
      <c r="P6160">
        <v>20190508</v>
      </c>
      <c r="Q6160" t="s">
        <v>2427</v>
      </c>
      <c r="R6160" t="s">
        <v>4337</v>
      </c>
      <c r="S6160" t="s">
        <v>1615</v>
      </c>
      <c r="T6160" t="s">
        <v>301</v>
      </c>
    </row>
    <row r="6161" spans="1:20" x14ac:dyDescent="0.25">
      <c r="A6161">
        <v>9</v>
      </c>
      <c r="B6161">
        <v>199</v>
      </c>
      <c r="C6161" t="str">
        <f t="shared" si="1350"/>
        <v>36</v>
      </c>
      <c r="D6161">
        <v>6412</v>
      </c>
      <c r="E6161" t="str">
        <f t="shared" si="1351"/>
        <v>09</v>
      </c>
      <c r="F6161" t="str">
        <f t="shared" si="1345"/>
        <v>001</v>
      </c>
      <c r="G6161">
        <v>9</v>
      </c>
      <c r="H6161" t="str">
        <f t="shared" si="1348"/>
        <v>99</v>
      </c>
      <c r="I6161" t="str">
        <f t="shared" si="1341"/>
        <v>0</v>
      </c>
      <c r="J6161" t="str">
        <f t="shared" si="1349"/>
        <v>01</v>
      </c>
      <c r="K6161">
        <v>20190510</v>
      </c>
      <c r="L6161" t="str">
        <f t="shared" si="1346"/>
        <v>076762</v>
      </c>
      <c r="M6161" t="str">
        <f t="shared" si="1347"/>
        <v>28680</v>
      </c>
      <c r="N6161" t="s">
        <v>482</v>
      </c>
      <c r="O6161">
        <v>124.55</v>
      </c>
      <c r="P6161">
        <v>20190508</v>
      </c>
      <c r="Q6161" t="s">
        <v>2427</v>
      </c>
      <c r="R6161" t="s">
        <v>4530</v>
      </c>
      <c r="S6161" t="s">
        <v>1615</v>
      </c>
      <c r="T6161" t="s">
        <v>301</v>
      </c>
    </row>
    <row r="6162" spans="1:20" x14ac:dyDescent="0.25">
      <c r="A6162">
        <v>9</v>
      </c>
      <c r="B6162">
        <v>199</v>
      </c>
      <c r="C6162" t="str">
        <f t="shared" si="1350"/>
        <v>36</v>
      </c>
      <c r="D6162">
        <v>6412</v>
      </c>
      <c r="E6162" t="str">
        <f t="shared" si="1351"/>
        <v>09</v>
      </c>
      <c r="F6162" t="str">
        <f t="shared" si="1345"/>
        <v>001</v>
      </c>
      <c r="G6162">
        <v>9</v>
      </c>
      <c r="H6162" t="str">
        <f t="shared" si="1348"/>
        <v>99</v>
      </c>
      <c r="I6162" t="str">
        <f t="shared" si="1341"/>
        <v>0</v>
      </c>
      <c r="J6162" t="str">
        <f t="shared" si="1349"/>
        <v>01</v>
      </c>
      <c r="K6162">
        <v>20190510</v>
      </c>
      <c r="L6162" t="str">
        <f t="shared" si="1346"/>
        <v>076762</v>
      </c>
      <c r="M6162" t="str">
        <f t="shared" si="1347"/>
        <v>28680</v>
      </c>
      <c r="N6162" t="s">
        <v>482</v>
      </c>
      <c r="O6162">
        <v>104</v>
      </c>
      <c r="P6162">
        <v>20190508</v>
      </c>
      <c r="Q6162" t="s">
        <v>2427</v>
      </c>
      <c r="R6162" t="s">
        <v>4530</v>
      </c>
      <c r="S6162" t="s">
        <v>1615</v>
      </c>
      <c r="T6162" t="s">
        <v>301</v>
      </c>
    </row>
    <row r="6163" spans="1:20" x14ac:dyDescent="0.25">
      <c r="A6163">
        <v>9</v>
      </c>
      <c r="B6163">
        <v>199</v>
      </c>
      <c r="C6163" t="str">
        <f t="shared" si="1350"/>
        <v>36</v>
      </c>
      <c r="D6163">
        <v>6412</v>
      </c>
      <c r="E6163" t="str">
        <f t="shared" si="1351"/>
        <v>09</v>
      </c>
      <c r="F6163" t="str">
        <f t="shared" si="1345"/>
        <v>001</v>
      </c>
      <c r="G6163">
        <v>9</v>
      </c>
      <c r="H6163" t="str">
        <f t="shared" si="1348"/>
        <v>99</v>
      </c>
      <c r="I6163" t="str">
        <f t="shared" si="1341"/>
        <v>0</v>
      </c>
      <c r="J6163" t="str">
        <f t="shared" si="1349"/>
        <v>01</v>
      </c>
      <c r="K6163">
        <v>20190510</v>
      </c>
      <c r="L6163" t="str">
        <f t="shared" si="1346"/>
        <v>076762</v>
      </c>
      <c r="M6163" t="str">
        <f t="shared" si="1347"/>
        <v>28680</v>
      </c>
      <c r="N6163" t="s">
        <v>482</v>
      </c>
      <c r="O6163">
        <v>104</v>
      </c>
      <c r="P6163">
        <v>20190508</v>
      </c>
      <c r="Q6163" t="s">
        <v>2427</v>
      </c>
      <c r="R6163" t="s">
        <v>4530</v>
      </c>
      <c r="S6163" t="s">
        <v>1615</v>
      </c>
      <c r="T6163" t="s">
        <v>301</v>
      </c>
    </row>
    <row r="6164" spans="1:20" x14ac:dyDescent="0.25">
      <c r="A6164">
        <v>9</v>
      </c>
      <c r="B6164">
        <v>199</v>
      </c>
      <c r="C6164" t="str">
        <f t="shared" si="1350"/>
        <v>36</v>
      </c>
      <c r="D6164">
        <v>6412</v>
      </c>
      <c r="E6164" t="str">
        <f t="shared" si="1351"/>
        <v>09</v>
      </c>
      <c r="F6164" t="str">
        <f t="shared" si="1345"/>
        <v>001</v>
      </c>
      <c r="G6164">
        <v>9</v>
      </c>
      <c r="H6164" t="str">
        <f t="shared" si="1348"/>
        <v>99</v>
      </c>
      <c r="I6164" t="str">
        <f t="shared" si="1341"/>
        <v>0</v>
      </c>
      <c r="J6164" t="str">
        <f t="shared" si="1349"/>
        <v>01</v>
      </c>
      <c r="K6164">
        <v>20190510</v>
      </c>
      <c r="L6164" t="str">
        <f t="shared" si="1346"/>
        <v>076762</v>
      </c>
      <c r="M6164" t="str">
        <f t="shared" si="1347"/>
        <v>28680</v>
      </c>
      <c r="N6164" t="s">
        <v>482</v>
      </c>
      <c r="O6164">
        <v>104</v>
      </c>
      <c r="P6164">
        <v>20190508</v>
      </c>
      <c r="Q6164" t="s">
        <v>2427</v>
      </c>
      <c r="R6164" t="s">
        <v>4530</v>
      </c>
      <c r="S6164" t="s">
        <v>1615</v>
      </c>
      <c r="T6164" t="s">
        <v>301</v>
      </c>
    </row>
    <row r="6165" spans="1:20" x14ac:dyDescent="0.25">
      <c r="A6165">
        <v>9</v>
      </c>
      <c r="B6165">
        <v>199</v>
      </c>
      <c r="C6165" t="str">
        <f t="shared" si="1350"/>
        <v>36</v>
      </c>
      <c r="D6165">
        <v>6412</v>
      </c>
      <c r="E6165" t="str">
        <f t="shared" si="1351"/>
        <v>09</v>
      </c>
      <c r="F6165" t="str">
        <f t="shared" si="1345"/>
        <v>001</v>
      </c>
      <c r="G6165">
        <v>9</v>
      </c>
      <c r="H6165" t="str">
        <f t="shared" si="1348"/>
        <v>99</v>
      </c>
      <c r="I6165" t="str">
        <f t="shared" si="1341"/>
        <v>0</v>
      </c>
      <c r="J6165" t="str">
        <f t="shared" si="1349"/>
        <v>01</v>
      </c>
      <c r="K6165">
        <v>20190510</v>
      </c>
      <c r="L6165" t="str">
        <f t="shared" si="1346"/>
        <v>076762</v>
      </c>
      <c r="M6165" t="str">
        <f t="shared" si="1347"/>
        <v>28680</v>
      </c>
      <c r="N6165" t="s">
        <v>482</v>
      </c>
      <c r="O6165">
        <v>496.61</v>
      </c>
      <c r="P6165">
        <v>20190508</v>
      </c>
      <c r="Q6165" t="s">
        <v>2427</v>
      </c>
      <c r="R6165" t="s">
        <v>4469</v>
      </c>
      <c r="S6165" t="s">
        <v>1615</v>
      </c>
      <c r="T6165" t="s">
        <v>301</v>
      </c>
    </row>
    <row r="6166" spans="1:20" x14ac:dyDescent="0.25">
      <c r="A6166">
        <v>9</v>
      </c>
      <c r="B6166">
        <v>199</v>
      </c>
      <c r="C6166" t="str">
        <f t="shared" si="1350"/>
        <v>36</v>
      </c>
      <c r="D6166">
        <v>6412</v>
      </c>
      <c r="E6166" t="str">
        <f t="shared" si="1351"/>
        <v>09</v>
      </c>
      <c r="F6166" t="str">
        <f t="shared" si="1345"/>
        <v>001</v>
      </c>
      <c r="G6166">
        <v>9</v>
      </c>
      <c r="H6166" t="str">
        <f t="shared" si="1348"/>
        <v>99</v>
      </c>
      <c r="I6166" t="str">
        <f t="shared" si="1341"/>
        <v>0</v>
      </c>
      <c r="J6166" t="str">
        <f t="shared" si="1349"/>
        <v>01</v>
      </c>
      <c r="K6166">
        <v>20190510</v>
      </c>
      <c r="L6166" t="str">
        <f t="shared" si="1346"/>
        <v>076762</v>
      </c>
      <c r="M6166" t="str">
        <f t="shared" si="1347"/>
        <v>28680</v>
      </c>
      <c r="N6166" t="s">
        <v>482</v>
      </c>
      <c r="O6166">
        <v>636.96</v>
      </c>
      <c r="P6166">
        <v>20190508</v>
      </c>
      <c r="Q6166" t="s">
        <v>2427</v>
      </c>
      <c r="R6166" t="s">
        <v>4672</v>
      </c>
      <c r="S6166" t="s">
        <v>1615</v>
      </c>
      <c r="T6166" t="s">
        <v>301</v>
      </c>
    </row>
    <row r="6167" spans="1:20" x14ac:dyDescent="0.25">
      <c r="A6167">
        <v>9</v>
      </c>
      <c r="B6167">
        <v>199</v>
      </c>
      <c r="C6167" t="str">
        <f t="shared" si="1350"/>
        <v>36</v>
      </c>
      <c r="D6167">
        <v>6412</v>
      </c>
      <c r="E6167" t="str">
        <f>"7A"</f>
        <v>7A</v>
      </c>
      <c r="F6167" t="str">
        <f t="shared" si="1345"/>
        <v>001</v>
      </c>
      <c r="G6167">
        <v>9</v>
      </c>
      <c r="H6167" t="str">
        <f t="shared" si="1348"/>
        <v>99</v>
      </c>
      <c r="I6167" t="str">
        <f>"5"</f>
        <v>5</v>
      </c>
      <c r="J6167" t="str">
        <f>"74"</f>
        <v>74</v>
      </c>
      <c r="K6167">
        <v>20190510</v>
      </c>
      <c r="L6167" t="str">
        <f t="shared" si="1346"/>
        <v>076762</v>
      </c>
      <c r="M6167" t="str">
        <f t="shared" si="1347"/>
        <v>28680</v>
      </c>
      <c r="N6167" t="s">
        <v>482</v>
      </c>
      <c r="O6167">
        <v>133.44</v>
      </c>
      <c r="P6167">
        <v>20190508</v>
      </c>
      <c r="Q6167" t="s">
        <v>4438</v>
      </c>
      <c r="R6167" t="s">
        <v>4494</v>
      </c>
      <c r="S6167" t="s">
        <v>1615</v>
      </c>
      <c r="T6167" t="s">
        <v>301</v>
      </c>
    </row>
    <row r="6168" spans="1:20" x14ac:dyDescent="0.25">
      <c r="A6168">
        <v>9</v>
      </c>
      <c r="B6168">
        <v>199</v>
      </c>
      <c r="C6168" t="str">
        <f t="shared" si="1350"/>
        <v>36</v>
      </c>
      <c r="D6168">
        <v>6412</v>
      </c>
      <c r="E6168" t="str">
        <f>"H1"</f>
        <v>H1</v>
      </c>
      <c r="F6168" t="str">
        <f>"041"</f>
        <v>041</v>
      </c>
      <c r="G6168">
        <v>9</v>
      </c>
      <c r="H6168" t="str">
        <f t="shared" si="1348"/>
        <v>99</v>
      </c>
      <c r="I6168" t="str">
        <f>"5"</f>
        <v>5</v>
      </c>
      <c r="J6168" t="str">
        <f>"74"</f>
        <v>74</v>
      </c>
      <c r="K6168">
        <v>20190510</v>
      </c>
      <c r="L6168" t="str">
        <f t="shared" si="1346"/>
        <v>076762</v>
      </c>
      <c r="M6168" t="str">
        <f t="shared" si="1347"/>
        <v>28680</v>
      </c>
      <c r="N6168" t="s">
        <v>482</v>
      </c>
      <c r="O6168">
        <v>104</v>
      </c>
      <c r="P6168">
        <v>20190508</v>
      </c>
      <c r="Q6168" t="s">
        <v>4911</v>
      </c>
      <c r="R6168" t="s">
        <v>4633</v>
      </c>
      <c r="S6168" t="s">
        <v>1615</v>
      </c>
      <c r="T6168" t="s">
        <v>106</v>
      </c>
    </row>
    <row r="6169" spans="1:20" x14ac:dyDescent="0.25">
      <c r="A6169">
        <v>9</v>
      </c>
      <c r="B6169">
        <v>199</v>
      </c>
      <c r="C6169" t="str">
        <f t="shared" si="1350"/>
        <v>36</v>
      </c>
      <c r="D6169">
        <v>6412</v>
      </c>
      <c r="E6169" t="str">
        <f>"H1"</f>
        <v>H1</v>
      </c>
      <c r="F6169" t="str">
        <f>"041"</f>
        <v>041</v>
      </c>
      <c r="G6169">
        <v>9</v>
      </c>
      <c r="H6169" t="str">
        <f t="shared" si="1348"/>
        <v>99</v>
      </c>
      <c r="I6169" t="str">
        <f>"5"</f>
        <v>5</v>
      </c>
      <c r="J6169" t="str">
        <f>"74"</f>
        <v>74</v>
      </c>
      <c r="K6169">
        <v>20190510</v>
      </c>
      <c r="L6169" t="str">
        <f t="shared" si="1346"/>
        <v>076762</v>
      </c>
      <c r="M6169" t="str">
        <f t="shared" si="1347"/>
        <v>28680</v>
      </c>
      <c r="N6169" t="s">
        <v>482</v>
      </c>
      <c r="O6169">
        <v>104</v>
      </c>
      <c r="P6169">
        <v>20190508</v>
      </c>
      <c r="Q6169" t="s">
        <v>4911</v>
      </c>
      <c r="R6169" t="s">
        <v>4633</v>
      </c>
      <c r="S6169" t="s">
        <v>1615</v>
      </c>
      <c r="T6169" t="s">
        <v>106</v>
      </c>
    </row>
    <row r="6170" spans="1:20" x14ac:dyDescent="0.25">
      <c r="A6170">
        <v>9</v>
      </c>
      <c r="B6170">
        <v>199</v>
      </c>
      <c r="C6170" t="str">
        <f t="shared" si="1350"/>
        <v>36</v>
      </c>
      <c r="D6170">
        <v>6412</v>
      </c>
      <c r="E6170" t="str">
        <f>"NL"</f>
        <v>NL</v>
      </c>
      <c r="F6170" t="str">
        <f>"001"</f>
        <v>001</v>
      </c>
      <c r="G6170">
        <v>9</v>
      </c>
      <c r="H6170" t="str">
        <f>"22"</f>
        <v>22</v>
      </c>
      <c r="I6170" t="str">
        <f>"5"</f>
        <v>5</v>
      </c>
      <c r="J6170" t="str">
        <f>"74"</f>
        <v>74</v>
      </c>
      <c r="K6170">
        <v>20190510</v>
      </c>
      <c r="L6170" t="str">
        <f t="shared" si="1346"/>
        <v>076762</v>
      </c>
      <c r="M6170" t="str">
        <f t="shared" si="1347"/>
        <v>28680</v>
      </c>
      <c r="N6170" t="s">
        <v>482</v>
      </c>
      <c r="O6170">
        <v>143.5</v>
      </c>
      <c r="P6170">
        <v>20190508</v>
      </c>
      <c r="Q6170" t="s">
        <v>4161</v>
      </c>
      <c r="R6170" t="s">
        <v>4162</v>
      </c>
      <c r="S6170" t="s">
        <v>1615</v>
      </c>
      <c r="T6170" t="s">
        <v>301</v>
      </c>
    </row>
    <row r="6171" spans="1:20" x14ac:dyDescent="0.25">
      <c r="A6171">
        <v>9</v>
      </c>
      <c r="B6171">
        <v>199</v>
      </c>
      <c r="C6171" t="str">
        <f t="shared" si="1350"/>
        <v>36</v>
      </c>
      <c r="D6171">
        <v>6412</v>
      </c>
      <c r="E6171" t="str">
        <f>"VJ"</f>
        <v>VJ</v>
      </c>
      <c r="F6171" t="str">
        <f>"001"</f>
        <v>001</v>
      </c>
      <c r="G6171">
        <v>9</v>
      </c>
      <c r="H6171" t="str">
        <f>"22"</f>
        <v>22</v>
      </c>
      <c r="I6171" t="str">
        <f>"1"</f>
        <v>1</v>
      </c>
      <c r="J6171" t="str">
        <f>"22"</f>
        <v>22</v>
      </c>
      <c r="K6171">
        <v>20190510</v>
      </c>
      <c r="L6171" t="str">
        <f t="shared" si="1346"/>
        <v>076762</v>
      </c>
      <c r="M6171" t="str">
        <f t="shared" si="1347"/>
        <v>28680</v>
      </c>
      <c r="N6171" t="s">
        <v>482</v>
      </c>
      <c r="O6171">
        <v>186.83</v>
      </c>
      <c r="P6171">
        <v>20190508</v>
      </c>
      <c r="Q6171" t="s">
        <v>3950</v>
      </c>
      <c r="R6171" t="s">
        <v>3948</v>
      </c>
      <c r="S6171" t="s">
        <v>1615</v>
      </c>
      <c r="T6171" t="s">
        <v>301</v>
      </c>
    </row>
    <row r="6172" spans="1:20" x14ac:dyDescent="0.25">
      <c r="A6172">
        <v>9</v>
      </c>
      <c r="B6172">
        <v>199</v>
      </c>
      <c r="C6172" t="str">
        <f>"00"</f>
        <v>00</v>
      </c>
      <c r="D6172">
        <v>5749</v>
      </c>
      <c r="E6172" t="str">
        <f>"00"</f>
        <v>00</v>
      </c>
      <c r="F6172" t="str">
        <f>"000"</f>
        <v>000</v>
      </c>
      <c r="G6172">
        <v>9</v>
      </c>
      <c r="H6172" t="str">
        <f>"00"</f>
        <v>00</v>
      </c>
      <c r="I6172" t="str">
        <f t="shared" ref="I6172:I6195" si="1352">"0"</f>
        <v>0</v>
      </c>
      <c r="J6172" t="str">
        <f>"00"</f>
        <v>00</v>
      </c>
      <c r="K6172">
        <v>20190510</v>
      </c>
      <c r="L6172" t="str">
        <f>"076763"</f>
        <v>076763</v>
      </c>
      <c r="M6172" t="str">
        <f>"28733"</f>
        <v>28733</v>
      </c>
      <c r="N6172" t="s">
        <v>2223</v>
      </c>
      <c r="O6172">
        <v>71.16</v>
      </c>
      <c r="P6172">
        <v>20190508</v>
      </c>
      <c r="Q6172" t="s">
        <v>4850</v>
      </c>
      <c r="R6172" t="s">
        <v>4912</v>
      </c>
      <c r="S6172" t="s">
        <v>1615</v>
      </c>
      <c r="T6172" t="s">
        <v>296</v>
      </c>
    </row>
    <row r="6173" spans="1:20" x14ac:dyDescent="0.25">
      <c r="A6173">
        <v>9</v>
      </c>
      <c r="B6173">
        <v>199</v>
      </c>
      <c r="C6173" t="str">
        <f>"41"</f>
        <v>41</v>
      </c>
      <c r="D6173">
        <v>6499</v>
      </c>
      <c r="E6173" t="str">
        <f>"12"</f>
        <v>12</v>
      </c>
      <c r="F6173" t="str">
        <f>"720"</f>
        <v>720</v>
      </c>
      <c r="G6173">
        <v>9</v>
      </c>
      <c r="H6173" t="str">
        <f t="shared" ref="H6173:H6180" si="1353">"99"</f>
        <v>99</v>
      </c>
      <c r="I6173" t="str">
        <f t="shared" si="1352"/>
        <v>0</v>
      </c>
      <c r="J6173" t="str">
        <f>"91"</f>
        <v>91</v>
      </c>
      <c r="K6173">
        <v>20190510</v>
      </c>
      <c r="L6173" t="str">
        <f>"076764"</f>
        <v>076764</v>
      </c>
      <c r="M6173" t="str">
        <f>"28820"</f>
        <v>28820</v>
      </c>
      <c r="N6173" t="s">
        <v>2224</v>
      </c>
      <c r="O6173">
        <v>27.85</v>
      </c>
      <c r="P6173">
        <v>20190508</v>
      </c>
      <c r="Q6173" t="s">
        <v>2225</v>
      </c>
      <c r="R6173" t="s">
        <v>4913</v>
      </c>
      <c r="S6173" t="s">
        <v>1615</v>
      </c>
      <c r="T6173" t="s">
        <v>2045</v>
      </c>
    </row>
    <row r="6174" spans="1:20" x14ac:dyDescent="0.25">
      <c r="A6174">
        <v>9</v>
      </c>
      <c r="B6174">
        <v>199</v>
      </c>
      <c r="C6174" t="str">
        <f>"41"</f>
        <v>41</v>
      </c>
      <c r="D6174">
        <v>6499</v>
      </c>
      <c r="E6174" t="str">
        <f>"12"</f>
        <v>12</v>
      </c>
      <c r="F6174" t="str">
        <f>"720"</f>
        <v>720</v>
      </c>
      <c r="G6174">
        <v>9</v>
      </c>
      <c r="H6174" t="str">
        <f t="shared" si="1353"/>
        <v>99</v>
      </c>
      <c r="I6174" t="str">
        <f t="shared" si="1352"/>
        <v>0</v>
      </c>
      <c r="J6174" t="str">
        <f>"91"</f>
        <v>91</v>
      </c>
      <c r="K6174">
        <v>20190510</v>
      </c>
      <c r="L6174" t="str">
        <f>"076764"</f>
        <v>076764</v>
      </c>
      <c r="M6174" t="str">
        <f>"28820"</f>
        <v>28820</v>
      </c>
      <c r="N6174" t="s">
        <v>2224</v>
      </c>
      <c r="O6174">
        <v>47.15</v>
      </c>
      <c r="P6174">
        <v>20190508</v>
      </c>
      <c r="Q6174" t="s">
        <v>2225</v>
      </c>
      <c r="R6174" t="s">
        <v>3139</v>
      </c>
      <c r="S6174" t="s">
        <v>1615</v>
      </c>
      <c r="T6174" t="s">
        <v>2045</v>
      </c>
    </row>
    <row r="6175" spans="1:20" x14ac:dyDescent="0.25">
      <c r="A6175">
        <v>9</v>
      </c>
      <c r="B6175">
        <v>199</v>
      </c>
      <c r="C6175" t="str">
        <f>"51"</f>
        <v>51</v>
      </c>
      <c r="D6175">
        <v>6319</v>
      </c>
      <c r="E6175" t="str">
        <f>"MC"</f>
        <v>MC</v>
      </c>
      <c r="F6175" t="str">
        <f>"936"</f>
        <v>936</v>
      </c>
      <c r="G6175">
        <v>9</v>
      </c>
      <c r="H6175" t="str">
        <f t="shared" si="1353"/>
        <v>99</v>
      </c>
      <c r="I6175" t="str">
        <f t="shared" si="1352"/>
        <v>0</v>
      </c>
      <c r="J6175" t="str">
        <f>"81"</f>
        <v>81</v>
      </c>
      <c r="K6175">
        <v>20190510</v>
      </c>
      <c r="L6175" t="str">
        <f>"076765"</f>
        <v>076765</v>
      </c>
      <c r="M6175" t="str">
        <f>"29548"</f>
        <v>29548</v>
      </c>
      <c r="N6175" t="s">
        <v>2064</v>
      </c>
      <c r="O6175">
        <v>376.2</v>
      </c>
      <c r="P6175">
        <v>20190508</v>
      </c>
      <c r="Q6175" t="s">
        <v>2060</v>
      </c>
      <c r="R6175" t="s">
        <v>4914</v>
      </c>
      <c r="S6175" t="s">
        <v>1615</v>
      </c>
      <c r="T6175" t="s">
        <v>1713</v>
      </c>
    </row>
    <row r="6176" spans="1:20" x14ac:dyDescent="0.25">
      <c r="A6176">
        <v>9</v>
      </c>
      <c r="B6176">
        <v>199</v>
      </c>
      <c r="C6176" t="str">
        <f>"51"</f>
        <v>51</v>
      </c>
      <c r="D6176">
        <v>6319</v>
      </c>
      <c r="E6176" t="str">
        <f>"MC"</f>
        <v>MC</v>
      </c>
      <c r="F6176" t="str">
        <f>"936"</f>
        <v>936</v>
      </c>
      <c r="G6176">
        <v>9</v>
      </c>
      <c r="H6176" t="str">
        <f t="shared" si="1353"/>
        <v>99</v>
      </c>
      <c r="I6176" t="str">
        <f t="shared" si="1352"/>
        <v>0</v>
      </c>
      <c r="J6176" t="str">
        <f>"81"</f>
        <v>81</v>
      </c>
      <c r="K6176">
        <v>20190510</v>
      </c>
      <c r="L6176" t="str">
        <f>"076765"</f>
        <v>076765</v>
      </c>
      <c r="M6176" t="str">
        <f>"29548"</f>
        <v>29548</v>
      </c>
      <c r="N6176" t="s">
        <v>2064</v>
      </c>
      <c r="O6176">
        <v>400.9</v>
      </c>
      <c r="P6176">
        <v>20190508</v>
      </c>
      <c r="Q6176" t="s">
        <v>2060</v>
      </c>
      <c r="R6176" t="s">
        <v>4915</v>
      </c>
      <c r="S6176" t="s">
        <v>1615</v>
      </c>
      <c r="T6176" t="s">
        <v>1713</v>
      </c>
    </row>
    <row r="6177" spans="1:20" x14ac:dyDescent="0.25">
      <c r="A6177">
        <v>9</v>
      </c>
      <c r="B6177">
        <v>199</v>
      </c>
      <c r="C6177" t="str">
        <f>"51"</f>
        <v>51</v>
      </c>
      <c r="D6177">
        <v>6249</v>
      </c>
      <c r="E6177" t="str">
        <f>"WF"</f>
        <v>WF</v>
      </c>
      <c r="F6177" t="str">
        <f>"936"</f>
        <v>936</v>
      </c>
      <c r="G6177">
        <v>9</v>
      </c>
      <c r="H6177" t="str">
        <f t="shared" si="1353"/>
        <v>99</v>
      </c>
      <c r="I6177" t="str">
        <f t="shared" si="1352"/>
        <v>0</v>
      </c>
      <c r="J6177" t="str">
        <f>"82"</f>
        <v>82</v>
      </c>
      <c r="K6177">
        <v>20190510</v>
      </c>
      <c r="L6177" t="str">
        <f>"076766"</f>
        <v>076766</v>
      </c>
      <c r="M6177" t="str">
        <f>"06470"</f>
        <v>06470</v>
      </c>
      <c r="N6177" t="s">
        <v>3144</v>
      </c>
      <c r="O6177">
        <v>72.78</v>
      </c>
      <c r="P6177">
        <v>20190508</v>
      </c>
      <c r="Q6177" t="s">
        <v>2127</v>
      </c>
      <c r="R6177" t="s">
        <v>3768</v>
      </c>
      <c r="S6177" t="s">
        <v>1615</v>
      </c>
      <c r="T6177" t="s">
        <v>1713</v>
      </c>
    </row>
    <row r="6178" spans="1:20" x14ac:dyDescent="0.25">
      <c r="A6178">
        <v>9</v>
      </c>
      <c r="B6178">
        <v>199</v>
      </c>
      <c r="C6178" t="str">
        <f>"34"</f>
        <v>34</v>
      </c>
      <c r="D6178">
        <v>6249</v>
      </c>
      <c r="E6178" t="str">
        <f>"10"</f>
        <v>10</v>
      </c>
      <c r="F6178" t="str">
        <f>"937"</f>
        <v>937</v>
      </c>
      <c r="G6178">
        <v>9</v>
      </c>
      <c r="H6178" t="str">
        <f t="shared" si="1353"/>
        <v>99</v>
      </c>
      <c r="I6178" t="str">
        <f t="shared" si="1352"/>
        <v>0</v>
      </c>
      <c r="J6178" t="str">
        <f>"82"</f>
        <v>82</v>
      </c>
      <c r="K6178">
        <v>20190510</v>
      </c>
      <c r="L6178" t="str">
        <f>"076767"</f>
        <v>076767</v>
      </c>
      <c r="M6178" t="str">
        <f>"30130"</f>
        <v>30130</v>
      </c>
      <c r="N6178" t="s">
        <v>3025</v>
      </c>
      <c r="O6178">
        <v>70.95</v>
      </c>
      <c r="P6178">
        <v>20190508</v>
      </c>
      <c r="Q6178" t="s">
        <v>2036</v>
      </c>
      <c r="R6178" t="s">
        <v>4916</v>
      </c>
      <c r="S6178" t="s">
        <v>1615</v>
      </c>
      <c r="T6178" t="s">
        <v>1810</v>
      </c>
    </row>
    <row r="6179" spans="1:20" x14ac:dyDescent="0.25">
      <c r="A6179">
        <v>9</v>
      </c>
      <c r="B6179">
        <v>199</v>
      </c>
      <c r="C6179" t="str">
        <f>"34"</f>
        <v>34</v>
      </c>
      <c r="D6179">
        <v>6249</v>
      </c>
      <c r="E6179" t="str">
        <f>"10"</f>
        <v>10</v>
      </c>
      <c r="F6179" t="str">
        <f>"937"</f>
        <v>937</v>
      </c>
      <c r="G6179">
        <v>9</v>
      </c>
      <c r="H6179" t="str">
        <f t="shared" si="1353"/>
        <v>99</v>
      </c>
      <c r="I6179" t="str">
        <f t="shared" si="1352"/>
        <v>0</v>
      </c>
      <c r="J6179" t="str">
        <f>"82"</f>
        <v>82</v>
      </c>
      <c r="K6179">
        <v>20190510</v>
      </c>
      <c r="L6179" t="str">
        <f>"076767"</f>
        <v>076767</v>
      </c>
      <c r="M6179" t="str">
        <f>"30130"</f>
        <v>30130</v>
      </c>
      <c r="N6179" t="s">
        <v>3025</v>
      </c>
      <c r="O6179">
        <v>595</v>
      </c>
      <c r="P6179">
        <v>20190508</v>
      </c>
      <c r="Q6179" t="s">
        <v>2036</v>
      </c>
      <c r="R6179" t="s">
        <v>4917</v>
      </c>
      <c r="S6179" t="s">
        <v>1615</v>
      </c>
      <c r="T6179" t="s">
        <v>1810</v>
      </c>
    </row>
    <row r="6180" spans="1:20" x14ac:dyDescent="0.25">
      <c r="A6180">
        <v>9</v>
      </c>
      <c r="B6180">
        <v>199</v>
      </c>
      <c r="C6180" t="str">
        <f>"34"</f>
        <v>34</v>
      </c>
      <c r="D6180">
        <v>6249</v>
      </c>
      <c r="E6180" t="str">
        <f>"10"</f>
        <v>10</v>
      </c>
      <c r="F6180" t="str">
        <f>"937"</f>
        <v>937</v>
      </c>
      <c r="G6180">
        <v>9</v>
      </c>
      <c r="H6180" t="str">
        <f t="shared" si="1353"/>
        <v>99</v>
      </c>
      <c r="I6180" t="str">
        <f t="shared" si="1352"/>
        <v>0</v>
      </c>
      <c r="J6180" t="str">
        <f>"82"</f>
        <v>82</v>
      </c>
      <c r="K6180">
        <v>20190510</v>
      </c>
      <c r="L6180" t="str">
        <f>"076767"</f>
        <v>076767</v>
      </c>
      <c r="M6180" t="str">
        <f>"30130"</f>
        <v>30130</v>
      </c>
      <c r="N6180" t="s">
        <v>3025</v>
      </c>
      <c r="O6180">
        <v>863.06</v>
      </c>
      <c r="P6180">
        <v>20190508</v>
      </c>
      <c r="Q6180" t="s">
        <v>2036</v>
      </c>
      <c r="R6180" t="s">
        <v>4918</v>
      </c>
      <c r="S6180" t="s">
        <v>1615</v>
      </c>
      <c r="T6180" t="s">
        <v>1810</v>
      </c>
    </row>
    <row r="6181" spans="1:20" x14ac:dyDescent="0.25">
      <c r="A6181">
        <v>9</v>
      </c>
      <c r="B6181">
        <v>199</v>
      </c>
      <c r="C6181" t="str">
        <f>"11"</f>
        <v>11</v>
      </c>
      <c r="D6181">
        <v>6399</v>
      </c>
      <c r="E6181" t="str">
        <f>"00"</f>
        <v>00</v>
      </c>
      <c r="F6181" t="str">
        <f>"001"</f>
        <v>001</v>
      </c>
      <c r="G6181">
        <v>9</v>
      </c>
      <c r="H6181" t="str">
        <f>"23"</f>
        <v>23</v>
      </c>
      <c r="I6181" t="str">
        <f t="shared" si="1352"/>
        <v>0</v>
      </c>
      <c r="J6181" t="str">
        <f>"23"</f>
        <v>23</v>
      </c>
      <c r="K6181">
        <v>20190510</v>
      </c>
      <c r="L6181" t="str">
        <f t="shared" ref="L6181:L6186" si="1354">"076772"</f>
        <v>076772</v>
      </c>
      <c r="M6181" t="str">
        <f t="shared" ref="M6181:M6186" si="1355">"37500"</f>
        <v>37500</v>
      </c>
      <c r="N6181" t="s">
        <v>2077</v>
      </c>
      <c r="O6181">
        <v>36.200000000000003</v>
      </c>
      <c r="P6181">
        <v>20190508</v>
      </c>
      <c r="Q6181" t="s">
        <v>2635</v>
      </c>
      <c r="R6181" t="s">
        <v>4919</v>
      </c>
      <c r="S6181" t="s">
        <v>1615</v>
      </c>
      <c r="T6181" t="s">
        <v>301</v>
      </c>
    </row>
    <row r="6182" spans="1:20" x14ac:dyDescent="0.25">
      <c r="A6182">
        <v>9</v>
      </c>
      <c r="B6182">
        <v>199</v>
      </c>
      <c r="C6182" t="str">
        <f>"11"</f>
        <v>11</v>
      </c>
      <c r="D6182">
        <v>6399</v>
      </c>
      <c r="E6182" t="str">
        <f>"00"</f>
        <v>00</v>
      </c>
      <c r="F6182" t="str">
        <f>"001"</f>
        <v>001</v>
      </c>
      <c r="G6182">
        <v>9</v>
      </c>
      <c r="H6182" t="str">
        <f>"23"</f>
        <v>23</v>
      </c>
      <c r="I6182" t="str">
        <f t="shared" si="1352"/>
        <v>0</v>
      </c>
      <c r="J6182" t="str">
        <f>"23"</f>
        <v>23</v>
      </c>
      <c r="K6182">
        <v>20190510</v>
      </c>
      <c r="L6182" t="str">
        <f t="shared" si="1354"/>
        <v>076772</v>
      </c>
      <c r="M6182" t="str">
        <f t="shared" si="1355"/>
        <v>37500</v>
      </c>
      <c r="N6182" t="s">
        <v>2077</v>
      </c>
      <c r="O6182">
        <v>8.33</v>
      </c>
      <c r="P6182">
        <v>20190508</v>
      </c>
      <c r="Q6182" t="s">
        <v>2635</v>
      </c>
      <c r="R6182" t="s">
        <v>4919</v>
      </c>
      <c r="S6182" t="s">
        <v>1615</v>
      </c>
      <c r="T6182" t="s">
        <v>301</v>
      </c>
    </row>
    <row r="6183" spans="1:20" x14ac:dyDescent="0.25">
      <c r="A6183">
        <v>9</v>
      </c>
      <c r="B6183">
        <v>199</v>
      </c>
      <c r="C6183" t="str">
        <f>"11"</f>
        <v>11</v>
      </c>
      <c r="D6183">
        <v>6399</v>
      </c>
      <c r="E6183" t="str">
        <f>"VH"</f>
        <v>VH</v>
      </c>
      <c r="F6183" t="str">
        <f>"002"</f>
        <v>002</v>
      </c>
      <c r="G6183">
        <v>9</v>
      </c>
      <c r="H6183" t="str">
        <f>"22"</f>
        <v>22</v>
      </c>
      <c r="I6183" t="str">
        <f t="shared" si="1352"/>
        <v>0</v>
      </c>
      <c r="J6183" t="str">
        <f>"22"</f>
        <v>22</v>
      </c>
      <c r="K6183">
        <v>20190510</v>
      </c>
      <c r="L6183" t="str">
        <f t="shared" si="1354"/>
        <v>076772</v>
      </c>
      <c r="M6183" t="str">
        <f t="shared" si="1355"/>
        <v>37500</v>
      </c>
      <c r="N6183" t="s">
        <v>2077</v>
      </c>
      <c r="O6183">
        <v>96.71</v>
      </c>
      <c r="P6183">
        <v>20190508</v>
      </c>
      <c r="Q6183" t="s">
        <v>1912</v>
      </c>
      <c r="R6183" t="s">
        <v>2636</v>
      </c>
      <c r="S6183" t="s">
        <v>1615</v>
      </c>
      <c r="T6183" t="s">
        <v>1485</v>
      </c>
    </row>
    <row r="6184" spans="1:20" x14ac:dyDescent="0.25">
      <c r="A6184">
        <v>9</v>
      </c>
      <c r="B6184">
        <v>199</v>
      </c>
      <c r="C6184" t="str">
        <f>"23"</f>
        <v>23</v>
      </c>
      <c r="D6184">
        <v>6498</v>
      </c>
      <c r="E6184" t="str">
        <f>"10"</f>
        <v>10</v>
      </c>
      <c r="F6184" t="str">
        <f>"104"</f>
        <v>104</v>
      </c>
      <c r="G6184">
        <v>9</v>
      </c>
      <c r="H6184" t="str">
        <f t="shared" ref="H6184:H6193" si="1356">"99"</f>
        <v>99</v>
      </c>
      <c r="I6184" t="str">
        <f t="shared" si="1352"/>
        <v>0</v>
      </c>
      <c r="J6184" t="str">
        <f>"05"</f>
        <v>05</v>
      </c>
      <c r="K6184">
        <v>20190510</v>
      </c>
      <c r="L6184" t="str">
        <f t="shared" si="1354"/>
        <v>076772</v>
      </c>
      <c r="M6184" t="str">
        <f t="shared" si="1355"/>
        <v>37500</v>
      </c>
      <c r="N6184" t="s">
        <v>2077</v>
      </c>
      <c r="O6184">
        <v>61.54</v>
      </c>
      <c r="P6184">
        <v>20190508</v>
      </c>
      <c r="Q6184" t="s">
        <v>2402</v>
      </c>
      <c r="R6184" t="s">
        <v>4920</v>
      </c>
      <c r="S6184" t="s">
        <v>1615</v>
      </c>
      <c r="T6184" t="s">
        <v>46</v>
      </c>
    </row>
    <row r="6185" spans="1:20" x14ac:dyDescent="0.25">
      <c r="A6185">
        <v>9</v>
      </c>
      <c r="B6185">
        <v>199</v>
      </c>
      <c r="C6185" t="str">
        <f>"23"</f>
        <v>23</v>
      </c>
      <c r="D6185">
        <v>6498</v>
      </c>
      <c r="E6185" t="str">
        <f>"99"</f>
        <v>99</v>
      </c>
      <c r="F6185" t="str">
        <f>"041"</f>
        <v>041</v>
      </c>
      <c r="G6185">
        <v>9</v>
      </c>
      <c r="H6185" t="str">
        <f t="shared" si="1356"/>
        <v>99</v>
      </c>
      <c r="I6185" t="str">
        <f t="shared" si="1352"/>
        <v>0</v>
      </c>
      <c r="J6185" t="str">
        <f>"03"</f>
        <v>03</v>
      </c>
      <c r="K6185">
        <v>20190510</v>
      </c>
      <c r="L6185" t="str">
        <f t="shared" si="1354"/>
        <v>076772</v>
      </c>
      <c r="M6185" t="str">
        <f t="shared" si="1355"/>
        <v>37500</v>
      </c>
      <c r="N6185" t="s">
        <v>2077</v>
      </c>
      <c r="O6185">
        <v>248.23</v>
      </c>
      <c r="P6185">
        <v>20190508</v>
      </c>
      <c r="Q6185" t="s">
        <v>2140</v>
      </c>
      <c r="R6185" t="s">
        <v>4921</v>
      </c>
      <c r="S6185" t="s">
        <v>1615</v>
      </c>
      <c r="T6185" t="s">
        <v>106</v>
      </c>
    </row>
    <row r="6186" spans="1:20" x14ac:dyDescent="0.25">
      <c r="A6186">
        <v>9</v>
      </c>
      <c r="B6186">
        <v>199</v>
      </c>
      <c r="C6186" t="str">
        <f>"23"</f>
        <v>23</v>
      </c>
      <c r="D6186">
        <v>6498</v>
      </c>
      <c r="E6186" t="str">
        <f>"99"</f>
        <v>99</v>
      </c>
      <c r="F6186" t="str">
        <f>"041"</f>
        <v>041</v>
      </c>
      <c r="G6186">
        <v>9</v>
      </c>
      <c r="H6186" t="str">
        <f t="shared" si="1356"/>
        <v>99</v>
      </c>
      <c r="I6186" t="str">
        <f t="shared" si="1352"/>
        <v>0</v>
      </c>
      <c r="J6186" t="str">
        <f>"03"</f>
        <v>03</v>
      </c>
      <c r="K6186">
        <v>20190510</v>
      </c>
      <c r="L6186" t="str">
        <f t="shared" si="1354"/>
        <v>076772</v>
      </c>
      <c r="M6186" t="str">
        <f t="shared" si="1355"/>
        <v>37500</v>
      </c>
      <c r="N6186" t="s">
        <v>2077</v>
      </c>
      <c r="O6186">
        <v>161.24</v>
      </c>
      <c r="P6186">
        <v>20190508</v>
      </c>
      <c r="Q6186" t="s">
        <v>2140</v>
      </c>
      <c r="R6186" t="s">
        <v>4921</v>
      </c>
      <c r="S6186" t="s">
        <v>1615</v>
      </c>
      <c r="T6186" t="s">
        <v>106</v>
      </c>
    </row>
    <row r="6187" spans="1:20" x14ac:dyDescent="0.25">
      <c r="A6187">
        <v>9</v>
      </c>
      <c r="B6187">
        <v>199</v>
      </c>
      <c r="C6187" t="str">
        <f>"36"</f>
        <v>36</v>
      </c>
      <c r="D6187">
        <v>6499</v>
      </c>
      <c r="E6187" t="str">
        <f>"H2"</f>
        <v>H2</v>
      </c>
      <c r="F6187" t="str">
        <f>"001"</f>
        <v>001</v>
      </c>
      <c r="G6187">
        <v>9</v>
      </c>
      <c r="H6187" t="str">
        <f t="shared" si="1356"/>
        <v>99</v>
      </c>
      <c r="I6187" t="str">
        <f t="shared" si="1352"/>
        <v>0</v>
      </c>
      <c r="J6187" t="str">
        <f>"37"</f>
        <v>37</v>
      </c>
      <c r="K6187">
        <v>20190510</v>
      </c>
      <c r="L6187" t="str">
        <f>"076775"</f>
        <v>076775</v>
      </c>
      <c r="M6187" t="str">
        <f>"40550"</f>
        <v>40550</v>
      </c>
      <c r="N6187" t="s">
        <v>2645</v>
      </c>
      <c r="O6187">
        <v>129.94999999999999</v>
      </c>
      <c r="P6187">
        <v>20190508</v>
      </c>
      <c r="Q6187" t="s">
        <v>2903</v>
      </c>
      <c r="R6187" t="s">
        <v>4922</v>
      </c>
      <c r="S6187" t="s">
        <v>1615</v>
      </c>
      <c r="T6187" t="s">
        <v>301</v>
      </c>
    </row>
    <row r="6188" spans="1:20" x14ac:dyDescent="0.25">
      <c r="A6188">
        <v>9</v>
      </c>
      <c r="B6188">
        <v>199</v>
      </c>
      <c r="C6188" t="str">
        <f>"36"</f>
        <v>36</v>
      </c>
      <c r="D6188">
        <v>6499</v>
      </c>
      <c r="E6188" t="str">
        <f>"H2"</f>
        <v>H2</v>
      </c>
      <c r="F6188" t="str">
        <f>"001"</f>
        <v>001</v>
      </c>
      <c r="G6188">
        <v>9</v>
      </c>
      <c r="H6188" t="str">
        <f t="shared" si="1356"/>
        <v>99</v>
      </c>
      <c r="I6188" t="str">
        <f t="shared" si="1352"/>
        <v>0</v>
      </c>
      <c r="J6188" t="str">
        <f>"37"</f>
        <v>37</v>
      </c>
      <c r="K6188">
        <v>20190510</v>
      </c>
      <c r="L6188" t="str">
        <f>"076775"</f>
        <v>076775</v>
      </c>
      <c r="M6188" t="str">
        <f>"40550"</f>
        <v>40550</v>
      </c>
      <c r="N6188" t="s">
        <v>2645</v>
      </c>
      <c r="O6188">
        <v>116.61</v>
      </c>
      <c r="P6188">
        <v>20190508</v>
      </c>
      <c r="Q6188" t="s">
        <v>2903</v>
      </c>
      <c r="R6188" t="s">
        <v>4922</v>
      </c>
      <c r="S6188" t="s">
        <v>1615</v>
      </c>
      <c r="T6188" t="s">
        <v>301</v>
      </c>
    </row>
    <row r="6189" spans="1:20" x14ac:dyDescent="0.25">
      <c r="A6189">
        <v>9</v>
      </c>
      <c r="B6189">
        <v>199</v>
      </c>
      <c r="C6189" t="str">
        <f>"51"</f>
        <v>51</v>
      </c>
      <c r="D6189">
        <v>6319</v>
      </c>
      <c r="E6189" t="str">
        <f>"MC"</f>
        <v>MC</v>
      </c>
      <c r="F6189" t="str">
        <f>"936"</f>
        <v>936</v>
      </c>
      <c r="G6189">
        <v>9</v>
      </c>
      <c r="H6189" t="str">
        <f t="shared" si="1356"/>
        <v>99</v>
      </c>
      <c r="I6189" t="str">
        <f t="shared" si="1352"/>
        <v>0</v>
      </c>
      <c r="J6189" t="str">
        <f>"81"</f>
        <v>81</v>
      </c>
      <c r="K6189">
        <v>20190510</v>
      </c>
      <c r="L6189" t="str">
        <f>"076776"</f>
        <v>076776</v>
      </c>
      <c r="M6189" t="str">
        <f>"41230"</f>
        <v>41230</v>
      </c>
      <c r="N6189" t="s">
        <v>1350</v>
      </c>
      <c r="O6189">
        <v>47.02</v>
      </c>
      <c r="P6189">
        <v>20190508</v>
      </c>
      <c r="Q6189" t="s">
        <v>2060</v>
      </c>
      <c r="R6189" t="s">
        <v>2188</v>
      </c>
      <c r="S6189" t="s">
        <v>1615</v>
      </c>
      <c r="T6189" t="s">
        <v>1713</v>
      </c>
    </row>
    <row r="6190" spans="1:20" x14ac:dyDescent="0.25">
      <c r="A6190">
        <v>9</v>
      </c>
      <c r="B6190">
        <v>199</v>
      </c>
      <c r="C6190" t="str">
        <f>"51"</f>
        <v>51</v>
      </c>
      <c r="D6190">
        <v>6319</v>
      </c>
      <c r="E6190" t="str">
        <f>"MC"</f>
        <v>MC</v>
      </c>
      <c r="F6190" t="str">
        <f>"936"</f>
        <v>936</v>
      </c>
      <c r="G6190">
        <v>9</v>
      </c>
      <c r="H6190" t="str">
        <f t="shared" si="1356"/>
        <v>99</v>
      </c>
      <c r="I6190" t="str">
        <f t="shared" si="1352"/>
        <v>0</v>
      </c>
      <c r="J6190" t="str">
        <f>"81"</f>
        <v>81</v>
      </c>
      <c r="K6190">
        <v>20190510</v>
      </c>
      <c r="L6190" t="str">
        <f>"076776"</f>
        <v>076776</v>
      </c>
      <c r="M6190" t="str">
        <f>"41230"</f>
        <v>41230</v>
      </c>
      <c r="N6190" t="s">
        <v>1350</v>
      </c>
      <c r="O6190">
        <v>50</v>
      </c>
      <c r="P6190">
        <v>20190508</v>
      </c>
      <c r="Q6190" t="s">
        <v>2060</v>
      </c>
      <c r="R6190" t="s">
        <v>4923</v>
      </c>
      <c r="S6190" t="s">
        <v>1615</v>
      </c>
      <c r="T6190" t="s">
        <v>1713</v>
      </c>
    </row>
    <row r="6191" spans="1:20" x14ac:dyDescent="0.25">
      <c r="A6191">
        <v>9</v>
      </c>
      <c r="B6191">
        <v>199</v>
      </c>
      <c r="C6191" t="str">
        <f>"51"</f>
        <v>51</v>
      </c>
      <c r="D6191">
        <v>6319</v>
      </c>
      <c r="E6191" t="str">
        <f>"MC"</f>
        <v>MC</v>
      </c>
      <c r="F6191" t="str">
        <f>"936"</f>
        <v>936</v>
      </c>
      <c r="G6191">
        <v>9</v>
      </c>
      <c r="H6191" t="str">
        <f t="shared" si="1356"/>
        <v>99</v>
      </c>
      <c r="I6191" t="str">
        <f t="shared" si="1352"/>
        <v>0</v>
      </c>
      <c r="J6191" t="str">
        <f>"81"</f>
        <v>81</v>
      </c>
      <c r="K6191">
        <v>20190510</v>
      </c>
      <c r="L6191" t="str">
        <f>"076776"</f>
        <v>076776</v>
      </c>
      <c r="M6191" t="str">
        <f>"41230"</f>
        <v>41230</v>
      </c>
      <c r="N6191" t="s">
        <v>1350</v>
      </c>
      <c r="O6191">
        <v>133.97</v>
      </c>
      <c r="P6191">
        <v>20190508</v>
      </c>
      <c r="Q6191" t="s">
        <v>2060</v>
      </c>
      <c r="R6191" t="s">
        <v>4924</v>
      </c>
      <c r="S6191" t="s">
        <v>1615</v>
      </c>
      <c r="T6191" t="s">
        <v>1713</v>
      </c>
    </row>
    <row r="6192" spans="1:20" x14ac:dyDescent="0.25">
      <c r="A6192">
        <v>9</v>
      </c>
      <c r="B6192">
        <v>199</v>
      </c>
      <c r="C6192" t="str">
        <f>"51"</f>
        <v>51</v>
      </c>
      <c r="D6192">
        <v>6319</v>
      </c>
      <c r="E6192" t="str">
        <f>"MC"</f>
        <v>MC</v>
      </c>
      <c r="F6192" t="str">
        <f>"936"</f>
        <v>936</v>
      </c>
      <c r="G6192">
        <v>9</v>
      </c>
      <c r="H6192" t="str">
        <f t="shared" si="1356"/>
        <v>99</v>
      </c>
      <c r="I6192" t="str">
        <f t="shared" si="1352"/>
        <v>0</v>
      </c>
      <c r="J6192" t="str">
        <f>"81"</f>
        <v>81</v>
      </c>
      <c r="K6192">
        <v>20190510</v>
      </c>
      <c r="L6192" t="str">
        <f>"076776"</f>
        <v>076776</v>
      </c>
      <c r="M6192" t="str">
        <f>"41230"</f>
        <v>41230</v>
      </c>
      <c r="N6192" t="s">
        <v>1350</v>
      </c>
      <c r="O6192">
        <v>121.33</v>
      </c>
      <c r="P6192">
        <v>20190508</v>
      </c>
      <c r="Q6192" t="s">
        <v>2060</v>
      </c>
      <c r="R6192" t="s">
        <v>4925</v>
      </c>
      <c r="S6192" t="s">
        <v>1615</v>
      </c>
      <c r="T6192" t="s">
        <v>1713</v>
      </c>
    </row>
    <row r="6193" spans="1:20" x14ac:dyDescent="0.25">
      <c r="A6193">
        <v>9</v>
      </c>
      <c r="B6193">
        <v>199</v>
      </c>
      <c r="C6193" t="str">
        <f>"41"</f>
        <v>41</v>
      </c>
      <c r="D6193">
        <v>6399</v>
      </c>
      <c r="E6193" t="str">
        <f>"00"</f>
        <v>00</v>
      </c>
      <c r="F6193" t="str">
        <f>"939"</f>
        <v>939</v>
      </c>
      <c r="G6193">
        <v>9</v>
      </c>
      <c r="H6193" t="str">
        <f t="shared" si="1356"/>
        <v>99</v>
      </c>
      <c r="I6193" t="str">
        <f t="shared" si="1352"/>
        <v>0</v>
      </c>
      <c r="J6193" t="str">
        <f>"87"</f>
        <v>87</v>
      </c>
      <c r="K6193">
        <v>20190510</v>
      </c>
      <c r="L6193" t="str">
        <f>"076778"</f>
        <v>076778</v>
      </c>
      <c r="M6193" t="str">
        <f>"45496"</f>
        <v>45496</v>
      </c>
      <c r="N6193" t="s">
        <v>3175</v>
      </c>
      <c r="O6193">
        <v>387.28</v>
      </c>
      <c r="P6193">
        <v>20190508</v>
      </c>
      <c r="Q6193" t="s">
        <v>4926</v>
      </c>
      <c r="R6193" t="s">
        <v>4927</v>
      </c>
      <c r="S6193" t="s">
        <v>1615</v>
      </c>
      <c r="T6193" t="s">
        <v>2985</v>
      </c>
    </row>
    <row r="6194" spans="1:20" x14ac:dyDescent="0.25">
      <c r="A6194">
        <v>9</v>
      </c>
      <c r="B6194">
        <v>199</v>
      </c>
      <c r="C6194" t="str">
        <f>"00"</f>
        <v>00</v>
      </c>
      <c r="D6194">
        <v>5749</v>
      </c>
      <c r="E6194" t="str">
        <f>"00"</f>
        <v>00</v>
      </c>
      <c r="F6194" t="str">
        <f>"000"</f>
        <v>000</v>
      </c>
      <c r="G6194">
        <v>9</v>
      </c>
      <c r="H6194" t="str">
        <f>"00"</f>
        <v>00</v>
      </c>
      <c r="I6194" t="str">
        <f t="shared" si="1352"/>
        <v>0</v>
      </c>
      <c r="J6194" t="str">
        <f>"00"</f>
        <v>00</v>
      </c>
      <c r="K6194">
        <v>20190510</v>
      </c>
      <c r="L6194" t="str">
        <f>"076779"</f>
        <v>076779</v>
      </c>
      <c r="M6194" t="str">
        <f>"46348"</f>
        <v>46348</v>
      </c>
      <c r="N6194" t="s">
        <v>1631</v>
      </c>
      <c r="O6194">
        <v>159.58000000000001</v>
      </c>
      <c r="P6194">
        <v>20190508</v>
      </c>
      <c r="Q6194" t="s">
        <v>4850</v>
      </c>
      <c r="R6194" t="s">
        <v>4928</v>
      </c>
      <c r="S6194" t="s">
        <v>1615</v>
      </c>
      <c r="T6194" t="s">
        <v>296</v>
      </c>
    </row>
    <row r="6195" spans="1:20" x14ac:dyDescent="0.25">
      <c r="A6195">
        <v>9</v>
      </c>
      <c r="B6195">
        <v>199</v>
      </c>
      <c r="C6195" t="str">
        <f>"51"</f>
        <v>51</v>
      </c>
      <c r="D6195">
        <v>6249</v>
      </c>
      <c r="E6195" t="str">
        <f>"MC"</f>
        <v>MC</v>
      </c>
      <c r="F6195" t="str">
        <f>"041"</f>
        <v>041</v>
      </c>
      <c r="G6195">
        <v>9</v>
      </c>
      <c r="H6195" t="str">
        <f>"99"</f>
        <v>99</v>
      </c>
      <c r="I6195" t="str">
        <f t="shared" si="1352"/>
        <v>0</v>
      </c>
      <c r="J6195" t="str">
        <f>"81"</f>
        <v>81</v>
      </c>
      <c r="K6195">
        <v>20190510</v>
      </c>
      <c r="L6195" t="str">
        <f>"076780"</f>
        <v>076780</v>
      </c>
      <c r="M6195" t="str">
        <f>"46369"</f>
        <v>46369</v>
      </c>
      <c r="N6195" t="s">
        <v>2086</v>
      </c>
      <c r="O6195">
        <v>330</v>
      </c>
      <c r="P6195">
        <v>20190508</v>
      </c>
      <c r="Q6195" t="s">
        <v>1707</v>
      </c>
      <c r="R6195" t="s">
        <v>4929</v>
      </c>
      <c r="S6195" t="s">
        <v>1615</v>
      </c>
      <c r="T6195" t="s">
        <v>106</v>
      </c>
    </row>
    <row r="6196" spans="1:20" x14ac:dyDescent="0.25">
      <c r="A6196">
        <v>9</v>
      </c>
      <c r="B6196">
        <v>199</v>
      </c>
      <c r="C6196" t="str">
        <f>"11"</f>
        <v>11</v>
      </c>
      <c r="D6196">
        <v>6411</v>
      </c>
      <c r="E6196" t="str">
        <f>"HB"</f>
        <v>HB</v>
      </c>
      <c r="F6196" t="str">
        <f>"001"</f>
        <v>001</v>
      </c>
      <c r="G6196">
        <v>9</v>
      </c>
      <c r="H6196" t="str">
        <f>"11"</f>
        <v>11</v>
      </c>
      <c r="I6196" t="str">
        <f>"3"</f>
        <v>3</v>
      </c>
      <c r="J6196" t="str">
        <f>"74"</f>
        <v>74</v>
      </c>
      <c r="K6196">
        <v>20190510</v>
      </c>
      <c r="L6196" t="str">
        <f>"076784"</f>
        <v>076784</v>
      </c>
      <c r="M6196" t="str">
        <f>"49861"</f>
        <v>49861</v>
      </c>
      <c r="N6196" t="s">
        <v>4930</v>
      </c>
      <c r="O6196">
        <v>13.8</v>
      </c>
      <c r="P6196">
        <v>20190508</v>
      </c>
      <c r="Q6196" t="s">
        <v>4533</v>
      </c>
      <c r="R6196" t="s">
        <v>4931</v>
      </c>
      <c r="S6196" t="s">
        <v>1615</v>
      </c>
      <c r="T6196" t="s">
        <v>301</v>
      </c>
    </row>
    <row r="6197" spans="1:20" x14ac:dyDescent="0.25">
      <c r="A6197">
        <v>9</v>
      </c>
      <c r="B6197">
        <v>199</v>
      </c>
      <c r="C6197" t="str">
        <f>"36"</f>
        <v>36</v>
      </c>
      <c r="D6197">
        <v>6299</v>
      </c>
      <c r="E6197" t="str">
        <f>"7E"</f>
        <v>7E</v>
      </c>
      <c r="F6197" t="str">
        <f>"001"</f>
        <v>001</v>
      </c>
      <c r="G6197">
        <v>9</v>
      </c>
      <c r="H6197" t="str">
        <f>"99"</f>
        <v>99</v>
      </c>
      <c r="I6197" t="str">
        <f t="shared" ref="I6197:I6215" si="1357">"0"</f>
        <v>0</v>
      </c>
      <c r="J6197" t="str">
        <f>"31"</f>
        <v>31</v>
      </c>
      <c r="K6197">
        <v>20190510</v>
      </c>
      <c r="L6197" t="str">
        <f>"076785"</f>
        <v>076785</v>
      </c>
      <c r="M6197" t="str">
        <f>"00641"</f>
        <v>00641</v>
      </c>
      <c r="N6197" t="s">
        <v>3428</v>
      </c>
      <c r="O6197">
        <v>320</v>
      </c>
      <c r="P6197">
        <v>20190508</v>
      </c>
      <c r="Q6197" t="s">
        <v>3883</v>
      </c>
      <c r="R6197" t="s">
        <v>4556</v>
      </c>
      <c r="S6197" t="s">
        <v>1615</v>
      </c>
      <c r="T6197" t="s">
        <v>301</v>
      </c>
    </row>
    <row r="6198" spans="1:20" x14ac:dyDescent="0.25">
      <c r="A6198">
        <v>9</v>
      </c>
      <c r="B6198">
        <v>199</v>
      </c>
      <c r="C6198" t="str">
        <f>"00"</f>
        <v>00</v>
      </c>
      <c r="D6198">
        <v>5749</v>
      </c>
      <c r="E6198" t="str">
        <f>"00"</f>
        <v>00</v>
      </c>
      <c r="F6198" t="str">
        <f>"000"</f>
        <v>000</v>
      </c>
      <c r="G6198">
        <v>9</v>
      </c>
      <c r="H6198" t="str">
        <f>"00"</f>
        <v>00</v>
      </c>
      <c r="I6198" t="str">
        <f t="shared" si="1357"/>
        <v>0</v>
      </c>
      <c r="J6198" t="str">
        <f>"00"</f>
        <v>00</v>
      </c>
      <c r="K6198">
        <v>20190510</v>
      </c>
      <c r="L6198" t="str">
        <f>"076786"</f>
        <v>076786</v>
      </c>
      <c r="M6198" t="str">
        <f>"51519"</f>
        <v>51519</v>
      </c>
      <c r="N6198" t="s">
        <v>4838</v>
      </c>
      <c r="O6198">
        <v>78.45</v>
      </c>
      <c r="P6198">
        <v>20190508</v>
      </c>
      <c r="Q6198" t="s">
        <v>4850</v>
      </c>
      <c r="R6198" t="s">
        <v>4932</v>
      </c>
      <c r="S6198" t="s">
        <v>1615</v>
      </c>
      <c r="T6198" t="s">
        <v>296</v>
      </c>
    </row>
    <row r="6199" spans="1:20" x14ac:dyDescent="0.25">
      <c r="A6199">
        <v>9</v>
      </c>
      <c r="B6199">
        <v>199</v>
      </c>
      <c r="C6199" t="str">
        <f>"52"</f>
        <v>52</v>
      </c>
      <c r="D6199">
        <v>6219</v>
      </c>
      <c r="E6199" t="str">
        <f>"00"</f>
        <v>00</v>
      </c>
      <c r="F6199" t="str">
        <f>"101"</f>
        <v>101</v>
      </c>
      <c r="G6199">
        <v>9</v>
      </c>
      <c r="H6199" t="str">
        <f t="shared" ref="H6199:H6209" si="1358">"99"</f>
        <v>99</v>
      </c>
      <c r="I6199" t="str">
        <f t="shared" si="1357"/>
        <v>0</v>
      </c>
      <c r="J6199" t="str">
        <f>"00"</f>
        <v>00</v>
      </c>
      <c r="K6199">
        <v>20190510</v>
      </c>
      <c r="L6199" t="str">
        <f>"076787"</f>
        <v>076787</v>
      </c>
      <c r="M6199" t="str">
        <f>"00755"</f>
        <v>00755</v>
      </c>
      <c r="N6199" t="s">
        <v>4268</v>
      </c>
      <c r="O6199">
        <v>300</v>
      </c>
      <c r="P6199">
        <v>20190508</v>
      </c>
      <c r="Q6199" t="s">
        <v>1854</v>
      </c>
      <c r="R6199" t="s">
        <v>4933</v>
      </c>
      <c r="S6199" t="s">
        <v>1615</v>
      </c>
      <c r="T6199" t="s">
        <v>1479</v>
      </c>
    </row>
    <row r="6200" spans="1:20" x14ac:dyDescent="0.25">
      <c r="A6200">
        <v>9</v>
      </c>
      <c r="B6200">
        <v>199</v>
      </c>
      <c r="C6200" t="str">
        <f>"41"</f>
        <v>41</v>
      </c>
      <c r="D6200">
        <v>6299</v>
      </c>
      <c r="E6200" t="str">
        <f>"10"</f>
        <v>10</v>
      </c>
      <c r="F6200" t="str">
        <f>"735"</f>
        <v>735</v>
      </c>
      <c r="G6200">
        <v>9</v>
      </c>
      <c r="H6200" t="str">
        <f t="shared" si="1358"/>
        <v>99</v>
      </c>
      <c r="I6200" t="str">
        <f t="shared" si="1357"/>
        <v>0</v>
      </c>
      <c r="J6200" t="str">
        <f>"96"</f>
        <v>96</v>
      </c>
      <c r="K6200">
        <v>20190510</v>
      </c>
      <c r="L6200" t="str">
        <f>"076788"</f>
        <v>076788</v>
      </c>
      <c r="M6200" t="str">
        <f>"00522"</f>
        <v>00522</v>
      </c>
      <c r="N6200" t="s">
        <v>1647</v>
      </c>
      <c r="O6200" s="1">
        <v>2100</v>
      </c>
      <c r="P6200">
        <v>20190508</v>
      </c>
      <c r="Q6200" t="s">
        <v>2101</v>
      </c>
      <c r="R6200" t="s">
        <v>4844</v>
      </c>
      <c r="S6200" t="s">
        <v>1615</v>
      </c>
      <c r="T6200" t="s">
        <v>151</v>
      </c>
    </row>
    <row r="6201" spans="1:20" x14ac:dyDescent="0.25">
      <c r="A6201">
        <v>9</v>
      </c>
      <c r="B6201">
        <v>199</v>
      </c>
      <c r="C6201" t="str">
        <f>"51"</f>
        <v>51</v>
      </c>
      <c r="D6201">
        <v>6249</v>
      </c>
      <c r="E6201" t="str">
        <f>"M9"</f>
        <v>M9</v>
      </c>
      <c r="F6201" t="str">
        <f>"936"</f>
        <v>936</v>
      </c>
      <c r="G6201">
        <v>9</v>
      </c>
      <c r="H6201" t="str">
        <f t="shared" si="1358"/>
        <v>99</v>
      </c>
      <c r="I6201" t="str">
        <f t="shared" si="1357"/>
        <v>0</v>
      </c>
      <c r="J6201" t="str">
        <f>"81"</f>
        <v>81</v>
      </c>
      <c r="K6201">
        <v>20190510</v>
      </c>
      <c r="L6201" t="str">
        <f>"076792"</f>
        <v>076792</v>
      </c>
      <c r="M6201" t="str">
        <f>"58173"</f>
        <v>58173</v>
      </c>
      <c r="N6201" t="s">
        <v>1764</v>
      </c>
      <c r="O6201">
        <v>600</v>
      </c>
      <c r="P6201">
        <v>20190508</v>
      </c>
      <c r="Q6201" t="s">
        <v>2289</v>
      </c>
      <c r="R6201" s="2">
        <v>43556</v>
      </c>
      <c r="S6201" t="s">
        <v>1615</v>
      </c>
      <c r="T6201" t="s">
        <v>1713</v>
      </c>
    </row>
    <row r="6202" spans="1:20" x14ac:dyDescent="0.25">
      <c r="A6202">
        <v>9</v>
      </c>
      <c r="B6202">
        <v>199</v>
      </c>
      <c r="C6202" t="str">
        <f>"41"</f>
        <v>41</v>
      </c>
      <c r="D6202">
        <v>6498</v>
      </c>
      <c r="E6202" t="str">
        <f t="shared" ref="E6202:E6209" si="1359">"10"</f>
        <v>10</v>
      </c>
      <c r="F6202" t="str">
        <f>"701"</f>
        <v>701</v>
      </c>
      <c r="G6202">
        <v>9</v>
      </c>
      <c r="H6202" t="str">
        <f t="shared" si="1358"/>
        <v>99</v>
      </c>
      <c r="I6202" t="str">
        <f t="shared" si="1357"/>
        <v>0</v>
      </c>
      <c r="J6202" t="str">
        <f>"92"</f>
        <v>92</v>
      </c>
      <c r="K6202">
        <v>20190510</v>
      </c>
      <c r="L6202" t="str">
        <f>"076793"</f>
        <v>076793</v>
      </c>
      <c r="M6202" t="str">
        <f>"58200"</f>
        <v>58200</v>
      </c>
      <c r="N6202" t="s">
        <v>1765</v>
      </c>
      <c r="O6202">
        <v>5</v>
      </c>
      <c r="P6202">
        <v>20190508</v>
      </c>
      <c r="Q6202" t="s">
        <v>2202</v>
      </c>
      <c r="R6202" t="s">
        <v>4934</v>
      </c>
      <c r="S6202" t="s">
        <v>1615</v>
      </c>
      <c r="T6202" t="s">
        <v>1841</v>
      </c>
    </row>
    <row r="6203" spans="1:20" x14ac:dyDescent="0.25">
      <c r="A6203">
        <v>9</v>
      </c>
      <c r="B6203">
        <v>199</v>
      </c>
      <c r="C6203" t="str">
        <f>"41"</f>
        <v>41</v>
      </c>
      <c r="D6203">
        <v>6498</v>
      </c>
      <c r="E6203" t="str">
        <f t="shared" si="1359"/>
        <v>10</v>
      </c>
      <c r="F6203" t="str">
        <f>"701"</f>
        <v>701</v>
      </c>
      <c r="G6203">
        <v>9</v>
      </c>
      <c r="H6203" t="str">
        <f t="shared" si="1358"/>
        <v>99</v>
      </c>
      <c r="I6203" t="str">
        <f t="shared" si="1357"/>
        <v>0</v>
      </c>
      <c r="J6203" t="str">
        <f>"92"</f>
        <v>92</v>
      </c>
      <c r="K6203">
        <v>20190510</v>
      </c>
      <c r="L6203" t="str">
        <f>"076793"</f>
        <v>076793</v>
      </c>
      <c r="M6203" t="str">
        <f>"58200"</f>
        <v>58200</v>
      </c>
      <c r="N6203" t="s">
        <v>1765</v>
      </c>
      <c r="O6203">
        <v>75</v>
      </c>
      <c r="P6203">
        <v>20190508</v>
      </c>
      <c r="Q6203" t="s">
        <v>2202</v>
      </c>
      <c r="R6203" t="s">
        <v>4934</v>
      </c>
      <c r="S6203" t="s">
        <v>1615</v>
      </c>
      <c r="T6203" t="s">
        <v>1841</v>
      </c>
    </row>
    <row r="6204" spans="1:20" x14ac:dyDescent="0.25">
      <c r="A6204">
        <v>9</v>
      </c>
      <c r="B6204">
        <v>199</v>
      </c>
      <c r="C6204" t="str">
        <f t="shared" ref="C6204:C6209" si="1360">"34"</f>
        <v>34</v>
      </c>
      <c r="D6204">
        <v>6299</v>
      </c>
      <c r="E6204" t="str">
        <f t="shared" si="1359"/>
        <v>10</v>
      </c>
      <c r="F6204" t="str">
        <f t="shared" ref="F6204:F6209" si="1361">"937"</f>
        <v>937</v>
      </c>
      <c r="G6204">
        <v>9</v>
      </c>
      <c r="H6204" t="str">
        <f t="shared" si="1358"/>
        <v>99</v>
      </c>
      <c r="I6204" t="str">
        <f t="shared" si="1357"/>
        <v>0</v>
      </c>
      <c r="J6204" t="str">
        <f t="shared" ref="J6204:J6209" si="1362">"82"</f>
        <v>82</v>
      </c>
      <c r="K6204">
        <v>20190510</v>
      </c>
      <c r="L6204" t="str">
        <f t="shared" ref="L6204:L6209" si="1363">"076795"</f>
        <v>076795</v>
      </c>
      <c r="M6204" t="str">
        <f t="shared" ref="M6204:M6209" si="1364">"58927"</f>
        <v>58927</v>
      </c>
      <c r="N6204" t="s">
        <v>1772</v>
      </c>
      <c r="O6204">
        <v>55</v>
      </c>
      <c r="P6204">
        <v>20190508</v>
      </c>
      <c r="Q6204" t="s">
        <v>2292</v>
      </c>
      <c r="R6204" t="s">
        <v>1773</v>
      </c>
      <c r="S6204" t="s">
        <v>1615</v>
      </c>
      <c r="T6204" t="s">
        <v>1810</v>
      </c>
    </row>
    <row r="6205" spans="1:20" x14ac:dyDescent="0.25">
      <c r="A6205">
        <v>9</v>
      </c>
      <c r="B6205">
        <v>199</v>
      </c>
      <c r="C6205" t="str">
        <f t="shared" si="1360"/>
        <v>34</v>
      </c>
      <c r="D6205">
        <v>6299</v>
      </c>
      <c r="E6205" t="str">
        <f t="shared" si="1359"/>
        <v>10</v>
      </c>
      <c r="F6205" t="str">
        <f t="shared" si="1361"/>
        <v>937</v>
      </c>
      <c r="G6205">
        <v>9</v>
      </c>
      <c r="H6205" t="str">
        <f t="shared" si="1358"/>
        <v>99</v>
      </c>
      <c r="I6205" t="str">
        <f t="shared" si="1357"/>
        <v>0</v>
      </c>
      <c r="J6205" t="str">
        <f t="shared" si="1362"/>
        <v>82</v>
      </c>
      <c r="K6205">
        <v>20190510</v>
      </c>
      <c r="L6205" t="str">
        <f t="shared" si="1363"/>
        <v>076795</v>
      </c>
      <c r="M6205" t="str">
        <f t="shared" si="1364"/>
        <v>58927</v>
      </c>
      <c r="N6205" t="s">
        <v>1772</v>
      </c>
      <c r="O6205">
        <v>120</v>
      </c>
      <c r="P6205">
        <v>20190508</v>
      </c>
      <c r="Q6205" t="s">
        <v>2292</v>
      </c>
      <c r="R6205" t="s">
        <v>4935</v>
      </c>
      <c r="S6205" t="s">
        <v>1615</v>
      </c>
      <c r="T6205" t="s">
        <v>1810</v>
      </c>
    </row>
    <row r="6206" spans="1:20" x14ac:dyDescent="0.25">
      <c r="A6206">
        <v>9</v>
      </c>
      <c r="B6206">
        <v>199</v>
      </c>
      <c r="C6206" t="str">
        <f t="shared" si="1360"/>
        <v>34</v>
      </c>
      <c r="D6206">
        <v>6299</v>
      </c>
      <c r="E6206" t="str">
        <f t="shared" si="1359"/>
        <v>10</v>
      </c>
      <c r="F6206" t="str">
        <f t="shared" si="1361"/>
        <v>937</v>
      </c>
      <c r="G6206">
        <v>9</v>
      </c>
      <c r="H6206" t="str">
        <f t="shared" si="1358"/>
        <v>99</v>
      </c>
      <c r="I6206" t="str">
        <f t="shared" si="1357"/>
        <v>0</v>
      </c>
      <c r="J6206" t="str">
        <f t="shared" si="1362"/>
        <v>82</v>
      </c>
      <c r="K6206">
        <v>20190510</v>
      </c>
      <c r="L6206" t="str">
        <f t="shared" si="1363"/>
        <v>076795</v>
      </c>
      <c r="M6206" t="str">
        <f t="shared" si="1364"/>
        <v>58927</v>
      </c>
      <c r="N6206" t="s">
        <v>1772</v>
      </c>
      <c r="O6206">
        <v>150</v>
      </c>
      <c r="P6206">
        <v>20190508</v>
      </c>
      <c r="Q6206" t="s">
        <v>2292</v>
      </c>
      <c r="R6206" t="s">
        <v>2293</v>
      </c>
      <c r="S6206" t="s">
        <v>1615</v>
      </c>
      <c r="T6206" t="s">
        <v>1810</v>
      </c>
    </row>
    <row r="6207" spans="1:20" x14ac:dyDescent="0.25">
      <c r="A6207">
        <v>9</v>
      </c>
      <c r="B6207">
        <v>199</v>
      </c>
      <c r="C6207" t="str">
        <f t="shared" si="1360"/>
        <v>34</v>
      </c>
      <c r="D6207">
        <v>6299</v>
      </c>
      <c r="E6207" t="str">
        <f t="shared" si="1359"/>
        <v>10</v>
      </c>
      <c r="F6207" t="str">
        <f t="shared" si="1361"/>
        <v>937</v>
      </c>
      <c r="G6207">
        <v>9</v>
      </c>
      <c r="H6207" t="str">
        <f t="shared" si="1358"/>
        <v>99</v>
      </c>
      <c r="I6207" t="str">
        <f t="shared" si="1357"/>
        <v>0</v>
      </c>
      <c r="J6207" t="str">
        <f t="shared" si="1362"/>
        <v>82</v>
      </c>
      <c r="K6207">
        <v>20190510</v>
      </c>
      <c r="L6207" t="str">
        <f t="shared" si="1363"/>
        <v>076795</v>
      </c>
      <c r="M6207" t="str">
        <f t="shared" si="1364"/>
        <v>58927</v>
      </c>
      <c r="N6207" t="s">
        <v>1772</v>
      </c>
      <c r="O6207">
        <v>60</v>
      </c>
      <c r="P6207">
        <v>20190508</v>
      </c>
      <c r="Q6207" t="s">
        <v>2292</v>
      </c>
      <c r="R6207" t="s">
        <v>1774</v>
      </c>
      <c r="S6207" t="s">
        <v>1615</v>
      </c>
      <c r="T6207" t="s">
        <v>1810</v>
      </c>
    </row>
    <row r="6208" spans="1:20" x14ac:dyDescent="0.25">
      <c r="A6208">
        <v>9</v>
      </c>
      <c r="B6208">
        <v>199</v>
      </c>
      <c r="C6208" t="str">
        <f t="shared" si="1360"/>
        <v>34</v>
      </c>
      <c r="D6208">
        <v>6299</v>
      </c>
      <c r="E6208" t="str">
        <f t="shared" si="1359"/>
        <v>10</v>
      </c>
      <c r="F6208" t="str">
        <f t="shared" si="1361"/>
        <v>937</v>
      </c>
      <c r="G6208">
        <v>9</v>
      </c>
      <c r="H6208" t="str">
        <f t="shared" si="1358"/>
        <v>99</v>
      </c>
      <c r="I6208" t="str">
        <f t="shared" si="1357"/>
        <v>0</v>
      </c>
      <c r="J6208" t="str">
        <f t="shared" si="1362"/>
        <v>82</v>
      </c>
      <c r="K6208">
        <v>20190510</v>
      </c>
      <c r="L6208" t="str">
        <f t="shared" si="1363"/>
        <v>076795</v>
      </c>
      <c r="M6208" t="str">
        <f t="shared" si="1364"/>
        <v>58927</v>
      </c>
      <c r="N6208" t="s">
        <v>1772</v>
      </c>
      <c r="O6208">
        <v>220</v>
      </c>
      <c r="P6208">
        <v>20190508</v>
      </c>
      <c r="Q6208" t="s">
        <v>2292</v>
      </c>
      <c r="R6208" t="s">
        <v>1773</v>
      </c>
      <c r="S6208" t="s">
        <v>1615</v>
      </c>
      <c r="T6208" t="s">
        <v>1810</v>
      </c>
    </row>
    <row r="6209" spans="1:20" x14ac:dyDescent="0.25">
      <c r="A6209">
        <v>9</v>
      </c>
      <c r="B6209">
        <v>199</v>
      </c>
      <c r="C6209" t="str">
        <f t="shared" si="1360"/>
        <v>34</v>
      </c>
      <c r="D6209">
        <v>6299</v>
      </c>
      <c r="E6209" t="str">
        <f t="shared" si="1359"/>
        <v>10</v>
      </c>
      <c r="F6209" t="str">
        <f t="shared" si="1361"/>
        <v>937</v>
      </c>
      <c r="G6209">
        <v>9</v>
      </c>
      <c r="H6209" t="str">
        <f t="shared" si="1358"/>
        <v>99</v>
      </c>
      <c r="I6209" t="str">
        <f t="shared" si="1357"/>
        <v>0</v>
      </c>
      <c r="J6209" t="str">
        <f t="shared" si="1362"/>
        <v>82</v>
      </c>
      <c r="K6209">
        <v>20190510</v>
      </c>
      <c r="L6209" t="str">
        <f t="shared" si="1363"/>
        <v>076795</v>
      </c>
      <c r="M6209" t="str">
        <f t="shared" si="1364"/>
        <v>58927</v>
      </c>
      <c r="N6209" t="s">
        <v>1772</v>
      </c>
      <c r="O6209">
        <v>240</v>
      </c>
      <c r="P6209">
        <v>20190508</v>
      </c>
      <c r="Q6209" t="s">
        <v>2292</v>
      </c>
      <c r="R6209" t="s">
        <v>4935</v>
      </c>
      <c r="S6209" t="s">
        <v>1615</v>
      </c>
      <c r="T6209" t="s">
        <v>1810</v>
      </c>
    </row>
    <row r="6210" spans="1:20" x14ac:dyDescent="0.25">
      <c r="A6210">
        <v>9</v>
      </c>
      <c r="B6210">
        <v>199</v>
      </c>
      <c r="C6210" t="str">
        <f>"11"</f>
        <v>11</v>
      </c>
      <c r="D6210">
        <v>6399</v>
      </c>
      <c r="E6210" t="str">
        <f>"7K"</f>
        <v>7K</v>
      </c>
      <c r="F6210" t="str">
        <f>"041"</f>
        <v>041</v>
      </c>
      <c r="G6210">
        <v>9</v>
      </c>
      <c r="H6210" t="str">
        <f>"11"</f>
        <v>11</v>
      </c>
      <c r="I6210" t="str">
        <f t="shared" si="1357"/>
        <v>0</v>
      </c>
      <c r="J6210" t="str">
        <f>"03"</f>
        <v>03</v>
      </c>
      <c r="K6210">
        <v>20190510</v>
      </c>
      <c r="L6210" t="str">
        <f>"076796"</f>
        <v>076796</v>
      </c>
      <c r="M6210" t="str">
        <f>"58950"</f>
        <v>58950</v>
      </c>
      <c r="N6210" t="s">
        <v>2665</v>
      </c>
      <c r="O6210">
        <v>50</v>
      </c>
      <c r="P6210">
        <v>20190509</v>
      </c>
      <c r="Q6210" t="s">
        <v>2666</v>
      </c>
      <c r="R6210" t="s">
        <v>4936</v>
      </c>
      <c r="S6210" t="s">
        <v>1615</v>
      </c>
      <c r="T6210" t="s">
        <v>106</v>
      </c>
    </row>
    <row r="6211" spans="1:20" x14ac:dyDescent="0.25">
      <c r="A6211">
        <v>9</v>
      </c>
      <c r="B6211">
        <v>199</v>
      </c>
      <c r="C6211" t="str">
        <f>"23"</f>
        <v>23</v>
      </c>
      <c r="D6211">
        <v>6411</v>
      </c>
      <c r="E6211" t="str">
        <f>"10"</f>
        <v>10</v>
      </c>
      <c r="F6211" t="str">
        <f>"041"</f>
        <v>041</v>
      </c>
      <c r="G6211">
        <v>9</v>
      </c>
      <c r="H6211" t="str">
        <f>"99"</f>
        <v>99</v>
      </c>
      <c r="I6211" t="str">
        <f t="shared" si="1357"/>
        <v>0</v>
      </c>
      <c r="J6211" t="str">
        <f>"03"</f>
        <v>03</v>
      </c>
      <c r="K6211">
        <v>20190510</v>
      </c>
      <c r="L6211" t="str">
        <f>"076797"</f>
        <v>076797</v>
      </c>
      <c r="M6211" t="str">
        <f>"65235"</f>
        <v>65235</v>
      </c>
      <c r="N6211" t="s">
        <v>3250</v>
      </c>
      <c r="O6211">
        <v>159.84</v>
      </c>
      <c r="P6211">
        <v>20190508</v>
      </c>
      <c r="Q6211" t="s">
        <v>3251</v>
      </c>
      <c r="R6211" t="s">
        <v>4937</v>
      </c>
      <c r="S6211" t="s">
        <v>1615</v>
      </c>
      <c r="T6211" t="s">
        <v>106</v>
      </c>
    </row>
    <row r="6212" spans="1:20" x14ac:dyDescent="0.25">
      <c r="A6212">
        <v>9</v>
      </c>
      <c r="B6212">
        <v>199</v>
      </c>
      <c r="C6212" t="str">
        <f>"11"</f>
        <v>11</v>
      </c>
      <c r="D6212">
        <v>6219</v>
      </c>
      <c r="E6212" t="str">
        <f>"GT"</f>
        <v>GT</v>
      </c>
      <c r="F6212" t="str">
        <f>"101"</f>
        <v>101</v>
      </c>
      <c r="G6212">
        <v>9</v>
      </c>
      <c r="H6212" t="str">
        <f>"21"</f>
        <v>21</v>
      </c>
      <c r="I6212" t="str">
        <f t="shared" si="1357"/>
        <v>0</v>
      </c>
      <c r="J6212" t="str">
        <f>"21"</f>
        <v>21</v>
      </c>
      <c r="K6212">
        <v>20190510</v>
      </c>
      <c r="L6212" t="str">
        <f>"076800"</f>
        <v>076800</v>
      </c>
      <c r="M6212" t="str">
        <f>"64562"</f>
        <v>64562</v>
      </c>
      <c r="N6212" t="s">
        <v>3985</v>
      </c>
      <c r="O6212">
        <v>243.61</v>
      </c>
      <c r="P6212">
        <v>20190508</v>
      </c>
      <c r="Q6212" t="s">
        <v>4938</v>
      </c>
      <c r="R6212" t="s">
        <v>4939</v>
      </c>
      <c r="S6212" t="s">
        <v>1615</v>
      </c>
      <c r="T6212" t="s">
        <v>1479</v>
      </c>
    </row>
    <row r="6213" spans="1:20" x14ac:dyDescent="0.25">
      <c r="A6213">
        <v>9</v>
      </c>
      <c r="B6213">
        <v>199</v>
      </c>
      <c r="C6213" t="str">
        <f>"00"</f>
        <v>00</v>
      </c>
      <c r="D6213">
        <v>5749</v>
      </c>
      <c r="E6213" t="str">
        <f>"00"</f>
        <v>00</v>
      </c>
      <c r="F6213" t="str">
        <f>"000"</f>
        <v>000</v>
      </c>
      <c r="G6213">
        <v>9</v>
      </c>
      <c r="H6213" t="str">
        <f>"00"</f>
        <v>00</v>
      </c>
      <c r="I6213" t="str">
        <f t="shared" si="1357"/>
        <v>0</v>
      </c>
      <c r="J6213" t="str">
        <f>"00"</f>
        <v>00</v>
      </c>
      <c r="K6213">
        <v>20190510</v>
      </c>
      <c r="L6213" t="str">
        <f>"076804"</f>
        <v>076804</v>
      </c>
      <c r="M6213" t="str">
        <f>"69162"</f>
        <v>69162</v>
      </c>
      <c r="N6213" t="s">
        <v>491</v>
      </c>
      <c r="O6213">
        <v>131</v>
      </c>
      <c r="P6213">
        <v>20190508</v>
      </c>
      <c r="Q6213" t="s">
        <v>4850</v>
      </c>
      <c r="R6213" t="s">
        <v>4940</v>
      </c>
      <c r="S6213" t="s">
        <v>1615</v>
      </c>
      <c r="T6213" t="s">
        <v>296</v>
      </c>
    </row>
    <row r="6214" spans="1:20" x14ac:dyDescent="0.25">
      <c r="A6214">
        <v>9</v>
      </c>
      <c r="B6214">
        <v>199</v>
      </c>
      <c r="C6214" t="str">
        <f>"36"</f>
        <v>36</v>
      </c>
      <c r="D6214">
        <v>6411</v>
      </c>
      <c r="E6214" t="str">
        <f>"8M"</f>
        <v>8M</v>
      </c>
      <c r="F6214" t="str">
        <f>"001"</f>
        <v>001</v>
      </c>
      <c r="G6214">
        <v>9</v>
      </c>
      <c r="H6214" t="str">
        <f t="shared" ref="H6214:H6221" si="1365">"99"</f>
        <v>99</v>
      </c>
      <c r="I6214" t="str">
        <f t="shared" si="1357"/>
        <v>0</v>
      </c>
      <c r="J6214" t="str">
        <f>"33"</f>
        <v>33</v>
      </c>
      <c r="K6214">
        <v>20190510</v>
      </c>
      <c r="L6214" t="str">
        <f>"076805"</f>
        <v>076805</v>
      </c>
      <c r="M6214" t="str">
        <f>"00455"</f>
        <v>00455</v>
      </c>
      <c r="N6214" t="s">
        <v>4941</v>
      </c>
      <c r="O6214">
        <v>145</v>
      </c>
      <c r="P6214">
        <v>20190508</v>
      </c>
      <c r="Q6214" t="s">
        <v>4942</v>
      </c>
      <c r="R6214" t="s">
        <v>4943</v>
      </c>
      <c r="S6214" t="s">
        <v>1615</v>
      </c>
      <c r="T6214" t="s">
        <v>301</v>
      </c>
    </row>
    <row r="6215" spans="1:20" x14ac:dyDescent="0.25">
      <c r="A6215">
        <v>9</v>
      </c>
      <c r="B6215">
        <v>199</v>
      </c>
      <c r="C6215" t="str">
        <f>"36"</f>
        <v>36</v>
      </c>
      <c r="D6215">
        <v>6412</v>
      </c>
      <c r="E6215" t="str">
        <f>"8M"</f>
        <v>8M</v>
      </c>
      <c r="F6215" t="str">
        <f>"001"</f>
        <v>001</v>
      </c>
      <c r="G6215">
        <v>9</v>
      </c>
      <c r="H6215" t="str">
        <f t="shared" si="1365"/>
        <v>99</v>
      </c>
      <c r="I6215" t="str">
        <f t="shared" si="1357"/>
        <v>0</v>
      </c>
      <c r="J6215" t="str">
        <f>"33"</f>
        <v>33</v>
      </c>
      <c r="K6215">
        <v>20190510</v>
      </c>
      <c r="L6215" t="str">
        <f>"076805"</f>
        <v>076805</v>
      </c>
      <c r="M6215" t="str">
        <f>"00455"</f>
        <v>00455</v>
      </c>
      <c r="N6215" t="s">
        <v>4941</v>
      </c>
      <c r="O6215" s="1">
        <v>1600</v>
      </c>
      <c r="P6215">
        <v>20190508</v>
      </c>
      <c r="Q6215" t="s">
        <v>1617</v>
      </c>
      <c r="R6215" t="s">
        <v>4943</v>
      </c>
      <c r="S6215" t="s">
        <v>1615</v>
      </c>
      <c r="T6215" t="s">
        <v>301</v>
      </c>
    </row>
    <row r="6216" spans="1:20" x14ac:dyDescent="0.25">
      <c r="A6216">
        <v>9</v>
      </c>
      <c r="B6216">
        <v>199</v>
      </c>
      <c r="C6216" t="str">
        <f>"34"</f>
        <v>34</v>
      </c>
      <c r="D6216">
        <v>6411</v>
      </c>
      <c r="E6216" t="str">
        <f>"10"</f>
        <v>10</v>
      </c>
      <c r="F6216" t="str">
        <f>"937"</f>
        <v>937</v>
      </c>
      <c r="G6216">
        <v>9</v>
      </c>
      <c r="H6216" t="str">
        <f t="shared" si="1365"/>
        <v>99</v>
      </c>
      <c r="I6216" t="str">
        <f>"1"</f>
        <v>1</v>
      </c>
      <c r="J6216" t="str">
        <f>"82"</f>
        <v>82</v>
      </c>
      <c r="K6216">
        <v>20190510</v>
      </c>
      <c r="L6216" t="str">
        <f>"076806"</f>
        <v>076806</v>
      </c>
      <c r="M6216" t="str">
        <f>"71149"</f>
        <v>71149</v>
      </c>
      <c r="N6216" t="s">
        <v>2530</v>
      </c>
      <c r="O6216">
        <v>33.869999999999997</v>
      </c>
      <c r="P6216">
        <v>20190508</v>
      </c>
      <c r="Q6216" t="s">
        <v>4885</v>
      </c>
      <c r="R6216" t="s">
        <v>4469</v>
      </c>
      <c r="S6216" t="s">
        <v>1615</v>
      </c>
      <c r="T6216" t="s">
        <v>1810</v>
      </c>
    </row>
    <row r="6217" spans="1:20" x14ac:dyDescent="0.25">
      <c r="A6217">
        <v>9</v>
      </c>
      <c r="B6217">
        <v>199</v>
      </c>
      <c r="C6217" t="str">
        <f>"34"</f>
        <v>34</v>
      </c>
      <c r="D6217">
        <v>6411</v>
      </c>
      <c r="E6217" t="str">
        <f>"10"</f>
        <v>10</v>
      </c>
      <c r="F6217" t="str">
        <f>"937"</f>
        <v>937</v>
      </c>
      <c r="G6217">
        <v>9</v>
      </c>
      <c r="H6217" t="str">
        <f t="shared" si="1365"/>
        <v>99</v>
      </c>
      <c r="I6217" t="str">
        <f>"1"</f>
        <v>1</v>
      </c>
      <c r="J6217" t="str">
        <f>"82"</f>
        <v>82</v>
      </c>
      <c r="K6217">
        <v>20190510</v>
      </c>
      <c r="L6217" t="str">
        <f>"076806"</f>
        <v>076806</v>
      </c>
      <c r="M6217" t="str">
        <f>"71149"</f>
        <v>71149</v>
      </c>
      <c r="N6217" t="s">
        <v>2530</v>
      </c>
      <c r="O6217">
        <v>11.9</v>
      </c>
      <c r="P6217">
        <v>20190508</v>
      </c>
      <c r="Q6217" t="s">
        <v>4885</v>
      </c>
      <c r="R6217" t="s">
        <v>1298</v>
      </c>
      <c r="S6217" t="s">
        <v>1615</v>
      </c>
      <c r="T6217" t="s">
        <v>1810</v>
      </c>
    </row>
    <row r="6218" spans="1:20" x14ac:dyDescent="0.25">
      <c r="A6218">
        <v>9</v>
      </c>
      <c r="B6218">
        <v>199</v>
      </c>
      <c r="C6218" t="str">
        <f>"51"</f>
        <v>51</v>
      </c>
      <c r="D6218">
        <v>6256</v>
      </c>
      <c r="E6218" t="str">
        <f>"10"</f>
        <v>10</v>
      </c>
      <c r="F6218" t="str">
        <f>"936"</f>
        <v>936</v>
      </c>
      <c r="G6218">
        <v>9</v>
      </c>
      <c r="H6218" t="str">
        <f t="shared" si="1365"/>
        <v>99</v>
      </c>
      <c r="I6218" t="str">
        <f t="shared" ref="I6218:I6231" si="1366">"0"</f>
        <v>0</v>
      </c>
      <c r="J6218" t="str">
        <f>"81"</f>
        <v>81</v>
      </c>
      <c r="K6218">
        <v>20190510</v>
      </c>
      <c r="L6218" t="str">
        <f>"076808"</f>
        <v>076808</v>
      </c>
      <c r="M6218" t="str">
        <f>"72340"</f>
        <v>72340</v>
      </c>
      <c r="N6218" t="s">
        <v>1652</v>
      </c>
      <c r="O6218">
        <v>223.28</v>
      </c>
      <c r="P6218">
        <v>20190508</v>
      </c>
      <c r="Q6218" t="s">
        <v>2679</v>
      </c>
      <c r="R6218" t="s">
        <v>4944</v>
      </c>
      <c r="S6218" t="s">
        <v>1615</v>
      </c>
      <c r="T6218" t="s">
        <v>1713</v>
      </c>
    </row>
    <row r="6219" spans="1:20" x14ac:dyDescent="0.25">
      <c r="A6219">
        <v>9</v>
      </c>
      <c r="B6219">
        <v>199</v>
      </c>
      <c r="C6219" t="str">
        <f>"41"</f>
        <v>41</v>
      </c>
      <c r="D6219">
        <v>6411</v>
      </c>
      <c r="E6219" t="str">
        <f>"10"</f>
        <v>10</v>
      </c>
      <c r="F6219" t="str">
        <f>"701"</f>
        <v>701</v>
      </c>
      <c r="G6219">
        <v>9</v>
      </c>
      <c r="H6219" t="str">
        <f t="shared" si="1365"/>
        <v>99</v>
      </c>
      <c r="I6219" t="str">
        <f t="shared" si="1366"/>
        <v>0</v>
      </c>
      <c r="J6219" t="str">
        <f>"92"</f>
        <v>92</v>
      </c>
      <c r="K6219">
        <v>20190510</v>
      </c>
      <c r="L6219" t="str">
        <f>"076809"</f>
        <v>076809</v>
      </c>
      <c r="M6219" t="str">
        <f>"76546"</f>
        <v>76546</v>
      </c>
      <c r="N6219" t="s">
        <v>4945</v>
      </c>
      <c r="O6219">
        <v>555</v>
      </c>
      <c r="P6219">
        <v>20190509</v>
      </c>
      <c r="Q6219" t="s">
        <v>3101</v>
      </c>
      <c r="R6219" t="s">
        <v>4946</v>
      </c>
      <c r="S6219" t="s">
        <v>1615</v>
      </c>
      <c r="T6219" t="s">
        <v>1841</v>
      </c>
    </row>
    <row r="6220" spans="1:20" x14ac:dyDescent="0.25">
      <c r="A6220">
        <v>9</v>
      </c>
      <c r="B6220">
        <v>199</v>
      </c>
      <c r="C6220" t="str">
        <f>"41"</f>
        <v>41</v>
      </c>
      <c r="D6220">
        <v>6417</v>
      </c>
      <c r="E6220" t="str">
        <f>"10"</f>
        <v>10</v>
      </c>
      <c r="F6220" t="str">
        <f>"702"</f>
        <v>702</v>
      </c>
      <c r="G6220">
        <v>9</v>
      </c>
      <c r="H6220" t="str">
        <f t="shared" si="1365"/>
        <v>99</v>
      </c>
      <c r="I6220" t="str">
        <f t="shared" si="1366"/>
        <v>0</v>
      </c>
      <c r="J6220" t="str">
        <f>"93"</f>
        <v>93</v>
      </c>
      <c r="K6220">
        <v>20190510</v>
      </c>
      <c r="L6220" t="str">
        <f>"076809"</f>
        <v>076809</v>
      </c>
      <c r="M6220" t="str">
        <f>"76546"</f>
        <v>76546</v>
      </c>
      <c r="N6220" t="s">
        <v>4945</v>
      </c>
      <c r="O6220" s="1">
        <v>3330</v>
      </c>
      <c r="P6220">
        <v>20190509</v>
      </c>
      <c r="Q6220" t="s">
        <v>2682</v>
      </c>
      <c r="R6220" t="s">
        <v>4946</v>
      </c>
      <c r="S6220" t="s">
        <v>1615</v>
      </c>
      <c r="T6220" t="s">
        <v>1611</v>
      </c>
    </row>
    <row r="6221" spans="1:20" x14ac:dyDescent="0.25">
      <c r="A6221">
        <v>9</v>
      </c>
      <c r="B6221">
        <v>199</v>
      </c>
      <c r="C6221" t="str">
        <f>"51"</f>
        <v>51</v>
      </c>
      <c r="D6221">
        <v>6249</v>
      </c>
      <c r="E6221" t="str">
        <f>"MC"</f>
        <v>MC</v>
      </c>
      <c r="F6221" t="str">
        <f>"041"</f>
        <v>041</v>
      </c>
      <c r="G6221">
        <v>9</v>
      </c>
      <c r="H6221" t="str">
        <f t="shared" si="1365"/>
        <v>99</v>
      </c>
      <c r="I6221" t="str">
        <f t="shared" si="1366"/>
        <v>0</v>
      </c>
      <c r="J6221" t="str">
        <f>"81"</f>
        <v>81</v>
      </c>
      <c r="K6221">
        <v>20190510</v>
      </c>
      <c r="L6221" t="str">
        <f>"076810"</f>
        <v>076810</v>
      </c>
      <c r="M6221" t="str">
        <f>"76546"</f>
        <v>76546</v>
      </c>
      <c r="N6221" t="s">
        <v>4945</v>
      </c>
      <c r="O6221">
        <v>410</v>
      </c>
      <c r="P6221">
        <v>20190509</v>
      </c>
      <c r="Q6221" t="s">
        <v>1707</v>
      </c>
      <c r="R6221" t="s">
        <v>4947</v>
      </c>
      <c r="S6221" t="s">
        <v>1615</v>
      </c>
      <c r="T6221" t="s">
        <v>106</v>
      </c>
    </row>
    <row r="6222" spans="1:20" x14ac:dyDescent="0.25">
      <c r="A6222">
        <v>9</v>
      </c>
      <c r="B6222">
        <v>199</v>
      </c>
      <c r="C6222" t="str">
        <f>"11"</f>
        <v>11</v>
      </c>
      <c r="D6222">
        <v>6399</v>
      </c>
      <c r="E6222" t="str">
        <f>"8P"</f>
        <v>8P</v>
      </c>
      <c r="F6222" t="str">
        <f>"001"</f>
        <v>001</v>
      </c>
      <c r="G6222">
        <v>9</v>
      </c>
      <c r="H6222" t="str">
        <f>"11"</f>
        <v>11</v>
      </c>
      <c r="I6222" t="str">
        <f t="shared" si="1366"/>
        <v>0</v>
      </c>
      <c r="J6222" t="str">
        <f>"01"</f>
        <v>01</v>
      </c>
      <c r="K6222">
        <v>20190510</v>
      </c>
      <c r="L6222" t="str">
        <f>"076811"</f>
        <v>076811</v>
      </c>
      <c r="M6222" t="str">
        <f>"75735"</f>
        <v>75735</v>
      </c>
      <c r="N6222" t="s">
        <v>2412</v>
      </c>
      <c r="O6222">
        <v>107.4</v>
      </c>
      <c r="P6222">
        <v>20190509</v>
      </c>
      <c r="Q6222" t="s">
        <v>2319</v>
      </c>
      <c r="R6222" t="s">
        <v>4948</v>
      </c>
      <c r="S6222" t="s">
        <v>1615</v>
      </c>
      <c r="T6222" t="s">
        <v>301</v>
      </c>
    </row>
    <row r="6223" spans="1:20" x14ac:dyDescent="0.25">
      <c r="A6223">
        <v>9</v>
      </c>
      <c r="B6223">
        <v>199</v>
      </c>
      <c r="C6223" t="str">
        <f>"11"</f>
        <v>11</v>
      </c>
      <c r="D6223">
        <v>6399</v>
      </c>
      <c r="E6223" t="str">
        <f>"AP"</f>
        <v>AP</v>
      </c>
      <c r="F6223" t="str">
        <f>"001"</f>
        <v>001</v>
      </c>
      <c r="G6223">
        <v>9</v>
      </c>
      <c r="H6223" t="str">
        <f>"31"</f>
        <v>31</v>
      </c>
      <c r="I6223" t="str">
        <f t="shared" si="1366"/>
        <v>0</v>
      </c>
      <c r="J6223" t="str">
        <f>"34"</f>
        <v>34</v>
      </c>
      <c r="K6223">
        <v>20190510</v>
      </c>
      <c r="L6223" t="str">
        <f>"076811"</f>
        <v>076811</v>
      </c>
      <c r="M6223" t="str">
        <f>"75735"</f>
        <v>75735</v>
      </c>
      <c r="N6223" t="s">
        <v>2412</v>
      </c>
      <c r="O6223">
        <v>298.8</v>
      </c>
      <c r="P6223">
        <v>20190509</v>
      </c>
      <c r="Q6223" t="s">
        <v>1677</v>
      </c>
      <c r="R6223" t="s">
        <v>3907</v>
      </c>
      <c r="S6223" t="s">
        <v>1615</v>
      </c>
      <c r="T6223" t="s">
        <v>301</v>
      </c>
    </row>
    <row r="6224" spans="1:20" x14ac:dyDescent="0.25">
      <c r="A6224">
        <v>9</v>
      </c>
      <c r="B6224">
        <v>199</v>
      </c>
      <c r="C6224" t="str">
        <f>"51"</f>
        <v>51</v>
      </c>
      <c r="D6224">
        <v>6219</v>
      </c>
      <c r="E6224" t="str">
        <f>"11"</f>
        <v>11</v>
      </c>
      <c r="F6224" t="str">
        <f>"936"</f>
        <v>936</v>
      </c>
      <c r="G6224">
        <v>9</v>
      </c>
      <c r="H6224" t="str">
        <f>"99"</f>
        <v>99</v>
      </c>
      <c r="I6224" t="str">
        <f t="shared" si="1366"/>
        <v>0</v>
      </c>
      <c r="J6224" t="str">
        <f>"81"</f>
        <v>81</v>
      </c>
      <c r="K6224">
        <v>20190510</v>
      </c>
      <c r="L6224" t="str">
        <f>"076812"</f>
        <v>076812</v>
      </c>
      <c r="M6224" t="str">
        <f>"00807"</f>
        <v>00807</v>
      </c>
      <c r="N6224" t="s">
        <v>4949</v>
      </c>
      <c r="O6224">
        <v>420</v>
      </c>
      <c r="P6224">
        <v>20190509</v>
      </c>
      <c r="Q6224" t="s">
        <v>1815</v>
      </c>
      <c r="R6224" t="s">
        <v>4950</v>
      </c>
      <c r="S6224" t="s">
        <v>1615</v>
      </c>
      <c r="T6224" t="s">
        <v>1713</v>
      </c>
    </row>
    <row r="6225" spans="1:20" x14ac:dyDescent="0.25">
      <c r="A6225">
        <v>9</v>
      </c>
      <c r="B6225">
        <v>199</v>
      </c>
      <c r="C6225" t="str">
        <f>"00"</f>
        <v>00</v>
      </c>
      <c r="D6225">
        <v>5749</v>
      </c>
      <c r="E6225" t="str">
        <f>"00"</f>
        <v>00</v>
      </c>
      <c r="F6225" t="str">
        <f>"000"</f>
        <v>000</v>
      </c>
      <c r="G6225">
        <v>9</v>
      </c>
      <c r="H6225" t="str">
        <f>"00"</f>
        <v>00</v>
      </c>
      <c r="I6225" t="str">
        <f t="shared" si="1366"/>
        <v>0</v>
      </c>
      <c r="J6225" t="str">
        <f>"00"</f>
        <v>00</v>
      </c>
      <c r="K6225">
        <v>20190510</v>
      </c>
      <c r="L6225" t="str">
        <f>"076813"</f>
        <v>076813</v>
      </c>
      <c r="M6225" t="str">
        <f>"78340"</f>
        <v>78340</v>
      </c>
      <c r="N6225" t="s">
        <v>2795</v>
      </c>
      <c r="O6225">
        <v>75</v>
      </c>
      <c r="P6225">
        <v>20190509</v>
      </c>
      <c r="Q6225" t="s">
        <v>4850</v>
      </c>
      <c r="R6225" t="s">
        <v>4951</v>
      </c>
      <c r="S6225" t="s">
        <v>1615</v>
      </c>
      <c r="T6225" t="s">
        <v>296</v>
      </c>
    </row>
    <row r="6226" spans="1:20" x14ac:dyDescent="0.25">
      <c r="A6226">
        <v>9</v>
      </c>
      <c r="B6226">
        <v>199</v>
      </c>
      <c r="C6226" t="str">
        <f>"00"</f>
        <v>00</v>
      </c>
      <c r="D6226">
        <v>5749</v>
      </c>
      <c r="E6226" t="str">
        <f>"00"</f>
        <v>00</v>
      </c>
      <c r="F6226" t="str">
        <f>"000"</f>
        <v>000</v>
      </c>
      <c r="G6226">
        <v>9</v>
      </c>
      <c r="H6226" t="str">
        <f>"00"</f>
        <v>00</v>
      </c>
      <c r="I6226" t="str">
        <f t="shared" si="1366"/>
        <v>0</v>
      </c>
      <c r="J6226" t="str">
        <f>"00"</f>
        <v>00</v>
      </c>
      <c r="K6226">
        <v>20190510</v>
      </c>
      <c r="L6226" t="str">
        <f>"076814"</f>
        <v>076814</v>
      </c>
      <c r="M6226" t="str">
        <f>"78346"</f>
        <v>78346</v>
      </c>
      <c r="N6226" t="s">
        <v>4375</v>
      </c>
      <c r="O6226">
        <v>125</v>
      </c>
      <c r="P6226">
        <v>20190509</v>
      </c>
      <c r="Q6226" t="s">
        <v>4850</v>
      </c>
      <c r="R6226" t="s">
        <v>4952</v>
      </c>
      <c r="S6226" t="s">
        <v>1615</v>
      </c>
      <c r="T6226" t="s">
        <v>296</v>
      </c>
    </row>
    <row r="6227" spans="1:20" x14ac:dyDescent="0.25">
      <c r="A6227">
        <v>9</v>
      </c>
      <c r="B6227">
        <v>199</v>
      </c>
      <c r="C6227" t="str">
        <f>"13"</f>
        <v>13</v>
      </c>
      <c r="D6227">
        <v>6411</v>
      </c>
      <c r="E6227" t="str">
        <f>"NL"</f>
        <v>NL</v>
      </c>
      <c r="F6227" t="str">
        <f>"001"</f>
        <v>001</v>
      </c>
      <c r="G6227">
        <v>9</v>
      </c>
      <c r="H6227" t="str">
        <f>"22"</f>
        <v>22</v>
      </c>
      <c r="I6227" t="str">
        <f t="shared" si="1366"/>
        <v>0</v>
      </c>
      <c r="J6227" t="str">
        <f>"22"</f>
        <v>22</v>
      </c>
      <c r="K6227">
        <v>20190510</v>
      </c>
      <c r="L6227" t="str">
        <f>"076815"</f>
        <v>076815</v>
      </c>
      <c r="M6227" t="str">
        <f>"00430"</f>
        <v>00430</v>
      </c>
      <c r="N6227" t="s">
        <v>4953</v>
      </c>
      <c r="O6227">
        <v>450</v>
      </c>
      <c r="P6227">
        <v>20190509</v>
      </c>
      <c r="Q6227" t="s">
        <v>4676</v>
      </c>
      <c r="R6227" t="s">
        <v>4954</v>
      </c>
      <c r="S6227" t="s">
        <v>1615</v>
      </c>
      <c r="T6227" t="s">
        <v>301</v>
      </c>
    </row>
    <row r="6228" spans="1:20" x14ac:dyDescent="0.25">
      <c r="A6228">
        <v>9</v>
      </c>
      <c r="B6228">
        <v>199</v>
      </c>
      <c r="C6228" t="str">
        <f>"00"</f>
        <v>00</v>
      </c>
      <c r="D6228">
        <v>5749</v>
      </c>
      <c r="E6228" t="str">
        <f>"00"</f>
        <v>00</v>
      </c>
      <c r="F6228" t="str">
        <f>"000"</f>
        <v>000</v>
      </c>
      <c r="G6228">
        <v>9</v>
      </c>
      <c r="H6228" t="str">
        <f>"00"</f>
        <v>00</v>
      </c>
      <c r="I6228" t="str">
        <f t="shared" si="1366"/>
        <v>0</v>
      </c>
      <c r="J6228" t="str">
        <f>"00"</f>
        <v>00</v>
      </c>
      <c r="K6228">
        <v>20190510</v>
      </c>
      <c r="L6228" t="str">
        <f>"076818"</f>
        <v>076818</v>
      </c>
      <c r="M6228" t="str">
        <f>"80470"</f>
        <v>80470</v>
      </c>
      <c r="N6228" t="s">
        <v>391</v>
      </c>
      <c r="O6228">
        <v>45</v>
      </c>
      <c r="P6228">
        <v>20190509</v>
      </c>
      <c r="Q6228" t="s">
        <v>4850</v>
      </c>
      <c r="R6228" t="s">
        <v>4955</v>
      </c>
      <c r="S6228" t="s">
        <v>1615</v>
      </c>
      <c r="T6228" t="s">
        <v>296</v>
      </c>
    </row>
    <row r="6229" spans="1:20" x14ac:dyDescent="0.25">
      <c r="A6229">
        <v>9</v>
      </c>
      <c r="B6229">
        <v>199</v>
      </c>
      <c r="C6229" t="str">
        <f>"13"</f>
        <v>13</v>
      </c>
      <c r="D6229">
        <v>6411</v>
      </c>
      <c r="E6229" t="str">
        <f>"VB"</f>
        <v>VB</v>
      </c>
      <c r="F6229" t="str">
        <f>"001"</f>
        <v>001</v>
      </c>
      <c r="G6229">
        <v>9</v>
      </c>
      <c r="H6229" t="str">
        <f>"22"</f>
        <v>22</v>
      </c>
      <c r="I6229" t="str">
        <f t="shared" si="1366"/>
        <v>0</v>
      </c>
      <c r="J6229" t="str">
        <f>"22"</f>
        <v>22</v>
      </c>
      <c r="K6229">
        <v>20190510</v>
      </c>
      <c r="L6229" t="str">
        <f>"076819"</f>
        <v>076819</v>
      </c>
      <c r="M6229" t="str">
        <f>"00803"</f>
        <v>00803</v>
      </c>
      <c r="N6229" t="s">
        <v>4956</v>
      </c>
      <c r="O6229">
        <v>517.26</v>
      </c>
      <c r="P6229">
        <v>20190509</v>
      </c>
      <c r="Q6229" t="s">
        <v>3135</v>
      </c>
      <c r="R6229" t="s">
        <v>4755</v>
      </c>
      <c r="S6229" t="s">
        <v>1615</v>
      </c>
      <c r="T6229" t="s">
        <v>301</v>
      </c>
    </row>
    <row r="6230" spans="1:20" x14ac:dyDescent="0.25">
      <c r="A6230">
        <v>9</v>
      </c>
      <c r="B6230">
        <v>199</v>
      </c>
      <c r="C6230" t="str">
        <f>"00"</f>
        <v>00</v>
      </c>
      <c r="D6230">
        <v>5749</v>
      </c>
      <c r="E6230" t="str">
        <f>"00"</f>
        <v>00</v>
      </c>
      <c r="F6230" t="str">
        <f>"000"</f>
        <v>000</v>
      </c>
      <c r="G6230">
        <v>9</v>
      </c>
      <c r="H6230" t="str">
        <f>"00"</f>
        <v>00</v>
      </c>
      <c r="I6230" t="str">
        <f t="shared" si="1366"/>
        <v>0</v>
      </c>
      <c r="J6230" t="str">
        <f>"00"</f>
        <v>00</v>
      </c>
      <c r="K6230">
        <v>20190510</v>
      </c>
      <c r="L6230" t="str">
        <f>"076820"</f>
        <v>076820</v>
      </c>
      <c r="M6230" t="str">
        <f>"82315"</f>
        <v>82315</v>
      </c>
      <c r="N6230" t="s">
        <v>4957</v>
      </c>
      <c r="O6230">
        <v>45</v>
      </c>
      <c r="P6230">
        <v>20190509</v>
      </c>
      <c r="Q6230" t="s">
        <v>4850</v>
      </c>
      <c r="R6230" t="s">
        <v>4958</v>
      </c>
      <c r="S6230" t="s">
        <v>1615</v>
      </c>
      <c r="T6230" t="s">
        <v>296</v>
      </c>
    </row>
    <row r="6231" spans="1:20" x14ac:dyDescent="0.25">
      <c r="A6231">
        <v>9</v>
      </c>
      <c r="B6231">
        <v>199</v>
      </c>
      <c r="C6231" t="str">
        <f>"00"</f>
        <v>00</v>
      </c>
      <c r="D6231">
        <v>5749</v>
      </c>
      <c r="E6231" t="str">
        <f>"00"</f>
        <v>00</v>
      </c>
      <c r="F6231" t="str">
        <f>"000"</f>
        <v>000</v>
      </c>
      <c r="G6231">
        <v>9</v>
      </c>
      <c r="H6231" t="str">
        <f>"00"</f>
        <v>00</v>
      </c>
      <c r="I6231" t="str">
        <f t="shared" si="1366"/>
        <v>0</v>
      </c>
      <c r="J6231" t="str">
        <f>"00"</f>
        <v>00</v>
      </c>
      <c r="K6231">
        <v>20190510</v>
      </c>
      <c r="L6231" t="str">
        <f>"076820"</f>
        <v>076820</v>
      </c>
      <c r="M6231" t="str">
        <f>"82315"</f>
        <v>82315</v>
      </c>
      <c r="N6231" t="s">
        <v>4957</v>
      </c>
      <c r="O6231">
        <v>45</v>
      </c>
      <c r="P6231">
        <v>20190509</v>
      </c>
      <c r="Q6231" t="s">
        <v>4850</v>
      </c>
      <c r="R6231" t="s">
        <v>4958</v>
      </c>
      <c r="S6231" t="s">
        <v>1615</v>
      </c>
      <c r="T6231" t="s">
        <v>296</v>
      </c>
    </row>
    <row r="6232" spans="1:20" x14ac:dyDescent="0.25">
      <c r="A6232">
        <v>9</v>
      </c>
      <c r="B6232">
        <v>199</v>
      </c>
      <c r="C6232" t="str">
        <f>"34"</f>
        <v>34</v>
      </c>
      <c r="D6232">
        <v>6411</v>
      </c>
      <c r="E6232" t="str">
        <f>"10"</f>
        <v>10</v>
      </c>
      <c r="F6232" t="str">
        <f>"937"</f>
        <v>937</v>
      </c>
      <c r="G6232">
        <v>9</v>
      </c>
      <c r="H6232" t="str">
        <f>"99"</f>
        <v>99</v>
      </c>
      <c r="I6232" t="str">
        <f>"1"</f>
        <v>1</v>
      </c>
      <c r="J6232" t="str">
        <f>"82"</f>
        <v>82</v>
      </c>
      <c r="K6232">
        <v>20190510</v>
      </c>
      <c r="L6232" t="str">
        <f>"076821"</f>
        <v>076821</v>
      </c>
      <c r="M6232" t="str">
        <f>"00817"</f>
        <v>00817</v>
      </c>
      <c r="N6232" t="s">
        <v>4959</v>
      </c>
      <c r="O6232">
        <v>14.59</v>
      </c>
      <c r="P6232">
        <v>20190509</v>
      </c>
      <c r="Q6232" t="s">
        <v>4885</v>
      </c>
      <c r="R6232" t="s">
        <v>4672</v>
      </c>
      <c r="S6232" t="s">
        <v>1615</v>
      </c>
      <c r="T6232" t="s">
        <v>1810</v>
      </c>
    </row>
    <row r="6233" spans="1:20" x14ac:dyDescent="0.25">
      <c r="A6233">
        <v>9</v>
      </c>
      <c r="B6233">
        <v>199</v>
      </c>
      <c r="C6233" t="str">
        <f>"41"</f>
        <v>41</v>
      </c>
      <c r="D6233">
        <v>6299</v>
      </c>
      <c r="E6233" t="str">
        <f>"10"</f>
        <v>10</v>
      </c>
      <c r="F6233" t="str">
        <f>"730"</f>
        <v>730</v>
      </c>
      <c r="G6233">
        <v>9</v>
      </c>
      <c r="H6233" t="str">
        <f>"99"</f>
        <v>99</v>
      </c>
      <c r="I6233" t="str">
        <f t="shared" ref="I6233:I6273" si="1367">"0"</f>
        <v>0</v>
      </c>
      <c r="J6233" t="str">
        <f>"95"</f>
        <v>95</v>
      </c>
      <c r="K6233">
        <v>20190517</v>
      </c>
      <c r="L6233" t="str">
        <f>"076823"</f>
        <v>076823</v>
      </c>
      <c r="M6233" t="str">
        <f>"01530"</f>
        <v>01530</v>
      </c>
      <c r="N6233" t="s">
        <v>1672</v>
      </c>
      <c r="O6233">
        <v>55</v>
      </c>
      <c r="P6233">
        <v>20190516</v>
      </c>
      <c r="Q6233" t="s">
        <v>2434</v>
      </c>
      <c r="R6233" t="s">
        <v>4960</v>
      </c>
      <c r="S6233" t="s">
        <v>1615</v>
      </c>
      <c r="T6233" t="s">
        <v>1794</v>
      </c>
    </row>
    <row r="6234" spans="1:20" x14ac:dyDescent="0.25">
      <c r="A6234">
        <v>9</v>
      </c>
      <c r="B6234">
        <v>199</v>
      </c>
      <c r="C6234" t="str">
        <f>"41"</f>
        <v>41</v>
      </c>
      <c r="D6234">
        <v>6299</v>
      </c>
      <c r="E6234" t="str">
        <f>"10"</f>
        <v>10</v>
      </c>
      <c r="F6234" t="str">
        <f>"730"</f>
        <v>730</v>
      </c>
      <c r="G6234">
        <v>9</v>
      </c>
      <c r="H6234" t="str">
        <f>"99"</f>
        <v>99</v>
      </c>
      <c r="I6234" t="str">
        <f t="shared" si="1367"/>
        <v>0</v>
      </c>
      <c r="J6234" t="str">
        <f>"95"</f>
        <v>95</v>
      </c>
      <c r="K6234">
        <v>20190517</v>
      </c>
      <c r="L6234" t="str">
        <f>"076823"</f>
        <v>076823</v>
      </c>
      <c r="M6234" t="str">
        <f>"01530"</f>
        <v>01530</v>
      </c>
      <c r="N6234" t="s">
        <v>1672</v>
      </c>
      <c r="O6234">
        <v>195</v>
      </c>
      <c r="P6234">
        <v>20190516</v>
      </c>
      <c r="Q6234" t="s">
        <v>2434</v>
      </c>
      <c r="R6234" t="s">
        <v>4595</v>
      </c>
      <c r="S6234" t="s">
        <v>1615</v>
      </c>
      <c r="T6234" t="s">
        <v>1794</v>
      </c>
    </row>
    <row r="6235" spans="1:20" x14ac:dyDescent="0.25">
      <c r="A6235">
        <v>9</v>
      </c>
      <c r="B6235">
        <v>199</v>
      </c>
      <c r="C6235" t="str">
        <f t="shared" ref="C6235:C6245" si="1368">"11"</f>
        <v>11</v>
      </c>
      <c r="D6235">
        <v>6399</v>
      </c>
      <c r="E6235" t="str">
        <f>"00"</f>
        <v>00</v>
      </c>
      <c r="F6235" t="str">
        <f>"104"</f>
        <v>104</v>
      </c>
      <c r="G6235">
        <v>9</v>
      </c>
      <c r="H6235" t="str">
        <f>"23"</f>
        <v>23</v>
      </c>
      <c r="I6235" t="str">
        <f t="shared" si="1367"/>
        <v>0</v>
      </c>
      <c r="J6235" t="str">
        <f>"23"</f>
        <v>23</v>
      </c>
      <c r="K6235">
        <v>20190517</v>
      </c>
      <c r="L6235" t="str">
        <f t="shared" ref="L6235:L6249" si="1369">"076825"</f>
        <v>076825</v>
      </c>
      <c r="M6235" t="str">
        <f t="shared" ref="M6235:M6249" si="1370">"04410"</f>
        <v>04410</v>
      </c>
      <c r="N6235" t="s">
        <v>410</v>
      </c>
      <c r="O6235">
        <v>30.97</v>
      </c>
      <c r="P6235">
        <v>20190515</v>
      </c>
      <c r="Q6235" t="s">
        <v>4318</v>
      </c>
      <c r="R6235" t="s">
        <v>4961</v>
      </c>
      <c r="S6235" t="s">
        <v>1615</v>
      </c>
      <c r="T6235" t="s">
        <v>46</v>
      </c>
    </row>
    <row r="6236" spans="1:20" x14ac:dyDescent="0.25">
      <c r="A6236">
        <v>9</v>
      </c>
      <c r="B6236">
        <v>199</v>
      </c>
      <c r="C6236" t="str">
        <f t="shared" si="1368"/>
        <v>11</v>
      </c>
      <c r="D6236">
        <v>6399</v>
      </c>
      <c r="E6236" t="str">
        <f>"10"</f>
        <v>10</v>
      </c>
      <c r="F6236" t="str">
        <f>"001"</f>
        <v>001</v>
      </c>
      <c r="G6236">
        <v>9</v>
      </c>
      <c r="H6236" t="str">
        <f t="shared" ref="H6236:H6245" si="1371">"11"</f>
        <v>11</v>
      </c>
      <c r="I6236" t="str">
        <f t="shared" si="1367"/>
        <v>0</v>
      </c>
      <c r="J6236" t="str">
        <f>"01"</f>
        <v>01</v>
      </c>
      <c r="K6236">
        <v>20190517</v>
      </c>
      <c r="L6236" t="str">
        <f t="shared" si="1369"/>
        <v>076825</v>
      </c>
      <c r="M6236" t="str">
        <f t="shared" si="1370"/>
        <v>04410</v>
      </c>
      <c r="N6236" t="s">
        <v>410</v>
      </c>
      <c r="O6236">
        <v>151.4</v>
      </c>
      <c r="P6236">
        <v>20190515</v>
      </c>
      <c r="Q6236" t="s">
        <v>1675</v>
      </c>
      <c r="R6236" t="s">
        <v>4861</v>
      </c>
      <c r="S6236" t="s">
        <v>1615</v>
      </c>
      <c r="T6236" t="s">
        <v>301</v>
      </c>
    </row>
    <row r="6237" spans="1:20" x14ac:dyDescent="0.25">
      <c r="A6237">
        <v>9</v>
      </c>
      <c r="B6237">
        <v>199</v>
      </c>
      <c r="C6237" t="str">
        <f t="shared" si="1368"/>
        <v>11</v>
      </c>
      <c r="D6237">
        <v>6399</v>
      </c>
      <c r="E6237" t="str">
        <f>"10"</f>
        <v>10</v>
      </c>
      <c r="F6237" t="str">
        <f>"001"</f>
        <v>001</v>
      </c>
      <c r="G6237">
        <v>9</v>
      </c>
      <c r="H6237" t="str">
        <f t="shared" si="1371"/>
        <v>11</v>
      </c>
      <c r="I6237" t="str">
        <f t="shared" si="1367"/>
        <v>0</v>
      </c>
      <c r="J6237" t="str">
        <f>"01"</f>
        <v>01</v>
      </c>
      <c r="K6237">
        <v>20190517</v>
      </c>
      <c r="L6237" t="str">
        <f t="shared" si="1369"/>
        <v>076825</v>
      </c>
      <c r="M6237" t="str">
        <f t="shared" si="1370"/>
        <v>04410</v>
      </c>
      <c r="N6237" t="s">
        <v>410</v>
      </c>
      <c r="O6237">
        <v>45</v>
      </c>
      <c r="P6237">
        <v>20190515</v>
      </c>
      <c r="Q6237" t="s">
        <v>1675</v>
      </c>
      <c r="R6237" t="s">
        <v>4962</v>
      </c>
      <c r="S6237" t="s">
        <v>1615</v>
      </c>
      <c r="T6237" t="s">
        <v>301</v>
      </c>
    </row>
    <row r="6238" spans="1:20" x14ac:dyDescent="0.25">
      <c r="A6238">
        <v>9</v>
      </c>
      <c r="B6238">
        <v>199</v>
      </c>
      <c r="C6238" t="str">
        <f t="shared" si="1368"/>
        <v>11</v>
      </c>
      <c r="D6238">
        <v>6399</v>
      </c>
      <c r="E6238" t="str">
        <f>"10"</f>
        <v>10</v>
      </c>
      <c r="F6238" t="str">
        <f>"001"</f>
        <v>001</v>
      </c>
      <c r="G6238">
        <v>9</v>
      </c>
      <c r="H6238" t="str">
        <f t="shared" si="1371"/>
        <v>11</v>
      </c>
      <c r="I6238" t="str">
        <f t="shared" si="1367"/>
        <v>0</v>
      </c>
      <c r="J6238" t="str">
        <f>"01"</f>
        <v>01</v>
      </c>
      <c r="K6238">
        <v>20190517</v>
      </c>
      <c r="L6238" t="str">
        <f t="shared" si="1369"/>
        <v>076825</v>
      </c>
      <c r="M6238" t="str">
        <f t="shared" si="1370"/>
        <v>04410</v>
      </c>
      <c r="N6238" t="s">
        <v>410</v>
      </c>
      <c r="O6238">
        <v>70.7</v>
      </c>
      <c r="P6238">
        <v>20190515</v>
      </c>
      <c r="Q6238" t="s">
        <v>1675</v>
      </c>
      <c r="R6238" t="s">
        <v>4963</v>
      </c>
      <c r="S6238" t="s">
        <v>1615</v>
      </c>
      <c r="T6238" t="s">
        <v>301</v>
      </c>
    </row>
    <row r="6239" spans="1:20" x14ac:dyDescent="0.25">
      <c r="A6239">
        <v>9</v>
      </c>
      <c r="B6239">
        <v>199</v>
      </c>
      <c r="C6239" t="str">
        <f t="shared" si="1368"/>
        <v>11</v>
      </c>
      <c r="D6239">
        <v>6399</v>
      </c>
      <c r="E6239" t="str">
        <f>"45"</f>
        <v>45</v>
      </c>
      <c r="F6239" t="str">
        <f>"101"</f>
        <v>101</v>
      </c>
      <c r="G6239">
        <v>9</v>
      </c>
      <c r="H6239" t="str">
        <f t="shared" si="1371"/>
        <v>11</v>
      </c>
      <c r="I6239" t="str">
        <f t="shared" si="1367"/>
        <v>0</v>
      </c>
      <c r="J6239" t="str">
        <f>"04"</f>
        <v>04</v>
      </c>
      <c r="K6239">
        <v>20190517</v>
      </c>
      <c r="L6239" t="str">
        <f t="shared" si="1369"/>
        <v>076825</v>
      </c>
      <c r="M6239" t="str">
        <f t="shared" si="1370"/>
        <v>04410</v>
      </c>
      <c r="N6239" t="s">
        <v>410</v>
      </c>
      <c r="O6239" s="1">
        <v>1392.2</v>
      </c>
      <c r="P6239">
        <v>20190515</v>
      </c>
      <c r="Q6239" t="s">
        <v>1859</v>
      </c>
      <c r="R6239" t="s">
        <v>4964</v>
      </c>
      <c r="S6239" t="s">
        <v>1615</v>
      </c>
      <c r="T6239" t="s">
        <v>1479</v>
      </c>
    </row>
    <row r="6240" spans="1:20" x14ac:dyDescent="0.25">
      <c r="A6240">
        <v>9</v>
      </c>
      <c r="B6240">
        <v>199</v>
      </c>
      <c r="C6240" t="str">
        <f t="shared" si="1368"/>
        <v>11</v>
      </c>
      <c r="D6240">
        <v>6399</v>
      </c>
      <c r="E6240" t="str">
        <f>"7P"</f>
        <v>7P</v>
      </c>
      <c r="F6240" t="str">
        <f t="shared" ref="F6240:F6249" si="1372">"001"</f>
        <v>001</v>
      </c>
      <c r="G6240">
        <v>9</v>
      </c>
      <c r="H6240" t="str">
        <f t="shared" si="1371"/>
        <v>11</v>
      </c>
      <c r="I6240" t="str">
        <f t="shared" si="1367"/>
        <v>0</v>
      </c>
      <c r="J6240" t="str">
        <f t="shared" ref="J6240:J6245" si="1373">"01"</f>
        <v>01</v>
      </c>
      <c r="K6240">
        <v>20190517</v>
      </c>
      <c r="L6240" t="str">
        <f t="shared" si="1369"/>
        <v>076825</v>
      </c>
      <c r="M6240" t="str">
        <f t="shared" si="1370"/>
        <v>04410</v>
      </c>
      <c r="N6240" t="s">
        <v>410</v>
      </c>
      <c r="O6240">
        <v>139.72</v>
      </c>
      <c r="P6240">
        <v>20190515</v>
      </c>
      <c r="Q6240" t="s">
        <v>3339</v>
      </c>
      <c r="R6240" t="s">
        <v>4965</v>
      </c>
      <c r="S6240" t="s">
        <v>1615</v>
      </c>
      <c r="T6240" t="s">
        <v>301</v>
      </c>
    </row>
    <row r="6241" spans="1:20" x14ac:dyDescent="0.25">
      <c r="A6241">
        <v>9</v>
      </c>
      <c r="B6241">
        <v>199</v>
      </c>
      <c r="C6241" t="str">
        <f t="shared" si="1368"/>
        <v>11</v>
      </c>
      <c r="D6241">
        <v>6399</v>
      </c>
      <c r="E6241" t="str">
        <f>"AY"</f>
        <v>AY</v>
      </c>
      <c r="F6241" t="str">
        <f t="shared" si="1372"/>
        <v>001</v>
      </c>
      <c r="G6241">
        <v>9</v>
      </c>
      <c r="H6241" t="str">
        <f t="shared" si="1371"/>
        <v>11</v>
      </c>
      <c r="I6241" t="str">
        <f t="shared" si="1367"/>
        <v>0</v>
      </c>
      <c r="J6241" t="str">
        <f t="shared" si="1373"/>
        <v>01</v>
      </c>
      <c r="K6241">
        <v>20190517</v>
      </c>
      <c r="L6241" t="str">
        <f t="shared" si="1369"/>
        <v>076825</v>
      </c>
      <c r="M6241" t="str">
        <f t="shared" si="1370"/>
        <v>04410</v>
      </c>
      <c r="N6241" t="s">
        <v>410</v>
      </c>
      <c r="O6241">
        <v>539.15</v>
      </c>
      <c r="P6241">
        <v>20190515</v>
      </c>
      <c r="Q6241" t="s">
        <v>3098</v>
      </c>
      <c r="R6241" t="s">
        <v>4966</v>
      </c>
      <c r="S6241" t="s">
        <v>1615</v>
      </c>
      <c r="T6241" t="s">
        <v>301</v>
      </c>
    </row>
    <row r="6242" spans="1:20" x14ac:dyDescent="0.25">
      <c r="A6242">
        <v>9</v>
      </c>
      <c r="B6242">
        <v>199</v>
      </c>
      <c r="C6242" t="str">
        <f t="shared" si="1368"/>
        <v>11</v>
      </c>
      <c r="D6242">
        <v>6399</v>
      </c>
      <c r="E6242" t="str">
        <f>"N1"</f>
        <v>N1</v>
      </c>
      <c r="F6242" t="str">
        <f t="shared" si="1372"/>
        <v>001</v>
      </c>
      <c r="G6242">
        <v>9</v>
      </c>
      <c r="H6242" t="str">
        <f t="shared" si="1371"/>
        <v>11</v>
      </c>
      <c r="I6242" t="str">
        <f t="shared" si="1367"/>
        <v>0</v>
      </c>
      <c r="J6242" t="str">
        <f t="shared" si="1373"/>
        <v>01</v>
      </c>
      <c r="K6242">
        <v>20190517</v>
      </c>
      <c r="L6242" t="str">
        <f t="shared" si="1369"/>
        <v>076825</v>
      </c>
      <c r="M6242" t="str">
        <f t="shared" si="1370"/>
        <v>04410</v>
      </c>
      <c r="N6242" t="s">
        <v>410</v>
      </c>
      <c r="O6242">
        <v>704.72</v>
      </c>
      <c r="P6242">
        <v>20190515</v>
      </c>
      <c r="Q6242" t="s">
        <v>2637</v>
      </c>
      <c r="R6242" t="s">
        <v>3341</v>
      </c>
      <c r="S6242" t="s">
        <v>1615</v>
      </c>
      <c r="T6242" t="s">
        <v>301</v>
      </c>
    </row>
    <row r="6243" spans="1:20" x14ac:dyDescent="0.25">
      <c r="A6243">
        <v>9</v>
      </c>
      <c r="B6243">
        <v>199</v>
      </c>
      <c r="C6243" t="str">
        <f t="shared" si="1368"/>
        <v>11</v>
      </c>
      <c r="D6243">
        <v>6399</v>
      </c>
      <c r="E6243" t="str">
        <f>"N1"</f>
        <v>N1</v>
      </c>
      <c r="F6243" t="str">
        <f t="shared" si="1372"/>
        <v>001</v>
      </c>
      <c r="G6243">
        <v>9</v>
      </c>
      <c r="H6243" t="str">
        <f t="shared" si="1371"/>
        <v>11</v>
      </c>
      <c r="I6243" t="str">
        <f t="shared" si="1367"/>
        <v>0</v>
      </c>
      <c r="J6243" t="str">
        <f t="shared" si="1373"/>
        <v>01</v>
      </c>
      <c r="K6243">
        <v>20190517</v>
      </c>
      <c r="L6243" t="str">
        <f t="shared" si="1369"/>
        <v>076825</v>
      </c>
      <c r="M6243" t="str">
        <f t="shared" si="1370"/>
        <v>04410</v>
      </c>
      <c r="N6243" t="s">
        <v>410</v>
      </c>
      <c r="O6243">
        <v>192.49</v>
      </c>
      <c r="P6243">
        <v>20190515</v>
      </c>
      <c r="Q6243" t="s">
        <v>2637</v>
      </c>
      <c r="R6243" t="s">
        <v>3341</v>
      </c>
      <c r="S6243" t="s">
        <v>1615</v>
      </c>
      <c r="T6243" t="s">
        <v>301</v>
      </c>
    </row>
    <row r="6244" spans="1:20" x14ac:dyDescent="0.25">
      <c r="A6244">
        <v>9</v>
      </c>
      <c r="B6244">
        <v>199</v>
      </c>
      <c r="C6244" t="str">
        <f t="shared" si="1368"/>
        <v>11</v>
      </c>
      <c r="D6244">
        <v>6399</v>
      </c>
      <c r="E6244" t="str">
        <f>"SC"</f>
        <v>SC</v>
      </c>
      <c r="F6244" t="str">
        <f t="shared" si="1372"/>
        <v>001</v>
      </c>
      <c r="G6244">
        <v>9</v>
      </c>
      <c r="H6244" t="str">
        <f t="shared" si="1371"/>
        <v>11</v>
      </c>
      <c r="I6244" t="str">
        <f t="shared" si="1367"/>
        <v>0</v>
      </c>
      <c r="J6244" t="str">
        <f t="shared" si="1373"/>
        <v>01</v>
      </c>
      <c r="K6244">
        <v>20190517</v>
      </c>
      <c r="L6244" t="str">
        <f t="shared" si="1369"/>
        <v>076825</v>
      </c>
      <c r="M6244" t="str">
        <f t="shared" si="1370"/>
        <v>04410</v>
      </c>
      <c r="N6244" t="s">
        <v>410</v>
      </c>
      <c r="O6244">
        <v>136.69999999999999</v>
      </c>
      <c r="P6244">
        <v>20190515</v>
      </c>
      <c r="Q6244" t="s">
        <v>4967</v>
      </c>
      <c r="R6244" t="s">
        <v>2793</v>
      </c>
      <c r="S6244" t="s">
        <v>1615</v>
      </c>
      <c r="T6244" t="s">
        <v>301</v>
      </c>
    </row>
    <row r="6245" spans="1:20" x14ac:dyDescent="0.25">
      <c r="A6245">
        <v>9</v>
      </c>
      <c r="B6245">
        <v>199</v>
      </c>
      <c r="C6245" t="str">
        <f t="shared" si="1368"/>
        <v>11</v>
      </c>
      <c r="D6245">
        <v>6399</v>
      </c>
      <c r="E6245" t="str">
        <f>"SL"</f>
        <v>SL</v>
      </c>
      <c r="F6245" t="str">
        <f t="shared" si="1372"/>
        <v>001</v>
      </c>
      <c r="G6245">
        <v>9</v>
      </c>
      <c r="H6245" t="str">
        <f t="shared" si="1371"/>
        <v>11</v>
      </c>
      <c r="I6245" t="str">
        <f t="shared" si="1367"/>
        <v>0</v>
      </c>
      <c r="J6245" t="str">
        <f t="shared" si="1373"/>
        <v>01</v>
      </c>
      <c r="K6245">
        <v>20190517</v>
      </c>
      <c r="L6245" t="str">
        <f t="shared" si="1369"/>
        <v>076825</v>
      </c>
      <c r="M6245" t="str">
        <f t="shared" si="1370"/>
        <v>04410</v>
      </c>
      <c r="N6245" t="s">
        <v>410</v>
      </c>
      <c r="O6245">
        <v>138.25</v>
      </c>
      <c r="P6245">
        <v>20190515</v>
      </c>
      <c r="Q6245" t="s">
        <v>2824</v>
      </c>
      <c r="R6245" t="s">
        <v>4968</v>
      </c>
      <c r="S6245" t="s">
        <v>1615</v>
      </c>
      <c r="T6245" t="s">
        <v>301</v>
      </c>
    </row>
    <row r="6246" spans="1:20" x14ac:dyDescent="0.25">
      <c r="A6246">
        <v>9</v>
      </c>
      <c r="B6246">
        <v>199</v>
      </c>
      <c r="C6246" t="str">
        <f>"31"</f>
        <v>31</v>
      </c>
      <c r="D6246">
        <v>6399</v>
      </c>
      <c r="E6246" t="str">
        <f>"7F"</f>
        <v>7F</v>
      </c>
      <c r="F6246" t="str">
        <f t="shared" si="1372"/>
        <v>001</v>
      </c>
      <c r="G6246">
        <v>9</v>
      </c>
      <c r="H6246" t="str">
        <f>"31"</f>
        <v>31</v>
      </c>
      <c r="I6246" t="str">
        <f t="shared" si="1367"/>
        <v>0</v>
      </c>
      <c r="J6246" t="str">
        <f>"34"</f>
        <v>34</v>
      </c>
      <c r="K6246">
        <v>20190517</v>
      </c>
      <c r="L6246" t="str">
        <f t="shared" si="1369"/>
        <v>076825</v>
      </c>
      <c r="M6246" t="str">
        <f t="shared" si="1370"/>
        <v>04410</v>
      </c>
      <c r="N6246" t="s">
        <v>410</v>
      </c>
      <c r="O6246">
        <v>947.48</v>
      </c>
      <c r="P6246">
        <v>20190515</v>
      </c>
      <c r="Q6246" t="s">
        <v>1864</v>
      </c>
      <c r="R6246" t="s">
        <v>4963</v>
      </c>
      <c r="S6246" t="s">
        <v>1615</v>
      </c>
      <c r="T6246" t="s">
        <v>301</v>
      </c>
    </row>
    <row r="6247" spans="1:20" x14ac:dyDescent="0.25">
      <c r="A6247">
        <v>9</v>
      </c>
      <c r="B6247">
        <v>199</v>
      </c>
      <c r="C6247" t="str">
        <f>"31"</f>
        <v>31</v>
      </c>
      <c r="D6247">
        <v>6399</v>
      </c>
      <c r="E6247" t="str">
        <f>"7F"</f>
        <v>7F</v>
      </c>
      <c r="F6247" t="str">
        <f t="shared" si="1372"/>
        <v>001</v>
      </c>
      <c r="G6247">
        <v>9</v>
      </c>
      <c r="H6247" t="str">
        <f t="shared" ref="H6247:H6253" si="1374">"99"</f>
        <v>99</v>
      </c>
      <c r="I6247" t="str">
        <f t="shared" si="1367"/>
        <v>0</v>
      </c>
      <c r="J6247" t="str">
        <f>"01"</f>
        <v>01</v>
      </c>
      <c r="K6247">
        <v>20190517</v>
      </c>
      <c r="L6247" t="str">
        <f t="shared" si="1369"/>
        <v>076825</v>
      </c>
      <c r="M6247" t="str">
        <f t="shared" si="1370"/>
        <v>04410</v>
      </c>
      <c r="N6247" t="s">
        <v>410</v>
      </c>
      <c r="O6247">
        <v>142.53</v>
      </c>
      <c r="P6247">
        <v>20190515</v>
      </c>
      <c r="Q6247" t="s">
        <v>2965</v>
      </c>
      <c r="R6247" t="s">
        <v>4969</v>
      </c>
      <c r="S6247" t="s">
        <v>1615</v>
      </c>
      <c r="T6247" t="s">
        <v>301</v>
      </c>
    </row>
    <row r="6248" spans="1:20" x14ac:dyDescent="0.25">
      <c r="A6248">
        <v>9</v>
      </c>
      <c r="B6248">
        <v>199</v>
      </c>
      <c r="C6248" t="str">
        <f>"36"</f>
        <v>36</v>
      </c>
      <c r="D6248">
        <v>6399</v>
      </c>
      <c r="E6248" t="str">
        <f>"7C"</f>
        <v>7C</v>
      </c>
      <c r="F6248" t="str">
        <f t="shared" si="1372"/>
        <v>001</v>
      </c>
      <c r="G6248">
        <v>9</v>
      </c>
      <c r="H6248" t="str">
        <f t="shared" si="1374"/>
        <v>99</v>
      </c>
      <c r="I6248" t="str">
        <f t="shared" si="1367"/>
        <v>0</v>
      </c>
      <c r="J6248" t="str">
        <f>"01"</f>
        <v>01</v>
      </c>
      <c r="K6248">
        <v>20190517</v>
      </c>
      <c r="L6248" t="str">
        <f t="shared" si="1369"/>
        <v>076825</v>
      </c>
      <c r="M6248" t="str">
        <f t="shared" si="1370"/>
        <v>04410</v>
      </c>
      <c r="N6248" t="s">
        <v>410</v>
      </c>
      <c r="O6248">
        <v>210.54</v>
      </c>
      <c r="P6248">
        <v>20190515</v>
      </c>
      <c r="Q6248" t="s">
        <v>4579</v>
      </c>
      <c r="R6248" t="s">
        <v>4970</v>
      </c>
      <c r="S6248" t="s">
        <v>1615</v>
      </c>
      <c r="T6248" t="s">
        <v>301</v>
      </c>
    </row>
    <row r="6249" spans="1:20" x14ac:dyDescent="0.25">
      <c r="A6249">
        <v>9</v>
      </c>
      <c r="B6249">
        <v>199</v>
      </c>
      <c r="C6249" t="str">
        <f>"36"</f>
        <v>36</v>
      </c>
      <c r="D6249">
        <v>6399</v>
      </c>
      <c r="E6249" t="str">
        <f>"8S"</f>
        <v>8S</v>
      </c>
      <c r="F6249" t="str">
        <f t="shared" si="1372"/>
        <v>001</v>
      </c>
      <c r="G6249">
        <v>9</v>
      </c>
      <c r="H6249" t="str">
        <f t="shared" si="1374"/>
        <v>99</v>
      </c>
      <c r="I6249" t="str">
        <f t="shared" si="1367"/>
        <v>0</v>
      </c>
      <c r="J6249" t="str">
        <f>"01"</f>
        <v>01</v>
      </c>
      <c r="K6249">
        <v>20190517</v>
      </c>
      <c r="L6249" t="str">
        <f t="shared" si="1369"/>
        <v>076825</v>
      </c>
      <c r="M6249" t="str">
        <f t="shared" si="1370"/>
        <v>04410</v>
      </c>
      <c r="N6249" t="s">
        <v>410</v>
      </c>
      <c r="O6249">
        <v>143.93</v>
      </c>
      <c r="P6249">
        <v>20190515</v>
      </c>
      <c r="Q6249" t="s">
        <v>1780</v>
      </c>
      <c r="R6249" t="s">
        <v>4971</v>
      </c>
      <c r="S6249" t="s">
        <v>1615</v>
      </c>
      <c r="T6249" t="s">
        <v>301</v>
      </c>
    </row>
    <row r="6250" spans="1:20" x14ac:dyDescent="0.25">
      <c r="A6250">
        <v>9</v>
      </c>
      <c r="B6250">
        <v>199</v>
      </c>
      <c r="C6250" t="str">
        <f>"34"</f>
        <v>34</v>
      </c>
      <c r="D6250">
        <v>6249</v>
      </c>
      <c r="E6250" t="str">
        <f>"10"</f>
        <v>10</v>
      </c>
      <c r="F6250" t="str">
        <f>"937"</f>
        <v>937</v>
      </c>
      <c r="G6250">
        <v>9</v>
      </c>
      <c r="H6250" t="str">
        <f t="shared" si="1374"/>
        <v>99</v>
      </c>
      <c r="I6250" t="str">
        <f t="shared" si="1367"/>
        <v>0</v>
      </c>
      <c r="J6250" t="str">
        <f>"82"</f>
        <v>82</v>
      </c>
      <c r="K6250">
        <v>20190517</v>
      </c>
      <c r="L6250" t="str">
        <f>"076826"</f>
        <v>076826</v>
      </c>
      <c r="M6250" t="str">
        <f>"06267"</f>
        <v>06267</v>
      </c>
      <c r="N6250" t="s">
        <v>1867</v>
      </c>
      <c r="O6250">
        <v>190.91</v>
      </c>
      <c r="P6250">
        <v>20190516</v>
      </c>
      <c r="Q6250" t="s">
        <v>2036</v>
      </c>
      <c r="R6250" t="s">
        <v>4972</v>
      </c>
      <c r="S6250" t="s">
        <v>1615</v>
      </c>
      <c r="T6250" t="s">
        <v>1810</v>
      </c>
    </row>
    <row r="6251" spans="1:20" x14ac:dyDescent="0.25">
      <c r="A6251">
        <v>9</v>
      </c>
      <c r="B6251">
        <v>199</v>
      </c>
      <c r="C6251" t="str">
        <f>"34"</f>
        <v>34</v>
      </c>
      <c r="D6251">
        <v>6249</v>
      </c>
      <c r="E6251" t="str">
        <f>"10"</f>
        <v>10</v>
      </c>
      <c r="F6251" t="str">
        <f>"937"</f>
        <v>937</v>
      </c>
      <c r="G6251">
        <v>9</v>
      </c>
      <c r="H6251" t="str">
        <f t="shared" si="1374"/>
        <v>99</v>
      </c>
      <c r="I6251" t="str">
        <f t="shared" si="1367"/>
        <v>0</v>
      </c>
      <c r="J6251" t="str">
        <f>"82"</f>
        <v>82</v>
      </c>
      <c r="K6251">
        <v>20190517</v>
      </c>
      <c r="L6251" t="str">
        <f>"076826"</f>
        <v>076826</v>
      </c>
      <c r="M6251" t="str">
        <f>"06267"</f>
        <v>06267</v>
      </c>
      <c r="N6251" t="s">
        <v>1867</v>
      </c>
      <c r="O6251">
        <v>954.74</v>
      </c>
      <c r="P6251">
        <v>20190516</v>
      </c>
      <c r="Q6251" t="s">
        <v>2036</v>
      </c>
      <c r="R6251" t="s">
        <v>4973</v>
      </c>
      <c r="S6251" t="s">
        <v>1615</v>
      </c>
      <c r="T6251" t="s">
        <v>1810</v>
      </c>
    </row>
    <row r="6252" spans="1:20" x14ac:dyDescent="0.25">
      <c r="A6252">
        <v>9</v>
      </c>
      <c r="B6252">
        <v>199</v>
      </c>
      <c r="C6252" t="str">
        <f>"34"</f>
        <v>34</v>
      </c>
      <c r="D6252">
        <v>6249</v>
      </c>
      <c r="E6252" t="str">
        <f>"10"</f>
        <v>10</v>
      </c>
      <c r="F6252" t="str">
        <f>"937"</f>
        <v>937</v>
      </c>
      <c r="G6252">
        <v>9</v>
      </c>
      <c r="H6252" t="str">
        <f t="shared" si="1374"/>
        <v>99</v>
      </c>
      <c r="I6252" t="str">
        <f t="shared" si="1367"/>
        <v>0</v>
      </c>
      <c r="J6252" t="str">
        <f>"82"</f>
        <v>82</v>
      </c>
      <c r="K6252">
        <v>20190517</v>
      </c>
      <c r="L6252" t="str">
        <f>"076826"</f>
        <v>076826</v>
      </c>
      <c r="M6252" t="str">
        <f>"06267"</f>
        <v>06267</v>
      </c>
      <c r="N6252" t="s">
        <v>1867</v>
      </c>
      <c r="O6252">
        <v>504.35</v>
      </c>
      <c r="P6252">
        <v>20190516</v>
      </c>
      <c r="Q6252" t="s">
        <v>2036</v>
      </c>
      <c r="R6252" t="s">
        <v>4974</v>
      </c>
      <c r="S6252" t="s">
        <v>1615</v>
      </c>
      <c r="T6252" t="s">
        <v>1810</v>
      </c>
    </row>
    <row r="6253" spans="1:20" x14ac:dyDescent="0.25">
      <c r="A6253">
        <v>9</v>
      </c>
      <c r="B6253">
        <v>199</v>
      </c>
      <c r="C6253" t="str">
        <f>"34"</f>
        <v>34</v>
      </c>
      <c r="D6253">
        <v>6249</v>
      </c>
      <c r="E6253" t="str">
        <f>"10"</f>
        <v>10</v>
      </c>
      <c r="F6253" t="str">
        <f>"937"</f>
        <v>937</v>
      </c>
      <c r="G6253">
        <v>9</v>
      </c>
      <c r="H6253" t="str">
        <f t="shared" si="1374"/>
        <v>99</v>
      </c>
      <c r="I6253" t="str">
        <f t="shared" si="1367"/>
        <v>0</v>
      </c>
      <c r="J6253" t="str">
        <f>"82"</f>
        <v>82</v>
      </c>
      <c r="K6253">
        <v>20190517</v>
      </c>
      <c r="L6253" t="str">
        <f>"076827"</f>
        <v>076827</v>
      </c>
      <c r="M6253" t="str">
        <f>"24208"</f>
        <v>24208</v>
      </c>
      <c r="N6253" t="s">
        <v>2356</v>
      </c>
      <c r="O6253">
        <v>150</v>
      </c>
      <c r="P6253">
        <v>20190516</v>
      </c>
      <c r="Q6253" t="s">
        <v>2036</v>
      </c>
      <c r="R6253" t="s">
        <v>4975</v>
      </c>
      <c r="S6253" t="s">
        <v>1615</v>
      </c>
      <c r="T6253" t="s">
        <v>1810</v>
      </c>
    </row>
    <row r="6254" spans="1:20" x14ac:dyDescent="0.25">
      <c r="A6254">
        <v>9</v>
      </c>
      <c r="B6254">
        <v>199</v>
      </c>
      <c r="C6254" t="str">
        <f>"00"</f>
        <v>00</v>
      </c>
      <c r="D6254">
        <v>5749</v>
      </c>
      <c r="E6254" t="str">
        <f>"00"</f>
        <v>00</v>
      </c>
      <c r="F6254" t="str">
        <f>"000"</f>
        <v>000</v>
      </c>
      <c r="G6254">
        <v>9</v>
      </c>
      <c r="H6254" t="str">
        <f>"00"</f>
        <v>00</v>
      </c>
      <c r="I6254" t="str">
        <f t="shared" si="1367"/>
        <v>0</v>
      </c>
      <c r="J6254" t="str">
        <f>"00"</f>
        <v>00</v>
      </c>
      <c r="K6254">
        <v>20190517</v>
      </c>
      <c r="L6254" t="str">
        <f>"076829"</f>
        <v>076829</v>
      </c>
      <c r="M6254" t="str">
        <f>"07709"</f>
        <v>07709</v>
      </c>
      <c r="N6254" t="s">
        <v>4976</v>
      </c>
      <c r="O6254">
        <v>46.43</v>
      </c>
      <c r="P6254">
        <v>20190516</v>
      </c>
      <c r="Q6254" t="s">
        <v>4850</v>
      </c>
      <c r="R6254" t="s">
        <v>4977</v>
      </c>
      <c r="S6254" t="s">
        <v>1615</v>
      </c>
      <c r="T6254" t="s">
        <v>296</v>
      </c>
    </row>
    <row r="6255" spans="1:20" x14ac:dyDescent="0.25">
      <c r="A6255">
        <v>9</v>
      </c>
      <c r="B6255">
        <v>199</v>
      </c>
      <c r="C6255" t="str">
        <f>"11"</f>
        <v>11</v>
      </c>
      <c r="D6255">
        <v>6339</v>
      </c>
      <c r="E6255" t="str">
        <f>"NL"</f>
        <v>NL</v>
      </c>
      <c r="F6255" t="str">
        <f>"001"</f>
        <v>001</v>
      </c>
      <c r="G6255">
        <v>9</v>
      </c>
      <c r="H6255" t="str">
        <f>"22"</f>
        <v>22</v>
      </c>
      <c r="I6255" t="str">
        <f t="shared" si="1367"/>
        <v>0</v>
      </c>
      <c r="J6255" t="str">
        <f>"22"</f>
        <v>22</v>
      </c>
      <c r="K6255">
        <v>20190517</v>
      </c>
      <c r="L6255" t="str">
        <f>"076830"</f>
        <v>076830</v>
      </c>
      <c r="M6255" t="str">
        <f>"08123"</f>
        <v>08123</v>
      </c>
      <c r="N6255" t="s">
        <v>4978</v>
      </c>
      <c r="O6255">
        <v>500</v>
      </c>
      <c r="P6255">
        <v>20190516</v>
      </c>
      <c r="Q6255" t="s">
        <v>3183</v>
      </c>
      <c r="R6255" t="s">
        <v>4979</v>
      </c>
      <c r="S6255" t="s">
        <v>1615</v>
      </c>
      <c r="T6255" t="s">
        <v>301</v>
      </c>
    </row>
    <row r="6256" spans="1:20" x14ac:dyDescent="0.25">
      <c r="A6256">
        <v>9</v>
      </c>
      <c r="B6256">
        <v>199</v>
      </c>
      <c r="C6256" t="str">
        <f>"00"</f>
        <v>00</v>
      </c>
      <c r="D6256">
        <v>5749</v>
      </c>
      <c r="E6256" t="str">
        <f>"00"</f>
        <v>00</v>
      </c>
      <c r="F6256" t="str">
        <f>"000"</f>
        <v>000</v>
      </c>
      <c r="G6256">
        <v>9</v>
      </c>
      <c r="H6256" t="str">
        <f>"00"</f>
        <v>00</v>
      </c>
      <c r="I6256" t="str">
        <f t="shared" si="1367"/>
        <v>0</v>
      </c>
      <c r="J6256" t="str">
        <f>"00"</f>
        <v>00</v>
      </c>
      <c r="K6256">
        <v>20190517</v>
      </c>
      <c r="L6256" t="str">
        <f>"076831"</f>
        <v>076831</v>
      </c>
      <c r="M6256" t="str">
        <f>"00088"</f>
        <v>00088</v>
      </c>
      <c r="N6256" t="s">
        <v>4980</v>
      </c>
      <c r="O6256">
        <v>30</v>
      </c>
      <c r="P6256">
        <v>20190516</v>
      </c>
      <c r="Q6256" t="s">
        <v>4850</v>
      </c>
      <c r="R6256" t="s">
        <v>4981</v>
      </c>
      <c r="S6256" t="s">
        <v>1615</v>
      </c>
      <c r="T6256" t="s">
        <v>296</v>
      </c>
    </row>
    <row r="6257" spans="1:20" x14ac:dyDescent="0.25">
      <c r="A6257">
        <v>9</v>
      </c>
      <c r="B6257">
        <v>199</v>
      </c>
      <c r="C6257" t="str">
        <f>"11"</f>
        <v>11</v>
      </c>
      <c r="D6257">
        <v>6399</v>
      </c>
      <c r="E6257" t="str">
        <f>"N1"</f>
        <v>N1</v>
      </c>
      <c r="F6257" t="str">
        <f>"001"</f>
        <v>001</v>
      </c>
      <c r="G6257">
        <v>9</v>
      </c>
      <c r="H6257" t="str">
        <f>"11"</f>
        <v>11</v>
      </c>
      <c r="I6257" t="str">
        <f t="shared" si="1367"/>
        <v>0</v>
      </c>
      <c r="J6257" t="str">
        <f>"01"</f>
        <v>01</v>
      </c>
      <c r="K6257">
        <v>20190517</v>
      </c>
      <c r="L6257" t="str">
        <f>"076833"</f>
        <v>076833</v>
      </c>
      <c r="M6257" t="str">
        <f>"11126"</f>
        <v>11126</v>
      </c>
      <c r="N6257" t="s">
        <v>4324</v>
      </c>
      <c r="O6257">
        <v>693.25</v>
      </c>
      <c r="P6257">
        <v>20190515</v>
      </c>
      <c r="Q6257" t="s">
        <v>2637</v>
      </c>
      <c r="R6257" t="s">
        <v>4982</v>
      </c>
      <c r="S6257" t="s">
        <v>1615</v>
      </c>
      <c r="T6257" t="s">
        <v>301</v>
      </c>
    </row>
    <row r="6258" spans="1:20" x14ac:dyDescent="0.25">
      <c r="A6258">
        <v>9</v>
      </c>
      <c r="B6258">
        <v>199</v>
      </c>
      <c r="C6258" t="str">
        <f>"41"</f>
        <v>41</v>
      </c>
      <c r="D6258">
        <v>6499</v>
      </c>
      <c r="E6258" t="str">
        <f>"10"</f>
        <v>10</v>
      </c>
      <c r="F6258" t="str">
        <f>"730"</f>
        <v>730</v>
      </c>
      <c r="G6258">
        <v>9</v>
      </c>
      <c r="H6258" t="str">
        <f>"99"</f>
        <v>99</v>
      </c>
      <c r="I6258" t="str">
        <f t="shared" si="1367"/>
        <v>0</v>
      </c>
      <c r="J6258" t="str">
        <f>"95"</f>
        <v>95</v>
      </c>
      <c r="K6258">
        <v>20190517</v>
      </c>
      <c r="L6258" t="str">
        <f>"076835"</f>
        <v>076835</v>
      </c>
      <c r="M6258" t="str">
        <f>"13045"</f>
        <v>13045</v>
      </c>
      <c r="N6258" t="s">
        <v>4983</v>
      </c>
      <c r="O6258" s="1">
        <v>1111.99</v>
      </c>
      <c r="P6258">
        <v>20190515</v>
      </c>
      <c r="Q6258" t="s">
        <v>1792</v>
      </c>
      <c r="R6258" t="s">
        <v>4984</v>
      </c>
      <c r="S6258" t="s">
        <v>1615</v>
      </c>
      <c r="T6258" t="s">
        <v>1794</v>
      </c>
    </row>
    <row r="6259" spans="1:20" x14ac:dyDescent="0.25">
      <c r="A6259">
        <v>9</v>
      </c>
      <c r="B6259">
        <v>199</v>
      </c>
      <c r="C6259" t="str">
        <f>"13"</f>
        <v>13</v>
      </c>
      <c r="D6259">
        <v>6411</v>
      </c>
      <c r="E6259" t="str">
        <f>"11"</f>
        <v>11</v>
      </c>
      <c r="F6259" t="str">
        <f>"041"</f>
        <v>041</v>
      </c>
      <c r="G6259">
        <v>9</v>
      </c>
      <c r="H6259" t="str">
        <f>"11"</f>
        <v>11</v>
      </c>
      <c r="I6259" t="str">
        <f t="shared" si="1367"/>
        <v>0</v>
      </c>
      <c r="J6259" t="str">
        <f>"03"</f>
        <v>03</v>
      </c>
      <c r="K6259">
        <v>20190517</v>
      </c>
      <c r="L6259" t="str">
        <f>"076836"</f>
        <v>076836</v>
      </c>
      <c r="M6259" t="str">
        <f>"19096"</f>
        <v>19096</v>
      </c>
      <c r="N6259" t="s">
        <v>4985</v>
      </c>
      <c r="O6259">
        <v>157</v>
      </c>
      <c r="P6259">
        <v>20190515</v>
      </c>
      <c r="Q6259" t="s">
        <v>4986</v>
      </c>
      <c r="R6259" t="s">
        <v>4987</v>
      </c>
      <c r="S6259" t="s">
        <v>1615</v>
      </c>
      <c r="T6259" t="s">
        <v>106</v>
      </c>
    </row>
    <row r="6260" spans="1:20" x14ac:dyDescent="0.25">
      <c r="A6260">
        <v>9</v>
      </c>
      <c r="B6260">
        <v>199</v>
      </c>
      <c r="C6260" t="str">
        <f>"11"</f>
        <v>11</v>
      </c>
      <c r="D6260">
        <v>6399</v>
      </c>
      <c r="E6260" t="str">
        <f>"7K"</f>
        <v>7K</v>
      </c>
      <c r="F6260" t="str">
        <f t="shared" ref="F6260:F6269" si="1375">"001"</f>
        <v>001</v>
      </c>
      <c r="G6260">
        <v>9</v>
      </c>
      <c r="H6260" t="str">
        <f>"11"</f>
        <v>11</v>
      </c>
      <c r="I6260" t="str">
        <f t="shared" si="1367"/>
        <v>0</v>
      </c>
      <c r="J6260" t="str">
        <f>"01"</f>
        <v>01</v>
      </c>
      <c r="K6260">
        <v>20190517</v>
      </c>
      <c r="L6260" t="str">
        <f>"076837"</f>
        <v>076837</v>
      </c>
      <c r="M6260" t="str">
        <f>"46281"</f>
        <v>46281</v>
      </c>
      <c r="N6260" t="s">
        <v>2996</v>
      </c>
      <c r="O6260" s="1">
        <v>1000</v>
      </c>
      <c r="P6260">
        <v>20190515</v>
      </c>
      <c r="Q6260" t="s">
        <v>1671</v>
      </c>
      <c r="R6260" t="s">
        <v>4988</v>
      </c>
      <c r="S6260" t="s">
        <v>1615</v>
      </c>
      <c r="T6260" t="s">
        <v>301</v>
      </c>
    </row>
    <row r="6261" spans="1:20" x14ac:dyDescent="0.25">
      <c r="A6261">
        <v>9</v>
      </c>
      <c r="B6261">
        <v>199</v>
      </c>
      <c r="C6261" t="str">
        <f>"36"</f>
        <v>36</v>
      </c>
      <c r="D6261">
        <v>6399</v>
      </c>
      <c r="E6261" t="str">
        <f>"09"</f>
        <v>09</v>
      </c>
      <c r="F6261" t="str">
        <f t="shared" si="1375"/>
        <v>001</v>
      </c>
      <c r="G6261">
        <v>9</v>
      </c>
      <c r="H6261" t="str">
        <f>"99"</f>
        <v>99</v>
      </c>
      <c r="I6261" t="str">
        <f t="shared" si="1367"/>
        <v>0</v>
      </c>
      <c r="J6261" t="str">
        <f>"01"</f>
        <v>01</v>
      </c>
      <c r="K6261">
        <v>20190517</v>
      </c>
      <c r="L6261" t="str">
        <f>"076837"</f>
        <v>076837</v>
      </c>
      <c r="M6261" t="str">
        <f>"46281"</f>
        <v>46281</v>
      </c>
      <c r="N6261" t="s">
        <v>2996</v>
      </c>
      <c r="O6261" s="1">
        <v>2000</v>
      </c>
      <c r="P6261">
        <v>20190515</v>
      </c>
      <c r="Q6261" t="s">
        <v>2177</v>
      </c>
      <c r="R6261" t="s">
        <v>4988</v>
      </c>
      <c r="S6261" t="s">
        <v>1615</v>
      </c>
      <c r="T6261" t="s">
        <v>301</v>
      </c>
    </row>
    <row r="6262" spans="1:20" x14ac:dyDescent="0.25">
      <c r="A6262">
        <v>9</v>
      </c>
      <c r="B6262">
        <v>199</v>
      </c>
      <c r="C6262" t="str">
        <f t="shared" ref="C6262:C6269" si="1376">"11"</f>
        <v>11</v>
      </c>
      <c r="D6262">
        <v>6269</v>
      </c>
      <c r="E6262" t="str">
        <f>"VA"</f>
        <v>VA</v>
      </c>
      <c r="F6262" t="str">
        <f t="shared" si="1375"/>
        <v>001</v>
      </c>
      <c r="G6262">
        <v>9</v>
      </c>
      <c r="H6262" t="str">
        <f t="shared" ref="H6262:H6269" si="1377">"22"</f>
        <v>22</v>
      </c>
      <c r="I6262" t="str">
        <f t="shared" si="1367"/>
        <v>0</v>
      </c>
      <c r="J6262" t="str">
        <f t="shared" ref="J6262:J6269" si="1378">"22"</f>
        <v>22</v>
      </c>
      <c r="K6262">
        <v>20190517</v>
      </c>
      <c r="L6262" t="str">
        <f t="shared" ref="L6262:L6269" si="1379">"076838"</f>
        <v>076838</v>
      </c>
      <c r="M6262" t="str">
        <f t="shared" ref="M6262:M6269" si="1380">"20683"</f>
        <v>20683</v>
      </c>
      <c r="N6262" t="s">
        <v>1697</v>
      </c>
      <c r="O6262">
        <v>50.89</v>
      </c>
      <c r="P6262">
        <v>20190515</v>
      </c>
      <c r="Q6262" t="s">
        <v>2213</v>
      </c>
      <c r="R6262" t="s">
        <v>4989</v>
      </c>
      <c r="S6262" t="s">
        <v>1615</v>
      </c>
      <c r="T6262" t="s">
        <v>301</v>
      </c>
    </row>
    <row r="6263" spans="1:20" x14ac:dyDescent="0.25">
      <c r="A6263">
        <v>9</v>
      </c>
      <c r="B6263">
        <v>199</v>
      </c>
      <c r="C6263" t="str">
        <f t="shared" si="1376"/>
        <v>11</v>
      </c>
      <c r="D6263">
        <v>6269</v>
      </c>
      <c r="E6263" t="str">
        <f>"VA"</f>
        <v>VA</v>
      </c>
      <c r="F6263" t="str">
        <f t="shared" si="1375"/>
        <v>001</v>
      </c>
      <c r="G6263">
        <v>9</v>
      </c>
      <c r="H6263" t="str">
        <f t="shared" si="1377"/>
        <v>22</v>
      </c>
      <c r="I6263" t="str">
        <f t="shared" si="1367"/>
        <v>0</v>
      </c>
      <c r="J6263" t="str">
        <f t="shared" si="1378"/>
        <v>22</v>
      </c>
      <c r="K6263">
        <v>20190517</v>
      </c>
      <c r="L6263" t="str">
        <f t="shared" si="1379"/>
        <v>076838</v>
      </c>
      <c r="M6263" t="str">
        <f t="shared" si="1380"/>
        <v>20683</v>
      </c>
      <c r="N6263" t="s">
        <v>1697</v>
      </c>
      <c r="O6263">
        <v>49.77</v>
      </c>
      <c r="P6263">
        <v>20190515</v>
      </c>
      <c r="Q6263" t="s">
        <v>2213</v>
      </c>
      <c r="R6263" t="s">
        <v>4990</v>
      </c>
      <c r="S6263" t="s">
        <v>1615</v>
      </c>
      <c r="T6263" t="s">
        <v>301</v>
      </c>
    </row>
    <row r="6264" spans="1:20" x14ac:dyDescent="0.25">
      <c r="A6264">
        <v>9</v>
      </c>
      <c r="B6264">
        <v>199</v>
      </c>
      <c r="C6264" t="str">
        <f t="shared" si="1376"/>
        <v>11</v>
      </c>
      <c r="D6264">
        <v>6269</v>
      </c>
      <c r="E6264" t="str">
        <f>"VA"</f>
        <v>VA</v>
      </c>
      <c r="F6264" t="str">
        <f t="shared" si="1375"/>
        <v>001</v>
      </c>
      <c r="G6264">
        <v>9</v>
      </c>
      <c r="H6264" t="str">
        <f t="shared" si="1377"/>
        <v>22</v>
      </c>
      <c r="I6264" t="str">
        <f t="shared" si="1367"/>
        <v>0</v>
      </c>
      <c r="J6264" t="str">
        <f t="shared" si="1378"/>
        <v>22</v>
      </c>
      <c r="K6264">
        <v>20190517</v>
      </c>
      <c r="L6264" t="str">
        <f t="shared" si="1379"/>
        <v>076838</v>
      </c>
      <c r="M6264" t="str">
        <f t="shared" si="1380"/>
        <v>20683</v>
      </c>
      <c r="N6264" t="s">
        <v>1697</v>
      </c>
      <c r="O6264">
        <v>97.38</v>
      </c>
      <c r="P6264">
        <v>20190515</v>
      </c>
      <c r="Q6264" t="s">
        <v>2213</v>
      </c>
      <c r="R6264" t="s">
        <v>4991</v>
      </c>
      <c r="S6264" t="s">
        <v>1615</v>
      </c>
      <c r="T6264" t="s">
        <v>301</v>
      </c>
    </row>
    <row r="6265" spans="1:20" x14ac:dyDescent="0.25">
      <c r="A6265">
        <v>9</v>
      </c>
      <c r="B6265">
        <v>199</v>
      </c>
      <c r="C6265" t="str">
        <f t="shared" si="1376"/>
        <v>11</v>
      </c>
      <c r="D6265">
        <v>6269</v>
      </c>
      <c r="E6265" t="str">
        <f>"VA"</f>
        <v>VA</v>
      </c>
      <c r="F6265" t="str">
        <f t="shared" si="1375"/>
        <v>001</v>
      </c>
      <c r="G6265">
        <v>9</v>
      </c>
      <c r="H6265" t="str">
        <f t="shared" si="1377"/>
        <v>22</v>
      </c>
      <c r="I6265" t="str">
        <f t="shared" si="1367"/>
        <v>0</v>
      </c>
      <c r="J6265" t="str">
        <f t="shared" si="1378"/>
        <v>22</v>
      </c>
      <c r="K6265">
        <v>20190517</v>
      </c>
      <c r="L6265" t="str">
        <f t="shared" si="1379"/>
        <v>076838</v>
      </c>
      <c r="M6265" t="str">
        <f t="shared" si="1380"/>
        <v>20683</v>
      </c>
      <c r="N6265" t="s">
        <v>1697</v>
      </c>
      <c r="O6265">
        <v>49.77</v>
      </c>
      <c r="P6265">
        <v>20190515</v>
      </c>
      <c r="Q6265" t="s">
        <v>2213</v>
      </c>
      <c r="R6265" t="s">
        <v>4992</v>
      </c>
      <c r="S6265" t="s">
        <v>1615</v>
      </c>
      <c r="T6265" t="s">
        <v>301</v>
      </c>
    </row>
    <row r="6266" spans="1:20" x14ac:dyDescent="0.25">
      <c r="A6266">
        <v>9</v>
      </c>
      <c r="B6266">
        <v>199</v>
      </c>
      <c r="C6266" t="str">
        <f t="shared" si="1376"/>
        <v>11</v>
      </c>
      <c r="D6266">
        <v>6399</v>
      </c>
      <c r="E6266" t="str">
        <f>"V8"</f>
        <v>V8</v>
      </c>
      <c r="F6266" t="str">
        <f t="shared" si="1375"/>
        <v>001</v>
      </c>
      <c r="G6266">
        <v>9</v>
      </c>
      <c r="H6266" t="str">
        <f t="shared" si="1377"/>
        <v>22</v>
      </c>
      <c r="I6266" t="str">
        <f t="shared" si="1367"/>
        <v>0</v>
      </c>
      <c r="J6266" t="str">
        <f t="shared" si="1378"/>
        <v>22</v>
      </c>
      <c r="K6266">
        <v>20190517</v>
      </c>
      <c r="L6266" t="str">
        <f t="shared" si="1379"/>
        <v>076838</v>
      </c>
      <c r="M6266" t="str">
        <f t="shared" si="1380"/>
        <v>20683</v>
      </c>
      <c r="N6266" t="s">
        <v>1697</v>
      </c>
      <c r="O6266">
        <v>13.69</v>
      </c>
      <c r="P6266">
        <v>20190515</v>
      </c>
      <c r="Q6266" t="s">
        <v>2001</v>
      </c>
      <c r="R6266" t="s">
        <v>4989</v>
      </c>
      <c r="S6266" t="s">
        <v>1615</v>
      </c>
      <c r="T6266" t="s">
        <v>301</v>
      </c>
    </row>
    <row r="6267" spans="1:20" x14ac:dyDescent="0.25">
      <c r="A6267">
        <v>9</v>
      </c>
      <c r="B6267">
        <v>199</v>
      </c>
      <c r="C6267" t="str">
        <f t="shared" si="1376"/>
        <v>11</v>
      </c>
      <c r="D6267">
        <v>6399</v>
      </c>
      <c r="E6267" t="str">
        <f>"V8"</f>
        <v>V8</v>
      </c>
      <c r="F6267" t="str">
        <f t="shared" si="1375"/>
        <v>001</v>
      </c>
      <c r="G6267">
        <v>9</v>
      </c>
      <c r="H6267" t="str">
        <f t="shared" si="1377"/>
        <v>22</v>
      </c>
      <c r="I6267" t="str">
        <f t="shared" si="1367"/>
        <v>0</v>
      </c>
      <c r="J6267" t="str">
        <f t="shared" si="1378"/>
        <v>22</v>
      </c>
      <c r="K6267">
        <v>20190517</v>
      </c>
      <c r="L6267" t="str">
        <f t="shared" si="1379"/>
        <v>076838</v>
      </c>
      <c r="M6267" t="str">
        <f t="shared" si="1380"/>
        <v>20683</v>
      </c>
      <c r="N6267" t="s">
        <v>1697</v>
      </c>
      <c r="O6267">
        <v>13.69</v>
      </c>
      <c r="P6267">
        <v>20190515</v>
      </c>
      <c r="Q6267" t="s">
        <v>2001</v>
      </c>
      <c r="R6267" t="s">
        <v>4990</v>
      </c>
      <c r="S6267" t="s">
        <v>1615</v>
      </c>
      <c r="T6267" t="s">
        <v>301</v>
      </c>
    </row>
    <row r="6268" spans="1:20" x14ac:dyDescent="0.25">
      <c r="A6268">
        <v>9</v>
      </c>
      <c r="B6268">
        <v>199</v>
      </c>
      <c r="C6268" t="str">
        <f t="shared" si="1376"/>
        <v>11</v>
      </c>
      <c r="D6268">
        <v>6399</v>
      </c>
      <c r="E6268" t="str">
        <f>"V8"</f>
        <v>V8</v>
      </c>
      <c r="F6268" t="str">
        <f t="shared" si="1375"/>
        <v>001</v>
      </c>
      <c r="G6268">
        <v>9</v>
      </c>
      <c r="H6268" t="str">
        <f t="shared" si="1377"/>
        <v>22</v>
      </c>
      <c r="I6268" t="str">
        <f t="shared" si="1367"/>
        <v>0</v>
      </c>
      <c r="J6268" t="str">
        <f t="shared" si="1378"/>
        <v>22</v>
      </c>
      <c r="K6268">
        <v>20190517</v>
      </c>
      <c r="L6268" t="str">
        <f t="shared" si="1379"/>
        <v>076838</v>
      </c>
      <c r="M6268" t="str">
        <f t="shared" si="1380"/>
        <v>20683</v>
      </c>
      <c r="N6268" t="s">
        <v>1697</v>
      </c>
      <c r="O6268">
        <v>13.69</v>
      </c>
      <c r="P6268">
        <v>20190515</v>
      </c>
      <c r="Q6268" t="s">
        <v>2001</v>
      </c>
      <c r="R6268" t="s">
        <v>4991</v>
      </c>
      <c r="S6268" t="s">
        <v>1615</v>
      </c>
      <c r="T6268" t="s">
        <v>301</v>
      </c>
    </row>
    <row r="6269" spans="1:20" x14ac:dyDescent="0.25">
      <c r="A6269">
        <v>9</v>
      </c>
      <c r="B6269">
        <v>199</v>
      </c>
      <c r="C6269" t="str">
        <f t="shared" si="1376"/>
        <v>11</v>
      </c>
      <c r="D6269">
        <v>6399</v>
      </c>
      <c r="E6269" t="str">
        <f>"V8"</f>
        <v>V8</v>
      </c>
      <c r="F6269" t="str">
        <f t="shared" si="1375"/>
        <v>001</v>
      </c>
      <c r="G6269">
        <v>9</v>
      </c>
      <c r="H6269" t="str">
        <f t="shared" si="1377"/>
        <v>22</v>
      </c>
      <c r="I6269" t="str">
        <f t="shared" si="1367"/>
        <v>0</v>
      </c>
      <c r="J6269" t="str">
        <f t="shared" si="1378"/>
        <v>22</v>
      </c>
      <c r="K6269">
        <v>20190517</v>
      </c>
      <c r="L6269" t="str">
        <f t="shared" si="1379"/>
        <v>076838</v>
      </c>
      <c r="M6269" t="str">
        <f t="shared" si="1380"/>
        <v>20683</v>
      </c>
      <c r="N6269" t="s">
        <v>1697</v>
      </c>
      <c r="O6269">
        <v>13.69</v>
      </c>
      <c r="P6269">
        <v>20190515</v>
      </c>
      <c r="Q6269" t="s">
        <v>2001</v>
      </c>
      <c r="R6269" t="s">
        <v>4992</v>
      </c>
      <c r="S6269" t="s">
        <v>1615</v>
      </c>
      <c r="T6269" t="s">
        <v>301</v>
      </c>
    </row>
    <row r="6270" spans="1:20" x14ac:dyDescent="0.25">
      <c r="A6270">
        <v>9</v>
      </c>
      <c r="B6270">
        <v>199</v>
      </c>
      <c r="C6270" t="str">
        <f>"51"</f>
        <v>51</v>
      </c>
      <c r="D6270">
        <v>6256</v>
      </c>
      <c r="E6270" t="str">
        <f>"13"</f>
        <v>13</v>
      </c>
      <c r="F6270" t="str">
        <f>"880"</f>
        <v>880</v>
      </c>
      <c r="G6270">
        <v>9</v>
      </c>
      <c r="H6270" t="str">
        <f>"99"</f>
        <v>99</v>
      </c>
      <c r="I6270" t="str">
        <f t="shared" si="1367"/>
        <v>0</v>
      </c>
      <c r="J6270" t="str">
        <f>"80"</f>
        <v>80</v>
      </c>
      <c r="K6270">
        <v>20190517</v>
      </c>
      <c r="L6270" t="str">
        <f>"076839"</f>
        <v>076839</v>
      </c>
      <c r="M6270" t="str">
        <f>"21146"</f>
        <v>21146</v>
      </c>
      <c r="N6270" t="s">
        <v>2367</v>
      </c>
      <c r="O6270">
        <v>412.8</v>
      </c>
      <c r="P6270">
        <v>20190515</v>
      </c>
      <c r="Q6270" t="s">
        <v>2368</v>
      </c>
      <c r="R6270" t="s">
        <v>4844</v>
      </c>
      <c r="S6270" t="s">
        <v>1615</v>
      </c>
      <c r="T6270" t="s">
        <v>1866</v>
      </c>
    </row>
    <row r="6271" spans="1:20" x14ac:dyDescent="0.25">
      <c r="A6271">
        <v>9</v>
      </c>
      <c r="B6271">
        <v>199</v>
      </c>
      <c r="C6271" t="str">
        <f>"11"</f>
        <v>11</v>
      </c>
      <c r="D6271">
        <v>6399</v>
      </c>
      <c r="E6271" t="str">
        <f>"DC"</f>
        <v>DC</v>
      </c>
      <c r="F6271" t="str">
        <f>"001"</f>
        <v>001</v>
      </c>
      <c r="G6271">
        <v>9</v>
      </c>
      <c r="H6271" t="str">
        <f>"31"</f>
        <v>31</v>
      </c>
      <c r="I6271" t="str">
        <f t="shared" si="1367"/>
        <v>0</v>
      </c>
      <c r="J6271" t="str">
        <f>"34"</f>
        <v>34</v>
      </c>
      <c r="K6271">
        <v>20190517</v>
      </c>
      <c r="L6271" t="str">
        <f>"076840"</f>
        <v>076840</v>
      </c>
      <c r="M6271" t="str">
        <f>"21283"</f>
        <v>21283</v>
      </c>
      <c r="N6271" t="s">
        <v>3856</v>
      </c>
      <c r="O6271">
        <v>875</v>
      </c>
      <c r="P6271">
        <v>20190515</v>
      </c>
      <c r="Q6271" t="s">
        <v>3857</v>
      </c>
      <c r="R6271" t="s">
        <v>3858</v>
      </c>
      <c r="S6271" t="s">
        <v>1615</v>
      </c>
      <c r="T6271" t="s">
        <v>301</v>
      </c>
    </row>
    <row r="6272" spans="1:20" x14ac:dyDescent="0.25">
      <c r="A6272">
        <v>9</v>
      </c>
      <c r="B6272">
        <v>199</v>
      </c>
      <c r="C6272" t="str">
        <f>"31"</f>
        <v>31</v>
      </c>
      <c r="D6272">
        <v>6219</v>
      </c>
      <c r="E6272" t="str">
        <f>"00"</f>
        <v>00</v>
      </c>
      <c r="F6272" t="str">
        <f>"875"</f>
        <v>875</v>
      </c>
      <c r="G6272">
        <v>9</v>
      </c>
      <c r="H6272" t="str">
        <f>"23"</f>
        <v>23</v>
      </c>
      <c r="I6272" t="str">
        <f t="shared" si="1367"/>
        <v>0</v>
      </c>
      <c r="J6272" t="str">
        <f>"23"</f>
        <v>23</v>
      </c>
      <c r="K6272">
        <v>20190517</v>
      </c>
      <c r="L6272" t="str">
        <f>"076841"</f>
        <v>076841</v>
      </c>
      <c r="M6272" t="str">
        <f>"21769"</f>
        <v>21769</v>
      </c>
      <c r="N6272" t="s">
        <v>1701</v>
      </c>
      <c r="O6272" s="1">
        <v>3000</v>
      </c>
      <c r="P6272">
        <v>20190516</v>
      </c>
      <c r="Q6272" t="s">
        <v>2207</v>
      </c>
      <c r="R6272" t="s">
        <v>4596</v>
      </c>
      <c r="S6272" t="s">
        <v>1615</v>
      </c>
      <c r="T6272" t="s">
        <v>2041</v>
      </c>
    </row>
    <row r="6273" spans="1:20" x14ac:dyDescent="0.25">
      <c r="A6273">
        <v>9</v>
      </c>
      <c r="B6273">
        <v>199</v>
      </c>
      <c r="C6273" t="str">
        <f>"41"</f>
        <v>41</v>
      </c>
      <c r="D6273">
        <v>6499</v>
      </c>
      <c r="E6273" t="str">
        <f>"11"</f>
        <v>11</v>
      </c>
      <c r="F6273" t="str">
        <f>"730"</f>
        <v>730</v>
      </c>
      <c r="G6273">
        <v>9</v>
      </c>
      <c r="H6273" t="str">
        <f>"99"</f>
        <v>99</v>
      </c>
      <c r="I6273" t="str">
        <f t="shared" si="1367"/>
        <v>0</v>
      </c>
      <c r="J6273" t="str">
        <f>"95"</f>
        <v>95</v>
      </c>
      <c r="K6273">
        <v>20190517</v>
      </c>
      <c r="L6273" t="str">
        <f>"076842"</f>
        <v>076842</v>
      </c>
      <c r="M6273" t="str">
        <f>"21860"</f>
        <v>21860</v>
      </c>
      <c r="N6273" t="s">
        <v>3860</v>
      </c>
      <c r="O6273">
        <v>496.7</v>
      </c>
      <c r="P6273">
        <v>20190515</v>
      </c>
      <c r="Q6273" t="s">
        <v>4993</v>
      </c>
      <c r="R6273" t="s">
        <v>4994</v>
      </c>
      <c r="S6273" t="s">
        <v>1615</v>
      </c>
      <c r="T6273" t="s">
        <v>1794</v>
      </c>
    </row>
    <row r="6274" spans="1:20" x14ac:dyDescent="0.25">
      <c r="A6274">
        <v>9</v>
      </c>
      <c r="B6274">
        <v>199</v>
      </c>
      <c r="C6274" t="str">
        <f>"36"</f>
        <v>36</v>
      </c>
      <c r="D6274">
        <v>6411</v>
      </c>
      <c r="E6274" t="str">
        <f>"7A"</f>
        <v>7A</v>
      </c>
      <c r="F6274" t="str">
        <f>"001"</f>
        <v>001</v>
      </c>
      <c r="G6274">
        <v>9</v>
      </c>
      <c r="H6274" t="str">
        <f>"99"</f>
        <v>99</v>
      </c>
      <c r="I6274" t="str">
        <f>"1"</f>
        <v>1</v>
      </c>
      <c r="J6274" t="str">
        <f>"01"</f>
        <v>01</v>
      </c>
      <c r="K6274">
        <v>20190517</v>
      </c>
      <c r="L6274" t="str">
        <f>"076846"</f>
        <v>076846</v>
      </c>
      <c r="M6274" t="str">
        <f>"27002"</f>
        <v>27002</v>
      </c>
      <c r="N6274" t="s">
        <v>3645</v>
      </c>
      <c r="O6274">
        <v>30.78</v>
      </c>
      <c r="P6274">
        <v>20190516</v>
      </c>
      <c r="Q6274" t="s">
        <v>3646</v>
      </c>
      <c r="R6274" t="s">
        <v>4494</v>
      </c>
      <c r="S6274" t="s">
        <v>1615</v>
      </c>
      <c r="T6274" t="s">
        <v>301</v>
      </c>
    </row>
    <row r="6275" spans="1:20" x14ac:dyDescent="0.25">
      <c r="A6275">
        <v>9</v>
      </c>
      <c r="B6275">
        <v>199</v>
      </c>
      <c r="C6275" t="str">
        <f>"23"</f>
        <v>23</v>
      </c>
      <c r="D6275">
        <v>6411</v>
      </c>
      <c r="E6275" t="str">
        <f>"10"</f>
        <v>10</v>
      </c>
      <c r="F6275" t="str">
        <f>"001"</f>
        <v>001</v>
      </c>
      <c r="G6275">
        <v>9</v>
      </c>
      <c r="H6275" t="str">
        <f>"99"</f>
        <v>99</v>
      </c>
      <c r="I6275" t="str">
        <f t="shared" ref="I6275:I6287" si="1381">"0"</f>
        <v>0</v>
      </c>
      <c r="J6275" t="str">
        <f>"01"</f>
        <v>01</v>
      </c>
      <c r="K6275">
        <v>20190517</v>
      </c>
      <c r="L6275" t="str">
        <f>"076847"</f>
        <v>076847</v>
      </c>
      <c r="M6275" t="str">
        <f>"27900"</f>
        <v>27900</v>
      </c>
      <c r="N6275" t="s">
        <v>1490</v>
      </c>
      <c r="O6275">
        <v>150</v>
      </c>
      <c r="P6275">
        <v>20190515</v>
      </c>
      <c r="Q6275" t="s">
        <v>2389</v>
      </c>
      <c r="R6275" t="s">
        <v>4995</v>
      </c>
      <c r="S6275" t="s">
        <v>1615</v>
      </c>
      <c r="T6275" t="s">
        <v>301</v>
      </c>
    </row>
    <row r="6276" spans="1:20" x14ac:dyDescent="0.25">
      <c r="A6276">
        <v>9</v>
      </c>
      <c r="B6276">
        <v>199</v>
      </c>
      <c r="C6276" t="str">
        <f>"13"</f>
        <v>13</v>
      </c>
      <c r="D6276">
        <v>6411</v>
      </c>
      <c r="E6276" t="str">
        <f>"VH"</f>
        <v>VH</v>
      </c>
      <c r="F6276" t="str">
        <f>"001"</f>
        <v>001</v>
      </c>
      <c r="G6276">
        <v>9</v>
      </c>
      <c r="H6276" t="str">
        <f>"22"</f>
        <v>22</v>
      </c>
      <c r="I6276" t="str">
        <f t="shared" si="1381"/>
        <v>0</v>
      </c>
      <c r="J6276" t="str">
        <f>"22"</f>
        <v>22</v>
      </c>
      <c r="K6276">
        <v>20190517</v>
      </c>
      <c r="L6276" t="str">
        <f>"076848"</f>
        <v>076848</v>
      </c>
      <c r="M6276" t="str">
        <f>"29572"</f>
        <v>29572</v>
      </c>
      <c r="N6276" t="s">
        <v>165</v>
      </c>
      <c r="O6276">
        <v>425</v>
      </c>
      <c r="P6276">
        <v>20190515</v>
      </c>
      <c r="Q6276" t="s">
        <v>4996</v>
      </c>
      <c r="R6276" t="s">
        <v>4997</v>
      </c>
      <c r="S6276" t="s">
        <v>1615</v>
      </c>
      <c r="T6276" t="s">
        <v>301</v>
      </c>
    </row>
    <row r="6277" spans="1:20" x14ac:dyDescent="0.25">
      <c r="A6277">
        <v>9</v>
      </c>
      <c r="B6277">
        <v>199</v>
      </c>
      <c r="C6277" t="str">
        <f>"12"</f>
        <v>12</v>
      </c>
      <c r="D6277">
        <v>6328</v>
      </c>
      <c r="E6277" t="str">
        <f>"7U"</f>
        <v>7U</v>
      </c>
      <c r="F6277" t="str">
        <f>"104"</f>
        <v>104</v>
      </c>
      <c r="G6277">
        <v>9</v>
      </c>
      <c r="H6277" t="str">
        <f>"11"</f>
        <v>11</v>
      </c>
      <c r="I6277" t="str">
        <f t="shared" si="1381"/>
        <v>0</v>
      </c>
      <c r="J6277" t="str">
        <f>"05"</f>
        <v>05</v>
      </c>
      <c r="K6277">
        <v>20190517</v>
      </c>
      <c r="L6277" t="str">
        <f>"076849"</f>
        <v>076849</v>
      </c>
      <c r="M6277" t="str">
        <f>"30390"</f>
        <v>30390</v>
      </c>
      <c r="N6277" t="s">
        <v>2624</v>
      </c>
      <c r="O6277">
        <v>57</v>
      </c>
      <c r="P6277">
        <v>20190515</v>
      </c>
      <c r="Q6277" t="s">
        <v>2846</v>
      </c>
      <c r="R6277" t="s">
        <v>4998</v>
      </c>
      <c r="S6277" t="s">
        <v>1615</v>
      </c>
      <c r="T6277" t="s">
        <v>46</v>
      </c>
    </row>
    <row r="6278" spans="1:20" x14ac:dyDescent="0.25">
      <c r="A6278">
        <v>9</v>
      </c>
      <c r="B6278">
        <v>199</v>
      </c>
      <c r="C6278" t="str">
        <f>"12"</f>
        <v>12</v>
      </c>
      <c r="D6278">
        <v>6329</v>
      </c>
      <c r="E6278" t="str">
        <f>"7U"</f>
        <v>7U</v>
      </c>
      <c r="F6278" t="str">
        <f>"104"</f>
        <v>104</v>
      </c>
      <c r="G6278">
        <v>9</v>
      </c>
      <c r="H6278" t="str">
        <f>"11"</f>
        <v>11</v>
      </c>
      <c r="I6278" t="str">
        <f t="shared" si="1381"/>
        <v>0</v>
      </c>
      <c r="J6278" t="str">
        <f>"05"</f>
        <v>05</v>
      </c>
      <c r="K6278">
        <v>20190517</v>
      </c>
      <c r="L6278" t="str">
        <f>"076849"</f>
        <v>076849</v>
      </c>
      <c r="M6278" t="str">
        <f>"30390"</f>
        <v>30390</v>
      </c>
      <c r="N6278" t="s">
        <v>2624</v>
      </c>
      <c r="O6278">
        <v>50.74</v>
      </c>
      <c r="P6278">
        <v>20190515</v>
      </c>
      <c r="Q6278" t="s">
        <v>2848</v>
      </c>
      <c r="R6278" t="s">
        <v>4999</v>
      </c>
      <c r="S6278" t="s">
        <v>1615</v>
      </c>
      <c r="T6278" t="s">
        <v>46</v>
      </c>
    </row>
    <row r="6279" spans="1:20" x14ac:dyDescent="0.25">
      <c r="A6279">
        <v>9</v>
      </c>
      <c r="B6279">
        <v>199</v>
      </c>
      <c r="C6279" t="str">
        <f t="shared" ref="C6279:C6284" si="1382">"11"</f>
        <v>11</v>
      </c>
      <c r="D6279">
        <v>6412</v>
      </c>
      <c r="E6279" t="str">
        <f t="shared" ref="E6279:E6284" si="1383">"V8"</f>
        <v>V8</v>
      </c>
      <c r="F6279" t="str">
        <f t="shared" ref="F6279:F6284" si="1384">"001"</f>
        <v>001</v>
      </c>
      <c r="G6279">
        <v>9</v>
      </c>
      <c r="H6279" t="str">
        <f t="shared" ref="H6279:H6284" si="1385">"22"</f>
        <v>22</v>
      </c>
      <c r="I6279" t="str">
        <f t="shared" si="1381"/>
        <v>0</v>
      </c>
      <c r="J6279" t="str">
        <f t="shared" ref="J6279:J6284" si="1386">"22"</f>
        <v>22</v>
      </c>
      <c r="K6279">
        <v>20190517</v>
      </c>
      <c r="L6279" t="str">
        <f t="shared" ref="L6279:L6290" si="1387">"076851"</f>
        <v>076851</v>
      </c>
      <c r="M6279" t="str">
        <f t="shared" ref="M6279:M6290" si="1388">"30744"</f>
        <v>30744</v>
      </c>
      <c r="N6279" t="s">
        <v>422</v>
      </c>
      <c r="O6279">
        <v>23.1</v>
      </c>
      <c r="P6279">
        <v>20190515</v>
      </c>
      <c r="Q6279" t="s">
        <v>1884</v>
      </c>
      <c r="R6279" t="s">
        <v>4607</v>
      </c>
      <c r="S6279" t="s">
        <v>1615</v>
      </c>
      <c r="T6279" t="s">
        <v>301</v>
      </c>
    </row>
    <row r="6280" spans="1:20" x14ac:dyDescent="0.25">
      <c r="A6280">
        <v>9</v>
      </c>
      <c r="B6280">
        <v>199</v>
      </c>
      <c r="C6280" t="str">
        <f t="shared" si="1382"/>
        <v>11</v>
      </c>
      <c r="D6280">
        <v>6412</v>
      </c>
      <c r="E6280" t="str">
        <f t="shared" si="1383"/>
        <v>V8</v>
      </c>
      <c r="F6280" t="str">
        <f t="shared" si="1384"/>
        <v>001</v>
      </c>
      <c r="G6280">
        <v>9</v>
      </c>
      <c r="H6280" t="str">
        <f t="shared" si="1385"/>
        <v>22</v>
      </c>
      <c r="I6280" t="str">
        <f t="shared" si="1381"/>
        <v>0</v>
      </c>
      <c r="J6280" t="str">
        <f t="shared" si="1386"/>
        <v>22</v>
      </c>
      <c r="K6280">
        <v>20190517</v>
      </c>
      <c r="L6280" t="str">
        <f t="shared" si="1387"/>
        <v>076851</v>
      </c>
      <c r="M6280" t="str">
        <f t="shared" si="1388"/>
        <v>30744</v>
      </c>
      <c r="N6280" t="s">
        <v>422</v>
      </c>
      <c r="O6280">
        <v>22.67</v>
      </c>
      <c r="P6280">
        <v>20190515</v>
      </c>
      <c r="Q6280" t="s">
        <v>1884</v>
      </c>
      <c r="R6280" t="s">
        <v>4607</v>
      </c>
      <c r="S6280" t="s">
        <v>1615</v>
      </c>
      <c r="T6280" t="s">
        <v>301</v>
      </c>
    </row>
    <row r="6281" spans="1:20" x14ac:dyDescent="0.25">
      <c r="A6281">
        <v>9</v>
      </c>
      <c r="B6281">
        <v>199</v>
      </c>
      <c r="C6281" t="str">
        <f t="shared" si="1382"/>
        <v>11</v>
      </c>
      <c r="D6281">
        <v>6412</v>
      </c>
      <c r="E6281" t="str">
        <f t="shared" si="1383"/>
        <v>V8</v>
      </c>
      <c r="F6281" t="str">
        <f t="shared" si="1384"/>
        <v>001</v>
      </c>
      <c r="G6281">
        <v>9</v>
      </c>
      <c r="H6281" t="str">
        <f t="shared" si="1385"/>
        <v>22</v>
      </c>
      <c r="I6281" t="str">
        <f t="shared" si="1381"/>
        <v>0</v>
      </c>
      <c r="J6281" t="str">
        <f t="shared" si="1386"/>
        <v>22</v>
      </c>
      <c r="K6281">
        <v>20190517</v>
      </c>
      <c r="L6281" t="str">
        <f t="shared" si="1387"/>
        <v>076851</v>
      </c>
      <c r="M6281" t="str">
        <f t="shared" si="1388"/>
        <v>30744</v>
      </c>
      <c r="N6281" t="s">
        <v>422</v>
      </c>
      <c r="O6281">
        <v>27.11</v>
      </c>
      <c r="P6281">
        <v>20190515</v>
      </c>
      <c r="Q6281" t="s">
        <v>1884</v>
      </c>
      <c r="R6281" t="s">
        <v>4607</v>
      </c>
      <c r="S6281" t="s">
        <v>1615</v>
      </c>
      <c r="T6281" t="s">
        <v>301</v>
      </c>
    </row>
    <row r="6282" spans="1:20" x14ac:dyDescent="0.25">
      <c r="A6282">
        <v>9</v>
      </c>
      <c r="B6282">
        <v>199</v>
      </c>
      <c r="C6282" t="str">
        <f t="shared" si="1382"/>
        <v>11</v>
      </c>
      <c r="D6282">
        <v>6412</v>
      </c>
      <c r="E6282" t="str">
        <f t="shared" si="1383"/>
        <v>V8</v>
      </c>
      <c r="F6282" t="str">
        <f t="shared" si="1384"/>
        <v>001</v>
      </c>
      <c r="G6282">
        <v>9</v>
      </c>
      <c r="H6282" t="str">
        <f t="shared" si="1385"/>
        <v>22</v>
      </c>
      <c r="I6282" t="str">
        <f t="shared" si="1381"/>
        <v>0</v>
      </c>
      <c r="J6282" t="str">
        <f t="shared" si="1386"/>
        <v>22</v>
      </c>
      <c r="K6282">
        <v>20190517</v>
      </c>
      <c r="L6282" t="str">
        <f t="shared" si="1387"/>
        <v>076851</v>
      </c>
      <c r="M6282" t="str">
        <f t="shared" si="1388"/>
        <v>30744</v>
      </c>
      <c r="N6282" t="s">
        <v>422</v>
      </c>
      <c r="O6282">
        <v>25.69</v>
      </c>
      <c r="P6282">
        <v>20190515</v>
      </c>
      <c r="Q6282" t="s">
        <v>1884</v>
      </c>
      <c r="R6282" t="s">
        <v>4607</v>
      </c>
      <c r="S6282" t="s">
        <v>1615</v>
      </c>
      <c r="T6282" t="s">
        <v>301</v>
      </c>
    </row>
    <row r="6283" spans="1:20" x14ac:dyDescent="0.25">
      <c r="A6283">
        <v>9</v>
      </c>
      <c r="B6283">
        <v>199</v>
      </c>
      <c r="C6283" t="str">
        <f t="shared" si="1382"/>
        <v>11</v>
      </c>
      <c r="D6283">
        <v>6412</v>
      </c>
      <c r="E6283" t="str">
        <f t="shared" si="1383"/>
        <v>V8</v>
      </c>
      <c r="F6283" t="str">
        <f t="shared" si="1384"/>
        <v>001</v>
      </c>
      <c r="G6283">
        <v>9</v>
      </c>
      <c r="H6283" t="str">
        <f t="shared" si="1385"/>
        <v>22</v>
      </c>
      <c r="I6283" t="str">
        <f t="shared" si="1381"/>
        <v>0</v>
      </c>
      <c r="J6283" t="str">
        <f t="shared" si="1386"/>
        <v>22</v>
      </c>
      <c r="K6283">
        <v>20190517</v>
      </c>
      <c r="L6283" t="str">
        <f t="shared" si="1387"/>
        <v>076851</v>
      </c>
      <c r="M6283" t="str">
        <f t="shared" si="1388"/>
        <v>30744</v>
      </c>
      <c r="N6283" t="s">
        <v>422</v>
      </c>
      <c r="O6283">
        <v>27.15</v>
      </c>
      <c r="P6283">
        <v>20190515</v>
      </c>
      <c r="Q6283" t="s">
        <v>1884</v>
      </c>
      <c r="R6283" t="s">
        <v>4607</v>
      </c>
      <c r="S6283" t="s">
        <v>1615</v>
      </c>
      <c r="T6283" t="s">
        <v>301</v>
      </c>
    </row>
    <row r="6284" spans="1:20" x14ac:dyDescent="0.25">
      <c r="A6284">
        <v>9</v>
      </c>
      <c r="B6284">
        <v>199</v>
      </c>
      <c r="C6284" t="str">
        <f t="shared" si="1382"/>
        <v>11</v>
      </c>
      <c r="D6284">
        <v>6412</v>
      </c>
      <c r="E6284" t="str">
        <f t="shared" si="1383"/>
        <v>V8</v>
      </c>
      <c r="F6284" t="str">
        <f t="shared" si="1384"/>
        <v>001</v>
      </c>
      <c r="G6284">
        <v>9</v>
      </c>
      <c r="H6284" t="str">
        <f t="shared" si="1385"/>
        <v>22</v>
      </c>
      <c r="I6284" t="str">
        <f t="shared" si="1381"/>
        <v>0</v>
      </c>
      <c r="J6284" t="str">
        <f t="shared" si="1386"/>
        <v>22</v>
      </c>
      <c r="K6284">
        <v>20190517</v>
      </c>
      <c r="L6284" t="str">
        <f t="shared" si="1387"/>
        <v>076851</v>
      </c>
      <c r="M6284" t="str">
        <f t="shared" si="1388"/>
        <v>30744</v>
      </c>
      <c r="N6284" t="s">
        <v>422</v>
      </c>
      <c r="O6284">
        <v>24.03</v>
      </c>
      <c r="P6284">
        <v>20190515</v>
      </c>
      <c r="Q6284" t="s">
        <v>1884</v>
      </c>
      <c r="R6284" t="s">
        <v>4607</v>
      </c>
      <c r="S6284" t="s">
        <v>1615</v>
      </c>
      <c r="T6284" t="s">
        <v>301</v>
      </c>
    </row>
    <row r="6285" spans="1:20" x14ac:dyDescent="0.25">
      <c r="A6285">
        <v>9</v>
      </c>
      <c r="B6285">
        <v>199</v>
      </c>
      <c r="C6285" t="str">
        <f>"34"</f>
        <v>34</v>
      </c>
      <c r="D6285">
        <v>6311</v>
      </c>
      <c r="E6285" t="str">
        <f>"10"</f>
        <v>10</v>
      </c>
      <c r="F6285" t="str">
        <f>"937"</f>
        <v>937</v>
      </c>
      <c r="G6285">
        <v>9</v>
      </c>
      <c r="H6285" t="str">
        <f t="shared" ref="H6285:H6291" si="1389">"99"</f>
        <v>99</v>
      </c>
      <c r="I6285" t="str">
        <f t="shared" si="1381"/>
        <v>0</v>
      </c>
      <c r="J6285" t="str">
        <f>"82"</f>
        <v>82</v>
      </c>
      <c r="K6285">
        <v>20190517</v>
      </c>
      <c r="L6285" t="str">
        <f t="shared" si="1387"/>
        <v>076851</v>
      </c>
      <c r="M6285" t="str">
        <f t="shared" si="1388"/>
        <v>30744</v>
      </c>
      <c r="N6285" t="s">
        <v>422</v>
      </c>
      <c r="O6285">
        <v>87.69</v>
      </c>
      <c r="P6285">
        <v>20190515</v>
      </c>
      <c r="Q6285" t="s">
        <v>1914</v>
      </c>
      <c r="R6285" t="s">
        <v>4469</v>
      </c>
      <c r="S6285" t="s">
        <v>1615</v>
      </c>
      <c r="T6285" t="s">
        <v>1810</v>
      </c>
    </row>
    <row r="6286" spans="1:20" x14ac:dyDescent="0.25">
      <c r="A6286">
        <v>9</v>
      </c>
      <c r="B6286">
        <v>199</v>
      </c>
      <c r="C6286" t="str">
        <f>"34"</f>
        <v>34</v>
      </c>
      <c r="D6286">
        <v>6311</v>
      </c>
      <c r="E6286" t="str">
        <f>"10"</f>
        <v>10</v>
      </c>
      <c r="F6286" t="str">
        <f>"937"</f>
        <v>937</v>
      </c>
      <c r="G6286">
        <v>9</v>
      </c>
      <c r="H6286" t="str">
        <f t="shared" si="1389"/>
        <v>99</v>
      </c>
      <c r="I6286" t="str">
        <f t="shared" si="1381"/>
        <v>0</v>
      </c>
      <c r="J6286" t="str">
        <f>"82"</f>
        <v>82</v>
      </c>
      <c r="K6286">
        <v>20190517</v>
      </c>
      <c r="L6286" t="str">
        <f t="shared" si="1387"/>
        <v>076851</v>
      </c>
      <c r="M6286" t="str">
        <f t="shared" si="1388"/>
        <v>30744</v>
      </c>
      <c r="N6286" t="s">
        <v>422</v>
      </c>
      <c r="O6286">
        <v>110.55</v>
      </c>
      <c r="P6286">
        <v>20190515</v>
      </c>
      <c r="Q6286" t="s">
        <v>1914</v>
      </c>
      <c r="R6286" t="s">
        <v>4672</v>
      </c>
      <c r="S6286" t="s">
        <v>1615</v>
      </c>
      <c r="T6286" t="s">
        <v>1810</v>
      </c>
    </row>
    <row r="6287" spans="1:20" x14ac:dyDescent="0.25">
      <c r="A6287">
        <v>9</v>
      </c>
      <c r="B6287">
        <v>199</v>
      </c>
      <c r="C6287" t="str">
        <f>"36"</f>
        <v>36</v>
      </c>
      <c r="D6287">
        <v>6412</v>
      </c>
      <c r="E6287" t="str">
        <f>"7A"</f>
        <v>7A</v>
      </c>
      <c r="F6287" t="str">
        <f>"001"</f>
        <v>001</v>
      </c>
      <c r="G6287">
        <v>9</v>
      </c>
      <c r="H6287" t="str">
        <f t="shared" si="1389"/>
        <v>99</v>
      </c>
      <c r="I6287" t="str">
        <f t="shared" si="1381"/>
        <v>0</v>
      </c>
      <c r="J6287" t="str">
        <f>"01"</f>
        <v>01</v>
      </c>
      <c r="K6287">
        <v>20190517</v>
      </c>
      <c r="L6287" t="str">
        <f t="shared" si="1387"/>
        <v>076851</v>
      </c>
      <c r="M6287" t="str">
        <f t="shared" si="1388"/>
        <v>30744</v>
      </c>
      <c r="N6287" t="s">
        <v>422</v>
      </c>
      <c r="O6287">
        <v>29.29</v>
      </c>
      <c r="P6287">
        <v>20190515</v>
      </c>
      <c r="Q6287" t="s">
        <v>3669</v>
      </c>
      <c r="R6287" t="s">
        <v>4494</v>
      </c>
      <c r="S6287" t="s">
        <v>1615</v>
      </c>
      <c r="T6287" t="s">
        <v>301</v>
      </c>
    </row>
    <row r="6288" spans="1:20" x14ac:dyDescent="0.25">
      <c r="A6288">
        <v>9</v>
      </c>
      <c r="B6288">
        <v>199</v>
      </c>
      <c r="C6288" t="str">
        <f>"36"</f>
        <v>36</v>
      </c>
      <c r="D6288">
        <v>6412</v>
      </c>
      <c r="E6288" t="str">
        <f>"7K"</f>
        <v>7K</v>
      </c>
      <c r="F6288" t="str">
        <f>"001"</f>
        <v>001</v>
      </c>
      <c r="G6288">
        <v>9</v>
      </c>
      <c r="H6288" t="str">
        <f t="shared" si="1389"/>
        <v>99</v>
      </c>
      <c r="I6288" t="str">
        <f>"5"</f>
        <v>5</v>
      </c>
      <c r="J6288" t="str">
        <f>"74"</f>
        <v>74</v>
      </c>
      <c r="K6288">
        <v>20190517</v>
      </c>
      <c r="L6288" t="str">
        <f t="shared" si="1387"/>
        <v>076851</v>
      </c>
      <c r="M6288" t="str">
        <f t="shared" si="1388"/>
        <v>30744</v>
      </c>
      <c r="N6288" t="s">
        <v>422</v>
      </c>
      <c r="O6288">
        <v>54.77</v>
      </c>
      <c r="P6288">
        <v>20190515</v>
      </c>
      <c r="Q6288" t="s">
        <v>4671</v>
      </c>
      <c r="R6288" t="s">
        <v>4672</v>
      </c>
      <c r="S6288" t="s">
        <v>1615</v>
      </c>
      <c r="T6288" t="s">
        <v>301</v>
      </c>
    </row>
    <row r="6289" spans="1:20" x14ac:dyDescent="0.25">
      <c r="A6289">
        <v>9</v>
      </c>
      <c r="B6289">
        <v>199</v>
      </c>
      <c r="C6289" t="str">
        <f>"36"</f>
        <v>36</v>
      </c>
      <c r="D6289">
        <v>6412</v>
      </c>
      <c r="E6289" t="str">
        <f>"7K"</f>
        <v>7K</v>
      </c>
      <c r="F6289" t="str">
        <f>"001"</f>
        <v>001</v>
      </c>
      <c r="G6289">
        <v>9</v>
      </c>
      <c r="H6289" t="str">
        <f t="shared" si="1389"/>
        <v>99</v>
      </c>
      <c r="I6289" t="str">
        <f>"5"</f>
        <v>5</v>
      </c>
      <c r="J6289" t="str">
        <f>"74"</f>
        <v>74</v>
      </c>
      <c r="K6289">
        <v>20190517</v>
      </c>
      <c r="L6289" t="str">
        <f t="shared" si="1387"/>
        <v>076851</v>
      </c>
      <c r="M6289" t="str">
        <f t="shared" si="1388"/>
        <v>30744</v>
      </c>
      <c r="N6289" t="s">
        <v>422</v>
      </c>
      <c r="O6289">
        <v>40.799999999999997</v>
      </c>
      <c r="P6289">
        <v>20190515</v>
      </c>
      <c r="Q6289" t="s">
        <v>4671</v>
      </c>
      <c r="R6289" t="s">
        <v>4672</v>
      </c>
      <c r="S6289" t="s">
        <v>1615</v>
      </c>
      <c r="T6289" t="s">
        <v>301</v>
      </c>
    </row>
    <row r="6290" spans="1:20" x14ac:dyDescent="0.25">
      <c r="A6290">
        <v>9</v>
      </c>
      <c r="B6290">
        <v>199</v>
      </c>
      <c r="C6290" t="str">
        <f>"36"</f>
        <v>36</v>
      </c>
      <c r="D6290">
        <v>6412</v>
      </c>
      <c r="E6290" t="str">
        <f>"7K"</f>
        <v>7K</v>
      </c>
      <c r="F6290" t="str">
        <f>"001"</f>
        <v>001</v>
      </c>
      <c r="G6290">
        <v>9</v>
      </c>
      <c r="H6290" t="str">
        <f t="shared" si="1389"/>
        <v>99</v>
      </c>
      <c r="I6290" t="str">
        <f>"5"</f>
        <v>5</v>
      </c>
      <c r="J6290" t="str">
        <f>"74"</f>
        <v>74</v>
      </c>
      <c r="K6290">
        <v>20190517</v>
      </c>
      <c r="L6290" t="str">
        <f t="shared" si="1387"/>
        <v>076851</v>
      </c>
      <c r="M6290" t="str">
        <f t="shared" si="1388"/>
        <v>30744</v>
      </c>
      <c r="N6290" t="s">
        <v>422</v>
      </c>
      <c r="O6290">
        <v>49.87</v>
      </c>
      <c r="P6290">
        <v>20190515</v>
      </c>
      <c r="Q6290" t="s">
        <v>4671</v>
      </c>
      <c r="R6290" t="s">
        <v>4672</v>
      </c>
      <c r="S6290" t="s">
        <v>1615</v>
      </c>
      <c r="T6290" t="s">
        <v>301</v>
      </c>
    </row>
    <row r="6291" spans="1:20" x14ac:dyDescent="0.25">
      <c r="A6291">
        <v>9</v>
      </c>
      <c r="B6291">
        <v>199</v>
      </c>
      <c r="C6291" t="str">
        <f>"34"</f>
        <v>34</v>
      </c>
      <c r="D6291">
        <v>6249</v>
      </c>
      <c r="E6291" t="str">
        <f>"10"</f>
        <v>10</v>
      </c>
      <c r="F6291" t="str">
        <f>"937"</f>
        <v>937</v>
      </c>
      <c r="G6291">
        <v>9</v>
      </c>
      <c r="H6291" t="str">
        <f t="shared" si="1389"/>
        <v>99</v>
      </c>
      <c r="I6291" t="str">
        <f>"0"</f>
        <v>0</v>
      </c>
      <c r="J6291" t="str">
        <f>"82"</f>
        <v>82</v>
      </c>
      <c r="K6291">
        <v>20190517</v>
      </c>
      <c r="L6291" t="str">
        <f>"076853"</f>
        <v>076853</v>
      </c>
      <c r="M6291" t="str">
        <f>"30922"</f>
        <v>30922</v>
      </c>
      <c r="N6291" t="s">
        <v>3564</v>
      </c>
      <c r="O6291">
        <v>89</v>
      </c>
      <c r="P6291">
        <v>20190516</v>
      </c>
      <c r="Q6291" t="s">
        <v>2036</v>
      </c>
      <c r="R6291" t="s">
        <v>5000</v>
      </c>
      <c r="S6291" t="s">
        <v>1615</v>
      </c>
      <c r="T6291" t="s">
        <v>1810</v>
      </c>
    </row>
    <row r="6292" spans="1:20" x14ac:dyDescent="0.25">
      <c r="A6292">
        <v>9</v>
      </c>
      <c r="B6292">
        <v>199</v>
      </c>
      <c r="C6292" t="str">
        <f>"11"</f>
        <v>11</v>
      </c>
      <c r="D6292">
        <v>6299</v>
      </c>
      <c r="E6292" t="str">
        <f>"7B"</f>
        <v>7B</v>
      </c>
      <c r="F6292" t="str">
        <f>"041"</f>
        <v>041</v>
      </c>
      <c r="G6292">
        <v>9</v>
      </c>
      <c r="H6292" t="str">
        <f>"11"</f>
        <v>11</v>
      </c>
      <c r="I6292" t="str">
        <f>"0"</f>
        <v>0</v>
      </c>
      <c r="J6292" t="str">
        <f>"36"</f>
        <v>36</v>
      </c>
      <c r="K6292">
        <v>20190517</v>
      </c>
      <c r="L6292" t="str">
        <f>"076854"</f>
        <v>076854</v>
      </c>
      <c r="M6292" t="str">
        <f>"00775"</f>
        <v>00775</v>
      </c>
      <c r="N6292" t="s">
        <v>4525</v>
      </c>
      <c r="O6292">
        <v>100</v>
      </c>
      <c r="P6292">
        <v>20190515</v>
      </c>
      <c r="Q6292" t="s">
        <v>4523</v>
      </c>
      <c r="R6292" t="s">
        <v>5001</v>
      </c>
      <c r="S6292" t="s">
        <v>1615</v>
      </c>
      <c r="T6292" t="s">
        <v>106</v>
      </c>
    </row>
    <row r="6293" spans="1:20" x14ac:dyDescent="0.25">
      <c r="A6293">
        <v>9</v>
      </c>
      <c r="B6293">
        <v>199</v>
      </c>
      <c r="C6293" t="str">
        <f>"36"</f>
        <v>36</v>
      </c>
      <c r="D6293">
        <v>6411</v>
      </c>
      <c r="E6293" t="str">
        <f>"VB"</f>
        <v>VB</v>
      </c>
      <c r="F6293" t="str">
        <f>"001"</f>
        <v>001</v>
      </c>
      <c r="G6293">
        <v>9</v>
      </c>
      <c r="H6293" t="str">
        <f>"22"</f>
        <v>22</v>
      </c>
      <c r="I6293" t="str">
        <f>"0"</f>
        <v>0</v>
      </c>
      <c r="J6293" t="str">
        <f>"22"</f>
        <v>22</v>
      </c>
      <c r="K6293">
        <v>20190517</v>
      </c>
      <c r="L6293" t="str">
        <f>"076856"</f>
        <v>076856</v>
      </c>
      <c r="M6293" t="str">
        <f>"42212"</f>
        <v>42212</v>
      </c>
      <c r="N6293" t="s">
        <v>1892</v>
      </c>
      <c r="O6293">
        <v>49.71</v>
      </c>
      <c r="P6293">
        <v>20190516</v>
      </c>
      <c r="Q6293" t="s">
        <v>3734</v>
      </c>
      <c r="R6293" t="s">
        <v>4392</v>
      </c>
      <c r="S6293" t="s">
        <v>1615</v>
      </c>
      <c r="T6293" t="s">
        <v>301</v>
      </c>
    </row>
    <row r="6294" spans="1:20" x14ac:dyDescent="0.25">
      <c r="A6294">
        <v>9</v>
      </c>
      <c r="B6294">
        <v>199</v>
      </c>
      <c r="C6294" t="str">
        <f>"36"</f>
        <v>36</v>
      </c>
      <c r="D6294">
        <v>6412</v>
      </c>
      <c r="E6294" t="str">
        <f>"09"</f>
        <v>09</v>
      </c>
      <c r="F6294" t="str">
        <f>"001"</f>
        <v>001</v>
      </c>
      <c r="G6294">
        <v>9</v>
      </c>
      <c r="H6294" t="str">
        <f>"99"</f>
        <v>99</v>
      </c>
      <c r="I6294" t="str">
        <f>"0"</f>
        <v>0</v>
      </c>
      <c r="J6294" t="str">
        <f>"01"</f>
        <v>01</v>
      </c>
      <c r="K6294">
        <v>20190517</v>
      </c>
      <c r="L6294" t="str">
        <f>"076856"</f>
        <v>076856</v>
      </c>
      <c r="M6294" t="str">
        <f>"42212"</f>
        <v>42212</v>
      </c>
      <c r="N6294" t="s">
        <v>1892</v>
      </c>
      <c r="O6294">
        <v>43.64</v>
      </c>
      <c r="P6294">
        <v>20190516</v>
      </c>
      <c r="Q6294" t="s">
        <v>2427</v>
      </c>
      <c r="R6294" t="s">
        <v>4530</v>
      </c>
      <c r="S6294" t="s">
        <v>1615</v>
      </c>
      <c r="T6294" t="s">
        <v>301</v>
      </c>
    </row>
    <row r="6295" spans="1:20" x14ac:dyDescent="0.25">
      <c r="A6295">
        <v>9</v>
      </c>
      <c r="B6295">
        <v>199</v>
      </c>
      <c r="C6295" t="str">
        <f>"36"</f>
        <v>36</v>
      </c>
      <c r="D6295">
        <v>6412</v>
      </c>
      <c r="E6295" t="str">
        <f>"VB"</f>
        <v>VB</v>
      </c>
      <c r="F6295" t="str">
        <f>"001"</f>
        <v>001</v>
      </c>
      <c r="G6295">
        <v>9</v>
      </c>
      <c r="H6295" t="str">
        <f>"22"</f>
        <v>22</v>
      </c>
      <c r="I6295" t="str">
        <f>"5"</f>
        <v>5</v>
      </c>
      <c r="J6295" t="str">
        <f>"74"</f>
        <v>74</v>
      </c>
      <c r="K6295">
        <v>20190517</v>
      </c>
      <c r="L6295" t="str">
        <f>"076856"</f>
        <v>076856</v>
      </c>
      <c r="M6295" t="str">
        <f>"42212"</f>
        <v>42212</v>
      </c>
      <c r="N6295" t="s">
        <v>1892</v>
      </c>
      <c r="O6295" s="1">
        <v>1945.81</v>
      </c>
      <c r="P6295">
        <v>20190515</v>
      </c>
      <c r="Q6295" t="s">
        <v>4391</v>
      </c>
      <c r="R6295" t="s">
        <v>4392</v>
      </c>
      <c r="S6295" t="s">
        <v>1615</v>
      </c>
      <c r="T6295" t="s">
        <v>301</v>
      </c>
    </row>
    <row r="6296" spans="1:20" x14ac:dyDescent="0.25">
      <c r="A6296">
        <v>9</v>
      </c>
      <c r="B6296">
        <v>199</v>
      </c>
      <c r="C6296" t="str">
        <f>"11"</f>
        <v>11</v>
      </c>
      <c r="D6296">
        <v>6499</v>
      </c>
      <c r="E6296" t="str">
        <f>"01"</f>
        <v>01</v>
      </c>
      <c r="F6296" t="str">
        <f>"001"</f>
        <v>001</v>
      </c>
      <c r="G6296">
        <v>9</v>
      </c>
      <c r="H6296" t="str">
        <f>"11"</f>
        <v>11</v>
      </c>
      <c r="I6296" t="str">
        <f>"0"</f>
        <v>0</v>
      </c>
      <c r="J6296" t="str">
        <f>"01"</f>
        <v>01</v>
      </c>
      <c r="K6296">
        <v>20190517</v>
      </c>
      <c r="L6296" t="str">
        <f>"076857"</f>
        <v>076857</v>
      </c>
      <c r="M6296" t="str">
        <f>"45093"</f>
        <v>45093</v>
      </c>
      <c r="N6296" t="s">
        <v>885</v>
      </c>
      <c r="O6296" s="1">
        <v>1289.3900000000001</v>
      </c>
      <c r="P6296">
        <v>20190516</v>
      </c>
      <c r="Q6296" t="s">
        <v>5002</v>
      </c>
      <c r="R6296" t="s">
        <v>5003</v>
      </c>
      <c r="S6296" t="s">
        <v>1615</v>
      </c>
      <c r="T6296" t="s">
        <v>301</v>
      </c>
    </row>
    <row r="6297" spans="1:20" x14ac:dyDescent="0.25">
      <c r="A6297">
        <v>9</v>
      </c>
      <c r="B6297">
        <v>199</v>
      </c>
      <c r="C6297" t="str">
        <f>"41"</f>
        <v>41</v>
      </c>
      <c r="D6297">
        <v>6498</v>
      </c>
      <c r="E6297" t="str">
        <f>"10"</f>
        <v>10</v>
      </c>
      <c r="F6297" t="str">
        <f>"730"</f>
        <v>730</v>
      </c>
      <c r="G6297">
        <v>9</v>
      </c>
      <c r="H6297" t="str">
        <f>"99"</f>
        <v>99</v>
      </c>
      <c r="I6297" t="str">
        <f>"0"</f>
        <v>0</v>
      </c>
      <c r="J6297" t="str">
        <f>"95"</f>
        <v>95</v>
      </c>
      <c r="K6297">
        <v>20190517</v>
      </c>
      <c r="L6297" t="str">
        <f>"076857"</f>
        <v>076857</v>
      </c>
      <c r="M6297" t="str">
        <f>"45093"</f>
        <v>45093</v>
      </c>
      <c r="N6297" t="s">
        <v>885</v>
      </c>
      <c r="O6297">
        <v>234.06</v>
      </c>
      <c r="P6297">
        <v>20190515</v>
      </c>
      <c r="Q6297" t="s">
        <v>2842</v>
      </c>
      <c r="R6297" t="s">
        <v>5004</v>
      </c>
      <c r="S6297" t="s">
        <v>1615</v>
      </c>
      <c r="T6297" t="s">
        <v>1794</v>
      </c>
    </row>
    <row r="6298" spans="1:20" x14ac:dyDescent="0.25">
      <c r="A6298">
        <v>9</v>
      </c>
      <c r="B6298">
        <v>199</v>
      </c>
      <c r="C6298" t="str">
        <f>"11"</f>
        <v>11</v>
      </c>
      <c r="D6298">
        <v>6399</v>
      </c>
      <c r="E6298" t="str">
        <f>"45"</f>
        <v>45</v>
      </c>
      <c r="F6298" t="str">
        <f>"041"</f>
        <v>041</v>
      </c>
      <c r="G6298">
        <v>9</v>
      </c>
      <c r="H6298" t="str">
        <f>"11"</f>
        <v>11</v>
      </c>
      <c r="I6298" t="str">
        <f>"0"</f>
        <v>0</v>
      </c>
      <c r="J6298" t="str">
        <f>"03"</f>
        <v>03</v>
      </c>
      <c r="K6298">
        <v>20190517</v>
      </c>
      <c r="L6298" t="str">
        <f>"076858"</f>
        <v>076858</v>
      </c>
      <c r="M6298" t="str">
        <f>"40781"</f>
        <v>40781</v>
      </c>
      <c r="N6298" t="s">
        <v>1738</v>
      </c>
      <c r="O6298">
        <v>178.5</v>
      </c>
      <c r="P6298">
        <v>20190515</v>
      </c>
      <c r="Q6298" t="s">
        <v>2204</v>
      </c>
      <c r="R6298" t="s">
        <v>5005</v>
      </c>
      <c r="S6298" t="s">
        <v>1615</v>
      </c>
      <c r="T6298" t="s">
        <v>106</v>
      </c>
    </row>
    <row r="6299" spans="1:20" x14ac:dyDescent="0.25">
      <c r="A6299">
        <v>9</v>
      </c>
      <c r="B6299">
        <v>199</v>
      </c>
      <c r="C6299" t="str">
        <f>"41"</f>
        <v>41</v>
      </c>
      <c r="D6299">
        <v>6219</v>
      </c>
      <c r="E6299" t="str">
        <f>"11"</f>
        <v>11</v>
      </c>
      <c r="F6299" t="str">
        <f>"730"</f>
        <v>730</v>
      </c>
      <c r="G6299">
        <v>9</v>
      </c>
      <c r="H6299" t="str">
        <f>"99"</f>
        <v>99</v>
      </c>
      <c r="I6299" t="str">
        <f>"0"</f>
        <v>0</v>
      </c>
      <c r="J6299" t="str">
        <f>"95"</f>
        <v>95</v>
      </c>
      <c r="K6299">
        <v>20190517</v>
      </c>
      <c r="L6299" t="str">
        <f>"076859"</f>
        <v>076859</v>
      </c>
      <c r="M6299" t="str">
        <f>"46025"</f>
        <v>46025</v>
      </c>
      <c r="N6299" t="s">
        <v>1741</v>
      </c>
      <c r="O6299">
        <v>890</v>
      </c>
      <c r="P6299">
        <v>20190515</v>
      </c>
      <c r="Q6299" t="s">
        <v>2385</v>
      </c>
      <c r="R6299" s="2">
        <v>43556</v>
      </c>
      <c r="S6299" t="s">
        <v>1615</v>
      </c>
      <c r="T6299" t="s">
        <v>1794</v>
      </c>
    </row>
    <row r="6300" spans="1:20" x14ac:dyDescent="0.25">
      <c r="A6300">
        <v>9</v>
      </c>
      <c r="B6300">
        <v>199</v>
      </c>
      <c r="C6300" t="str">
        <f>"36"</f>
        <v>36</v>
      </c>
      <c r="D6300">
        <v>6411</v>
      </c>
      <c r="E6300" t="str">
        <f>"8S"</f>
        <v>8S</v>
      </c>
      <c r="F6300" t="str">
        <f>"001"</f>
        <v>001</v>
      </c>
      <c r="G6300">
        <v>9</v>
      </c>
      <c r="H6300" t="str">
        <f>"99"</f>
        <v>99</v>
      </c>
      <c r="I6300" t="str">
        <f>"1"</f>
        <v>1</v>
      </c>
      <c r="J6300" t="str">
        <f>"01"</f>
        <v>01</v>
      </c>
      <c r="K6300">
        <v>20190517</v>
      </c>
      <c r="L6300" t="str">
        <f>"076860"</f>
        <v>076860</v>
      </c>
      <c r="M6300" t="str">
        <f>"46348"</f>
        <v>46348</v>
      </c>
      <c r="N6300" t="s">
        <v>1631</v>
      </c>
      <c r="O6300">
        <v>75</v>
      </c>
      <c r="P6300">
        <v>20190515</v>
      </c>
      <c r="Q6300" t="s">
        <v>1632</v>
      </c>
      <c r="R6300" t="s">
        <v>5006</v>
      </c>
      <c r="S6300" t="s">
        <v>1615</v>
      </c>
      <c r="T6300" t="s">
        <v>301</v>
      </c>
    </row>
    <row r="6301" spans="1:20" x14ac:dyDescent="0.25">
      <c r="A6301">
        <v>9</v>
      </c>
      <c r="B6301">
        <v>199</v>
      </c>
      <c r="C6301" t="str">
        <f>"36"</f>
        <v>36</v>
      </c>
      <c r="D6301">
        <v>6412</v>
      </c>
      <c r="E6301" t="str">
        <f>"10"</f>
        <v>10</v>
      </c>
      <c r="F6301" t="str">
        <f>"001"</f>
        <v>001</v>
      </c>
      <c r="G6301">
        <v>9</v>
      </c>
      <c r="H6301" t="str">
        <f>"99"</f>
        <v>99</v>
      </c>
      <c r="I6301" t="str">
        <f>"5"</f>
        <v>5</v>
      </c>
      <c r="J6301" t="str">
        <f>"74"</f>
        <v>74</v>
      </c>
      <c r="K6301">
        <v>20190517</v>
      </c>
      <c r="L6301" t="str">
        <f>"076860"</f>
        <v>076860</v>
      </c>
      <c r="M6301" t="str">
        <f>"46348"</f>
        <v>46348</v>
      </c>
      <c r="N6301" t="s">
        <v>1631</v>
      </c>
      <c r="O6301">
        <v>270</v>
      </c>
      <c r="P6301">
        <v>20190515</v>
      </c>
      <c r="Q6301" t="s">
        <v>5007</v>
      </c>
      <c r="R6301" t="s">
        <v>5006</v>
      </c>
      <c r="S6301" t="s">
        <v>1615</v>
      </c>
      <c r="T6301" t="s">
        <v>301</v>
      </c>
    </row>
    <row r="6302" spans="1:20" x14ac:dyDescent="0.25">
      <c r="A6302">
        <v>9</v>
      </c>
      <c r="B6302">
        <v>199</v>
      </c>
      <c r="C6302" t="str">
        <f>"36"</f>
        <v>36</v>
      </c>
      <c r="D6302">
        <v>6412</v>
      </c>
      <c r="E6302" t="str">
        <f>"09"</f>
        <v>09</v>
      </c>
      <c r="F6302" t="str">
        <f>"001"</f>
        <v>001</v>
      </c>
      <c r="G6302">
        <v>9</v>
      </c>
      <c r="H6302" t="str">
        <f>"99"</f>
        <v>99</v>
      </c>
      <c r="I6302" t="str">
        <f t="shared" ref="I6302:I6333" si="1390">"0"</f>
        <v>0</v>
      </c>
      <c r="J6302" t="str">
        <f>"01"</f>
        <v>01</v>
      </c>
      <c r="K6302">
        <v>20190517</v>
      </c>
      <c r="L6302" t="str">
        <f>"076861"</f>
        <v>076861</v>
      </c>
      <c r="M6302" t="str">
        <f>"46348"</f>
        <v>46348</v>
      </c>
      <c r="N6302" t="s">
        <v>1631</v>
      </c>
      <c r="O6302">
        <v>31.57</v>
      </c>
      <c r="P6302">
        <v>20190516</v>
      </c>
      <c r="Q6302" t="s">
        <v>2427</v>
      </c>
      <c r="R6302" t="s">
        <v>4530</v>
      </c>
      <c r="S6302" t="s">
        <v>1615</v>
      </c>
      <c r="T6302" t="s">
        <v>301</v>
      </c>
    </row>
    <row r="6303" spans="1:20" x14ac:dyDescent="0.25">
      <c r="A6303">
        <v>9</v>
      </c>
      <c r="B6303">
        <v>199</v>
      </c>
      <c r="C6303" t="str">
        <f>"00"</f>
        <v>00</v>
      </c>
      <c r="D6303">
        <v>1291</v>
      </c>
      <c r="E6303" t="str">
        <f>"05"</f>
        <v>05</v>
      </c>
      <c r="F6303" t="str">
        <f>"000"</f>
        <v>000</v>
      </c>
      <c r="G6303">
        <v>9</v>
      </c>
      <c r="H6303" t="str">
        <f>"00"</f>
        <v>00</v>
      </c>
      <c r="I6303" t="str">
        <f t="shared" si="1390"/>
        <v>0</v>
      </c>
      <c r="J6303" t="str">
        <f>"00"</f>
        <v>00</v>
      </c>
      <c r="K6303">
        <v>20190517</v>
      </c>
      <c r="L6303" t="str">
        <f>"076862"</f>
        <v>076862</v>
      </c>
      <c r="M6303" t="str">
        <f>"46398"</f>
        <v>46398</v>
      </c>
      <c r="N6303" t="s">
        <v>1636</v>
      </c>
      <c r="O6303" s="1">
        <v>1820</v>
      </c>
      <c r="P6303">
        <v>20190515</v>
      </c>
      <c r="Q6303" t="s">
        <v>1637</v>
      </c>
      <c r="R6303" t="s">
        <v>5008</v>
      </c>
      <c r="S6303" t="s">
        <v>1615</v>
      </c>
      <c r="T6303" t="s">
        <v>296</v>
      </c>
    </row>
    <row r="6304" spans="1:20" x14ac:dyDescent="0.25">
      <c r="A6304">
        <v>9</v>
      </c>
      <c r="B6304">
        <v>199</v>
      </c>
      <c r="C6304" t="str">
        <f>"00"</f>
        <v>00</v>
      </c>
      <c r="D6304">
        <v>1291</v>
      </c>
      <c r="E6304" t="str">
        <f>"05"</f>
        <v>05</v>
      </c>
      <c r="F6304" t="str">
        <f>"000"</f>
        <v>000</v>
      </c>
      <c r="G6304">
        <v>9</v>
      </c>
      <c r="H6304" t="str">
        <f>"00"</f>
        <v>00</v>
      </c>
      <c r="I6304" t="str">
        <f t="shared" si="1390"/>
        <v>0</v>
      </c>
      <c r="J6304" t="str">
        <f>"00"</f>
        <v>00</v>
      </c>
      <c r="K6304">
        <v>20190517</v>
      </c>
      <c r="L6304" t="str">
        <f>"076863"</f>
        <v>076863</v>
      </c>
      <c r="M6304" t="str">
        <f>"46351"</f>
        <v>46351</v>
      </c>
      <c r="N6304" t="s">
        <v>1639</v>
      </c>
      <c r="O6304" s="1">
        <v>11075.67</v>
      </c>
      <c r="P6304">
        <v>20190515</v>
      </c>
      <c r="Q6304" t="s">
        <v>1637</v>
      </c>
      <c r="R6304" t="s">
        <v>5009</v>
      </c>
      <c r="S6304" t="s">
        <v>1615</v>
      </c>
      <c r="T6304" t="s">
        <v>296</v>
      </c>
    </row>
    <row r="6305" spans="1:20" x14ac:dyDescent="0.25">
      <c r="A6305">
        <v>9</v>
      </c>
      <c r="B6305">
        <v>199</v>
      </c>
      <c r="C6305" t="str">
        <f>"41"</f>
        <v>41</v>
      </c>
      <c r="D6305">
        <v>6269</v>
      </c>
      <c r="E6305" t="str">
        <f>"10"</f>
        <v>10</v>
      </c>
      <c r="F6305" t="str">
        <f>"933"</f>
        <v>933</v>
      </c>
      <c r="G6305">
        <v>9</v>
      </c>
      <c r="H6305" t="str">
        <f>"99"</f>
        <v>99</v>
      </c>
      <c r="I6305" t="str">
        <f t="shared" si="1390"/>
        <v>0</v>
      </c>
      <c r="J6305" t="str">
        <f>"85"</f>
        <v>85</v>
      </c>
      <c r="K6305">
        <v>20190517</v>
      </c>
      <c r="L6305" t="str">
        <f>"076863"</f>
        <v>076863</v>
      </c>
      <c r="M6305" t="str">
        <f>"46351"</f>
        <v>46351</v>
      </c>
      <c r="N6305" t="s">
        <v>1639</v>
      </c>
      <c r="O6305" s="1">
        <v>4248.04</v>
      </c>
      <c r="P6305">
        <v>20190515</v>
      </c>
      <c r="Q6305" t="s">
        <v>1642</v>
      </c>
      <c r="R6305" t="s">
        <v>5009</v>
      </c>
      <c r="S6305" t="s">
        <v>1615</v>
      </c>
      <c r="T6305" t="s">
        <v>1643</v>
      </c>
    </row>
    <row r="6306" spans="1:20" x14ac:dyDescent="0.25">
      <c r="A6306">
        <v>9</v>
      </c>
      <c r="B6306">
        <v>199</v>
      </c>
      <c r="C6306" t="str">
        <f>"51"</f>
        <v>51</v>
      </c>
      <c r="D6306">
        <v>6319</v>
      </c>
      <c r="E6306" t="str">
        <f>"MC"</f>
        <v>MC</v>
      </c>
      <c r="F6306" t="str">
        <f>"936"</f>
        <v>936</v>
      </c>
      <c r="G6306">
        <v>9</v>
      </c>
      <c r="H6306" t="str">
        <f>"99"</f>
        <v>99</v>
      </c>
      <c r="I6306" t="str">
        <f t="shared" si="1390"/>
        <v>0</v>
      </c>
      <c r="J6306" t="str">
        <f>"81"</f>
        <v>81</v>
      </c>
      <c r="K6306">
        <v>20190517</v>
      </c>
      <c r="L6306" t="str">
        <f>"076864"</f>
        <v>076864</v>
      </c>
      <c r="M6306" t="str">
        <f>"47725"</f>
        <v>47725</v>
      </c>
      <c r="N6306" t="s">
        <v>2095</v>
      </c>
      <c r="O6306">
        <v>334.62</v>
      </c>
      <c r="P6306">
        <v>20190516</v>
      </c>
      <c r="Q6306" t="s">
        <v>2060</v>
      </c>
      <c r="R6306" t="s">
        <v>5010</v>
      </c>
      <c r="S6306" t="s">
        <v>1615</v>
      </c>
      <c r="T6306" t="s">
        <v>1713</v>
      </c>
    </row>
    <row r="6307" spans="1:20" x14ac:dyDescent="0.25">
      <c r="A6307">
        <v>9</v>
      </c>
      <c r="B6307">
        <v>199</v>
      </c>
      <c r="C6307" t="str">
        <f>"51"</f>
        <v>51</v>
      </c>
      <c r="D6307">
        <v>6319</v>
      </c>
      <c r="E6307" t="str">
        <f>"MC"</f>
        <v>MC</v>
      </c>
      <c r="F6307" t="str">
        <f>"936"</f>
        <v>936</v>
      </c>
      <c r="G6307">
        <v>9</v>
      </c>
      <c r="H6307" t="str">
        <f>"99"</f>
        <v>99</v>
      </c>
      <c r="I6307" t="str">
        <f t="shared" si="1390"/>
        <v>0</v>
      </c>
      <c r="J6307" t="str">
        <f>"81"</f>
        <v>81</v>
      </c>
      <c r="K6307">
        <v>20190517</v>
      </c>
      <c r="L6307" t="str">
        <f>"076864"</f>
        <v>076864</v>
      </c>
      <c r="M6307" t="str">
        <f>"47725"</f>
        <v>47725</v>
      </c>
      <c r="N6307" t="s">
        <v>2095</v>
      </c>
      <c r="O6307" s="1">
        <v>2885.85</v>
      </c>
      <c r="P6307">
        <v>20190516</v>
      </c>
      <c r="Q6307" t="s">
        <v>2060</v>
      </c>
      <c r="R6307" t="s">
        <v>5011</v>
      </c>
      <c r="S6307" t="s">
        <v>1615</v>
      </c>
      <c r="T6307" t="s">
        <v>1713</v>
      </c>
    </row>
    <row r="6308" spans="1:20" x14ac:dyDescent="0.25">
      <c r="A6308">
        <v>9</v>
      </c>
      <c r="B6308">
        <v>199</v>
      </c>
      <c r="C6308" t="str">
        <f>"12"</f>
        <v>12</v>
      </c>
      <c r="D6308">
        <v>6396</v>
      </c>
      <c r="E6308" t="str">
        <f>"7U"</f>
        <v>7U</v>
      </c>
      <c r="F6308" t="str">
        <f>"001"</f>
        <v>001</v>
      </c>
      <c r="G6308">
        <v>9</v>
      </c>
      <c r="H6308" t="str">
        <f>"11"</f>
        <v>11</v>
      </c>
      <c r="I6308" t="str">
        <f t="shared" si="1390"/>
        <v>0</v>
      </c>
      <c r="J6308" t="str">
        <f>"01"</f>
        <v>01</v>
      </c>
      <c r="K6308">
        <v>20190517</v>
      </c>
      <c r="L6308" t="str">
        <f>"076865"</f>
        <v>076865</v>
      </c>
      <c r="M6308" t="str">
        <f>"80056"</f>
        <v>80056</v>
      </c>
      <c r="N6308" t="s">
        <v>4416</v>
      </c>
      <c r="O6308">
        <v>485.54</v>
      </c>
      <c r="P6308">
        <v>20190516</v>
      </c>
      <c r="Q6308" t="s">
        <v>5012</v>
      </c>
      <c r="R6308" t="s">
        <v>5013</v>
      </c>
      <c r="S6308" t="s">
        <v>1615</v>
      </c>
      <c r="T6308" t="s">
        <v>301</v>
      </c>
    </row>
    <row r="6309" spans="1:20" x14ac:dyDescent="0.25">
      <c r="A6309">
        <v>9</v>
      </c>
      <c r="B6309">
        <v>199</v>
      </c>
      <c r="C6309" t="str">
        <f>"12"</f>
        <v>12</v>
      </c>
      <c r="D6309">
        <v>6329</v>
      </c>
      <c r="E6309" t="str">
        <f>"7U"</f>
        <v>7U</v>
      </c>
      <c r="F6309" t="str">
        <f>"104"</f>
        <v>104</v>
      </c>
      <c r="G6309">
        <v>9</v>
      </c>
      <c r="H6309" t="str">
        <f>"11"</f>
        <v>11</v>
      </c>
      <c r="I6309" t="str">
        <f t="shared" si="1390"/>
        <v>0</v>
      </c>
      <c r="J6309" t="str">
        <f>"05"</f>
        <v>05</v>
      </c>
      <c r="K6309">
        <v>20190517</v>
      </c>
      <c r="L6309" t="str">
        <f>"076866"</f>
        <v>076866</v>
      </c>
      <c r="M6309" t="str">
        <f>"27881"</f>
        <v>27881</v>
      </c>
      <c r="N6309" t="s">
        <v>5014</v>
      </c>
      <c r="O6309">
        <v>59.9</v>
      </c>
      <c r="P6309">
        <v>20190515</v>
      </c>
      <c r="Q6309" t="s">
        <v>2848</v>
      </c>
      <c r="R6309" t="s">
        <v>5015</v>
      </c>
      <c r="S6309" t="s">
        <v>1615</v>
      </c>
      <c r="T6309" t="s">
        <v>46</v>
      </c>
    </row>
    <row r="6310" spans="1:20" x14ac:dyDescent="0.25">
      <c r="A6310">
        <v>9</v>
      </c>
      <c r="B6310">
        <v>199</v>
      </c>
      <c r="C6310" t="str">
        <f>"12"</f>
        <v>12</v>
      </c>
      <c r="D6310">
        <v>6411</v>
      </c>
      <c r="E6310" t="str">
        <f>"00"</f>
        <v>00</v>
      </c>
      <c r="F6310" t="str">
        <f>"104"</f>
        <v>104</v>
      </c>
      <c r="G6310">
        <v>9</v>
      </c>
      <c r="H6310" t="str">
        <f>"11"</f>
        <v>11</v>
      </c>
      <c r="I6310" t="str">
        <f t="shared" si="1390"/>
        <v>0</v>
      </c>
      <c r="J6310" t="str">
        <f>"94"</f>
        <v>94</v>
      </c>
      <c r="K6310">
        <v>20190517</v>
      </c>
      <c r="L6310" t="str">
        <f>"076867"</f>
        <v>076867</v>
      </c>
      <c r="M6310" t="str">
        <f>"50793"</f>
        <v>50793</v>
      </c>
      <c r="N6310" t="s">
        <v>5016</v>
      </c>
      <c r="O6310">
        <v>96.46</v>
      </c>
      <c r="P6310">
        <v>20190515</v>
      </c>
      <c r="Q6310" t="s">
        <v>4037</v>
      </c>
      <c r="R6310" t="s">
        <v>4034</v>
      </c>
      <c r="S6310" t="s">
        <v>1615</v>
      </c>
      <c r="T6310" t="s">
        <v>46</v>
      </c>
    </row>
    <row r="6311" spans="1:20" x14ac:dyDescent="0.25">
      <c r="A6311">
        <v>9</v>
      </c>
      <c r="B6311">
        <v>199</v>
      </c>
      <c r="C6311" t="str">
        <f>"11"</f>
        <v>11</v>
      </c>
      <c r="D6311">
        <v>6499</v>
      </c>
      <c r="E6311" t="str">
        <f>"8M"</f>
        <v>8M</v>
      </c>
      <c r="F6311" t="str">
        <f>"001"</f>
        <v>001</v>
      </c>
      <c r="G6311">
        <v>9</v>
      </c>
      <c r="H6311" t="str">
        <f>"11"</f>
        <v>11</v>
      </c>
      <c r="I6311" t="str">
        <f t="shared" si="1390"/>
        <v>0</v>
      </c>
      <c r="J6311" t="str">
        <f>"33"</f>
        <v>33</v>
      </c>
      <c r="K6311">
        <v>20190517</v>
      </c>
      <c r="L6311" t="str">
        <f>"076868"</f>
        <v>076868</v>
      </c>
      <c r="M6311" t="str">
        <f>"51347"</f>
        <v>51347</v>
      </c>
      <c r="N6311" t="s">
        <v>1158</v>
      </c>
      <c r="O6311">
        <v>210</v>
      </c>
      <c r="P6311">
        <v>20190515</v>
      </c>
      <c r="Q6311" t="s">
        <v>3900</v>
      </c>
      <c r="R6311" t="s">
        <v>1160</v>
      </c>
      <c r="S6311" t="s">
        <v>1615</v>
      </c>
      <c r="T6311" t="s">
        <v>301</v>
      </c>
    </row>
    <row r="6312" spans="1:20" x14ac:dyDescent="0.25">
      <c r="A6312">
        <v>9</v>
      </c>
      <c r="B6312">
        <v>199</v>
      </c>
      <c r="C6312" t="str">
        <f>"36"</f>
        <v>36</v>
      </c>
      <c r="D6312">
        <v>6499</v>
      </c>
      <c r="E6312" t="str">
        <f>"7B"</f>
        <v>7B</v>
      </c>
      <c r="F6312" t="str">
        <f>"001"</f>
        <v>001</v>
      </c>
      <c r="G6312">
        <v>9</v>
      </c>
      <c r="H6312" t="str">
        <f t="shared" ref="H6312:H6320" si="1391">"99"</f>
        <v>99</v>
      </c>
      <c r="I6312" t="str">
        <f t="shared" si="1390"/>
        <v>0</v>
      </c>
      <c r="J6312" t="str">
        <f>"32"</f>
        <v>32</v>
      </c>
      <c r="K6312">
        <v>20190517</v>
      </c>
      <c r="L6312" t="str">
        <f>"076868"</f>
        <v>076868</v>
      </c>
      <c r="M6312" t="str">
        <f>"51347"</f>
        <v>51347</v>
      </c>
      <c r="N6312" t="s">
        <v>1158</v>
      </c>
      <c r="O6312">
        <v>70</v>
      </c>
      <c r="P6312">
        <v>20190515</v>
      </c>
      <c r="Q6312" t="s">
        <v>4731</v>
      </c>
      <c r="R6312" t="s">
        <v>1277</v>
      </c>
      <c r="S6312" t="s">
        <v>1615</v>
      </c>
      <c r="T6312" t="s">
        <v>301</v>
      </c>
    </row>
    <row r="6313" spans="1:20" x14ac:dyDescent="0.25">
      <c r="A6313">
        <v>9</v>
      </c>
      <c r="B6313">
        <v>199</v>
      </c>
      <c r="C6313" t="str">
        <f>"36"</f>
        <v>36</v>
      </c>
      <c r="D6313">
        <v>6499</v>
      </c>
      <c r="E6313" t="str">
        <f>"7B"</f>
        <v>7B</v>
      </c>
      <c r="F6313" t="str">
        <f>"001"</f>
        <v>001</v>
      </c>
      <c r="G6313">
        <v>9</v>
      </c>
      <c r="H6313" t="str">
        <f t="shared" si="1391"/>
        <v>99</v>
      </c>
      <c r="I6313" t="str">
        <f t="shared" si="1390"/>
        <v>0</v>
      </c>
      <c r="J6313" t="str">
        <f>"32"</f>
        <v>32</v>
      </c>
      <c r="K6313">
        <v>20190517</v>
      </c>
      <c r="L6313" t="str">
        <f>"076868"</f>
        <v>076868</v>
      </c>
      <c r="M6313" t="str">
        <f>"51347"</f>
        <v>51347</v>
      </c>
      <c r="N6313" t="s">
        <v>1158</v>
      </c>
      <c r="O6313">
        <v>210</v>
      </c>
      <c r="P6313">
        <v>20190515</v>
      </c>
      <c r="Q6313" t="s">
        <v>4731</v>
      </c>
      <c r="R6313" t="s">
        <v>1160</v>
      </c>
      <c r="S6313" t="s">
        <v>1615</v>
      </c>
      <c r="T6313" t="s">
        <v>301</v>
      </c>
    </row>
    <row r="6314" spans="1:20" x14ac:dyDescent="0.25">
      <c r="A6314">
        <v>9</v>
      </c>
      <c r="B6314">
        <v>199</v>
      </c>
      <c r="C6314" t="str">
        <f>"36"</f>
        <v>36</v>
      </c>
      <c r="D6314">
        <v>6499</v>
      </c>
      <c r="E6314" t="str">
        <f>"7B"</f>
        <v>7B</v>
      </c>
      <c r="F6314" t="str">
        <f>"001"</f>
        <v>001</v>
      </c>
      <c r="G6314">
        <v>9</v>
      </c>
      <c r="H6314" t="str">
        <f t="shared" si="1391"/>
        <v>99</v>
      </c>
      <c r="I6314" t="str">
        <f t="shared" si="1390"/>
        <v>0</v>
      </c>
      <c r="J6314" t="str">
        <f>"32"</f>
        <v>32</v>
      </c>
      <c r="K6314">
        <v>20190517</v>
      </c>
      <c r="L6314" t="str">
        <f>"076868"</f>
        <v>076868</v>
      </c>
      <c r="M6314" t="str">
        <f>"51347"</f>
        <v>51347</v>
      </c>
      <c r="N6314" t="s">
        <v>1158</v>
      </c>
      <c r="O6314">
        <v>70</v>
      </c>
      <c r="P6314">
        <v>20190515</v>
      </c>
      <c r="Q6314" t="s">
        <v>4731</v>
      </c>
      <c r="R6314" t="s">
        <v>1277</v>
      </c>
      <c r="S6314" t="s">
        <v>1615</v>
      </c>
      <c r="T6314" t="s">
        <v>301</v>
      </c>
    </row>
    <row r="6315" spans="1:20" x14ac:dyDescent="0.25">
      <c r="A6315">
        <v>9</v>
      </c>
      <c r="B6315">
        <v>199</v>
      </c>
      <c r="C6315" t="str">
        <f>"36"</f>
        <v>36</v>
      </c>
      <c r="D6315">
        <v>6499</v>
      </c>
      <c r="E6315" t="str">
        <f>"7B"</f>
        <v>7B</v>
      </c>
      <c r="F6315" t="str">
        <f>"001"</f>
        <v>001</v>
      </c>
      <c r="G6315">
        <v>9</v>
      </c>
      <c r="H6315" t="str">
        <f t="shared" si="1391"/>
        <v>99</v>
      </c>
      <c r="I6315" t="str">
        <f t="shared" si="1390"/>
        <v>0</v>
      </c>
      <c r="J6315" t="str">
        <f>"32"</f>
        <v>32</v>
      </c>
      <c r="K6315">
        <v>20190517</v>
      </c>
      <c r="L6315" t="str">
        <f>"076868"</f>
        <v>076868</v>
      </c>
      <c r="M6315" t="str">
        <f>"51347"</f>
        <v>51347</v>
      </c>
      <c r="N6315" t="s">
        <v>1158</v>
      </c>
      <c r="O6315">
        <v>140</v>
      </c>
      <c r="P6315">
        <v>20190515</v>
      </c>
      <c r="Q6315" t="s">
        <v>4731</v>
      </c>
      <c r="R6315" t="s">
        <v>1160</v>
      </c>
      <c r="S6315" t="s">
        <v>1615</v>
      </c>
      <c r="T6315" t="s">
        <v>301</v>
      </c>
    </row>
    <row r="6316" spans="1:20" x14ac:dyDescent="0.25">
      <c r="A6316">
        <v>9</v>
      </c>
      <c r="B6316">
        <v>199</v>
      </c>
      <c r="C6316" t="str">
        <f>"51"</f>
        <v>51</v>
      </c>
      <c r="D6316">
        <v>6249</v>
      </c>
      <c r="E6316" t="str">
        <f>"M8"</f>
        <v>M8</v>
      </c>
      <c r="F6316" t="str">
        <f>"936"</f>
        <v>936</v>
      </c>
      <c r="G6316">
        <v>9</v>
      </c>
      <c r="H6316" t="str">
        <f t="shared" si="1391"/>
        <v>99</v>
      </c>
      <c r="I6316" t="str">
        <f t="shared" si="1390"/>
        <v>0</v>
      </c>
      <c r="J6316" t="str">
        <f>"81"</f>
        <v>81</v>
      </c>
      <c r="K6316">
        <v>20190517</v>
      </c>
      <c r="L6316" t="str">
        <f>"076869"</f>
        <v>076869</v>
      </c>
      <c r="M6316" t="str">
        <f>"52185"</f>
        <v>52185</v>
      </c>
      <c r="N6316" t="s">
        <v>1748</v>
      </c>
      <c r="O6316">
        <v>122.52</v>
      </c>
      <c r="P6316">
        <v>20190515</v>
      </c>
      <c r="Q6316" t="s">
        <v>2096</v>
      </c>
      <c r="R6316" t="s">
        <v>5017</v>
      </c>
      <c r="S6316" t="s">
        <v>1615</v>
      </c>
      <c r="T6316" t="s">
        <v>1713</v>
      </c>
    </row>
    <row r="6317" spans="1:20" x14ac:dyDescent="0.25">
      <c r="A6317">
        <v>9</v>
      </c>
      <c r="B6317">
        <v>199</v>
      </c>
      <c r="C6317" t="str">
        <f>"51"</f>
        <v>51</v>
      </c>
      <c r="D6317">
        <v>6249</v>
      </c>
      <c r="E6317" t="str">
        <f>"M8"</f>
        <v>M8</v>
      </c>
      <c r="F6317" t="str">
        <f>"936"</f>
        <v>936</v>
      </c>
      <c r="G6317">
        <v>9</v>
      </c>
      <c r="H6317" t="str">
        <f t="shared" si="1391"/>
        <v>99</v>
      </c>
      <c r="I6317" t="str">
        <f t="shared" si="1390"/>
        <v>0</v>
      </c>
      <c r="J6317" t="str">
        <f>"81"</f>
        <v>81</v>
      </c>
      <c r="K6317">
        <v>20190517</v>
      </c>
      <c r="L6317" t="str">
        <f>"076869"</f>
        <v>076869</v>
      </c>
      <c r="M6317" t="str">
        <f>"52185"</f>
        <v>52185</v>
      </c>
      <c r="N6317" t="s">
        <v>1748</v>
      </c>
      <c r="O6317">
        <v>709.39</v>
      </c>
      <c r="P6317">
        <v>20190515</v>
      </c>
      <c r="Q6317" t="s">
        <v>2096</v>
      </c>
      <c r="R6317" t="s">
        <v>5018</v>
      </c>
      <c r="S6317" t="s">
        <v>1615</v>
      </c>
      <c r="T6317" t="s">
        <v>1713</v>
      </c>
    </row>
    <row r="6318" spans="1:20" x14ac:dyDescent="0.25">
      <c r="A6318">
        <v>9</v>
      </c>
      <c r="B6318">
        <v>199</v>
      </c>
      <c r="C6318" t="str">
        <f>"51"</f>
        <v>51</v>
      </c>
      <c r="D6318">
        <v>6249</v>
      </c>
      <c r="E6318" t="str">
        <f>"M8"</f>
        <v>M8</v>
      </c>
      <c r="F6318" t="str">
        <f>"936"</f>
        <v>936</v>
      </c>
      <c r="G6318">
        <v>9</v>
      </c>
      <c r="H6318" t="str">
        <f t="shared" si="1391"/>
        <v>99</v>
      </c>
      <c r="I6318" t="str">
        <f t="shared" si="1390"/>
        <v>0</v>
      </c>
      <c r="J6318" t="str">
        <f>"81"</f>
        <v>81</v>
      </c>
      <c r="K6318">
        <v>20190517</v>
      </c>
      <c r="L6318" t="str">
        <f>"076869"</f>
        <v>076869</v>
      </c>
      <c r="M6318" t="str">
        <f>"52185"</f>
        <v>52185</v>
      </c>
      <c r="N6318" t="s">
        <v>1748</v>
      </c>
      <c r="O6318" s="1">
        <v>4615</v>
      </c>
      <c r="P6318">
        <v>20190515</v>
      </c>
      <c r="Q6318" t="s">
        <v>2096</v>
      </c>
      <c r="R6318" t="s">
        <v>5019</v>
      </c>
      <c r="S6318" t="s">
        <v>1615</v>
      </c>
      <c r="T6318" t="s">
        <v>1713</v>
      </c>
    </row>
    <row r="6319" spans="1:20" x14ac:dyDescent="0.25">
      <c r="A6319">
        <v>9</v>
      </c>
      <c r="B6319">
        <v>199</v>
      </c>
      <c r="C6319" t="str">
        <f>"52"</f>
        <v>52</v>
      </c>
      <c r="D6319">
        <v>6219</v>
      </c>
      <c r="E6319" t="str">
        <f>"00"</f>
        <v>00</v>
      </c>
      <c r="F6319" t="str">
        <f>"101"</f>
        <v>101</v>
      </c>
      <c r="G6319">
        <v>9</v>
      </c>
      <c r="H6319" t="str">
        <f t="shared" si="1391"/>
        <v>99</v>
      </c>
      <c r="I6319" t="str">
        <f t="shared" si="1390"/>
        <v>0</v>
      </c>
      <c r="J6319" t="str">
        <f>"00"</f>
        <v>00</v>
      </c>
      <c r="K6319">
        <v>20190517</v>
      </c>
      <c r="L6319" t="str">
        <f>"076870"</f>
        <v>076870</v>
      </c>
      <c r="M6319" t="str">
        <f>"00755"</f>
        <v>00755</v>
      </c>
      <c r="N6319" t="s">
        <v>4268</v>
      </c>
      <c r="O6319">
        <v>300</v>
      </c>
      <c r="P6319">
        <v>20190515</v>
      </c>
      <c r="Q6319" t="s">
        <v>1854</v>
      </c>
      <c r="R6319" t="s">
        <v>5020</v>
      </c>
      <c r="S6319" t="s">
        <v>1615</v>
      </c>
      <c r="T6319" t="s">
        <v>1479</v>
      </c>
    </row>
    <row r="6320" spans="1:20" x14ac:dyDescent="0.25">
      <c r="A6320">
        <v>9</v>
      </c>
      <c r="B6320">
        <v>199</v>
      </c>
      <c r="C6320" t="str">
        <f>"41"</f>
        <v>41</v>
      </c>
      <c r="D6320">
        <v>6213</v>
      </c>
      <c r="E6320" t="str">
        <f>"11"</f>
        <v>11</v>
      </c>
      <c r="F6320" t="str">
        <f>"703"</f>
        <v>703</v>
      </c>
      <c r="G6320">
        <v>9</v>
      </c>
      <c r="H6320" t="str">
        <f t="shared" si="1391"/>
        <v>99</v>
      </c>
      <c r="I6320" t="str">
        <f t="shared" si="1390"/>
        <v>0</v>
      </c>
      <c r="J6320" t="str">
        <f>"91"</f>
        <v>91</v>
      </c>
      <c r="K6320">
        <v>20190517</v>
      </c>
      <c r="L6320" t="str">
        <f>"076871"</f>
        <v>076871</v>
      </c>
      <c r="M6320" t="str">
        <f>"61166"</f>
        <v>61166</v>
      </c>
      <c r="N6320" t="s">
        <v>2892</v>
      </c>
      <c r="O6320">
        <v>102.52</v>
      </c>
      <c r="P6320">
        <v>20190515</v>
      </c>
      <c r="Q6320" t="s">
        <v>2893</v>
      </c>
      <c r="R6320" t="s">
        <v>2894</v>
      </c>
      <c r="S6320" t="s">
        <v>1615</v>
      </c>
      <c r="T6320" t="s">
        <v>1761</v>
      </c>
    </row>
    <row r="6321" spans="1:20" x14ac:dyDescent="0.25">
      <c r="A6321">
        <v>9</v>
      </c>
      <c r="B6321">
        <v>199</v>
      </c>
      <c r="C6321" t="str">
        <f>"11"</f>
        <v>11</v>
      </c>
      <c r="D6321">
        <v>6399</v>
      </c>
      <c r="E6321" t="str">
        <f>"10"</f>
        <v>10</v>
      </c>
      <c r="F6321" t="str">
        <f>"001"</f>
        <v>001</v>
      </c>
      <c r="G6321">
        <v>9</v>
      </c>
      <c r="H6321" t="str">
        <f>"11"</f>
        <v>11</v>
      </c>
      <c r="I6321" t="str">
        <f t="shared" si="1390"/>
        <v>0</v>
      </c>
      <c r="J6321" t="str">
        <f>"01"</f>
        <v>01</v>
      </c>
      <c r="K6321">
        <v>20190517</v>
      </c>
      <c r="L6321" t="str">
        <f>"076872"</f>
        <v>076872</v>
      </c>
      <c r="M6321" t="str">
        <f>"58204"</f>
        <v>58204</v>
      </c>
      <c r="N6321" t="s">
        <v>1767</v>
      </c>
      <c r="O6321">
        <v>19.989999999999998</v>
      </c>
      <c r="P6321">
        <v>20190516</v>
      </c>
      <c r="Q6321" t="s">
        <v>1675</v>
      </c>
      <c r="R6321" t="s">
        <v>5021</v>
      </c>
      <c r="S6321" t="s">
        <v>1615</v>
      </c>
      <c r="T6321" t="s">
        <v>301</v>
      </c>
    </row>
    <row r="6322" spans="1:20" x14ac:dyDescent="0.25">
      <c r="A6322">
        <v>9</v>
      </c>
      <c r="B6322">
        <v>199</v>
      </c>
      <c r="C6322" t="str">
        <f>"31"</f>
        <v>31</v>
      </c>
      <c r="D6322">
        <v>6499</v>
      </c>
      <c r="E6322" t="str">
        <f>"7F"</f>
        <v>7F</v>
      </c>
      <c r="F6322" t="str">
        <f>"001"</f>
        <v>001</v>
      </c>
      <c r="G6322">
        <v>9</v>
      </c>
      <c r="H6322" t="str">
        <f>"31"</f>
        <v>31</v>
      </c>
      <c r="I6322" t="str">
        <f t="shared" si="1390"/>
        <v>0</v>
      </c>
      <c r="J6322" t="str">
        <f>"34"</f>
        <v>34</v>
      </c>
      <c r="K6322">
        <v>20190517</v>
      </c>
      <c r="L6322" t="str">
        <f>"076872"</f>
        <v>076872</v>
      </c>
      <c r="M6322" t="str">
        <f>"58204"</f>
        <v>58204</v>
      </c>
      <c r="N6322" t="s">
        <v>1767</v>
      </c>
      <c r="O6322">
        <v>32</v>
      </c>
      <c r="P6322">
        <v>20190516</v>
      </c>
      <c r="Q6322" t="s">
        <v>2880</v>
      </c>
      <c r="R6322" t="s">
        <v>5022</v>
      </c>
      <c r="S6322" t="s">
        <v>1615</v>
      </c>
      <c r="T6322" t="s">
        <v>301</v>
      </c>
    </row>
    <row r="6323" spans="1:20" x14ac:dyDescent="0.25">
      <c r="A6323">
        <v>9</v>
      </c>
      <c r="B6323">
        <v>199</v>
      </c>
      <c r="C6323" t="str">
        <f>"23"</f>
        <v>23</v>
      </c>
      <c r="D6323">
        <v>6498</v>
      </c>
      <c r="E6323" t="str">
        <f>"10"</f>
        <v>10</v>
      </c>
      <c r="F6323" t="str">
        <f>"002"</f>
        <v>002</v>
      </c>
      <c r="G6323">
        <v>9</v>
      </c>
      <c r="H6323" t="str">
        <f>"99"</f>
        <v>99</v>
      </c>
      <c r="I6323" t="str">
        <f t="shared" si="1390"/>
        <v>0</v>
      </c>
      <c r="J6323" t="str">
        <f>"02"</f>
        <v>02</v>
      </c>
      <c r="K6323">
        <v>20190517</v>
      </c>
      <c r="L6323" t="str">
        <f>"076873"</f>
        <v>076873</v>
      </c>
      <c r="M6323" t="str">
        <f>"57311"</f>
        <v>57311</v>
      </c>
      <c r="N6323" t="s">
        <v>3322</v>
      </c>
      <c r="O6323">
        <v>289</v>
      </c>
      <c r="P6323">
        <v>20190515</v>
      </c>
      <c r="Q6323" t="s">
        <v>3213</v>
      </c>
      <c r="R6323" t="s">
        <v>5023</v>
      </c>
      <c r="S6323" t="s">
        <v>1615</v>
      </c>
      <c r="T6323" t="s">
        <v>1485</v>
      </c>
    </row>
    <row r="6324" spans="1:20" x14ac:dyDescent="0.25">
      <c r="A6324">
        <v>9</v>
      </c>
      <c r="B6324">
        <v>199</v>
      </c>
      <c r="C6324" t="str">
        <f>"36"</f>
        <v>36</v>
      </c>
      <c r="D6324">
        <v>6411</v>
      </c>
      <c r="E6324" t="str">
        <f>"VD"</f>
        <v>VD</v>
      </c>
      <c r="F6324" t="str">
        <f>"001"</f>
        <v>001</v>
      </c>
      <c r="G6324">
        <v>9</v>
      </c>
      <c r="H6324" t="str">
        <f>"22"</f>
        <v>22</v>
      </c>
      <c r="I6324" t="str">
        <f t="shared" si="1390"/>
        <v>0</v>
      </c>
      <c r="J6324" t="str">
        <f>"22"</f>
        <v>22</v>
      </c>
      <c r="K6324">
        <v>20190517</v>
      </c>
      <c r="L6324" t="str">
        <f>"076874"</f>
        <v>076874</v>
      </c>
      <c r="M6324" t="str">
        <f>"59018"</f>
        <v>59018</v>
      </c>
      <c r="N6324" t="s">
        <v>2526</v>
      </c>
      <c r="O6324">
        <v>484.93</v>
      </c>
      <c r="P6324">
        <v>20190516</v>
      </c>
      <c r="Q6324" t="s">
        <v>2365</v>
      </c>
      <c r="R6324" t="s">
        <v>4370</v>
      </c>
      <c r="S6324" t="s">
        <v>1615</v>
      </c>
      <c r="T6324" t="s">
        <v>301</v>
      </c>
    </row>
    <row r="6325" spans="1:20" x14ac:dyDescent="0.25">
      <c r="A6325">
        <v>9</v>
      </c>
      <c r="B6325">
        <v>199</v>
      </c>
      <c r="C6325" t="str">
        <f>"11"</f>
        <v>11</v>
      </c>
      <c r="D6325">
        <v>6321</v>
      </c>
      <c r="E6325" t="str">
        <f>"10"</f>
        <v>10</v>
      </c>
      <c r="F6325" t="str">
        <f>"001"</f>
        <v>001</v>
      </c>
      <c r="G6325">
        <v>9</v>
      </c>
      <c r="H6325" t="str">
        <f>"11"</f>
        <v>11</v>
      </c>
      <c r="I6325" t="str">
        <f t="shared" si="1390"/>
        <v>0</v>
      </c>
      <c r="J6325" t="str">
        <f>"01"</f>
        <v>01</v>
      </c>
      <c r="K6325">
        <v>20190517</v>
      </c>
      <c r="L6325" t="str">
        <f>"076875"</f>
        <v>076875</v>
      </c>
      <c r="M6325" t="str">
        <f>"60070"</f>
        <v>60070</v>
      </c>
      <c r="N6325" t="s">
        <v>1575</v>
      </c>
      <c r="O6325" s="1">
        <v>1372.5</v>
      </c>
      <c r="P6325">
        <v>20190515</v>
      </c>
      <c r="Q6325" t="s">
        <v>1861</v>
      </c>
      <c r="R6325" t="s">
        <v>1576</v>
      </c>
      <c r="S6325" t="s">
        <v>1615</v>
      </c>
      <c r="T6325" t="s">
        <v>301</v>
      </c>
    </row>
    <row r="6326" spans="1:20" x14ac:dyDescent="0.25">
      <c r="A6326">
        <v>9</v>
      </c>
      <c r="B6326">
        <v>199</v>
      </c>
      <c r="C6326" t="str">
        <f>"11"</f>
        <v>11</v>
      </c>
      <c r="D6326">
        <v>6399</v>
      </c>
      <c r="E6326" t="str">
        <f>"AP"</f>
        <v>AP</v>
      </c>
      <c r="F6326" t="str">
        <f>"001"</f>
        <v>001</v>
      </c>
      <c r="G6326">
        <v>9</v>
      </c>
      <c r="H6326" t="str">
        <f>"31"</f>
        <v>31</v>
      </c>
      <c r="I6326" t="str">
        <f t="shared" si="1390"/>
        <v>0</v>
      </c>
      <c r="J6326" t="str">
        <f>"34"</f>
        <v>34</v>
      </c>
      <c r="K6326">
        <v>20190517</v>
      </c>
      <c r="L6326" t="str">
        <f>"076875"</f>
        <v>076875</v>
      </c>
      <c r="M6326" t="str">
        <f>"60070"</f>
        <v>60070</v>
      </c>
      <c r="N6326" t="s">
        <v>1575</v>
      </c>
      <c r="O6326" s="1">
        <v>1747.42</v>
      </c>
      <c r="P6326">
        <v>20190515</v>
      </c>
      <c r="Q6326" t="s">
        <v>1677</v>
      </c>
      <c r="R6326" t="s">
        <v>1576</v>
      </c>
      <c r="S6326" t="s">
        <v>1615</v>
      </c>
      <c r="T6326" t="s">
        <v>301</v>
      </c>
    </row>
    <row r="6327" spans="1:20" x14ac:dyDescent="0.25">
      <c r="A6327">
        <v>9</v>
      </c>
      <c r="B6327">
        <v>199</v>
      </c>
      <c r="C6327" t="str">
        <f>"11"</f>
        <v>11</v>
      </c>
      <c r="D6327">
        <v>6329</v>
      </c>
      <c r="E6327" t="str">
        <f>"VA"</f>
        <v>VA</v>
      </c>
      <c r="F6327" t="str">
        <f>"001"</f>
        <v>001</v>
      </c>
      <c r="G6327">
        <v>9</v>
      </c>
      <c r="H6327" t="str">
        <f>"22"</f>
        <v>22</v>
      </c>
      <c r="I6327" t="str">
        <f t="shared" si="1390"/>
        <v>0</v>
      </c>
      <c r="J6327" t="str">
        <f>"22"</f>
        <v>22</v>
      </c>
      <c r="K6327">
        <v>20190517</v>
      </c>
      <c r="L6327" t="str">
        <f>"076878"</f>
        <v>076878</v>
      </c>
      <c r="M6327" t="str">
        <f>"64630"</f>
        <v>64630</v>
      </c>
      <c r="N6327" t="s">
        <v>5024</v>
      </c>
      <c r="O6327">
        <v>598</v>
      </c>
      <c r="P6327">
        <v>20190515</v>
      </c>
      <c r="Q6327" t="s">
        <v>3172</v>
      </c>
      <c r="R6327" t="s">
        <v>5025</v>
      </c>
      <c r="S6327" t="s">
        <v>1615</v>
      </c>
      <c r="T6327" t="s">
        <v>301</v>
      </c>
    </row>
    <row r="6328" spans="1:20" x14ac:dyDescent="0.25">
      <c r="A6328">
        <v>9</v>
      </c>
      <c r="B6328">
        <v>199</v>
      </c>
      <c r="C6328" t="str">
        <f>"11"</f>
        <v>11</v>
      </c>
      <c r="D6328">
        <v>6399</v>
      </c>
      <c r="E6328" t="str">
        <f>"7K"</f>
        <v>7K</v>
      </c>
      <c r="F6328" t="str">
        <f>"001"</f>
        <v>001</v>
      </c>
      <c r="G6328">
        <v>9</v>
      </c>
      <c r="H6328" t="str">
        <f>"11"</f>
        <v>11</v>
      </c>
      <c r="I6328" t="str">
        <f t="shared" si="1390"/>
        <v>0</v>
      </c>
      <c r="J6328" t="str">
        <f>"01"</f>
        <v>01</v>
      </c>
      <c r="K6328">
        <v>20190517</v>
      </c>
      <c r="L6328" t="str">
        <f>"076879"</f>
        <v>076879</v>
      </c>
      <c r="M6328" t="str">
        <f>"64955"</f>
        <v>64955</v>
      </c>
      <c r="N6328" t="s">
        <v>3451</v>
      </c>
      <c r="O6328">
        <v>132.08000000000001</v>
      </c>
      <c r="P6328">
        <v>20190515</v>
      </c>
      <c r="Q6328" t="s">
        <v>1671</v>
      </c>
      <c r="R6328" t="s">
        <v>5026</v>
      </c>
      <c r="S6328" t="s">
        <v>1615</v>
      </c>
      <c r="T6328" t="s">
        <v>301</v>
      </c>
    </row>
    <row r="6329" spans="1:20" x14ac:dyDescent="0.25">
      <c r="A6329">
        <v>9</v>
      </c>
      <c r="B6329">
        <v>199</v>
      </c>
      <c r="C6329" t="str">
        <f>"00"</f>
        <v>00</v>
      </c>
      <c r="D6329">
        <v>5749</v>
      </c>
      <c r="E6329" t="str">
        <f>"00"</f>
        <v>00</v>
      </c>
      <c r="F6329" t="str">
        <f>"000"</f>
        <v>000</v>
      </c>
      <c r="G6329">
        <v>9</v>
      </c>
      <c r="H6329" t="str">
        <f>"00"</f>
        <v>00</v>
      </c>
      <c r="I6329" t="str">
        <f t="shared" si="1390"/>
        <v>0</v>
      </c>
      <c r="J6329" t="str">
        <f>"00"</f>
        <v>00</v>
      </c>
      <c r="K6329">
        <v>20190517</v>
      </c>
      <c r="L6329" t="str">
        <f>"076880"</f>
        <v>076880</v>
      </c>
      <c r="M6329" t="str">
        <f>"67615"</f>
        <v>67615</v>
      </c>
      <c r="N6329" t="s">
        <v>5027</v>
      </c>
      <c r="O6329">
        <v>84.86</v>
      </c>
      <c r="P6329">
        <v>20190516</v>
      </c>
      <c r="Q6329" t="s">
        <v>4850</v>
      </c>
      <c r="R6329" t="s">
        <v>5028</v>
      </c>
      <c r="S6329" t="s">
        <v>1615</v>
      </c>
      <c r="T6329" t="s">
        <v>296</v>
      </c>
    </row>
    <row r="6330" spans="1:20" x14ac:dyDescent="0.25">
      <c r="A6330">
        <v>9</v>
      </c>
      <c r="B6330">
        <v>199</v>
      </c>
      <c r="C6330" t="str">
        <f>"00"</f>
        <v>00</v>
      </c>
      <c r="D6330">
        <v>5749</v>
      </c>
      <c r="E6330" t="str">
        <f>"00"</f>
        <v>00</v>
      </c>
      <c r="F6330" t="str">
        <f>"000"</f>
        <v>000</v>
      </c>
      <c r="G6330">
        <v>9</v>
      </c>
      <c r="H6330" t="str">
        <f>"00"</f>
        <v>00</v>
      </c>
      <c r="I6330" t="str">
        <f t="shared" si="1390"/>
        <v>0</v>
      </c>
      <c r="J6330" t="str">
        <f>"00"</f>
        <v>00</v>
      </c>
      <c r="K6330">
        <v>20190517</v>
      </c>
      <c r="L6330" t="str">
        <f>"076880"</f>
        <v>076880</v>
      </c>
      <c r="M6330" t="str">
        <f>"67615"</f>
        <v>67615</v>
      </c>
      <c r="N6330" t="s">
        <v>5027</v>
      </c>
      <c r="O6330">
        <v>17.93</v>
      </c>
      <c r="P6330">
        <v>20190516</v>
      </c>
      <c r="Q6330" t="s">
        <v>4850</v>
      </c>
      <c r="R6330" t="s">
        <v>5028</v>
      </c>
      <c r="S6330" t="s">
        <v>1615</v>
      </c>
      <c r="T6330" t="s">
        <v>296</v>
      </c>
    </row>
    <row r="6331" spans="1:20" x14ac:dyDescent="0.25">
      <c r="A6331">
        <v>9</v>
      </c>
      <c r="B6331">
        <v>199</v>
      </c>
      <c r="C6331" t="str">
        <f>"36"</f>
        <v>36</v>
      </c>
      <c r="D6331">
        <v>6499</v>
      </c>
      <c r="E6331" t="str">
        <f>"7E"</f>
        <v>7E</v>
      </c>
      <c r="F6331" t="str">
        <f>"001"</f>
        <v>001</v>
      </c>
      <c r="G6331">
        <v>9</v>
      </c>
      <c r="H6331" t="str">
        <f>"99"</f>
        <v>99</v>
      </c>
      <c r="I6331" t="str">
        <f t="shared" si="1390"/>
        <v>0</v>
      </c>
      <c r="J6331" t="str">
        <f>"31"</f>
        <v>31</v>
      </c>
      <c r="K6331">
        <v>20190517</v>
      </c>
      <c r="L6331" t="str">
        <f>"076881"</f>
        <v>076881</v>
      </c>
      <c r="M6331" t="str">
        <f>"71775"</f>
        <v>71775</v>
      </c>
      <c r="N6331" t="s">
        <v>5029</v>
      </c>
      <c r="O6331">
        <v>227.5</v>
      </c>
      <c r="P6331">
        <v>20190515</v>
      </c>
      <c r="Q6331" t="s">
        <v>5030</v>
      </c>
      <c r="R6331" t="s">
        <v>5031</v>
      </c>
      <c r="S6331" t="s">
        <v>1615</v>
      </c>
      <c r="T6331" t="s">
        <v>301</v>
      </c>
    </row>
    <row r="6332" spans="1:20" x14ac:dyDescent="0.25">
      <c r="A6332">
        <v>9</v>
      </c>
      <c r="B6332">
        <v>199</v>
      </c>
      <c r="C6332" t="str">
        <f t="shared" ref="C6332:C6338" si="1392">"11"</f>
        <v>11</v>
      </c>
      <c r="D6332">
        <v>6399</v>
      </c>
      <c r="E6332" t="str">
        <f t="shared" ref="E6332:E6338" si="1393">"45"</f>
        <v>45</v>
      </c>
      <c r="F6332" t="str">
        <f t="shared" ref="F6332:F6338" si="1394">"101"</f>
        <v>101</v>
      </c>
      <c r="G6332">
        <v>9</v>
      </c>
      <c r="H6332" t="str">
        <f t="shared" ref="H6332:H6338" si="1395">"11"</f>
        <v>11</v>
      </c>
      <c r="I6332" t="str">
        <f t="shared" si="1390"/>
        <v>0</v>
      </c>
      <c r="J6332" t="str">
        <f t="shared" ref="J6332:J6338" si="1396">"04"</f>
        <v>04</v>
      </c>
      <c r="K6332">
        <v>20190517</v>
      </c>
      <c r="L6332" t="str">
        <f t="shared" ref="L6332:L6342" si="1397">"076882"</f>
        <v>076882</v>
      </c>
      <c r="M6332" t="str">
        <f t="shared" ref="M6332:M6342" si="1398">"72730"</f>
        <v>72730</v>
      </c>
      <c r="N6332" t="s">
        <v>639</v>
      </c>
      <c r="O6332" s="1">
        <v>1252.49</v>
      </c>
      <c r="P6332">
        <v>20190515</v>
      </c>
      <c r="Q6332" t="s">
        <v>1859</v>
      </c>
      <c r="R6332" t="s">
        <v>2793</v>
      </c>
      <c r="S6332" t="s">
        <v>1615</v>
      </c>
      <c r="T6332" t="s">
        <v>1479</v>
      </c>
    </row>
    <row r="6333" spans="1:20" x14ac:dyDescent="0.25">
      <c r="A6333">
        <v>9</v>
      </c>
      <c r="B6333">
        <v>199</v>
      </c>
      <c r="C6333" t="str">
        <f t="shared" si="1392"/>
        <v>11</v>
      </c>
      <c r="D6333">
        <v>6399</v>
      </c>
      <c r="E6333" t="str">
        <f t="shared" si="1393"/>
        <v>45</v>
      </c>
      <c r="F6333" t="str">
        <f t="shared" si="1394"/>
        <v>101</v>
      </c>
      <c r="G6333">
        <v>9</v>
      </c>
      <c r="H6333" t="str">
        <f t="shared" si="1395"/>
        <v>11</v>
      </c>
      <c r="I6333" t="str">
        <f t="shared" si="1390"/>
        <v>0</v>
      </c>
      <c r="J6333" t="str">
        <f t="shared" si="1396"/>
        <v>04</v>
      </c>
      <c r="K6333">
        <v>20190517</v>
      </c>
      <c r="L6333" t="str">
        <f t="shared" si="1397"/>
        <v>076882</v>
      </c>
      <c r="M6333" t="str">
        <f t="shared" si="1398"/>
        <v>72730</v>
      </c>
      <c r="N6333" t="s">
        <v>639</v>
      </c>
      <c r="O6333">
        <v>36.270000000000003</v>
      </c>
      <c r="P6333">
        <v>20190515</v>
      </c>
      <c r="Q6333" t="s">
        <v>1859</v>
      </c>
      <c r="R6333" t="s">
        <v>5032</v>
      </c>
      <c r="S6333" t="s">
        <v>1615</v>
      </c>
      <c r="T6333" t="s">
        <v>1479</v>
      </c>
    </row>
    <row r="6334" spans="1:20" x14ac:dyDescent="0.25">
      <c r="A6334">
        <v>9</v>
      </c>
      <c r="B6334">
        <v>199</v>
      </c>
      <c r="C6334" t="str">
        <f t="shared" si="1392"/>
        <v>11</v>
      </c>
      <c r="D6334">
        <v>6399</v>
      </c>
      <c r="E6334" t="str">
        <f t="shared" si="1393"/>
        <v>45</v>
      </c>
      <c r="F6334" t="str">
        <f t="shared" si="1394"/>
        <v>101</v>
      </c>
      <c r="G6334">
        <v>9</v>
      </c>
      <c r="H6334" t="str">
        <f t="shared" si="1395"/>
        <v>11</v>
      </c>
      <c r="I6334" t="str">
        <f t="shared" ref="I6334:I6354" si="1399">"0"</f>
        <v>0</v>
      </c>
      <c r="J6334" t="str">
        <f t="shared" si="1396"/>
        <v>04</v>
      </c>
      <c r="K6334">
        <v>20190517</v>
      </c>
      <c r="L6334" t="str">
        <f t="shared" si="1397"/>
        <v>076882</v>
      </c>
      <c r="M6334" t="str">
        <f t="shared" si="1398"/>
        <v>72730</v>
      </c>
      <c r="N6334" t="s">
        <v>639</v>
      </c>
      <c r="O6334" s="1">
        <v>1367.54</v>
      </c>
      <c r="P6334">
        <v>20190515</v>
      </c>
      <c r="Q6334" t="s">
        <v>1859</v>
      </c>
      <c r="R6334" t="s">
        <v>2793</v>
      </c>
      <c r="S6334" t="s">
        <v>1615</v>
      </c>
      <c r="T6334" t="s">
        <v>1479</v>
      </c>
    </row>
    <row r="6335" spans="1:20" x14ac:dyDescent="0.25">
      <c r="A6335">
        <v>9</v>
      </c>
      <c r="B6335">
        <v>199</v>
      </c>
      <c r="C6335" t="str">
        <f t="shared" si="1392"/>
        <v>11</v>
      </c>
      <c r="D6335">
        <v>6399</v>
      </c>
      <c r="E6335" t="str">
        <f t="shared" si="1393"/>
        <v>45</v>
      </c>
      <c r="F6335" t="str">
        <f t="shared" si="1394"/>
        <v>101</v>
      </c>
      <c r="G6335">
        <v>9</v>
      </c>
      <c r="H6335" t="str">
        <f t="shared" si="1395"/>
        <v>11</v>
      </c>
      <c r="I6335" t="str">
        <f t="shared" si="1399"/>
        <v>0</v>
      </c>
      <c r="J6335" t="str">
        <f t="shared" si="1396"/>
        <v>04</v>
      </c>
      <c r="K6335">
        <v>20190517</v>
      </c>
      <c r="L6335" t="str">
        <f t="shared" si="1397"/>
        <v>076882</v>
      </c>
      <c r="M6335" t="str">
        <f t="shared" si="1398"/>
        <v>72730</v>
      </c>
      <c r="N6335" t="s">
        <v>639</v>
      </c>
      <c r="O6335">
        <v>11.16</v>
      </c>
      <c r="P6335">
        <v>20190515</v>
      </c>
      <c r="Q6335" t="s">
        <v>1859</v>
      </c>
      <c r="R6335" t="s">
        <v>5032</v>
      </c>
      <c r="S6335" t="s">
        <v>1615</v>
      </c>
      <c r="T6335" t="s">
        <v>1479</v>
      </c>
    </row>
    <row r="6336" spans="1:20" x14ac:dyDescent="0.25">
      <c r="A6336">
        <v>9</v>
      </c>
      <c r="B6336">
        <v>199</v>
      </c>
      <c r="C6336" t="str">
        <f t="shared" si="1392"/>
        <v>11</v>
      </c>
      <c r="D6336">
        <v>6399</v>
      </c>
      <c r="E6336" t="str">
        <f t="shared" si="1393"/>
        <v>45</v>
      </c>
      <c r="F6336" t="str">
        <f t="shared" si="1394"/>
        <v>101</v>
      </c>
      <c r="G6336">
        <v>9</v>
      </c>
      <c r="H6336" t="str">
        <f t="shared" si="1395"/>
        <v>11</v>
      </c>
      <c r="I6336" t="str">
        <f t="shared" si="1399"/>
        <v>0</v>
      </c>
      <c r="J6336" t="str">
        <f t="shared" si="1396"/>
        <v>04</v>
      </c>
      <c r="K6336">
        <v>20190517</v>
      </c>
      <c r="L6336" t="str">
        <f t="shared" si="1397"/>
        <v>076882</v>
      </c>
      <c r="M6336" t="str">
        <f t="shared" si="1398"/>
        <v>72730</v>
      </c>
      <c r="N6336" t="s">
        <v>639</v>
      </c>
      <c r="O6336">
        <v>169.96</v>
      </c>
      <c r="P6336">
        <v>20190515</v>
      </c>
      <c r="Q6336" t="s">
        <v>1859</v>
      </c>
      <c r="R6336" t="s">
        <v>3482</v>
      </c>
      <c r="S6336" t="s">
        <v>1615</v>
      </c>
      <c r="T6336" t="s">
        <v>1479</v>
      </c>
    </row>
    <row r="6337" spans="1:20" x14ac:dyDescent="0.25">
      <c r="A6337">
        <v>9</v>
      </c>
      <c r="B6337">
        <v>199</v>
      </c>
      <c r="C6337" t="str">
        <f t="shared" si="1392"/>
        <v>11</v>
      </c>
      <c r="D6337">
        <v>6399</v>
      </c>
      <c r="E6337" t="str">
        <f t="shared" si="1393"/>
        <v>45</v>
      </c>
      <c r="F6337" t="str">
        <f t="shared" si="1394"/>
        <v>101</v>
      </c>
      <c r="G6337">
        <v>9</v>
      </c>
      <c r="H6337" t="str">
        <f t="shared" si="1395"/>
        <v>11</v>
      </c>
      <c r="I6337" t="str">
        <f t="shared" si="1399"/>
        <v>0</v>
      </c>
      <c r="J6337" t="str">
        <f t="shared" si="1396"/>
        <v>04</v>
      </c>
      <c r="K6337">
        <v>20190517</v>
      </c>
      <c r="L6337" t="str">
        <f t="shared" si="1397"/>
        <v>076882</v>
      </c>
      <c r="M6337" t="str">
        <f t="shared" si="1398"/>
        <v>72730</v>
      </c>
      <c r="N6337" t="s">
        <v>639</v>
      </c>
      <c r="O6337">
        <v>79.2</v>
      </c>
      <c r="P6337">
        <v>20190515</v>
      </c>
      <c r="Q6337" t="s">
        <v>1859</v>
      </c>
      <c r="R6337" t="s">
        <v>2156</v>
      </c>
      <c r="S6337" t="s">
        <v>1615</v>
      </c>
      <c r="T6337" t="s">
        <v>1479</v>
      </c>
    </row>
    <row r="6338" spans="1:20" x14ac:dyDescent="0.25">
      <c r="A6338">
        <v>9</v>
      </c>
      <c r="B6338">
        <v>199</v>
      </c>
      <c r="C6338" t="str">
        <f t="shared" si="1392"/>
        <v>11</v>
      </c>
      <c r="D6338">
        <v>6399</v>
      </c>
      <c r="E6338" t="str">
        <f t="shared" si="1393"/>
        <v>45</v>
      </c>
      <c r="F6338" t="str">
        <f t="shared" si="1394"/>
        <v>101</v>
      </c>
      <c r="G6338">
        <v>9</v>
      </c>
      <c r="H6338" t="str">
        <f t="shared" si="1395"/>
        <v>11</v>
      </c>
      <c r="I6338" t="str">
        <f t="shared" si="1399"/>
        <v>0</v>
      </c>
      <c r="J6338" t="str">
        <f t="shared" si="1396"/>
        <v>04</v>
      </c>
      <c r="K6338">
        <v>20190517</v>
      </c>
      <c r="L6338" t="str">
        <f t="shared" si="1397"/>
        <v>076882</v>
      </c>
      <c r="M6338" t="str">
        <f t="shared" si="1398"/>
        <v>72730</v>
      </c>
      <c r="N6338" t="s">
        <v>639</v>
      </c>
      <c r="O6338">
        <v>-36.409999999999997</v>
      </c>
      <c r="P6338">
        <v>20190205</v>
      </c>
      <c r="Q6338" t="s">
        <v>1859</v>
      </c>
      <c r="R6338" t="s">
        <v>5033</v>
      </c>
      <c r="S6338" t="s">
        <v>1615</v>
      </c>
      <c r="T6338" t="s">
        <v>1479</v>
      </c>
    </row>
    <row r="6339" spans="1:20" x14ac:dyDescent="0.25">
      <c r="A6339">
        <v>9</v>
      </c>
      <c r="B6339">
        <v>199</v>
      </c>
      <c r="C6339" t="str">
        <f>"41"</f>
        <v>41</v>
      </c>
      <c r="D6339">
        <v>6399</v>
      </c>
      <c r="E6339" t="str">
        <f>"10"</f>
        <v>10</v>
      </c>
      <c r="F6339" t="str">
        <f>"726"</f>
        <v>726</v>
      </c>
      <c r="G6339">
        <v>9</v>
      </c>
      <c r="H6339" t="str">
        <f>"99"</f>
        <v>99</v>
      </c>
      <c r="I6339" t="str">
        <f t="shared" si="1399"/>
        <v>0</v>
      </c>
      <c r="J6339" t="str">
        <f>"91"</f>
        <v>91</v>
      </c>
      <c r="K6339">
        <v>20190517</v>
      </c>
      <c r="L6339" t="str">
        <f t="shared" si="1397"/>
        <v>076882</v>
      </c>
      <c r="M6339" t="str">
        <f t="shared" si="1398"/>
        <v>72730</v>
      </c>
      <c r="N6339" t="s">
        <v>639</v>
      </c>
      <c r="O6339">
        <v>335.04</v>
      </c>
      <c r="P6339">
        <v>20190515</v>
      </c>
      <c r="Q6339" t="s">
        <v>2702</v>
      </c>
      <c r="R6339" t="s">
        <v>641</v>
      </c>
      <c r="S6339" t="s">
        <v>1615</v>
      </c>
      <c r="T6339" t="s">
        <v>2608</v>
      </c>
    </row>
    <row r="6340" spans="1:20" x14ac:dyDescent="0.25">
      <c r="A6340">
        <v>9</v>
      </c>
      <c r="B6340">
        <v>199</v>
      </c>
      <c r="C6340" t="str">
        <f>"41"</f>
        <v>41</v>
      </c>
      <c r="D6340">
        <v>6399</v>
      </c>
      <c r="E6340" t="str">
        <f>"10"</f>
        <v>10</v>
      </c>
      <c r="F6340" t="str">
        <f>"726"</f>
        <v>726</v>
      </c>
      <c r="G6340">
        <v>9</v>
      </c>
      <c r="H6340" t="str">
        <f>"99"</f>
        <v>99</v>
      </c>
      <c r="I6340" t="str">
        <f t="shared" si="1399"/>
        <v>0</v>
      </c>
      <c r="J6340" t="str">
        <f>"91"</f>
        <v>91</v>
      </c>
      <c r="K6340">
        <v>20190517</v>
      </c>
      <c r="L6340" t="str">
        <f t="shared" si="1397"/>
        <v>076882</v>
      </c>
      <c r="M6340" t="str">
        <f t="shared" si="1398"/>
        <v>72730</v>
      </c>
      <c r="N6340" t="s">
        <v>639</v>
      </c>
      <c r="O6340">
        <v>5.88</v>
      </c>
      <c r="P6340">
        <v>20190515</v>
      </c>
      <c r="Q6340" t="s">
        <v>2702</v>
      </c>
      <c r="R6340" t="s">
        <v>5034</v>
      </c>
      <c r="S6340" t="s">
        <v>1615</v>
      </c>
      <c r="T6340" t="s">
        <v>2608</v>
      </c>
    </row>
    <row r="6341" spans="1:20" x14ac:dyDescent="0.25">
      <c r="A6341">
        <v>9</v>
      </c>
      <c r="B6341">
        <v>199</v>
      </c>
      <c r="C6341" t="str">
        <f>"41"</f>
        <v>41</v>
      </c>
      <c r="D6341">
        <v>6399</v>
      </c>
      <c r="E6341" t="str">
        <f>"10"</f>
        <v>10</v>
      </c>
      <c r="F6341" t="str">
        <f>"726"</f>
        <v>726</v>
      </c>
      <c r="G6341">
        <v>9</v>
      </c>
      <c r="H6341" t="str">
        <f>"99"</f>
        <v>99</v>
      </c>
      <c r="I6341" t="str">
        <f t="shared" si="1399"/>
        <v>0</v>
      </c>
      <c r="J6341" t="str">
        <f>"91"</f>
        <v>91</v>
      </c>
      <c r="K6341">
        <v>20190517</v>
      </c>
      <c r="L6341" t="str">
        <f t="shared" si="1397"/>
        <v>076882</v>
      </c>
      <c r="M6341" t="str">
        <f t="shared" si="1398"/>
        <v>72730</v>
      </c>
      <c r="N6341" t="s">
        <v>639</v>
      </c>
      <c r="O6341">
        <v>256.05</v>
      </c>
      <c r="P6341">
        <v>20190515</v>
      </c>
      <c r="Q6341" t="s">
        <v>2702</v>
      </c>
      <c r="R6341" t="s">
        <v>641</v>
      </c>
      <c r="S6341" t="s">
        <v>1615</v>
      </c>
      <c r="T6341" t="s">
        <v>2608</v>
      </c>
    </row>
    <row r="6342" spans="1:20" x14ac:dyDescent="0.25">
      <c r="A6342">
        <v>9</v>
      </c>
      <c r="B6342">
        <v>199</v>
      </c>
      <c r="C6342" t="str">
        <f>"41"</f>
        <v>41</v>
      </c>
      <c r="D6342">
        <v>6399</v>
      </c>
      <c r="E6342" t="str">
        <f>"10"</f>
        <v>10</v>
      </c>
      <c r="F6342" t="str">
        <f>"726"</f>
        <v>726</v>
      </c>
      <c r="G6342">
        <v>9</v>
      </c>
      <c r="H6342" t="str">
        <f>"99"</f>
        <v>99</v>
      </c>
      <c r="I6342" t="str">
        <f t="shared" si="1399"/>
        <v>0</v>
      </c>
      <c r="J6342" t="str">
        <f>"91"</f>
        <v>91</v>
      </c>
      <c r="K6342">
        <v>20190517</v>
      </c>
      <c r="L6342" t="str">
        <f t="shared" si="1397"/>
        <v>076882</v>
      </c>
      <c r="M6342" t="str">
        <f t="shared" si="1398"/>
        <v>72730</v>
      </c>
      <c r="N6342" t="s">
        <v>639</v>
      </c>
      <c r="O6342">
        <v>138.36000000000001</v>
      </c>
      <c r="P6342">
        <v>20190515</v>
      </c>
      <c r="Q6342" t="s">
        <v>2702</v>
      </c>
      <c r="R6342" t="s">
        <v>5035</v>
      </c>
      <c r="S6342" t="s">
        <v>1615</v>
      </c>
      <c r="T6342" t="s">
        <v>2608</v>
      </c>
    </row>
    <row r="6343" spans="1:20" x14ac:dyDescent="0.25">
      <c r="A6343">
        <v>9</v>
      </c>
      <c r="B6343">
        <v>199</v>
      </c>
      <c r="C6343" t="str">
        <f>"13"</f>
        <v>13</v>
      </c>
      <c r="D6343">
        <v>6411</v>
      </c>
      <c r="E6343" t="str">
        <f>"NL"</f>
        <v>NL</v>
      </c>
      <c r="F6343" t="str">
        <f>"001"</f>
        <v>001</v>
      </c>
      <c r="G6343">
        <v>9</v>
      </c>
      <c r="H6343" t="str">
        <f>"22"</f>
        <v>22</v>
      </c>
      <c r="I6343" t="str">
        <f t="shared" si="1399"/>
        <v>0</v>
      </c>
      <c r="J6343" t="str">
        <f>"22"</f>
        <v>22</v>
      </c>
      <c r="K6343">
        <v>20190517</v>
      </c>
      <c r="L6343" t="str">
        <f>"076885"</f>
        <v>076885</v>
      </c>
      <c r="M6343" t="str">
        <f>"75515"</f>
        <v>75515</v>
      </c>
      <c r="N6343" t="s">
        <v>3828</v>
      </c>
      <c r="O6343">
        <v>339.53</v>
      </c>
      <c r="P6343">
        <v>20190516</v>
      </c>
      <c r="Q6343" t="s">
        <v>4676</v>
      </c>
      <c r="R6343" t="s">
        <v>4677</v>
      </c>
      <c r="S6343" t="s">
        <v>1615</v>
      </c>
      <c r="T6343" t="s">
        <v>301</v>
      </c>
    </row>
    <row r="6344" spans="1:20" x14ac:dyDescent="0.25">
      <c r="A6344">
        <v>9</v>
      </c>
      <c r="B6344">
        <v>199</v>
      </c>
      <c r="C6344" t="str">
        <f>"51"</f>
        <v>51</v>
      </c>
      <c r="D6344">
        <v>6249</v>
      </c>
      <c r="E6344" t="str">
        <f>"M4"</f>
        <v>M4</v>
      </c>
      <c r="F6344" t="str">
        <f>"877"</f>
        <v>877</v>
      </c>
      <c r="G6344">
        <v>9</v>
      </c>
      <c r="H6344" t="str">
        <f>"99"</f>
        <v>99</v>
      </c>
      <c r="I6344" t="str">
        <f t="shared" si="1399"/>
        <v>0</v>
      </c>
      <c r="J6344" t="str">
        <f>"81"</f>
        <v>81</v>
      </c>
      <c r="K6344">
        <v>20190517</v>
      </c>
      <c r="L6344" t="str">
        <f>"076887"</f>
        <v>076887</v>
      </c>
      <c r="M6344" t="str">
        <f>"78726"</f>
        <v>78726</v>
      </c>
      <c r="N6344" t="s">
        <v>917</v>
      </c>
      <c r="O6344" s="1">
        <v>2510</v>
      </c>
      <c r="P6344">
        <v>20190515</v>
      </c>
      <c r="Q6344" t="s">
        <v>3071</v>
      </c>
      <c r="R6344" t="s">
        <v>5036</v>
      </c>
      <c r="S6344" t="s">
        <v>1615</v>
      </c>
      <c r="T6344" t="s">
        <v>2024</v>
      </c>
    </row>
    <row r="6345" spans="1:20" x14ac:dyDescent="0.25">
      <c r="A6345">
        <v>9</v>
      </c>
      <c r="B6345">
        <v>199</v>
      </c>
      <c r="C6345" t="str">
        <f>"11"</f>
        <v>11</v>
      </c>
      <c r="D6345">
        <v>6395</v>
      </c>
      <c r="E6345" t="str">
        <f>"10"</f>
        <v>10</v>
      </c>
      <c r="F6345" t="str">
        <f>"001"</f>
        <v>001</v>
      </c>
      <c r="G6345">
        <v>9</v>
      </c>
      <c r="H6345" t="str">
        <f t="shared" ref="H6345:H6350" si="1400">"11"</f>
        <v>11</v>
      </c>
      <c r="I6345" t="str">
        <f t="shared" si="1399"/>
        <v>0</v>
      </c>
      <c r="J6345" t="str">
        <f>"01"</f>
        <v>01</v>
      </c>
      <c r="K6345">
        <v>20190517</v>
      </c>
      <c r="L6345" t="str">
        <f t="shared" ref="L6345:L6354" si="1401">"076890"</f>
        <v>076890</v>
      </c>
      <c r="M6345" t="str">
        <f t="shared" ref="M6345:M6354" si="1402">"81303"</f>
        <v>81303</v>
      </c>
      <c r="N6345" t="s">
        <v>66</v>
      </c>
      <c r="O6345">
        <v>91.45</v>
      </c>
      <c r="P6345">
        <v>20190515</v>
      </c>
      <c r="Q6345" t="s">
        <v>1929</v>
      </c>
      <c r="R6345" t="s">
        <v>5037</v>
      </c>
      <c r="S6345" t="s">
        <v>1615</v>
      </c>
      <c r="T6345" t="s">
        <v>301</v>
      </c>
    </row>
    <row r="6346" spans="1:20" x14ac:dyDescent="0.25">
      <c r="A6346">
        <v>9</v>
      </c>
      <c r="B6346">
        <v>199</v>
      </c>
      <c r="C6346" t="str">
        <f>"11"</f>
        <v>11</v>
      </c>
      <c r="D6346">
        <v>6395</v>
      </c>
      <c r="E6346" t="str">
        <f>"10"</f>
        <v>10</v>
      </c>
      <c r="F6346" t="str">
        <f>"001"</f>
        <v>001</v>
      </c>
      <c r="G6346">
        <v>9</v>
      </c>
      <c r="H6346" t="str">
        <f t="shared" si="1400"/>
        <v>11</v>
      </c>
      <c r="I6346" t="str">
        <f t="shared" si="1399"/>
        <v>0</v>
      </c>
      <c r="J6346" t="str">
        <f>"01"</f>
        <v>01</v>
      </c>
      <c r="K6346">
        <v>20190517</v>
      </c>
      <c r="L6346" t="str">
        <f t="shared" si="1401"/>
        <v>076890</v>
      </c>
      <c r="M6346" t="str">
        <f t="shared" si="1402"/>
        <v>81303</v>
      </c>
      <c r="N6346" t="s">
        <v>66</v>
      </c>
      <c r="O6346">
        <v>18.75</v>
      </c>
      <c r="P6346">
        <v>20190515</v>
      </c>
      <c r="Q6346" t="s">
        <v>1929</v>
      </c>
      <c r="R6346" t="s">
        <v>5038</v>
      </c>
      <c r="S6346" t="s">
        <v>1615</v>
      </c>
      <c r="T6346" t="s">
        <v>301</v>
      </c>
    </row>
    <row r="6347" spans="1:20" x14ac:dyDescent="0.25">
      <c r="A6347">
        <v>9</v>
      </c>
      <c r="B6347">
        <v>199</v>
      </c>
      <c r="C6347" t="str">
        <f>"11"</f>
        <v>11</v>
      </c>
      <c r="D6347">
        <v>6395</v>
      </c>
      <c r="E6347" t="str">
        <f>"10"</f>
        <v>10</v>
      </c>
      <c r="F6347" t="str">
        <f>"001"</f>
        <v>001</v>
      </c>
      <c r="G6347">
        <v>9</v>
      </c>
      <c r="H6347" t="str">
        <f t="shared" si="1400"/>
        <v>11</v>
      </c>
      <c r="I6347" t="str">
        <f t="shared" si="1399"/>
        <v>0</v>
      </c>
      <c r="J6347" t="str">
        <f>"01"</f>
        <v>01</v>
      </c>
      <c r="K6347">
        <v>20190517</v>
      </c>
      <c r="L6347" t="str">
        <f t="shared" si="1401"/>
        <v>076890</v>
      </c>
      <c r="M6347" t="str">
        <f t="shared" si="1402"/>
        <v>81303</v>
      </c>
      <c r="N6347" t="s">
        <v>66</v>
      </c>
      <c r="O6347">
        <v>75</v>
      </c>
      <c r="P6347">
        <v>20190515</v>
      </c>
      <c r="Q6347" t="s">
        <v>1929</v>
      </c>
      <c r="R6347" t="s">
        <v>5039</v>
      </c>
      <c r="S6347" t="s">
        <v>1615</v>
      </c>
      <c r="T6347" t="s">
        <v>301</v>
      </c>
    </row>
    <row r="6348" spans="1:20" x14ac:dyDescent="0.25">
      <c r="A6348">
        <v>9</v>
      </c>
      <c r="B6348">
        <v>199</v>
      </c>
      <c r="C6348" t="str">
        <f>"11"</f>
        <v>11</v>
      </c>
      <c r="D6348">
        <v>6395</v>
      </c>
      <c r="E6348" t="str">
        <f>"10"</f>
        <v>10</v>
      </c>
      <c r="F6348" t="str">
        <f>"041"</f>
        <v>041</v>
      </c>
      <c r="G6348">
        <v>9</v>
      </c>
      <c r="H6348" t="str">
        <f t="shared" si="1400"/>
        <v>11</v>
      </c>
      <c r="I6348" t="str">
        <f t="shared" si="1399"/>
        <v>0</v>
      </c>
      <c r="J6348" t="str">
        <f>"03"</f>
        <v>03</v>
      </c>
      <c r="K6348">
        <v>20190517</v>
      </c>
      <c r="L6348" t="str">
        <f t="shared" si="1401"/>
        <v>076890</v>
      </c>
      <c r="M6348" t="str">
        <f t="shared" si="1402"/>
        <v>81303</v>
      </c>
      <c r="N6348" t="s">
        <v>66</v>
      </c>
      <c r="O6348">
        <v>245.5</v>
      </c>
      <c r="P6348">
        <v>20190515</v>
      </c>
      <c r="Q6348" t="s">
        <v>2927</v>
      </c>
      <c r="R6348" t="s">
        <v>5040</v>
      </c>
      <c r="S6348" t="s">
        <v>1615</v>
      </c>
      <c r="T6348" t="s">
        <v>106</v>
      </c>
    </row>
    <row r="6349" spans="1:20" x14ac:dyDescent="0.25">
      <c r="A6349">
        <v>9</v>
      </c>
      <c r="B6349">
        <v>199</v>
      </c>
      <c r="C6349" t="str">
        <f>"11"</f>
        <v>11</v>
      </c>
      <c r="D6349">
        <v>6395</v>
      </c>
      <c r="E6349" t="str">
        <f>"10"</f>
        <v>10</v>
      </c>
      <c r="F6349" t="str">
        <f>"041"</f>
        <v>041</v>
      </c>
      <c r="G6349">
        <v>9</v>
      </c>
      <c r="H6349" t="str">
        <f t="shared" si="1400"/>
        <v>11</v>
      </c>
      <c r="I6349" t="str">
        <f t="shared" si="1399"/>
        <v>0</v>
      </c>
      <c r="J6349" t="str">
        <f>"03"</f>
        <v>03</v>
      </c>
      <c r="K6349">
        <v>20190517</v>
      </c>
      <c r="L6349" t="str">
        <f t="shared" si="1401"/>
        <v>076890</v>
      </c>
      <c r="M6349" t="str">
        <f t="shared" si="1402"/>
        <v>81303</v>
      </c>
      <c r="N6349" t="s">
        <v>66</v>
      </c>
      <c r="O6349">
        <v>4</v>
      </c>
      <c r="P6349">
        <v>20190515</v>
      </c>
      <c r="Q6349" t="s">
        <v>2927</v>
      </c>
      <c r="R6349" t="s">
        <v>5041</v>
      </c>
      <c r="S6349" t="s">
        <v>1615</v>
      </c>
      <c r="T6349" t="s">
        <v>106</v>
      </c>
    </row>
    <row r="6350" spans="1:20" x14ac:dyDescent="0.25">
      <c r="A6350">
        <v>9</v>
      </c>
      <c r="B6350">
        <v>199</v>
      </c>
      <c r="C6350" t="str">
        <f>"12"</f>
        <v>12</v>
      </c>
      <c r="D6350">
        <v>6395</v>
      </c>
      <c r="E6350" t="str">
        <f>"7U"</f>
        <v>7U</v>
      </c>
      <c r="F6350" t="str">
        <f>"104"</f>
        <v>104</v>
      </c>
      <c r="G6350">
        <v>9</v>
      </c>
      <c r="H6350" t="str">
        <f t="shared" si="1400"/>
        <v>11</v>
      </c>
      <c r="I6350" t="str">
        <f t="shared" si="1399"/>
        <v>0</v>
      </c>
      <c r="J6350" t="str">
        <f>"05"</f>
        <v>05</v>
      </c>
      <c r="K6350">
        <v>20190517</v>
      </c>
      <c r="L6350" t="str">
        <f t="shared" si="1401"/>
        <v>076890</v>
      </c>
      <c r="M6350" t="str">
        <f t="shared" si="1402"/>
        <v>81303</v>
      </c>
      <c r="N6350" t="s">
        <v>66</v>
      </c>
      <c r="O6350">
        <v>200</v>
      </c>
      <c r="P6350">
        <v>20190515</v>
      </c>
      <c r="Q6350" t="s">
        <v>5042</v>
      </c>
      <c r="R6350" t="s">
        <v>5043</v>
      </c>
      <c r="S6350" t="s">
        <v>1615</v>
      </c>
      <c r="T6350" t="s">
        <v>46</v>
      </c>
    </row>
    <row r="6351" spans="1:20" x14ac:dyDescent="0.25">
      <c r="A6351">
        <v>9</v>
      </c>
      <c r="B6351">
        <v>199</v>
      </c>
      <c r="C6351" t="str">
        <f>"21"</f>
        <v>21</v>
      </c>
      <c r="D6351">
        <v>6394</v>
      </c>
      <c r="E6351" t="str">
        <f>"00"</f>
        <v>00</v>
      </c>
      <c r="F6351" t="str">
        <f>"875"</f>
        <v>875</v>
      </c>
      <c r="G6351">
        <v>9</v>
      </c>
      <c r="H6351" t="str">
        <f>"23"</f>
        <v>23</v>
      </c>
      <c r="I6351" t="str">
        <f t="shared" si="1399"/>
        <v>0</v>
      </c>
      <c r="J6351" t="str">
        <f>"23"</f>
        <v>23</v>
      </c>
      <c r="K6351">
        <v>20190517</v>
      </c>
      <c r="L6351" t="str">
        <f t="shared" si="1401"/>
        <v>076890</v>
      </c>
      <c r="M6351" t="str">
        <f t="shared" si="1402"/>
        <v>81303</v>
      </c>
      <c r="N6351" t="s">
        <v>66</v>
      </c>
      <c r="O6351">
        <v>194.4</v>
      </c>
      <c r="P6351">
        <v>20190515</v>
      </c>
      <c r="Q6351" t="s">
        <v>2933</v>
      </c>
      <c r="R6351" t="s">
        <v>5044</v>
      </c>
      <c r="S6351" t="s">
        <v>1615</v>
      </c>
      <c r="T6351" t="s">
        <v>2041</v>
      </c>
    </row>
    <row r="6352" spans="1:20" x14ac:dyDescent="0.25">
      <c r="A6352">
        <v>9</v>
      </c>
      <c r="B6352">
        <v>199</v>
      </c>
      <c r="C6352" t="str">
        <f>"31"</f>
        <v>31</v>
      </c>
      <c r="D6352">
        <v>6395</v>
      </c>
      <c r="E6352" t="str">
        <f>"7F"</f>
        <v>7F</v>
      </c>
      <c r="F6352" t="str">
        <f t="shared" ref="F6352:F6362" si="1403">"001"</f>
        <v>001</v>
      </c>
      <c r="G6352">
        <v>9</v>
      </c>
      <c r="H6352" t="str">
        <f>"99"</f>
        <v>99</v>
      </c>
      <c r="I6352" t="str">
        <f t="shared" si="1399"/>
        <v>0</v>
      </c>
      <c r="J6352" t="str">
        <f>"01"</f>
        <v>01</v>
      </c>
      <c r="K6352">
        <v>20190517</v>
      </c>
      <c r="L6352" t="str">
        <f t="shared" si="1401"/>
        <v>076890</v>
      </c>
      <c r="M6352" t="str">
        <f t="shared" si="1402"/>
        <v>81303</v>
      </c>
      <c r="N6352" t="s">
        <v>66</v>
      </c>
      <c r="O6352">
        <v>90</v>
      </c>
      <c r="P6352">
        <v>20190515</v>
      </c>
      <c r="Q6352" t="s">
        <v>1934</v>
      </c>
      <c r="R6352" t="s">
        <v>5045</v>
      </c>
      <c r="S6352" t="s">
        <v>1615</v>
      </c>
      <c r="T6352" t="s">
        <v>301</v>
      </c>
    </row>
    <row r="6353" spans="1:20" x14ac:dyDescent="0.25">
      <c r="A6353">
        <v>9</v>
      </c>
      <c r="B6353">
        <v>199</v>
      </c>
      <c r="C6353" t="str">
        <f>"31"</f>
        <v>31</v>
      </c>
      <c r="D6353">
        <v>6395</v>
      </c>
      <c r="E6353" t="str">
        <f>"7F"</f>
        <v>7F</v>
      </c>
      <c r="F6353" t="str">
        <f t="shared" si="1403"/>
        <v>001</v>
      </c>
      <c r="G6353">
        <v>9</v>
      </c>
      <c r="H6353" t="str">
        <f>"99"</f>
        <v>99</v>
      </c>
      <c r="I6353" t="str">
        <f t="shared" si="1399"/>
        <v>0</v>
      </c>
      <c r="J6353" t="str">
        <f>"01"</f>
        <v>01</v>
      </c>
      <c r="K6353">
        <v>20190517</v>
      </c>
      <c r="L6353" t="str">
        <f t="shared" si="1401"/>
        <v>076890</v>
      </c>
      <c r="M6353" t="str">
        <f t="shared" si="1402"/>
        <v>81303</v>
      </c>
      <c r="N6353" t="s">
        <v>66</v>
      </c>
      <c r="O6353">
        <v>60</v>
      </c>
      <c r="P6353">
        <v>20190515</v>
      </c>
      <c r="Q6353" t="s">
        <v>1934</v>
      </c>
      <c r="R6353" t="s">
        <v>4657</v>
      </c>
      <c r="S6353" t="s">
        <v>1615</v>
      </c>
      <c r="T6353" t="s">
        <v>301</v>
      </c>
    </row>
    <row r="6354" spans="1:20" x14ac:dyDescent="0.25">
      <c r="A6354">
        <v>9</v>
      </c>
      <c r="B6354">
        <v>199</v>
      </c>
      <c r="C6354" t="str">
        <f>"31"</f>
        <v>31</v>
      </c>
      <c r="D6354">
        <v>6395</v>
      </c>
      <c r="E6354" t="str">
        <f>"7F"</f>
        <v>7F</v>
      </c>
      <c r="F6354" t="str">
        <f t="shared" si="1403"/>
        <v>001</v>
      </c>
      <c r="G6354">
        <v>9</v>
      </c>
      <c r="H6354" t="str">
        <f>"99"</f>
        <v>99</v>
      </c>
      <c r="I6354" t="str">
        <f t="shared" si="1399"/>
        <v>0</v>
      </c>
      <c r="J6354" t="str">
        <f>"01"</f>
        <v>01</v>
      </c>
      <c r="K6354">
        <v>20190517</v>
      </c>
      <c r="L6354" t="str">
        <f t="shared" si="1401"/>
        <v>076890</v>
      </c>
      <c r="M6354" t="str">
        <f t="shared" si="1402"/>
        <v>81303</v>
      </c>
      <c r="N6354" t="s">
        <v>66</v>
      </c>
      <c r="O6354">
        <v>87.5</v>
      </c>
      <c r="P6354">
        <v>20190515</v>
      </c>
      <c r="Q6354" t="s">
        <v>1934</v>
      </c>
      <c r="R6354" t="s">
        <v>5046</v>
      </c>
      <c r="S6354" t="s">
        <v>1615</v>
      </c>
      <c r="T6354" t="s">
        <v>301</v>
      </c>
    </row>
    <row r="6355" spans="1:20" x14ac:dyDescent="0.25">
      <c r="A6355">
        <v>9</v>
      </c>
      <c r="B6355">
        <v>199</v>
      </c>
      <c r="C6355" t="str">
        <f>"36"</f>
        <v>36</v>
      </c>
      <c r="D6355">
        <v>6412</v>
      </c>
      <c r="E6355" t="str">
        <f>"10"</f>
        <v>10</v>
      </c>
      <c r="F6355" t="str">
        <f t="shared" si="1403"/>
        <v>001</v>
      </c>
      <c r="G6355">
        <v>9</v>
      </c>
      <c r="H6355" t="str">
        <f>"99"</f>
        <v>99</v>
      </c>
      <c r="I6355" t="str">
        <f>"5"</f>
        <v>5</v>
      </c>
      <c r="J6355" t="str">
        <f>"74"</f>
        <v>74</v>
      </c>
      <c r="K6355">
        <v>20190517</v>
      </c>
      <c r="L6355" t="str">
        <f>"076894"</f>
        <v>076894</v>
      </c>
      <c r="M6355" t="str">
        <f>"00729"</f>
        <v>00729</v>
      </c>
      <c r="N6355" t="s">
        <v>5047</v>
      </c>
      <c r="O6355">
        <v>200</v>
      </c>
      <c r="P6355">
        <v>20190515</v>
      </c>
      <c r="Q6355" t="s">
        <v>5007</v>
      </c>
      <c r="R6355" t="s">
        <v>5006</v>
      </c>
      <c r="S6355" t="s">
        <v>1615</v>
      </c>
      <c r="T6355" t="s">
        <v>301</v>
      </c>
    </row>
    <row r="6356" spans="1:20" x14ac:dyDescent="0.25">
      <c r="A6356">
        <v>9</v>
      </c>
      <c r="B6356">
        <v>199</v>
      </c>
      <c r="C6356" t="str">
        <f t="shared" ref="C6356:C6367" si="1404">"11"</f>
        <v>11</v>
      </c>
      <c r="D6356">
        <v>6399</v>
      </c>
      <c r="E6356" t="str">
        <f>"V8"</f>
        <v>V8</v>
      </c>
      <c r="F6356" t="str">
        <f t="shared" si="1403"/>
        <v>001</v>
      </c>
      <c r="G6356">
        <v>9</v>
      </c>
      <c r="H6356" t="str">
        <f>"22"</f>
        <v>22</v>
      </c>
      <c r="I6356" t="str">
        <f t="shared" ref="I6356:I6383" si="1405">"0"</f>
        <v>0</v>
      </c>
      <c r="J6356" t="str">
        <f>"22"</f>
        <v>22</v>
      </c>
      <c r="K6356">
        <v>20190517</v>
      </c>
      <c r="L6356" t="str">
        <f>"076895"</f>
        <v>076895</v>
      </c>
      <c r="M6356" t="str">
        <f>"86155"</f>
        <v>86155</v>
      </c>
      <c r="N6356" t="s">
        <v>5048</v>
      </c>
      <c r="O6356">
        <v>941.88</v>
      </c>
      <c r="P6356">
        <v>20190515</v>
      </c>
      <c r="Q6356" t="s">
        <v>2001</v>
      </c>
      <c r="R6356" t="s">
        <v>5049</v>
      </c>
      <c r="S6356" t="s">
        <v>1615</v>
      </c>
      <c r="T6356" t="s">
        <v>301</v>
      </c>
    </row>
    <row r="6357" spans="1:20" x14ac:dyDescent="0.25">
      <c r="A6357">
        <v>9</v>
      </c>
      <c r="B6357">
        <v>199</v>
      </c>
      <c r="C6357" t="str">
        <f t="shared" si="1404"/>
        <v>11</v>
      </c>
      <c r="D6357">
        <v>6399</v>
      </c>
      <c r="E6357" t="str">
        <f>"V8"</f>
        <v>V8</v>
      </c>
      <c r="F6357" t="str">
        <f t="shared" si="1403"/>
        <v>001</v>
      </c>
      <c r="G6357">
        <v>9</v>
      </c>
      <c r="H6357" t="str">
        <f>"22"</f>
        <v>22</v>
      </c>
      <c r="I6357" t="str">
        <f t="shared" si="1405"/>
        <v>0</v>
      </c>
      <c r="J6357" t="str">
        <f>"22"</f>
        <v>22</v>
      </c>
      <c r="K6357">
        <v>20190517</v>
      </c>
      <c r="L6357" t="str">
        <f>"076895"</f>
        <v>076895</v>
      </c>
      <c r="M6357" t="str">
        <f>"86155"</f>
        <v>86155</v>
      </c>
      <c r="N6357" t="s">
        <v>5048</v>
      </c>
      <c r="O6357" s="1">
        <v>1319.84</v>
      </c>
      <c r="P6357">
        <v>20190515</v>
      </c>
      <c r="Q6357" t="s">
        <v>2001</v>
      </c>
      <c r="R6357" t="s">
        <v>5050</v>
      </c>
      <c r="S6357" t="s">
        <v>1615</v>
      </c>
      <c r="T6357" t="s">
        <v>301</v>
      </c>
    </row>
    <row r="6358" spans="1:20" x14ac:dyDescent="0.25">
      <c r="A6358">
        <v>9</v>
      </c>
      <c r="B6358">
        <v>199</v>
      </c>
      <c r="C6358" t="str">
        <f t="shared" si="1404"/>
        <v>11</v>
      </c>
      <c r="D6358">
        <v>6321</v>
      </c>
      <c r="E6358" t="str">
        <f>"10"</f>
        <v>10</v>
      </c>
      <c r="F6358" t="str">
        <f t="shared" si="1403"/>
        <v>001</v>
      </c>
      <c r="G6358">
        <v>9</v>
      </c>
      <c r="H6358" t="str">
        <f>"11"</f>
        <v>11</v>
      </c>
      <c r="I6358" t="str">
        <f t="shared" si="1405"/>
        <v>0</v>
      </c>
      <c r="J6358" t="str">
        <f>"01"</f>
        <v>01</v>
      </c>
      <c r="K6358">
        <v>20190524</v>
      </c>
      <c r="L6358" t="str">
        <f t="shared" ref="L6358:L6368" si="1406">"076896"</f>
        <v>076896</v>
      </c>
      <c r="M6358" t="str">
        <f t="shared" ref="M6358:M6368" si="1407">"04410"</f>
        <v>04410</v>
      </c>
      <c r="N6358" t="s">
        <v>410</v>
      </c>
      <c r="O6358">
        <v>272</v>
      </c>
      <c r="P6358">
        <v>20190522</v>
      </c>
      <c r="Q6358" t="s">
        <v>1861</v>
      </c>
      <c r="R6358" t="s">
        <v>5051</v>
      </c>
      <c r="S6358" t="s">
        <v>1615</v>
      </c>
      <c r="T6358" t="s">
        <v>301</v>
      </c>
    </row>
    <row r="6359" spans="1:20" x14ac:dyDescent="0.25">
      <c r="A6359">
        <v>9</v>
      </c>
      <c r="B6359">
        <v>199</v>
      </c>
      <c r="C6359" t="str">
        <f t="shared" si="1404"/>
        <v>11</v>
      </c>
      <c r="D6359">
        <v>6399</v>
      </c>
      <c r="E6359" t="str">
        <f>"01"</f>
        <v>01</v>
      </c>
      <c r="F6359" t="str">
        <f t="shared" si="1403"/>
        <v>001</v>
      </c>
      <c r="G6359">
        <v>9</v>
      </c>
      <c r="H6359" t="str">
        <f>"25"</f>
        <v>25</v>
      </c>
      <c r="I6359" t="str">
        <f t="shared" si="1405"/>
        <v>0</v>
      </c>
      <c r="J6359" t="str">
        <f>"25"</f>
        <v>25</v>
      </c>
      <c r="K6359">
        <v>20190524</v>
      </c>
      <c r="L6359" t="str">
        <f t="shared" si="1406"/>
        <v>076896</v>
      </c>
      <c r="M6359" t="str">
        <f t="shared" si="1407"/>
        <v>04410</v>
      </c>
      <c r="N6359" t="s">
        <v>410</v>
      </c>
      <c r="O6359">
        <v>119</v>
      </c>
      <c r="P6359">
        <v>20190522</v>
      </c>
      <c r="Q6359" t="s">
        <v>4192</v>
      </c>
      <c r="R6359" t="s">
        <v>5051</v>
      </c>
      <c r="S6359" t="s">
        <v>1615</v>
      </c>
      <c r="T6359" t="s">
        <v>301</v>
      </c>
    </row>
    <row r="6360" spans="1:20" x14ac:dyDescent="0.25">
      <c r="A6360">
        <v>9</v>
      </c>
      <c r="B6360">
        <v>199</v>
      </c>
      <c r="C6360" t="str">
        <f t="shared" si="1404"/>
        <v>11</v>
      </c>
      <c r="D6360">
        <v>6399</v>
      </c>
      <c r="E6360" t="str">
        <f>"01"</f>
        <v>01</v>
      </c>
      <c r="F6360" t="str">
        <f t="shared" si="1403"/>
        <v>001</v>
      </c>
      <c r="G6360">
        <v>9</v>
      </c>
      <c r="H6360" t="str">
        <f>"25"</f>
        <v>25</v>
      </c>
      <c r="I6360" t="str">
        <f t="shared" si="1405"/>
        <v>0</v>
      </c>
      <c r="J6360" t="str">
        <f>"25"</f>
        <v>25</v>
      </c>
      <c r="K6360">
        <v>20190524</v>
      </c>
      <c r="L6360" t="str">
        <f t="shared" si="1406"/>
        <v>076896</v>
      </c>
      <c r="M6360" t="str">
        <f t="shared" si="1407"/>
        <v>04410</v>
      </c>
      <c r="N6360" t="s">
        <v>410</v>
      </c>
      <c r="O6360">
        <v>119</v>
      </c>
      <c r="P6360">
        <v>20190522</v>
      </c>
      <c r="Q6360" t="s">
        <v>4192</v>
      </c>
      <c r="R6360" t="s">
        <v>5051</v>
      </c>
      <c r="S6360" t="s">
        <v>1615</v>
      </c>
      <c r="T6360" t="s">
        <v>301</v>
      </c>
    </row>
    <row r="6361" spans="1:20" x14ac:dyDescent="0.25">
      <c r="A6361">
        <v>9</v>
      </c>
      <c r="B6361">
        <v>199</v>
      </c>
      <c r="C6361" t="str">
        <f t="shared" si="1404"/>
        <v>11</v>
      </c>
      <c r="D6361">
        <v>6399</v>
      </c>
      <c r="E6361" t="str">
        <f>"01"</f>
        <v>01</v>
      </c>
      <c r="F6361" t="str">
        <f t="shared" si="1403"/>
        <v>001</v>
      </c>
      <c r="G6361">
        <v>9</v>
      </c>
      <c r="H6361" t="str">
        <f>"25"</f>
        <v>25</v>
      </c>
      <c r="I6361" t="str">
        <f t="shared" si="1405"/>
        <v>0</v>
      </c>
      <c r="J6361" t="str">
        <f>"25"</f>
        <v>25</v>
      </c>
      <c r="K6361">
        <v>20190524</v>
      </c>
      <c r="L6361" t="str">
        <f t="shared" si="1406"/>
        <v>076896</v>
      </c>
      <c r="M6361" t="str">
        <f t="shared" si="1407"/>
        <v>04410</v>
      </c>
      <c r="N6361" t="s">
        <v>410</v>
      </c>
      <c r="O6361">
        <v>259.95</v>
      </c>
      <c r="P6361">
        <v>20190522</v>
      </c>
      <c r="Q6361" t="s">
        <v>4192</v>
      </c>
      <c r="R6361" t="s">
        <v>5051</v>
      </c>
      <c r="S6361" t="s">
        <v>1615</v>
      </c>
      <c r="T6361" t="s">
        <v>301</v>
      </c>
    </row>
    <row r="6362" spans="1:20" x14ac:dyDescent="0.25">
      <c r="A6362">
        <v>9</v>
      </c>
      <c r="B6362">
        <v>199</v>
      </c>
      <c r="C6362" t="str">
        <f t="shared" si="1404"/>
        <v>11</v>
      </c>
      <c r="D6362">
        <v>6399</v>
      </c>
      <c r="E6362" t="str">
        <f>"10"</f>
        <v>10</v>
      </c>
      <c r="F6362" t="str">
        <f t="shared" si="1403"/>
        <v>001</v>
      </c>
      <c r="G6362">
        <v>9</v>
      </c>
      <c r="H6362" t="str">
        <f>"11"</f>
        <v>11</v>
      </c>
      <c r="I6362" t="str">
        <f t="shared" si="1405"/>
        <v>0</v>
      </c>
      <c r="J6362" t="str">
        <f>"01"</f>
        <v>01</v>
      </c>
      <c r="K6362">
        <v>20190524</v>
      </c>
      <c r="L6362" t="str">
        <f t="shared" si="1406"/>
        <v>076896</v>
      </c>
      <c r="M6362" t="str">
        <f t="shared" si="1407"/>
        <v>04410</v>
      </c>
      <c r="N6362" t="s">
        <v>410</v>
      </c>
      <c r="O6362">
        <v>331.59</v>
      </c>
      <c r="P6362">
        <v>20190522</v>
      </c>
      <c r="Q6362" t="s">
        <v>1675</v>
      </c>
      <c r="R6362" t="s">
        <v>5052</v>
      </c>
      <c r="S6362" t="s">
        <v>1615</v>
      </c>
      <c r="T6362" t="s">
        <v>301</v>
      </c>
    </row>
    <row r="6363" spans="1:20" x14ac:dyDescent="0.25">
      <c r="A6363">
        <v>9</v>
      </c>
      <c r="B6363">
        <v>199</v>
      </c>
      <c r="C6363" t="str">
        <f t="shared" si="1404"/>
        <v>11</v>
      </c>
      <c r="D6363">
        <v>6399</v>
      </c>
      <c r="E6363" t="str">
        <f>"8J"</f>
        <v>8J</v>
      </c>
      <c r="F6363" t="str">
        <f>"104"</f>
        <v>104</v>
      </c>
      <c r="G6363">
        <v>9</v>
      </c>
      <c r="H6363" t="str">
        <f>"11"</f>
        <v>11</v>
      </c>
      <c r="I6363" t="str">
        <f t="shared" si="1405"/>
        <v>0</v>
      </c>
      <c r="J6363" t="str">
        <f>"05"</f>
        <v>05</v>
      </c>
      <c r="K6363">
        <v>20190524</v>
      </c>
      <c r="L6363" t="str">
        <f t="shared" si="1406"/>
        <v>076896</v>
      </c>
      <c r="M6363" t="str">
        <f t="shared" si="1407"/>
        <v>04410</v>
      </c>
      <c r="N6363" t="s">
        <v>410</v>
      </c>
      <c r="O6363">
        <v>109.3</v>
      </c>
      <c r="P6363">
        <v>20190522</v>
      </c>
      <c r="Q6363" t="s">
        <v>5053</v>
      </c>
      <c r="R6363" t="s">
        <v>5054</v>
      </c>
      <c r="S6363" t="s">
        <v>1615</v>
      </c>
      <c r="T6363" t="s">
        <v>46</v>
      </c>
    </row>
    <row r="6364" spans="1:20" x14ac:dyDescent="0.25">
      <c r="A6364">
        <v>9</v>
      </c>
      <c r="B6364">
        <v>199</v>
      </c>
      <c r="C6364" t="str">
        <f t="shared" si="1404"/>
        <v>11</v>
      </c>
      <c r="D6364">
        <v>6399</v>
      </c>
      <c r="E6364" t="str">
        <f>"8P"</f>
        <v>8P</v>
      </c>
      <c r="F6364" t="str">
        <f>"001"</f>
        <v>001</v>
      </c>
      <c r="G6364">
        <v>9</v>
      </c>
      <c r="H6364" t="str">
        <f>"11"</f>
        <v>11</v>
      </c>
      <c r="I6364" t="str">
        <f t="shared" si="1405"/>
        <v>0</v>
      </c>
      <c r="J6364" t="str">
        <f>"01"</f>
        <v>01</v>
      </c>
      <c r="K6364">
        <v>20190524</v>
      </c>
      <c r="L6364" t="str">
        <f t="shared" si="1406"/>
        <v>076896</v>
      </c>
      <c r="M6364" t="str">
        <f t="shared" si="1407"/>
        <v>04410</v>
      </c>
      <c r="N6364" t="s">
        <v>410</v>
      </c>
      <c r="O6364">
        <v>100.92</v>
      </c>
      <c r="P6364">
        <v>20190522</v>
      </c>
      <c r="Q6364" t="s">
        <v>2319</v>
      </c>
      <c r="R6364" t="s">
        <v>5055</v>
      </c>
      <c r="S6364" t="s">
        <v>1615</v>
      </c>
      <c r="T6364" t="s">
        <v>301</v>
      </c>
    </row>
    <row r="6365" spans="1:20" x14ac:dyDescent="0.25">
      <c r="A6365">
        <v>9</v>
      </c>
      <c r="B6365">
        <v>199</v>
      </c>
      <c r="C6365" t="str">
        <f t="shared" si="1404"/>
        <v>11</v>
      </c>
      <c r="D6365">
        <v>6399</v>
      </c>
      <c r="E6365" t="str">
        <f>"V8"</f>
        <v>V8</v>
      </c>
      <c r="F6365" t="str">
        <f>"001"</f>
        <v>001</v>
      </c>
      <c r="G6365">
        <v>9</v>
      </c>
      <c r="H6365" t="str">
        <f>"22"</f>
        <v>22</v>
      </c>
      <c r="I6365" t="str">
        <f t="shared" si="1405"/>
        <v>0</v>
      </c>
      <c r="J6365" t="str">
        <f>"22"</f>
        <v>22</v>
      </c>
      <c r="K6365">
        <v>20190524</v>
      </c>
      <c r="L6365" t="str">
        <f t="shared" si="1406"/>
        <v>076896</v>
      </c>
      <c r="M6365" t="str">
        <f t="shared" si="1407"/>
        <v>04410</v>
      </c>
      <c r="N6365" t="s">
        <v>410</v>
      </c>
      <c r="O6365">
        <v>454.79</v>
      </c>
      <c r="P6365">
        <v>20190522</v>
      </c>
      <c r="Q6365" t="s">
        <v>2001</v>
      </c>
      <c r="R6365" t="s">
        <v>5056</v>
      </c>
      <c r="S6365" t="s">
        <v>1615</v>
      </c>
      <c r="T6365" t="s">
        <v>301</v>
      </c>
    </row>
    <row r="6366" spans="1:20" x14ac:dyDescent="0.25">
      <c r="A6366">
        <v>9</v>
      </c>
      <c r="B6366">
        <v>199</v>
      </c>
      <c r="C6366" t="str">
        <f t="shared" si="1404"/>
        <v>11</v>
      </c>
      <c r="D6366">
        <v>6399</v>
      </c>
      <c r="E6366" t="str">
        <f>"V8"</f>
        <v>V8</v>
      </c>
      <c r="F6366" t="str">
        <f>"001"</f>
        <v>001</v>
      </c>
      <c r="G6366">
        <v>9</v>
      </c>
      <c r="H6366" t="str">
        <f>"22"</f>
        <v>22</v>
      </c>
      <c r="I6366" t="str">
        <f t="shared" si="1405"/>
        <v>0</v>
      </c>
      <c r="J6366" t="str">
        <f>"22"</f>
        <v>22</v>
      </c>
      <c r="K6366">
        <v>20190524</v>
      </c>
      <c r="L6366" t="str">
        <f t="shared" si="1406"/>
        <v>076896</v>
      </c>
      <c r="M6366" t="str">
        <f t="shared" si="1407"/>
        <v>04410</v>
      </c>
      <c r="N6366" t="s">
        <v>410</v>
      </c>
      <c r="O6366">
        <v>-83.94</v>
      </c>
      <c r="P6366">
        <v>20190515</v>
      </c>
      <c r="Q6366" t="s">
        <v>2001</v>
      </c>
      <c r="R6366" t="s">
        <v>4867</v>
      </c>
      <c r="S6366" t="s">
        <v>1615</v>
      </c>
      <c r="T6366" t="s">
        <v>301</v>
      </c>
    </row>
    <row r="6367" spans="1:20" x14ac:dyDescent="0.25">
      <c r="A6367">
        <v>9</v>
      </c>
      <c r="B6367">
        <v>199</v>
      </c>
      <c r="C6367" t="str">
        <f t="shared" si="1404"/>
        <v>11</v>
      </c>
      <c r="D6367">
        <v>6399</v>
      </c>
      <c r="E6367" t="str">
        <f>"V8"</f>
        <v>V8</v>
      </c>
      <c r="F6367" t="str">
        <f>"001"</f>
        <v>001</v>
      </c>
      <c r="G6367">
        <v>9</v>
      </c>
      <c r="H6367" t="str">
        <f>"22"</f>
        <v>22</v>
      </c>
      <c r="I6367" t="str">
        <f t="shared" si="1405"/>
        <v>0</v>
      </c>
      <c r="J6367" t="str">
        <f>"22"</f>
        <v>22</v>
      </c>
      <c r="K6367">
        <v>20190524</v>
      </c>
      <c r="L6367" t="str">
        <f t="shared" si="1406"/>
        <v>076896</v>
      </c>
      <c r="M6367" t="str">
        <f t="shared" si="1407"/>
        <v>04410</v>
      </c>
      <c r="N6367" t="s">
        <v>410</v>
      </c>
      <c r="O6367">
        <v>-112.92</v>
      </c>
      <c r="P6367">
        <v>20190515</v>
      </c>
      <c r="Q6367" t="s">
        <v>2001</v>
      </c>
      <c r="R6367" t="s">
        <v>5057</v>
      </c>
      <c r="S6367" t="s">
        <v>1615</v>
      </c>
      <c r="T6367" t="s">
        <v>301</v>
      </c>
    </row>
    <row r="6368" spans="1:20" x14ac:dyDescent="0.25">
      <c r="A6368">
        <v>9</v>
      </c>
      <c r="B6368">
        <v>199</v>
      </c>
      <c r="C6368" t="str">
        <f>"31"</f>
        <v>31</v>
      </c>
      <c r="D6368">
        <v>6399</v>
      </c>
      <c r="E6368" t="str">
        <f>"7F"</f>
        <v>7F</v>
      </c>
      <c r="F6368" t="str">
        <f>"001"</f>
        <v>001</v>
      </c>
      <c r="G6368">
        <v>9</v>
      </c>
      <c r="H6368" t="str">
        <f>"99"</f>
        <v>99</v>
      </c>
      <c r="I6368" t="str">
        <f t="shared" si="1405"/>
        <v>0</v>
      </c>
      <c r="J6368" t="str">
        <f>"01"</f>
        <v>01</v>
      </c>
      <c r="K6368">
        <v>20190524</v>
      </c>
      <c r="L6368" t="str">
        <f t="shared" si="1406"/>
        <v>076896</v>
      </c>
      <c r="M6368" t="str">
        <f t="shared" si="1407"/>
        <v>04410</v>
      </c>
      <c r="N6368" t="s">
        <v>410</v>
      </c>
      <c r="O6368">
        <v>601.20000000000005</v>
      </c>
      <c r="P6368">
        <v>20190522</v>
      </c>
      <c r="Q6368" t="s">
        <v>2965</v>
      </c>
      <c r="R6368" t="s">
        <v>4198</v>
      </c>
      <c r="S6368" t="s">
        <v>1615</v>
      </c>
      <c r="T6368" t="s">
        <v>301</v>
      </c>
    </row>
    <row r="6369" spans="1:20" x14ac:dyDescent="0.25">
      <c r="A6369">
        <v>9</v>
      </c>
      <c r="B6369">
        <v>199</v>
      </c>
      <c r="C6369" t="str">
        <f>"00"</f>
        <v>00</v>
      </c>
      <c r="D6369">
        <v>5749</v>
      </c>
      <c r="E6369" t="str">
        <f>"00"</f>
        <v>00</v>
      </c>
      <c r="F6369" t="str">
        <f>"000"</f>
        <v>000</v>
      </c>
      <c r="G6369">
        <v>9</v>
      </c>
      <c r="H6369" t="str">
        <f>"00"</f>
        <v>00</v>
      </c>
      <c r="I6369" t="str">
        <f t="shared" si="1405"/>
        <v>0</v>
      </c>
      <c r="J6369" t="str">
        <f>"00"</f>
        <v>00</v>
      </c>
      <c r="K6369">
        <v>20190524</v>
      </c>
      <c r="L6369" t="str">
        <f>"076897"</f>
        <v>076897</v>
      </c>
      <c r="M6369" t="str">
        <f>"09210"</f>
        <v>09210</v>
      </c>
      <c r="N6369" t="s">
        <v>1010</v>
      </c>
      <c r="O6369">
        <v>90</v>
      </c>
      <c r="P6369">
        <v>20190522</v>
      </c>
      <c r="Q6369" t="s">
        <v>4850</v>
      </c>
      <c r="R6369" t="s">
        <v>5058</v>
      </c>
      <c r="S6369" t="s">
        <v>1615</v>
      </c>
      <c r="T6369" t="s">
        <v>296</v>
      </c>
    </row>
    <row r="6370" spans="1:20" x14ac:dyDescent="0.25">
      <c r="A6370">
        <v>9</v>
      </c>
      <c r="B6370">
        <v>199</v>
      </c>
      <c r="C6370" t="str">
        <f>"23"</f>
        <v>23</v>
      </c>
      <c r="D6370">
        <v>6498</v>
      </c>
      <c r="E6370" t="str">
        <f>"10"</f>
        <v>10</v>
      </c>
      <c r="F6370" t="str">
        <f>"001"</f>
        <v>001</v>
      </c>
      <c r="G6370">
        <v>9</v>
      </c>
      <c r="H6370" t="str">
        <f>"99"</f>
        <v>99</v>
      </c>
      <c r="I6370" t="str">
        <f t="shared" si="1405"/>
        <v>0</v>
      </c>
      <c r="J6370" t="str">
        <f>"01"</f>
        <v>01</v>
      </c>
      <c r="K6370">
        <v>20190524</v>
      </c>
      <c r="L6370" t="str">
        <f>"076898"</f>
        <v>076898</v>
      </c>
      <c r="M6370" t="str">
        <f>"10418"</f>
        <v>10418</v>
      </c>
      <c r="N6370" t="s">
        <v>2360</v>
      </c>
      <c r="O6370">
        <v>374.09</v>
      </c>
      <c r="P6370">
        <v>20190522</v>
      </c>
      <c r="Q6370" t="s">
        <v>2108</v>
      </c>
      <c r="R6370" t="s">
        <v>5059</v>
      </c>
      <c r="S6370" t="s">
        <v>1615</v>
      </c>
      <c r="T6370" t="s">
        <v>301</v>
      </c>
    </row>
    <row r="6371" spans="1:20" x14ac:dyDescent="0.25">
      <c r="A6371">
        <v>9</v>
      </c>
      <c r="B6371">
        <v>199</v>
      </c>
      <c r="C6371" t="str">
        <f>"31"</f>
        <v>31</v>
      </c>
      <c r="D6371">
        <v>6499</v>
      </c>
      <c r="E6371" t="str">
        <f>"7F"</f>
        <v>7F</v>
      </c>
      <c r="F6371" t="str">
        <f>"001"</f>
        <v>001</v>
      </c>
      <c r="G6371">
        <v>9</v>
      </c>
      <c r="H6371" t="str">
        <f>"31"</f>
        <v>31</v>
      </c>
      <c r="I6371" t="str">
        <f t="shared" si="1405"/>
        <v>0</v>
      </c>
      <c r="J6371" t="str">
        <f>"34"</f>
        <v>34</v>
      </c>
      <c r="K6371">
        <v>20190524</v>
      </c>
      <c r="L6371" t="str">
        <f>"076898"</f>
        <v>076898</v>
      </c>
      <c r="M6371" t="str">
        <f>"10418"</f>
        <v>10418</v>
      </c>
      <c r="N6371" t="s">
        <v>2360</v>
      </c>
      <c r="O6371" s="1">
        <v>1000.76</v>
      </c>
      <c r="P6371">
        <v>20190522</v>
      </c>
      <c r="Q6371" t="s">
        <v>2880</v>
      </c>
      <c r="R6371" t="s">
        <v>5060</v>
      </c>
      <c r="S6371" t="s">
        <v>1615</v>
      </c>
      <c r="T6371" t="s">
        <v>301</v>
      </c>
    </row>
    <row r="6372" spans="1:20" x14ac:dyDescent="0.25">
      <c r="A6372">
        <v>9</v>
      </c>
      <c r="B6372">
        <v>199</v>
      </c>
      <c r="C6372" t="str">
        <f>"11"</f>
        <v>11</v>
      </c>
      <c r="D6372">
        <v>6499</v>
      </c>
      <c r="E6372" t="str">
        <f>"AC"</f>
        <v>AC</v>
      </c>
      <c r="F6372" t="str">
        <f>"001"</f>
        <v>001</v>
      </c>
      <c r="G6372">
        <v>9</v>
      </c>
      <c r="H6372" t="str">
        <f>"31"</f>
        <v>31</v>
      </c>
      <c r="I6372" t="str">
        <f t="shared" si="1405"/>
        <v>0</v>
      </c>
      <c r="J6372" t="str">
        <f>"34"</f>
        <v>34</v>
      </c>
      <c r="K6372">
        <v>20190524</v>
      </c>
      <c r="L6372" t="str">
        <f>"076901"</f>
        <v>076901</v>
      </c>
      <c r="M6372" t="str">
        <f>"21283"</f>
        <v>21283</v>
      </c>
      <c r="N6372" t="s">
        <v>3856</v>
      </c>
      <c r="O6372">
        <v>250</v>
      </c>
      <c r="P6372">
        <v>20190522</v>
      </c>
      <c r="Q6372" t="s">
        <v>5061</v>
      </c>
      <c r="R6372" t="s">
        <v>5062</v>
      </c>
      <c r="S6372" t="s">
        <v>1615</v>
      </c>
      <c r="T6372" t="s">
        <v>301</v>
      </c>
    </row>
    <row r="6373" spans="1:20" x14ac:dyDescent="0.25">
      <c r="A6373">
        <v>9</v>
      </c>
      <c r="B6373">
        <v>199</v>
      </c>
      <c r="C6373" t="str">
        <f>"00"</f>
        <v>00</v>
      </c>
      <c r="D6373">
        <v>5749</v>
      </c>
      <c r="E6373" t="str">
        <f>"00"</f>
        <v>00</v>
      </c>
      <c r="F6373" t="str">
        <f>"000"</f>
        <v>000</v>
      </c>
      <c r="G6373">
        <v>9</v>
      </c>
      <c r="H6373" t="str">
        <f>"00"</f>
        <v>00</v>
      </c>
      <c r="I6373" t="str">
        <f t="shared" si="1405"/>
        <v>0</v>
      </c>
      <c r="J6373" t="str">
        <f>"00"</f>
        <v>00</v>
      </c>
      <c r="K6373">
        <v>20190524</v>
      </c>
      <c r="L6373" t="str">
        <f>"076902"</f>
        <v>076902</v>
      </c>
      <c r="M6373" t="str">
        <f>"22332"</f>
        <v>22332</v>
      </c>
      <c r="N6373" t="s">
        <v>5063</v>
      </c>
      <c r="O6373">
        <v>30</v>
      </c>
      <c r="P6373">
        <v>20190523</v>
      </c>
      <c r="Q6373" t="s">
        <v>4850</v>
      </c>
      <c r="R6373" t="s">
        <v>5064</v>
      </c>
      <c r="S6373" t="s">
        <v>1615</v>
      </c>
      <c r="T6373" t="s">
        <v>296</v>
      </c>
    </row>
    <row r="6374" spans="1:20" x14ac:dyDescent="0.25">
      <c r="A6374">
        <v>9</v>
      </c>
      <c r="B6374">
        <v>199</v>
      </c>
      <c r="C6374" t="str">
        <f>"13"</f>
        <v>13</v>
      </c>
      <c r="D6374">
        <v>6411</v>
      </c>
      <c r="E6374" t="str">
        <f>"VL"</f>
        <v>VL</v>
      </c>
      <c r="F6374" t="str">
        <f>"001"</f>
        <v>001</v>
      </c>
      <c r="G6374">
        <v>9</v>
      </c>
      <c r="H6374" t="str">
        <f>"22"</f>
        <v>22</v>
      </c>
      <c r="I6374" t="str">
        <f t="shared" si="1405"/>
        <v>0</v>
      </c>
      <c r="J6374" t="str">
        <f>"22"</f>
        <v>22</v>
      </c>
      <c r="K6374">
        <v>20190524</v>
      </c>
      <c r="L6374" t="str">
        <f>"076903"</f>
        <v>076903</v>
      </c>
      <c r="M6374" t="str">
        <f>"00812"</f>
        <v>00812</v>
      </c>
      <c r="N6374" t="s">
        <v>5065</v>
      </c>
      <c r="O6374">
        <v>279</v>
      </c>
      <c r="P6374">
        <v>20190522</v>
      </c>
      <c r="Q6374" t="s">
        <v>4756</v>
      </c>
      <c r="R6374" t="s">
        <v>5066</v>
      </c>
      <c r="S6374" t="s">
        <v>1615</v>
      </c>
      <c r="T6374" t="s">
        <v>301</v>
      </c>
    </row>
    <row r="6375" spans="1:20" x14ac:dyDescent="0.25">
      <c r="A6375">
        <v>9</v>
      </c>
      <c r="B6375">
        <v>199</v>
      </c>
      <c r="C6375" t="str">
        <f>"41"</f>
        <v>41</v>
      </c>
      <c r="D6375">
        <v>6399</v>
      </c>
      <c r="E6375" t="str">
        <f>"10"</f>
        <v>10</v>
      </c>
      <c r="F6375" t="str">
        <f>"726"</f>
        <v>726</v>
      </c>
      <c r="G6375">
        <v>9</v>
      </c>
      <c r="H6375" t="str">
        <f>"99"</f>
        <v>99</v>
      </c>
      <c r="I6375" t="str">
        <f t="shared" si="1405"/>
        <v>0</v>
      </c>
      <c r="J6375" t="str">
        <f>"91"</f>
        <v>91</v>
      </c>
      <c r="K6375">
        <v>20190524</v>
      </c>
      <c r="L6375" t="str">
        <f>"076905"</f>
        <v>076905</v>
      </c>
      <c r="M6375" t="str">
        <f>"25165"</f>
        <v>25165</v>
      </c>
      <c r="N6375" t="s">
        <v>2860</v>
      </c>
      <c r="O6375">
        <v>135.4</v>
      </c>
      <c r="P6375">
        <v>20190522</v>
      </c>
      <c r="Q6375" t="s">
        <v>2702</v>
      </c>
      <c r="R6375" t="s">
        <v>5067</v>
      </c>
      <c r="S6375" t="s">
        <v>1615</v>
      </c>
      <c r="T6375" t="s">
        <v>2608</v>
      </c>
    </row>
    <row r="6376" spans="1:20" x14ac:dyDescent="0.25">
      <c r="A6376">
        <v>9</v>
      </c>
      <c r="B6376">
        <v>199</v>
      </c>
      <c r="C6376" t="str">
        <f>"51"</f>
        <v>51</v>
      </c>
      <c r="D6376">
        <v>6256</v>
      </c>
      <c r="E6376" t="str">
        <f>"15"</f>
        <v>15</v>
      </c>
      <c r="F6376" t="str">
        <f>"880"</f>
        <v>880</v>
      </c>
      <c r="G6376">
        <v>9</v>
      </c>
      <c r="H6376" t="str">
        <f>"99"</f>
        <v>99</v>
      </c>
      <c r="I6376" t="str">
        <f t="shared" si="1405"/>
        <v>0</v>
      </c>
      <c r="J6376" t="str">
        <f>"80"</f>
        <v>80</v>
      </c>
      <c r="K6376">
        <v>20190524</v>
      </c>
      <c r="L6376" t="str">
        <f>"076906"</f>
        <v>076906</v>
      </c>
      <c r="M6376" t="str">
        <f>"77113"</f>
        <v>77113</v>
      </c>
      <c r="N6376" t="s">
        <v>1880</v>
      </c>
      <c r="O6376">
        <v>108.34</v>
      </c>
      <c r="P6376">
        <v>20190522</v>
      </c>
      <c r="Q6376" t="s">
        <v>2487</v>
      </c>
      <c r="R6376" t="s">
        <v>4595</v>
      </c>
      <c r="S6376" t="s">
        <v>1615</v>
      </c>
      <c r="T6376" t="s">
        <v>1866</v>
      </c>
    </row>
    <row r="6377" spans="1:20" x14ac:dyDescent="0.25">
      <c r="A6377">
        <v>9</v>
      </c>
      <c r="B6377">
        <v>199</v>
      </c>
      <c r="C6377" t="str">
        <f>"41"</f>
        <v>41</v>
      </c>
      <c r="D6377">
        <v>6399</v>
      </c>
      <c r="E6377" t="str">
        <f>"10"</f>
        <v>10</v>
      </c>
      <c r="F6377" t="str">
        <f>"730"</f>
        <v>730</v>
      </c>
      <c r="G6377">
        <v>9</v>
      </c>
      <c r="H6377" t="str">
        <f>"99"</f>
        <v>99</v>
      </c>
      <c r="I6377" t="str">
        <f t="shared" si="1405"/>
        <v>0</v>
      </c>
      <c r="J6377" t="str">
        <f>"95"</f>
        <v>95</v>
      </c>
      <c r="K6377">
        <v>20190524</v>
      </c>
      <c r="L6377" t="str">
        <f>"076909"</f>
        <v>076909</v>
      </c>
      <c r="M6377" t="str">
        <f>"28634"</f>
        <v>28634</v>
      </c>
      <c r="N6377" t="s">
        <v>4605</v>
      </c>
      <c r="O6377">
        <v>36.909999999999997</v>
      </c>
      <c r="P6377">
        <v>20190522</v>
      </c>
      <c r="Q6377" t="s">
        <v>1987</v>
      </c>
      <c r="R6377" t="s">
        <v>5068</v>
      </c>
      <c r="S6377" t="s">
        <v>1615</v>
      </c>
      <c r="T6377" t="s">
        <v>1794</v>
      </c>
    </row>
    <row r="6378" spans="1:20" x14ac:dyDescent="0.25">
      <c r="A6378">
        <v>9</v>
      </c>
      <c r="B6378">
        <v>199</v>
      </c>
      <c r="C6378" t="str">
        <f>"11"</f>
        <v>11</v>
      </c>
      <c r="D6378">
        <v>6399</v>
      </c>
      <c r="E6378" t="str">
        <f>"NC"</f>
        <v>NC</v>
      </c>
      <c r="F6378" t="str">
        <f>"001"</f>
        <v>001</v>
      </c>
      <c r="G6378">
        <v>9</v>
      </c>
      <c r="H6378" t="str">
        <f>"11"</f>
        <v>11</v>
      </c>
      <c r="I6378" t="str">
        <f t="shared" si="1405"/>
        <v>0</v>
      </c>
      <c r="J6378" t="str">
        <f>"01"</f>
        <v>01</v>
      </c>
      <c r="K6378">
        <v>20190524</v>
      </c>
      <c r="L6378" t="str">
        <f>"076912"</f>
        <v>076912</v>
      </c>
      <c r="M6378" t="str">
        <f>"30132"</f>
        <v>30132</v>
      </c>
      <c r="N6378" t="s">
        <v>2756</v>
      </c>
      <c r="O6378" s="1">
        <v>1048.0999999999999</v>
      </c>
      <c r="P6378">
        <v>20190522</v>
      </c>
      <c r="Q6378" t="s">
        <v>3562</v>
      </c>
      <c r="R6378" t="s">
        <v>5069</v>
      </c>
      <c r="S6378" t="s">
        <v>1615</v>
      </c>
      <c r="T6378" t="s">
        <v>301</v>
      </c>
    </row>
    <row r="6379" spans="1:20" x14ac:dyDescent="0.25">
      <c r="A6379">
        <v>9</v>
      </c>
      <c r="B6379">
        <v>199</v>
      </c>
      <c r="C6379" t="str">
        <f>"11"</f>
        <v>11</v>
      </c>
      <c r="D6379">
        <v>6399</v>
      </c>
      <c r="E6379" t="str">
        <f>"NC"</f>
        <v>NC</v>
      </c>
      <c r="F6379" t="str">
        <f>"001"</f>
        <v>001</v>
      </c>
      <c r="G6379">
        <v>9</v>
      </c>
      <c r="H6379" t="str">
        <f>"11"</f>
        <v>11</v>
      </c>
      <c r="I6379" t="str">
        <f t="shared" si="1405"/>
        <v>0</v>
      </c>
      <c r="J6379" t="str">
        <f>"01"</f>
        <v>01</v>
      </c>
      <c r="K6379">
        <v>20190524</v>
      </c>
      <c r="L6379" t="str">
        <f>"076912"</f>
        <v>076912</v>
      </c>
      <c r="M6379" t="str">
        <f>"30132"</f>
        <v>30132</v>
      </c>
      <c r="N6379" t="s">
        <v>2756</v>
      </c>
      <c r="O6379">
        <v>928.04</v>
      </c>
      <c r="P6379">
        <v>20190522</v>
      </c>
      <c r="Q6379" t="s">
        <v>3562</v>
      </c>
      <c r="R6379" t="s">
        <v>3563</v>
      </c>
      <c r="S6379" t="s">
        <v>1615</v>
      </c>
      <c r="T6379" t="s">
        <v>301</v>
      </c>
    </row>
    <row r="6380" spans="1:20" x14ac:dyDescent="0.25">
      <c r="A6380">
        <v>9</v>
      </c>
      <c r="B6380">
        <v>199</v>
      </c>
      <c r="C6380" t="str">
        <f>"11"</f>
        <v>11</v>
      </c>
      <c r="D6380">
        <v>6399</v>
      </c>
      <c r="E6380" t="str">
        <f>"10"</f>
        <v>10</v>
      </c>
      <c r="F6380" t="str">
        <f>"001"</f>
        <v>001</v>
      </c>
      <c r="G6380">
        <v>9</v>
      </c>
      <c r="H6380" t="str">
        <f>"11"</f>
        <v>11</v>
      </c>
      <c r="I6380" t="str">
        <f t="shared" si="1405"/>
        <v>0</v>
      </c>
      <c r="J6380" t="str">
        <f>"01"</f>
        <v>01</v>
      </c>
      <c r="K6380">
        <v>20190524</v>
      </c>
      <c r="L6380" t="str">
        <f>"076915"</f>
        <v>076915</v>
      </c>
      <c r="M6380" t="str">
        <f>"34226"</f>
        <v>34226</v>
      </c>
      <c r="N6380" t="s">
        <v>3387</v>
      </c>
      <c r="O6380">
        <v>101.86</v>
      </c>
      <c r="P6380">
        <v>20190522</v>
      </c>
      <c r="Q6380" t="s">
        <v>1675</v>
      </c>
      <c r="R6380" t="s">
        <v>5070</v>
      </c>
      <c r="S6380" t="s">
        <v>1615</v>
      </c>
      <c r="T6380" t="s">
        <v>301</v>
      </c>
    </row>
    <row r="6381" spans="1:20" x14ac:dyDescent="0.25">
      <c r="A6381">
        <v>9</v>
      </c>
      <c r="B6381">
        <v>199</v>
      </c>
      <c r="C6381" t="str">
        <f>"11"</f>
        <v>11</v>
      </c>
      <c r="D6381">
        <v>6399</v>
      </c>
      <c r="E6381" t="str">
        <f>"8J"</f>
        <v>8J</v>
      </c>
      <c r="F6381" t="str">
        <f>"001"</f>
        <v>001</v>
      </c>
      <c r="G6381">
        <v>9</v>
      </c>
      <c r="H6381" t="str">
        <f>"11"</f>
        <v>11</v>
      </c>
      <c r="I6381" t="str">
        <f t="shared" si="1405"/>
        <v>0</v>
      </c>
      <c r="J6381" t="str">
        <f>"01"</f>
        <v>01</v>
      </c>
      <c r="K6381">
        <v>20190524</v>
      </c>
      <c r="L6381" t="str">
        <f>"076915"</f>
        <v>076915</v>
      </c>
      <c r="M6381" t="str">
        <f>"34226"</f>
        <v>34226</v>
      </c>
      <c r="N6381" t="s">
        <v>3387</v>
      </c>
      <c r="O6381">
        <v>29</v>
      </c>
      <c r="P6381">
        <v>20190522</v>
      </c>
      <c r="Q6381" t="s">
        <v>3357</v>
      </c>
      <c r="R6381" t="s">
        <v>5071</v>
      </c>
      <c r="S6381" t="s">
        <v>1615</v>
      </c>
      <c r="T6381" t="s">
        <v>301</v>
      </c>
    </row>
    <row r="6382" spans="1:20" x14ac:dyDescent="0.25">
      <c r="A6382">
        <v>9</v>
      </c>
      <c r="B6382">
        <v>199</v>
      </c>
      <c r="C6382" t="str">
        <f>"11"</f>
        <v>11</v>
      </c>
      <c r="D6382">
        <v>6399</v>
      </c>
      <c r="E6382" t="str">
        <f>"45"</f>
        <v>45</v>
      </c>
      <c r="F6382" t="str">
        <f>"104"</f>
        <v>104</v>
      </c>
      <c r="G6382">
        <v>9</v>
      </c>
      <c r="H6382" t="str">
        <f>"11"</f>
        <v>11</v>
      </c>
      <c r="I6382" t="str">
        <f t="shared" si="1405"/>
        <v>0</v>
      </c>
      <c r="J6382" t="str">
        <f>"05"</f>
        <v>05</v>
      </c>
      <c r="K6382">
        <v>20190524</v>
      </c>
      <c r="L6382" t="str">
        <f>"076917"</f>
        <v>076917</v>
      </c>
      <c r="M6382" t="str">
        <f>"37602"</f>
        <v>37602</v>
      </c>
      <c r="N6382" t="s">
        <v>5072</v>
      </c>
      <c r="O6382">
        <v>62.15</v>
      </c>
      <c r="P6382">
        <v>20190522</v>
      </c>
      <c r="Q6382" t="s">
        <v>2069</v>
      </c>
      <c r="R6382" t="s">
        <v>5073</v>
      </c>
      <c r="S6382" t="s">
        <v>1615</v>
      </c>
      <c r="T6382" t="s">
        <v>46</v>
      </c>
    </row>
    <row r="6383" spans="1:20" x14ac:dyDescent="0.25">
      <c r="A6383">
        <v>9</v>
      </c>
      <c r="B6383">
        <v>199</v>
      </c>
      <c r="C6383" t="str">
        <f>"36"</f>
        <v>36</v>
      </c>
      <c r="D6383">
        <v>6411</v>
      </c>
      <c r="E6383" t="str">
        <f>"8M"</f>
        <v>8M</v>
      </c>
      <c r="F6383" t="str">
        <f>"001"</f>
        <v>001</v>
      </c>
      <c r="G6383">
        <v>9</v>
      </c>
      <c r="H6383" t="str">
        <f>"99"</f>
        <v>99</v>
      </c>
      <c r="I6383" t="str">
        <f t="shared" si="1405"/>
        <v>0</v>
      </c>
      <c r="J6383" t="str">
        <f>"33"</f>
        <v>33</v>
      </c>
      <c r="K6383">
        <v>20190524</v>
      </c>
      <c r="L6383" t="str">
        <f>"076918"</f>
        <v>076918</v>
      </c>
      <c r="M6383" t="str">
        <f>"37805"</f>
        <v>37805</v>
      </c>
      <c r="N6383" t="s">
        <v>1627</v>
      </c>
      <c r="O6383">
        <v>590.66999999999996</v>
      </c>
      <c r="P6383">
        <v>20190522</v>
      </c>
      <c r="Q6383" t="s">
        <v>4942</v>
      </c>
      <c r="R6383" t="s">
        <v>5074</v>
      </c>
      <c r="S6383" t="s">
        <v>1615</v>
      </c>
      <c r="T6383" t="s">
        <v>301</v>
      </c>
    </row>
    <row r="6384" spans="1:20" x14ac:dyDescent="0.25">
      <c r="A6384">
        <v>9</v>
      </c>
      <c r="B6384">
        <v>199</v>
      </c>
      <c r="C6384" t="str">
        <f>"36"</f>
        <v>36</v>
      </c>
      <c r="D6384">
        <v>6411</v>
      </c>
      <c r="E6384" t="str">
        <f>"8M"</f>
        <v>8M</v>
      </c>
      <c r="F6384" t="str">
        <f>"001"</f>
        <v>001</v>
      </c>
      <c r="G6384">
        <v>9</v>
      </c>
      <c r="H6384" t="str">
        <f>"99"</f>
        <v>99</v>
      </c>
      <c r="I6384" t="str">
        <f>"1"</f>
        <v>1</v>
      </c>
      <c r="J6384" t="str">
        <f>"33"</f>
        <v>33</v>
      </c>
      <c r="K6384">
        <v>20190524</v>
      </c>
      <c r="L6384" t="str">
        <f>"076918"</f>
        <v>076918</v>
      </c>
      <c r="M6384" t="str">
        <f>"37805"</f>
        <v>37805</v>
      </c>
      <c r="N6384" t="s">
        <v>1627</v>
      </c>
      <c r="O6384">
        <v>700</v>
      </c>
      <c r="P6384">
        <v>20190522</v>
      </c>
      <c r="Q6384" t="s">
        <v>1628</v>
      </c>
      <c r="R6384" t="s">
        <v>5074</v>
      </c>
      <c r="S6384" t="s">
        <v>1615</v>
      </c>
      <c r="T6384" t="s">
        <v>301</v>
      </c>
    </row>
    <row r="6385" spans="1:20" x14ac:dyDescent="0.25">
      <c r="A6385">
        <v>9</v>
      </c>
      <c r="B6385">
        <v>199</v>
      </c>
      <c r="C6385" t="str">
        <f>"36"</f>
        <v>36</v>
      </c>
      <c r="D6385">
        <v>6412</v>
      </c>
      <c r="E6385" t="str">
        <f>"8M"</f>
        <v>8M</v>
      </c>
      <c r="F6385" t="str">
        <f>"001"</f>
        <v>001</v>
      </c>
      <c r="G6385">
        <v>9</v>
      </c>
      <c r="H6385" t="str">
        <f>"99"</f>
        <v>99</v>
      </c>
      <c r="I6385" t="str">
        <f>"1"</f>
        <v>1</v>
      </c>
      <c r="J6385" t="str">
        <f>"33"</f>
        <v>33</v>
      </c>
      <c r="K6385">
        <v>20190524</v>
      </c>
      <c r="L6385" t="str">
        <f>"076918"</f>
        <v>076918</v>
      </c>
      <c r="M6385" t="str">
        <f>"37805"</f>
        <v>37805</v>
      </c>
      <c r="N6385" t="s">
        <v>1627</v>
      </c>
      <c r="O6385" s="1">
        <v>2100</v>
      </c>
      <c r="P6385">
        <v>20190522</v>
      </c>
      <c r="Q6385" t="s">
        <v>1629</v>
      </c>
      <c r="R6385" t="s">
        <v>5074</v>
      </c>
      <c r="S6385" t="s">
        <v>1615</v>
      </c>
      <c r="T6385" t="s">
        <v>301</v>
      </c>
    </row>
    <row r="6386" spans="1:20" x14ac:dyDescent="0.25">
      <c r="A6386">
        <v>9</v>
      </c>
      <c r="B6386">
        <v>199</v>
      </c>
      <c r="C6386" t="str">
        <f>"36"</f>
        <v>36</v>
      </c>
      <c r="D6386">
        <v>6499</v>
      </c>
      <c r="E6386" t="str">
        <f>"45"</f>
        <v>45</v>
      </c>
      <c r="F6386" t="str">
        <f>"104"</f>
        <v>104</v>
      </c>
      <c r="G6386">
        <v>9</v>
      </c>
      <c r="H6386" t="str">
        <f>"99"</f>
        <v>99</v>
      </c>
      <c r="I6386" t="str">
        <f t="shared" ref="I6386:I6397" si="1408">"0"</f>
        <v>0</v>
      </c>
      <c r="J6386" t="str">
        <f>"05"</f>
        <v>05</v>
      </c>
      <c r="K6386">
        <v>20190524</v>
      </c>
      <c r="L6386" t="str">
        <f>"076920"</f>
        <v>076920</v>
      </c>
      <c r="M6386" t="str">
        <f>"40567"</f>
        <v>40567</v>
      </c>
      <c r="N6386" t="s">
        <v>5075</v>
      </c>
      <c r="O6386">
        <v>207.5</v>
      </c>
      <c r="P6386">
        <v>20190522</v>
      </c>
      <c r="Q6386" t="s">
        <v>5076</v>
      </c>
      <c r="R6386" t="s">
        <v>5077</v>
      </c>
      <c r="S6386" t="s">
        <v>1615</v>
      </c>
      <c r="T6386" t="s">
        <v>46</v>
      </c>
    </row>
    <row r="6387" spans="1:20" x14ac:dyDescent="0.25">
      <c r="A6387">
        <v>9</v>
      </c>
      <c r="B6387">
        <v>199</v>
      </c>
      <c r="C6387" t="str">
        <f>"00"</f>
        <v>00</v>
      </c>
      <c r="D6387">
        <v>1291</v>
      </c>
      <c r="E6387" t="str">
        <f>"05"</f>
        <v>05</v>
      </c>
      <c r="F6387" t="str">
        <f>"000"</f>
        <v>000</v>
      </c>
      <c r="G6387">
        <v>9</v>
      </c>
      <c r="H6387" t="str">
        <f>"00"</f>
        <v>00</v>
      </c>
      <c r="I6387" t="str">
        <f t="shared" si="1408"/>
        <v>0</v>
      </c>
      <c r="J6387" t="str">
        <f>"00"</f>
        <v>00</v>
      </c>
      <c r="K6387">
        <v>20190524</v>
      </c>
      <c r="L6387" t="str">
        <f>"076922"</f>
        <v>076922</v>
      </c>
      <c r="M6387" t="str">
        <f>"46398"</f>
        <v>46398</v>
      </c>
      <c r="N6387" t="s">
        <v>1636</v>
      </c>
      <c r="O6387">
        <v>194.84</v>
      </c>
      <c r="P6387">
        <v>20190522</v>
      </c>
      <c r="Q6387" t="s">
        <v>1637</v>
      </c>
      <c r="R6387" t="s">
        <v>5078</v>
      </c>
      <c r="S6387" t="s">
        <v>1615</v>
      </c>
      <c r="T6387" t="s">
        <v>296</v>
      </c>
    </row>
    <row r="6388" spans="1:20" x14ac:dyDescent="0.25">
      <c r="A6388">
        <v>9</v>
      </c>
      <c r="B6388">
        <v>199</v>
      </c>
      <c r="C6388" t="str">
        <f>"00"</f>
        <v>00</v>
      </c>
      <c r="D6388">
        <v>1291</v>
      </c>
      <c r="E6388" t="str">
        <f>"05"</f>
        <v>05</v>
      </c>
      <c r="F6388" t="str">
        <f>"000"</f>
        <v>000</v>
      </c>
      <c r="G6388">
        <v>9</v>
      </c>
      <c r="H6388" t="str">
        <f>"00"</f>
        <v>00</v>
      </c>
      <c r="I6388" t="str">
        <f t="shared" si="1408"/>
        <v>0</v>
      </c>
      <c r="J6388" t="str">
        <f>"00"</f>
        <v>00</v>
      </c>
      <c r="K6388">
        <v>20190524</v>
      </c>
      <c r="L6388" t="str">
        <f>"076922"</f>
        <v>076922</v>
      </c>
      <c r="M6388" t="str">
        <f>"46398"</f>
        <v>46398</v>
      </c>
      <c r="N6388" t="s">
        <v>1636</v>
      </c>
      <c r="O6388">
        <v>97.11</v>
      </c>
      <c r="P6388">
        <v>20190522</v>
      </c>
      <c r="Q6388" t="s">
        <v>1637</v>
      </c>
      <c r="R6388" t="s">
        <v>5079</v>
      </c>
      <c r="S6388" t="s">
        <v>1615</v>
      </c>
      <c r="T6388" t="s">
        <v>296</v>
      </c>
    </row>
    <row r="6389" spans="1:20" x14ac:dyDescent="0.25">
      <c r="A6389">
        <v>9</v>
      </c>
      <c r="B6389">
        <v>199</v>
      </c>
      <c r="C6389" t="str">
        <f>"00"</f>
        <v>00</v>
      </c>
      <c r="D6389">
        <v>1291</v>
      </c>
      <c r="E6389" t="str">
        <f>"05"</f>
        <v>05</v>
      </c>
      <c r="F6389" t="str">
        <f>"000"</f>
        <v>000</v>
      </c>
      <c r="G6389">
        <v>9</v>
      </c>
      <c r="H6389" t="str">
        <f>"00"</f>
        <v>00</v>
      </c>
      <c r="I6389" t="str">
        <f t="shared" si="1408"/>
        <v>0</v>
      </c>
      <c r="J6389" t="str">
        <f>"00"</f>
        <v>00</v>
      </c>
      <c r="K6389">
        <v>20190524</v>
      </c>
      <c r="L6389" t="str">
        <f>"076922"</f>
        <v>076922</v>
      </c>
      <c r="M6389" t="str">
        <f>"46398"</f>
        <v>46398</v>
      </c>
      <c r="N6389" t="s">
        <v>1636</v>
      </c>
      <c r="O6389" s="1">
        <v>10859.68</v>
      </c>
      <c r="P6389">
        <v>20190522</v>
      </c>
      <c r="Q6389" t="s">
        <v>1637</v>
      </c>
      <c r="R6389" t="s">
        <v>5079</v>
      </c>
      <c r="S6389" t="s">
        <v>1615</v>
      </c>
      <c r="T6389" t="s">
        <v>296</v>
      </c>
    </row>
    <row r="6390" spans="1:20" x14ac:dyDescent="0.25">
      <c r="A6390">
        <v>9</v>
      </c>
      <c r="B6390">
        <v>199</v>
      </c>
      <c r="C6390" t="str">
        <f>"41"</f>
        <v>41</v>
      </c>
      <c r="D6390">
        <v>6245</v>
      </c>
      <c r="E6390" t="str">
        <f>"10"</f>
        <v>10</v>
      </c>
      <c r="F6390" t="str">
        <f>"933"</f>
        <v>933</v>
      </c>
      <c r="G6390">
        <v>9</v>
      </c>
      <c r="H6390" t="str">
        <f>"99"</f>
        <v>99</v>
      </c>
      <c r="I6390" t="str">
        <f t="shared" si="1408"/>
        <v>0</v>
      </c>
      <c r="J6390" t="str">
        <f>"85"</f>
        <v>85</v>
      </c>
      <c r="K6390">
        <v>20190524</v>
      </c>
      <c r="L6390" t="str">
        <f>"076922"</f>
        <v>076922</v>
      </c>
      <c r="M6390" t="str">
        <f>"46398"</f>
        <v>46398</v>
      </c>
      <c r="N6390" t="s">
        <v>1636</v>
      </c>
      <c r="O6390">
        <v>739.66</v>
      </c>
      <c r="P6390">
        <v>20190522</v>
      </c>
      <c r="Q6390" t="s">
        <v>2516</v>
      </c>
      <c r="R6390" t="s">
        <v>5079</v>
      </c>
      <c r="S6390" t="s">
        <v>1615</v>
      </c>
      <c r="T6390" t="s">
        <v>1643</v>
      </c>
    </row>
    <row r="6391" spans="1:20" x14ac:dyDescent="0.25">
      <c r="A6391">
        <v>9</v>
      </c>
      <c r="B6391">
        <v>199</v>
      </c>
      <c r="C6391" t="str">
        <f>"52"</f>
        <v>52</v>
      </c>
      <c r="D6391">
        <v>6219</v>
      </c>
      <c r="E6391" t="str">
        <f>"00"</f>
        <v>00</v>
      </c>
      <c r="F6391" t="str">
        <f>"101"</f>
        <v>101</v>
      </c>
      <c r="G6391">
        <v>9</v>
      </c>
      <c r="H6391" t="str">
        <f>"99"</f>
        <v>99</v>
      </c>
      <c r="I6391" t="str">
        <f t="shared" si="1408"/>
        <v>0</v>
      </c>
      <c r="J6391" t="str">
        <f>"00"</f>
        <v>00</v>
      </c>
      <c r="K6391">
        <v>20190524</v>
      </c>
      <c r="L6391" t="str">
        <f>"076927"</f>
        <v>076927</v>
      </c>
      <c r="M6391" t="str">
        <f>"00755"</f>
        <v>00755</v>
      </c>
      <c r="N6391" t="s">
        <v>4268</v>
      </c>
      <c r="O6391">
        <v>300</v>
      </c>
      <c r="P6391">
        <v>20190523</v>
      </c>
      <c r="Q6391" t="s">
        <v>1854</v>
      </c>
      <c r="R6391" t="s">
        <v>5080</v>
      </c>
      <c r="S6391" t="s">
        <v>1615</v>
      </c>
      <c r="T6391" t="s">
        <v>1479</v>
      </c>
    </row>
    <row r="6392" spans="1:20" x14ac:dyDescent="0.25">
      <c r="A6392">
        <v>9</v>
      </c>
      <c r="B6392">
        <v>199</v>
      </c>
      <c r="C6392" t="str">
        <f>"99"</f>
        <v>99</v>
      </c>
      <c r="D6392">
        <v>6213</v>
      </c>
      <c r="E6392" t="str">
        <f>"10"</f>
        <v>10</v>
      </c>
      <c r="F6392" t="str">
        <f>"703"</f>
        <v>703</v>
      </c>
      <c r="G6392">
        <v>9</v>
      </c>
      <c r="H6392" t="str">
        <f>"99"</f>
        <v>99</v>
      </c>
      <c r="I6392" t="str">
        <f t="shared" si="1408"/>
        <v>0</v>
      </c>
      <c r="J6392" t="str">
        <f>"91"</f>
        <v>91</v>
      </c>
      <c r="K6392">
        <v>20190524</v>
      </c>
      <c r="L6392" t="str">
        <f>"076928"</f>
        <v>076928</v>
      </c>
      <c r="M6392" t="str">
        <f>"56002"</f>
        <v>56002</v>
      </c>
      <c r="N6392" t="s">
        <v>1758</v>
      </c>
      <c r="O6392" s="1">
        <v>109594</v>
      </c>
      <c r="P6392">
        <v>20190523</v>
      </c>
      <c r="Q6392" t="s">
        <v>1759</v>
      </c>
      <c r="R6392" t="s">
        <v>5081</v>
      </c>
      <c r="S6392" t="s">
        <v>1615</v>
      </c>
      <c r="T6392" t="s">
        <v>1761</v>
      </c>
    </row>
    <row r="6393" spans="1:20" x14ac:dyDescent="0.25">
      <c r="A6393">
        <v>9</v>
      </c>
      <c r="B6393">
        <v>199</v>
      </c>
      <c r="C6393" t="str">
        <f>"11"</f>
        <v>11</v>
      </c>
      <c r="D6393">
        <v>6399</v>
      </c>
      <c r="E6393" t="str">
        <f>"45"</f>
        <v>45</v>
      </c>
      <c r="F6393" t="str">
        <f>"104"</f>
        <v>104</v>
      </c>
      <c r="G6393">
        <v>9</v>
      </c>
      <c r="H6393" t="str">
        <f>"11"</f>
        <v>11</v>
      </c>
      <c r="I6393" t="str">
        <f t="shared" si="1408"/>
        <v>0</v>
      </c>
      <c r="J6393" t="str">
        <f>"05"</f>
        <v>05</v>
      </c>
      <c r="K6393">
        <v>20190524</v>
      </c>
      <c r="L6393" t="str">
        <f>"076931"</f>
        <v>076931</v>
      </c>
      <c r="M6393" t="str">
        <f>"60603"</f>
        <v>60603</v>
      </c>
      <c r="N6393" t="s">
        <v>1909</v>
      </c>
      <c r="O6393">
        <v>31.94</v>
      </c>
      <c r="P6393">
        <v>20190523</v>
      </c>
      <c r="Q6393" t="s">
        <v>2069</v>
      </c>
      <c r="R6393" t="s">
        <v>641</v>
      </c>
      <c r="S6393" t="s">
        <v>1615</v>
      </c>
      <c r="T6393" t="s">
        <v>46</v>
      </c>
    </row>
    <row r="6394" spans="1:20" x14ac:dyDescent="0.25">
      <c r="A6394">
        <v>9</v>
      </c>
      <c r="B6394">
        <v>199</v>
      </c>
      <c r="C6394" t="str">
        <f>"11"</f>
        <v>11</v>
      </c>
      <c r="D6394">
        <v>6399</v>
      </c>
      <c r="E6394" t="str">
        <f>"45"</f>
        <v>45</v>
      </c>
      <c r="F6394" t="str">
        <f>"104"</f>
        <v>104</v>
      </c>
      <c r="G6394">
        <v>9</v>
      </c>
      <c r="H6394" t="str">
        <f>"11"</f>
        <v>11</v>
      </c>
      <c r="I6394" t="str">
        <f t="shared" si="1408"/>
        <v>0</v>
      </c>
      <c r="J6394" t="str">
        <f>"05"</f>
        <v>05</v>
      </c>
      <c r="K6394">
        <v>20190524</v>
      </c>
      <c r="L6394" t="str">
        <f>"076931"</f>
        <v>076931</v>
      </c>
      <c r="M6394" t="str">
        <f>"60603"</f>
        <v>60603</v>
      </c>
      <c r="N6394" t="s">
        <v>1909</v>
      </c>
      <c r="O6394">
        <v>24.72</v>
      </c>
      <c r="P6394">
        <v>20190523</v>
      </c>
      <c r="Q6394" t="s">
        <v>2069</v>
      </c>
      <c r="R6394" t="s">
        <v>5082</v>
      </c>
      <c r="S6394" t="s">
        <v>1615</v>
      </c>
      <c r="T6394" t="s">
        <v>46</v>
      </c>
    </row>
    <row r="6395" spans="1:20" x14ac:dyDescent="0.25">
      <c r="A6395">
        <v>9</v>
      </c>
      <c r="B6395">
        <v>199</v>
      </c>
      <c r="C6395" t="str">
        <f>"11"</f>
        <v>11</v>
      </c>
      <c r="D6395">
        <v>6399</v>
      </c>
      <c r="E6395" t="str">
        <f>"45"</f>
        <v>45</v>
      </c>
      <c r="F6395" t="str">
        <f>"104"</f>
        <v>104</v>
      </c>
      <c r="G6395">
        <v>9</v>
      </c>
      <c r="H6395" t="str">
        <f>"11"</f>
        <v>11</v>
      </c>
      <c r="I6395" t="str">
        <f t="shared" si="1408"/>
        <v>0</v>
      </c>
      <c r="J6395" t="str">
        <f>"05"</f>
        <v>05</v>
      </c>
      <c r="K6395">
        <v>20190524</v>
      </c>
      <c r="L6395" t="str">
        <f>"076933"</f>
        <v>076933</v>
      </c>
      <c r="M6395" t="str">
        <f>"61912"</f>
        <v>61912</v>
      </c>
      <c r="N6395" t="s">
        <v>2301</v>
      </c>
      <c r="O6395">
        <v>218.96</v>
      </c>
      <c r="P6395">
        <v>20190523</v>
      </c>
      <c r="Q6395" t="s">
        <v>2069</v>
      </c>
      <c r="R6395" t="s">
        <v>5083</v>
      </c>
      <c r="S6395" t="s">
        <v>1615</v>
      </c>
      <c r="T6395" t="s">
        <v>46</v>
      </c>
    </row>
    <row r="6396" spans="1:20" x14ac:dyDescent="0.25">
      <c r="A6396">
        <v>9</v>
      </c>
      <c r="B6396">
        <v>199</v>
      </c>
      <c r="C6396" t="str">
        <f>"41"</f>
        <v>41</v>
      </c>
      <c r="D6396">
        <v>6298</v>
      </c>
      <c r="E6396" t="str">
        <f>"00"</f>
        <v>00</v>
      </c>
      <c r="F6396" t="str">
        <f>"932"</f>
        <v>932</v>
      </c>
      <c r="G6396">
        <v>9</v>
      </c>
      <c r="H6396" t="str">
        <f>"99"</f>
        <v>99</v>
      </c>
      <c r="I6396" t="str">
        <f t="shared" si="1408"/>
        <v>0</v>
      </c>
      <c r="J6396" t="str">
        <f>"84"</f>
        <v>84</v>
      </c>
      <c r="K6396">
        <v>20190524</v>
      </c>
      <c r="L6396" t="str">
        <f>"076934"</f>
        <v>076934</v>
      </c>
      <c r="M6396" t="str">
        <f>"60842"</f>
        <v>60842</v>
      </c>
      <c r="N6396" t="s">
        <v>2897</v>
      </c>
      <c r="O6396" s="1">
        <v>4402</v>
      </c>
      <c r="P6396">
        <v>20190523</v>
      </c>
      <c r="Q6396" t="s">
        <v>5084</v>
      </c>
      <c r="R6396" t="s">
        <v>5085</v>
      </c>
      <c r="S6396" t="s">
        <v>1615</v>
      </c>
      <c r="T6396" t="s">
        <v>2900</v>
      </c>
    </row>
    <row r="6397" spans="1:20" x14ac:dyDescent="0.25">
      <c r="A6397">
        <v>9</v>
      </c>
      <c r="B6397">
        <v>199</v>
      </c>
      <c r="C6397" t="str">
        <f>"00"</f>
        <v>00</v>
      </c>
      <c r="D6397">
        <v>5749</v>
      </c>
      <c r="E6397" t="str">
        <f>"00"</f>
        <v>00</v>
      </c>
      <c r="F6397" t="str">
        <f>"000"</f>
        <v>000</v>
      </c>
      <c r="G6397">
        <v>9</v>
      </c>
      <c r="H6397" t="str">
        <f>"00"</f>
        <v>00</v>
      </c>
      <c r="I6397" t="str">
        <f t="shared" si="1408"/>
        <v>0</v>
      </c>
      <c r="J6397" t="str">
        <f>"00"</f>
        <v>00</v>
      </c>
      <c r="K6397">
        <v>20190524</v>
      </c>
      <c r="L6397" t="str">
        <f>"076935"</f>
        <v>076935</v>
      </c>
      <c r="M6397" t="str">
        <f>"46225"</f>
        <v>46225</v>
      </c>
      <c r="N6397" t="s">
        <v>378</v>
      </c>
      <c r="O6397">
        <v>78</v>
      </c>
      <c r="P6397">
        <v>20190523</v>
      </c>
      <c r="Q6397" t="s">
        <v>4850</v>
      </c>
      <c r="R6397" t="s">
        <v>5086</v>
      </c>
      <c r="S6397" t="s">
        <v>1615</v>
      </c>
      <c r="T6397" t="s">
        <v>296</v>
      </c>
    </row>
    <row r="6398" spans="1:20" x14ac:dyDescent="0.25">
      <c r="A6398">
        <v>9</v>
      </c>
      <c r="B6398">
        <v>199</v>
      </c>
      <c r="C6398" t="str">
        <f>"36"</f>
        <v>36</v>
      </c>
      <c r="D6398">
        <v>6412</v>
      </c>
      <c r="E6398" t="str">
        <f>"7E"</f>
        <v>7E</v>
      </c>
      <c r="F6398" t="str">
        <f>"001"</f>
        <v>001</v>
      </c>
      <c r="G6398">
        <v>9</v>
      </c>
      <c r="H6398" t="str">
        <f>"99"</f>
        <v>99</v>
      </c>
      <c r="I6398" t="str">
        <f>"5"</f>
        <v>5</v>
      </c>
      <c r="J6398" t="str">
        <f>"74"</f>
        <v>74</v>
      </c>
      <c r="K6398">
        <v>20190524</v>
      </c>
      <c r="L6398" t="str">
        <f>"076937"</f>
        <v>076937</v>
      </c>
      <c r="M6398" t="str">
        <f>"63053"</f>
        <v>63053</v>
      </c>
      <c r="N6398" t="s">
        <v>2309</v>
      </c>
      <c r="O6398" s="1">
        <v>1260</v>
      </c>
      <c r="P6398">
        <v>20190523</v>
      </c>
      <c r="Q6398" t="s">
        <v>4602</v>
      </c>
      <c r="R6398" t="s">
        <v>5087</v>
      </c>
      <c r="S6398" t="s">
        <v>1615</v>
      </c>
      <c r="T6398" t="s">
        <v>301</v>
      </c>
    </row>
    <row r="6399" spans="1:20" x14ac:dyDescent="0.25">
      <c r="A6399">
        <v>9</v>
      </c>
      <c r="B6399">
        <v>199</v>
      </c>
      <c r="C6399" t="str">
        <f>"36"</f>
        <v>36</v>
      </c>
      <c r="D6399">
        <v>6412</v>
      </c>
      <c r="E6399" t="str">
        <f>"7E"</f>
        <v>7E</v>
      </c>
      <c r="F6399" t="str">
        <f>"001"</f>
        <v>001</v>
      </c>
      <c r="G6399">
        <v>9</v>
      </c>
      <c r="H6399" t="str">
        <f>"99"</f>
        <v>99</v>
      </c>
      <c r="I6399" t="str">
        <f>"5"</f>
        <v>5</v>
      </c>
      <c r="J6399" t="str">
        <f>"74"</f>
        <v>74</v>
      </c>
      <c r="K6399">
        <v>20190524</v>
      </c>
      <c r="L6399" t="str">
        <f>"076937"</f>
        <v>076937</v>
      </c>
      <c r="M6399" t="str">
        <f>"63053"</f>
        <v>63053</v>
      </c>
      <c r="N6399" t="s">
        <v>2309</v>
      </c>
      <c r="O6399">
        <v>150</v>
      </c>
      <c r="P6399">
        <v>20190523</v>
      </c>
      <c r="Q6399" t="s">
        <v>4602</v>
      </c>
      <c r="R6399" t="s">
        <v>5087</v>
      </c>
      <c r="S6399" t="s">
        <v>1615</v>
      </c>
      <c r="T6399" t="s">
        <v>301</v>
      </c>
    </row>
    <row r="6400" spans="1:20" x14ac:dyDescent="0.25">
      <c r="A6400">
        <v>9</v>
      </c>
      <c r="B6400">
        <v>199</v>
      </c>
      <c r="C6400" t="str">
        <f>"00"</f>
        <v>00</v>
      </c>
      <c r="D6400">
        <v>5749</v>
      </c>
      <c r="E6400" t="str">
        <f>"00"</f>
        <v>00</v>
      </c>
      <c r="F6400" t="str">
        <f>"000"</f>
        <v>000</v>
      </c>
      <c r="G6400">
        <v>9</v>
      </c>
      <c r="H6400" t="str">
        <f>"00"</f>
        <v>00</v>
      </c>
      <c r="I6400" t="str">
        <f t="shared" ref="I6400:I6435" si="1409">"0"</f>
        <v>0</v>
      </c>
      <c r="J6400" t="str">
        <f>"00"</f>
        <v>00</v>
      </c>
      <c r="K6400">
        <v>20190524</v>
      </c>
      <c r="L6400" t="str">
        <f>"076939"</f>
        <v>076939</v>
      </c>
      <c r="M6400" t="str">
        <f>"64004"</f>
        <v>64004</v>
      </c>
      <c r="N6400" t="s">
        <v>488</v>
      </c>
      <c r="O6400">
        <v>78</v>
      </c>
      <c r="P6400">
        <v>20190523</v>
      </c>
      <c r="Q6400" t="s">
        <v>4850</v>
      </c>
      <c r="R6400" t="s">
        <v>5088</v>
      </c>
      <c r="S6400" t="s">
        <v>1615</v>
      </c>
      <c r="T6400" t="s">
        <v>296</v>
      </c>
    </row>
    <row r="6401" spans="1:20" x14ac:dyDescent="0.25">
      <c r="A6401">
        <v>9</v>
      </c>
      <c r="B6401">
        <v>199</v>
      </c>
      <c r="C6401" t="str">
        <f t="shared" ref="C6401:C6407" si="1410">"11"</f>
        <v>11</v>
      </c>
      <c r="D6401">
        <v>6399</v>
      </c>
      <c r="E6401" t="str">
        <f>"10"</f>
        <v>10</v>
      </c>
      <c r="F6401" t="str">
        <f t="shared" ref="F6401:F6409" si="1411">"001"</f>
        <v>001</v>
      </c>
      <c r="G6401">
        <v>9</v>
      </c>
      <c r="H6401" t="str">
        <f t="shared" ref="H6401:H6407" si="1412">"11"</f>
        <v>11</v>
      </c>
      <c r="I6401" t="str">
        <f t="shared" si="1409"/>
        <v>0</v>
      </c>
      <c r="J6401" t="str">
        <f t="shared" ref="J6401:J6409" si="1413">"01"</f>
        <v>01</v>
      </c>
      <c r="K6401">
        <v>20190524</v>
      </c>
      <c r="L6401" t="str">
        <f t="shared" ref="L6401:L6413" si="1414">"076940"</f>
        <v>076940</v>
      </c>
      <c r="M6401" t="str">
        <f t="shared" ref="M6401:M6413" si="1415">"65106"</f>
        <v>65106</v>
      </c>
      <c r="N6401" t="s">
        <v>1175</v>
      </c>
      <c r="O6401" s="1">
        <v>2324.83</v>
      </c>
      <c r="P6401">
        <v>20190523</v>
      </c>
      <c r="Q6401" t="s">
        <v>1675</v>
      </c>
      <c r="R6401" t="s">
        <v>2793</v>
      </c>
      <c r="S6401" t="s">
        <v>1615</v>
      </c>
      <c r="T6401" t="s">
        <v>301</v>
      </c>
    </row>
    <row r="6402" spans="1:20" x14ac:dyDescent="0.25">
      <c r="A6402">
        <v>9</v>
      </c>
      <c r="B6402">
        <v>199</v>
      </c>
      <c r="C6402" t="str">
        <f t="shared" si="1410"/>
        <v>11</v>
      </c>
      <c r="D6402">
        <v>6399</v>
      </c>
      <c r="E6402" t="str">
        <f>"8U"</f>
        <v>8U</v>
      </c>
      <c r="F6402" t="str">
        <f t="shared" si="1411"/>
        <v>001</v>
      </c>
      <c r="G6402">
        <v>9</v>
      </c>
      <c r="H6402" t="str">
        <f t="shared" si="1412"/>
        <v>11</v>
      </c>
      <c r="I6402" t="str">
        <f t="shared" si="1409"/>
        <v>0</v>
      </c>
      <c r="J6402" t="str">
        <f t="shared" si="1413"/>
        <v>01</v>
      </c>
      <c r="K6402">
        <v>20190524</v>
      </c>
      <c r="L6402" t="str">
        <f t="shared" si="1414"/>
        <v>076940</v>
      </c>
      <c r="M6402" t="str">
        <f t="shared" si="1415"/>
        <v>65106</v>
      </c>
      <c r="N6402" t="s">
        <v>1175</v>
      </c>
      <c r="O6402" s="1">
        <v>1208</v>
      </c>
      <c r="P6402">
        <v>20190523</v>
      </c>
      <c r="Q6402" t="s">
        <v>2205</v>
      </c>
      <c r="R6402" t="s">
        <v>5089</v>
      </c>
      <c r="S6402" t="s">
        <v>1615</v>
      </c>
      <c r="T6402" t="s">
        <v>301</v>
      </c>
    </row>
    <row r="6403" spans="1:20" x14ac:dyDescent="0.25">
      <c r="A6403">
        <v>9</v>
      </c>
      <c r="B6403">
        <v>199</v>
      </c>
      <c r="C6403" t="str">
        <f t="shared" si="1410"/>
        <v>11</v>
      </c>
      <c r="D6403">
        <v>6399</v>
      </c>
      <c r="E6403" t="str">
        <f>"AY"</f>
        <v>AY</v>
      </c>
      <c r="F6403" t="str">
        <f t="shared" si="1411"/>
        <v>001</v>
      </c>
      <c r="G6403">
        <v>9</v>
      </c>
      <c r="H6403" t="str">
        <f t="shared" si="1412"/>
        <v>11</v>
      </c>
      <c r="I6403" t="str">
        <f t="shared" si="1409"/>
        <v>0</v>
      </c>
      <c r="J6403" t="str">
        <f t="shared" si="1413"/>
        <v>01</v>
      </c>
      <c r="K6403">
        <v>20190524</v>
      </c>
      <c r="L6403" t="str">
        <f t="shared" si="1414"/>
        <v>076940</v>
      </c>
      <c r="M6403" t="str">
        <f t="shared" si="1415"/>
        <v>65106</v>
      </c>
      <c r="N6403" t="s">
        <v>1175</v>
      </c>
      <c r="O6403">
        <v>689.48</v>
      </c>
      <c r="P6403">
        <v>20190523</v>
      </c>
      <c r="Q6403" t="s">
        <v>3098</v>
      </c>
      <c r="R6403" t="s">
        <v>5090</v>
      </c>
      <c r="S6403" t="s">
        <v>1615</v>
      </c>
      <c r="T6403" t="s">
        <v>301</v>
      </c>
    </row>
    <row r="6404" spans="1:20" x14ac:dyDescent="0.25">
      <c r="A6404">
        <v>9</v>
      </c>
      <c r="B6404">
        <v>199</v>
      </c>
      <c r="C6404" t="str">
        <f t="shared" si="1410"/>
        <v>11</v>
      </c>
      <c r="D6404">
        <v>6399</v>
      </c>
      <c r="E6404" t="str">
        <f>"N1"</f>
        <v>N1</v>
      </c>
      <c r="F6404" t="str">
        <f t="shared" si="1411"/>
        <v>001</v>
      </c>
      <c r="G6404">
        <v>9</v>
      </c>
      <c r="H6404" t="str">
        <f t="shared" si="1412"/>
        <v>11</v>
      </c>
      <c r="I6404" t="str">
        <f t="shared" si="1409"/>
        <v>0</v>
      </c>
      <c r="J6404" t="str">
        <f t="shared" si="1413"/>
        <v>01</v>
      </c>
      <c r="K6404">
        <v>20190524</v>
      </c>
      <c r="L6404" t="str">
        <f t="shared" si="1414"/>
        <v>076940</v>
      </c>
      <c r="M6404" t="str">
        <f t="shared" si="1415"/>
        <v>65106</v>
      </c>
      <c r="N6404" t="s">
        <v>1175</v>
      </c>
      <c r="O6404">
        <v>252.09</v>
      </c>
      <c r="P6404">
        <v>20190523</v>
      </c>
      <c r="Q6404" t="s">
        <v>2637</v>
      </c>
      <c r="R6404" t="s">
        <v>5091</v>
      </c>
      <c r="S6404" t="s">
        <v>1615</v>
      </c>
      <c r="T6404" t="s">
        <v>301</v>
      </c>
    </row>
    <row r="6405" spans="1:20" x14ac:dyDescent="0.25">
      <c r="A6405">
        <v>9</v>
      </c>
      <c r="B6405">
        <v>199</v>
      </c>
      <c r="C6405" t="str">
        <f t="shared" si="1410"/>
        <v>11</v>
      </c>
      <c r="D6405">
        <v>6399</v>
      </c>
      <c r="E6405" t="str">
        <f>"N1"</f>
        <v>N1</v>
      </c>
      <c r="F6405" t="str">
        <f t="shared" si="1411"/>
        <v>001</v>
      </c>
      <c r="G6405">
        <v>9</v>
      </c>
      <c r="H6405" t="str">
        <f t="shared" si="1412"/>
        <v>11</v>
      </c>
      <c r="I6405" t="str">
        <f t="shared" si="1409"/>
        <v>0</v>
      </c>
      <c r="J6405" t="str">
        <f t="shared" si="1413"/>
        <v>01</v>
      </c>
      <c r="K6405">
        <v>20190524</v>
      </c>
      <c r="L6405" t="str">
        <f t="shared" si="1414"/>
        <v>076940</v>
      </c>
      <c r="M6405" t="str">
        <f t="shared" si="1415"/>
        <v>65106</v>
      </c>
      <c r="N6405" t="s">
        <v>1175</v>
      </c>
      <c r="O6405">
        <v>123.96</v>
      </c>
      <c r="P6405">
        <v>20190523</v>
      </c>
      <c r="Q6405" t="s">
        <v>2637</v>
      </c>
      <c r="R6405" t="s">
        <v>5092</v>
      </c>
      <c r="S6405" t="s">
        <v>1615</v>
      </c>
      <c r="T6405" t="s">
        <v>301</v>
      </c>
    </row>
    <row r="6406" spans="1:20" x14ac:dyDescent="0.25">
      <c r="A6406">
        <v>9</v>
      </c>
      <c r="B6406">
        <v>199</v>
      </c>
      <c r="C6406" t="str">
        <f t="shared" si="1410"/>
        <v>11</v>
      </c>
      <c r="D6406">
        <v>6499</v>
      </c>
      <c r="E6406" t="str">
        <f>"01"</f>
        <v>01</v>
      </c>
      <c r="F6406" t="str">
        <f t="shared" si="1411"/>
        <v>001</v>
      </c>
      <c r="G6406">
        <v>9</v>
      </c>
      <c r="H6406" t="str">
        <f t="shared" si="1412"/>
        <v>11</v>
      </c>
      <c r="I6406" t="str">
        <f t="shared" si="1409"/>
        <v>0</v>
      </c>
      <c r="J6406" t="str">
        <f t="shared" si="1413"/>
        <v>01</v>
      </c>
      <c r="K6406">
        <v>20190524</v>
      </c>
      <c r="L6406" t="str">
        <f t="shared" si="1414"/>
        <v>076940</v>
      </c>
      <c r="M6406" t="str">
        <f t="shared" si="1415"/>
        <v>65106</v>
      </c>
      <c r="N6406" t="s">
        <v>1175</v>
      </c>
      <c r="O6406">
        <v>307.98</v>
      </c>
      <c r="P6406">
        <v>20190523</v>
      </c>
      <c r="Q6406" t="s">
        <v>5002</v>
      </c>
      <c r="R6406" t="s">
        <v>5093</v>
      </c>
      <c r="S6406" t="s">
        <v>1615</v>
      </c>
      <c r="T6406" t="s">
        <v>301</v>
      </c>
    </row>
    <row r="6407" spans="1:20" x14ac:dyDescent="0.25">
      <c r="A6407">
        <v>9</v>
      </c>
      <c r="B6407">
        <v>199</v>
      </c>
      <c r="C6407" t="str">
        <f t="shared" si="1410"/>
        <v>11</v>
      </c>
      <c r="D6407">
        <v>6499</v>
      </c>
      <c r="E6407" t="str">
        <f>"7Q"</f>
        <v>7Q</v>
      </c>
      <c r="F6407" t="str">
        <f t="shared" si="1411"/>
        <v>001</v>
      </c>
      <c r="G6407">
        <v>9</v>
      </c>
      <c r="H6407" t="str">
        <f t="shared" si="1412"/>
        <v>11</v>
      </c>
      <c r="I6407" t="str">
        <f t="shared" si="1409"/>
        <v>0</v>
      </c>
      <c r="J6407" t="str">
        <f t="shared" si="1413"/>
        <v>01</v>
      </c>
      <c r="K6407">
        <v>20190524</v>
      </c>
      <c r="L6407" t="str">
        <f t="shared" si="1414"/>
        <v>076940</v>
      </c>
      <c r="M6407" t="str">
        <f t="shared" si="1415"/>
        <v>65106</v>
      </c>
      <c r="N6407" t="s">
        <v>1175</v>
      </c>
      <c r="O6407">
        <v>189</v>
      </c>
      <c r="P6407">
        <v>20190523</v>
      </c>
      <c r="Q6407" t="s">
        <v>4215</v>
      </c>
      <c r="R6407" t="s">
        <v>5094</v>
      </c>
      <c r="S6407" t="s">
        <v>1615</v>
      </c>
      <c r="T6407" t="s">
        <v>301</v>
      </c>
    </row>
    <row r="6408" spans="1:20" x14ac:dyDescent="0.25">
      <c r="A6408">
        <v>9</v>
      </c>
      <c r="B6408">
        <v>199</v>
      </c>
      <c r="C6408" t="str">
        <f>"23"</f>
        <v>23</v>
      </c>
      <c r="D6408">
        <v>6498</v>
      </c>
      <c r="E6408" t="str">
        <f>"10"</f>
        <v>10</v>
      </c>
      <c r="F6408" t="str">
        <f t="shared" si="1411"/>
        <v>001</v>
      </c>
      <c r="G6408">
        <v>9</v>
      </c>
      <c r="H6408" t="str">
        <f t="shared" ref="H6408:H6414" si="1416">"99"</f>
        <v>99</v>
      </c>
      <c r="I6408" t="str">
        <f t="shared" si="1409"/>
        <v>0</v>
      </c>
      <c r="J6408" t="str">
        <f t="shared" si="1413"/>
        <v>01</v>
      </c>
      <c r="K6408">
        <v>20190524</v>
      </c>
      <c r="L6408" t="str">
        <f t="shared" si="1414"/>
        <v>076940</v>
      </c>
      <c r="M6408" t="str">
        <f t="shared" si="1415"/>
        <v>65106</v>
      </c>
      <c r="N6408" t="s">
        <v>1175</v>
      </c>
      <c r="O6408">
        <v>294.64</v>
      </c>
      <c r="P6408">
        <v>20190523</v>
      </c>
      <c r="Q6408" t="s">
        <v>2108</v>
      </c>
      <c r="R6408" t="s">
        <v>2081</v>
      </c>
      <c r="S6408" t="s">
        <v>1615</v>
      </c>
      <c r="T6408" t="s">
        <v>301</v>
      </c>
    </row>
    <row r="6409" spans="1:20" x14ac:dyDescent="0.25">
      <c r="A6409">
        <v>9</v>
      </c>
      <c r="B6409">
        <v>199</v>
      </c>
      <c r="C6409" t="str">
        <f>"23"</f>
        <v>23</v>
      </c>
      <c r="D6409">
        <v>6498</v>
      </c>
      <c r="E6409" t="str">
        <f>"10"</f>
        <v>10</v>
      </c>
      <c r="F6409" t="str">
        <f t="shared" si="1411"/>
        <v>001</v>
      </c>
      <c r="G6409">
        <v>9</v>
      </c>
      <c r="H6409" t="str">
        <f t="shared" si="1416"/>
        <v>99</v>
      </c>
      <c r="I6409" t="str">
        <f t="shared" si="1409"/>
        <v>0</v>
      </c>
      <c r="J6409" t="str">
        <f t="shared" si="1413"/>
        <v>01</v>
      </c>
      <c r="K6409">
        <v>20190524</v>
      </c>
      <c r="L6409" t="str">
        <f t="shared" si="1414"/>
        <v>076940</v>
      </c>
      <c r="M6409" t="str">
        <f t="shared" si="1415"/>
        <v>65106</v>
      </c>
      <c r="N6409" t="s">
        <v>1175</v>
      </c>
      <c r="O6409">
        <v>282.92</v>
      </c>
      <c r="P6409">
        <v>20190523</v>
      </c>
      <c r="Q6409" t="s">
        <v>2108</v>
      </c>
      <c r="R6409" t="s">
        <v>5095</v>
      </c>
      <c r="S6409" t="s">
        <v>1615</v>
      </c>
      <c r="T6409" t="s">
        <v>301</v>
      </c>
    </row>
    <row r="6410" spans="1:20" x14ac:dyDescent="0.25">
      <c r="A6410">
        <v>9</v>
      </c>
      <c r="B6410">
        <v>199</v>
      </c>
      <c r="C6410" t="str">
        <f>"23"</f>
        <v>23</v>
      </c>
      <c r="D6410">
        <v>6498</v>
      </c>
      <c r="E6410" t="str">
        <f>"10"</f>
        <v>10</v>
      </c>
      <c r="F6410" t="str">
        <f>"104"</f>
        <v>104</v>
      </c>
      <c r="G6410">
        <v>9</v>
      </c>
      <c r="H6410" t="str">
        <f t="shared" si="1416"/>
        <v>99</v>
      </c>
      <c r="I6410" t="str">
        <f t="shared" si="1409"/>
        <v>0</v>
      </c>
      <c r="J6410" t="str">
        <f>"05"</f>
        <v>05</v>
      </c>
      <c r="K6410">
        <v>20190524</v>
      </c>
      <c r="L6410" t="str">
        <f t="shared" si="1414"/>
        <v>076940</v>
      </c>
      <c r="M6410" t="str">
        <f t="shared" si="1415"/>
        <v>65106</v>
      </c>
      <c r="N6410" t="s">
        <v>1175</v>
      </c>
      <c r="O6410">
        <v>116.17</v>
      </c>
      <c r="P6410">
        <v>20190523</v>
      </c>
      <c r="Q6410" t="s">
        <v>2402</v>
      </c>
      <c r="R6410" t="s">
        <v>2081</v>
      </c>
      <c r="S6410" t="s">
        <v>1615</v>
      </c>
      <c r="T6410" t="s">
        <v>46</v>
      </c>
    </row>
    <row r="6411" spans="1:20" x14ac:dyDescent="0.25">
      <c r="A6411">
        <v>9</v>
      </c>
      <c r="B6411">
        <v>199</v>
      </c>
      <c r="C6411" t="str">
        <f>"23"</f>
        <v>23</v>
      </c>
      <c r="D6411">
        <v>6498</v>
      </c>
      <c r="E6411" t="str">
        <f>"10"</f>
        <v>10</v>
      </c>
      <c r="F6411" t="str">
        <f>"104"</f>
        <v>104</v>
      </c>
      <c r="G6411">
        <v>9</v>
      </c>
      <c r="H6411" t="str">
        <f t="shared" si="1416"/>
        <v>99</v>
      </c>
      <c r="I6411" t="str">
        <f t="shared" si="1409"/>
        <v>0</v>
      </c>
      <c r="J6411" t="str">
        <f>"05"</f>
        <v>05</v>
      </c>
      <c r="K6411">
        <v>20190524</v>
      </c>
      <c r="L6411" t="str">
        <f t="shared" si="1414"/>
        <v>076940</v>
      </c>
      <c r="M6411" t="str">
        <f t="shared" si="1415"/>
        <v>65106</v>
      </c>
      <c r="N6411" t="s">
        <v>1175</v>
      </c>
      <c r="O6411">
        <v>192.27</v>
      </c>
      <c r="P6411">
        <v>20190523</v>
      </c>
      <c r="Q6411" t="s">
        <v>2402</v>
      </c>
      <c r="R6411" t="s">
        <v>2081</v>
      </c>
      <c r="S6411" t="s">
        <v>1615</v>
      </c>
      <c r="T6411" t="s">
        <v>46</v>
      </c>
    </row>
    <row r="6412" spans="1:20" x14ac:dyDescent="0.25">
      <c r="A6412">
        <v>9</v>
      </c>
      <c r="B6412">
        <v>199</v>
      </c>
      <c r="C6412" t="str">
        <f>"31"</f>
        <v>31</v>
      </c>
      <c r="D6412">
        <v>6399</v>
      </c>
      <c r="E6412" t="str">
        <f>"7F"</f>
        <v>7F</v>
      </c>
      <c r="F6412" t="str">
        <f>"001"</f>
        <v>001</v>
      </c>
      <c r="G6412">
        <v>9</v>
      </c>
      <c r="H6412" t="str">
        <f t="shared" si="1416"/>
        <v>99</v>
      </c>
      <c r="I6412" t="str">
        <f t="shared" si="1409"/>
        <v>0</v>
      </c>
      <c r="J6412" t="str">
        <f>"01"</f>
        <v>01</v>
      </c>
      <c r="K6412">
        <v>20190524</v>
      </c>
      <c r="L6412" t="str">
        <f t="shared" si="1414"/>
        <v>076940</v>
      </c>
      <c r="M6412" t="str">
        <f t="shared" si="1415"/>
        <v>65106</v>
      </c>
      <c r="N6412" t="s">
        <v>1175</v>
      </c>
      <c r="O6412">
        <v>876.44</v>
      </c>
      <c r="P6412">
        <v>20190523</v>
      </c>
      <c r="Q6412" t="s">
        <v>2965</v>
      </c>
      <c r="R6412" t="s">
        <v>5096</v>
      </c>
      <c r="S6412" t="s">
        <v>1615</v>
      </c>
      <c r="T6412" t="s">
        <v>301</v>
      </c>
    </row>
    <row r="6413" spans="1:20" x14ac:dyDescent="0.25">
      <c r="A6413">
        <v>9</v>
      </c>
      <c r="B6413">
        <v>199</v>
      </c>
      <c r="C6413" t="str">
        <f>"36"</f>
        <v>36</v>
      </c>
      <c r="D6413">
        <v>6399</v>
      </c>
      <c r="E6413" t="str">
        <f>"7C"</f>
        <v>7C</v>
      </c>
      <c r="F6413" t="str">
        <f>"001"</f>
        <v>001</v>
      </c>
      <c r="G6413">
        <v>9</v>
      </c>
      <c r="H6413" t="str">
        <f t="shared" si="1416"/>
        <v>99</v>
      </c>
      <c r="I6413" t="str">
        <f t="shared" si="1409"/>
        <v>0</v>
      </c>
      <c r="J6413" t="str">
        <f>"01"</f>
        <v>01</v>
      </c>
      <c r="K6413">
        <v>20190524</v>
      </c>
      <c r="L6413" t="str">
        <f t="shared" si="1414"/>
        <v>076940</v>
      </c>
      <c r="M6413" t="str">
        <f t="shared" si="1415"/>
        <v>65106</v>
      </c>
      <c r="N6413" t="s">
        <v>1175</v>
      </c>
      <c r="O6413">
        <v>199.88</v>
      </c>
      <c r="P6413">
        <v>20190523</v>
      </c>
      <c r="Q6413" t="s">
        <v>4579</v>
      </c>
      <c r="R6413" t="s">
        <v>5097</v>
      </c>
      <c r="S6413" t="s">
        <v>1615</v>
      </c>
      <c r="T6413" t="s">
        <v>301</v>
      </c>
    </row>
    <row r="6414" spans="1:20" x14ac:dyDescent="0.25">
      <c r="A6414">
        <v>9</v>
      </c>
      <c r="B6414">
        <v>199</v>
      </c>
      <c r="C6414" t="str">
        <f>"34"</f>
        <v>34</v>
      </c>
      <c r="D6414">
        <v>6311</v>
      </c>
      <c r="E6414" t="str">
        <f>"10"</f>
        <v>10</v>
      </c>
      <c r="F6414" t="str">
        <f>"937"</f>
        <v>937</v>
      </c>
      <c r="G6414">
        <v>9</v>
      </c>
      <c r="H6414" t="str">
        <f t="shared" si="1416"/>
        <v>99</v>
      </c>
      <c r="I6414" t="str">
        <f t="shared" si="1409"/>
        <v>0</v>
      </c>
      <c r="J6414" t="str">
        <f>"82"</f>
        <v>82</v>
      </c>
      <c r="K6414">
        <v>20190524</v>
      </c>
      <c r="L6414" t="str">
        <f>"076941"</f>
        <v>076941</v>
      </c>
      <c r="M6414" t="str">
        <f>"65212"</f>
        <v>65212</v>
      </c>
      <c r="N6414" t="s">
        <v>1913</v>
      </c>
      <c r="O6414" s="1">
        <v>13155.73</v>
      </c>
      <c r="P6414">
        <v>20190523</v>
      </c>
      <c r="Q6414" t="s">
        <v>1914</v>
      </c>
      <c r="R6414" t="s">
        <v>5098</v>
      </c>
      <c r="S6414" t="s">
        <v>1615</v>
      </c>
      <c r="T6414" t="s">
        <v>1810</v>
      </c>
    </row>
    <row r="6415" spans="1:20" x14ac:dyDescent="0.25">
      <c r="A6415">
        <v>9</v>
      </c>
      <c r="B6415">
        <v>199</v>
      </c>
      <c r="C6415" t="str">
        <f>"11"</f>
        <v>11</v>
      </c>
      <c r="D6415">
        <v>6399</v>
      </c>
      <c r="E6415" t="str">
        <f>"10"</f>
        <v>10</v>
      </c>
      <c r="F6415" t="str">
        <f>"001"</f>
        <v>001</v>
      </c>
      <c r="G6415">
        <v>9</v>
      </c>
      <c r="H6415" t="str">
        <f>"11"</f>
        <v>11</v>
      </c>
      <c r="I6415" t="str">
        <f t="shared" si="1409"/>
        <v>0</v>
      </c>
      <c r="J6415" t="str">
        <f>"01"</f>
        <v>01</v>
      </c>
      <c r="K6415">
        <v>20190524</v>
      </c>
      <c r="L6415" t="str">
        <f>"076942"</f>
        <v>076942</v>
      </c>
      <c r="M6415" t="str">
        <f>"64650"</f>
        <v>64650</v>
      </c>
      <c r="N6415" t="s">
        <v>1915</v>
      </c>
      <c r="O6415">
        <v>399.7</v>
      </c>
      <c r="P6415">
        <v>20190523</v>
      </c>
      <c r="Q6415" t="s">
        <v>1675</v>
      </c>
      <c r="R6415" t="s">
        <v>5099</v>
      </c>
      <c r="S6415" t="s">
        <v>1615</v>
      </c>
      <c r="T6415" t="s">
        <v>301</v>
      </c>
    </row>
    <row r="6416" spans="1:20" x14ac:dyDescent="0.25">
      <c r="A6416">
        <v>9</v>
      </c>
      <c r="B6416">
        <v>199</v>
      </c>
      <c r="C6416" t="str">
        <f>"00"</f>
        <v>00</v>
      </c>
      <c r="D6416">
        <v>5749</v>
      </c>
      <c r="E6416" t="str">
        <f>"00"</f>
        <v>00</v>
      </c>
      <c r="F6416" t="str">
        <f>"000"</f>
        <v>000</v>
      </c>
      <c r="G6416">
        <v>9</v>
      </c>
      <c r="H6416" t="str">
        <f>"00"</f>
        <v>00</v>
      </c>
      <c r="I6416" t="str">
        <f t="shared" si="1409"/>
        <v>0</v>
      </c>
      <c r="J6416" t="str">
        <f>"00"</f>
        <v>00</v>
      </c>
      <c r="K6416">
        <v>20190524</v>
      </c>
      <c r="L6416" t="str">
        <f>"076944"</f>
        <v>076944</v>
      </c>
      <c r="M6416" t="str">
        <f>"21387"</f>
        <v>21387</v>
      </c>
      <c r="N6416" t="s">
        <v>5100</v>
      </c>
      <c r="O6416">
        <v>125</v>
      </c>
      <c r="P6416">
        <v>20190523</v>
      </c>
      <c r="Q6416" t="s">
        <v>4850</v>
      </c>
      <c r="R6416" t="s">
        <v>5101</v>
      </c>
      <c r="S6416" t="s">
        <v>1615</v>
      </c>
      <c r="T6416" t="s">
        <v>296</v>
      </c>
    </row>
    <row r="6417" spans="1:20" x14ac:dyDescent="0.25">
      <c r="A6417">
        <v>9</v>
      </c>
      <c r="B6417">
        <v>199</v>
      </c>
      <c r="C6417" t="str">
        <f>"11"</f>
        <v>11</v>
      </c>
      <c r="D6417">
        <v>6219</v>
      </c>
      <c r="E6417" t="str">
        <f>"V8"</f>
        <v>V8</v>
      </c>
      <c r="F6417" t="str">
        <f>"001"</f>
        <v>001</v>
      </c>
      <c r="G6417">
        <v>9</v>
      </c>
      <c r="H6417" t="str">
        <f>"22"</f>
        <v>22</v>
      </c>
      <c r="I6417" t="str">
        <f t="shared" si="1409"/>
        <v>0</v>
      </c>
      <c r="J6417" t="str">
        <f>"22"</f>
        <v>22</v>
      </c>
      <c r="K6417">
        <v>20190524</v>
      </c>
      <c r="L6417" t="str">
        <f>"076946"</f>
        <v>076946</v>
      </c>
      <c r="M6417" t="str">
        <f>"73611"</f>
        <v>73611</v>
      </c>
      <c r="N6417" t="s">
        <v>5102</v>
      </c>
      <c r="O6417">
        <v>567</v>
      </c>
      <c r="P6417">
        <v>20190523</v>
      </c>
      <c r="Q6417" t="s">
        <v>5103</v>
      </c>
      <c r="R6417" t="s">
        <v>5104</v>
      </c>
      <c r="S6417" t="s">
        <v>1615</v>
      </c>
      <c r="T6417" t="s">
        <v>301</v>
      </c>
    </row>
    <row r="6418" spans="1:20" x14ac:dyDescent="0.25">
      <c r="A6418">
        <v>9</v>
      </c>
      <c r="B6418">
        <v>199</v>
      </c>
      <c r="C6418" t="str">
        <f>"53"</f>
        <v>53</v>
      </c>
      <c r="D6418">
        <v>6499</v>
      </c>
      <c r="E6418" t="str">
        <f>"10"</f>
        <v>10</v>
      </c>
      <c r="F6418" t="str">
        <f>"880"</f>
        <v>880</v>
      </c>
      <c r="G6418">
        <v>9</v>
      </c>
      <c r="H6418" t="str">
        <f>"99"</f>
        <v>99</v>
      </c>
      <c r="I6418" t="str">
        <f t="shared" si="1409"/>
        <v>0</v>
      </c>
      <c r="J6418" t="str">
        <f>"80"</f>
        <v>80</v>
      </c>
      <c r="K6418">
        <v>20190524</v>
      </c>
      <c r="L6418" t="str">
        <f>"076947"</f>
        <v>076947</v>
      </c>
      <c r="M6418" t="str">
        <f>"00474"</f>
        <v>00474</v>
      </c>
      <c r="N6418" t="s">
        <v>5105</v>
      </c>
      <c r="O6418" s="1">
        <v>3180</v>
      </c>
      <c r="P6418">
        <v>20190523</v>
      </c>
      <c r="Q6418" t="s">
        <v>5106</v>
      </c>
      <c r="R6418" t="s">
        <v>5107</v>
      </c>
      <c r="S6418" t="s">
        <v>1615</v>
      </c>
      <c r="T6418" t="s">
        <v>1866</v>
      </c>
    </row>
    <row r="6419" spans="1:20" x14ac:dyDescent="0.25">
      <c r="A6419">
        <v>9</v>
      </c>
      <c r="B6419">
        <v>199</v>
      </c>
      <c r="C6419" t="str">
        <f>"23"</f>
        <v>23</v>
      </c>
      <c r="D6419">
        <v>6498</v>
      </c>
      <c r="E6419" t="str">
        <f>"10"</f>
        <v>10</v>
      </c>
      <c r="F6419" t="str">
        <f>"104"</f>
        <v>104</v>
      </c>
      <c r="G6419">
        <v>9</v>
      </c>
      <c r="H6419" t="str">
        <f>"99"</f>
        <v>99</v>
      </c>
      <c r="I6419" t="str">
        <f t="shared" si="1409"/>
        <v>0</v>
      </c>
      <c r="J6419" t="str">
        <f>"05"</f>
        <v>05</v>
      </c>
      <c r="K6419">
        <v>20190524</v>
      </c>
      <c r="L6419" t="str">
        <f>"076949"</f>
        <v>076949</v>
      </c>
      <c r="M6419" t="str">
        <f>"00539"</f>
        <v>00539</v>
      </c>
      <c r="N6419" t="s">
        <v>2332</v>
      </c>
      <c r="O6419">
        <v>138.75</v>
      </c>
      <c r="P6419">
        <v>20190523</v>
      </c>
      <c r="Q6419" t="s">
        <v>2402</v>
      </c>
      <c r="R6419" t="s">
        <v>5108</v>
      </c>
      <c r="S6419" t="s">
        <v>1615</v>
      </c>
      <c r="T6419" t="s">
        <v>46</v>
      </c>
    </row>
    <row r="6420" spans="1:20" x14ac:dyDescent="0.25">
      <c r="A6420">
        <v>9</v>
      </c>
      <c r="B6420">
        <v>199</v>
      </c>
      <c r="C6420" t="str">
        <f>"23"</f>
        <v>23</v>
      </c>
      <c r="D6420">
        <v>6498</v>
      </c>
      <c r="E6420" t="str">
        <f>"10"</f>
        <v>10</v>
      </c>
      <c r="F6420" t="str">
        <f>"104"</f>
        <v>104</v>
      </c>
      <c r="G6420">
        <v>9</v>
      </c>
      <c r="H6420" t="str">
        <f>"99"</f>
        <v>99</v>
      </c>
      <c r="I6420" t="str">
        <f t="shared" si="1409"/>
        <v>0</v>
      </c>
      <c r="J6420" t="str">
        <f>"05"</f>
        <v>05</v>
      </c>
      <c r="K6420">
        <v>20190524</v>
      </c>
      <c r="L6420" t="str">
        <f>"076949"</f>
        <v>076949</v>
      </c>
      <c r="M6420" t="str">
        <f>"00539"</f>
        <v>00539</v>
      </c>
      <c r="N6420" t="s">
        <v>2332</v>
      </c>
      <c r="O6420">
        <v>138.75</v>
      </c>
      <c r="P6420">
        <v>20190523</v>
      </c>
      <c r="Q6420" t="s">
        <v>2402</v>
      </c>
      <c r="R6420" t="s">
        <v>5108</v>
      </c>
      <c r="S6420" t="s">
        <v>1615</v>
      </c>
      <c r="T6420" t="s">
        <v>46</v>
      </c>
    </row>
    <row r="6421" spans="1:20" x14ac:dyDescent="0.25">
      <c r="A6421">
        <v>9</v>
      </c>
      <c r="B6421">
        <v>199</v>
      </c>
      <c r="C6421" t="str">
        <f>"23"</f>
        <v>23</v>
      </c>
      <c r="D6421">
        <v>6498</v>
      </c>
      <c r="E6421" t="str">
        <f>"10"</f>
        <v>10</v>
      </c>
      <c r="F6421" t="str">
        <f>"104"</f>
        <v>104</v>
      </c>
      <c r="G6421">
        <v>9</v>
      </c>
      <c r="H6421" t="str">
        <f>"99"</f>
        <v>99</v>
      </c>
      <c r="I6421" t="str">
        <f t="shared" si="1409"/>
        <v>0</v>
      </c>
      <c r="J6421" t="str">
        <f>"05"</f>
        <v>05</v>
      </c>
      <c r="K6421">
        <v>20190524</v>
      </c>
      <c r="L6421" t="str">
        <f>"076949"</f>
        <v>076949</v>
      </c>
      <c r="M6421" t="str">
        <f>"00539"</f>
        <v>00539</v>
      </c>
      <c r="N6421" t="s">
        <v>2332</v>
      </c>
      <c r="O6421">
        <v>92.5</v>
      </c>
      <c r="P6421">
        <v>20190523</v>
      </c>
      <c r="Q6421" t="s">
        <v>2402</v>
      </c>
      <c r="R6421" t="s">
        <v>5108</v>
      </c>
      <c r="S6421" t="s">
        <v>1615</v>
      </c>
      <c r="T6421" t="s">
        <v>46</v>
      </c>
    </row>
    <row r="6422" spans="1:20" x14ac:dyDescent="0.25">
      <c r="A6422">
        <v>9</v>
      </c>
      <c r="B6422">
        <v>199</v>
      </c>
      <c r="C6422" t="str">
        <f>"11"</f>
        <v>11</v>
      </c>
      <c r="D6422">
        <v>6399</v>
      </c>
      <c r="E6422" t="str">
        <f>"72"</f>
        <v>72</v>
      </c>
      <c r="F6422" t="str">
        <f>"041"</f>
        <v>041</v>
      </c>
      <c r="G6422">
        <v>9</v>
      </c>
      <c r="H6422" t="str">
        <f>"11"</f>
        <v>11</v>
      </c>
      <c r="I6422" t="str">
        <f t="shared" si="1409"/>
        <v>0</v>
      </c>
      <c r="J6422" t="str">
        <f>"03"</f>
        <v>03</v>
      </c>
      <c r="K6422">
        <v>20190524</v>
      </c>
      <c r="L6422" t="str">
        <f>"076950"</f>
        <v>076950</v>
      </c>
      <c r="M6422" t="str">
        <f>"75794"</f>
        <v>75794</v>
      </c>
      <c r="N6422" t="s">
        <v>2335</v>
      </c>
      <c r="O6422">
        <v>128.12</v>
      </c>
      <c r="P6422">
        <v>20190523</v>
      </c>
      <c r="Q6422" t="s">
        <v>2054</v>
      </c>
      <c r="R6422" t="s">
        <v>5109</v>
      </c>
      <c r="S6422" t="s">
        <v>1615</v>
      </c>
      <c r="T6422" t="s">
        <v>106</v>
      </c>
    </row>
    <row r="6423" spans="1:20" x14ac:dyDescent="0.25">
      <c r="A6423">
        <v>9</v>
      </c>
      <c r="B6423">
        <v>199</v>
      </c>
      <c r="C6423" t="str">
        <f>"51"</f>
        <v>51</v>
      </c>
      <c r="D6423">
        <v>6249</v>
      </c>
      <c r="E6423" t="str">
        <f>"M1"</f>
        <v>M1</v>
      </c>
      <c r="F6423" t="str">
        <f>"936"</f>
        <v>936</v>
      </c>
      <c r="G6423">
        <v>9</v>
      </c>
      <c r="H6423" t="str">
        <f>"99"</f>
        <v>99</v>
      </c>
      <c r="I6423" t="str">
        <f t="shared" si="1409"/>
        <v>0</v>
      </c>
      <c r="J6423" t="str">
        <f>"81"</f>
        <v>81</v>
      </c>
      <c r="K6423">
        <v>20190524</v>
      </c>
      <c r="L6423" t="str">
        <f>"076951"</f>
        <v>076951</v>
      </c>
      <c r="M6423" t="str">
        <f>"77120"</f>
        <v>77120</v>
      </c>
      <c r="N6423" t="s">
        <v>1003</v>
      </c>
      <c r="O6423">
        <v>20</v>
      </c>
      <c r="P6423">
        <v>20190523</v>
      </c>
      <c r="Q6423" t="s">
        <v>1763</v>
      </c>
      <c r="R6423" t="s">
        <v>4764</v>
      </c>
      <c r="S6423" t="s">
        <v>1615</v>
      </c>
      <c r="T6423" t="s">
        <v>1713</v>
      </c>
    </row>
    <row r="6424" spans="1:20" x14ac:dyDescent="0.25">
      <c r="A6424">
        <v>9</v>
      </c>
      <c r="B6424">
        <v>199</v>
      </c>
      <c r="C6424" t="str">
        <f>"51"</f>
        <v>51</v>
      </c>
      <c r="D6424">
        <v>6249</v>
      </c>
      <c r="E6424" t="str">
        <f>"M1"</f>
        <v>M1</v>
      </c>
      <c r="F6424" t="str">
        <f>"936"</f>
        <v>936</v>
      </c>
      <c r="G6424">
        <v>9</v>
      </c>
      <c r="H6424" t="str">
        <f>"99"</f>
        <v>99</v>
      </c>
      <c r="I6424" t="str">
        <f t="shared" si="1409"/>
        <v>0</v>
      </c>
      <c r="J6424" t="str">
        <f>"81"</f>
        <v>81</v>
      </c>
      <c r="K6424">
        <v>20190524</v>
      </c>
      <c r="L6424" t="str">
        <f>"076951"</f>
        <v>076951</v>
      </c>
      <c r="M6424" t="str">
        <f>"77120"</f>
        <v>77120</v>
      </c>
      <c r="N6424" t="s">
        <v>1003</v>
      </c>
      <c r="O6424">
        <v>20</v>
      </c>
      <c r="P6424">
        <v>20190523</v>
      </c>
      <c r="Q6424" t="s">
        <v>1763</v>
      </c>
      <c r="R6424" t="s">
        <v>4764</v>
      </c>
      <c r="S6424" t="s">
        <v>1615</v>
      </c>
      <c r="T6424" t="s">
        <v>1713</v>
      </c>
    </row>
    <row r="6425" spans="1:20" x14ac:dyDescent="0.25">
      <c r="A6425">
        <v>9</v>
      </c>
      <c r="B6425">
        <v>199</v>
      </c>
      <c r="C6425" t="str">
        <f>"13"</f>
        <v>13</v>
      </c>
      <c r="D6425">
        <v>6411</v>
      </c>
      <c r="E6425" t="str">
        <f>"PD"</f>
        <v>PD</v>
      </c>
      <c r="F6425" t="str">
        <f>"001"</f>
        <v>001</v>
      </c>
      <c r="G6425">
        <v>9</v>
      </c>
      <c r="H6425" t="str">
        <f>"31"</f>
        <v>31</v>
      </c>
      <c r="I6425" t="str">
        <f t="shared" si="1409"/>
        <v>0</v>
      </c>
      <c r="J6425" t="str">
        <f>"34"</f>
        <v>34</v>
      </c>
      <c r="K6425">
        <v>20190524</v>
      </c>
      <c r="L6425" t="str">
        <f>"076952"</f>
        <v>076952</v>
      </c>
      <c r="M6425" t="str">
        <f>"80757"</f>
        <v>80757</v>
      </c>
      <c r="N6425" t="s">
        <v>5110</v>
      </c>
      <c r="O6425">
        <v>100</v>
      </c>
      <c r="P6425">
        <v>20190523</v>
      </c>
      <c r="Q6425" t="s">
        <v>2220</v>
      </c>
      <c r="R6425" t="s">
        <v>5111</v>
      </c>
      <c r="S6425" t="s">
        <v>1615</v>
      </c>
      <c r="T6425" t="s">
        <v>301</v>
      </c>
    </row>
    <row r="6426" spans="1:20" x14ac:dyDescent="0.25">
      <c r="A6426">
        <v>9</v>
      </c>
      <c r="B6426">
        <v>199</v>
      </c>
      <c r="C6426" t="str">
        <f>"11"</f>
        <v>11</v>
      </c>
      <c r="D6426">
        <v>6339</v>
      </c>
      <c r="E6426" t="str">
        <f>"10"</f>
        <v>10</v>
      </c>
      <c r="F6426" t="str">
        <f>"001"</f>
        <v>001</v>
      </c>
      <c r="G6426">
        <v>9</v>
      </c>
      <c r="H6426" t="str">
        <f>"11"</f>
        <v>11</v>
      </c>
      <c r="I6426" t="str">
        <f t="shared" si="1409"/>
        <v>0</v>
      </c>
      <c r="J6426" t="str">
        <f>"01"</f>
        <v>01</v>
      </c>
      <c r="K6426">
        <v>20190524</v>
      </c>
      <c r="L6426" t="str">
        <f>"076953"</f>
        <v>076953</v>
      </c>
      <c r="M6426" t="str">
        <f>"79661"</f>
        <v>79661</v>
      </c>
      <c r="N6426" t="s">
        <v>2913</v>
      </c>
      <c r="O6426">
        <v>100</v>
      </c>
      <c r="P6426">
        <v>20190523</v>
      </c>
      <c r="Q6426" t="s">
        <v>2914</v>
      </c>
      <c r="R6426" t="s">
        <v>5112</v>
      </c>
      <c r="S6426" t="s">
        <v>1615</v>
      </c>
      <c r="T6426" t="s">
        <v>301</v>
      </c>
    </row>
    <row r="6427" spans="1:20" x14ac:dyDescent="0.25">
      <c r="A6427">
        <v>9</v>
      </c>
      <c r="B6427">
        <v>199</v>
      </c>
      <c r="C6427" t="str">
        <f>"00"</f>
        <v>00</v>
      </c>
      <c r="D6427">
        <v>5749</v>
      </c>
      <c r="E6427" t="str">
        <f>"00"</f>
        <v>00</v>
      </c>
      <c r="F6427" t="str">
        <f>"000"</f>
        <v>000</v>
      </c>
      <c r="G6427">
        <v>9</v>
      </c>
      <c r="H6427" t="str">
        <f>"00"</f>
        <v>00</v>
      </c>
      <c r="I6427" t="str">
        <f t="shared" si="1409"/>
        <v>0</v>
      </c>
      <c r="J6427" t="str">
        <f>"00"</f>
        <v>00</v>
      </c>
      <c r="K6427">
        <v>20190524</v>
      </c>
      <c r="L6427" t="str">
        <f>"076956"</f>
        <v>076956</v>
      </c>
      <c r="M6427" t="str">
        <f>"80524"</f>
        <v>80524</v>
      </c>
      <c r="N6427" t="s">
        <v>759</v>
      </c>
      <c r="O6427">
        <v>100</v>
      </c>
      <c r="P6427">
        <v>20190523</v>
      </c>
      <c r="Q6427" t="s">
        <v>4850</v>
      </c>
      <c r="R6427" t="s">
        <v>5113</v>
      </c>
      <c r="S6427" t="s">
        <v>1615</v>
      </c>
      <c r="T6427" t="s">
        <v>296</v>
      </c>
    </row>
    <row r="6428" spans="1:20" x14ac:dyDescent="0.25">
      <c r="A6428">
        <v>9</v>
      </c>
      <c r="B6428">
        <v>199</v>
      </c>
      <c r="C6428" t="str">
        <f>"11"</f>
        <v>11</v>
      </c>
      <c r="D6428">
        <v>6499</v>
      </c>
      <c r="E6428" t="str">
        <f>"00"</f>
        <v>00</v>
      </c>
      <c r="F6428" t="str">
        <f>"101"</f>
        <v>101</v>
      </c>
      <c r="G6428">
        <v>9</v>
      </c>
      <c r="H6428" t="str">
        <f>"11"</f>
        <v>11</v>
      </c>
      <c r="I6428" t="str">
        <f t="shared" si="1409"/>
        <v>0</v>
      </c>
      <c r="J6428" t="str">
        <f>"04"</f>
        <v>04</v>
      </c>
      <c r="K6428">
        <v>20190524</v>
      </c>
      <c r="L6428" t="str">
        <f>"076958"</f>
        <v>076958</v>
      </c>
      <c r="M6428" t="str">
        <f>"80600"</f>
        <v>80600</v>
      </c>
      <c r="N6428" t="s">
        <v>1927</v>
      </c>
      <c r="O6428">
        <v>299</v>
      </c>
      <c r="P6428">
        <v>20190523</v>
      </c>
      <c r="Q6428" t="s">
        <v>5114</v>
      </c>
      <c r="R6428" t="s">
        <v>5115</v>
      </c>
      <c r="S6428" t="s">
        <v>1615</v>
      </c>
      <c r="T6428" t="s">
        <v>1479</v>
      </c>
    </row>
    <row r="6429" spans="1:20" x14ac:dyDescent="0.25">
      <c r="A6429">
        <v>9</v>
      </c>
      <c r="B6429">
        <v>199</v>
      </c>
      <c r="C6429" t="str">
        <f>"36"</f>
        <v>36</v>
      </c>
      <c r="D6429">
        <v>6499</v>
      </c>
      <c r="E6429" t="str">
        <f>"45"</f>
        <v>45</v>
      </c>
      <c r="F6429" t="str">
        <f>"104"</f>
        <v>104</v>
      </c>
      <c r="G6429">
        <v>9</v>
      </c>
      <c r="H6429" t="str">
        <f>"99"</f>
        <v>99</v>
      </c>
      <c r="I6429" t="str">
        <f t="shared" si="1409"/>
        <v>0</v>
      </c>
      <c r="J6429" t="str">
        <f>"05"</f>
        <v>05</v>
      </c>
      <c r="K6429">
        <v>20190524</v>
      </c>
      <c r="L6429" t="str">
        <f>"076958"</f>
        <v>076958</v>
      </c>
      <c r="M6429" t="str">
        <f>"80600"</f>
        <v>80600</v>
      </c>
      <c r="N6429" t="s">
        <v>1927</v>
      </c>
      <c r="O6429" s="1">
        <v>1495</v>
      </c>
      <c r="P6429">
        <v>20190523</v>
      </c>
      <c r="Q6429" t="s">
        <v>5076</v>
      </c>
      <c r="R6429" t="s">
        <v>5116</v>
      </c>
      <c r="S6429" t="s">
        <v>1615</v>
      </c>
      <c r="T6429" t="s">
        <v>46</v>
      </c>
    </row>
    <row r="6430" spans="1:20" x14ac:dyDescent="0.25">
      <c r="A6430">
        <v>9</v>
      </c>
      <c r="B6430">
        <v>199</v>
      </c>
      <c r="C6430" t="str">
        <f>"41"</f>
        <v>41</v>
      </c>
      <c r="D6430">
        <v>6499</v>
      </c>
      <c r="E6430" t="str">
        <f>"10"</f>
        <v>10</v>
      </c>
      <c r="F6430" t="str">
        <f>"730"</f>
        <v>730</v>
      </c>
      <c r="G6430">
        <v>9</v>
      </c>
      <c r="H6430" t="str">
        <f>"99"</f>
        <v>99</v>
      </c>
      <c r="I6430" t="str">
        <f t="shared" si="1409"/>
        <v>0</v>
      </c>
      <c r="J6430" t="str">
        <f>"95"</f>
        <v>95</v>
      </c>
      <c r="K6430">
        <v>20190524</v>
      </c>
      <c r="L6430" t="str">
        <f>"076958"</f>
        <v>076958</v>
      </c>
      <c r="M6430" t="str">
        <f>"80600"</f>
        <v>80600</v>
      </c>
      <c r="N6430" t="s">
        <v>1927</v>
      </c>
      <c r="O6430">
        <v>103.6</v>
      </c>
      <c r="P6430">
        <v>20190523</v>
      </c>
      <c r="Q6430" t="s">
        <v>1792</v>
      </c>
      <c r="R6430" t="s">
        <v>5117</v>
      </c>
      <c r="S6430" t="s">
        <v>1615</v>
      </c>
      <c r="T6430" t="s">
        <v>1794</v>
      </c>
    </row>
    <row r="6431" spans="1:20" x14ac:dyDescent="0.25">
      <c r="A6431">
        <v>9</v>
      </c>
      <c r="B6431">
        <v>199</v>
      </c>
      <c r="C6431" t="str">
        <f>"11"</f>
        <v>11</v>
      </c>
      <c r="D6431">
        <v>6399</v>
      </c>
      <c r="E6431" t="str">
        <f>"VH"</f>
        <v>VH</v>
      </c>
      <c r="F6431" t="str">
        <f>"001"</f>
        <v>001</v>
      </c>
      <c r="G6431">
        <v>9</v>
      </c>
      <c r="H6431" t="str">
        <f>"22"</f>
        <v>22</v>
      </c>
      <c r="I6431" t="str">
        <f t="shared" si="1409"/>
        <v>0</v>
      </c>
      <c r="J6431" t="str">
        <f>"22"</f>
        <v>22</v>
      </c>
      <c r="K6431">
        <v>20190524</v>
      </c>
      <c r="L6431" t="str">
        <f>"076959"</f>
        <v>076959</v>
      </c>
      <c r="M6431" t="str">
        <f>"28572"</f>
        <v>28572</v>
      </c>
      <c r="N6431" t="s">
        <v>5118</v>
      </c>
      <c r="O6431">
        <v>331.25</v>
      </c>
      <c r="P6431">
        <v>20190523</v>
      </c>
      <c r="Q6431" t="s">
        <v>2206</v>
      </c>
      <c r="R6431" t="s">
        <v>5119</v>
      </c>
      <c r="S6431" t="s">
        <v>1615</v>
      </c>
      <c r="T6431" t="s">
        <v>301</v>
      </c>
    </row>
    <row r="6432" spans="1:20" x14ac:dyDescent="0.25">
      <c r="A6432">
        <v>9</v>
      </c>
      <c r="B6432">
        <v>199</v>
      </c>
      <c r="C6432" t="str">
        <f>"00"</f>
        <v>00</v>
      </c>
      <c r="D6432">
        <v>5749</v>
      </c>
      <c r="E6432" t="str">
        <f>"00"</f>
        <v>00</v>
      </c>
      <c r="F6432" t="str">
        <f>"000"</f>
        <v>000</v>
      </c>
      <c r="G6432">
        <v>9</v>
      </c>
      <c r="H6432" t="str">
        <f>"00"</f>
        <v>00</v>
      </c>
      <c r="I6432" t="str">
        <f t="shared" si="1409"/>
        <v>0</v>
      </c>
      <c r="J6432" t="str">
        <f>"00"</f>
        <v>00</v>
      </c>
      <c r="K6432">
        <v>20190524</v>
      </c>
      <c r="L6432" t="str">
        <f>"076961"</f>
        <v>076961</v>
      </c>
      <c r="M6432" t="str">
        <f>"82397"</f>
        <v>82397</v>
      </c>
      <c r="N6432" t="s">
        <v>5120</v>
      </c>
      <c r="O6432">
        <v>100</v>
      </c>
      <c r="P6432">
        <v>20190523</v>
      </c>
      <c r="Q6432" t="s">
        <v>4850</v>
      </c>
      <c r="R6432" t="s">
        <v>5121</v>
      </c>
      <c r="S6432" t="s">
        <v>1615</v>
      </c>
      <c r="T6432" t="s">
        <v>296</v>
      </c>
    </row>
    <row r="6433" spans="1:20" x14ac:dyDescent="0.25">
      <c r="A6433">
        <v>9</v>
      </c>
      <c r="B6433">
        <v>199</v>
      </c>
      <c r="C6433" t="str">
        <f>"41"</f>
        <v>41</v>
      </c>
      <c r="D6433">
        <v>6498</v>
      </c>
      <c r="E6433" t="str">
        <f>"10"</f>
        <v>10</v>
      </c>
      <c r="F6433" t="str">
        <f>"701"</f>
        <v>701</v>
      </c>
      <c r="G6433">
        <v>9</v>
      </c>
      <c r="H6433" t="str">
        <f>"99"</f>
        <v>99</v>
      </c>
      <c r="I6433" t="str">
        <f t="shared" si="1409"/>
        <v>0</v>
      </c>
      <c r="J6433" t="str">
        <f>"92"</f>
        <v>92</v>
      </c>
      <c r="K6433">
        <v>20190524</v>
      </c>
      <c r="L6433" t="str">
        <f>"076962"</f>
        <v>076962</v>
      </c>
      <c r="M6433" t="str">
        <f>"84370"</f>
        <v>84370</v>
      </c>
      <c r="N6433" t="s">
        <v>395</v>
      </c>
      <c r="O6433">
        <v>54.3</v>
      </c>
      <c r="P6433">
        <v>20190523</v>
      </c>
      <c r="Q6433" t="s">
        <v>2202</v>
      </c>
      <c r="R6433" t="s">
        <v>5122</v>
      </c>
      <c r="S6433" t="s">
        <v>1615</v>
      </c>
      <c r="T6433" t="s">
        <v>1841</v>
      </c>
    </row>
    <row r="6434" spans="1:20" x14ac:dyDescent="0.25">
      <c r="A6434">
        <v>9</v>
      </c>
      <c r="B6434">
        <v>199</v>
      </c>
      <c r="C6434" t="str">
        <f>"33"</f>
        <v>33</v>
      </c>
      <c r="D6434">
        <v>6399</v>
      </c>
      <c r="E6434" t="str">
        <f>"8F"</f>
        <v>8F</v>
      </c>
      <c r="F6434" t="str">
        <f>"041"</f>
        <v>041</v>
      </c>
      <c r="G6434">
        <v>9</v>
      </c>
      <c r="H6434" t="str">
        <f>"99"</f>
        <v>99</v>
      </c>
      <c r="I6434" t="str">
        <f t="shared" si="1409"/>
        <v>0</v>
      </c>
      <c r="J6434" t="str">
        <f>"03"</f>
        <v>03</v>
      </c>
      <c r="K6434">
        <v>20190524</v>
      </c>
      <c r="L6434" t="str">
        <f>"076964"</f>
        <v>076964</v>
      </c>
      <c r="M6434" t="str">
        <f>"49589"</f>
        <v>49589</v>
      </c>
      <c r="N6434" t="s">
        <v>2430</v>
      </c>
      <c r="O6434">
        <v>475.44</v>
      </c>
      <c r="P6434">
        <v>20190523</v>
      </c>
      <c r="Q6434" t="s">
        <v>2431</v>
      </c>
      <c r="R6434" t="s">
        <v>2323</v>
      </c>
      <c r="S6434" t="s">
        <v>1615</v>
      </c>
      <c r="T6434" t="s">
        <v>106</v>
      </c>
    </row>
    <row r="6435" spans="1:20" x14ac:dyDescent="0.25">
      <c r="A6435">
        <v>9</v>
      </c>
      <c r="B6435">
        <v>199</v>
      </c>
      <c r="C6435" t="str">
        <f>"11"</f>
        <v>11</v>
      </c>
      <c r="D6435">
        <v>6399</v>
      </c>
      <c r="E6435" t="str">
        <f>"45"</f>
        <v>45</v>
      </c>
      <c r="F6435" t="str">
        <f>"104"</f>
        <v>104</v>
      </c>
      <c r="G6435">
        <v>9</v>
      </c>
      <c r="H6435" t="str">
        <f>"11"</f>
        <v>11</v>
      </c>
      <c r="I6435" t="str">
        <f t="shared" si="1409"/>
        <v>0</v>
      </c>
      <c r="J6435" t="str">
        <f>"05"</f>
        <v>05</v>
      </c>
      <c r="K6435">
        <v>20190524</v>
      </c>
      <c r="L6435" t="str">
        <f>"076965"</f>
        <v>076965</v>
      </c>
      <c r="M6435" t="str">
        <f>"84593"</f>
        <v>84593</v>
      </c>
      <c r="N6435" t="s">
        <v>2946</v>
      </c>
      <c r="O6435">
        <v>256.61</v>
      </c>
      <c r="P6435">
        <v>20190523</v>
      </c>
      <c r="Q6435" t="s">
        <v>2069</v>
      </c>
      <c r="R6435" t="s">
        <v>5123</v>
      </c>
      <c r="S6435" t="s">
        <v>1615</v>
      </c>
      <c r="T6435" t="s">
        <v>46</v>
      </c>
    </row>
    <row r="6436" spans="1:20" x14ac:dyDescent="0.25">
      <c r="A6436">
        <v>9</v>
      </c>
      <c r="B6436">
        <v>199</v>
      </c>
      <c r="C6436" t="str">
        <f>"51"</f>
        <v>51</v>
      </c>
      <c r="D6436">
        <v>6249</v>
      </c>
      <c r="E6436" t="str">
        <f>"PM"</f>
        <v>PM</v>
      </c>
      <c r="F6436" t="str">
        <f>"936"</f>
        <v>936</v>
      </c>
      <c r="G6436">
        <v>9</v>
      </c>
      <c r="H6436" t="str">
        <f>"99"</f>
        <v>99</v>
      </c>
      <c r="I6436" t="str">
        <f>"1"</f>
        <v>1</v>
      </c>
      <c r="J6436" t="str">
        <f>"81"</f>
        <v>81</v>
      </c>
      <c r="K6436">
        <v>20190531</v>
      </c>
      <c r="L6436" t="str">
        <f>"076966"</f>
        <v>076966</v>
      </c>
      <c r="M6436" t="str">
        <f>"00306"</f>
        <v>00306</v>
      </c>
      <c r="N6436" t="s">
        <v>2810</v>
      </c>
      <c r="O6436">
        <v>411.12</v>
      </c>
      <c r="P6436">
        <v>20190529</v>
      </c>
      <c r="Q6436" t="s">
        <v>2811</v>
      </c>
      <c r="R6436" t="s">
        <v>5124</v>
      </c>
      <c r="S6436" t="s">
        <v>1615</v>
      </c>
      <c r="T6436" t="s">
        <v>1713</v>
      </c>
    </row>
    <row r="6437" spans="1:20" x14ac:dyDescent="0.25">
      <c r="A6437">
        <v>9</v>
      </c>
      <c r="B6437">
        <v>199</v>
      </c>
      <c r="C6437" t="str">
        <f>"51"</f>
        <v>51</v>
      </c>
      <c r="D6437">
        <v>6249</v>
      </c>
      <c r="E6437" t="str">
        <f>"PM"</f>
        <v>PM</v>
      </c>
      <c r="F6437" t="str">
        <f>"936"</f>
        <v>936</v>
      </c>
      <c r="G6437">
        <v>9</v>
      </c>
      <c r="H6437" t="str">
        <f>"99"</f>
        <v>99</v>
      </c>
      <c r="I6437" t="str">
        <f>"1"</f>
        <v>1</v>
      </c>
      <c r="J6437" t="str">
        <f>"81"</f>
        <v>81</v>
      </c>
      <c r="K6437">
        <v>20190531</v>
      </c>
      <c r="L6437" t="str">
        <f>"076966"</f>
        <v>076966</v>
      </c>
      <c r="M6437" t="str">
        <f>"00306"</f>
        <v>00306</v>
      </c>
      <c r="N6437" t="s">
        <v>2810</v>
      </c>
      <c r="O6437" s="1">
        <v>1598.48</v>
      </c>
      <c r="P6437">
        <v>20190529</v>
      </c>
      <c r="Q6437" t="s">
        <v>2811</v>
      </c>
      <c r="R6437" t="s">
        <v>5125</v>
      </c>
      <c r="S6437" t="s">
        <v>1615</v>
      </c>
      <c r="T6437" t="s">
        <v>1713</v>
      </c>
    </row>
    <row r="6438" spans="1:20" x14ac:dyDescent="0.25">
      <c r="A6438">
        <v>9</v>
      </c>
      <c r="B6438">
        <v>199</v>
      </c>
      <c r="C6438" t="str">
        <f>"51"</f>
        <v>51</v>
      </c>
      <c r="D6438">
        <v>6249</v>
      </c>
      <c r="E6438" t="str">
        <f>"PM"</f>
        <v>PM</v>
      </c>
      <c r="F6438" t="str">
        <f>"936"</f>
        <v>936</v>
      </c>
      <c r="G6438">
        <v>9</v>
      </c>
      <c r="H6438" t="str">
        <f>"99"</f>
        <v>99</v>
      </c>
      <c r="I6438" t="str">
        <f>"1"</f>
        <v>1</v>
      </c>
      <c r="J6438" t="str">
        <f>"81"</f>
        <v>81</v>
      </c>
      <c r="K6438">
        <v>20190531</v>
      </c>
      <c r="L6438" t="str">
        <f>"076966"</f>
        <v>076966</v>
      </c>
      <c r="M6438" t="str">
        <f>"00306"</f>
        <v>00306</v>
      </c>
      <c r="N6438" t="s">
        <v>2810</v>
      </c>
      <c r="O6438" s="1">
        <v>2465.1999999999998</v>
      </c>
      <c r="P6438">
        <v>20190529</v>
      </c>
      <c r="Q6438" t="s">
        <v>2811</v>
      </c>
      <c r="R6438" t="s">
        <v>5126</v>
      </c>
      <c r="S6438" t="s">
        <v>1615</v>
      </c>
      <c r="T6438" t="s">
        <v>1713</v>
      </c>
    </row>
    <row r="6439" spans="1:20" x14ac:dyDescent="0.25">
      <c r="A6439">
        <v>9</v>
      </c>
      <c r="B6439">
        <v>199</v>
      </c>
      <c r="C6439" t="str">
        <f>"51"</f>
        <v>51</v>
      </c>
      <c r="D6439">
        <v>6249</v>
      </c>
      <c r="E6439" t="str">
        <f>"PM"</f>
        <v>PM</v>
      </c>
      <c r="F6439" t="str">
        <f>"936"</f>
        <v>936</v>
      </c>
      <c r="G6439">
        <v>9</v>
      </c>
      <c r="H6439" t="str">
        <f>"99"</f>
        <v>99</v>
      </c>
      <c r="I6439" t="str">
        <f>"1"</f>
        <v>1</v>
      </c>
      <c r="J6439" t="str">
        <f>"81"</f>
        <v>81</v>
      </c>
      <c r="K6439">
        <v>20190531</v>
      </c>
      <c r="L6439" t="str">
        <f>"076966"</f>
        <v>076966</v>
      </c>
      <c r="M6439" t="str">
        <f>"00306"</f>
        <v>00306</v>
      </c>
      <c r="N6439" t="s">
        <v>2810</v>
      </c>
      <c r="O6439">
        <v>113.45</v>
      </c>
      <c r="P6439">
        <v>20190529</v>
      </c>
      <c r="Q6439" t="s">
        <v>2811</v>
      </c>
      <c r="R6439" t="s">
        <v>5127</v>
      </c>
      <c r="S6439" t="s">
        <v>1615</v>
      </c>
      <c r="T6439" t="s">
        <v>1713</v>
      </c>
    </row>
    <row r="6440" spans="1:20" x14ac:dyDescent="0.25">
      <c r="A6440">
        <v>9</v>
      </c>
      <c r="B6440">
        <v>199</v>
      </c>
      <c r="C6440" t="str">
        <f>"51"</f>
        <v>51</v>
      </c>
      <c r="D6440">
        <v>6249</v>
      </c>
      <c r="E6440" t="str">
        <f>"PM"</f>
        <v>PM</v>
      </c>
      <c r="F6440" t="str">
        <f>"936"</f>
        <v>936</v>
      </c>
      <c r="G6440">
        <v>9</v>
      </c>
      <c r="H6440" t="str">
        <f>"99"</f>
        <v>99</v>
      </c>
      <c r="I6440" t="str">
        <f>"1"</f>
        <v>1</v>
      </c>
      <c r="J6440" t="str">
        <f>"81"</f>
        <v>81</v>
      </c>
      <c r="K6440">
        <v>20190531</v>
      </c>
      <c r="L6440" t="str">
        <f>"076966"</f>
        <v>076966</v>
      </c>
      <c r="M6440" t="str">
        <f>"00306"</f>
        <v>00306</v>
      </c>
      <c r="N6440" t="s">
        <v>2810</v>
      </c>
      <c r="O6440" s="1">
        <v>4177.04</v>
      </c>
      <c r="P6440">
        <v>20190529</v>
      </c>
      <c r="Q6440" t="s">
        <v>2811</v>
      </c>
      <c r="R6440" t="s">
        <v>5128</v>
      </c>
      <c r="S6440" t="s">
        <v>1615</v>
      </c>
      <c r="T6440" t="s">
        <v>1713</v>
      </c>
    </row>
    <row r="6441" spans="1:20" x14ac:dyDescent="0.25">
      <c r="A6441">
        <v>9</v>
      </c>
      <c r="B6441">
        <v>199</v>
      </c>
      <c r="C6441" t="str">
        <f>"11"</f>
        <v>11</v>
      </c>
      <c r="D6441">
        <v>6321</v>
      </c>
      <c r="E6441" t="str">
        <f>"10"</f>
        <v>10</v>
      </c>
      <c r="F6441" t="str">
        <f>"001"</f>
        <v>001</v>
      </c>
      <c r="G6441">
        <v>9</v>
      </c>
      <c r="H6441" t="str">
        <f>"11"</f>
        <v>11</v>
      </c>
      <c r="I6441" t="str">
        <f t="shared" ref="I6441:I6463" si="1417">"0"</f>
        <v>0</v>
      </c>
      <c r="J6441" t="str">
        <f>"01"</f>
        <v>01</v>
      </c>
      <c r="K6441">
        <v>20190531</v>
      </c>
      <c r="L6441" t="str">
        <f>"076969"</f>
        <v>076969</v>
      </c>
      <c r="M6441" t="str">
        <f>"04410"</f>
        <v>04410</v>
      </c>
      <c r="N6441" t="s">
        <v>410</v>
      </c>
      <c r="O6441">
        <v>374.08</v>
      </c>
      <c r="P6441">
        <v>20190529</v>
      </c>
      <c r="Q6441" t="s">
        <v>1861</v>
      </c>
      <c r="R6441" t="s">
        <v>5129</v>
      </c>
      <c r="S6441" t="s">
        <v>1615</v>
      </c>
      <c r="T6441" t="s">
        <v>301</v>
      </c>
    </row>
    <row r="6442" spans="1:20" x14ac:dyDescent="0.25">
      <c r="A6442">
        <v>9</v>
      </c>
      <c r="B6442">
        <v>199</v>
      </c>
      <c r="C6442" t="str">
        <f>"11"</f>
        <v>11</v>
      </c>
      <c r="D6442">
        <v>6321</v>
      </c>
      <c r="E6442" t="str">
        <f>"10"</f>
        <v>10</v>
      </c>
      <c r="F6442" t="str">
        <f>"001"</f>
        <v>001</v>
      </c>
      <c r="G6442">
        <v>9</v>
      </c>
      <c r="H6442" t="str">
        <f>"11"</f>
        <v>11</v>
      </c>
      <c r="I6442" t="str">
        <f t="shared" si="1417"/>
        <v>0</v>
      </c>
      <c r="J6442" t="str">
        <f>"01"</f>
        <v>01</v>
      </c>
      <c r="K6442">
        <v>20190531</v>
      </c>
      <c r="L6442" t="str">
        <f>"076969"</f>
        <v>076969</v>
      </c>
      <c r="M6442" t="str">
        <f>"04410"</f>
        <v>04410</v>
      </c>
      <c r="N6442" t="s">
        <v>410</v>
      </c>
      <c r="O6442">
        <v>94.42</v>
      </c>
      <c r="P6442">
        <v>20190529</v>
      </c>
      <c r="Q6442" t="s">
        <v>1861</v>
      </c>
      <c r="R6442" t="s">
        <v>5130</v>
      </c>
      <c r="S6442" t="s">
        <v>1615</v>
      </c>
      <c r="T6442" t="s">
        <v>301</v>
      </c>
    </row>
    <row r="6443" spans="1:20" x14ac:dyDescent="0.25">
      <c r="A6443">
        <v>9</v>
      </c>
      <c r="B6443">
        <v>199</v>
      </c>
      <c r="C6443" t="str">
        <f>"11"</f>
        <v>11</v>
      </c>
      <c r="D6443">
        <v>6321</v>
      </c>
      <c r="E6443" t="str">
        <f>"10"</f>
        <v>10</v>
      </c>
      <c r="F6443" t="str">
        <f>"001"</f>
        <v>001</v>
      </c>
      <c r="G6443">
        <v>9</v>
      </c>
      <c r="H6443" t="str">
        <f>"11"</f>
        <v>11</v>
      </c>
      <c r="I6443" t="str">
        <f t="shared" si="1417"/>
        <v>0</v>
      </c>
      <c r="J6443" t="str">
        <f>"01"</f>
        <v>01</v>
      </c>
      <c r="K6443">
        <v>20190531</v>
      </c>
      <c r="L6443" t="str">
        <f>"076969"</f>
        <v>076969</v>
      </c>
      <c r="M6443" t="str">
        <f>"04410"</f>
        <v>04410</v>
      </c>
      <c r="N6443" t="s">
        <v>410</v>
      </c>
      <c r="O6443">
        <v>66.81</v>
      </c>
      <c r="P6443">
        <v>20190529</v>
      </c>
      <c r="Q6443" t="s">
        <v>1861</v>
      </c>
      <c r="R6443" t="s">
        <v>5130</v>
      </c>
      <c r="S6443" t="s">
        <v>1615</v>
      </c>
      <c r="T6443" t="s">
        <v>301</v>
      </c>
    </row>
    <row r="6444" spans="1:20" x14ac:dyDescent="0.25">
      <c r="A6444">
        <v>9</v>
      </c>
      <c r="B6444">
        <v>199</v>
      </c>
      <c r="C6444" t="str">
        <f>"11"</f>
        <v>11</v>
      </c>
      <c r="D6444">
        <v>6399</v>
      </c>
      <c r="E6444" t="str">
        <f>"8U"</f>
        <v>8U</v>
      </c>
      <c r="F6444" t="str">
        <f>"041"</f>
        <v>041</v>
      </c>
      <c r="G6444">
        <v>9</v>
      </c>
      <c r="H6444" t="str">
        <f>"11"</f>
        <v>11</v>
      </c>
      <c r="I6444" t="str">
        <f t="shared" si="1417"/>
        <v>0</v>
      </c>
      <c r="J6444" t="str">
        <f>"03"</f>
        <v>03</v>
      </c>
      <c r="K6444">
        <v>20190531</v>
      </c>
      <c r="L6444" t="str">
        <f>"076969"</f>
        <v>076969</v>
      </c>
      <c r="M6444" t="str">
        <f>"04410"</f>
        <v>04410</v>
      </c>
      <c r="N6444" t="s">
        <v>410</v>
      </c>
      <c r="O6444">
        <v>69.14</v>
      </c>
      <c r="P6444">
        <v>20190529</v>
      </c>
      <c r="Q6444" t="s">
        <v>2229</v>
      </c>
      <c r="R6444" t="s">
        <v>5131</v>
      </c>
      <c r="S6444" t="s">
        <v>1615</v>
      </c>
      <c r="T6444" t="s">
        <v>106</v>
      </c>
    </row>
    <row r="6445" spans="1:20" x14ac:dyDescent="0.25">
      <c r="A6445">
        <v>9</v>
      </c>
      <c r="B6445">
        <v>199</v>
      </c>
      <c r="C6445" t="str">
        <f>"36"</f>
        <v>36</v>
      </c>
      <c r="D6445">
        <v>6399</v>
      </c>
      <c r="E6445" t="str">
        <f>"8T"</f>
        <v>8T</v>
      </c>
      <c r="F6445" t="str">
        <f>"001"</f>
        <v>001</v>
      </c>
      <c r="G6445">
        <v>9</v>
      </c>
      <c r="H6445" t="str">
        <f>"99"</f>
        <v>99</v>
      </c>
      <c r="I6445" t="str">
        <f t="shared" si="1417"/>
        <v>0</v>
      </c>
      <c r="J6445" t="str">
        <f>"01"</f>
        <v>01</v>
      </c>
      <c r="K6445">
        <v>20190531</v>
      </c>
      <c r="L6445" t="str">
        <f>"076969"</f>
        <v>076969</v>
      </c>
      <c r="M6445" t="str">
        <f>"04410"</f>
        <v>04410</v>
      </c>
      <c r="N6445" t="s">
        <v>410</v>
      </c>
      <c r="O6445">
        <v>516.89</v>
      </c>
      <c r="P6445">
        <v>20190529</v>
      </c>
      <c r="Q6445" t="s">
        <v>2966</v>
      </c>
      <c r="R6445" t="s">
        <v>2967</v>
      </c>
      <c r="S6445" t="s">
        <v>1615</v>
      </c>
      <c r="T6445" t="s">
        <v>301</v>
      </c>
    </row>
    <row r="6446" spans="1:20" x14ac:dyDescent="0.25">
      <c r="A6446">
        <v>9</v>
      </c>
      <c r="B6446">
        <v>199</v>
      </c>
      <c r="C6446" t="str">
        <f>"51"</f>
        <v>51</v>
      </c>
      <c r="D6446">
        <v>6256</v>
      </c>
      <c r="E6446" t="str">
        <f>"10"</f>
        <v>10</v>
      </c>
      <c r="F6446" t="str">
        <f>"880"</f>
        <v>880</v>
      </c>
      <c r="G6446">
        <v>9</v>
      </c>
      <c r="H6446" t="str">
        <f>"99"</f>
        <v>99</v>
      </c>
      <c r="I6446" t="str">
        <f t="shared" si="1417"/>
        <v>0</v>
      </c>
      <c r="J6446" t="str">
        <f>"80"</f>
        <v>80</v>
      </c>
      <c r="K6446">
        <v>20190531</v>
      </c>
      <c r="L6446" t="str">
        <f>"076971"</f>
        <v>076971</v>
      </c>
      <c r="M6446" t="str">
        <f>"00390"</f>
        <v>00390</v>
      </c>
      <c r="N6446" t="s">
        <v>1869</v>
      </c>
      <c r="O6446">
        <v>86.54</v>
      </c>
      <c r="P6446">
        <v>20190529</v>
      </c>
      <c r="Q6446" t="s">
        <v>1870</v>
      </c>
      <c r="R6446" t="s">
        <v>5132</v>
      </c>
      <c r="S6446" t="s">
        <v>1615</v>
      </c>
      <c r="T6446" t="s">
        <v>1866</v>
      </c>
    </row>
    <row r="6447" spans="1:20" x14ac:dyDescent="0.25">
      <c r="A6447">
        <v>9</v>
      </c>
      <c r="B6447">
        <v>199</v>
      </c>
      <c r="C6447" t="str">
        <f>"51"</f>
        <v>51</v>
      </c>
      <c r="D6447">
        <v>6256</v>
      </c>
      <c r="E6447" t="str">
        <f>"10"</f>
        <v>10</v>
      </c>
      <c r="F6447" t="str">
        <f>"880"</f>
        <v>880</v>
      </c>
      <c r="G6447">
        <v>9</v>
      </c>
      <c r="H6447" t="str">
        <f>"99"</f>
        <v>99</v>
      </c>
      <c r="I6447" t="str">
        <f t="shared" si="1417"/>
        <v>0</v>
      </c>
      <c r="J6447" t="str">
        <f>"80"</f>
        <v>80</v>
      </c>
      <c r="K6447">
        <v>20190531</v>
      </c>
      <c r="L6447" t="str">
        <f>"076971"</f>
        <v>076971</v>
      </c>
      <c r="M6447" t="str">
        <f>"00390"</f>
        <v>00390</v>
      </c>
      <c r="N6447" t="s">
        <v>1869</v>
      </c>
      <c r="O6447" s="1">
        <v>4348.95</v>
      </c>
      <c r="P6447">
        <v>20190529</v>
      </c>
      <c r="Q6447" t="s">
        <v>1870</v>
      </c>
      <c r="R6447" t="s">
        <v>5132</v>
      </c>
      <c r="S6447" t="s">
        <v>1615</v>
      </c>
      <c r="T6447" t="s">
        <v>1866</v>
      </c>
    </row>
    <row r="6448" spans="1:20" x14ac:dyDescent="0.25">
      <c r="A6448">
        <v>9</v>
      </c>
      <c r="B6448">
        <v>199</v>
      </c>
      <c r="C6448" t="str">
        <f>"51"</f>
        <v>51</v>
      </c>
      <c r="D6448">
        <v>6256</v>
      </c>
      <c r="E6448" t="str">
        <f>"11"</f>
        <v>11</v>
      </c>
      <c r="F6448" t="str">
        <f>"880"</f>
        <v>880</v>
      </c>
      <c r="G6448">
        <v>9</v>
      </c>
      <c r="H6448" t="str">
        <f>"99"</f>
        <v>99</v>
      </c>
      <c r="I6448" t="str">
        <f t="shared" si="1417"/>
        <v>0</v>
      </c>
      <c r="J6448" t="str">
        <f>"80"</f>
        <v>80</v>
      </c>
      <c r="K6448">
        <v>20190531</v>
      </c>
      <c r="L6448" t="str">
        <f>"076972"</f>
        <v>076972</v>
      </c>
      <c r="M6448" t="str">
        <f>"00392"</f>
        <v>00392</v>
      </c>
      <c r="N6448" t="s">
        <v>1869</v>
      </c>
      <c r="O6448">
        <v>46.36</v>
      </c>
      <c r="P6448">
        <v>20190529</v>
      </c>
      <c r="Q6448" t="s">
        <v>1871</v>
      </c>
      <c r="R6448" t="s">
        <v>5132</v>
      </c>
      <c r="S6448" t="s">
        <v>1615</v>
      </c>
      <c r="T6448" t="s">
        <v>1866</v>
      </c>
    </row>
    <row r="6449" spans="1:20" x14ac:dyDescent="0.25">
      <c r="A6449">
        <v>9</v>
      </c>
      <c r="B6449">
        <v>199</v>
      </c>
      <c r="C6449" t="str">
        <f>"51"</f>
        <v>51</v>
      </c>
      <c r="D6449">
        <v>6249</v>
      </c>
      <c r="E6449" t="str">
        <f>"WF"</f>
        <v>WF</v>
      </c>
      <c r="F6449" t="str">
        <f>"936"</f>
        <v>936</v>
      </c>
      <c r="G6449">
        <v>9</v>
      </c>
      <c r="H6449" t="str">
        <f>"99"</f>
        <v>99</v>
      </c>
      <c r="I6449" t="str">
        <f t="shared" si="1417"/>
        <v>0</v>
      </c>
      <c r="J6449" t="str">
        <f>"82"</f>
        <v>82</v>
      </c>
      <c r="K6449">
        <v>20190531</v>
      </c>
      <c r="L6449" t="str">
        <f>"076973"</f>
        <v>076973</v>
      </c>
      <c r="M6449" t="str">
        <f>"03852"</f>
        <v>03852</v>
      </c>
      <c r="N6449" t="s">
        <v>5133</v>
      </c>
      <c r="O6449" s="1">
        <v>4614.3500000000004</v>
      </c>
      <c r="P6449">
        <v>20190529</v>
      </c>
      <c r="Q6449" t="s">
        <v>2127</v>
      </c>
      <c r="R6449" t="s">
        <v>5134</v>
      </c>
      <c r="S6449" t="s">
        <v>1615</v>
      </c>
      <c r="T6449" t="s">
        <v>1713</v>
      </c>
    </row>
    <row r="6450" spans="1:20" x14ac:dyDescent="0.25">
      <c r="A6450">
        <v>9</v>
      </c>
      <c r="B6450">
        <v>199</v>
      </c>
      <c r="C6450" t="str">
        <f>"00"</f>
        <v>00</v>
      </c>
      <c r="D6450">
        <v>1291</v>
      </c>
      <c r="E6450" t="str">
        <f>"04"</f>
        <v>04</v>
      </c>
      <c r="F6450" t="str">
        <f>"000"</f>
        <v>000</v>
      </c>
      <c r="G6450">
        <v>9</v>
      </c>
      <c r="H6450" t="str">
        <f>"00"</f>
        <v>00</v>
      </c>
      <c r="I6450" t="str">
        <f t="shared" si="1417"/>
        <v>0</v>
      </c>
      <c r="J6450" t="str">
        <f>"00"</f>
        <v>00</v>
      </c>
      <c r="K6450">
        <v>20190531</v>
      </c>
      <c r="L6450" t="str">
        <f t="shared" ref="L6450:L6485" si="1418">"076974"</f>
        <v>076974</v>
      </c>
      <c r="M6450" t="str">
        <f t="shared" ref="M6450:M6485" si="1419">"09170"</f>
        <v>09170</v>
      </c>
      <c r="N6450" t="s">
        <v>679</v>
      </c>
      <c r="O6450">
        <v>105.53</v>
      </c>
      <c r="P6450">
        <v>20190530</v>
      </c>
      <c r="Q6450" t="s">
        <v>5135</v>
      </c>
      <c r="R6450" t="s">
        <v>5136</v>
      </c>
      <c r="S6450" t="s">
        <v>1615</v>
      </c>
      <c r="T6450" t="s">
        <v>296</v>
      </c>
    </row>
    <row r="6451" spans="1:20" x14ac:dyDescent="0.25">
      <c r="A6451">
        <v>9</v>
      </c>
      <c r="B6451">
        <v>199</v>
      </c>
      <c r="C6451" t="str">
        <f>"00"</f>
        <v>00</v>
      </c>
      <c r="D6451">
        <v>1291</v>
      </c>
      <c r="E6451" t="str">
        <f>"04"</f>
        <v>04</v>
      </c>
      <c r="F6451" t="str">
        <f>"000"</f>
        <v>000</v>
      </c>
      <c r="G6451">
        <v>9</v>
      </c>
      <c r="H6451" t="str">
        <f>"00"</f>
        <v>00</v>
      </c>
      <c r="I6451" t="str">
        <f t="shared" si="1417"/>
        <v>0</v>
      </c>
      <c r="J6451" t="str">
        <f>"00"</f>
        <v>00</v>
      </c>
      <c r="K6451">
        <v>20190531</v>
      </c>
      <c r="L6451" t="str">
        <f t="shared" si="1418"/>
        <v>076974</v>
      </c>
      <c r="M6451" t="str">
        <f t="shared" si="1419"/>
        <v>09170</v>
      </c>
      <c r="N6451" t="s">
        <v>679</v>
      </c>
      <c r="O6451">
        <v>384</v>
      </c>
      <c r="P6451">
        <v>20190530</v>
      </c>
      <c r="Q6451" t="s">
        <v>5135</v>
      </c>
      <c r="R6451" t="s">
        <v>5137</v>
      </c>
      <c r="S6451" t="s">
        <v>1615</v>
      </c>
      <c r="T6451" t="s">
        <v>296</v>
      </c>
    </row>
    <row r="6452" spans="1:20" x14ac:dyDescent="0.25">
      <c r="A6452">
        <v>9</v>
      </c>
      <c r="B6452">
        <v>199</v>
      </c>
      <c r="C6452" t="str">
        <f>"00"</f>
        <v>00</v>
      </c>
      <c r="D6452">
        <v>1291</v>
      </c>
      <c r="E6452" t="str">
        <f>"04"</f>
        <v>04</v>
      </c>
      <c r="F6452" t="str">
        <f>"000"</f>
        <v>000</v>
      </c>
      <c r="G6452">
        <v>9</v>
      </c>
      <c r="H6452" t="str">
        <f>"00"</f>
        <v>00</v>
      </c>
      <c r="I6452" t="str">
        <f t="shared" si="1417"/>
        <v>0</v>
      </c>
      <c r="J6452" t="str">
        <f>"00"</f>
        <v>00</v>
      </c>
      <c r="K6452">
        <v>20190531</v>
      </c>
      <c r="L6452" t="str">
        <f t="shared" si="1418"/>
        <v>076974</v>
      </c>
      <c r="M6452" t="str">
        <f t="shared" si="1419"/>
        <v>09170</v>
      </c>
      <c r="N6452" t="s">
        <v>679</v>
      </c>
      <c r="O6452" s="1">
        <v>1142.76</v>
      </c>
      <c r="P6452">
        <v>20190530</v>
      </c>
      <c r="Q6452" t="s">
        <v>5135</v>
      </c>
      <c r="R6452" t="s">
        <v>1298</v>
      </c>
      <c r="S6452" t="s">
        <v>1615</v>
      </c>
      <c r="T6452" t="s">
        <v>296</v>
      </c>
    </row>
    <row r="6453" spans="1:20" x14ac:dyDescent="0.25">
      <c r="A6453">
        <v>9</v>
      </c>
      <c r="B6453">
        <v>199</v>
      </c>
      <c r="C6453" t="str">
        <f t="shared" ref="C6453:C6459" si="1420">"11"</f>
        <v>11</v>
      </c>
      <c r="D6453">
        <v>6249</v>
      </c>
      <c r="E6453" t="str">
        <f>"V8"</f>
        <v>V8</v>
      </c>
      <c r="F6453" t="str">
        <f t="shared" ref="F6453:F6458" si="1421">"001"</f>
        <v>001</v>
      </c>
      <c r="G6453">
        <v>9</v>
      </c>
      <c r="H6453" t="str">
        <f>"22"</f>
        <v>22</v>
      </c>
      <c r="I6453" t="str">
        <f t="shared" si="1417"/>
        <v>0</v>
      </c>
      <c r="J6453" t="str">
        <f>"22"</f>
        <v>22</v>
      </c>
      <c r="K6453">
        <v>20190531</v>
      </c>
      <c r="L6453" t="str">
        <f t="shared" si="1418"/>
        <v>076974</v>
      </c>
      <c r="M6453" t="str">
        <f t="shared" si="1419"/>
        <v>09170</v>
      </c>
      <c r="N6453" t="s">
        <v>679</v>
      </c>
      <c r="O6453">
        <v>62</v>
      </c>
      <c r="P6453">
        <v>20190530</v>
      </c>
      <c r="Q6453" t="s">
        <v>4029</v>
      </c>
      <c r="R6453" t="s">
        <v>5138</v>
      </c>
      <c r="S6453" t="s">
        <v>1615</v>
      </c>
      <c r="T6453" t="s">
        <v>301</v>
      </c>
    </row>
    <row r="6454" spans="1:20" x14ac:dyDescent="0.25">
      <c r="A6454">
        <v>9</v>
      </c>
      <c r="B6454">
        <v>199</v>
      </c>
      <c r="C6454" t="str">
        <f t="shared" si="1420"/>
        <v>11</v>
      </c>
      <c r="D6454">
        <v>6249</v>
      </c>
      <c r="E6454" t="str">
        <f>"VA"</f>
        <v>VA</v>
      </c>
      <c r="F6454" t="str">
        <f t="shared" si="1421"/>
        <v>001</v>
      </c>
      <c r="G6454">
        <v>9</v>
      </c>
      <c r="H6454" t="str">
        <f>"22"</f>
        <v>22</v>
      </c>
      <c r="I6454" t="str">
        <f t="shared" si="1417"/>
        <v>0</v>
      </c>
      <c r="J6454" t="str">
        <f>"22"</f>
        <v>22</v>
      </c>
      <c r="K6454">
        <v>20190531</v>
      </c>
      <c r="L6454" t="str">
        <f t="shared" si="1418"/>
        <v>076974</v>
      </c>
      <c r="M6454" t="str">
        <f t="shared" si="1419"/>
        <v>09170</v>
      </c>
      <c r="N6454" t="s">
        <v>679</v>
      </c>
      <c r="O6454">
        <v>37.9</v>
      </c>
      <c r="P6454">
        <v>20190530</v>
      </c>
      <c r="Q6454" t="s">
        <v>5139</v>
      </c>
      <c r="R6454" t="s">
        <v>5138</v>
      </c>
      <c r="S6454" t="s">
        <v>1615</v>
      </c>
      <c r="T6454" t="s">
        <v>301</v>
      </c>
    </row>
    <row r="6455" spans="1:20" x14ac:dyDescent="0.25">
      <c r="A6455">
        <v>9</v>
      </c>
      <c r="B6455">
        <v>199</v>
      </c>
      <c r="C6455" t="str">
        <f t="shared" si="1420"/>
        <v>11</v>
      </c>
      <c r="D6455">
        <v>6339</v>
      </c>
      <c r="E6455" t="str">
        <f>"NL"</f>
        <v>NL</v>
      </c>
      <c r="F6455" t="str">
        <f t="shared" si="1421"/>
        <v>001</v>
      </c>
      <c r="G6455">
        <v>9</v>
      </c>
      <c r="H6455" t="str">
        <f>"22"</f>
        <v>22</v>
      </c>
      <c r="I6455" t="str">
        <f t="shared" si="1417"/>
        <v>0</v>
      </c>
      <c r="J6455" t="str">
        <f>"22"</f>
        <v>22</v>
      </c>
      <c r="K6455">
        <v>20190531</v>
      </c>
      <c r="L6455" t="str">
        <f t="shared" si="1418"/>
        <v>076974</v>
      </c>
      <c r="M6455" t="str">
        <f t="shared" si="1419"/>
        <v>09170</v>
      </c>
      <c r="N6455" t="s">
        <v>679</v>
      </c>
      <c r="O6455">
        <v>209</v>
      </c>
      <c r="P6455">
        <v>20190530</v>
      </c>
      <c r="Q6455" t="s">
        <v>3183</v>
      </c>
      <c r="R6455" t="s">
        <v>5140</v>
      </c>
      <c r="S6455" t="s">
        <v>1615</v>
      </c>
      <c r="T6455" t="s">
        <v>301</v>
      </c>
    </row>
    <row r="6456" spans="1:20" x14ac:dyDescent="0.25">
      <c r="A6456">
        <v>9</v>
      </c>
      <c r="B6456">
        <v>199</v>
      </c>
      <c r="C6456" t="str">
        <f t="shared" si="1420"/>
        <v>11</v>
      </c>
      <c r="D6456">
        <v>6339</v>
      </c>
      <c r="E6456" t="str">
        <f>"V8"</f>
        <v>V8</v>
      </c>
      <c r="F6456" t="str">
        <f t="shared" si="1421"/>
        <v>001</v>
      </c>
      <c r="G6456">
        <v>9</v>
      </c>
      <c r="H6456" t="str">
        <f>"22"</f>
        <v>22</v>
      </c>
      <c r="I6456" t="str">
        <f t="shared" si="1417"/>
        <v>0</v>
      </c>
      <c r="J6456" t="str">
        <f>"22"</f>
        <v>22</v>
      </c>
      <c r="K6456">
        <v>20190531</v>
      </c>
      <c r="L6456" t="str">
        <f t="shared" si="1418"/>
        <v>076974</v>
      </c>
      <c r="M6456" t="str">
        <f t="shared" si="1419"/>
        <v>09170</v>
      </c>
      <c r="N6456" t="s">
        <v>679</v>
      </c>
      <c r="O6456">
        <v>135</v>
      </c>
      <c r="P6456">
        <v>20190530</v>
      </c>
      <c r="Q6456" t="s">
        <v>3517</v>
      </c>
      <c r="R6456" t="s">
        <v>5141</v>
      </c>
      <c r="S6456" t="s">
        <v>1615</v>
      </c>
      <c r="T6456" t="s">
        <v>301</v>
      </c>
    </row>
    <row r="6457" spans="1:20" x14ac:dyDescent="0.25">
      <c r="A6457">
        <v>9</v>
      </c>
      <c r="B6457">
        <v>199</v>
      </c>
      <c r="C6457" t="str">
        <f t="shared" si="1420"/>
        <v>11</v>
      </c>
      <c r="D6457">
        <v>6399</v>
      </c>
      <c r="E6457" t="str">
        <f>"H4"</f>
        <v>H4</v>
      </c>
      <c r="F6457" t="str">
        <f t="shared" si="1421"/>
        <v>001</v>
      </c>
      <c r="G6457">
        <v>9</v>
      </c>
      <c r="H6457" t="str">
        <f>"11"</f>
        <v>11</v>
      </c>
      <c r="I6457" t="str">
        <f t="shared" si="1417"/>
        <v>0</v>
      </c>
      <c r="J6457" t="str">
        <f>"01"</f>
        <v>01</v>
      </c>
      <c r="K6457">
        <v>20190531</v>
      </c>
      <c r="L6457" t="str">
        <f t="shared" si="1418"/>
        <v>076974</v>
      </c>
      <c r="M6457" t="str">
        <f t="shared" si="1419"/>
        <v>09170</v>
      </c>
      <c r="N6457" t="s">
        <v>679</v>
      </c>
      <c r="O6457">
        <v>21.64</v>
      </c>
      <c r="P6457">
        <v>20190530</v>
      </c>
      <c r="Q6457" t="s">
        <v>2856</v>
      </c>
      <c r="R6457" t="s">
        <v>5142</v>
      </c>
      <c r="S6457" t="s">
        <v>1615</v>
      </c>
      <c r="T6457" t="s">
        <v>301</v>
      </c>
    </row>
    <row r="6458" spans="1:20" x14ac:dyDescent="0.25">
      <c r="A6458">
        <v>9</v>
      </c>
      <c r="B6458">
        <v>199</v>
      </c>
      <c r="C6458" t="str">
        <f t="shared" si="1420"/>
        <v>11</v>
      </c>
      <c r="D6458">
        <v>6412</v>
      </c>
      <c r="E6458" t="str">
        <f>"V8"</f>
        <v>V8</v>
      </c>
      <c r="F6458" t="str">
        <f t="shared" si="1421"/>
        <v>001</v>
      </c>
      <c r="G6458">
        <v>9</v>
      </c>
      <c r="H6458" t="str">
        <f>"22"</f>
        <v>22</v>
      </c>
      <c r="I6458" t="str">
        <f t="shared" si="1417"/>
        <v>0</v>
      </c>
      <c r="J6458" t="str">
        <f>"22"</f>
        <v>22</v>
      </c>
      <c r="K6458">
        <v>20190531</v>
      </c>
      <c r="L6458" t="str">
        <f t="shared" si="1418"/>
        <v>076974</v>
      </c>
      <c r="M6458" t="str">
        <f t="shared" si="1419"/>
        <v>09170</v>
      </c>
      <c r="N6458" t="s">
        <v>679</v>
      </c>
      <c r="O6458">
        <v>297.45999999999998</v>
      </c>
      <c r="P6458">
        <v>20190530</v>
      </c>
      <c r="Q6458" t="s">
        <v>1884</v>
      </c>
      <c r="R6458" t="s">
        <v>4607</v>
      </c>
      <c r="S6458" t="s">
        <v>1615</v>
      </c>
      <c r="T6458" t="s">
        <v>301</v>
      </c>
    </row>
    <row r="6459" spans="1:20" x14ac:dyDescent="0.25">
      <c r="A6459">
        <v>9</v>
      </c>
      <c r="B6459">
        <v>199</v>
      </c>
      <c r="C6459" t="str">
        <f t="shared" si="1420"/>
        <v>11</v>
      </c>
      <c r="D6459">
        <v>6499</v>
      </c>
      <c r="E6459" t="str">
        <f>"10"</f>
        <v>10</v>
      </c>
      <c r="F6459" t="str">
        <f>"104"</f>
        <v>104</v>
      </c>
      <c r="G6459">
        <v>9</v>
      </c>
      <c r="H6459" t="str">
        <f>"11"</f>
        <v>11</v>
      </c>
      <c r="I6459" t="str">
        <f t="shared" si="1417"/>
        <v>0</v>
      </c>
      <c r="J6459" t="str">
        <f>"05"</f>
        <v>05</v>
      </c>
      <c r="K6459">
        <v>20190531</v>
      </c>
      <c r="L6459" t="str">
        <f t="shared" si="1418"/>
        <v>076974</v>
      </c>
      <c r="M6459" t="str">
        <f t="shared" si="1419"/>
        <v>09170</v>
      </c>
      <c r="N6459" t="s">
        <v>679</v>
      </c>
      <c r="O6459">
        <v>500</v>
      </c>
      <c r="P6459">
        <v>20190530</v>
      </c>
      <c r="Q6459" t="s">
        <v>2640</v>
      </c>
      <c r="R6459" t="s">
        <v>2641</v>
      </c>
      <c r="S6459" t="s">
        <v>1615</v>
      </c>
      <c r="T6459" t="s">
        <v>46</v>
      </c>
    </row>
    <row r="6460" spans="1:20" x14ac:dyDescent="0.25">
      <c r="A6460">
        <v>9</v>
      </c>
      <c r="B6460">
        <v>199</v>
      </c>
      <c r="C6460" t="str">
        <f>"13"</f>
        <v>13</v>
      </c>
      <c r="D6460">
        <v>6411</v>
      </c>
      <c r="E6460" t="str">
        <f>"VH"</f>
        <v>VH</v>
      </c>
      <c r="F6460" t="str">
        <f t="shared" ref="F6460:F6481" si="1422">"001"</f>
        <v>001</v>
      </c>
      <c r="G6460">
        <v>9</v>
      </c>
      <c r="H6460" t="str">
        <f>"22"</f>
        <v>22</v>
      </c>
      <c r="I6460" t="str">
        <f t="shared" si="1417"/>
        <v>0</v>
      </c>
      <c r="J6460" t="str">
        <f>"22"</f>
        <v>22</v>
      </c>
      <c r="K6460">
        <v>20190531</v>
      </c>
      <c r="L6460" t="str">
        <f t="shared" si="1418"/>
        <v>076974</v>
      </c>
      <c r="M6460" t="str">
        <f t="shared" si="1419"/>
        <v>09170</v>
      </c>
      <c r="N6460" t="s">
        <v>679</v>
      </c>
      <c r="O6460">
        <v>327.5</v>
      </c>
      <c r="P6460">
        <v>20190530</v>
      </c>
      <c r="Q6460" t="s">
        <v>4996</v>
      </c>
      <c r="R6460" t="s">
        <v>4997</v>
      </c>
      <c r="S6460" t="s">
        <v>1615</v>
      </c>
      <c r="T6460" t="s">
        <v>301</v>
      </c>
    </row>
    <row r="6461" spans="1:20" x14ac:dyDescent="0.25">
      <c r="A6461">
        <v>9</v>
      </c>
      <c r="B6461">
        <v>199</v>
      </c>
      <c r="C6461" t="str">
        <f>"13"</f>
        <v>13</v>
      </c>
      <c r="D6461">
        <v>6411</v>
      </c>
      <c r="E6461" t="str">
        <f>"VL"</f>
        <v>VL</v>
      </c>
      <c r="F6461" t="str">
        <f t="shared" si="1422"/>
        <v>001</v>
      </c>
      <c r="G6461">
        <v>9</v>
      </c>
      <c r="H6461" t="str">
        <f>"22"</f>
        <v>22</v>
      </c>
      <c r="I6461" t="str">
        <f t="shared" si="1417"/>
        <v>0</v>
      </c>
      <c r="J6461" t="str">
        <f>"22"</f>
        <v>22</v>
      </c>
      <c r="K6461">
        <v>20190531</v>
      </c>
      <c r="L6461" t="str">
        <f t="shared" si="1418"/>
        <v>076974</v>
      </c>
      <c r="M6461" t="str">
        <f t="shared" si="1419"/>
        <v>09170</v>
      </c>
      <c r="N6461" t="s">
        <v>679</v>
      </c>
      <c r="O6461">
        <v>439.6</v>
      </c>
      <c r="P6461">
        <v>20190529</v>
      </c>
      <c r="Q6461" t="s">
        <v>4756</v>
      </c>
      <c r="R6461" t="s">
        <v>5066</v>
      </c>
      <c r="S6461" t="s">
        <v>1615</v>
      </c>
      <c r="T6461" t="s">
        <v>301</v>
      </c>
    </row>
    <row r="6462" spans="1:20" x14ac:dyDescent="0.25">
      <c r="A6462">
        <v>9</v>
      </c>
      <c r="B6462">
        <v>199</v>
      </c>
      <c r="C6462" t="str">
        <f>"13"</f>
        <v>13</v>
      </c>
      <c r="D6462">
        <v>6411</v>
      </c>
      <c r="E6462" t="str">
        <f>"VL"</f>
        <v>VL</v>
      </c>
      <c r="F6462" t="str">
        <f t="shared" si="1422"/>
        <v>001</v>
      </c>
      <c r="G6462">
        <v>9</v>
      </c>
      <c r="H6462" t="str">
        <f>"22"</f>
        <v>22</v>
      </c>
      <c r="I6462" t="str">
        <f t="shared" si="1417"/>
        <v>0</v>
      </c>
      <c r="J6462" t="str">
        <f>"22"</f>
        <v>22</v>
      </c>
      <c r="K6462">
        <v>20190531</v>
      </c>
      <c r="L6462" t="str">
        <f t="shared" si="1418"/>
        <v>076974</v>
      </c>
      <c r="M6462" t="str">
        <f t="shared" si="1419"/>
        <v>09170</v>
      </c>
      <c r="N6462" t="s">
        <v>679</v>
      </c>
      <c r="O6462">
        <v>138.06</v>
      </c>
      <c r="P6462">
        <v>20190529</v>
      </c>
      <c r="Q6462" t="s">
        <v>4756</v>
      </c>
      <c r="R6462" t="s">
        <v>4757</v>
      </c>
      <c r="S6462" t="s">
        <v>1615</v>
      </c>
      <c r="T6462" t="s">
        <v>301</v>
      </c>
    </row>
    <row r="6463" spans="1:20" x14ac:dyDescent="0.25">
      <c r="A6463">
        <v>9</v>
      </c>
      <c r="B6463">
        <v>199</v>
      </c>
      <c r="C6463" t="str">
        <f t="shared" ref="C6463:C6481" si="1423">"36"</f>
        <v>36</v>
      </c>
      <c r="D6463">
        <v>6399</v>
      </c>
      <c r="E6463" t="str">
        <f>"7C"</f>
        <v>7C</v>
      </c>
      <c r="F6463" t="str">
        <f t="shared" si="1422"/>
        <v>001</v>
      </c>
      <c r="G6463">
        <v>9</v>
      </c>
      <c r="H6463" t="str">
        <f>"99"</f>
        <v>99</v>
      </c>
      <c r="I6463" t="str">
        <f t="shared" si="1417"/>
        <v>0</v>
      </c>
      <c r="J6463" t="str">
        <f>"01"</f>
        <v>01</v>
      </c>
      <c r="K6463">
        <v>20190531</v>
      </c>
      <c r="L6463" t="str">
        <f t="shared" si="1418"/>
        <v>076974</v>
      </c>
      <c r="M6463" t="str">
        <f t="shared" si="1419"/>
        <v>09170</v>
      </c>
      <c r="N6463" t="s">
        <v>679</v>
      </c>
      <c r="O6463">
        <v>745.44</v>
      </c>
      <c r="P6463">
        <v>20190530</v>
      </c>
      <c r="Q6463" t="s">
        <v>4579</v>
      </c>
      <c r="R6463" t="s">
        <v>5143</v>
      </c>
      <c r="S6463" t="s">
        <v>1615</v>
      </c>
      <c r="T6463" t="s">
        <v>301</v>
      </c>
    </row>
    <row r="6464" spans="1:20" x14ac:dyDescent="0.25">
      <c r="A6464">
        <v>9</v>
      </c>
      <c r="B6464">
        <v>199</v>
      </c>
      <c r="C6464" t="str">
        <f t="shared" si="1423"/>
        <v>36</v>
      </c>
      <c r="D6464">
        <v>6411</v>
      </c>
      <c r="E6464" t="str">
        <f>"7K"</f>
        <v>7K</v>
      </c>
      <c r="F6464" t="str">
        <f t="shared" si="1422"/>
        <v>001</v>
      </c>
      <c r="G6464">
        <v>9</v>
      </c>
      <c r="H6464" t="str">
        <f>"99"</f>
        <v>99</v>
      </c>
      <c r="I6464" t="str">
        <f>"5"</f>
        <v>5</v>
      </c>
      <c r="J6464" t="str">
        <f>"74"</f>
        <v>74</v>
      </c>
      <c r="K6464">
        <v>20190531</v>
      </c>
      <c r="L6464" t="str">
        <f t="shared" si="1418"/>
        <v>076974</v>
      </c>
      <c r="M6464" t="str">
        <f t="shared" si="1419"/>
        <v>09170</v>
      </c>
      <c r="N6464" t="s">
        <v>679</v>
      </c>
      <c r="O6464">
        <v>19.55</v>
      </c>
      <c r="P6464">
        <v>20190529</v>
      </c>
      <c r="Q6464" t="s">
        <v>5144</v>
      </c>
      <c r="R6464" t="s">
        <v>4672</v>
      </c>
      <c r="S6464" t="s">
        <v>1615</v>
      </c>
      <c r="T6464" t="s">
        <v>301</v>
      </c>
    </row>
    <row r="6465" spans="1:20" x14ac:dyDescent="0.25">
      <c r="A6465">
        <v>9</v>
      </c>
      <c r="B6465">
        <v>199</v>
      </c>
      <c r="C6465" t="str">
        <f t="shared" si="1423"/>
        <v>36</v>
      </c>
      <c r="D6465">
        <v>6411</v>
      </c>
      <c r="E6465" t="str">
        <f>"7K"</f>
        <v>7K</v>
      </c>
      <c r="F6465" t="str">
        <f t="shared" si="1422"/>
        <v>001</v>
      </c>
      <c r="G6465">
        <v>9</v>
      </c>
      <c r="H6465" t="str">
        <f>"99"</f>
        <v>99</v>
      </c>
      <c r="I6465" t="str">
        <f>"5"</f>
        <v>5</v>
      </c>
      <c r="J6465" t="str">
        <f>"74"</f>
        <v>74</v>
      </c>
      <c r="K6465">
        <v>20190531</v>
      </c>
      <c r="L6465" t="str">
        <f t="shared" si="1418"/>
        <v>076974</v>
      </c>
      <c r="M6465" t="str">
        <f t="shared" si="1419"/>
        <v>09170</v>
      </c>
      <c r="N6465" t="s">
        <v>679</v>
      </c>
      <c r="O6465">
        <v>387.95</v>
      </c>
      <c r="P6465">
        <v>20190529</v>
      </c>
      <c r="Q6465" t="s">
        <v>5144</v>
      </c>
      <c r="R6465" t="s">
        <v>4672</v>
      </c>
      <c r="S6465" t="s">
        <v>1615</v>
      </c>
      <c r="T6465" t="s">
        <v>301</v>
      </c>
    </row>
    <row r="6466" spans="1:20" x14ac:dyDescent="0.25">
      <c r="A6466">
        <v>9</v>
      </c>
      <c r="B6466">
        <v>199</v>
      </c>
      <c r="C6466" t="str">
        <f t="shared" si="1423"/>
        <v>36</v>
      </c>
      <c r="D6466">
        <v>6411</v>
      </c>
      <c r="E6466" t="str">
        <f>"7K"</f>
        <v>7K</v>
      </c>
      <c r="F6466" t="str">
        <f t="shared" si="1422"/>
        <v>001</v>
      </c>
      <c r="G6466">
        <v>9</v>
      </c>
      <c r="H6466" t="str">
        <f>"99"</f>
        <v>99</v>
      </c>
      <c r="I6466" t="str">
        <f>"5"</f>
        <v>5</v>
      </c>
      <c r="J6466" t="str">
        <f>"74"</f>
        <v>74</v>
      </c>
      <c r="K6466">
        <v>20190531</v>
      </c>
      <c r="L6466" t="str">
        <f t="shared" si="1418"/>
        <v>076974</v>
      </c>
      <c r="M6466" t="str">
        <f t="shared" si="1419"/>
        <v>09170</v>
      </c>
      <c r="N6466" t="s">
        <v>679</v>
      </c>
      <c r="O6466">
        <v>249.84</v>
      </c>
      <c r="P6466">
        <v>20190529</v>
      </c>
      <c r="Q6466" t="s">
        <v>5144</v>
      </c>
      <c r="R6466" t="s">
        <v>4672</v>
      </c>
      <c r="S6466" t="s">
        <v>1615</v>
      </c>
      <c r="T6466" t="s">
        <v>301</v>
      </c>
    </row>
    <row r="6467" spans="1:20" x14ac:dyDescent="0.25">
      <c r="A6467">
        <v>9</v>
      </c>
      <c r="B6467">
        <v>199</v>
      </c>
      <c r="C6467" t="str">
        <f t="shared" si="1423"/>
        <v>36</v>
      </c>
      <c r="D6467">
        <v>6411</v>
      </c>
      <c r="E6467" t="str">
        <f>"7K"</f>
        <v>7K</v>
      </c>
      <c r="F6467" t="str">
        <f t="shared" si="1422"/>
        <v>001</v>
      </c>
      <c r="G6467">
        <v>9</v>
      </c>
      <c r="H6467" t="str">
        <f>"99"</f>
        <v>99</v>
      </c>
      <c r="I6467" t="str">
        <f>"5"</f>
        <v>5</v>
      </c>
      <c r="J6467" t="str">
        <f>"74"</f>
        <v>74</v>
      </c>
      <c r="K6467">
        <v>20190531</v>
      </c>
      <c r="L6467" t="str">
        <f t="shared" si="1418"/>
        <v>076974</v>
      </c>
      <c r="M6467" t="str">
        <f t="shared" si="1419"/>
        <v>09170</v>
      </c>
      <c r="N6467" t="s">
        <v>679</v>
      </c>
      <c r="O6467" s="1">
        <v>2502.61</v>
      </c>
      <c r="P6467">
        <v>20190530</v>
      </c>
      <c r="Q6467" t="s">
        <v>5144</v>
      </c>
      <c r="R6467" t="s">
        <v>4672</v>
      </c>
      <c r="S6467" t="s">
        <v>1615</v>
      </c>
      <c r="T6467" t="s">
        <v>301</v>
      </c>
    </row>
    <row r="6468" spans="1:20" x14ac:dyDescent="0.25">
      <c r="A6468">
        <v>9</v>
      </c>
      <c r="B6468">
        <v>199</v>
      </c>
      <c r="C6468" t="str">
        <f t="shared" si="1423"/>
        <v>36</v>
      </c>
      <c r="D6468">
        <v>6411</v>
      </c>
      <c r="E6468" t="str">
        <f>"V8"</f>
        <v>V8</v>
      </c>
      <c r="F6468" t="str">
        <f t="shared" si="1422"/>
        <v>001</v>
      </c>
      <c r="G6468">
        <v>9</v>
      </c>
      <c r="H6468" t="str">
        <f>"22"</f>
        <v>22</v>
      </c>
      <c r="I6468" t="str">
        <f>"0"</f>
        <v>0</v>
      </c>
      <c r="J6468" t="str">
        <f>"22"</f>
        <v>22</v>
      </c>
      <c r="K6468">
        <v>20190531</v>
      </c>
      <c r="L6468" t="str">
        <f t="shared" si="1418"/>
        <v>076974</v>
      </c>
      <c r="M6468" t="str">
        <f t="shared" si="1419"/>
        <v>09170</v>
      </c>
      <c r="N6468" t="s">
        <v>679</v>
      </c>
      <c r="O6468">
        <v>233.26</v>
      </c>
      <c r="P6468">
        <v>20190530</v>
      </c>
      <c r="Q6468" t="s">
        <v>2602</v>
      </c>
      <c r="R6468" t="s">
        <v>4607</v>
      </c>
      <c r="S6468" t="s">
        <v>1615</v>
      </c>
      <c r="T6468" t="s">
        <v>301</v>
      </c>
    </row>
    <row r="6469" spans="1:20" x14ac:dyDescent="0.25">
      <c r="A6469">
        <v>9</v>
      </c>
      <c r="B6469">
        <v>199</v>
      </c>
      <c r="C6469" t="str">
        <f t="shared" si="1423"/>
        <v>36</v>
      </c>
      <c r="D6469">
        <v>6411</v>
      </c>
      <c r="E6469" t="str">
        <f>"VB"</f>
        <v>VB</v>
      </c>
      <c r="F6469" t="str">
        <f t="shared" si="1422"/>
        <v>001</v>
      </c>
      <c r="G6469">
        <v>9</v>
      </c>
      <c r="H6469" t="str">
        <f>"22"</f>
        <v>22</v>
      </c>
      <c r="I6469" t="str">
        <f>"0"</f>
        <v>0</v>
      </c>
      <c r="J6469" t="str">
        <f>"22"</f>
        <v>22</v>
      </c>
      <c r="K6469">
        <v>20190531</v>
      </c>
      <c r="L6469" t="str">
        <f t="shared" si="1418"/>
        <v>076974</v>
      </c>
      <c r="M6469" t="str">
        <f t="shared" si="1419"/>
        <v>09170</v>
      </c>
      <c r="N6469" t="s">
        <v>679</v>
      </c>
      <c r="O6469">
        <v>4.68</v>
      </c>
      <c r="P6469">
        <v>20190529</v>
      </c>
      <c r="Q6469" t="s">
        <v>3734</v>
      </c>
      <c r="R6469" t="s">
        <v>3733</v>
      </c>
      <c r="S6469" t="s">
        <v>1615</v>
      </c>
      <c r="T6469" t="s">
        <v>301</v>
      </c>
    </row>
    <row r="6470" spans="1:20" x14ac:dyDescent="0.25">
      <c r="A6470">
        <v>9</v>
      </c>
      <c r="B6470">
        <v>199</v>
      </c>
      <c r="C6470" t="str">
        <f t="shared" si="1423"/>
        <v>36</v>
      </c>
      <c r="D6470">
        <v>6412</v>
      </c>
      <c r="E6470" t="str">
        <f>"11"</f>
        <v>11</v>
      </c>
      <c r="F6470" t="str">
        <f t="shared" si="1422"/>
        <v>001</v>
      </c>
      <c r="G6470">
        <v>9</v>
      </c>
      <c r="H6470" t="str">
        <f t="shared" ref="H6470:H6478" si="1424">"99"</f>
        <v>99</v>
      </c>
      <c r="I6470" t="str">
        <f t="shared" ref="I6470:I6481" si="1425">"5"</f>
        <v>5</v>
      </c>
      <c r="J6470" t="str">
        <f t="shared" ref="J6470:J6481" si="1426">"74"</f>
        <v>74</v>
      </c>
      <c r="K6470">
        <v>20190531</v>
      </c>
      <c r="L6470" t="str">
        <f t="shared" si="1418"/>
        <v>076974</v>
      </c>
      <c r="M6470" t="str">
        <f t="shared" si="1419"/>
        <v>09170</v>
      </c>
      <c r="N6470" t="s">
        <v>679</v>
      </c>
      <c r="O6470" s="1">
        <v>2391.66</v>
      </c>
      <c r="P6470">
        <v>20190530</v>
      </c>
      <c r="Q6470" t="s">
        <v>5145</v>
      </c>
      <c r="R6470" t="s">
        <v>5146</v>
      </c>
      <c r="S6470" t="s">
        <v>1615</v>
      </c>
      <c r="T6470" t="s">
        <v>301</v>
      </c>
    </row>
    <row r="6471" spans="1:20" x14ac:dyDescent="0.25">
      <c r="A6471">
        <v>9</v>
      </c>
      <c r="B6471">
        <v>199</v>
      </c>
      <c r="C6471" t="str">
        <f t="shared" si="1423"/>
        <v>36</v>
      </c>
      <c r="D6471">
        <v>6412</v>
      </c>
      <c r="E6471" t="str">
        <f t="shared" ref="E6471:E6478" si="1427">"7K"</f>
        <v>7K</v>
      </c>
      <c r="F6471" t="str">
        <f t="shared" si="1422"/>
        <v>001</v>
      </c>
      <c r="G6471">
        <v>9</v>
      </c>
      <c r="H6471" t="str">
        <f t="shared" si="1424"/>
        <v>99</v>
      </c>
      <c r="I6471" t="str">
        <f t="shared" si="1425"/>
        <v>5</v>
      </c>
      <c r="J6471" t="str">
        <f t="shared" si="1426"/>
        <v>74</v>
      </c>
      <c r="K6471">
        <v>20190531</v>
      </c>
      <c r="L6471" t="str">
        <f t="shared" si="1418"/>
        <v>076974</v>
      </c>
      <c r="M6471" t="str">
        <f t="shared" si="1419"/>
        <v>09170</v>
      </c>
      <c r="N6471" t="s">
        <v>679</v>
      </c>
      <c r="O6471">
        <v>115.43</v>
      </c>
      <c r="P6471">
        <v>20190529</v>
      </c>
      <c r="Q6471" t="s">
        <v>4671</v>
      </c>
      <c r="R6471" t="s">
        <v>4672</v>
      </c>
      <c r="S6471" t="s">
        <v>1615</v>
      </c>
      <c r="T6471" t="s">
        <v>301</v>
      </c>
    </row>
    <row r="6472" spans="1:20" x14ac:dyDescent="0.25">
      <c r="A6472">
        <v>9</v>
      </c>
      <c r="B6472">
        <v>199</v>
      </c>
      <c r="C6472" t="str">
        <f t="shared" si="1423"/>
        <v>36</v>
      </c>
      <c r="D6472">
        <v>6412</v>
      </c>
      <c r="E6472" t="str">
        <f t="shared" si="1427"/>
        <v>7K</v>
      </c>
      <c r="F6472" t="str">
        <f t="shared" si="1422"/>
        <v>001</v>
      </c>
      <c r="G6472">
        <v>9</v>
      </c>
      <c r="H6472" t="str">
        <f t="shared" si="1424"/>
        <v>99</v>
      </c>
      <c r="I6472" t="str">
        <f t="shared" si="1425"/>
        <v>5</v>
      </c>
      <c r="J6472" t="str">
        <f t="shared" si="1426"/>
        <v>74</v>
      </c>
      <c r="K6472">
        <v>20190531</v>
      </c>
      <c r="L6472" t="str">
        <f t="shared" si="1418"/>
        <v>076974</v>
      </c>
      <c r="M6472" t="str">
        <f t="shared" si="1419"/>
        <v>09170</v>
      </c>
      <c r="N6472" t="s">
        <v>679</v>
      </c>
      <c r="O6472" s="1">
        <v>1345.08</v>
      </c>
      <c r="P6472">
        <v>20190529</v>
      </c>
      <c r="Q6472" t="s">
        <v>4671</v>
      </c>
      <c r="R6472" t="s">
        <v>4672</v>
      </c>
      <c r="S6472" t="s">
        <v>1615</v>
      </c>
      <c r="T6472" t="s">
        <v>301</v>
      </c>
    </row>
    <row r="6473" spans="1:20" x14ac:dyDescent="0.25">
      <c r="A6473">
        <v>9</v>
      </c>
      <c r="B6473">
        <v>199</v>
      </c>
      <c r="C6473" t="str">
        <f t="shared" si="1423"/>
        <v>36</v>
      </c>
      <c r="D6473">
        <v>6412</v>
      </c>
      <c r="E6473" t="str">
        <f t="shared" si="1427"/>
        <v>7K</v>
      </c>
      <c r="F6473" t="str">
        <f t="shared" si="1422"/>
        <v>001</v>
      </c>
      <c r="G6473">
        <v>9</v>
      </c>
      <c r="H6473" t="str">
        <f t="shared" si="1424"/>
        <v>99</v>
      </c>
      <c r="I6473" t="str">
        <f t="shared" si="1425"/>
        <v>5</v>
      </c>
      <c r="J6473" t="str">
        <f t="shared" si="1426"/>
        <v>74</v>
      </c>
      <c r="K6473">
        <v>20190531</v>
      </c>
      <c r="L6473" t="str">
        <f t="shared" si="1418"/>
        <v>076974</v>
      </c>
      <c r="M6473" t="str">
        <f t="shared" si="1419"/>
        <v>09170</v>
      </c>
      <c r="N6473" t="s">
        <v>679</v>
      </c>
      <c r="O6473">
        <v>461</v>
      </c>
      <c r="P6473">
        <v>20190529</v>
      </c>
      <c r="Q6473" t="s">
        <v>4671</v>
      </c>
      <c r="R6473" t="s">
        <v>4672</v>
      </c>
      <c r="S6473" t="s">
        <v>1615</v>
      </c>
      <c r="T6473" t="s">
        <v>301</v>
      </c>
    </row>
    <row r="6474" spans="1:20" x14ac:dyDescent="0.25">
      <c r="A6474">
        <v>9</v>
      </c>
      <c r="B6474">
        <v>199</v>
      </c>
      <c r="C6474" t="str">
        <f t="shared" si="1423"/>
        <v>36</v>
      </c>
      <c r="D6474">
        <v>6412</v>
      </c>
      <c r="E6474" t="str">
        <f t="shared" si="1427"/>
        <v>7K</v>
      </c>
      <c r="F6474" t="str">
        <f t="shared" si="1422"/>
        <v>001</v>
      </c>
      <c r="G6474">
        <v>9</v>
      </c>
      <c r="H6474" t="str">
        <f t="shared" si="1424"/>
        <v>99</v>
      </c>
      <c r="I6474" t="str">
        <f t="shared" si="1425"/>
        <v>5</v>
      </c>
      <c r="J6474" t="str">
        <f t="shared" si="1426"/>
        <v>74</v>
      </c>
      <c r="K6474">
        <v>20190531</v>
      </c>
      <c r="L6474" t="str">
        <f t="shared" si="1418"/>
        <v>076974</v>
      </c>
      <c r="M6474" t="str">
        <f t="shared" si="1419"/>
        <v>09170</v>
      </c>
      <c r="N6474" t="s">
        <v>679</v>
      </c>
      <c r="O6474">
        <v>75.459999999999994</v>
      </c>
      <c r="P6474">
        <v>20190529</v>
      </c>
      <c r="Q6474" t="s">
        <v>4671</v>
      </c>
      <c r="R6474" t="s">
        <v>4672</v>
      </c>
      <c r="S6474" t="s">
        <v>1615</v>
      </c>
      <c r="T6474" t="s">
        <v>301</v>
      </c>
    </row>
    <row r="6475" spans="1:20" x14ac:dyDescent="0.25">
      <c r="A6475">
        <v>9</v>
      </c>
      <c r="B6475">
        <v>199</v>
      </c>
      <c r="C6475" t="str">
        <f t="shared" si="1423"/>
        <v>36</v>
      </c>
      <c r="D6475">
        <v>6412</v>
      </c>
      <c r="E6475" t="str">
        <f t="shared" si="1427"/>
        <v>7K</v>
      </c>
      <c r="F6475" t="str">
        <f t="shared" si="1422"/>
        <v>001</v>
      </c>
      <c r="G6475">
        <v>9</v>
      </c>
      <c r="H6475" t="str">
        <f t="shared" si="1424"/>
        <v>99</v>
      </c>
      <c r="I6475" t="str">
        <f t="shared" si="1425"/>
        <v>5</v>
      </c>
      <c r="J6475" t="str">
        <f t="shared" si="1426"/>
        <v>74</v>
      </c>
      <c r="K6475">
        <v>20190531</v>
      </c>
      <c r="L6475" t="str">
        <f t="shared" si="1418"/>
        <v>076974</v>
      </c>
      <c r="M6475" t="str">
        <f t="shared" si="1419"/>
        <v>09170</v>
      </c>
      <c r="N6475" t="s">
        <v>679</v>
      </c>
      <c r="O6475">
        <v>178.35</v>
      </c>
      <c r="P6475">
        <v>20190529</v>
      </c>
      <c r="Q6475" t="s">
        <v>4671</v>
      </c>
      <c r="R6475" t="s">
        <v>4672</v>
      </c>
      <c r="S6475" t="s">
        <v>1615</v>
      </c>
      <c r="T6475" t="s">
        <v>301</v>
      </c>
    </row>
    <row r="6476" spans="1:20" x14ac:dyDescent="0.25">
      <c r="A6476">
        <v>9</v>
      </c>
      <c r="B6476">
        <v>199</v>
      </c>
      <c r="C6476" t="str">
        <f t="shared" si="1423"/>
        <v>36</v>
      </c>
      <c r="D6476">
        <v>6412</v>
      </c>
      <c r="E6476" t="str">
        <f t="shared" si="1427"/>
        <v>7K</v>
      </c>
      <c r="F6476" t="str">
        <f t="shared" si="1422"/>
        <v>001</v>
      </c>
      <c r="G6476">
        <v>9</v>
      </c>
      <c r="H6476" t="str">
        <f t="shared" si="1424"/>
        <v>99</v>
      </c>
      <c r="I6476" t="str">
        <f t="shared" si="1425"/>
        <v>5</v>
      </c>
      <c r="J6476" t="str">
        <f t="shared" si="1426"/>
        <v>74</v>
      </c>
      <c r="K6476">
        <v>20190531</v>
      </c>
      <c r="L6476" t="str">
        <f t="shared" si="1418"/>
        <v>076974</v>
      </c>
      <c r="M6476" t="str">
        <f t="shared" si="1419"/>
        <v>09170</v>
      </c>
      <c r="N6476" t="s">
        <v>679</v>
      </c>
      <c r="O6476">
        <v>256</v>
      </c>
      <c r="P6476">
        <v>20190529</v>
      </c>
      <c r="Q6476" t="s">
        <v>4671</v>
      </c>
      <c r="R6476" t="s">
        <v>4672</v>
      </c>
      <c r="S6476" t="s">
        <v>1615</v>
      </c>
      <c r="T6476" t="s">
        <v>301</v>
      </c>
    </row>
    <row r="6477" spans="1:20" x14ac:dyDescent="0.25">
      <c r="A6477">
        <v>9</v>
      </c>
      <c r="B6477">
        <v>199</v>
      </c>
      <c r="C6477" t="str">
        <f t="shared" si="1423"/>
        <v>36</v>
      </c>
      <c r="D6477">
        <v>6412</v>
      </c>
      <c r="E6477" t="str">
        <f t="shared" si="1427"/>
        <v>7K</v>
      </c>
      <c r="F6477" t="str">
        <f t="shared" si="1422"/>
        <v>001</v>
      </c>
      <c r="G6477">
        <v>9</v>
      </c>
      <c r="H6477" t="str">
        <f t="shared" si="1424"/>
        <v>99</v>
      </c>
      <c r="I6477" t="str">
        <f t="shared" si="1425"/>
        <v>5</v>
      </c>
      <c r="J6477" t="str">
        <f t="shared" si="1426"/>
        <v>74</v>
      </c>
      <c r="K6477">
        <v>20190531</v>
      </c>
      <c r="L6477" t="str">
        <f t="shared" si="1418"/>
        <v>076974</v>
      </c>
      <c r="M6477" t="str">
        <f t="shared" si="1419"/>
        <v>09170</v>
      </c>
      <c r="N6477" t="s">
        <v>679</v>
      </c>
      <c r="O6477">
        <v>281.79000000000002</v>
      </c>
      <c r="P6477">
        <v>20190529</v>
      </c>
      <c r="Q6477" t="s">
        <v>4671</v>
      </c>
      <c r="R6477" t="s">
        <v>4672</v>
      </c>
      <c r="S6477" t="s">
        <v>1615</v>
      </c>
      <c r="T6477" t="s">
        <v>301</v>
      </c>
    </row>
    <row r="6478" spans="1:20" x14ac:dyDescent="0.25">
      <c r="A6478">
        <v>9</v>
      </c>
      <c r="B6478">
        <v>199</v>
      </c>
      <c r="C6478" t="str">
        <f t="shared" si="1423"/>
        <v>36</v>
      </c>
      <c r="D6478">
        <v>6412</v>
      </c>
      <c r="E6478" t="str">
        <f t="shared" si="1427"/>
        <v>7K</v>
      </c>
      <c r="F6478" t="str">
        <f t="shared" si="1422"/>
        <v>001</v>
      </c>
      <c r="G6478">
        <v>9</v>
      </c>
      <c r="H6478" t="str">
        <f t="shared" si="1424"/>
        <v>99</v>
      </c>
      <c r="I6478" t="str">
        <f t="shared" si="1425"/>
        <v>5</v>
      </c>
      <c r="J6478" t="str">
        <f t="shared" si="1426"/>
        <v>74</v>
      </c>
      <c r="K6478">
        <v>20190531</v>
      </c>
      <c r="L6478" t="str">
        <f t="shared" si="1418"/>
        <v>076974</v>
      </c>
      <c r="M6478" t="str">
        <f t="shared" si="1419"/>
        <v>09170</v>
      </c>
      <c r="N6478" t="s">
        <v>679</v>
      </c>
      <c r="O6478" s="1">
        <v>2539.64</v>
      </c>
      <c r="P6478">
        <v>20190530</v>
      </c>
      <c r="Q6478" t="s">
        <v>4671</v>
      </c>
      <c r="R6478" t="s">
        <v>4672</v>
      </c>
      <c r="S6478" t="s">
        <v>1615</v>
      </c>
      <c r="T6478" t="s">
        <v>301</v>
      </c>
    </row>
    <row r="6479" spans="1:20" x14ac:dyDescent="0.25">
      <c r="A6479">
        <v>9</v>
      </c>
      <c r="B6479">
        <v>199</v>
      </c>
      <c r="C6479" t="str">
        <f t="shared" si="1423"/>
        <v>36</v>
      </c>
      <c r="D6479">
        <v>6412</v>
      </c>
      <c r="E6479" t="str">
        <f>"V2"</f>
        <v>V2</v>
      </c>
      <c r="F6479" t="str">
        <f t="shared" si="1422"/>
        <v>001</v>
      </c>
      <c r="G6479">
        <v>9</v>
      </c>
      <c r="H6479" t="str">
        <f>"22"</f>
        <v>22</v>
      </c>
      <c r="I6479" t="str">
        <f t="shared" si="1425"/>
        <v>5</v>
      </c>
      <c r="J6479" t="str">
        <f t="shared" si="1426"/>
        <v>74</v>
      </c>
      <c r="K6479">
        <v>20190531</v>
      </c>
      <c r="L6479" t="str">
        <f t="shared" si="1418"/>
        <v>076974</v>
      </c>
      <c r="M6479" t="str">
        <f t="shared" si="1419"/>
        <v>09170</v>
      </c>
      <c r="N6479" t="s">
        <v>679</v>
      </c>
      <c r="O6479" s="1">
        <v>1557.6</v>
      </c>
      <c r="P6479">
        <v>20190530</v>
      </c>
      <c r="Q6479" t="s">
        <v>5147</v>
      </c>
      <c r="R6479" t="s">
        <v>5148</v>
      </c>
      <c r="S6479" t="s">
        <v>1615</v>
      </c>
      <c r="T6479" t="s">
        <v>301</v>
      </c>
    </row>
    <row r="6480" spans="1:20" x14ac:dyDescent="0.25">
      <c r="A6480">
        <v>9</v>
      </c>
      <c r="B6480">
        <v>199</v>
      </c>
      <c r="C6480" t="str">
        <f t="shared" si="1423"/>
        <v>36</v>
      </c>
      <c r="D6480">
        <v>6412</v>
      </c>
      <c r="E6480" t="str">
        <f>"VB"</f>
        <v>VB</v>
      </c>
      <c r="F6480" t="str">
        <f t="shared" si="1422"/>
        <v>001</v>
      </c>
      <c r="G6480">
        <v>9</v>
      </c>
      <c r="H6480" t="str">
        <f>"22"</f>
        <v>22</v>
      </c>
      <c r="I6480" t="str">
        <f t="shared" si="1425"/>
        <v>5</v>
      </c>
      <c r="J6480" t="str">
        <f t="shared" si="1426"/>
        <v>74</v>
      </c>
      <c r="K6480">
        <v>20190531</v>
      </c>
      <c r="L6480" t="str">
        <f t="shared" si="1418"/>
        <v>076974</v>
      </c>
      <c r="M6480" t="str">
        <f t="shared" si="1419"/>
        <v>09170</v>
      </c>
      <c r="N6480" t="s">
        <v>679</v>
      </c>
      <c r="O6480">
        <v>-570</v>
      </c>
      <c r="P6480">
        <v>20190510</v>
      </c>
      <c r="Q6480" t="s">
        <v>4391</v>
      </c>
      <c r="R6480" t="s">
        <v>4392</v>
      </c>
      <c r="S6480" t="s">
        <v>1615</v>
      </c>
      <c r="T6480" t="s">
        <v>301</v>
      </c>
    </row>
    <row r="6481" spans="1:20" x14ac:dyDescent="0.25">
      <c r="A6481">
        <v>9</v>
      </c>
      <c r="B6481">
        <v>199</v>
      </c>
      <c r="C6481" t="str">
        <f t="shared" si="1423"/>
        <v>36</v>
      </c>
      <c r="D6481">
        <v>6412</v>
      </c>
      <c r="E6481" t="str">
        <f>"VD"</f>
        <v>VD</v>
      </c>
      <c r="F6481" t="str">
        <f t="shared" si="1422"/>
        <v>001</v>
      </c>
      <c r="G6481">
        <v>9</v>
      </c>
      <c r="H6481" t="str">
        <f>"22"</f>
        <v>22</v>
      </c>
      <c r="I6481" t="str">
        <f t="shared" si="1425"/>
        <v>5</v>
      </c>
      <c r="J6481" t="str">
        <f t="shared" si="1426"/>
        <v>74</v>
      </c>
      <c r="K6481">
        <v>20190531</v>
      </c>
      <c r="L6481" t="str">
        <f t="shared" si="1418"/>
        <v>076974</v>
      </c>
      <c r="M6481" t="str">
        <f t="shared" si="1419"/>
        <v>09170</v>
      </c>
      <c r="N6481" t="s">
        <v>679</v>
      </c>
      <c r="O6481" s="1">
        <v>5973.75</v>
      </c>
      <c r="P6481">
        <v>20190530</v>
      </c>
      <c r="Q6481" t="s">
        <v>4369</v>
      </c>
      <c r="R6481" t="s">
        <v>4370</v>
      </c>
      <c r="S6481" t="s">
        <v>1615</v>
      </c>
      <c r="T6481" t="s">
        <v>301</v>
      </c>
    </row>
    <row r="6482" spans="1:20" x14ac:dyDescent="0.25">
      <c r="A6482">
        <v>9</v>
      </c>
      <c r="B6482">
        <v>199</v>
      </c>
      <c r="C6482" t="str">
        <f>"41"</f>
        <v>41</v>
      </c>
      <c r="D6482">
        <v>6299</v>
      </c>
      <c r="E6482" t="str">
        <f>"10"</f>
        <v>10</v>
      </c>
      <c r="F6482" t="str">
        <f>"730"</f>
        <v>730</v>
      </c>
      <c r="G6482">
        <v>9</v>
      </c>
      <c r="H6482" t="str">
        <f>"99"</f>
        <v>99</v>
      </c>
      <c r="I6482" t="str">
        <f t="shared" ref="I6482:I6514" si="1428">"0"</f>
        <v>0</v>
      </c>
      <c r="J6482" t="str">
        <f>"95"</f>
        <v>95</v>
      </c>
      <c r="K6482">
        <v>20190531</v>
      </c>
      <c r="L6482" t="str">
        <f t="shared" si="1418"/>
        <v>076974</v>
      </c>
      <c r="M6482" t="str">
        <f t="shared" si="1419"/>
        <v>09170</v>
      </c>
      <c r="N6482" t="s">
        <v>679</v>
      </c>
      <c r="O6482">
        <v>246.25</v>
      </c>
      <c r="P6482">
        <v>20190529</v>
      </c>
      <c r="Q6482" t="s">
        <v>2434</v>
      </c>
      <c r="R6482" t="s">
        <v>5149</v>
      </c>
      <c r="S6482" t="s">
        <v>1615</v>
      </c>
      <c r="T6482" t="s">
        <v>1794</v>
      </c>
    </row>
    <row r="6483" spans="1:20" x14ac:dyDescent="0.25">
      <c r="A6483">
        <v>9</v>
      </c>
      <c r="B6483">
        <v>199</v>
      </c>
      <c r="C6483" t="str">
        <f>"41"</f>
        <v>41</v>
      </c>
      <c r="D6483">
        <v>6299</v>
      </c>
      <c r="E6483" t="str">
        <f>"10"</f>
        <v>10</v>
      </c>
      <c r="F6483" t="str">
        <f>"730"</f>
        <v>730</v>
      </c>
      <c r="G6483">
        <v>9</v>
      </c>
      <c r="H6483" t="str">
        <f>"99"</f>
        <v>99</v>
      </c>
      <c r="I6483" t="str">
        <f t="shared" si="1428"/>
        <v>0</v>
      </c>
      <c r="J6483" t="str">
        <f>"95"</f>
        <v>95</v>
      </c>
      <c r="K6483">
        <v>20190531</v>
      </c>
      <c r="L6483" t="str">
        <f t="shared" si="1418"/>
        <v>076974</v>
      </c>
      <c r="M6483" t="str">
        <f t="shared" si="1419"/>
        <v>09170</v>
      </c>
      <c r="N6483" t="s">
        <v>679</v>
      </c>
      <c r="O6483">
        <v>49.25</v>
      </c>
      <c r="P6483">
        <v>20190529</v>
      </c>
      <c r="Q6483" t="s">
        <v>2434</v>
      </c>
      <c r="R6483" s="3">
        <v>43585</v>
      </c>
      <c r="S6483" t="s">
        <v>1615</v>
      </c>
      <c r="T6483" t="s">
        <v>1794</v>
      </c>
    </row>
    <row r="6484" spans="1:20" x14ac:dyDescent="0.25">
      <c r="A6484">
        <v>9</v>
      </c>
      <c r="B6484">
        <v>199</v>
      </c>
      <c r="C6484" t="str">
        <f>"41"</f>
        <v>41</v>
      </c>
      <c r="D6484">
        <v>6399</v>
      </c>
      <c r="E6484" t="str">
        <f>"10"</f>
        <v>10</v>
      </c>
      <c r="F6484" t="str">
        <f>"726"</f>
        <v>726</v>
      </c>
      <c r="G6484">
        <v>9</v>
      </c>
      <c r="H6484" t="str">
        <f>"99"</f>
        <v>99</v>
      </c>
      <c r="I6484" t="str">
        <f t="shared" si="1428"/>
        <v>0</v>
      </c>
      <c r="J6484" t="str">
        <f>"91"</f>
        <v>91</v>
      </c>
      <c r="K6484">
        <v>20190531</v>
      </c>
      <c r="L6484" t="str">
        <f t="shared" si="1418"/>
        <v>076974</v>
      </c>
      <c r="M6484" t="str">
        <f t="shared" si="1419"/>
        <v>09170</v>
      </c>
      <c r="N6484" t="s">
        <v>679</v>
      </c>
      <c r="O6484">
        <v>32.42</v>
      </c>
      <c r="P6484">
        <v>20190529</v>
      </c>
      <c r="Q6484" t="s">
        <v>2702</v>
      </c>
      <c r="R6484" t="s">
        <v>5150</v>
      </c>
      <c r="S6484" t="s">
        <v>1615</v>
      </c>
      <c r="T6484" t="s">
        <v>2608</v>
      </c>
    </row>
    <row r="6485" spans="1:20" x14ac:dyDescent="0.25">
      <c r="A6485">
        <v>9</v>
      </c>
      <c r="B6485">
        <v>199</v>
      </c>
      <c r="C6485" t="str">
        <f>"41"</f>
        <v>41</v>
      </c>
      <c r="D6485">
        <v>6499</v>
      </c>
      <c r="E6485" t="str">
        <f>"10"</f>
        <v>10</v>
      </c>
      <c r="F6485" t="str">
        <f>"730"</f>
        <v>730</v>
      </c>
      <c r="G6485">
        <v>9</v>
      </c>
      <c r="H6485" t="str">
        <f>"99"</f>
        <v>99</v>
      </c>
      <c r="I6485" t="str">
        <f t="shared" si="1428"/>
        <v>0</v>
      </c>
      <c r="J6485" t="str">
        <f>"95"</f>
        <v>95</v>
      </c>
      <c r="K6485">
        <v>20190531</v>
      </c>
      <c r="L6485" t="str">
        <f t="shared" si="1418"/>
        <v>076974</v>
      </c>
      <c r="M6485" t="str">
        <f t="shared" si="1419"/>
        <v>09170</v>
      </c>
      <c r="N6485" t="s">
        <v>679</v>
      </c>
      <c r="O6485" s="1">
        <v>1549.9</v>
      </c>
      <c r="P6485">
        <v>20190530</v>
      </c>
      <c r="Q6485" t="s">
        <v>1792</v>
      </c>
      <c r="R6485" t="s">
        <v>5151</v>
      </c>
      <c r="S6485" t="s">
        <v>1615</v>
      </c>
      <c r="T6485" t="s">
        <v>1794</v>
      </c>
    </row>
    <row r="6486" spans="1:20" x14ac:dyDescent="0.25">
      <c r="A6486">
        <v>9</v>
      </c>
      <c r="B6486">
        <v>199</v>
      </c>
      <c r="C6486" t="str">
        <f>"11"</f>
        <v>11</v>
      </c>
      <c r="D6486">
        <v>6299</v>
      </c>
      <c r="E6486" t="str">
        <f>"7E"</f>
        <v>7E</v>
      </c>
      <c r="F6486" t="str">
        <f>"001"</f>
        <v>001</v>
      </c>
      <c r="G6486">
        <v>9</v>
      </c>
      <c r="H6486" t="str">
        <f>"11"</f>
        <v>11</v>
      </c>
      <c r="I6486" t="str">
        <f t="shared" si="1428"/>
        <v>0</v>
      </c>
      <c r="J6486" t="str">
        <f>"31"</f>
        <v>31</v>
      </c>
      <c r="K6486">
        <v>20190531</v>
      </c>
      <c r="L6486" t="str">
        <f>"076976"</f>
        <v>076976</v>
      </c>
      <c r="M6486" t="str">
        <f>"00580"</f>
        <v>00580</v>
      </c>
      <c r="N6486" t="s">
        <v>2718</v>
      </c>
      <c r="O6486">
        <v>150</v>
      </c>
      <c r="P6486">
        <v>20190530</v>
      </c>
      <c r="Q6486" t="s">
        <v>1873</v>
      </c>
      <c r="R6486" t="s">
        <v>5152</v>
      </c>
      <c r="S6486" t="s">
        <v>1615</v>
      </c>
      <c r="T6486" t="s">
        <v>301</v>
      </c>
    </row>
    <row r="6487" spans="1:20" x14ac:dyDescent="0.25">
      <c r="A6487">
        <v>9</v>
      </c>
      <c r="B6487">
        <v>199</v>
      </c>
      <c r="C6487" t="str">
        <f>"11"</f>
        <v>11</v>
      </c>
      <c r="D6487">
        <v>6399</v>
      </c>
      <c r="E6487" t="str">
        <f>"N9"</f>
        <v>N9</v>
      </c>
      <c r="F6487" t="str">
        <f>"001"</f>
        <v>001</v>
      </c>
      <c r="G6487">
        <v>9</v>
      </c>
      <c r="H6487" t="str">
        <f>"11"</f>
        <v>11</v>
      </c>
      <c r="I6487" t="str">
        <f t="shared" si="1428"/>
        <v>0</v>
      </c>
      <c r="J6487" t="str">
        <f>"01"</f>
        <v>01</v>
      </c>
      <c r="K6487">
        <v>20190531</v>
      </c>
      <c r="L6487" t="str">
        <f>"076978"</f>
        <v>076978</v>
      </c>
      <c r="M6487" t="str">
        <f>"11125"</f>
        <v>11125</v>
      </c>
      <c r="N6487" t="s">
        <v>3728</v>
      </c>
      <c r="O6487" s="1">
        <v>1071.67</v>
      </c>
      <c r="P6487">
        <v>20190530</v>
      </c>
      <c r="Q6487" t="s">
        <v>2160</v>
      </c>
      <c r="R6487" t="s">
        <v>5153</v>
      </c>
      <c r="S6487" t="s">
        <v>1615</v>
      </c>
      <c r="T6487" t="s">
        <v>301</v>
      </c>
    </row>
    <row r="6488" spans="1:20" x14ac:dyDescent="0.25">
      <c r="A6488">
        <v>9</v>
      </c>
      <c r="B6488">
        <v>199</v>
      </c>
      <c r="C6488" t="str">
        <f>"11"</f>
        <v>11</v>
      </c>
      <c r="D6488">
        <v>6299</v>
      </c>
      <c r="E6488" t="str">
        <f>"7E"</f>
        <v>7E</v>
      </c>
      <c r="F6488" t="str">
        <f>"001"</f>
        <v>001</v>
      </c>
      <c r="G6488">
        <v>9</v>
      </c>
      <c r="H6488" t="str">
        <f>"11"</f>
        <v>11</v>
      </c>
      <c r="I6488" t="str">
        <f t="shared" si="1428"/>
        <v>0</v>
      </c>
      <c r="J6488" t="str">
        <f>"31"</f>
        <v>31</v>
      </c>
      <c r="K6488">
        <v>20190531</v>
      </c>
      <c r="L6488" t="str">
        <f>"076980"</f>
        <v>076980</v>
      </c>
      <c r="M6488" t="str">
        <f>"13165"</f>
        <v>13165</v>
      </c>
      <c r="N6488" t="s">
        <v>1872</v>
      </c>
      <c r="O6488">
        <v>150</v>
      </c>
      <c r="P6488">
        <v>20190530</v>
      </c>
      <c r="Q6488" t="s">
        <v>1873</v>
      </c>
      <c r="R6488" t="s">
        <v>5152</v>
      </c>
      <c r="S6488" t="s">
        <v>1615</v>
      </c>
      <c r="T6488" t="s">
        <v>301</v>
      </c>
    </row>
    <row r="6489" spans="1:20" x14ac:dyDescent="0.25">
      <c r="A6489">
        <v>9</v>
      </c>
      <c r="B6489">
        <v>199</v>
      </c>
      <c r="C6489" t="str">
        <f>"11"</f>
        <v>11</v>
      </c>
      <c r="D6489">
        <v>6399</v>
      </c>
      <c r="E6489" t="str">
        <f>"VL"</f>
        <v>VL</v>
      </c>
      <c r="F6489" t="str">
        <f>"001"</f>
        <v>001</v>
      </c>
      <c r="G6489">
        <v>9</v>
      </c>
      <c r="H6489" t="str">
        <f>"22"</f>
        <v>22</v>
      </c>
      <c r="I6489" t="str">
        <f t="shared" si="1428"/>
        <v>0</v>
      </c>
      <c r="J6489" t="str">
        <f>"22"</f>
        <v>22</v>
      </c>
      <c r="K6489">
        <v>20190531</v>
      </c>
      <c r="L6489" t="str">
        <f>"076982"</f>
        <v>076982</v>
      </c>
      <c r="M6489" t="str">
        <f>"00809"</f>
        <v>00809</v>
      </c>
      <c r="N6489" t="s">
        <v>5154</v>
      </c>
      <c r="O6489">
        <v>99</v>
      </c>
      <c r="P6489">
        <v>20190530</v>
      </c>
      <c r="Q6489" t="s">
        <v>3104</v>
      </c>
      <c r="R6489" t="s">
        <v>5155</v>
      </c>
      <c r="S6489" t="s">
        <v>1615</v>
      </c>
      <c r="T6489" t="s">
        <v>301</v>
      </c>
    </row>
    <row r="6490" spans="1:20" x14ac:dyDescent="0.25">
      <c r="A6490">
        <v>9</v>
      </c>
      <c r="B6490">
        <v>199</v>
      </c>
      <c r="C6490" t="str">
        <f>"00"</f>
        <v>00</v>
      </c>
      <c r="D6490">
        <v>1411</v>
      </c>
      <c r="E6490" t="str">
        <f>"05"</f>
        <v>05</v>
      </c>
      <c r="F6490" t="str">
        <f>"000"</f>
        <v>000</v>
      </c>
      <c r="G6490">
        <v>9</v>
      </c>
      <c r="H6490" t="str">
        <f>"00"</f>
        <v>00</v>
      </c>
      <c r="I6490" t="str">
        <f t="shared" si="1428"/>
        <v>0</v>
      </c>
      <c r="J6490" t="str">
        <f>"00"</f>
        <v>00</v>
      </c>
      <c r="K6490">
        <v>20190531</v>
      </c>
      <c r="L6490" t="str">
        <f>"076983"</f>
        <v>076983</v>
      </c>
      <c r="M6490" t="str">
        <f>"19140"</f>
        <v>19140</v>
      </c>
      <c r="N6490" t="s">
        <v>4005</v>
      </c>
      <c r="O6490" s="1">
        <v>7372</v>
      </c>
      <c r="P6490">
        <v>20190530</v>
      </c>
      <c r="Q6490" t="s">
        <v>4006</v>
      </c>
      <c r="R6490" t="s">
        <v>5156</v>
      </c>
      <c r="S6490" t="s">
        <v>1615</v>
      </c>
      <c r="T6490" t="s">
        <v>296</v>
      </c>
    </row>
    <row r="6491" spans="1:20" x14ac:dyDescent="0.25">
      <c r="A6491">
        <v>9</v>
      </c>
      <c r="B6491">
        <v>199</v>
      </c>
      <c r="C6491" t="str">
        <f>"11"</f>
        <v>11</v>
      </c>
      <c r="D6491">
        <v>6399</v>
      </c>
      <c r="E6491" t="str">
        <f>"AY"</f>
        <v>AY</v>
      </c>
      <c r="F6491" t="str">
        <f>"001"</f>
        <v>001</v>
      </c>
      <c r="G6491">
        <v>9</v>
      </c>
      <c r="H6491" t="str">
        <f>"11"</f>
        <v>11</v>
      </c>
      <c r="I6491" t="str">
        <f t="shared" si="1428"/>
        <v>0</v>
      </c>
      <c r="J6491" t="str">
        <f>"01"</f>
        <v>01</v>
      </c>
      <c r="K6491">
        <v>20190531</v>
      </c>
      <c r="L6491" t="str">
        <f>"076984"</f>
        <v>076984</v>
      </c>
      <c r="M6491" t="str">
        <f>"19160"</f>
        <v>19160</v>
      </c>
      <c r="N6491" t="s">
        <v>3097</v>
      </c>
      <c r="O6491" s="1">
        <v>2275.5300000000002</v>
      </c>
      <c r="P6491">
        <v>20190530</v>
      </c>
      <c r="Q6491" t="s">
        <v>3098</v>
      </c>
      <c r="R6491" t="s">
        <v>5090</v>
      </c>
      <c r="S6491" t="s">
        <v>1615</v>
      </c>
      <c r="T6491" t="s">
        <v>301</v>
      </c>
    </row>
    <row r="6492" spans="1:20" x14ac:dyDescent="0.25">
      <c r="A6492">
        <v>9</v>
      </c>
      <c r="B6492">
        <v>199</v>
      </c>
      <c r="C6492" t="str">
        <f>"11"</f>
        <v>11</v>
      </c>
      <c r="D6492">
        <v>6399</v>
      </c>
      <c r="E6492" t="str">
        <f>"AY"</f>
        <v>AY</v>
      </c>
      <c r="F6492" t="str">
        <f>"001"</f>
        <v>001</v>
      </c>
      <c r="G6492">
        <v>9</v>
      </c>
      <c r="H6492" t="str">
        <f>"11"</f>
        <v>11</v>
      </c>
      <c r="I6492" t="str">
        <f t="shared" si="1428"/>
        <v>0</v>
      </c>
      <c r="J6492" t="str">
        <f>"01"</f>
        <v>01</v>
      </c>
      <c r="K6492">
        <v>20190531</v>
      </c>
      <c r="L6492" t="str">
        <f>"076984"</f>
        <v>076984</v>
      </c>
      <c r="M6492" t="str">
        <f>"19160"</f>
        <v>19160</v>
      </c>
      <c r="N6492" t="s">
        <v>3097</v>
      </c>
      <c r="O6492">
        <v>394.92</v>
      </c>
      <c r="P6492">
        <v>20190530</v>
      </c>
      <c r="Q6492" t="s">
        <v>3098</v>
      </c>
      <c r="R6492" t="s">
        <v>5157</v>
      </c>
      <c r="S6492" t="s">
        <v>1615</v>
      </c>
      <c r="T6492" t="s">
        <v>301</v>
      </c>
    </row>
    <row r="6493" spans="1:20" x14ac:dyDescent="0.25">
      <c r="A6493">
        <v>9</v>
      </c>
      <c r="B6493">
        <v>199</v>
      </c>
      <c r="C6493" t="str">
        <f>"11"</f>
        <v>11</v>
      </c>
      <c r="D6493">
        <v>6399</v>
      </c>
      <c r="E6493" t="str">
        <f>"11"</f>
        <v>11</v>
      </c>
      <c r="F6493" t="str">
        <f>"001"</f>
        <v>001</v>
      </c>
      <c r="G6493">
        <v>9</v>
      </c>
      <c r="H6493" t="str">
        <f>"11"</f>
        <v>11</v>
      </c>
      <c r="I6493" t="str">
        <f t="shared" si="1428"/>
        <v>0</v>
      </c>
      <c r="J6493" t="str">
        <f>"01"</f>
        <v>01</v>
      </c>
      <c r="K6493">
        <v>20190531</v>
      </c>
      <c r="L6493" t="str">
        <f>"076986"</f>
        <v>076986</v>
      </c>
      <c r="M6493" t="str">
        <f>"16807"</f>
        <v>16807</v>
      </c>
      <c r="N6493" t="s">
        <v>1581</v>
      </c>
      <c r="O6493">
        <v>644.6</v>
      </c>
      <c r="P6493">
        <v>20190530</v>
      </c>
      <c r="Q6493" t="s">
        <v>1996</v>
      </c>
      <c r="R6493" t="s">
        <v>5158</v>
      </c>
      <c r="S6493" t="s">
        <v>1615</v>
      </c>
      <c r="T6493" t="s">
        <v>301</v>
      </c>
    </row>
    <row r="6494" spans="1:20" x14ac:dyDescent="0.25">
      <c r="A6494">
        <v>9</v>
      </c>
      <c r="B6494">
        <v>199</v>
      </c>
      <c r="C6494" t="str">
        <f>"11"</f>
        <v>11</v>
      </c>
      <c r="D6494">
        <v>6649</v>
      </c>
      <c r="E6494" t="str">
        <f>"8U"</f>
        <v>8U</v>
      </c>
      <c r="F6494" t="str">
        <f>"041"</f>
        <v>041</v>
      </c>
      <c r="G6494">
        <v>9</v>
      </c>
      <c r="H6494" t="str">
        <f>"11"</f>
        <v>11</v>
      </c>
      <c r="I6494" t="str">
        <f t="shared" si="1428"/>
        <v>0</v>
      </c>
      <c r="J6494" t="str">
        <f>"03"</f>
        <v>03</v>
      </c>
      <c r="K6494">
        <v>20190531</v>
      </c>
      <c r="L6494" t="str">
        <f>"076986"</f>
        <v>076986</v>
      </c>
      <c r="M6494" t="str">
        <f>"16807"</f>
        <v>16807</v>
      </c>
      <c r="N6494" t="s">
        <v>1581</v>
      </c>
      <c r="O6494" s="1">
        <v>1350</v>
      </c>
      <c r="P6494">
        <v>20190530</v>
      </c>
      <c r="Q6494" t="s">
        <v>5159</v>
      </c>
      <c r="R6494" t="s">
        <v>4819</v>
      </c>
      <c r="S6494" t="s">
        <v>1615</v>
      </c>
      <c r="T6494" t="s">
        <v>106</v>
      </c>
    </row>
    <row r="6495" spans="1:20" x14ac:dyDescent="0.25">
      <c r="A6495">
        <v>9</v>
      </c>
      <c r="B6495">
        <v>199</v>
      </c>
      <c r="C6495" t="str">
        <f>"31"</f>
        <v>31</v>
      </c>
      <c r="D6495">
        <v>6219</v>
      </c>
      <c r="E6495" t="str">
        <f>"00"</f>
        <v>00</v>
      </c>
      <c r="F6495" t="str">
        <f>"875"</f>
        <v>875</v>
      </c>
      <c r="G6495">
        <v>9</v>
      </c>
      <c r="H6495" t="str">
        <f>"23"</f>
        <v>23</v>
      </c>
      <c r="I6495" t="str">
        <f t="shared" si="1428"/>
        <v>0</v>
      </c>
      <c r="J6495" t="str">
        <f>"23"</f>
        <v>23</v>
      </c>
      <c r="K6495">
        <v>20190531</v>
      </c>
      <c r="L6495" t="str">
        <f>"076987"</f>
        <v>076987</v>
      </c>
      <c r="M6495" t="str">
        <f>"74150"</f>
        <v>74150</v>
      </c>
      <c r="N6495" t="s">
        <v>1691</v>
      </c>
      <c r="O6495" s="1">
        <v>2500</v>
      </c>
      <c r="P6495">
        <v>20190530</v>
      </c>
      <c r="Q6495" t="s">
        <v>2207</v>
      </c>
      <c r="R6495" t="s">
        <v>5160</v>
      </c>
      <c r="S6495" t="s">
        <v>1615</v>
      </c>
      <c r="T6495" t="s">
        <v>2041</v>
      </c>
    </row>
    <row r="6496" spans="1:20" x14ac:dyDescent="0.25">
      <c r="A6496">
        <v>9</v>
      </c>
      <c r="B6496">
        <v>199</v>
      </c>
      <c r="C6496" t="str">
        <f>"36"</f>
        <v>36</v>
      </c>
      <c r="D6496">
        <v>6399</v>
      </c>
      <c r="E6496" t="str">
        <f>"09"</f>
        <v>09</v>
      </c>
      <c r="F6496" t="str">
        <f>"041"</f>
        <v>041</v>
      </c>
      <c r="G6496">
        <v>9</v>
      </c>
      <c r="H6496" t="str">
        <f>"99"</f>
        <v>99</v>
      </c>
      <c r="I6496" t="str">
        <f t="shared" si="1428"/>
        <v>0</v>
      </c>
      <c r="J6496" t="str">
        <f>"03"</f>
        <v>03</v>
      </c>
      <c r="K6496">
        <v>20190531</v>
      </c>
      <c r="L6496" t="str">
        <f>"076989"</f>
        <v>076989</v>
      </c>
      <c r="M6496" t="str">
        <f>"46281"</f>
        <v>46281</v>
      </c>
      <c r="N6496" t="s">
        <v>2996</v>
      </c>
      <c r="O6496">
        <v>390</v>
      </c>
      <c r="P6496">
        <v>20190530</v>
      </c>
      <c r="Q6496" t="s">
        <v>3867</v>
      </c>
      <c r="R6496" t="s">
        <v>3868</v>
      </c>
      <c r="S6496" t="s">
        <v>1615</v>
      </c>
      <c r="T6496" t="s">
        <v>106</v>
      </c>
    </row>
    <row r="6497" spans="1:20" x14ac:dyDescent="0.25">
      <c r="A6497">
        <v>9</v>
      </c>
      <c r="B6497">
        <v>199</v>
      </c>
      <c r="C6497" t="str">
        <f>"23"</f>
        <v>23</v>
      </c>
      <c r="D6497">
        <v>6498</v>
      </c>
      <c r="E6497" t="str">
        <f>"10"</f>
        <v>10</v>
      </c>
      <c r="F6497" t="str">
        <f>"101"</f>
        <v>101</v>
      </c>
      <c r="G6497">
        <v>9</v>
      </c>
      <c r="H6497" t="str">
        <f>"99"</f>
        <v>99</v>
      </c>
      <c r="I6497" t="str">
        <f t="shared" si="1428"/>
        <v>0</v>
      </c>
      <c r="J6497" t="str">
        <f>"04"</f>
        <v>04</v>
      </c>
      <c r="K6497">
        <v>20190531</v>
      </c>
      <c r="L6497" t="str">
        <f>"076992"</f>
        <v>076992</v>
      </c>
      <c r="M6497" t="str">
        <f>"21514"</f>
        <v>21514</v>
      </c>
      <c r="N6497" t="s">
        <v>5161</v>
      </c>
      <c r="O6497" s="1">
        <v>1125</v>
      </c>
      <c r="P6497">
        <v>20190530</v>
      </c>
      <c r="Q6497" t="s">
        <v>2139</v>
      </c>
      <c r="R6497" t="s">
        <v>5162</v>
      </c>
      <c r="S6497" t="s">
        <v>1615</v>
      </c>
      <c r="T6497" t="s">
        <v>1479</v>
      </c>
    </row>
    <row r="6498" spans="1:20" x14ac:dyDescent="0.25">
      <c r="A6498">
        <v>9</v>
      </c>
      <c r="B6498">
        <v>199</v>
      </c>
      <c r="C6498" t="str">
        <f>"51"</f>
        <v>51</v>
      </c>
      <c r="D6498">
        <v>6249</v>
      </c>
      <c r="E6498" t="str">
        <f>"MC"</f>
        <v>MC</v>
      </c>
      <c r="F6498" t="str">
        <f>"104"</f>
        <v>104</v>
      </c>
      <c r="G6498">
        <v>9</v>
      </c>
      <c r="H6498" t="str">
        <f>"99"</f>
        <v>99</v>
      </c>
      <c r="I6498" t="str">
        <f t="shared" si="1428"/>
        <v>0</v>
      </c>
      <c r="J6498" t="str">
        <f>"81"</f>
        <v>81</v>
      </c>
      <c r="K6498">
        <v>20190531</v>
      </c>
      <c r="L6498" t="str">
        <f>"076993"</f>
        <v>076993</v>
      </c>
      <c r="M6498" t="str">
        <f>"24130"</f>
        <v>24130</v>
      </c>
      <c r="N6498" t="s">
        <v>567</v>
      </c>
      <c r="O6498" s="1">
        <v>1480</v>
      </c>
      <c r="P6498">
        <v>20190530</v>
      </c>
      <c r="Q6498" t="s">
        <v>1744</v>
      </c>
      <c r="R6498" t="s">
        <v>5163</v>
      </c>
      <c r="S6498" t="s">
        <v>1615</v>
      </c>
      <c r="T6498" t="s">
        <v>46</v>
      </c>
    </row>
    <row r="6499" spans="1:20" x14ac:dyDescent="0.25">
      <c r="A6499">
        <v>9</v>
      </c>
      <c r="B6499">
        <v>199</v>
      </c>
      <c r="C6499" t="str">
        <f>"51"</f>
        <v>51</v>
      </c>
      <c r="D6499">
        <v>6249</v>
      </c>
      <c r="E6499" t="str">
        <f>"MC"</f>
        <v>MC</v>
      </c>
      <c r="F6499" t="str">
        <f>"104"</f>
        <v>104</v>
      </c>
      <c r="G6499">
        <v>9</v>
      </c>
      <c r="H6499" t="str">
        <f>"99"</f>
        <v>99</v>
      </c>
      <c r="I6499" t="str">
        <f t="shared" si="1428"/>
        <v>0</v>
      </c>
      <c r="J6499" t="str">
        <f>"81"</f>
        <v>81</v>
      </c>
      <c r="K6499">
        <v>20190531</v>
      </c>
      <c r="L6499" t="str">
        <f>"076993"</f>
        <v>076993</v>
      </c>
      <c r="M6499" t="str">
        <f>"24130"</f>
        <v>24130</v>
      </c>
      <c r="N6499" t="s">
        <v>567</v>
      </c>
      <c r="O6499">
        <v>269.76</v>
      </c>
      <c r="P6499">
        <v>20190530</v>
      </c>
      <c r="Q6499" t="s">
        <v>1744</v>
      </c>
      <c r="R6499" t="s">
        <v>5164</v>
      </c>
      <c r="S6499" t="s">
        <v>1615</v>
      </c>
      <c r="T6499" t="s">
        <v>46</v>
      </c>
    </row>
    <row r="6500" spans="1:20" x14ac:dyDescent="0.25">
      <c r="A6500">
        <v>9</v>
      </c>
      <c r="B6500">
        <v>199</v>
      </c>
      <c r="C6500" t="str">
        <f>"11"</f>
        <v>11</v>
      </c>
      <c r="D6500">
        <v>6223</v>
      </c>
      <c r="E6500" t="str">
        <f>"VT"</f>
        <v>VT</v>
      </c>
      <c r="F6500" t="str">
        <f t="shared" ref="F6500:F6506" si="1429">"001"</f>
        <v>001</v>
      </c>
      <c r="G6500">
        <v>9</v>
      </c>
      <c r="H6500" t="str">
        <f>"22"</f>
        <v>22</v>
      </c>
      <c r="I6500" t="str">
        <f t="shared" si="1428"/>
        <v>0</v>
      </c>
      <c r="J6500" t="str">
        <f>"22"</f>
        <v>22</v>
      </c>
      <c r="K6500">
        <v>20190531</v>
      </c>
      <c r="L6500" t="str">
        <f>"076994"</f>
        <v>076994</v>
      </c>
      <c r="M6500" t="str">
        <f>"25144"</f>
        <v>25144</v>
      </c>
      <c r="N6500" t="s">
        <v>1620</v>
      </c>
      <c r="O6500" s="1">
        <v>6388.37</v>
      </c>
      <c r="P6500">
        <v>20190530</v>
      </c>
      <c r="Q6500" t="s">
        <v>2051</v>
      </c>
      <c r="R6500" t="s">
        <v>5165</v>
      </c>
      <c r="S6500" t="s">
        <v>1615</v>
      </c>
      <c r="T6500" t="s">
        <v>301</v>
      </c>
    </row>
    <row r="6501" spans="1:20" x14ac:dyDescent="0.25">
      <c r="A6501">
        <v>9</v>
      </c>
      <c r="B6501">
        <v>199</v>
      </c>
      <c r="C6501" t="str">
        <f>"11"</f>
        <v>11</v>
      </c>
      <c r="D6501">
        <v>6223</v>
      </c>
      <c r="E6501" t="str">
        <f>"VT"</f>
        <v>VT</v>
      </c>
      <c r="F6501" t="str">
        <f t="shared" si="1429"/>
        <v>001</v>
      </c>
      <c r="G6501">
        <v>9</v>
      </c>
      <c r="H6501" t="str">
        <f>"22"</f>
        <v>22</v>
      </c>
      <c r="I6501" t="str">
        <f t="shared" si="1428"/>
        <v>0</v>
      </c>
      <c r="J6501" t="str">
        <f>"22"</f>
        <v>22</v>
      </c>
      <c r="K6501">
        <v>20190531</v>
      </c>
      <c r="L6501" t="str">
        <f>"076994"</f>
        <v>076994</v>
      </c>
      <c r="M6501" t="str">
        <f>"25144"</f>
        <v>25144</v>
      </c>
      <c r="N6501" t="s">
        <v>1620</v>
      </c>
      <c r="O6501" s="1">
        <v>2477.41</v>
      </c>
      <c r="P6501">
        <v>20190530</v>
      </c>
      <c r="Q6501" t="s">
        <v>2051</v>
      </c>
      <c r="R6501" t="s">
        <v>5165</v>
      </c>
      <c r="S6501" t="s">
        <v>1615</v>
      </c>
      <c r="T6501" t="s">
        <v>301</v>
      </c>
    </row>
    <row r="6502" spans="1:20" x14ac:dyDescent="0.25">
      <c r="A6502">
        <v>9</v>
      </c>
      <c r="B6502">
        <v>199</v>
      </c>
      <c r="C6502" t="str">
        <f>"11"</f>
        <v>11</v>
      </c>
      <c r="D6502">
        <v>6399</v>
      </c>
      <c r="E6502" t="str">
        <f>"V8"</f>
        <v>V8</v>
      </c>
      <c r="F6502" t="str">
        <f t="shared" si="1429"/>
        <v>001</v>
      </c>
      <c r="G6502">
        <v>9</v>
      </c>
      <c r="H6502" t="str">
        <f>"22"</f>
        <v>22</v>
      </c>
      <c r="I6502" t="str">
        <f t="shared" si="1428"/>
        <v>0</v>
      </c>
      <c r="J6502" t="str">
        <f>"22"</f>
        <v>22</v>
      </c>
      <c r="K6502">
        <v>20190531</v>
      </c>
      <c r="L6502" t="str">
        <f>"076995"</f>
        <v>076995</v>
      </c>
      <c r="M6502" t="str">
        <f>"25145"</f>
        <v>25145</v>
      </c>
      <c r="N6502" t="s">
        <v>5166</v>
      </c>
      <c r="O6502">
        <v>54.95</v>
      </c>
      <c r="P6502">
        <v>20190530</v>
      </c>
      <c r="Q6502" t="s">
        <v>2001</v>
      </c>
      <c r="R6502" t="s">
        <v>5167</v>
      </c>
      <c r="S6502" t="s">
        <v>1615</v>
      </c>
      <c r="T6502" t="s">
        <v>301</v>
      </c>
    </row>
    <row r="6503" spans="1:20" x14ac:dyDescent="0.25">
      <c r="A6503">
        <v>9</v>
      </c>
      <c r="B6503">
        <v>199</v>
      </c>
      <c r="C6503" t="str">
        <f>"11"</f>
        <v>11</v>
      </c>
      <c r="D6503">
        <v>6321</v>
      </c>
      <c r="E6503" t="str">
        <f>"10"</f>
        <v>10</v>
      </c>
      <c r="F6503" t="str">
        <f t="shared" si="1429"/>
        <v>001</v>
      </c>
      <c r="G6503">
        <v>9</v>
      </c>
      <c r="H6503" t="str">
        <f>"11"</f>
        <v>11</v>
      </c>
      <c r="I6503" t="str">
        <f t="shared" si="1428"/>
        <v>0</v>
      </c>
      <c r="J6503" t="str">
        <f>"01"</f>
        <v>01</v>
      </c>
      <c r="K6503">
        <v>20190531</v>
      </c>
      <c r="L6503" t="str">
        <f>"076996"</f>
        <v>076996</v>
      </c>
      <c r="M6503" t="str">
        <f>"26327"</f>
        <v>26327</v>
      </c>
      <c r="N6503" t="s">
        <v>5168</v>
      </c>
      <c r="O6503">
        <v>323.35000000000002</v>
      </c>
      <c r="P6503">
        <v>20190530</v>
      </c>
      <c r="Q6503" t="s">
        <v>1861</v>
      </c>
      <c r="R6503" t="s">
        <v>5169</v>
      </c>
      <c r="S6503" t="s">
        <v>1615</v>
      </c>
      <c r="T6503" t="s">
        <v>301</v>
      </c>
    </row>
    <row r="6504" spans="1:20" x14ac:dyDescent="0.25">
      <c r="A6504">
        <v>9</v>
      </c>
      <c r="B6504">
        <v>199</v>
      </c>
      <c r="C6504" t="str">
        <f>"36"</f>
        <v>36</v>
      </c>
      <c r="D6504">
        <v>6499</v>
      </c>
      <c r="E6504" t="str">
        <f>"7K"</f>
        <v>7K</v>
      </c>
      <c r="F6504" t="str">
        <f t="shared" si="1429"/>
        <v>001</v>
      </c>
      <c r="G6504">
        <v>9</v>
      </c>
      <c r="H6504" t="str">
        <f>"99"</f>
        <v>99</v>
      </c>
      <c r="I6504" t="str">
        <f t="shared" si="1428"/>
        <v>0</v>
      </c>
      <c r="J6504" t="str">
        <f>"01"</f>
        <v>01</v>
      </c>
      <c r="K6504">
        <v>20190531</v>
      </c>
      <c r="L6504" t="str">
        <f>"076998"</f>
        <v>076998</v>
      </c>
      <c r="M6504" t="str">
        <f>"28417"</f>
        <v>28417</v>
      </c>
      <c r="N6504" t="s">
        <v>4908</v>
      </c>
      <c r="O6504">
        <v>64</v>
      </c>
      <c r="P6504">
        <v>20190530</v>
      </c>
      <c r="Q6504" t="s">
        <v>4909</v>
      </c>
      <c r="R6504" t="s">
        <v>5170</v>
      </c>
      <c r="S6504" t="s">
        <v>1615</v>
      </c>
      <c r="T6504" t="s">
        <v>301</v>
      </c>
    </row>
    <row r="6505" spans="1:20" x14ac:dyDescent="0.25">
      <c r="A6505">
        <v>9</v>
      </c>
      <c r="B6505">
        <v>199</v>
      </c>
      <c r="C6505" t="str">
        <f>"23"</f>
        <v>23</v>
      </c>
      <c r="D6505">
        <v>6299</v>
      </c>
      <c r="E6505" t="str">
        <f>"10"</f>
        <v>10</v>
      </c>
      <c r="F6505" t="str">
        <f t="shared" si="1429"/>
        <v>001</v>
      </c>
      <c r="G6505">
        <v>9</v>
      </c>
      <c r="H6505" t="str">
        <f>"99"</f>
        <v>99</v>
      </c>
      <c r="I6505" t="str">
        <f t="shared" si="1428"/>
        <v>0</v>
      </c>
      <c r="J6505" t="str">
        <f>"01"</f>
        <v>01</v>
      </c>
      <c r="K6505">
        <v>20190531</v>
      </c>
      <c r="L6505" t="str">
        <f>"077001"</f>
        <v>077001</v>
      </c>
      <c r="M6505" t="str">
        <f>"30118"</f>
        <v>30118</v>
      </c>
      <c r="N6505" t="s">
        <v>347</v>
      </c>
      <c r="O6505">
        <v>150</v>
      </c>
      <c r="P6505">
        <v>20190530</v>
      </c>
      <c r="Q6505" t="s">
        <v>5171</v>
      </c>
      <c r="R6505" t="s">
        <v>3498</v>
      </c>
      <c r="S6505" t="s">
        <v>1615</v>
      </c>
      <c r="T6505" t="s">
        <v>301</v>
      </c>
    </row>
    <row r="6506" spans="1:20" x14ac:dyDescent="0.25">
      <c r="A6506">
        <v>9</v>
      </c>
      <c r="B6506">
        <v>199</v>
      </c>
      <c r="C6506" t="str">
        <f>"12"</f>
        <v>12</v>
      </c>
      <c r="D6506">
        <v>6328</v>
      </c>
      <c r="E6506" t="str">
        <f>"7U"</f>
        <v>7U</v>
      </c>
      <c r="F6506" t="str">
        <f t="shared" si="1429"/>
        <v>001</v>
      </c>
      <c r="G6506">
        <v>9</v>
      </c>
      <c r="H6506" t="str">
        <f>"11"</f>
        <v>11</v>
      </c>
      <c r="I6506" t="str">
        <f t="shared" si="1428"/>
        <v>0</v>
      </c>
      <c r="J6506" t="str">
        <f>"01"</f>
        <v>01</v>
      </c>
      <c r="K6506">
        <v>20190531</v>
      </c>
      <c r="L6506" t="str">
        <f>"077002"</f>
        <v>077002</v>
      </c>
      <c r="M6506" t="str">
        <f>"30390"</f>
        <v>30390</v>
      </c>
      <c r="N6506" t="s">
        <v>2624</v>
      </c>
      <c r="O6506" s="1">
        <v>1367.66</v>
      </c>
      <c r="P6506">
        <v>20190530</v>
      </c>
      <c r="Q6506" t="s">
        <v>1894</v>
      </c>
      <c r="R6506" t="s">
        <v>1945</v>
      </c>
      <c r="S6506" t="s">
        <v>1615</v>
      </c>
      <c r="T6506" t="s">
        <v>301</v>
      </c>
    </row>
    <row r="6507" spans="1:20" x14ac:dyDescent="0.25">
      <c r="A6507">
        <v>9</v>
      </c>
      <c r="B6507">
        <v>199</v>
      </c>
      <c r="C6507" t="str">
        <f>"12"</f>
        <v>12</v>
      </c>
      <c r="D6507">
        <v>6328</v>
      </c>
      <c r="E6507" t="str">
        <f>"7U"</f>
        <v>7U</v>
      </c>
      <c r="F6507" t="str">
        <f>"041"</f>
        <v>041</v>
      </c>
      <c r="G6507">
        <v>9</v>
      </c>
      <c r="H6507" t="str">
        <f>"11"</f>
        <v>11</v>
      </c>
      <c r="I6507" t="str">
        <f t="shared" si="1428"/>
        <v>0</v>
      </c>
      <c r="J6507" t="str">
        <f>"03"</f>
        <v>03</v>
      </c>
      <c r="K6507">
        <v>20190531</v>
      </c>
      <c r="L6507" t="str">
        <f>"077002"</f>
        <v>077002</v>
      </c>
      <c r="M6507" t="str">
        <f>"30390"</f>
        <v>30390</v>
      </c>
      <c r="N6507" t="s">
        <v>2624</v>
      </c>
      <c r="O6507" s="1">
        <v>2426.9</v>
      </c>
      <c r="P6507">
        <v>20190530</v>
      </c>
      <c r="Q6507" t="s">
        <v>3032</v>
      </c>
      <c r="R6507" t="s">
        <v>1945</v>
      </c>
      <c r="S6507" t="s">
        <v>1615</v>
      </c>
      <c r="T6507" t="s">
        <v>106</v>
      </c>
    </row>
    <row r="6508" spans="1:20" x14ac:dyDescent="0.25">
      <c r="A6508">
        <v>9</v>
      </c>
      <c r="B6508">
        <v>199</v>
      </c>
      <c r="C6508" t="str">
        <f>"12"</f>
        <v>12</v>
      </c>
      <c r="D6508">
        <v>6329</v>
      </c>
      <c r="E6508" t="str">
        <f>"7U"</f>
        <v>7U</v>
      </c>
      <c r="F6508" t="str">
        <f>"101"</f>
        <v>101</v>
      </c>
      <c r="G6508">
        <v>9</v>
      </c>
      <c r="H6508" t="str">
        <f>"11"</f>
        <v>11</v>
      </c>
      <c r="I6508" t="str">
        <f t="shared" si="1428"/>
        <v>0</v>
      </c>
      <c r="J6508" t="str">
        <f>"04"</f>
        <v>04</v>
      </c>
      <c r="K6508">
        <v>20190531</v>
      </c>
      <c r="L6508" t="str">
        <f>"077002"</f>
        <v>077002</v>
      </c>
      <c r="M6508" t="str">
        <f>"30390"</f>
        <v>30390</v>
      </c>
      <c r="N6508" t="s">
        <v>2624</v>
      </c>
      <c r="O6508" s="1">
        <v>1934.8</v>
      </c>
      <c r="P6508">
        <v>20190530</v>
      </c>
      <c r="Q6508" t="s">
        <v>5172</v>
      </c>
      <c r="R6508" t="s">
        <v>1945</v>
      </c>
      <c r="S6508" t="s">
        <v>1615</v>
      </c>
      <c r="T6508" t="s">
        <v>1479</v>
      </c>
    </row>
    <row r="6509" spans="1:20" x14ac:dyDescent="0.25">
      <c r="A6509">
        <v>9</v>
      </c>
      <c r="B6509">
        <v>199</v>
      </c>
      <c r="C6509" t="str">
        <f t="shared" ref="C6509:C6516" si="1430">"51"</f>
        <v>51</v>
      </c>
      <c r="D6509">
        <v>6319</v>
      </c>
      <c r="E6509" t="str">
        <f>"MC"</f>
        <v>MC</v>
      </c>
      <c r="F6509" t="str">
        <f t="shared" ref="F6509:F6516" si="1431">"936"</f>
        <v>936</v>
      </c>
      <c r="G6509">
        <v>9</v>
      </c>
      <c r="H6509" t="str">
        <f t="shared" ref="H6509:H6516" si="1432">"99"</f>
        <v>99</v>
      </c>
      <c r="I6509" t="str">
        <f t="shared" si="1428"/>
        <v>0</v>
      </c>
      <c r="J6509" t="str">
        <f t="shared" ref="J6509:J6514" si="1433">"81"</f>
        <v>81</v>
      </c>
      <c r="K6509">
        <v>20190531</v>
      </c>
      <c r="L6509" t="str">
        <f>"077003"</f>
        <v>077003</v>
      </c>
      <c r="M6509" t="str">
        <f>"31321"</f>
        <v>31321</v>
      </c>
      <c r="N6509" t="s">
        <v>5173</v>
      </c>
      <c r="O6509">
        <v>526</v>
      </c>
      <c r="P6509">
        <v>20190530</v>
      </c>
      <c r="Q6509" t="s">
        <v>2060</v>
      </c>
      <c r="R6509" t="s">
        <v>5174</v>
      </c>
      <c r="S6509" t="s">
        <v>1615</v>
      </c>
      <c r="T6509" t="s">
        <v>1713</v>
      </c>
    </row>
    <row r="6510" spans="1:20" x14ac:dyDescent="0.25">
      <c r="A6510">
        <v>9</v>
      </c>
      <c r="B6510">
        <v>199</v>
      </c>
      <c r="C6510" t="str">
        <f t="shared" si="1430"/>
        <v>51</v>
      </c>
      <c r="D6510">
        <v>6319</v>
      </c>
      <c r="E6510" t="str">
        <f>"M3"</f>
        <v>M3</v>
      </c>
      <c r="F6510" t="str">
        <f t="shared" si="1431"/>
        <v>936</v>
      </c>
      <c r="G6510">
        <v>9</v>
      </c>
      <c r="H6510" t="str">
        <f t="shared" si="1432"/>
        <v>99</v>
      </c>
      <c r="I6510" t="str">
        <f t="shared" si="1428"/>
        <v>0</v>
      </c>
      <c r="J6510" t="str">
        <f t="shared" si="1433"/>
        <v>81</v>
      </c>
      <c r="K6510">
        <v>20190531</v>
      </c>
      <c r="L6510" t="str">
        <f>"077007"</f>
        <v>077007</v>
      </c>
      <c r="M6510" t="str">
        <f>"00125"</f>
        <v>00125</v>
      </c>
      <c r="N6510" t="s">
        <v>2245</v>
      </c>
      <c r="O6510" s="1">
        <v>11383.42</v>
      </c>
      <c r="P6510">
        <v>20190530</v>
      </c>
      <c r="Q6510" t="s">
        <v>2246</v>
      </c>
      <c r="R6510" t="s">
        <v>2249</v>
      </c>
      <c r="S6510" t="s">
        <v>1615</v>
      </c>
      <c r="T6510" t="s">
        <v>1713</v>
      </c>
    </row>
    <row r="6511" spans="1:20" x14ac:dyDescent="0.25">
      <c r="A6511">
        <v>9</v>
      </c>
      <c r="B6511">
        <v>199</v>
      </c>
      <c r="C6511" t="str">
        <f t="shared" si="1430"/>
        <v>51</v>
      </c>
      <c r="D6511">
        <v>6319</v>
      </c>
      <c r="E6511" t="str">
        <f>"M3"</f>
        <v>M3</v>
      </c>
      <c r="F6511" t="str">
        <f t="shared" si="1431"/>
        <v>936</v>
      </c>
      <c r="G6511">
        <v>9</v>
      </c>
      <c r="H6511" t="str">
        <f t="shared" si="1432"/>
        <v>99</v>
      </c>
      <c r="I6511" t="str">
        <f t="shared" si="1428"/>
        <v>0</v>
      </c>
      <c r="J6511" t="str">
        <f t="shared" si="1433"/>
        <v>81</v>
      </c>
      <c r="K6511">
        <v>20190531</v>
      </c>
      <c r="L6511" t="str">
        <f>"077007"</f>
        <v>077007</v>
      </c>
      <c r="M6511" t="str">
        <f>"00125"</f>
        <v>00125</v>
      </c>
      <c r="N6511" t="s">
        <v>2245</v>
      </c>
      <c r="O6511" s="1">
        <v>1801.89</v>
      </c>
      <c r="P6511">
        <v>20190530</v>
      </c>
      <c r="Q6511" t="s">
        <v>2246</v>
      </c>
      <c r="R6511" t="s">
        <v>2249</v>
      </c>
      <c r="S6511" t="s">
        <v>1615</v>
      </c>
      <c r="T6511" t="s">
        <v>1713</v>
      </c>
    </row>
    <row r="6512" spans="1:20" x14ac:dyDescent="0.25">
      <c r="A6512">
        <v>9</v>
      </c>
      <c r="B6512">
        <v>199</v>
      </c>
      <c r="C6512" t="str">
        <f t="shared" si="1430"/>
        <v>51</v>
      </c>
      <c r="D6512">
        <v>6319</v>
      </c>
      <c r="E6512" t="str">
        <f>"M3"</f>
        <v>M3</v>
      </c>
      <c r="F6512" t="str">
        <f t="shared" si="1431"/>
        <v>936</v>
      </c>
      <c r="G6512">
        <v>9</v>
      </c>
      <c r="H6512" t="str">
        <f t="shared" si="1432"/>
        <v>99</v>
      </c>
      <c r="I6512" t="str">
        <f t="shared" si="1428"/>
        <v>0</v>
      </c>
      <c r="J6512" t="str">
        <f t="shared" si="1433"/>
        <v>81</v>
      </c>
      <c r="K6512">
        <v>20190531</v>
      </c>
      <c r="L6512" t="str">
        <f>"077007"</f>
        <v>077007</v>
      </c>
      <c r="M6512" t="str">
        <f>"00125"</f>
        <v>00125</v>
      </c>
      <c r="N6512" t="s">
        <v>2245</v>
      </c>
      <c r="O6512">
        <v>59.68</v>
      </c>
      <c r="P6512">
        <v>20190530</v>
      </c>
      <c r="Q6512" t="s">
        <v>2246</v>
      </c>
      <c r="R6512" t="s">
        <v>5175</v>
      </c>
      <c r="S6512" t="s">
        <v>1615</v>
      </c>
      <c r="T6512" t="s">
        <v>1713</v>
      </c>
    </row>
    <row r="6513" spans="1:20" x14ac:dyDescent="0.25">
      <c r="A6513">
        <v>9</v>
      </c>
      <c r="B6513">
        <v>199</v>
      </c>
      <c r="C6513" t="str">
        <f t="shared" si="1430"/>
        <v>51</v>
      </c>
      <c r="D6513">
        <v>6319</v>
      </c>
      <c r="E6513" t="str">
        <f>"M3"</f>
        <v>M3</v>
      </c>
      <c r="F6513" t="str">
        <f t="shared" si="1431"/>
        <v>936</v>
      </c>
      <c r="G6513">
        <v>9</v>
      </c>
      <c r="H6513" t="str">
        <f t="shared" si="1432"/>
        <v>99</v>
      </c>
      <c r="I6513" t="str">
        <f t="shared" si="1428"/>
        <v>0</v>
      </c>
      <c r="J6513" t="str">
        <f t="shared" si="1433"/>
        <v>81</v>
      </c>
      <c r="K6513">
        <v>20190531</v>
      </c>
      <c r="L6513" t="str">
        <f>"077007"</f>
        <v>077007</v>
      </c>
      <c r="M6513" t="str">
        <f>"00125"</f>
        <v>00125</v>
      </c>
      <c r="N6513" t="s">
        <v>2245</v>
      </c>
      <c r="O6513">
        <v>38.880000000000003</v>
      </c>
      <c r="P6513">
        <v>20190530</v>
      </c>
      <c r="Q6513" t="s">
        <v>2246</v>
      </c>
      <c r="R6513" t="s">
        <v>5176</v>
      </c>
      <c r="S6513" t="s">
        <v>1615</v>
      </c>
      <c r="T6513" t="s">
        <v>1713</v>
      </c>
    </row>
    <row r="6514" spans="1:20" x14ac:dyDescent="0.25">
      <c r="A6514">
        <v>9</v>
      </c>
      <c r="B6514">
        <v>199</v>
      </c>
      <c r="C6514" t="str">
        <f t="shared" si="1430"/>
        <v>51</v>
      </c>
      <c r="D6514">
        <v>6639</v>
      </c>
      <c r="E6514" t="str">
        <f>"M3"</f>
        <v>M3</v>
      </c>
      <c r="F6514" t="str">
        <f t="shared" si="1431"/>
        <v>936</v>
      </c>
      <c r="G6514">
        <v>9</v>
      </c>
      <c r="H6514" t="str">
        <f t="shared" si="1432"/>
        <v>99</v>
      </c>
      <c r="I6514" t="str">
        <f t="shared" si="1428"/>
        <v>0</v>
      </c>
      <c r="J6514" t="str">
        <f t="shared" si="1433"/>
        <v>81</v>
      </c>
      <c r="K6514">
        <v>20190531</v>
      </c>
      <c r="L6514" t="str">
        <f>"077007"</f>
        <v>077007</v>
      </c>
      <c r="M6514" t="str">
        <f>"00125"</f>
        <v>00125</v>
      </c>
      <c r="N6514" t="s">
        <v>2245</v>
      </c>
      <c r="O6514" s="1">
        <v>7131.56</v>
      </c>
      <c r="P6514">
        <v>20190530</v>
      </c>
      <c r="Q6514" t="s">
        <v>5177</v>
      </c>
      <c r="R6514" t="s">
        <v>2249</v>
      </c>
      <c r="S6514" t="s">
        <v>1615</v>
      </c>
      <c r="T6514" t="s">
        <v>1713</v>
      </c>
    </row>
    <row r="6515" spans="1:20" x14ac:dyDescent="0.25">
      <c r="A6515">
        <v>9</v>
      </c>
      <c r="B6515">
        <v>199</v>
      </c>
      <c r="C6515" t="str">
        <f t="shared" si="1430"/>
        <v>51</v>
      </c>
      <c r="D6515">
        <v>6254</v>
      </c>
      <c r="E6515" t="str">
        <f>"ME"</f>
        <v>ME</v>
      </c>
      <c r="F6515" t="str">
        <f t="shared" si="1431"/>
        <v>936</v>
      </c>
      <c r="G6515">
        <v>9</v>
      </c>
      <c r="H6515" t="str">
        <f t="shared" si="1432"/>
        <v>99</v>
      </c>
      <c r="I6515" t="str">
        <f>"1"</f>
        <v>1</v>
      </c>
      <c r="J6515" t="str">
        <f>"73"</f>
        <v>73</v>
      </c>
      <c r="K6515">
        <v>20190531</v>
      </c>
      <c r="L6515" t="str">
        <f>"077014"</f>
        <v>077014</v>
      </c>
      <c r="M6515" t="str">
        <f>"42194"</f>
        <v>42194</v>
      </c>
      <c r="N6515" t="s">
        <v>1736</v>
      </c>
      <c r="O6515" s="1">
        <v>65039.94</v>
      </c>
      <c r="P6515">
        <v>20190530</v>
      </c>
      <c r="Q6515" t="s">
        <v>1891</v>
      </c>
      <c r="R6515" t="s">
        <v>5178</v>
      </c>
      <c r="S6515" t="s">
        <v>1615</v>
      </c>
      <c r="T6515" t="s">
        <v>1713</v>
      </c>
    </row>
    <row r="6516" spans="1:20" x14ac:dyDescent="0.25">
      <c r="A6516">
        <v>9</v>
      </c>
      <c r="B6516">
        <v>199</v>
      </c>
      <c r="C6516" t="str">
        <f t="shared" si="1430"/>
        <v>51</v>
      </c>
      <c r="D6516">
        <v>6254</v>
      </c>
      <c r="E6516" t="str">
        <f>"ME"</f>
        <v>ME</v>
      </c>
      <c r="F6516" t="str">
        <f t="shared" si="1431"/>
        <v>936</v>
      </c>
      <c r="G6516">
        <v>9</v>
      </c>
      <c r="H6516" t="str">
        <f t="shared" si="1432"/>
        <v>99</v>
      </c>
      <c r="I6516" t="str">
        <f>"1"</f>
        <v>1</v>
      </c>
      <c r="J6516" t="str">
        <f>"73"</f>
        <v>73</v>
      </c>
      <c r="K6516">
        <v>20190531</v>
      </c>
      <c r="L6516" t="str">
        <f>"077014"</f>
        <v>077014</v>
      </c>
      <c r="M6516" t="str">
        <f>"42194"</f>
        <v>42194</v>
      </c>
      <c r="N6516" t="s">
        <v>1736</v>
      </c>
      <c r="O6516" s="1">
        <v>1038.31</v>
      </c>
      <c r="P6516">
        <v>20190530</v>
      </c>
      <c r="Q6516" t="s">
        <v>1891</v>
      </c>
      <c r="R6516" t="s">
        <v>5179</v>
      </c>
      <c r="S6516" t="s">
        <v>1615</v>
      </c>
      <c r="T6516" t="s">
        <v>1713</v>
      </c>
    </row>
    <row r="6517" spans="1:20" x14ac:dyDescent="0.25">
      <c r="A6517">
        <v>9</v>
      </c>
      <c r="B6517">
        <v>199</v>
      </c>
      <c r="C6517" t="str">
        <f>"13"</f>
        <v>13</v>
      </c>
      <c r="D6517">
        <v>6411</v>
      </c>
      <c r="E6517" t="str">
        <f>"VL"</f>
        <v>VL</v>
      </c>
      <c r="F6517" t="str">
        <f>"001"</f>
        <v>001</v>
      </c>
      <c r="G6517">
        <v>9</v>
      </c>
      <c r="H6517" t="str">
        <f>"22"</f>
        <v>22</v>
      </c>
      <c r="I6517" t="str">
        <f>"0"</f>
        <v>0</v>
      </c>
      <c r="J6517" t="str">
        <f>"22"</f>
        <v>22</v>
      </c>
      <c r="K6517">
        <v>20190531</v>
      </c>
      <c r="L6517" t="str">
        <f>"077015"</f>
        <v>077015</v>
      </c>
      <c r="M6517" t="str">
        <f>"42212"</f>
        <v>42212</v>
      </c>
      <c r="N6517" t="s">
        <v>1892</v>
      </c>
      <c r="O6517">
        <v>277.52999999999997</v>
      </c>
      <c r="P6517">
        <v>20190530</v>
      </c>
      <c r="Q6517" t="s">
        <v>4756</v>
      </c>
      <c r="R6517" t="s">
        <v>4757</v>
      </c>
      <c r="S6517" t="s">
        <v>1615</v>
      </c>
      <c r="T6517" t="s">
        <v>301</v>
      </c>
    </row>
    <row r="6518" spans="1:20" x14ac:dyDescent="0.25">
      <c r="A6518">
        <v>9</v>
      </c>
      <c r="B6518">
        <v>199</v>
      </c>
      <c r="C6518" t="str">
        <f>"36"</f>
        <v>36</v>
      </c>
      <c r="D6518">
        <v>6412</v>
      </c>
      <c r="E6518" t="str">
        <f>"7E"</f>
        <v>7E</v>
      </c>
      <c r="F6518" t="str">
        <f>"001"</f>
        <v>001</v>
      </c>
      <c r="G6518">
        <v>9</v>
      </c>
      <c r="H6518" t="str">
        <f>"99"</f>
        <v>99</v>
      </c>
      <c r="I6518" t="str">
        <f>"5"</f>
        <v>5</v>
      </c>
      <c r="J6518" t="str">
        <f>"74"</f>
        <v>74</v>
      </c>
      <c r="K6518">
        <v>20190531</v>
      </c>
      <c r="L6518" t="str">
        <f>"077016"</f>
        <v>077016</v>
      </c>
      <c r="M6518" t="str">
        <f>"00829"</f>
        <v>00829</v>
      </c>
      <c r="N6518" t="s">
        <v>3401</v>
      </c>
      <c r="O6518" s="1">
        <v>3259.1</v>
      </c>
      <c r="P6518">
        <v>20190530</v>
      </c>
      <c r="Q6518" t="s">
        <v>4602</v>
      </c>
      <c r="R6518" t="s">
        <v>5087</v>
      </c>
      <c r="S6518" t="s">
        <v>1615</v>
      </c>
      <c r="T6518" t="s">
        <v>301</v>
      </c>
    </row>
    <row r="6519" spans="1:20" x14ac:dyDescent="0.25">
      <c r="A6519">
        <v>9</v>
      </c>
      <c r="B6519">
        <v>199</v>
      </c>
      <c r="C6519" t="str">
        <f>"00"</f>
        <v>00</v>
      </c>
      <c r="D6519">
        <v>5749</v>
      </c>
      <c r="E6519" t="str">
        <f>"00"</f>
        <v>00</v>
      </c>
      <c r="F6519" t="str">
        <f>"000"</f>
        <v>000</v>
      </c>
      <c r="G6519">
        <v>9</v>
      </c>
      <c r="H6519" t="str">
        <f>"00"</f>
        <v>00</v>
      </c>
      <c r="I6519" t="str">
        <f>"0"</f>
        <v>0</v>
      </c>
      <c r="J6519" t="str">
        <f>"00"</f>
        <v>00</v>
      </c>
      <c r="K6519">
        <v>20190531</v>
      </c>
      <c r="L6519" t="str">
        <f>"077019"</f>
        <v>077019</v>
      </c>
      <c r="M6519" t="str">
        <f>"45175"</f>
        <v>45175</v>
      </c>
      <c r="N6519" t="s">
        <v>789</v>
      </c>
      <c r="O6519">
        <v>45</v>
      </c>
      <c r="P6519">
        <v>20190530</v>
      </c>
      <c r="Q6519" t="s">
        <v>4850</v>
      </c>
      <c r="R6519" t="s">
        <v>5180</v>
      </c>
      <c r="S6519" t="s">
        <v>1615</v>
      </c>
      <c r="T6519" t="s">
        <v>296</v>
      </c>
    </row>
    <row r="6520" spans="1:20" x14ac:dyDescent="0.25">
      <c r="A6520">
        <v>9</v>
      </c>
      <c r="B6520">
        <v>199</v>
      </c>
      <c r="C6520" t="str">
        <f>"11"</f>
        <v>11</v>
      </c>
      <c r="D6520">
        <v>6399</v>
      </c>
      <c r="E6520" t="str">
        <f>"45"</f>
        <v>45</v>
      </c>
      <c r="F6520" t="str">
        <f>"104"</f>
        <v>104</v>
      </c>
      <c r="G6520">
        <v>9</v>
      </c>
      <c r="H6520" t="str">
        <f>"11"</f>
        <v>11</v>
      </c>
      <c r="I6520" t="str">
        <f>"0"</f>
        <v>0</v>
      </c>
      <c r="J6520" t="str">
        <f>"05"</f>
        <v>05</v>
      </c>
      <c r="K6520">
        <v>20190531</v>
      </c>
      <c r="L6520" t="str">
        <f>"077020"</f>
        <v>077020</v>
      </c>
      <c r="M6520" t="str">
        <f>"45496"</f>
        <v>45496</v>
      </c>
      <c r="N6520" t="s">
        <v>3175</v>
      </c>
      <c r="O6520">
        <v>55.98</v>
      </c>
      <c r="P6520">
        <v>20190530</v>
      </c>
      <c r="Q6520" t="s">
        <v>2069</v>
      </c>
      <c r="R6520" t="s">
        <v>5181</v>
      </c>
      <c r="S6520" t="s">
        <v>1615</v>
      </c>
      <c r="T6520" t="s">
        <v>46</v>
      </c>
    </row>
    <row r="6521" spans="1:20" x14ac:dyDescent="0.25">
      <c r="A6521">
        <v>9</v>
      </c>
      <c r="B6521">
        <v>199</v>
      </c>
      <c r="C6521" t="str">
        <f>"36"</f>
        <v>36</v>
      </c>
      <c r="D6521">
        <v>6412</v>
      </c>
      <c r="E6521" t="str">
        <f>"11"</f>
        <v>11</v>
      </c>
      <c r="F6521" t="str">
        <f>"001"</f>
        <v>001</v>
      </c>
      <c r="G6521">
        <v>9</v>
      </c>
      <c r="H6521" t="str">
        <f>"99"</f>
        <v>99</v>
      </c>
      <c r="I6521" t="str">
        <f>"5"</f>
        <v>5</v>
      </c>
      <c r="J6521" t="str">
        <f>"74"</f>
        <v>74</v>
      </c>
      <c r="K6521">
        <v>20190531</v>
      </c>
      <c r="L6521" t="str">
        <f>"077021"</f>
        <v>077021</v>
      </c>
      <c r="M6521" t="str">
        <f>"46348"</f>
        <v>46348</v>
      </c>
      <c r="N6521" t="s">
        <v>1631</v>
      </c>
      <c r="O6521">
        <v>960</v>
      </c>
      <c r="P6521">
        <v>20190530</v>
      </c>
      <c r="Q6521" t="s">
        <v>5145</v>
      </c>
      <c r="R6521" t="s">
        <v>5146</v>
      </c>
      <c r="S6521" t="s">
        <v>1615</v>
      </c>
      <c r="T6521" t="s">
        <v>301</v>
      </c>
    </row>
    <row r="6522" spans="1:20" x14ac:dyDescent="0.25">
      <c r="A6522">
        <v>9</v>
      </c>
      <c r="B6522">
        <v>199</v>
      </c>
      <c r="C6522" t="str">
        <f>"36"</f>
        <v>36</v>
      </c>
      <c r="D6522">
        <v>6412</v>
      </c>
      <c r="E6522" t="str">
        <f>"11"</f>
        <v>11</v>
      </c>
      <c r="F6522" t="str">
        <f>"001"</f>
        <v>001</v>
      </c>
      <c r="G6522">
        <v>9</v>
      </c>
      <c r="H6522" t="str">
        <f>"99"</f>
        <v>99</v>
      </c>
      <c r="I6522" t="str">
        <f>"5"</f>
        <v>5</v>
      </c>
      <c r="J6522" t="str">
        <f>"74"</f>
        <v>74</v>
      </c>
      <c r="K6522">
        <v>20190531</v>
      </c>
      <c r="L6522" t="str">
        <f>"077021"</f>
        <v>077021</v>
      </c>
      <c r="M6522" t="str">
        <f>"46348"</f>
        <v>46348</v>
      </c>
      <c r="N6522" t="s">
        <v>1631</v>
      </c>
      <c r="O6522">
        <v>200</v>
      </c>
      <c r="P6522">
        <v>20190530</v>
      </c>
      <c r="Q6522" t="s">
        <v>5145</v>
      </c>
      <c r="R6522" t="s">
        <v>5146</v>
      </c>
      <c r="S6522" t="s">
        <v>1615</v>
      </c>
      <c r="T6522" t="s">
        <v>301</v>
      </c>
    </row>
    <row r="6523" spans="1:20" x14ac:dyDescent="0.25">
      <c r="A6523">
        <v>9</v>
      </c>
      <c r="B6523">
        <v>199</v>
      </c>
      <c r="C6523" t="str">
        <f>"00"</f>
        <v>00</v>
      </c>
      <c r="D6523">
        <v>1291</v>
      </c>
      <c r="E6523" t="str">
        <f>"05"</f>
        <v>05</v>
      </c>
      <c r="F6523" t="str">
        <f>"000"</f>
        <v>000</v>
      </c>
      <c r="G6523">
        <v>9</v>
      </c>
      <c r="H6523" t="str">
        <f>"00"</f>
        <v>00</v>
      </c>
      <c r="I6523" t="str">
        <f t="shared" ref="I6523:I6554" si="1434">"0"</f>
        <v>0</v>
      </c>
      <c r="J6523" t="str">
        <f>"00"</f>
        <v>00</v>
      </c>
      <c r="K6523">
        <v>20190531</v>
      </c>
      <c r="L6523" t="str">
        <f>"077022"</f>
        <v>077022</v>
      </c>
      <c r="M6523" t="str">
        <f>"46351"</f>
        <v>46351</v>
      </c>
      <c r="N6523" t="s">
        <v>1639</v>
      </c>
      <c r="O6523">
        <v>633.32000000000005</v>
      </c>
      <c r="P6523">
        <v>20190530</v>
      </c>
      <c r="Q6523" t="s">
        <v>1637</v>
      </c>
      <c r="R6523" t="s">
        <v>5182</v>
      </c>
      <c r="S6523" t="s">
        <v>1615</v>
      </c>
      <c r="T6523" t="s">
        <v>296</v>
      </c>
    </row>
    <row r="6524" spans="1:20" x14ac:dyDescent="0.25">
      <c r="A6524">
        <v>9</v>
      </c>
      <c r="B6524">
        <v>199</v>
      </c>
      <c r="C6524" t="str">
        <f>"51"</f>
        <v>51</v>
      </c>
      <c r="D6524">
        <v>6249</v>
      </c>
      <c r="E6524" t="str">
        <f>"M8"</f>
        <v>M8</v>
      </c>
      <c r="F6524" t="str">
        <f>"936"</f>
        <v>936</v>
      </c>
      <c r="G6524">
        <v>9</v>
      </c>
      <c r="H6524" t="str">
        <f>"99"</f>
        <v>99</v>
      </c>
      <c r="I6524" t="str">
        <f t="shared" si="1434"/>
        <v>0</v>
      </c>
      <c r="J6524" t="str">
        <f>"81"</f>
        <v>81</v>
      </c>
      <c r="K6524">
        <v>20190531</v>
      </c>
      <c r="L6524" t="str">
        <f>"077025"</f>
        <v>077025</v>
      </c>
      <c r="M6524" t="str">
        <f>"52185"</f>
        <v>52185</v>
      </c>
      <c r="N6524" t="s">
        <v>1748</v>
      </c>
      <c r="O6524" s="1">
        <v>2635</v>
      </c>
      <c r="P6524">
        <v>20190530</v>
      </c>
      <c r="Q6524" t="s">
        <v>2096</v>
      </c>
      <c r="R6524" t="s">
        <v>5183</v>
      </c>
      <c r="S6524" t="s">
        <v>1615</v>
      </c>
      <c r="T6524" t="s">
        <v>1713</v>
      </c>
    </row>
    <row r="6525" spans="1:20" x14ac:dyDescent="0.25">
      <c r="A6525">
        <v>9</v>
      </c>
      <c r="B6525">
        <v>199</v>
      </c>
      <c r="C6525" t="str">
        <f>"52"</f>
        <v>52</v>
      </c>
      <c r="D6525">
        <v>6219</v>
      </c>
      <c r="E6525" t="str">
        <f>"00"</f>
        <v>00</v>
      </c>
      <c r="F6525" t="str">
        <f>"101"</f>
        <v>101</v>
      </c>
      <c r="G6525">
        <v>9</v>
      </c>
      <c r="H6525" t="str">
        <f>"99"</f>
        <v>99</v>
      </c>
      <c r="I6525" t="str">
        <f t="shared" si="1434"/>
        <v>0</v>
      </c>
      <c r="J6525" t="str">
        <f>"00"</f>
        <v>00</v>
      </c>
      <c r="K6525">
        <v>20190531</v>
      </c>
      <c r="L6525" t="str">
        <f>"077027"</f>
        <v>077027</v>
      </c>
      <c r="M6525" t="str">
        <f>"00755"</f>
        <v>00755</v>
      </c>
      <c r="N6525" t="s">
        <v>4268</v>
      </c>
      <c r="O6525">
        <v>300</v>
      </c>
      <c r="P6525">
        <v>20190530</v>
      </c>
      <c r="Q6525" t="s">
        <v>1854</v>
      </c>
      <c r="R6525" t="s">
        <v>5184</v>
      </c>
      <c r="S6525" t="s">
        <v>1615</v>
      </c>
      <c r="T6525" t="s">
        <v>1479</v>
      </c>
    </row>
    <row r="6526" spans="1:20" x14ac:dyDescent="0.25">
      <c r="A6526">
        <v>9</v>
      </c>
      <c r="B6526">
        <v>199</v>
      </c>
      <c r="C6526" t="str">
        <f>"31"</f>
        <v>31</v>
      </c>
      <c r="D6526">
        <v>6399</v>
      </c>
      <c r="E6526" t="str">
        <f>"7F"</f>
        <v>7F</v>
      </c>
      <c r="F6526" t="str">
        <f>"101"</f>
        <v>101</v>
      </c>
      <c r="G6526">
        <v>9</v>
      </c>
      <c r="H6526" t="str">
        <f>"99"</f>
        <v>99</v>
      </c>
      <c r="I6526" t="str">
        <f t="shared" si="1434"/>
        <v>0</v>
      </c>
      <c r="J6526" t="str">
        <f>"04"</f>
        <v>04</v>
      </c>
      <c r="K6526">
        <v>20190531</v>
      </c>
      <c r="L6526" t="str">
        <f>"077031"</f>
        <v>077031</v>
      </c>
      <c r="M6526" t="str">
        <f>"56217"</f>
        <v>56217</v>
      </c>
      <c r="N6526" t="s">
        <v>5185</v>
      </c>
      <c r="O6526">
        <v>92.69</v>
      </c>
      <c r="P6526">
        <v>20190530</v>
      </c>
      <c r="Q6526" t="s">
        <v>5186</v>
      </c>
      <c r="R6526" t="s">
        <v>641</v>
      </c>
      <c r="S6526" t="s">
        <v>1615</v>
      </c>
      <c r="T6526" t="s">
        <v>1479</v>
      </c>
    </row>
    <row r="6527" spans="1:20" x14ac:dyDescent="0.25">
      <c r="A6527">
        <v>9</v>
      </c>
      <c r="B6527">
        <v>199</v>
      </c>
      <c r="C6527" t="str">
        <f>"11"</f>
        <v>11</v>
      </c>
      <c r="D6527">
        <v>6269</v>
      </c>
      <c r="E6527" t="str">
        <f>"7B"</f>
        <v>7B</v>
      </c>
      <c r="F6527" t="str">
        <f>"001"</f>
        <v>001</v>
      </c>
      <c r="G6527">
        <v>9</v>
      </c>
      <c r="H6527" t="str">
        <f>"11"</f>
        <v>11</v>
      </c>
      <c r="I6527" t="str">
        <f t="shared" si="1434"/>
        <v>0</v>
      </c>
      <c r="J6527" t="str">
        <f>"32"</f>
        <v>32</v>
      </c>
      <c r="K6527">
        <v>20190531</v>
      </c>
      <c r="L6527" t="str">
        <f>"077032"</f>
        <v>077032</v>
      </c>
      <c r="M6527" t="str">
        <f>"57697"</f>
        <v>57697</v>
      </c>
      <c r="N6527" t="s">
        <v>1902</v>
      </c>
      <c r="O6527">
        <v>165.14</v>
      </c>
      <c r="P6527">
        <v>20190530</v>
      </c>
      <c r="Q6527" t="s">
        <v>5187</v>
      </c>
      <c r="R6527" t="s">
        <v>3498</v>
      </c>
      <c r="S6527" t="s">
        <v>1615</v>
      </c>
      <c r="T6527" t="s">
        <v>301</v>
      </c>
    </row>
    <row r="6528" spans="1:20" x14ac:dyDescent="0.25">
      <c r="A6528">
        <v>9</v>
      </c>
      <c r="B6528">
        <v>199</v>
      </c>
      <c r="C6528" t="str">
        <f>"23"</f>
        <v>23</v>
      </c>
      <c r="D6528">
        <v>6299</v>
      </c>
      <c r="E6528" t="str">
        <f>"10"</f>
        <v>10</v>
      </c>
      <c r="F6528" t="str">
        <f>"001"</f>
        <v>001</v>
      </c>
      <c r="G6528">
        <v>9</v>
      </c>
      <c r="H6528" t="str">
        <f>"99"</f>
        <v>99</v>
      </c>
      <c r="I6528" t="str">
        <f t="shared" si="1434"/>
        <v>0</v>
      </c>
      <c r="J6528" t="str">
        <f>"01"</f>
        <v>01</v>
      </c>
      <c r="K6528">
        <v>20190531</v>
      </c>
      <c r="L6528" t="str">
        <f>"077033"</f>
        <v>077033</v>
      </c>
      <c r="M6528" t="str">
        <f>"57974"</f>
        <v>57974</v>
      </c>
      <c r="N6528" t="s">
        <v>371</v>
      </c>
      <c r="O6528">
        <v>150</v>
      </c>
      <c r="P6528">
        <v>20190530</v>
      </c>
      <c r="Q6528" t="s">
        <v>5171</v>
      </c>
      <c r="R6528" t="s">
        <v>3498</v>
      </c>
      <c r="S6528" t="s">
        <v>1615</v>
      </c>
      <c r="T6528" t="s">
        <v>301</v>
      </c>
    </row>
    <row r="6529" spans="1:20" x14ac:dyDescent="0.25">
      <c r="A6529">
        <v>9</v>
      </c>
      <c r="B6529">
        <v>199</v>
      </c>
      <c r="C6529" t="str">
        <f>"11"</f>
        <v>11</v>
      </c>
      <c r="D6529">
        <v>6299</v>
      </c>
      <c r="E6529" t="str">
        <f>"7E"</f>
        <v>7E</v>
      </c>
      <c r="F6529" t="str">
        <f>"001"</f>
        <v>001</v>
      </c>
      <c r="G6529">
        <v>9</v>
      </c>
      <c r="H6529" t="str">
        <f>"11"</f>
        <v>11</v>
      </c>
      <c r="I6529" t="str">
        <f t="shared" si="1434"/>
        <v>0</v>
      </c>
      <c r="J6529" t="str">
        <f>"31"</f>
        <v>31</v>
      </c>
      <c r="K6529">
        <v>20190531</v>
      </c>
      <c r="L6529" t="str">
        <f>"077034"</f>
        <v>077034</v>
      </c>
      <c r="M6529" t="str">
        <f>"57997"</f>
        <v>57997</v>
      </c>
      <c r="N6529" t="s">
        <v>1904</v>
      </c>
      <c r="O6529">
        <v>215</v>
      </c>
      <c r="P6529">
        <v>20190530</v>
      </c>
      <c r="Q6529" t="s">
        <v>1873</v>
      </c>
      <c r="R6529" t="s">
        <v>5152</v>
      </c>
      <c r="S6529" t="s">
        <v>1615</v>
      </c>
      <c r="T6529" t="s">
        <v>301</v>
      </c>
    </row>
    <row r="6530" spans="1:20" x14ac:dyDescent="0.25">
      <c r="A6530">
        <v>9</v>
      </c>
      <c r="B6530">
        <v>199</v>
      </c>
      <c r="C6530" t="str">
        <f>"23"</f>
        <v>23</v>
      </c>
      <c r="D6530">
        <v>6498</v>
      </c>
      <c r="E6530" t="str">
        <f>"10"</f>
        <v>10</v>
      </c>
      <c r="F6530" t="str">
        <f>"002"</f>
        <v>002</v>
      </c>
      <c r="G6530">
        <v>9</v>
      </c>
      <c r="H6530" t="str">
        <f>"99"</f>
        <v>99</v>
      </c>
      <c r="I6530" t="str">
        <f t="shared" si="1434"/>
        <v>0</v>
      </c>
      <c r="J6530" t="str">
        <f>"02"</f>
        <v>02</v>
      </c>
      <c r="K6530">
        <v>20190531</v>
      </c>
      <c r="L6530" t="str">
        <f>"077036"</f>
        <v>077036</v>
      </c>
      <c r="M6530" t="str">
        <f>"57311"</f>
        <v>57311</v>
      </c>
      <c r="N6530" t="s">
        <v>3322</v>
      </c>
      <c r="O6530">
        <v>199.4</v>
      </c>
      <c r="P6530">
        <v>20190530</v>
      </c>
      <c r="Q6530" t="s">
        <v>3213</v>
      </c>
      <c r="R6530" t="s">
        <v>5188</v>
      </c>
      <c r="S6530" t="s">
        <v>1615</v>
      </c>
      <c r="T6530" t="s">
        <v>1485</v>
      </c>
    </row>
    <row r="6531" spans="1:20" x14ac:dyDescent="0.25">
      <c r="A6531">
        <v>9</v>
      </c>
      <c r="B6531">
        <v>199</v>
      </c>
      <c r="C6531" t="str">
        <f>"41"</f>
        <v>41</v>
      </c>
      <c r="D6531">
        <v>6498</v>
      </c>
      <c r="E6531" t="str">
        <f>"10"</f>
        <v>10</v>
      </c>
      <c r="F6531" t="str">
        <f>"701"</f>
        <v>701</v>
      </c>
      <c r="G6531">
        <v>9</v>
      </c>
      <c r="H6531" t="str">
        <f>"99"</f>
        <v>99</v>
      </c>
      <c r="I6531" t="str">
        <f t="shared" si="1434"/>
        <v>0</v>
      </c>
      <c r="J6531" t="str">
        <f>"92"</f>
        <v>92</v>
      </c>
      <c r="K6531">
        <v>20190531</v>
      </c>
      <c r="L6531" t="str">
        <f>"077036"</f>
        <v>077036</v>
      </c>
      <c r="M6531" t="str">
        <f>"57311"</f>
        <v>57311</v>
      </c>
      <c r="N6531" t="s">
        <v>3322</v>
      </c>
      <c r="O6531">
        <v>373</v>
      </c>
      <c r="P6531">
        <v>20190530</v>
      </c>
      <c r="Q6531" t="s">
        <v>2202</v>
      </c>
      <c r="R6531" t="s">
        <v>5189</v>
      </c>
      <c r="S6531" t="s">
        <v>1615</v>
      </c>
      <c r="T6531" t="s">
        <v>1841</v>
      </c>
    </row>
    <row r="6532" spans="1:20" x14ac:dyDescent="0.25">
      <c r="A6532">
        <v>9</v>
      </c>
      <c r="B6532">
        <v>199</v>
      </c>
      <c r="C6532" t="str">
        <f>"36"</f>
        <v>36</v>
      </c>
      <c r="D6532">
        <v>6412</v>
      </c>
      <c r="E6532" t="str">
        <f>"7E"</f>
        <v>7E</v>
      </c>
      <c r="F6532" t="str">
        <f>"001"</f>
        <v>001</v>
      </c>
      <c r="G6532">
        <v>9</v>
      </c>
      <c r="H6532" t="str">
        <f>"99"</f>
        <v>99</v>
      </c>
      <c r="I6532" t="str">
        <f t="shared" si="1434"/>
        <v>0</v>
      </c>
      <c r="J6532" t="str">
        <f>"31"</f>
        <v>31</v>
      </c>
      <c r="K6532">
        <v>20190531</v>
      </c>
      <c r="L6532" t="str">
        <f>"077037"</f>
        <v>077037</v>
      </c>
      <c r="M6532" t="str">
        <f>"63053"</f>
        <v>63053</v>
      </c>
      <c r="N6532" t="s">
        <v>2309</v>
      </c>
      <c r="O6532">
        <v>340</v>
      </c>
      <c r="P6532">
        <v>20190530</v>
      </c>
      <c r="Q6532" t="s">
        <v>1655</v>
      </c>
      <c r="R6532" t="s">
        <v>4556</v>
      </c>
      <c r="S6532" t="s">
        <v>1615</v>
      </c>
      <c r="T6532" t="s">
        <v>301</v>
      </c>
    </row>
    <row r="6533" spans="1:20" x14ac:dyDescent="0.25">
      <c r="A6533">
        <v>9</v>
      </c>
      <c r="B6533">
        <v>199</v>
      </c>
      <c r="C6533" t="str">
        <f>"11"</f>
        <v>11</v>
      </c>
      <c r="D6533">
        <v>6399</v>
      </c>
      <c r="E6533" t="str">
        <f>"01"</f>
        <v>01</v>
      </c>
      <c r="F6533" t="str">
        <f>"101"</f>
        <v>101</v>
      </c>
      <c r="G6533">
        <v>9</v>
      </c>
      <c r="H6533" t="str">
        <f>"25"</f>
        <v>25</v>
      </c>
      <c r="I6533" t="str">
        <f t="shared" si="1434"/>
        <v>0</v>
      </c>
      <c r="J6533" t="str">
        <f>"25"</f>
        <v>25</v>
      </c>
      <c r="K6533">
        <v>20190531</v>
      </c>
      <c r="L6533" t="str">
        <f>"077039"</f>
        <v>077039</v>
      </c>
      <c r="M6533" t="str">
        <f>"65780"</f>
        <v>65780</v>
      </c>
      <c r="N6533" t="s">
        <v>2318</v>
      </c>
      <c r="O6533" s="1">
        <v>3546.7</v>
      </c>
      <c r="P6533">
        <v>20190530</v>
      </c>
      <c r="Q6533" t="s">
        <v>4843</v>
      </c>
      <c r="R6533" t="s">
        <v>5190</v>
      </c>
      <c r="S6533" t="s">
        <v>1615</v>
      </c>
      <c r="T6533" t="s">
        <v>1479</v>
      </c>
    </row>
    <row r="6534" spans="1:20" x14ac:dyDescent="0.25">
      <c r="A6534">
        <v>9</v>
      </c>
      <c r="B6534">
        <v>199</v>
      </c>
      <c r="C6534" t="str">
        <f>"11"</f>
        <v>11</v>
      </c>
      <c r="D6534">
        <v>6399</v>
      </c>
      <c r="E6534" t="str">
        <f>"01"</f>
        <v>01</v>
      </c>
      <c r="F6534" t="str">
        <f>"101"</f>
        <v>101</v>
      </c>
      <c r="G6534">
        <v>9</v>
      </c>
      <c r="H6534" t="str">
        <f>"25"</f>
        <v>25</v>
      </c>
      <c r="I6534" t="str">
        <f t="shared" si="1434"/>
        <v>0</v>
      </c>
      <c r="J6534" t="str">
        <f>"25"</f>
        <v>25</v>
      </c>
      <c r="K6534">
        <v>20190531</v>
      </c>
      <c r="L6534" t="str">
        <f>"077039"</f>
        <v>077039</v>
      </c>
      <c r="M6534" t="str">
        <f>"65780"</f>
        <v>65780</v>
      </c>
      <c r="N6534" t="s">
        <v>2318</v>
      </c>
      <c r="O6534">
        <v>42.24</v>
      </c>
      <c r="P6534">
        <v>20190530</v>
      </c>
      <c r="Q6534" t="s">
        <v>4843</v>
      </c>
      <c r="R6534" t="s">
        <v>5191</v>
      </c>
      <c r="S6534" t="s">
        <v>1615</v>
      </c>
      <c r="T6534" t="s">
        <v>1479</v>
      </c>
    </row>
    <row r="6535" spans="1:20" x14ac:dyDescent="0.25">
      <c r="A6535">
        <v>9</v>
      </c>
      <c r="B6535">
        <v>199</v>
      </c>
      <c r="C6535" t="str">
        <f>"11"</f>
        <v>11</v>
      </c>
      <c r="D6535">
        <v>6399</v>
      </c>
      <c r="E6535" t="str">
        <f>"01"</f>
        <v>01</v>
      </c>
      <c r="F6535" t="str">
        <f>"101"</f>
        <v>101</v>
      </c>
      <c r="G6535">
        <v>9</v>
      </c>
      <c r="H6535" t="str">
        <f>"25"</f>
        <v>25</v>
      </c>
      <c r="I6535" t="str">
        <f t="shared" si="1434"/>
        <v>0</v>
      </c>
      <c r="J6535" t="str">
        <f>"25"</f>
        <v>25</v>
      </c>
      <c r="K6535">
        <v>20190531</v>
      </c>
      <c r="L6535" t="str">
        <f>"077039"</f>
        <v>077039</v>
      </c>
      <c r="M6535" t="str">
        <f>"65780"</f>
        <v>65780</v>
      </c>
      <c r="N6535" t="s">
        <v>2318</v>
      </c>
      <c r="O6535">
        <v>32.65</v>
      </c>
      <c r="P6535">
        <v>20190530</v>
      </c>
      <c r="Q6535" t="s">
        <v>4843</v>
      </c>
      <c r="R6535" t="s">
        <v>5192</v>
      </c>
      <c r="S6535" t="s">
        <v>1615</v>
      </c>
      <c r="T6535" t="s">
        <v>1479</v>
      </c>
    </row>
    <row r="6536" spans="1:20" x14ac:dyDescent="0.25">
      <c r="A6536">
        <v>9</v>
      </c>
      <c r="B6536">
        <v>199</v>
      </c>
      <c r="C6536" t="str">
        <f>"11"</f>
        <v>11</v>
      </c>
      <c r="D6536">
        <v>6499</v>
      </c>
      <c r="E6536" t="str">
        <f>"10"</f>
        <v>10</v>
      </c>
      <c r="F6536" t="str">
        <f>"001"</f>
        <v>001</v>
      </c>
      <c r="G6536">
        <v>9</v>
      </c>
      <c r="H6536" t="str">
        <f>"31"</f>
        <v>31</v>
      </c>
      <c r="I6536" t="str">
        <f t="shared" si="1434"/>
        <v>0</v>
      </c>
      <c r="J6536" t="str">
        <f>"34"</f>
        <v>34</v>
      </c>
      <c r="K6536">
        <v>20190531</v>
      </c>
      <c r="L6536" t="str">
        <f>"077040"</f>
        <v>077040</v>
      </c>
      <c r="M6536" t="str">
        <f>"67740"</f>
        <v>67740</v>
      </c>
      <c r="N6536" t="s">
        <v>3254</v>
      </c>
      <c r="O6536" s="1">
        <v>4345</v>
      </c>
      <c r="P6536">
        <v>20190530</v>
      </c>
      <c r="Q6536" t="s">
        <v>5193</v>
      </c>
      <c r="R6536" t="s">
        <v>5194</v>
      </c>
      <c r="S6536" t="s">
        <v>1615</v>
      </c>
      <c r="T6536" t="s">
        <v>301</v>
      </c>
    </row>
    <row r="6537" spans="1:20" x14ac:dyDescent="0.25">
      <c r="A6537">
        <v>9</v>
      </c>
      <c r="B6537">
        <v>199</v>
      </c>
      <c r="C6537" t="str">
        <f>"11"</f>
        <v>11</v>
      </c>
      <c r="D6537">
        <v>6299</v>
      </c>
      <c r="E6537" t="str">
        <f>"7E"</f>
        <v>7E</v>
      </c>
      <c r="F6537" t="str">
        <f>"001"</f>
        <v>001</v>
      </c>
      <c r="G6537">
        <v>9</v>
      </c>
      <c r="H6537" t="str">
        <f>"11"</f>
        <v>11</v>
      </c>
      <c r="I6537" t="str">
        <f t="shared" si="1434"/>
        <v>0</v>
      </c>
      <c r="J6537" t="str">
        <f>"31"</f>
        <v>31</v>
      </c>
      <c r="K6537">
        <v>20190531</v>
      </c>
      <c r="L6537" t="str">
        <f>"077041"</f>
        <v>077041</v>
      </c>
      <c r="M6537" t="str">
        <f>"72253"</f>
        <v>72253</v>
      </c>
      <c r="N6537" t="s">
        <v>5195</v>
      </c>
      <c r="O6537">
        <v>150</v>
      </c>
      <c r="P6537">
        <v>20190530</v>
      </c>
      <c r="Q6537" t="s">
        <v>1873</v>
      </c>
      <c r="R6537" t="s">
        <v>5152</v>
      </c>
      <c r="S6537" t="s">
        <v>1615</v>
      </c>
      <c r="T6537" t="s">
        <v>301</v>
      </c>
    </row>
    <row r="6538" spans="1:20" x14ac:dyDescent="0.25">
      <c r="A6538">
        <v>9</v>
      </c>
      <c r="B6538">
        <v>199</v>
      </c>
      <c r="C6538" t="str">
        <f>"36"</f>
        <v>36</v>
      </c>
      <c r="D6538">
        <v>6499</v>
      </c>
      <c r="E6538" t="str">
        <f>"7E"</f>
        <v>7E</v>
      </c>
      <c r="F6538" t="str">
        <f>"001"</f>
        <v>001</v>
      </c>
      <c r="G6538">
        <v>9</v>
      </c>
      <c r="H6538" t="str">
        <f>"99"</f>
        <v>99</v>
      </c>
      <c r="I6538" t="str">
        <f t="shared" si="1434"/>
        <v>0</v>
      </c>
      <c r="J6538" t="str">
        <f>"31"</f>
        <v>31</v>
      </c>
      <c r="K6538">
        <v>20190531</v>
      </c>
      <c r="L6538" t="str">
        <f>"077042"</f>
        <v>077042</v>
      </c>
      <c r="M6538" t="str">
        <f>"70641"</f>
        <v>70641</v>
      </c>
      <c r="N6538" t="s">
        <v>5196</v>
      </c>
      <c r="O6538">
        <v>493</v>
      </c>
      <c r="P6538">
        <v>20190530</v>
      </c>
      <c r="Q6538" t="s">
        <v>5030</v>
      </c>
      <c r="R6538" t="s">
        <v>5197</v>
      </c>
      <c r="S6538" t="s">
        <v>1615</v>
      </c>
      <c r="T6538" t="s">
        <v>301</v>
      </c>
    </row>
    <row r="6539" spans="1:20" x14ac:dyDescent="0.25">
      <c r="A6539">
        <v>9</v>
      </c>
      <c r="B6539">
        <v>199</v>
      </c>
      <c r="C6539" t="str">
        <f>"11"</f>
        <v>11</v>
      </c>
      <c r="D6539">
        <v>6412</v>
      </c>
      <c r="E6539" t="str">
        <f>"VD"</f>
        <v>VD</v>
      </c>
      <c r="F6539" t="str">
        <f>"001"</f>
        <v>001</v>
      </c>
      <c r="G6539">
        <v>9</v>
      </c>
      <c r="H6539" t="str">
        <f>"22"</f>
        <v>22</v>
      </c>
      <c r="I6539" t="str">
        <f t="shared" si="1434"/>
        <v>0</v>
      </c>
      <c r="J6539" t="str">
        <f>"22"</f>
        <v>22</v>
      </c>
      <c r="K6539">
        <v>20190531</v>
      </c>
      <c r="L6539" t="str">
        <f>"077043"</f>
        <v>077043</v>
      </c>
      <c r="M6539" t="str">
        <f>"79662"</f>
        <v>79662</v>
      </c>
      <c r="N6539" t="s">
        <v>4368</v>
      </c>
      <c r="O6539">
        <v>250</v>
      </c>
      <c r="P6539">
        <v>20190530</v>
      </c>
      <c r="Q6539" t="s">
        <v>2120</v>
      </c>
      <c r="R6539" t="s">
        <v>5148</v>
      </c>
      <c r="S6539" t="s">
        <v>1615</v>
      </c>
      <c r="T6539" t="s">
        <v>301</v>
      </c>
    </row>
    <row r="6540" spans="1:20" x14ac:dyDescent="0.25">
      <c r="A6540">
        <v>9</v>
      </c>
      <c r="B6540">
        <v>199</v>
      </c>
      <c r="C6540" t="str">
        <f>"12"</f>
        <v>12</v>
      </c>
      <c r="D6540">
        <v>6411</v>
      </c>
      <c r="E6540" t="str">
        <f>"00"</f>
        <v>00</v>
      </c>
      <c r="F6540" t="str">
        <f>"101"</f>
        <v>101</v>
      </c>
      <c r="G6540">
        <v>9</v>
      </c>
      <c r="H6540" t="str">
        <f>"11"</f>
        <v>11</v>
      </c>
      <c r="I6540" t="str">
        <f t="shared" si="1434"/>
        <v>0</v>
      </c>
      <c r="J6540" t="str">
        <f>"94"</f>
        <v>94</v>
      </c>
      <c r="K6540">
        <v>20190531</v>
      </c>
      <c r="L6540" t="str">
        <f>"077045"</f>
        <v>077045</v>
      </c>
      <c r="M6540" t="str">
        <f>"00282"</f>
        <v>00282</v>
      </c>
      <c r="N6540" t="s">
        <v>5198</v>
      </c>
      <c r="O6540">
        <v>176.41</v>
      </c>
      <c r="P6540">
        <v>20190530</v>
      </c>
      <c r="Q6540" t="s">
        <v>4036</v>
      </c>
      <c r="R6540" t="s">
        <v>4034</v>
      </c>
      <c r="S6540" t="s">
        <v>1615</v>
      </c>
      <c r="T6540" t="s">
        <v>1479</v>
      </c>
    </row>
    <row r="6541" spans="1:20" x14ac:dyDescent="0.25">
      <c r="A6541">
        <v>9</v>
      </c>
      <c r="B6541">
        <v>199</v>
      </c>
      <c r="C6541" t="str">
        <f>"23"</f>
        <v>23</v>
      </c>
      <c r="D6541">
        <v>6498</v>
      </c>
      <c r="E6541" t="str">
        <f>"10"</f>
        <v>10</v>
      </c>
      <c r="F6541" t="str">
        <f>"001"</f>
        <v>001</v>
      </c>
      <c r="G6541">
        <v>9</v>
      </c>
      <c r="H6541" t="str">
        <f>"99"</f>
        <v>99</v>
      </c>
      <c r="I6541" t="str">
        <f t="shared" si="1434"/>
        <v>0</v>
      </c>
      <c r="J6541" t="str">
        <f>"01"</f>
        <v>01</v>
      </c>
      <c r="K6541">
        <v>20190531</v>
      </c>
      <c r="L6541" t="str">
        <f>"077046"</f>
        <v>077046</v>
      </c>
      <c r="M6541" t="str">
        <f>"81299"</f>
        <v>81299</v>
      </c>
      <c r="N6541" t="s">
        <v>4298</v>
      </c>
      <c r="O6541">
        <v>480</v>
      </c>
      <c r="P6541">
        <v>20190530</v>
      </c>
      <c r="Q6541" t="s">
        <v>2108</v>
      </c>
      <c r="R6541" t="s">
        <v>5199</v>
      </c>
      <c r="S6541" t="s">
        <v>1615</v>
      </c>
      <c r="T6541" t="s">
        <v>301</v>
      </c>
    </row>
    <row r="6542" spans="1:20" x14ac:dyDescent="0.25">
      <c r="A6542">
        <v>9</v>
      </c>
      <c r="B6542">
        <v>199</v>
      </c>
      <c r="C6542" t="str">
        <f>"31"</f>
        <v>31</v>
      </c>
      <c r="D6542">
        <v>6499</v>
      </c>
      <c r="E6542" t="str">
        <f>"7F"</f>
        <v>7F</v>
      </c>
      <c r="F6542" t="str">
        <f>"001"</f>
        <v>001</v>
      </c>
      <c r="G6542">
        <v>9</v>
      </c>
      <c r="H6542" t="str">
        <f>"31"</f>
        <v>31</v>
      </c>
      <c r="I6542" t="str">
        <f t="shared" si="1434"/>
        <v>0</v>
      </c>
      <c r="J6542" t="str">
        <f>"34"</f>
        <v>34</v>
      </c>
      <c r="K6542">
        <v>20190531</v>
      </c>
      <c r="L6542" t="str">
        <f>"077046"</f>
        <v>077046</v>
      </c>
      <c r="M6542" t="str">
        <f>"81299"</f>
        <v>81299</v>
      </c>
      <c r="N6542" t="s">
        <v>4298</v>
      </c>
      <c r="O6542">
        <v>600</v>
      </c>
      <c r="P6542">
        <v>20190530</v>
      </c>
      <c r="Q6542" t="s">
        <v>2880</v>
      </c>
      <c r="R6542" t="s">
        <v>5094</v>
      </c>
      <c r="S6542" t="s">
        <v>1615</v>
      </c>
      <c r="T6542" t="s">
        <v>301</v>
      </c>
    </row>
    <row r="6543" spans="1:20" x14ac:dyDescent="0.25">
      <c r="A6543">
        <v>9</v>
      </c>
      <c r="B6543">
        <v>199</v>
      </c>
      <c r="C6543" t="str">
        <f>"31"</f>
        <v>31</v>
      </c>
      <c r="D6543">
        <v>6499</v>
      </c>
      <c r="E6543" t="str">
        <f>"7F"</f>
        <v>7F</v>
      </c>
      <c r="F6543" t="str">
        <f>"001"</f>
        <v>001</v>
      </c>
      <c r="G6543">
        <v>9</v>
      </c>
      <c r="H6543" t="str">
        <f>"31"</f>
        <v>31</v>
      </c>
      <c r="I6543" t="str">
        <f t="shared" si="1434"/>
        <v>0</v>
      </c>
      <c r="J6543" t="str">
        <f>"34"</f>
        <v>34</v>
      </c>
      <c r="K6543">
        <v>20190531</v>
      </c>
      <c r="L6543" t="str">
        <f>"077046"</f>
        <v>077046</v>
      </c>
      <c r="M6543" t="str">
        <f>"81299"</f>
        <v>81299</v>
      </c>
      <c r="N6543" t="s">
        <v>4298</v>
      </c>
      <c r="O6543">
        <v>115.17</v>
      </c>
      <c r="P6543">
        <v>20190530</v>
      </c>
      <c r="Q6543" t="s">
        <v>2880</v>
      </c>
      <c r="R6543" t="s">
        <v>5200</v>
      </c>
      <c r="S6543" t="s">
        <v>1615</v>
      </c>
      <c r="T6543" t="s">
        <v>301</v>
      </c>
    </row>
    <row r="6544" spans="1:20" x14ac:dyDescent="0.25">
      <c r="A6544">
        <v>9</v>
      </c>
      <c r="B6544">
        <v>199</v>
      </c>
      <c r="C6544" t="str">
        <f>"41"</f>
        <v>41</v>
      </c>
      <c r="D6544">
        <v>6498</v>
      </c>
      <c r="E6544" t="str">
        <f>"00"</f>
        <v>00</v>
      </c>
      <c r="F6544" t="str">
        <f>"939"</f>
        <v>939</v>
      </c>
      <c r="G6544">
        <v>9</v>
      </c>
      <c r="H6544" t="str">
        <f>"99"</f>
        <v>99</v>
      </c>
      <c r="I6544" t="str">
        <f t="shared" si="1434"/>
        <v>0</v>
      </c>
      <c r="J6544" t="str">
        <f>"87"</f>
        <v>87</v>
      </c>
      <c r="K6544">
        <v>20190531</v>
      </c>
      <c r="L6544" t="str">
        <f>"077046"</f>
        <v>077046</v>
      </c>
      <c r="M6544" t="str">
        <f>"81299"</f>
        <v>81299</v>
      </c>
      <c r="N6544" t="s">
        <v>4298</v>
      </c>
      <c r="O6544">
        <v>20</v>
      </c>
      <c r="P6544">
        <v>20190530</v>
      </c>
      <c r="Q6544" t="s">
        <v>5201</v>
      </c>
      <c r="R6544" t="s">
        <v>5202</v>
      </c>
      <c r="S6544" t="s">
        <v>1615</v>
      </c>
      <c r="T6544" t="s">
        <v>2985</v>
      </c>
    </row>
    <row r="6545" spans="1:20" x14ac:dyDescent="0.25">
      <c r="A6545">
        <v>9</v>
      </c>
      <c r="B6545">
        <v>199</v>
      </c>
      <c r="C6545" t="str">
        <f t="shared" ref="C6545:C6559" si="1435">"11"</f>
        <v>11</v>
      </c>
      <c r="D6545">
        <v>6395</v>
      </c>
      <c r="E6545" t="str">
        <f t="shared" ref="E6545:E6553" si="1436">"10"</f>
        <v>10</v>
      </c>
      <c r="F6545" t="str">
        <f t="shared" ref="F6545:F6552" si="1437">"001"</f>
        <v>001</v>
      </c>
      <c r="G6545">
        <v>9</v>
      </c>
      <c r="H6545" t="str">
        <f t="shared" ref="H6545:H6559" si="1438">"11"</f>
        <v>11</v>
      </c>
      <c r="I6545" t="str">
        <f t="shared" si="1434"/>
        <v>0</v>
      </c>
      <c r="J6545" t="str">
        <f t="shared" ref="J6545:J6552" si="1439">"01"</f>
        <v>01</v>
      </c>
      <c r="K6545">
        <v>20190531</v>
      </c>
      <c r="L6545" t="str">
        <f t="shared" ref="L6545:L6561" si="1440">"077047"</f>
        <v>077047</v>
      </c>
      <c r="M6545" t="str">
        <f t="shared" ref="M6545:M6561" si="1441">"81303"</f>
        <v>81303</v>
      </c>
      <c r="N6545" t="s">
        <v>66</v>
      </c>
      <c r="O6545">
        <v>66</v>
      </c>
      <c r="P6545">
        <v>20190530</v>
      </c>
      <c r="Q6545" t="s">
        <v>1929</v>
      </c>
      <c r="R6545" t="s">
        <v>5203</v>
      </c>
      <c r="S6545" t="s">
        <v>1615</v>
      </c>
      <c r="T6545" t="s">
        <v>301</v>
      </c>
    </row>
    <row r="6546" spans="1:20" x14ac:dyDescent="0.25">
      <c r="A6546">
        <v>9</v>
      </c>
      <c r="B6546">
        <v>199</v>
      </c>
      <c r="C6546" t="str">
        <f t="shared" si="1435"/>
        <v>11</v>
      </c>
      <c r="D6546">
        <v>6395</v>
      </c>
      <c r="E6546" t="str">
        <f t="shared" si="1436"/>
        <v>10</v>
      </c>
      <c r="F6546" t="str">
        <f t="shared" si="1437"/>
        <v>001</v>
      </c>
      <c r="G6546">
        <v>9</v>
      </c>
      <c r="H6546" t="str">
        <f t="shared" si="1438"/>
        <v>11</v>
      </c>
      <c r="I6546" t="str">
        <f t="shared" si="1434"/>
        <v>0</v>
      </c>
      <c r="J6546" t="str">
        <f t="shared" si="1439"/>
        <v>01</v>
      </c>
      <c r="K6546">
        <v>20190531</v>
      </c>
      <c r="L6546" t="str">
        <f t="shared" si="1440"/>
        <v>077047</v>
      </c>
      <c r="M6546" t="str">
        <f t="shared" si="1441"/>
        <v>81303</v>
      </c>
      <c r="N6546" t="s">
        <v>66</v>
      </c>
      <c r="O6546">
        <v>16</v>
      </c>
      <c r="P6546">
        <v>20190530</v>
      </c>
      <c r="Q6546" t="s">
        <v>1929</v>
      </c>
      <c r="R6546" t="s">
        <v>5204</v>
      </c>
      <c r="S6546" t="s">
        <v>1615</v>
      </c>
      <c r="T6546" t="s">
        <v>301</v>
      </c>
    </row>
    <row r="6547" spans="1:20" x14ac:dyDescent="0.25">
      <c r="A6547">
        <v>9</v>
      </c>
      <c r="B6547">
        <v>199</v>
      </c>
      <c r="C6547" t="str">
        <f t="shared" si="1435"/>
        <v>11</v>
      </c>
      <c r="D6547">
        <v>6395</v>
      </c>
      <c r="E6547" t="str">
        <f t="shared" si="1436"/>
        <v>10</v>
      </c>
      <c r="F6547" t="str">
        <f t="shared" si="1437"/>
        <v>001</v>
      </c>
      <c r="G6547">
        <v>9</v>
      </c>
      <c r="H6547" t="str">
        <f t="shared" si="1438"/>
        <v>11</v>
      </c>
      <c r="I6547" t="str">
        <f t="shared" si="1434"/>
        <v>0</v>
      </c>
      <c r="J6547" t="str">
        <f t="shared" si="1439"/>
        <v>01</v>
      </c>
      <c r="K6547">
        <v>20190531</v>
      </c>
      <c r="L6547" t="str">
        <f t="shared" si="1440"/>
        <v>077047</v>
      </c>
      <c r="M6547" t="str">
        <f t="shared" si="1441"/>
        <v>81303</v>
      </c>
      <c r="N6547" t="s">
        <v>66</v>
      </c>
      <c r="O6547">
        <v>156</v>
      </c>
      <c r="P6547">
        <v>20190530</v>
      </c>
      <c r="Q6547" t="s">
        <v>1929</v>
      </c>
      <c r="R6547" t="s">
        <v>5205</v>
      </c>
      <c r="S6547" t="s">
        <v>1615</v>
      </c>
      <c r="T6547" t="s">
        <v>301</v>
      </c>
    </row>
    <row r="6548" spans="1:20" x14ac:dyDescent="0.25">
      <c r="A6548">
        <v>9</v>
      </c>
      <c r="B6548">
        <v>199</v>
      </c>
      <c r="C6548" t="str">
        <f t="shared" si="1435"/>
        <v>11</v>
      </c>
      <c r="D6548">
        <v>6395</v>
      </c>
      <c r="E6548" t="str">
        <f t="shared" si="1436"/>
        <v>10</v>
      </c>
      <c r="F6548" t="str">
        <f t="shared" si="1437"/>
        <v>001</v>
      </c>
      <c r="G6548">
        <v>9</v>
      </c>
      <c r="H6548" t="str">
        <f t="shared" si="1438"/>
        <v>11</v>
      </c>
      <c r="I6548" t="str">
        <f t="shared" si="1434"/>
        <v>0</v>
      </c>
      <c r="J6548" t="str">
        <f t="shared" si="1439"/>
        <v>01</v>
      </c>
      <c r="K6548">
        <v>20190531</v>
      </c>
      <c r="L6548" t="str">
        <f t="shared" si="1440"/>
        <v>077047</v>
      </c>
      <c r="M6548" t="str">
        <f t="shared" si="1441"/>
        <v>81303</v>
      </c>
      <c r="N6548" t="s">
        <v>66</v>
      </c>
      <c r="O6548">
        <v>379</v>
      </c>
      <c r="P6548">
        <v>20190530</v>
      </c>
      <c r="Q6548" t="s">
        <v>1929</v>
      </c>
      <c r="R6548" t="s">
        <v>5206</v>
      </c>
      <c r="S6548" t="s">
        <v>1615</v>
      </c>
      <c r="T6548" t="s">
        <v>301</v>
      </c>
    </row>
    <row r="6549" spans="1:20" x14ac:dyDescent="0.25">
      <c r="A6549">
        <v>9</v>
      </c>
      <c r="B6549">
        <v>199</v>
      </c>
      <c r="C6549" t="str">
        <f t="shared" si="1435"/>
        <v>11</v>
      </c>
      <c r="D6549">
        <v>6395</v>
      </c>
      <c r="E6549" t="str">
        <f t="shared" si="1436"/>
        <v>10</v>
      </c>
      <c r="F6549" t="str">
        <f t="shared" si="1437"/>
        <v>001</v>
      </c>
      <c r="G6549">
        <v>9</v>
      </c>
      <c r="H6549" t="str">
        <f t="shared" si="1438"/>
        <v>11</v>
      </c>
      <c r="I6549" t="str">
        <f t="shared" si="1434"/>
        <v>0</v>
      </c>
      <c r="J6549" t="str">
        <f t="shared" si="1439"/>
        <v>01</v>
      </c>
      <c r="K6549">
        <v>20190531</v>
      </c>
      <c r="L6549" t="str">
        <f t="shared" si="1440"/>
        <v>077047</v>
      </c>
      <c r="M6549" t="str">
        <f t="shared" si="1441"/>
        <v>81303</v>
      </c>
      <c r="N6549" t="s">
        <v>66</v>
      </c>
      <c r="O6549" s="1">
        <v>1425</v>
      </c>
      <c r="P6549">
        <v>20190530</v>
      </c>
      <c r="Q6549" t="s">
        <v>1929</v>
      </c>
      <c r="R6549" t="s">
        <v>5207</v>
      </c>
      <c r="S6549" t="s">
        <v>1615</v>
      </c>
      <c r="T6549" t="s">
        <v>301</v>
      </c>
    </row>
    <row r="6550" spans="1:20" x14ac:dyDescent="0.25">
      <c r="A6550">
        <v>9</v>
      </c>
      <c r="B6550">
        <v>199</v>
      </c>
      <c r="C6550" t="str">
        <f t="shared" si="1435"/>
        <v>11</v>
      </c>
      <c r="D6550">
        <v>6395</v>
      </c>
      <c r="E6550" t="str">
        <f t="shared" si="1436"/>
        <v>10</v>
      </c>
      <c r="F6550" t="str">
        <f t="shared" si="1437"/>
        <v>001</v>
      </c>
      <c r="G6550">
        <v>9</v>
      </c>
      <c r="H6550" t="str">
        <f t="shared" si="1438"/>
        <v>11</v>
      </c>
      <c r="I6550" t="str">
        <f t="shared" si="1434"/>
        <v>0</v>
      </c>
      <c r="J6550" t="str">
        <f t="shared" si="1439"/>
        <v>01</v>
      </c>
      <c r="K6550">
        <v>20190531</v>
      </c>
      <c r="L6550" t="str">
        <f t="shared" si="1440"/>
        <v>077047</v>
      </c>
      <c r="M6550" t="str">
        <f t="shared" si="1441"/>
        <v>81303</v>
      </c>
      <c r="N6550" t="s">
        <v>66</v>
      </c>
      <c r="O6550">
        <v>216</v>
      </c>
      <c r="P6550">
        <v>20190530</v>
      </c>
      <c r="Q6550" t="s">
        <v>1929</v>
      </c>
      <c r="R6550" t="s">
        <v>5208</v>
      </c>
      <c r="S6550" t="s">
        <v>1615</v>
      </c>
      <c r="T6550" t="s">
        <v>301</v>
      </c>
    </row>
    <row r="6551" spans="1:20" x14ac:dyDescent="0.25">
      <c r="A6551">
        <v>9</v>
      </c>
      <c r="B6551">
        <v>199</v>
      </c>
      <c r="C6551" t="str">
        <f t="shared" si="1435"/>
        <v>11</v>
      </c>
      <c r="D6551">
        <v>6395</v>
      </c>
      <c r="E6551" t="str">
        <f t="shared" si="1436"/>
        <v>10</v>
      </c>
      <c r="F6551" t="str">
        <f t="shared" si="1437"/>
        <v>001</v>
      </c>
      <c r="G6551">
        <v>9</v>
      </c>
      <c r="H6551" t="str">
        <f t="shared" si="1438"/>
        <v>11</v>
      </c>
      <c r="I6551" t="str">
        <f t="shared" si="1434"/>
        <v>0</v>
      </c>
      <c r="J6551" t="str">
        <f t="shared" si="1439"/>
        <v>01</v>
      </c>
      <c r="K6551">
        <v>20190531</v>
      </c>
      <c r="L6551" t="str">
        <f t="shared" si="1440"/>
        <v>077047</v>
      </c>
      <c r="M6551" t="str">
        <f t="shared" si="1441"/>
        <v>81303</v>
      </c>
      <c r="N6551" t="s">
        <v>66</v>
      </c>
      <c r="O6551">
        <v>58.8</v>
      </c>
      <c r="P6551">
        <v>20190530</v>
      </c>
      <c r="Q6551" t="s">
        <v>1929</v>
      </c>
      <c r="R6551" t="s">
        <v>5209</v>
      </c>
      <c r="S6551" t="s">
        <v>1615</v>
      </c>
      <c r="T6551" t="s">
        <v>301</v>
      </c>
    </row>
    <row r="6552" spans="1:20" x14ac:dyDescent="0.25">
      <c r="A6552">
        <v>9</v>
      </c>
      <c r="B6552">
        <v>199</v>
      </c>
      <c r="C6552" t="str">
        <f t="shared" si="1435"/>
        <v>11</v>
      </c>
      <c r="D6552">
        <v>6395</v>
      </c>
      <c r="E6552" t="str">
        <f t="shared" si="1436"/>
        <v>10</v>
      </c>
      <c r="F6552" t="str">
        <f t="shared" si="1437"/>
        <v>001</v>
      </c>
      <c r="G6552">
        <v>9</v>
      </c>
      <c r="H6552" t="str">
        <f t="shared" si="1438"/>
        <v>11</v>
      </c>
      <c r="I6552" t="str">
        <f t="shared" si="1434"/>
        <v>0</v>
      </c>
      <c r="J6552" t="str">
        <f t="shared" si="1439"/>
        <v>01</v>
      </c>
      <c r="K6552">
        <v>20190531</v>
      </c>
      <c r="L6552" t="str">
        <f t="shared" si="1440"/>
        <v>077047</v>
      </c>
      <c r="M6552" t="str">
        <f t="shared" si="1441"/>
        <v>81303</v>
      </c>
      <c r="N6552" t="s">
        <v>66</v>
      </c>
      <c r="O6552">
        <v>157.5</v>
      </c>
      <c r="P6552">
        <v>20190530</v>
      </c>
      <c r="Q6552" t="s">
        <v>1929</v>
      </c>
      <c r="R6552" t="s">
        <v>4302</v>
      </c>
      <c r="S6552" t="s">
        <v>1615</v>
      </c>
      <c r="T6552" t="s">
        <v>301</v>
      </c>
    </row>
    <row r="6553" spans="1:20" x14ac:dyDescent="0.25">
      <c r="A6553">
        <v>9</v>
      </c>
      <c r="B6553">
        <v>199</v>
      </c>
      <c r="C6553" t="str">
        <f t="shared" si="1435"/>
        <v>11</v>
      </c>
      <c r="D6553">
        <v>6395</v>
      </c>
      <c r="E6553" t="str">
        <f t="shared" si="1436"/>
        <v>10</v>
      </c>
      <c r="F6553" t="str">
        <f>"041"</f>
        <v>041</v>
      </c>
      <c r="G6553">
        <v>9</v>
      </c>
      <c r="H6553" t="str">
        <f t="shared" si="1438"/>
        <v>11</v>
      </c>
      <c r="I6553" t="str">
        <f t="shared" si="1434"/>
        <v>0</v>
      </c>
      <c r="J6553" t="str">
        <f>"03"</f>
        <v>03</v>
      </c>
      <c r="K6553">
        <v>20190531</v>
      </c>
      <c r="L6553" t="str">
        <f t="shared" si="1440"/>
        <v>077047</v>
      </c>
      <c r="M6553" t="str">
        <f t="shared" si="1441"/>
        <v>81303</v>
      </c>
      <c r="N6553" t="s">
        <v>66</v>
      </c>
      <c r="O6553" s="1">
        <v>1140</v>
      </c>
      <c r="P6553">
        <v>20190530</v>
      </c>
      <c r="Q6553" t="s">
        <v>2927</v>
      </c>
      <c r="R6553" t="s">
        <v>5210</v>
      </c>
      <c r="S6553" t="s">
        <v>1615</v>
      </c>
      <c r="T6553" t="s">
        <v>106</v>
      </c>
    </row>
    <row r="6554" spans="1:20" x14ac:dyDescent="0.25">
      <c r="A6554">
        <v>9</v>
      </c>
      <c r="B6554">
        <v>199</v>
      </c>
      <c r="C6554" t="str">
        <f t="shared" si="1435"/>
        <v>11</v>
      </c>
      <c r="D6554">
        <v>6395</v>
      </c>
      <c r="E6554" t="str">
        <f>"45"</f>
        <v>45</v>
      </c>
      <c r="F6554" t="str">
        <f>"101"</f>
        <v>101</v>
      </c>
      <c r="G6554">
        <v>9</v>
      </c>
      <c r="H6554" t="str">
        <f t="shared" si="1438"/>
        <v>11</v>
      </c>
      <c r="I6554" t="str">
        <f t="shared" si="1434"/>
        <v>0</v>
      </c>
      <c r="J6554" t="str">
        <f>"04"</f>
        <v>04</v>
      </c>
      <c r="K6554">
        <v>20190531</v>
      </c>
      <c r="L6554" t="str">
        <f t="shared" si="1440"/>
        <v>077047</v>
      </c>
      <c r="M6554" t="str">
        <f t="shared" si="1441"/>
        <v>81303</v>
      </c>
      <c r="N6554" t="s">
        <v>66</v>
      </c>
      <c r="O6554">
        <v>930</v>
      </c>
      <c r="P6554">
        <v>20190530</v>
      </c>
      <c r="Q6554" t="s">
        <v>2542</v>
      </c>
      <c r="R6554" t="s">
        <v>5210</v>
      </c>
      <c r="S6554" t="s">
        <v>1615</v>
      </c>
      <c r="T6554" t="s">
        <v>1479</v>
      </c>
    </row>
    <row r="6555" spans="1:20" x14ac:dyDescent="0.25">
      <c r="A6555">
        <v>9</v>
      </c>
      <c r="B6555">
        <v>199</v>
      </c>
      <c r="C6555" t="str">
        <f t="shared" si="1435"/>
        <v>11</v>
      </c>
      <c r="D6555">
        <v>6395</v>
      </c>
      <c r="E6555" t="str">
        <f>"45"</f>
        <v>45</v>
      </c>
      <c r="F6555" t="str">
        <f>"104"</f>
        <v>104</v>
      </c>
      <c r="G6555">
        <v>9</v>
      </c>
      <c r="H6555" t="str">
        <f t="shared" si="1438"/>
        <v>11</v>
      </c>
      <c r="I6555" t="str">
        <f t="shared" ref="I6555:I6578" si="1442">"0"</f>
        <v>0</v>
      </c>
      <c r="J6555" t="str">
        <f>"05"</f>
        <v>05</v>
      </c>
      <c r="K6555">
        <v>20190531</v>
      </c>
      <c r="L6555" t="str">
        <f t="shared" si="1440"/>
        <v>077047</v>
      </c>
      <c r="M6555" t="str">
        <f t="shared" si="1441"/>
        <v>81303</v>
      </c>
      <c r="N6555" t="s">
        <v>66</v>
      </c>
      <c r="O6555">
        <v>930</v>
      </c>
      <c r="P6555">
        <v>20190530</v>
      </c>
      <c r="Q6555" t="s">
        <v>3480</v>
      </c>
      <c r="R6555" t="s">
        <v>5211</v>
      </c>
      <c r="S6555" t="s">
        <v>1615</v>
      </c>
      <c r="T6555" t="s">
        <v>46</v>
      </c>
    </row>
    <row r="6556" spans="1:20" x14ac:dyDescent="0.25">
      <c r="A6556">
        <v>9</v>
      </c>
      <c r="B6556">
        <v>199</v>
      </c>
      <c r="C6556" t="str">
        <f t="shared" si="1435"/>
        <v>11</v>
      </c>
      <c r="D6556">
        <v>6395</v>
      </c>
      <c r="E6556" t="str">
        <f>"7Q"</f>
        <v>7Q</v>
      </c>
      <c r="F6556" t="str">
        <f>"001"</f>
        <v>001</v>
      </c>
      <c r="G6556">
        <v>9</v>
      </c>
      <c r="H6556" t="str">
        <f t="shared" si="1438"/>
        <v>11</v>
      </c>
      <c r="I6556" t="str">
        <f t="shared" si="1442"/>
        <v>0</v>
      </c>
      <c r="J6556" t="str">
        <f>"01"</f>
        <v>01</v>
      </c>
      <c r="K6556">
        <v>20190531</v>
      </c>
      <c r="L6556" t="str">
        <f t="shared" si="1440"/>
        <v>077047</v>
      </c>
      <c r="M6556" t="str">
        <f t="shared" si="1441"/>
        <v>81303</v>
      </c>
      <c r="N6556" t="s">
        <v>66</v>
      </c>
      <c r="O6556">
        <v>795</v>
      </c>
      <c r="P6556">
        <v>20190530</v>
      </c>
      <c r="Q6556" t="s">
        <v>5212</v>
      </c>
      <c r="R6556" t="s">
        <v>5213</v>
      </c>
      <c r="S6556" t="s">
        <v>1615</v>
      </c>
      <c r="T6556" t="s">
        <v>301</v>
      </c>
    </row>
    <row r="6557" spans="1:20" x14ac:dyDescent="0.25">
      <c r="A6557">
        <v>9</v>
      </c>
      <c r="B6557">
        <v>199</v>
      </c>
      <c r="C6557" t="str">
        <f t="shared" si="1435"/>
        <v>11</v>
      </c>
      <c r="D6557">
        <v>6399</v>
      </c>
      <c r="E6557" t="str">
        <f>"7E"</f>
        <v>7E</v>
      </c>
      <c r="F6557" t="str">
        <f>"001"</f>
        <v>001</v>
      </c>
      <c r="G6557">
        <v>9</v>
      </c>
      <c r="H6557" t="str">
        <f t="shared" si="1438"/>
        <v>11</v>
      </c>
      <c r="I6557" t="str">
        <f t="shared" si="1442"/>
        <v>0</v>
      </c>
      <c r="J6557" t="str">
        <f>"31"</f>
        <v>31</v>
      </c>
      <c r="K6557">
        <v>20190531</v>
      </c>
      <c r="L6557" t="str">
        <f t="shared" si="1440"/>
        <v>077047</v>
      </c>
      <c r="M6557" t="str">
        <f t="shared" si="1441"/>
        <v>81303</v>
      </c>
      <c r="N6557" t="s">
        <v>66</v>
      </c>
      <c r="O6557">
        <v>67.599999999999994</v>
      </c>
      <c r="P6557">
        <v>20190530</v>
      </c>
      <c r="Q6557" t="s">
        <v>2382</v>
      </c>
      <c r="R6557" t="s">
        <v>5214</v>
      </c>
      <c r="S6557" t="s">
        <v>1615</v>
      </c>
      <c r="T6557" t="s">
        <v>301</v>
      </c>
    </row>
    <row r="6558" spans="1:20" x14ac:dyDescent="0.25">
      <c r="A6558">
        <v>9</v>
      </c>
      <c r="B6558">
        <v>199</v>
      </c>
      <c r="C6558" t="str">
        <f t="shared" si="1435"/>
        <v>11</v>
      </c>
      <c r="D6558">
        <v>6399</v>
      </c>
      <c r="E6558" t="str">
        <f>"7E"</f>
        <v>7E</v>
      </c>
      <c r="F6558" t="str">
        <f>"041"</f>
        <v>041</v>
      </c>
      <c r="G6558">
        <v>9</v>
      </c>
      <c r="H6558" t="str">
        <f t="shared" si="1438"/>
        <v>11</v>
      </c>
      <c r="I6558" t="str">
        <f t="shared" si="1442"/>
        <v>0</v>
      </c>
      <c r="J6558" t="str">
        <f>"35"</f>
        <v>35</v>
      </c>
      <c r="K6558">
        <v>20190531</v>
      </c>
      <c r="L6558" t="str">
        <f t="shared" si="1440"/>
        <v>077047</v>
      </c>
      <c r="M6558" t="str">
        <f t="shared" si="1441"/>
        <v>81303</v>
      </c>
      <c r="N6558" t="s">
        <v>66</v>
      </c>
      <c r="O6558">
        <v>50</v>
      </c>
      <c r="P6558">
        <v>20190530</v>
      </c>
      <c r="Q6558" t="s">
        <v>2655</v>
      </c>
      <c r="R6558" t="s">
        <v>5215</v>
      </c>
      <c r="S6558" t="s">
        <v>1615</v>
      </c>
      <c r="T6558" t="s">
        <v>106</v>
      </c>
    </row>
    <row r="6559" spans="1:20" x14ac:dyDescent="0.25">
      <c r="A6559">
        <v>9</v>
      </c>
      <c r="B6559">
        <v>199</v>
      </c>
      <c r="C6559" t="str">
        <f t="shared" si="1435"/>
        <v>11</v>
      </c>
      <c r="D6559">
        <v>6499</v>
      </c>
      <c r="E6559" t="str">
        <f>"7Q"</f>
        <v>7Q</v>
      </c>
      <c r="F6559" t="str">
        <f>"001"</f>
        <v>001</v>
      </c>
      <c r="G6559">
        <v>9</v>
      </c>
      <c r="H6559" t="str">
        <f t="shared" si="1438"/>
        <v>11</v>
      </c>
      <c r="I6559" t="str">
        <f t="shared" si="1442"/>
        <v>0</v>
      </c>
      <c r="J6559" t="str">
        <f>"01"</f>
        <v>01</v>
      </c>
      <c r="K6559">
        <v>20190531</v>
      </c>
      <c r="L6559" t="str">
        <f t="shared" si="1440"/>
        <v>077047</v>
      </c>
      <c r="M6559" t="str">
        <f t="shared" si="1441"/>
        <v>81303</v>
      </c>
      <c r="N6559" t="s">
        <v>66</v>
      </c>
      <c r="O6559">
        <v>795</v>
      </c>
      <c r="P6559">
        <v>20190530</v>
      </c>
      <c r="Q6559" t="s">
        <v>4215</v>
      </c>
      <c r="R6559" t="s">
        <v>5213</v>
      </c>
      <c r="S6559" t="s">
        <v>1615</v>
      </c>
      <c r="T6559" t="s">
        <v>301</v>
      </c>
    </row>
    <row r="6560" spans="1:20" x14ac:dyDescent="0.25">
      <c r="A6560">
        <v>9</v>
      </c>
      <c r="B6560">
        <v>199</v>
      </c>
      <c r="C6560" t="str">
        <f>"31"</f>
        <v>31</v>
      </c>
      <c r="D6560">
        <v>6395</v>
      </c>
      <c r="E6560" t="str">
        <f>"7F"</f>
        <v>7F</v>
      </c>
      <c r="F6560" t="str">
        <f>"001"</f>
        <v>001</v>
      </c>
      <c r="G6560">
        <v>9</v>
      </c>
      <c r="H6560" t="str">
        <f>"99"</f>
        <v>99</v>
      </c>
      <c r="I6560" t="str">
        <f t="shared" si="1442"/>
        <v>0</v>
      </c>
      <c r="J6560" t="str">
        <f>"01"</f>
        <v>01</v>
      </c>
      <c r="K6560">
        <v>20190531</v>
      </c>
      <c r="L6560" t="str">
        <f t="shared" si="1440"/>
        <v>077047</v>
      </c>
      <c r="M6560" t="str">
        <f t="shared" si="1441"/>
        <v>81303</v>
      </c>
      <c r="N6560" t="s">
        <v>66</v>
      </c>
      <c r="O6560">
        <v>781</v>
      </c>
      <c r="P6560">
        <v>20190530</v>
      </c>
      <c r="Q6560" t="s">
        <v>1934</v>
      </c>
      <c r="R6560" t="s">
        <v>5206</v>
      </c>
      <c r="S6560" t="s">
        <v>1615</v>
      </c>
      <c r="T6560" t="s">
        <v>301</v>
      </c>
    </row>
    <row r="6561" spans="1:20" x14ac:dyDescent="0.25">
      <c r="A6561">
        <v>9</v>
      </c>
      <c r="B6561">
        <v>199</v>
      </c>
      <c r="C6561" t="str">
        <f>"41"</f>
        <v>41</v>
      </c>
      <c r="D6561">
        <v>6395</v>
      </c>
      <c r="E6561" t="str">
        <f>"10"</f>
        <v>10</v>
      </c>
      <c r="F6561" t="str">
        <f>"730"</f>
        <v>730</v>
      </c>
      <c r="G6561">
        <v>9</v>
      </c>
      <c r="H6561" t="str">
        <f>"99"</f>
        <v>99</v>
      </c>
      <c r="I6561" t="str">
        <f t="shared" si="1442"/>
        <v>0</v>
      </c>
      <c r="J6561" t="str">
        <f>"95"</f>
        <v>95</v>
      </c>
      <c r="K6561">
        <v>20190531</v>
      </c>
      <c r="L6561" t="str">
        <f t="shared" si="1440"/>
        <v>077047</v>
      </c>
      <c r="M6561" t="str">
        <f t="shared" si="1441"/>
        <v>81303</v>
      </c>
      <c r="N6561" t="s">
        <v>66</v>
      </c>
      <c r="O6561">
        <v>98.6</v>
      </c>
      <c r="P6561">
        <v>20190530</v>
      </c>
      <c r="Q6561" t="s">
        <v>2547</v>
      </c>
      <c r="R6561" t="s">
        <v>5216</v>
      </c>
      <c r="S6561" t="s">
        <v>1615</v>
      </c>
      <c r="T6561" t="s">
        <v>1794</v>
      </c>
    </row>
    <row r="6562" spans="1:20" x14ac:dyDescent="0.25">
      <c r="A6562">
        <v>9</v>
      </c>
      <c r="B6562">
        <v>199</v>
      </c>
      <c r="C6562" t="str">
        <f>"11"</f>
        <v>11</v>
      </c>
      <c r="D6562">
        <v>6299</v>
      </c>
      <c r="E6562" t="str">
        <f>"7B"</f>
        <v>7B</v>
      </c>
      <c r="F6562" t="str">
        <f>"001"</f>
        <v>001</v>
      </c>
      <c r="G6562">
        <v>9</v>
      </c>
      <c r="H6562" t="str">
        <f>"11"</f>
        <v>11</v>
      </c>
      <c r="I6562" t="str">
        <f t="shared" si="1442"/>
        <v>0</v>
      </c>
      <c r="J6562" t="str">
        <f>"32"</f>
        <v>32</v>
      </c>
      <c r="K6562">
        <v>20190531</v>
      </c>
      <c r="L6562" t="str">
        <f>"077048"</f>
        <v>077048</v>
      </c>
      <c r="M6562" t="str">
        <f>"82363"</f>
        <v>82363</v>
      </c>
      <c r="N6562" t="s">
        <v>5217</v>
      </c>
      <c r="O6562">
        <v>75</v>
      </c>
      <c r="P6562">
        <v>20190530</v>
      </c>
      <c r="Q6562" t="s">
        <v>4436</v>
      </c>
      <c r="R6562" t="s">
        <v>5218</v>
      </c>
      <c r="S6562" t="s">
        <v>1615</v>
      </c>
      <c r="T6562" t="s">
        <v>301</v>
      </c>
    </row>
    <row r="6563" spans="1:20" x14ac:dyDescent="0.25">
      <c r="A6563">
        <v>9</v>
      </c>
      <c r="B6563">
        <v>199</v>
      </c>
      <c r="C6563" t="str">
        <f>"11"</f>
        <v>11</v>
      </c>
      <c r="D6563">
        <v>6268</v>
      </c>
      <c r="E6563" t="str">
        <f>"7Q"</f>
        <v>7Q</v>
      </c>
      <c r="F6563" t="str">
        <f>"001"</f>
        <v>001</v>
      </c>
      <c r="G6563">
        <v>9</v>
      </c>
      <c r="H6563" t="str">
        <f>"11"</f>
        <v>11</v>
      </c>
      <c r="I6563" t="str">
        <f t="shared" si="1442"/>
        <v>0</v>
      </c>
      <c r="J6563" t="str">
        <f>"01"</f>
        <v>01</v>
      </c>
      <c r="K6563">
        <v>20190531</v>
      </c>
      <c r="L6563" t="str">
        <f>"077049"</f>
        <v>077049</v>
      </c>
      <c r="M6563" t="str">
        <f>"82886"</f>
        <v>82886</v>
      </c>
      <c r="N6563" t="s">
        <v>5219</v>
      </c>
      <c r="O6563">
        <v>425</v>
      </c>
      <c r="P6563">
        <v>20190530</v>
      </c>
      <c r="Q6563" t="s">
        <v>3497</v>
      </c>
      <c r="R6563" t="s">
        <v>3498</v>
      </c>
      <c r="S6563" t="s">
        <v>1615</v>
      </c>
      <c r="T6563" t="s">
        <v>301</v>
      </c>
    </row>
    <row r="6564" spans="1:20" x14ac:dyDescent="0.25">
      <c r="A6564">
        <v>9</v>
      </c>
      <c r="B6564">
        <v>199</v>
      </c>
      <c r="C6564" t="str">
        <f>"11"</f>
        <v>11</v>
      </c>
      <c r="D6564">
        <v>6399</v>
      </c>
      <c r="E6564" t="str">
        <f>"45"</f>
        <v>45</v>
      </c>
      <c r="F6564" t="str">
        <f t="shared" ref="F6564:F6570" si="1443">"041"</f>
        <v>041</v>
      </c>
      <c r="G6564">
        <v>9</v>
      </c>
      <c r="H6564" t="str">
        <f>"11"</f>
        <v>11</v>
      </c>
      <c r="I6564" t="str">
        <f t="shared" si="1442"/>
        <v>0</v>
      </c>
      <c r="J6564" t="str">
        <f t="shared" ref="J6564:J6570" si="1444">"03"</f>
        <v>03</v>
      </c>
      <c r="K6564">
        <v>20190531</v>
      </c>
      <c r="L6564" t="str">
        <f t="shared" ref="L6564:L6570" si="1445">"077050"</f>
        <v>077050</v>
      </c>
      <c r="M6564" t="str">
        <f t="shared" ref="M6564:M6570" si="1446">"83022"</f>
        <v>83022</v>
      </c>
      <c r="N6564" t="s">
        <v>691</v>
      </c>
      <c r="O6564">
        <v>19.98</v>
      </c>
      <c r="P6564">
        <v>20190530</v>
      </c>
      <c r="Q6564" t="s">
        <v>2204</v>
      </c>
      <c r="R6564" t="s">
        <v>5220</v>
      </c>
      <c r="S6564" t="s">
        <v>1615</v>
      </c>
      <c r="T6564" t="s">
        <v>106</v>
      </c>
    </row>
    <row r="6565" spans="1:20" x14ac:dyDescent="0.25">
      <c r="A6565">
        <v>9</v>
      </c>
      <c r="B6565">
        <v>199</v>
      </c>
      <c r="C6565" t="str">
        <f>"11"</f>
        <v>11</v>
      </c>
      <c r="D6565">
        <v>6399</v>
      </c>
      <c r="E6565" t="str">
        <f>"76"</f>
        <v>76</v>
      </c>
      <c r="F6565" t="str">
        <f t="shared" si="1443"/>
        <v>041</v>
      </c>
      <c r="G6565">
        <v>9</v>
      </c>
      <c r="H6565" t="str">
        <f>"11"</f>
        <v>11</v>
      </c>
      <c r="I6565" t="str">
        <f t="shared" si="1442"/>
        <v>0</v>
      </c>
      <c r="J6565" t="str">
        <f t="shared" si="1444"/>
        <v>03</v>
      </c>
      <c r="K6565">
        <v>20190531</v>
      </c>
      <c r="L6565" t="str">
        <f t="shared" si="1445"/>
        <v>077050</v>
      </c>
      <c r="M6565" t="str">
        <f t="shared" si="1446"/>
        <v>83022</v>
      </c>
      <c r="N6565" t="s">
        <v>691</v>
      </c>
      <c r="O6565">
        <v>19.98</v>
      </c>
      <c r="P6565">
        <v>20190530</v>
      </c>
      <c r="Q6565" t="s">
        <v>3458</v>
      </c>
      <c r="R6565" t="s">
        <v>5220</v>
      </c>
      <c r="S6565" t="s">
        <v>1615</v>
      </c>
      <c r="T6565" t="s">
        <v>106</v>
      </c>
    </row>
    <row r="6566" spans="1:20" x14ac:dyDescent="0.25">
      <c r="A6566">
        <v>9</v>
      </c>
      <c r="B6566">
        <v>199</v>
      </c>
      <c r="C6566" t="str">
        <f>"23"</f>
        <v>23</v>
      </c>
      <c r="D6566">
        <v>6498</v>
      </c>
      <c r="E6566" t="str">
        <f>"99"</f>
        <v>99</v>
      </c>
      <c r="F6566" t="str">
        <f t="shared" si="1443"/>
        <v>041</v>
      </c>
      <c r="G6566">
        <v>9</v>
      </c>
      <c r="H6566" t="str">
        <f t="shared" ref="H6566:H6573" si="1447">"99"</f>
        <v>99</v>
      </c>
      <c r="I6566" t="str">
        <f t="shared" si="1442"/>
        <v>0</v>
      </c>
      <c r="J6566" t="str">
        <f t="shared" si="1444"/>
        <v>03</v>
      </c>
      <c r="K6566">
        <v>20190531</v>
      </c>
      <c r="L6566" t="str">
        <f t="shared" si="1445"/>
        <v>077050</v>
      </c>
      <c r="M6566" t="str">
        <f t="shared" si="1446"/>
        <v>83022</v>
      </c>
      <c r="N6566" t="s">
        <v>691</v>
      </c>
      <c r="O6566">
        <v>26.26</v>
      </c>
      <c r="P6566">
        <v>20190530</v>
      </c>
      <c r="Q6566" t="s">
        <v>2140</v>
      </c>
      <c r="R6566" t="s">
        <v>5199</v>
      </c>
      <c r="S6566" t="s">
        <v>1615</v>
      </c>
      <c r="T6566" t="s">
        <v>106</v>
      </c>
    </row>
    <row r="6567" spans="1:20" x14ac:dyDescent="0.25">
      <c r="A6567">
        <v>9</v>
      </c>
      <c r="B6567">
        <v>199</v>
      </c>
      <c r="C6567" t="str">
        <f>"23"</f>
        <v>23</v>
      </c>
      <c r="D6567">
        <v>6498</v>
      </c>
      <c r="E6567" t="str">
        <f>"99"</f>
        <v>99</v>
      </c>
      <c r="F6567" t="str">
        <f t="shared" si="1443"/>
        <v>041</v>
      </c>
      <c r="G6567">
        <v>9</v>
      </c>
      <c r="H6567" t="str">
        <f t="shared" si="1447"/>
        <v>99</v>
      </c>
      <c r="I6567" t="str">
        <f t="shared" si="1442"/>
        <v>0</v>
      </c>
      <c r="J6567" t="str">
        <f t="shared" si="1444"/>
        <v>03</v>
      </c>
      <c r="K6567">
        <v>20190531</v>
      </c>
      <c r="L6567" t="str">
        <f t="shared" si="1445"/>
        <v>077050</v>
      </c>
      <c r="M6567" t="str">
        <f t="shared" si="1446"/>
        <v>83022</v>
      </c>
      <c r="N6567" t="s">
        <v>691</v>
      </c>
      <c r="O6567">
        <v>624.62</v>
      </c>
      <c r="P6567">
        <v>20190530</v>
      </c>
      <c r="Q6567" t="s">
        <v>2140</v>
      </c>
      <c r="R6567" t="s">
        <v>5199</v>
      </c>
      <c r="S6567" t="s">
        <v>1615</v>
      </c>
      <c r="T6567" t="s">
        <v>106</v>
      </c>
    </row>
    <row r="6568" spans="1:20" x14ac:dyDescent="0.25">
      <c r="A6568">
        <v>9</v>
      </c>
      <c r="B6568">
        <v>199</v>
      </c>
      <c r="C6568" t="str">
        <f>"23"</f>
        <v>23</v>
      </c>
      <c r="D6568">
        <v>6498</v>
      </c>
      <c r="E6568" t="str">
        <f>"99"</f>
        <v>99</v>
      </c>
      <c r="F6568" t="str">
        <f t="shared" si="1443"/>
        <v>041</v>
      </c>
      <c r="G6568">
        <v>9</v>
      </c>
      <c r="H6568" t="str">
        <f t="shared" si="1447"/>
        <v>99</v>
      </c>
      <c r="I6568" t="str">
        <f t="shared" si="1442"/>
        <v>0</v>
      </c>
      <c r="J6568" t="str">
        <f t="shared" si="1444"/>
        <v>03</v>
      </c>
      <c r="K6568">
        <v>20190531</v>
      </c>
      <c r="L6568" t="str">
        <f t="shared" si="1445"/>
        <v>077050</v>
      </c>
      <c r="M6568" t="str">
        <f t="shared" si="1446"/>
        <v>83022</v>
      </c>
      <c r="N6568" t="s">
        <v>691</v>
      </c>
      <c r="O6568">
        <v>172.15</v>
      </c>
      <c r="P6568">
        <v>20190530</v>
      </c>
      <c r="Q6568" t="s">
        <v>2140</v>
      </c>
      <c r="R6568" t="s">
        <v>5221</v>
      </c>
      <c r="S6568" t="s">
        <v>1615</v>
      </c>
      <c r="T6568" t="s">
        <v>106</v>
      </c>
    </row>
    <row r="6569" spans="1:20" x14ac:dyDescent="0.25">
      <c r="A6569">
        <v>9</v>
      </c>
      <c r="B6569">
        <v>199</v>
      </c>
      <c r="C6569" t="str">
        <f>"23"</f>
        <v>23</v>
      </c>
      <c r="D6569">
        <v>6498</v>
      </c>
      <c r="E6569" t="str">
        <f>"99"</f>
        <v>99</v>
      </c>
      <c r="F6569" t="str">
        <f t="shared" si="1443"/>
        <v>041</v>
      </c>
      <c r="G6569">
        <v>9</v>
      </c>
      <c r="H6569" t="str">
        <f t="shared" si="1447"/>
        <v>99</v>
      </c>
      <c r="I6569" t="str">
        <f t="shared" si="1442"/>
        <v>0</v>
      </c>
      <c r="J6569" t="str">
        <f t="shared" si="1444"/>
        <v>03</v>
      </c>
      <c r="K6569">
        <v>20190531</v>
      </c>
      <c r="L6569" t="str">
        <f t="shared" si="1445"/>
        <v>077050</v>
      </c>
      <c r="M6569" t="str">
        <f t="shared" si="1446"/>
        <v>83022</v>
      </c>
      <c r="N6569" t="s">
        <v>691</v>
      </c>
      <c r="O6569">
        <v>252.74</v>
      </c>
      <c r="P6569">
        <v>20190530</v>
      </c>
      <c r="Q6569" t="s">
        <v>2140</v>
      </c>
      <c r="R6569" t="s">
        <v>5221</v>
      </c>
      <c r="S6569" t="s">
        <v>1615</v>
      </c>
      <c r="T6569" t="s">
        <v>106</v>
      </c>
    </row>
    <row r="6570" spans="1:20" x14ac:dyDescent="0.25">
      <c r="A6570">
        <v>9</v>
      </c>
      <c r="B6570">
        <v>199</v>
      </c>
      <c r="C6570" t="str">
        <f>"33"</f>
        <v>33</v>
      </c>
      <c r="D6570">
        <v>6399</v>
      </c>
      <c r="E6570" t="str">
        <f>"8F"</f>
        <v>8F</v>
      </c>
      <c r="F6570" t="str">
        <f t="shared" si="1443"/>
        <v>041</v>
      </c>
      <c r="G6570">
        <v>9</v>
      </c>
      <c r="H6570" t="str">
        <f t="shared" si="1447"/>
        <v>99</v>
      </c>
      <c r="I6570" t="str">
        <f t="shared" si="1442"/>
        <v>0</v>
      </c>
      <c r="J6570" t="str">
        <f t="shared" si="1444"/>
        <v>03</v>
      </c>
      <c r="K6570">
        <v>20190531</v>
      </c>
      <c r="L6570" t="str">
        <f t="shared" si="1445"/>
        <v>077050</v>
      </c>
      <c r="M6570" t="str">
        <f t="shared" si="1446"/>
        <v>83022</v>
      </c>
      <c r="N6570" t="s">
        <v>691</v>
      </c>
      <c r="O6570">
        <v>47.9</v>
      </c>
      <c r="P6570">
        <v>20190530</v>
      </c>
      <c r="Q6570" t="s">
        <v>2431</v>
      </c>
      <c r="R6570" t="s">
        <v>2323</v>
      </c>
      <c r="S6570" t="s">
        <v>1615</v>
      </c>
      <c r="T6570" t="s">
        <v>106</v>
      </c>
    </row>
    <row r="6571" spans="1:20" x14ac:dyDescent="0.25">
      <c r="A6571">
        <v>9</v>
      </c>
      <c r="B6571">
        <v>199</v>
      </c>
      <c r="C6571" t="str">
        <f>"23"</f>
        <v>23</v>
      </c>
      <c r="D6571">
        <v>6649</v>
      </c>
      <c r="E6571" t="str">
        <f>"8K"</f>
        <v>8K</v>
      </c>
      <c r="F6571" t="str">
        <f>"101"</f>
        <v>101</v>
      </c>
      <c r="G6571">
        <v>9</v>
      </c>
      <c r="H6571" t="str">
        <f t="shared" si="1447"/>
        <v>99</v>
      </c>
      <c r="I6571" t="str">
        <f t="shared" si="1442"/>
        <v>0</v>
      </c>
      <c r="J6571" t="str">
        <f>"04"</f>
        <v>04</v>
      </c>
      <c r="K6571">
        <v>20190607</v>
      </c>
      <c r="L6571" t="str">
        <f>"077052"</f>
        <v>077052</v>
      </c>
      <c r="M6571" t="str">
        <f>"03710"</f>
        <v>03710</v>
      </c>
      <c r="N6571" t="s">
        <v>1385</v>
      </c>
      <c r="O6571">
        <v>713.15</v>
      </c>
      <c r="P6571">
        <v>20190605</v>
      </c>
      <c r="Q6571" t="s">
        <v>4173</v>
      </c>
      <c r="R6571" t="s">
        <v>5222</v>
      </c>
      <c r="S6571" t="s">
        <v>1615</v>
      </c>
      <c r="T6571" t="s">
        <v>1479</v>
      </c>
    </row>
    <row r="6572" spans="1:20" x14ac:dyDescent="0.25">
      <c r="A6572">
        <v>9</v>
      </c>
      <c r="B6572">
        <v>199</v>
      </c>
      <c r="C6572" t="str">
        <f>"41"</f>
        <v>41</v>
      </c>
      <c r="D6572">
        <v>6399</v>
      </c>
      <c r="E6572" t="str">
        <f>"10"</f>
        <v>10</v>
      </c>
      <c r="F6572" t="str">
        <f>"730"</f>
        <v>730</v>
      </c>
      <c r="G6572">
        <v>9</v>
      </c>
      <c r="H6572" t="str">
        <f t="shared" si="1447"/>
        <v>99</v>
      </c>
      <c r="I6572" t="str">
        <f t="shared" si="1442"/>
        <v>0</v>
      </c>
      <c r="J6572" t="str">
        <f>"95"</f>
        <v>95</v>
      </c>
      <c r="K6572">
        <v>20190607</v>
      </c>
      <c r="L6572" t="str">
        <f>"077052"</f>
        <v>077052</v>
      </c>
      <c r="M6572" t="str">
        <f>"03710"</f>
        <v>03710</v>
      </c>
      <c r="N6572" t="s">
        <v>1385</v>
      </c>
      <c r="O6572">
        <v>121.72</v>
      </c>
      <c r="P6572">
        <v>20190605</v>
      </c>
      <c r="Q6572" t="s">
        <v>1987</v>
      </c>
      <c r="R6572" t="s">
        <v>641</v>
      </c>
      <c r="S6572" t="s">
        <v>1615</v>
      </c>
      <c r="T6572" t="s">
        <v>1794</v>
      </c>
    </row>
    <row r="6573" spans="1:20" x14ac:dyDescent="0.25">
      <c r="A6573">
        <v>9</v>
      </c>
      <c r="B6573">
        <v>199</v>
      </c>
      <c r="C6573" t="str">
        <f>"53"</f>
        <v>53</v>
      </c>
      <c r="D6573">
        <v>6649</v>
      </c>
      <c r="E6573" t="str">
        <f>"00"</f>
        <v>00</v>
      </c>
      <c r="F6573" t="str">
        <f>"880"</f>
        <v>880</v>
      </c>
      <c r="G6573">
        <v>9</v>
      </c>
      <c r="H6573" t="str">
        <f t="shared" si="1447"/>
        <v>99</v>
      </c>
      <c r="I6573" t="str">
        <f t="shared" si="1442"/>
        <v>0</v>
      </c>
      <c r="J6573" t="str">
        <f>"80"</f>
        <v>80</v>
      </c>
      <c r="K6573">
        <v>20190607</v>
      </c>
      <c r="L6573" t="str">
        <f>"077052"</f>
        <v>077052</v>
      </c>
      <c r="M6573" t="str">
        <f>"03710"</f>
        <v>03710</v>
      </c>
      <c r="N6573" t="s">
        <v>1385</v>
      </c>
      <c r="O6573">
        <v>728.77</v>
      </c>
      <c r="P6573">
        <v>20190605</v>
      </c>
      <c r="Q6573" t="s">
        <v>5223</v>
      </c>
      <c r="R6573" t="s">
        <v>5224</v>
      </c>
      <c r="S6573" t="s">
        <v>1615</v>
      </c>
      <c r="T6573" t="s">
        <v>1866</v>
      </c>
    </row>
    <row r="6574" spans="1:20" x14ac:dyDescent="0.25">
      <c r="A6574">
        <v>9</v>
      </c>
      <c r="B6574">
        <v>199</v>
      </c>
      <c r="C6574" t="str">
        <f>"36"</f>
        <v>36</v>
      </c>
      <c r="D6574">
        <v>6499</v>
      </c>
      <c r="E6574" t="str">
        <f>"09"</f>
        <v>09</v>
      </c>
      <c r="F6574" t="str">
        <f>"001"</f>
        <v>001</v>
      </c>
      <c r="G6574">
        <v>9</v>
      </c>
      <c r="H6574" t="str">
        <f>"91"</f>
        <v>91</v>
      </c>
      <c r="I6574" t="str">
        <f t="shared" si="1442"/>
        <v>0</v>
      </c>
      <c r="J6574" t="str">
        <f>"91"</f>
        <v>91</v>
      </c>
      <c r="K6574">
        <v>20190607</v>
      </c>
      <c r="L6574" t="str">
        <f>"077053"</f>
        <v>077053</v>
      </c>
      <c r="M6574" t="str">
        <f>"03693"</f>
        <v>03693</v>
      </c>
      <c r="N6574" t="s">
        <v>767</v>
      </c>
      <c r="O6574" s="1">
        <v>2679.61</v>
      </c>
      <c r="P6574">
        <v>20190605</v>
      </c>
      <c r="Q6574" t="s">
        <v>5225</v>
      </c>
      <c r="R6574" t="s">
        <v>5226</v>
      </c>
      <c r="S6574" t="s">
        <v>1615</v>
      </c>
      <c r="T6574" t="s">
        <v>301</v>
      </c>
    </row>
    <row r="6575" spans="1:20" x14ac:dyDescent="0.25">
      <c r="A6575">
        <v>9</v>
      </c>
      <c r="B6575">
        <v>199</v>
      </c>
      <c r="C6575" t="str">
        <f>"52"</f>
        <v>52</v>
      </c>
      <c r="D6575">
        <v>6649</v>
      </c>
      <c r="E6575" t="str">
        <f>"00"</f>
        <v>00</v>
      </c>
      <c r="F6575" t="str">
        <f>"880"</f>
        <v>880</v>
      </c>
      <c r="G6575">
        <v>9</v>
      </c>
      <c r="H6575" t="str">
        <f>"99"</f>
        <v>99</v>
      </c>
      <c r="I6575" t="str">
        <f t="shared" si="1442"/>
        <v>0</v>
      </c>
      <c r="J6575" t="str">
        <f>"80"</f>
        <v>80</v>
      </c>
      <c r="K6575">
        <v>20190607</v>
      </c>
      <c r="L6575" t="str">
        <f>"077054"</f>
        <v>077054</v>
      </c>
      <c r="M6575" t="str">
        <f>"04240"</f>
        <v>04240</v>
      </c>
      <c r="N6575" t="s">
        <v>2565</v>
      </c>
      <c r="O6575" s="1">
        <v>1778</v>
      </c>
      <c r="P6575">
        <v>20190605</v>
      </c>
      <c r="Q6575" t="s">
        <v>5227</v>
      </c>
      <c r="R6575" t="s">
        <v>5228</v>
      </c>
      <c r="S6575" t="s">
        <v>1615</v>
      </c>
      <c r="T6575" t="s">
        <v>1866</v>
      </c>
    </row>
    <row r="6576" spans="1:20" x14ac:dyDescent="0.25">
      <c r="A6576">
        <v>9</v>
      </c>
      <c r="B6576">
        <v>199</v>
      </c>
      <c r="C6576" t="str">
        <f>"11"</f>
        <v>11</v>
      </c>
      <c r="D6576">
        <v>6321</v>
      </c>
      <c r="E6576" t="str">
        <f>"10"</f>
        <v>10</v>
      </c>
      <c r="F6576" t="str">
        <f t="shared" ref="F6576:F6581" si="1448">"001"</f>
        <v>001</v>
      </c>
      <c r="G6576">
        <v>9</v>
      </c>
      <c r="H6576" t="str">
        <f>"11"</f>
        <v>11</v>
      </c>
      <c r="I6576" t="str">
        <f t="shared" si="1442"/>
        <v>0</v>
      </c>
      <c r="J6576" t="str">
        <f t="shared" ref="J6576:J6581" si="1449">"01"</f>
        <v>01</v>
      </c>
      <c r="K6576">
        <v>20190607</v>
      </c>
      <c r="L6576" t="str">
        <f>"077055"</f>
        <v>077055</v>
      </c>
      <c r="M6576" t="str">
        <f>"04410"</f>
        <v>04410</v>
      </c>
      <c r="N6576" t="s">
        <v>410</v>
      </c>
      <c r="O6576">
        <v>443.2</v>
      </c>
      <c r="P6576">
        <v>20190605</v>
      </c>
      <c r="Q6576" t="s">
        <v>1861</v>
      </c>
      <c r="R6576" t="s">
        <v>5229</v>
      </c>
      <c r="S6576" t="s">
        <v>1615</v>
      </c>
      <c r="T6576" t="s">
        <v>301</v>
      </c>
    </row>
    <row r="6577" spans="1:20" x14ac:dyDescent="0.25">
      <c r="A6577">
        <v>9</v>
      </c>
      <c r="B6577">
        <v>199</v>
      </c>
      <c r="C6577" t="str">
        <f>"11"</f>
        <v>11</v>
      </c>
      <c r="D6577">
        <v>6399</v>
      </c>
      <c r="E6577" t="str">
        <f>"10"</f>
        <v>10</v>
      </c>
      <c r="F6577" t="str">
        <f t="shared" si="1448"/>
        <v>001</v>
      </c>
      <c r="G6577">
        <v>9</v>
      </c>
      <c r="H6577" t="str">
        <f>"11"</f>
        <v>11</v>
      </c>
      <c r="I6577" t="str">
        <f t="shared" si="1442"/>
        <v>0</v>
      </c>
      <c r="J6577" t="str">
        <f t="shared" si="1449"/>
        <v>01</v>
      </c>
      <c r="K6577">
        <v>20190607</v>
      </c>
      <c r="L6577" t="str">
        <f>"077055"</f>
        <v>077055</v>
      </c>
      <c r="M6577" t="str">
        <f>"04410"</f>
        <v>04410</v>
      </c>
      <c r="N6577" t="s">
        <v>410</v>
      </c>
      <c r="O6577">
        <v>197.22</v>
      </c>
      <c r="P6577">
        <v>20190605</v>
      </c>
      <c r="Q6577" t="s">
        <v>1675</v>
      </c>
      <c r="R6577" t="s">
        <v>2793</v>
      </c>
      <c r="S6577" t="s">
        <v>1615</v>
      </c>
      <c r="T6577" t="s">
        <v>301</v>
      </c>
    </row>
    <row r="6578" spans="1:20" x14ac:dyDescent="0.25">
      <c r="A6578">
        <v>9</v>
      </c>
      <c r="B6578">
        <v>199</v>
      </c>
      <c r="C6578" t="str">
        <f>"11"</f>
        <v>11</v>
      </c>
      <c r="D6578">
        <v>6649</v>
      </c>
      <c r="E6578" t="str">
        <f>"VT"</f>
        <v>VT</v>
      </c>
      <c r="F6578" t="str">
        <f t="shared" si="1448"/>
        <v>001</v>
      </c>
      <c r="G6578">
        <v>9</v>
      </c>
      <c r="H6578" t="str">
        <f>"11"</f>
        <v>11</v>
      </c>
      <c r="I6578" t="str">
        <f t="shared" si="1442"/>
        <v>0</v>
      </c>
      <c r="J6578" t="str">
        <f t="shared" si="1449"/>
        <v>01</v>
      </c>
      <c r="K6578">
        <v>20190607</v>
      </c>
      <c r="L6578" t="str">
        <f>"077055"</f>
        <v>077055</v>
      </c>
      <c r="M6578" t="str">
        <f>"04410"</f>
        <v>04410</v>
      </c>
      <c r="N6578" t="s">
        <v>410</v>
      </c>
      <c r="O6578">
        <v>989.92</v>
      </c>
      <c r="P6578">
        <v>20190605</v>
      </c>
      <c r="Q6578" t="s">
        <v>5230</v>
      </c>
      <c r="R6578" t="s">
        <v>5231</v>
      </c>
      <c r="S6578" t="s">
        <v>1615</v>
      </c>
      <c r="T6578" t="s">
        <v>301</v>
      </c>
    </row>
    <row r="6579" spans="1:20" x14ac:dyDescent="0.25">
      <c r="A6579">
        <v>9</v>
      </c>
      <c r="B6579">
        <v>199</v>
      </c>
      <c r="C6579" t="str">
        <f>"23"</f>
        <v>23</v>
      </c>
      <c r="D6579">
        <v>6411</v>
      </c>
      <c r="E6579" t="str">
        <f>"10"</f>
        <v>10</v>
      </c>
      <c r="F6579" t="str">
        <f t="shared" si="1448"/>
        <v>001</v>
      </c>
      <c r="G6579">
        <v>9</v>
      </c>
      <c r="H6579" t="str">
        <f>"99"</f>
        <v>99</v>
      </c>
      <c r="I6579" t="str">
        <f>"1"</f>
        <v>1</v>
      </c>
      <c r="J6579" t="str">
        <f t="shared" si="1449"/>
        <v>01</v>
      </c>
      <c r="K6579">
        <v>20190607</v>
      </c>
      <c r="L6579" t="str">
        <f>"077058"</f>
        <v>077058</v>
      </c>
      <c r="M6579" t="str">
        <f>"10063"</f>
        <v>10063</v>
      </c>
      <c r="N6579" t="s">
        <v>1767</v>
      </c>
      <c r="O6579">
        <v>229</v>
      </c>
      <c r="P6579">
        <v>20190606</v>
      </c>
      <c r="Q6579" t="s">
        <v>2464</v>
      </c>
      <c r="R6579" t="s">
        <v>5232</v>
      </c>
      <c r="S6579" t="s">
        <v>1615</v>
      </c>
      <c r="T6579" t="s">
        <v>301</v>
      </c>
    </row>
    <row r="6580" spans="1:20" x14ac:dyDescent="0.25">
      <c r="A6580">
        <v>9</v>
      </c>
      <c r="B6580">
        <v>199</v>
      </c>
      <c r="C6580" t="str">
        <f>"23"</f>
        <v>23</v>
      </c>
      <c r="D6580">
        <v>6411</v>
      </c>
      <c r="E6580" t="str">
        <f>"10"</f>
        <v>10</v>
      </c>
      <c r="F6580" t="str">
        <f t="shared" si="1448"/>
        <v>001</v>
      </c>
      <c r="G6580">
        <v>9</v>
      </c>
      <c r="H6580" t="str">
        <f>"99"</f>
        <v>99</v>
      </c>
      <c r="I6580" t="str">
        <f>"1"</f>
        <v>1</v>
      </c>
      <c r="J6580" t="str">
        <f t="shared" si="1449"/>
        <v>01</v>
      </c>
      <c r="K6580">
        <v>20190607</v>
      </c>
      <c r="L6580" t="str">
        <f>"077059"</f>
        <v>077059</v>
      </c>
      <c r="M6580" t="str">
        <f>"11772"</f>
        <v>11772</v>
      </c>
      <c r="N6580" t="s">
        <v>5233</v>
      </c>
      <c r="O6580">
        <v>49.66</v>
      </c>
      <c r="P6580">
        <v>20190605</v>
      </c>
      <c r="Q6580" t="s">
        <v>2464</v>
      </c>
      <c r="R6580" t="s">
        <v>5234</v>
      </c>
      <c r="S6580" t="s">
        <v>1615</v>
      </c>
      <c r="T6580" t="s">
        <v>301</v>
      </c>
    </row>
    <row r="6581" spans="1:20" x14ac:dyDescent="0.25">
      <c r="A6581">
        <v>9</v>
      </c>
      <c r="B6581">
        <v>199</v>
      </c>
      <c r="C6581" t="str">
        <f>"11"</f>
        <v>11</v>
      </c>
      <c r="D6581">
        <v>6399</v>
      </c>
      <c r="E6581" t="str">
        <f>"8J"</f>
        <v>8J</v>
      </c>
      <c r="F6581" t="str">
        <f t="shared" si="1448"/>
        <v>001</v>
      </c>
      <c r="G6581">
        <v>9</v>
      </c>
      <c r="H6581" t="str">
        <f>"11"</f>
        <v>11</v>
      </c>
      <c r="I6581" t="str">
        <f t="shared" ref="I6581:I6626" si="1450">"0"</f>
        <v>0</v>
      </c>
      <c r="J6581" t="str">
        <f t="shared" si="1449"/>
        <v>01</v>
      </c>
      <c r="K6581">
        <v>20190607</v>
      </c>
      <c r="L6581" t="str">
        <f>"077060"</f>
        <v>077060</v>
      </c>
      <c r="M6581" t="str">
        <f>"08788"</f>
        <v>08788</v>
      </c>
      <c r="N6581" t="s">
        <v>473</v>
      </c>
      <c r="O6581">
        <v>113.76</v>
      </c>
      <c r="P6581">
        <v>20190606</v>
      </c>
      <c r="Q6581" t="s">
        <v>3357</v>
      </c>
      <c r="R6581" t="s">
        <v>5235</v>
      </c>
      <c r="S6581" t="s">
        <v>1615</v>
      </c>
      <c r="T6581" t="s">
        <v>301</v>
      </c>
    </row>
    <row r="6582" spans="1:20" x14ac:dyDescent="0.25">
      <c r="A6582">
        <v>9</v>
      </c>
      <c r="B6582">
        <v>199</v>
      </c>
      <c r="C6582" t="str">
        <f>"11"</f>
        <v>11</v>
      </c>
      <c r="D6582">
        <v>6411</v>
      </c>
      <c r="E6582" t="str">
        <f>"LK"</f>
        <v>LK</v>
      </c>
      <c r="F6582" t="str">
        <f>"041"</f>
        <v>041</v>
      </c>
      <c r="G6582">
        <v>9</v>
      </c>
      <c r="H6582" t="str">
        <f>"11"</f>
        <v>11</v>
      </c>
      <c r="I6582" t="str">
        <f t="shared" si="1450"/>
        <v>0</v>
      </c>
      <c r="J6582" t="str">
        <f>"03"</f>
        <v>03</v>
      </c>
      <c r="K6582">
        <v>20190607</v>
      </c>
      <c r="L6582" t="str">
        <f>"077062"</f>
        <v>077062</v>
      </c>
      <c r="M6582" t="str">
        <f>"19094"</f>
        <v>19094</v>
      </c>
      <c r="N6582" t="s">
        <v>1687</v>
      </c>
      <c r="O6582">
        <v>95.68</v>
      </c>
      <c r="P6582">
        <v>20190605</v>
      </c>
      <c r="Q6582" t="s">
        <v>3042</v>
      </c>
      <c r="R6582" t="s">
        <v>5236</v>
      </c>
      <c r="S6582" t="s">
        <v>1615</v>
      </c>
      <c r="T6582" t="s">
        <v>106</v>
      </c>
    </row>
    <row r="6583" spans="1:20" x14ac:dyDescent="0.25">
      <c r="A6583">
        <v>9</v>
      </c>
      <c r="B6583">
        <v>199</v>
      </c>
      <c r="C6583" t="str">
        <f>"11"</f>
        <v>11</v>
      </c>
      <c r="D6583">
        <v>6329</v>
      </c>
      <c r="E6583" t="str">
        <f>"V1"</f>
        <v>V1</v>
      </c>
      <c r="F6583" t="str">
        <f>"001"</f>
        <v>001</v>
      </c>
      <c r="G6583">
        <v>9</v>
      </c>
      <c r="H6583" t="str">
        <f>"22"</f>
        <v>22</v>
      </c>
      <c r="I6583" t="str">
        <f t="shared" si="1450"/>
        <v>0</v>
      </c>
      <c r="J6583" t="str">
        <f>"22"</f>
        <v>22</v>
      </c>
      <c r="K6583">
        <v>20190607</v>
      </c>
      <c r="L6583" t="str">
        <f>"077063"</f>
        <v>077063</v>
      </c>
      <c r="M6583" t="str">
        <f>"19101"</f>
        <v>19101</v>
      </c>
      <c r="N6583" t="s">
        <v>5237</v>
      </c>
      <c r="O6583" s="1">
        <v>1290</v>
      </c>
      <c r="P6583">
        <v>20190605</v>
      </c>
      <c r="Q6583" t="s">
        <v>5238</v>
      </c>
      <c r="R6583" t="s">
        <v>5239</v>
      </c>
      <c r="S6583" t="s">
        <v>1615</v>
      </c>
      <c r="T6583" t="s">
        <v>301</v>
      </c>
    </row>
    <row r="6584" spans="1:20" x14ac:dyDescent="0.25">
      <c r="A6584">
        <v>9</v>
      </c>
      <c r="B6584">
        <v>199</v>
      </c>
      <c r="C6584" t="str">
        <f>"34"</f>
        <v>34</v>
      </c>
      <c r="D6584">
        <v>6249</v>
      </c>
      <c r="E6584" t="str">
        <f>"10"</f>
        <v>10</v>
      </c>
      <c r="F6584" t="str">
        <f>"937"</f>
        <v>937</v>
      </c>
      <c r="G6584">
        <v>9</v>
      </c>
      <c r="H6584" t="str">
        <f t="shared" ref="H6584:H6603" si="1451">"99"</f>
        <v>99</v>
      </c>
      <c r="I6584" t="str">
        <f t="shared" si="1450"/>
        <v>0</v>
      </c>
      <c r="J6584" t="str">
        <f>"82"</f>
        <v>82</v>
      </c>
      <c r="K6584">
        <v>20190607</v>
      </c>
      <c r="L6584" t="str">
        <f>"077064"</f>
        <v>077064</v>
      </c>
      <c r="M6584" t="str">
        <f>"21842"</f>
        <v>21842</v>
      </c>
      <c r="N6584" t="s">
        <v>2576</v>
      </c>
      <c r="O6584">
        <v>550.9</v>
      </c>
      <c r="P6584">
        <v>20190605</v>
      </c>
      <c r="Q6584" t="s">
        <v>2036</v>
      </c>
      <c r="R6584" t="s">
        <v>5240</v>
      </c>
      <c r="S6584" t="s">
        <v>1615</v>
      </c>
      <c r="T6584" t="s">
        <v>1810</v>
      </c>
    </row>
    <row r="6585" spans="1:20" x14ac:dyDescent="0.25">
      <c r="A6585">
        <v>9</v>
      </c>
      <c r="B6585">
        <v>199</v>
      </c>
      <c r="C6585" t="str">
        <f t="shared" ref="C6585:C6602" si="1452">"51"</f>
        <v>51</v>
      </c>
      <c r="D6585">
        <v>6319</v>
      </c>
      <c r="E6585" t="str">
        <f>"M2"</f>
        <v>M2</v>
      </c>
      <c r="F6585" t="str">
        <f>"936"</f>
        <v>936</v>
      </c>
      <c r="G6585">
        <v>9</v>
      </c>
      <c r="H6585" t="str">
        <f t="shared" si="1451"/>
        <v>99</v>
      </c>
      <c r="I6585" t="str">
        <f t="shared" si="1450"/>
        <v>0</v>
      </c>
      <c r="J6585" t="str">
        <f>"81"</f>
        <v>81</v>
      </c>
      <c r="K6585">
        <v>20190607</v>
      </c>
      <c r="L6585" t="str">
        <f>"077064"</f>
        <v>077064</v>
      </c>
      <c r="M6585" t="str">
        <f>"21842"</f>
        <v>21842</v>
      </c>
      <c r="N6585" t="s">
        <v>2576</v>
      </c>
      <c r="O6585">
        <v>94.94</v>
      </c>
      <c r="P6585">
        <v>20190605</v>
      </c>
      <c r="Q6585" t="s">
        <v>2074</v>
      </c>
      <c r="R6585" t="s">
        <v>2578</v>
      </c>
      <c r="S6585" t="s">
        <v>1615</v>
      </c>
      <c r="T6585" t="s">
        <v>1713</v>
      </c>
    </row>
    <row r="6586" spans="1:20" x14ac:dyDescent="0.25">
      <c r="A6586">
        <v>9</v>
      </c>
      <c r="B6586">
        <v>199</v>
      </c>
      <c r="C6586" t="str">
        <f t="shared" si="1452"/>
        <v>51</v>
      </c>
      <c r="D6586">
        <v>6255</v>
      </c>
      <c r="E6586" t="str">
        <f t="shared" ref="E6586:E6593" si="1453">"10"</f>
        <v>10</v>
      </c>
      <c r="F6586" t="str">
        <f>"001"</f>
        <v>001</v>
      </c>
      <c r="G6586">
        <v>9</v>
      </c>
      <c r="H6586" t="str">
        <f t="shared" si="1451"/>
        <v>99</v>
      </c>
      <c r="I6586" t="str">
        <f t="shared" si="1450"/>
        <v>0</v>
      </c>
      <c r="J6586" t="str">
        <f t="shared" ref="J6586:J6602" si="1454">"73"</f>
        <v>73</v>
      </c>
      <c r="K6586">
        <v>20190607</v>
      </c>
      <c r="L6586" t="str">
        <f t="shared" ref="L6586:L6602" si="1455">"077065"</f>
        <v>077065</v>
      </c>
      <c r="M6586" t="str">
        <f t="shared" ref="M6586:M6602" si="1456">"20706"</f>
        <v>20706</v>
      </c>
      <c r="N6586" t="s">
        <v>2003</v>
      </c>
      <c r="O6586" s="1">
        <v>7117.7</v>
      </c>
      <c r="P6586">
        <v>20190605</v>
      </c>
      <c r="Q6586" t="s">
        <v>2004</v>
      </c>
      <c r="R6586" t="s">
        <v>5241</v>
      </c>
      <c r="S6586" t="s">
        <v>1615</v>
      </c>
      <c r="T6586" t="s">
        <v>301</v>
      </c>
    </row>
    <row r="6587" spans="1:20" x14ac:dyDescent="0.25">
      <c r="A6587">
        <v>9</v>
      </c>
      <c r="B6587">
        <v>199</v>
      </c>
      <c r="C6587" t="str">
        <f t="shared" si="1452"/>
        <v>51</v>
      </c>
      <c r="D6587">
        <v>6255</v>
      </c>
      <c r="E6587" t="str">
        <f t="shared" si="1453"/>
        <v>10</v>
      </c>
      <c r="F6587" t="str">
        <f>"001"</f>
        <v>001</v>
      </c>
      <c r="G6587">
        <v>9</v>
      </c>
      <c r="H6587" t="str">
        <f t="shared" si="1451"/>
        <v>99</v>
      </c>
      <c r="I6587" t="str">
        <f t="shared" si="1450"/>
        <v>0</v>
      </c>
      <c r="J6587" t="str">
        <f t="shared" si="1454"/>
        <v>73</v>
      </c>
      <c r="K6587">
        <v>20190607</v>
      </c>
      <c r="L6587" t="str">
        <f t="shared" si="1455"/>
        <v>077065</v>
      </c>
      <c r="M6587" t="str">
        <f t="shared" si="1456"/>
        <v>20706</v>
      </c>
      <c r="N6587" t="s">
        <v>2003</v>
      </c>
      <c r="O6587" s="1">
        <v>10300.9</v>
      </c>
      <c r="P6587">
        <v>20190605</v>
      </c>
      <c r="Q6587" t="s">
        <v>2004</v>
      </c>
      <c r="R6587" t="s">
        <v>5242</v>
      </c>
      <c r="S6587" t="s">
        <v>1615</v>
      </c>
      <c r="T6587" t="s">
        <v>301</v>
      </c>
    </row>
    <row r="6588" spans="1:20" x14ac:dyDescent="0.25">
      <c r="A6588">
        <v>9</v>
      </c>
      <c r="B6588">
        <v>199</v>
      </c>
      <c r="C6588" t="str">
        <f t="shared" si="1452"/>
        <v>51</v>
      </c>
      <c r="D6588">
        <v>6255</v>
      </c>
      <c r="E6588" t="str">
        <f t="shared" si="1453"/>
        <v>10</v>
      </c>
      <c r="F6588" t="str">
        <f>"002"</f>
        <v>002</v>
      </c>
      <c r="G6588">
        <v>9</v>
      </c>
      <c r="H6588" t="str">
        <f t="shared" si="1451"/>
        <v>99</v>
      </c>
      <c r="I6588" t="str">
        <f t="shared" si="1450"/>
        <v>0</v>
      </c>
      <c r="J6588" t="str">
        <f t="shared" si="1454"/>
        <v>73</v>
      </c>
      <c r="K6588">
        <v>20190607</v>
      </c>
      <c r="L6588" t="str">
        <f t="shared" si="1455"/>
        <v>077065</v>
      </c>
      <c r="M6588" t="str">
        <f t="shared" si="1456"/>
        <v>20706</v>
      </c>
      <c r="N6588" t="s">
        <v>2003</v>
      </c>
      <c r="O6588">
        <v>38.81</v>
      </c>
      <c r="P6588">
        <v>20190605</v>
      </c>
      <c r="Q6588" t="s">
        <v>2006</v>
      </c>
      <c r="R6588" t="s">
        <v>5243</v>
      </c>
      <c r="S6588" t="s">
        <v>1615</v>
      </c>
      <c r="T6588" t="s">
        <v>1485</v>
      </c>
    </row>
    <row r="6589" spans="1:20" x14ac:dyDescent="0.25">
      <c r="A6589">
        <v>9</v>
      </c>
      <c r="B6589">
        <v>199</v>
      </c>
      <c r="C6589" t="str">
        <f t="shared" si="1452"/>
        <v>51</v>
      </c>
      <c r="D6589">
        <v>6255</v>
      </c>
      <c r="E6589" t="str">
        <f t="shared" si="1453"/>
        <v>10</v>
      </c>
      <c r="F6589" t="str">
        <f>"041"</f>
        <v>041</v>
      </c>
      <c r="G6589">
        <v>9</v>
      </c>
      <c r="H6589" t="str">
        <f t="shared" si="1451"/>
        <v>99</v>
      </c>
      <c r="I6589" t="str">
        <f t="shared" si="1450"/>
        <v>0</v>
      </c>
      <c r="J6589" t="str">
        <f t="shared" si="1454"/>
        <v>73</v>
      </c>
      <c r="K6589">
        <v>20190607</v>
      </c>
      <c r="L6589" t="str">
        <f t="shared" si="1455"/>
        <v>077065</v>
      </c>
      <c r="M6589" t="str">
        <f t="shared" si="1456"/>
        <v>20706</v>
      </c>
      <c r="N6589" t="s">
        <v>2003</v>
      </c>
      <c r="O6589">
        <v>709.01</v>
      </c>
      <c r="P6589">
        <v>20190605</v>
      </c>
      <c r="Q6589" t="s">
        <v>2008</v>
      </c>
      <c r="R6589" t="s">
        <v>5244</v>
      </c>
      <c r="S6589" t="s">
        <v>1615</v>
      </c>
      <c r="T6589" t="s">
        <v>106</v>
      </c>
    </row>
    <row r="6590" spans="1:20" x14ac:dyDescent="0.25">
      <c r="A6590">
        <v>9</v>
      </c>
      <c r="B6590">
        <v>199</v>
      </c>
      <c r="C6590" t="str">
        <f t="shared" si="1452"/>
        <v>51</v>
      </c>
      <c r="D6590">
        <v>6255</v>
      </c>
      <c r="E6590" t="str">
        <f t="shared" si="1453"/>
        <v>10</v>
      </c>
      <c r="F6590" t="str">
        <f>"101"</f>
        <v>101</v>
      </c>
      <c r="G6590">
        <v>9</v>
      </c>
      <c r="H6590" t="str">
        <f t="shared" si="1451"/>
        <v>99</v>
      </c>
      <c r="I6590" t="str">
        <f t="shared" si="1450"/>
        <v>0</v>
      </c>
      <c r="J6590" t="str">
        <f t="shared" si="1454"/>
        <v>73</v>
      </c>
      <c r="K6590">
        <v>20190607</v>
      </c>
      <c r="L6590" t="str">
        <f t="shared" si="1455"/>
        <v>077065</v>
      </c>
      <c r="M6590" t="str">
        <f t="shared" si="1456"/>
        <v>20706</v>
      </c>
      <c r="N6590" t="s">
        <v>2003</v>
      </c>
      <c r="O6590" s="1">
        <v>1912.74</v>
      </c>
      <c r="P6590">
        <v>20190605</v>
      </c>
      <c r="Q6590" t="s">
        <v>2010</v>
      </c>
      <c r="R6590" t="s">
        <v>5245</v>
      </c>
      <c r="S6590" t="s">
        <v>1615</v>
      </c>
      <c r="T6590" t="s">
        <v>1479</v>
      </c>
    </row>
    <row r="6591" spans="1:20" x14ac:dyDescent="0.25">
      <c r="A6591">
        <v>9</v>
      </c>
      <c r="B6591">
        <v>199</v>
      </c>
      <c r="C6591" t="str">
        <f t="shared" si="1452"/>
        <v>51</v>
      </c>
      <c r="D6591">
        <v>6255</v>
      </c>
      <c r="E6591" t="str">
        <f t="shared" si="1453"/>
        <v>10</v>
      </c>
      <c r="F6591" t="str">
        <f>"104"</f>
        <v>104</v>
      </c>
      <c r="G6591">
        <v>9</v>
      </c>
      <c r="H6591" t="str">
        <f t="shared" si="1451"/>
        <v>99</v>
      </c>
      <c r="I6591" t="str">
        <f t="shared" si="1450"/>
        <v>0</v>
      </c>
      <c r="J6591" t="str">
        <f t="shared" si="1454"/>
        <v>73</v>
      </c>
      <c r="K6591">
        <v>20190607</v>
      </c>
      <c r="L6591" t="str">
        <f t="shared" si="1455"/>
        <v>077065</v>
      </c>
      <c r="M6591" t="str">
        <f t="shared" si="1456"/>
        <v>20706</v>
      </c>
      <c r="N6591" t="s">
        <v>2003</v>
      </c>
      <c r="O6591" s="1">
        <v>1277.6300000000001</v>
      </c>
      <c r="P6591">
        <v>20190605</v>
      </c>
      <c r="Q6591" t="s">
        <v>2012</v>
      </c>
      <c r="R6591" t="s">
        <v>5246</v>
      </c>
      <c r="S6591" t="s">
        <v>1615</v>
      </c>
      <c r="T6591" t="s">
        <v>46</v>
      </c>
    </row>
    <row r="6592" spans="1:20" x14ac:dyDescent="0.25">
      <c r="A6592">
        <v>9</v>
      </c>
      <c r="B6592">
        <v>199</v>
      </c>
      <c r="C6592" t="str">
        <f t="shared" si="1452"/>
        <v>51</v>
      </c>
      <c r="D6592">
        <v>6255</v>
      </c>
      <c r="E6592" t="str">
        <f t="shared" si="1453"/>
        <v>10</v>
      </c>
      <c r="F6592" t="str">
        <f>"935"</f>
        <v>935</v>
      </c>
      <c r="G6592">
        <v>9</v>
      </c>
      <c r="H6592" t="str">
        <f t="shared" si="1451"/>
        <v>99</v>
      </c>
      <c r="I6592" t="str">
        <f t="shared" si="1450"/>
        <v>0</v>
      </c>
      <c r="J6592" t="str">
        <f t="shared" si="1454"/>
        <v>73</v>
      </c>
      <c r="K6592">
        <v>20190607</v>
      </c>
      <c r="L6592" t="str">
        <f t="shared" si="1455"/>
        <v>077065</v>
      </c>
      <c r="M6592" t="str">
        <f t="shared" si="1456"/>
        <v>20706</v>
      </c>
      <c r="N6592" t="s">
        <v>2003</v>
      </c>
      <c r="O6592">
        <v>530.62</v>
      </c>
      <c r="P6592">
        <v>20190605</v>
      </c>
      <c r="Q6592" t="s">
        <v>2014</v>
      </c>
      <c r="R6592" t="s">
        <v>5247</v>
      </c>
      <c r="S6592" t="s">
        <v>1615</v>
      </c>
      <c r="T6592" t="s">
        <v>1876</v>
      </c>
    </row>
    <row r="6593" spans="1:20" x14ac:dyDescent="0.25">
      <c r="A6593">
        <v>9</v>
      </c>
      <c r="B6593">
        <v>199</v>
      </c>
      <c r="C6593" t="str">
        <f t="shared" si="1452"/>
        <v>51</v>
      </c>
      <c r="D6593">
        <v>6255</v>
      </c>
      <c r="E6593" t="str">
        <f t="shared" si="1453"/>
        <v>10</v>
      </c>
      <c r="F6593" t="str">
        <f>"936"</f>
        <v>936</v>
      </c>
      <c r="G6593">
        <v>9</v>
      </c>
      <c r="H6593" t="str">
        <f t="shared" si="1451"/>
        <v>99</v>
      </c>
      <c r="I6593" t="str">
        <f t="shared" si="1450"/>
        <v>0</v>
      </c>
      <c r="J6593" t="str">
        <f t="shared" si="1454"/>
        <v>73</v>
      </c>
      <c r="K6593">
        <v>20190607</v>
      </c>
      <c r="L6593" t="str">
        <f t="shared" si="1455"/>
        <v>077065</v>
      </c>
      <c r="M6593" t="str">
        <f t="shared" si="1456"/>
        <v>20706</v>
      </c>
      <c r="N6593" t="s">
        <v>2003</v>
      </c>
      <c r="O6593">
        <v>87.06</v>
      </c>
      <c r="P6593">
        <v>20190605</v>
      </c>
      <c r="Q6593" t="s">
        <v>2016</v>
      </c>
      <c r="R6593" t="s">
        <v>5248</v>
      </c>
      <c r="S6593" t="s">
        <v>1615</v>
      </c>
      <c r="T6593" t="s">
        <v>1713</v>
      </c>
    </row>
    <row r="6594" spans="1:20" x14ac:dyDescent="0.25">
      <c r="A6594">
        <v>9</v>
      </c>
      <c r="B6594">
        <v>199</v>
      </c>
      <c r="C6594" t="str">
        <f t="shared" si="1452"/>
        <v>51</v>
      </c>
      <c r="D6594">
        <v>6255</v>
      </c>
      <c r="E6594" t="str">
        <f>"11"</f>
        <v>11</v>
      </c>
      <c r="F6594" t="str">
        <f>"001"</f>
        <v>001</v>
      </c>
      <c r="G6594">
        <v>9</v>
      </c>
      <c r="H6594" t="str">
        <f t="shared" si="1451"/>
        <v>99</v>
      </c>
      <c r="I6594" t="str">
        <f t="shared" si="1450"/>
        <v>0</v>
      </c>
      <c r="J6594" t="str">
        <f t="shared" si="1454"/>
        <v>73</v>
      </c>
      <c r="K6594">
        <v>20190607</v>
      </c>
      <c r="L6594" t="str">
        <f t="shared" si="1455"/>
        <v>077065</v>
      </c>
      <c r="M6594" t="str">
        <f t="shared" si="1456"/>
        <v>20706</v>
      </c>
      <c r="N6594" t="s">
        <v>2003</v>
      </c>
      <c r="O6594">
        <v>436.24</v>
      </c>
      <c r="P6594">
        <v>20190605</v>
      </c>
      <c r="Q6594" t="s">
        <v>2018</v>
      </c>
      <c r="R6594" t="s">
        <v>5249</v>
      </c>
      <c r="S6594" t="s">
        <v>1615</v>
      </c>
      <c r="T6594" t="s">
        <v>301</v>
      </c>
    </row>
    <row r="6595" spans="1:20" x14ac:dyDescent="0.25">
      <c r="A6595">
        <v>9</v>
      </c>
      <c r="B6595">
        <v>199</v>
      </c>
      <c r="C6595" t="str">
        <f t="shared" si="1452"/>
        <v>51</v>
      </c>
      <c r="D6595">
        <v>6255</v>
      </c>
      <c r="E6595" t="str">
        <f>"11"</f>
        <v>11</v>
      </c>
      <c r="F6595" t="str">
        <f>"104"</f>
        <v>104</v>
      </c>
      <c r="G6595">
        <v>9</v>
      </c>
      <c r="H6595" t="str">
        <f t="shared" si="1451"/>
        <v>99</v>
      </c>
      <c r="I6595" t="str">
        <f t="shared" si="1450"/>
        <v>0</v>
      </c>
      <c r="J6595" t="str">
        <f t="shared" si="1454"/>
        <v>73</v>
      </c>
      <c r="K6595">
        <v>20190607</v>
      </c>
      <c r="L6595" t="str">
        <f t="shared" si="1455"/>
        <v>077065</v>
      </c>
      <c r="M6595" t="str">
        <f t="shared" si="1456"/>
        <v>20706</v>
      </c>
      <c r="N6595" t="s">
        <v>2003</v>
      </c>
      <c r="O6595">
        <v>63.4</v>
      </c>
      <c r="P6595">
        <v>20190605</v>
      </c>
      <c r="Q6595" t="s">
        <v>2020</v>
      </c>
      <c r="R6595" t="s">
        <v>5250</v>
      </c>
      <c r="S6595" t="s">
        <v>1615</v>
      </c>
      <c r="T6595" t="s">
        <v>46</v>
      </c>
    </row>
    <row r="6596" spans="1:20" x14ac:dyDescent="0.25">
      <c r="A6596">
        <v>9</v>
      </c>
      <c r="B6596">
        <v>199</v>
      </c>
      <c r="C6596" t="str">
        <f t="shared" si="1452"/>
        <v>51</v>
      </c>
      <c r="D6596">
        <v>6255</v>
      </c>
      <c r="E6596" t="str">
        <f>"3F"</f>
        <v>3F</v>
      </c>
      <c r="F6596" t="str">
        <f>"877"</f>
        <v>877</v>
      </c>
      <c r="G6596">
        <v>9</v>
      </c>
      <c r="H6596" t="str">
        <f t="shared" si="1451"/>
        <v>99</v>
      </c>
      <c r="I6596" t="str">
        <f t="shared" si="1450"/>
        <v>0</v>
      </c>
      <c r="J6596" t="str">
        <f t="shared" si="1454"/>
        <v>73</v>
      </c>
      <c r="K6596">
        <v>20190607</v>
      </c>
      <c r="L6596" t="str">
        <f t="shared" si="1455"/>
        <v>077065</v>
      </c>
      <c r="M6596" t="str">
        <f t="shared" si="1456"/>
        <v>20706</v>
      </c>
      <c r="N6596" t="s">
        <v>2003</v>
      </c>
      <c r="O6596" s="1">
        <v>6169.26</v>
      </c>
      <c r="P6596">
        <v>20190605</v>
      </c>
      <c r="Q6596" t="s">
        <v>2022</v>
      </c>
      <c r="R6596" t="s">
        <v>5251</v>
      </c>
      <c r="S6596" t="s">
        <v>1615</v>
      </c>
      <c r="T6596" t="s">
        <v>2024</v>
      </c>
    </row>
    <row r="6597" spans="1:20" x14ac:dyDescent="0.25">
      <c r="A6597">
        <v>9</v>
      </c>
      <c r="B6597">
        <v>199</v>
      </c>
      <c r="C6597" t="str">
        <f t="shared" si="1452"/>
        <v>51</v>
      </c>
      <c r="D6597">
        <v>6258</v>
      </c>
      <c r="E6597" t="str">
        <f>"10"</f>
        <v>10</v>
      </c>
      <c r="F6597" t="str">
        <f>"001"</f>
        <v>001</v>
      </c>
      <c r="G6597">
        <v>9</v>
      </c>
      <c r="H6597" t="str">
        <f t="shared" si="1451"/>
        <v>99</v>
      </c>
      <c r="I6597" t="str">
        <f t="shared" si="1450"/>
        <v>0</v>
      </c>
      <c r="J6597" t="str">
        <f t="shared" si="1454"/>
        <v>73</v>
      </c>
      <c r="K6597">
        <v>20190607</v>
      </c>
      <c r="L6597" t="str">
        <f t="shared" si="1455"/>
        <v>077065</v>
      </c>
      <c r="M6597" t="str">
        <f t="shared" si="1456"/>
        <v>20706</v>
      </c>
      <c r="N6597" t="s">
        <v>2003</v>
      </c>
      <c r="O6597" s="1">
        <v>2377.83</v>
      </c>
      <c r="P6597">
        <v>20190605</v>
      </c>
      <c r="Q6597" t="s">
        <v>2025</v>
      </c>
      <c r="R6597" t="s">
        <v>5252</v>
      </c>
      <c r="S6597" t="s">
        <v>1615</v>
      </c>
      <c r="T6597" t="s">
        <v>301</v>
      </c>
    </row>
    <row r="6598" spans="1:20" x14ac:dyDescent="0.25">
      <c r="A6598">
        <v>9</v>
      </c>
      <c r="B6598">
        <v>199</v>
      </c>
      <c r="C6598" t="str">
        <f t="shared" si="1452"/>
        <v>51</v>
      </c>
      <c r="D6598">
        <v>6258</v>
      </c>
      <c r="E6598" t="str">
        <f>"10"</f>
        <v>10</v>
      </c>
      <c r="F6598" t="str">
        <f>"001"</f>
        <v>001</v>
      </c>
      <c r="G6598">
        <v>9</v>
      </c>
      <c r="H6598" t="str">
        <f t="shared" si="1451"/>
        <v>99</v>
      </c>
      <c r="I6598" t="str">
        <f t="shared" si="1450"/>
        <v>0</v>
      </c>
      <c r="J6598" t="str">
        <f t="shared" si="1454"/>
        <v>73</v>
      </c>
      <c r="K6598">
        <v>20190607</v>
      </c>
      <c r="L6598" t="str">
        <f t="shared" si="1455"/>
        <v>077065</v>
      </c>
      <c r="M6598" t="str">
        <f t="shared" si="1456"/>
        <v>20706</v>
      </c>
      <c r="N6598" t="s">
        <v>2003</v>
      </c>
      <c r="O6598" s="1">
        <v>1563.74</v>
      </c>
      <c r="P6598">
        <v>20190605</v>
      </c>
      <c r="Q6598" t="s">
        <v>2025</v>
      </c>
      <c r="R6598" t="s">
        <v>5253</v>
      </c>
      <c r="S6598" t="s">
        <v>1615</v>
      </c>
      <c r="T6598" t="s">
        <v>301</v>
      </c>
    </row>
    <row r="6599" spans="1:20" x14ac:dyDescent="0.25">
      <c r="A6599">
        <v>9</v>
      </c>
      <c r="B6599">
        <v>199</v>
      </c>
      <c r="C6599" t="str">
        <f t="shared" si="1452"/>
        <v>51</v>
      </c>
      <c r="D6599">
        <v>6258</v>
      </c>
      <c r="E6599" t="str">
        <f>"10"</f>
        <v>10</v>
      </c>
      <c r="F6599" t="str">
        <f>"041"</f>
        <v>041</v>
      </c>
      <c r="G6599">
        <v>9</v>
      </c>
      <c r="H6599" t="str">
        <f t="shared" si="1451"/>
        <v>99</v>
      </c>
      <c r="I6599" t="str">
        <f t="shared" si="1450"/>
        <v>0</v>
      </c>
      <c r="J6599" t="str">
        <f t="shared" si="1454"/>
        <v>73</v>
      </c>
      <c r="K6599">
        <v>20190607</v>
      </c>
      <c r="L6599" t="str">
        <f t="shared" si="1455"/>
        <v>077065</v>
      </c>
      <c r="M6599" t="str">
        <f t="shared" si="1456"/>
        <v>20706</v>
      </c>
      <c r="N6599" t="s">
        <v>2003</v>
      </c>
      <c r="O6599">
        <v>328.6</v>
      </c>
      <c r="P6599">
        <v>20190605</v>
      </c>
      <c r="Q6599" t="s">
        <v>2027</v>
      </c>
      <c r="R6599" t="s">
        <v>5254</v>
      </c>
      <c r="S6599" t="s">
        <v>1615</v>
      </c>
      <c r="T6599" t="s">
        <v>106</v>
      </c>
    </row>
    <row r="6600" spans="1:20" x14ac:dyDescent="0.25">
      <c r="A6600">
        <v>9</v>
      </c>
      <c r="B6600">
        <v>199</v>
      </c>
      <c r="C6600" t="str">
        <f t="shared" si="1452"/>
        <v>51</v>
      </c>
      <c r="D6600">
        <v>6258</v>
      </c>
      <c r="E6600" t="str">
        <f>"10"</f>
        <v>10</v>
      </c>
      <c r="F6600" t="str">
        <f>"101"</f>
        <v>101</v>
      </c>
      <c r="G6600">
        <v>9</v>
      </c>
      <c r="H6600" t="str">
        <f t="shared" si="1451"/>
        <v>99</v>
      </c>
      <c r="I6600" t="str">
        <f t="shared" si="1450"/>
        <v>0</v>
      </c>
      <c r="J6600" t="str">
        <f t="shared" si="1454"/>
        <v>73</v>
      </c>
      <c r="K6600">
        <v>20190607</v>
      </c>
      <c r="L6600" t="str">
        <f t="shared" si="1455"/>
        <v>077065</v>
      </c>
      <c r="M6600" t="str">
        <f t="shared" si="1456"/>
        <v>20706</v>
      </c>
      <c r="N6600" t="s">
        <v>2003</v>
      </c>
      <c r="O6600">
        <v>214.72</v>
      </c>
      <c r="P6600">
        <v>20190605</v>
      </c>
      <c r="Q6600" t="s">
        <v>2029</v>
      </c>
      <c r="R6600" t="s">
        <v>5255</v>
      </c>
      <c r="S6600" t="s">
        <v>1615</v>
      </c>
      <c r="T6600" t="s">
        <v>1479</v>
      </c>
    </row>
    <row r="6601" spans="1:20" x14ac:dyDescent="0.25">
      <c r="A6601">
        <v>9</v>
      </c>
      <c r="B6601">
        <v>199</v>
      </c>
      <c r="C6601" t="str">
        <f t="shared" si="1452"/>
        <v>51</v>
      </c>
      <c r="D6601">
        <v>6258</v>
      </c>
      <c r="E6601" t="str">
        <f>"10"</f>
        <v>10</v>
      </c>
      <c r="F6601" t="str">
        <f>"104"</f>
        <v>104</v>
      </c>
      <c r="G6601">
        <v>9</v>
      </c>
      <c r="H6601" t="str">
        <f t="shared" si="1451"/>
        <v>99</v>
      </c>
      <c r="I6601" t="str">
        <f t="shared" si="1450"/>
        <v>0</v>
      </c>
      <c r="J6601" t="str">
        <f t="shared" si="1454"/>
        <v>73</v>
      </c>
      <c r="K6601">
        <v>20190607</v>
      </c>
      <c r="L6601" t="str">
        <f t="shared" si="1455"/>
        <v>077065</v>
      </c>
      <c r="M6601" t="str">
        <f t="shared" si="1456"/>
        <v>20706</v>
      </c>
      <c r="N6601" t="s">
        <v>2003</v>
      </c>
      <c r="O6601">
        <v>200.86</v>
      </c>
      <c r="P6601">
        <v>20190605</v>
      </c>
      <c r="Q6601" t="s">
        <v>2031</v>
      </c>
      <c r="R6601" t="s">
        <v>5256</v>
      </c>
      <c r="S6601" t="s">
        <v>1615</v>
      </c>
      <c r="T6601" t="s">
        <v>46</v>
      </c>
    </row>
    <row r="6602" spans="1:20" x14ac:dyDescent="0.25">
      <c r="A6602">
        <v>9</v>
      </c>
      <c r="B6602">
        <v>199</v>
      </c>
      <c r="C6602" t="str">
        <f t="shared" si="1452"/>
        <v>51</v>
      </c>
      <c r="D6602">
        <v>6258</v>
      </c>
      <c r="E6602" t="str">
        <f>"11"</f>
        <v>11</v>
      </c>
      <c r="F6602" t="str">
        <f>"001"</f>
        <v>001</v>
      </c>
      <c r="G6602">
        <v>9</v>
      </c>
      <c r="H6602" t="str">
        <f t="shared" si="1451"/>
        <v>99</v>
      </c>
      <c r="I6602" t="str">
        <f t="shared" si="1450"/>
        <v>0</v>
      </c>
      <c r="J6602" t="str">
        <f t="shared" si="1454"/>
        <v>73</v>
      </c>
      <c r="K6602">
        <v>20190607</v>
      </c>
      <c r="L6602" t="str">
        <f t="shared" si="1455"/>
        <v>077065</v>
      </c>
      <c r="M6602" t="str">
        <f t="shared" si="1456"/>
        <v>20706</v>
      </c>
      <c r="N6602" t="s">
        <v>2003</v>
      </c>
      <c r="O6602">
        <v>186.25</v>
      </c>
      <c r="P6602">
        <v>20190605</v>
      </c>
      <c r="Q6602" t="s">
        <v>2033</v>
      </c>
      <c r="R6602" t="s">
        <v>5257</v>
      </c>
      <c r="S6602" t="s">
        <v>1615</v>
      </c>
      <c r="T6602" t="s">
        <v>301</v>
      </c>
    </row>
    <row r="6603" spans="1:20" x14ac:dyDescent="0.25">
      <c r="A6603">
        <v>9</v>
      </c>
      <c r="B6603">
        <v>199</v>
      </c>
      <c r="C6603" t="str">
        <f>"34"</f>
        <v>34</v>
      </c>
      <c r="D6603">
        <v>6249</v>
      </c>
      <c r="E6603" t="str">
        <f>"10"</f>
        <v>10</v>
      </c>
      <c r="F6603" t="str">
        <f>"937"</f>
        <v>937</v>
      </c>
      <c r="G6603">
        <v>9</v>
      </c>
      <c r="H6603" t="str">
        <f t="shared" si="1451"/>
        <v>99</v>
      </c>
      <c r="I6603" t="str">
        <f t="shared" si="1450"/>
        <v>0</v>
      </c>
      <c r="J6603" t="str">
        <f>"82"</f>
        <v>82</v>
      </c>
      <c r="K6603">
        <v>20190607</v>
      </c>
      <c r="L6603" t="str">
        <f>"077066"</f>
        <v>077066</v>
      </c>
      <c r="M6603" t="str">
        <f>"21091"</f>
        <v>21091</v>
      </c>
      <c r="N6603" t="s">
        <v>2035</v>
      </c>
      <c r="O6603">
        <v>116.73</v>
      </c>
      <c r="P6603">
        <v>20190605</v>
      </c>
      <c r="Q6603" t="s">
        <v>2036</v>
      </c>
      <c r="R6603" t="s">
        <v>5258</v>
      </c>
      <c r="S6603" t="s">
        <v>1615</v>
      </c>
      <c r="T6603" t="s">
        <v>1810</v>
      </c>
    </row>
    <row r="6604" spans="1:20" x14ac:dyDescent="0.25">
      <c r="A6604">
        <v>9</v>
      </c>
      <c r="B6604">
        <v>199</v>
      </c>
      <c r="C6604" t="str">
        <f>"11"</f>
        <v>11</v>
      </c>
      <c r="D6604">
        <v>6411</v>
      </c>
      <c r="E6604" t="str">
        <f>"LK"</f>
        <v>LK</v>
      </c>
      <c r="F6604" t="str">
        <f>"041"</f>
        <v>041</v>
      </c>
      <c r="G6604">
        <v>9</v>
      </c>
      <c r="H6604" t="str">
        <f>"11"</f>
        <v>11</v>
      </c>
      <c r="I6604" t="str">
        <f t="shared" si="1450"/>
        <v>0</v>
      </c>
      <c r="J6604" t="str">
        <f>"03"</f>
        <v>03</v>
      </c>
      <c r="K6604">
        <v>20190607</v>
      </c>
      <c r="L6604" t="str">
        <f>"077067"</f>
        <v>077067</v>
      </c>
      <c r="M6604" t="str">
        <f>"21358"</f>
        <v>21358</v>
      </c>
      <c r="N6604" t="s">
        <v>420</v>
      </c>
      <c r="O6604">
        <v>58.88</v>
      </c>
      <c r="P6604">
        <v>20190605</v>
      </c>
      <c r="Q6604" t="s">
        <v>3042</v>
      </c>
      <c r="R6604" t="s">
        <v>5259</v>
      </c>
      <c r="S6604" t="s">
        <v>1615</v>
      </c>
      <c r="T6604" t="s">
        <v>106</v>
      </c>
    </row>
    <row r="6605" spans="1:20" x14ac:dyDescent="0.25">
      <c r="A6605">
        <v>9</v>
      </c>
      <c r="B6605">
        <v>199</v>
      </c>
      <c r="C6605" t="str">
        <f>"11"</f>
        <v>11</v>
      </c>
      <c r="D6605">
        <v>6249</v>
      </c>
      <c r="E6605" t="str">
        <f>"57"</f>
        <v>57</v>
      </c>
      <c r="F6605" t="str">
        <f>"001"</f>
        <v>001</v>
      </c>
      <c r="G6605">
        <v>9</v>
      </c>
      <c r="H6605" t="str">
        <f>"11"</f>
        <v>11</v>
      </c>
      <c r="I6605" t="str">
        <f t="shared" si="1450"/>
        <v>0</v>
      </c>
      <c r="J6605" t="str">
        <f>"80"</f>
        <v>80</v>
      </c>
      <c r="K6605">
        <v>20190607</v>
      </c>
      <c r="L6605" t="str">
        <f>"077068"</f>
        <v>077068</v>
      </c>
      <c r="M6605" t="str">
        <f>"21468"</f>
        <v>21468</v>
      </c>
      <c r="N6605" t="s">
        <v>2369</v>
      </c>
      <c r="O6605" s="1">
        <v>1653.65</v>
      </c>
      <c r="P6605">
        <v>20190606</v>
      </c>
      <c r="Q6605" t="s">
        <v>1796</v>
      </c>
      <c r="R6605" t="s">
        <v>5260</v>
      </c>
      <c r="S6605" t="s">
        <v>1615</v>
      </c>
      <c r="T6605" t="s">
        <v>301</v>
      </c>
    </row>
    <row r="6606" spans="1:20" x14ac:dyDescent="0.25">
      <c r="A6606">
        <v>9</v>
      </c>
      <c r="B6606">
        <v>199</v>
      </c>
      <c r="C6606" t="str">
        <f>"11"</f>
        <v>11</v>
      </c>
      <c r="D6606">
        <v>6249</v>
      </c>
      <c r="E6606" t="str">
        <f>"57"</f>
        <v>57</v>
      </c>
      <c r="F6606" t="str">
        <f>"041"</f>
        <v>041</v>
      </c>
      <c r="G6606">
        <v>9</v>
      </c>
      <c r="H6606" t="str">
        <f>"11"</f>
        <v>11</v>
      </c>
      <c r="I6606" t="str">
        <f t="shared" si="1450"/>
        <v>0</v>
      </c>
      <c r="J6606" t="str">
        <f>"80"</f>
        <v>80</v>
      </c>
      <c r="K6606">
        <v>20190607</v>
      </c>
      <c r="L6606" t="str">
        <f>"077068"</f>
        <v>077068</v>
      </c>
      <c r="M6606" t="str">
        <f>"21468"</f>
        <v>21468</v>
      </c>
      <c r="N6606" t="s">
        <v>2369</v>
      </c>
      <c r="O6606" s="1">
        <v>1653.65</v>
      </c>
      <c r="P6606">
        <v>20190606</v>
      </c>
      <c r="Q6606" t="s">
        <v>1798</v>
      </c>
      <c r="R6606" t="s">
        <v>5260</v>
      </c>
      <c r="S6606" t="s">
        <v>1615</v>
      </c>
      <c r="T6606" t="s">
        <v>106</v>
      </c>
    </row>
    <row r="6607" spans="1:20" x14ac:dyDescent="0.25">
      <c r="A6607">
        <v>9</v>
      </c>
      <c r="B6607">
        <v>199</v>
      </c>
      <c r="C6607" t="str">
        <f>"11"</f>
        <v>11</v>
      </c>
      <c r="D6607">
        <v>6249</v>
      </c>
      <c r="E6607" t="str">
        <f>"57"</f>
        <v>57</v>
      </c>
      <c r="F6607" t="str">
        <f>"101"</f>
        <v>101</v>
      </c>
      <c r="G6607">
        <v>9</v>
      </c>
      <c r="H6607" t="str">
        <f>"11"</f>
        <v>11</v>
      </c>
      <c r="I6607" t="str">
        <f t="shared" si="1450"/>
        <v>0</v>
      </c>
      <c r="J6607" t="str">
        <f>"80"</f>
        <v>80</v>
      </c>
      <c r="K6607">
        <v>20190607</v>
      </c>
      <c r="L6607" t="str">
        <f>"077068"</f>
        <v>077068</v>
      </c>
      <c r="M6607" t="str">
        <f>"21468"</f>
        <v>21468</v>
      </c>
      <c r="N6607" t="s">
        <v>2369</v>
      </c>
      <c r="O6607" s="1">
        <v>1653.65</v>
      </c>
      <c r="P6607">
        <v>20190606</v>
      </c>
      <c r="Q6607" t="s">
        <v>1799</v>
      </c>
      <c r="R6607" t="s">
        <v>5260</v>
      </c>
      <c r="S6607" t="s">
        <v>1615</v>
      </c>
      <c r="T6607" t="s">
        <v>1479</v>
      </c>
    </row>
    <row r="6608" spans="1:20" x14ac:dyDescent="0.25">
      <c r="A6608">
        <v>9</v>
      </c>
      <c r="B6608">
        <v>199</v>
      </c>
      <c r="C6608" t="str">
        <f>"11"</f>
        <v>11</v>
      </c>
      <c r="D6608">
        <v>6249</v>
      </c>
      <c r="E6608" t="str">
        <f>"57"</f>
        <v>57</v>
      </c>
      <c r="F6608" t="str">
        <f>"104"</f>
        <v>104</v>
      </c>
      <c r="G6608">
        <v>9</v>
      </c>
      <c r="H6608" t="str">
        <f>"11"</f>
        <v>11</v>
      </c>
      <c r="I6608" t="str">
        <f t="shared" si="1450"/>
        <v>0</v>
      </c>
      <c r="J6608" t="str">
        <f>"80"</f>
        <v>80</v>
      </c>
      <c r="K6608">
        <v>20190607</v>
      </c>
      <c r="L6608" t="str">
        <f>"077068"</f>
        <v>077068</v>
      </c>
      <c r="M6608" t="str">
        <f>"21468"</f>
        <v>21468</v>
      </c>
      <c r="N6608" t="s">
        <v>2369</v>
      </c>
      <c r="O6608" s="1">
        <v>1653.63</v>
      </c>
      <c r="P6608">
        <v>20190606</v>
      </c>
      <c r="Q6608" t="s">
        <v>1800</v>
      </c>
      <c r="R6608" t="s">
        <v>5260</v>
      </c>
      <c r="S6608" t="s">
        <v>1615</v>
      </c>
      <c r="T6608" t="s">
        <v>46</v>
      </c>
    </row>
    <row r="6609" spans="1:20" x14ac:dyDescent="0.25">
      <c r="A6609">
        <v>9</v>
      </c>
      <c r="B6609">
        <v>199</v>
      </c>
      <c r="C6609" t="str">
        <f>"51"</f>
        <v>51</v>
      </c>
      <c r="D6609">
        <v>6249</v>
      </c>
      <c r="E6609" t="str">
        <f>"WF"</f>
        <v>WF</v>
      </c>
      <c r="F6609" t="str">
        <f>"936"</f>
        <v>936</v>
      </c>
      <c r="G6609">
        <v>9</v>
      </c>
      <c r="H6609" t="str">
        <f t="shared" ref="H6609:H6624" si="1457">"99"</f>
        <v>99</v>
      </c>
      <c r="I6609" t="str">
        <f t="shared" si="1450"/>
        <v>0</v>
      </c>
      <c r="J6609" t="str">
        <f>"82"</f>
        <v>82</v>
      </c>
      <c r="K6609">
        <v>20190607</v>
      </c>
      <c r="L6609" t="str">
        <f>"077069"</f>
        <v>077069</v>
      </c>
      <c r="M6609" t="str">
        <f>"21901"</f>
        <v>21901</v>
      </c>
      <c r="N6609" t="s">
        <v>2046</v>
      </c>
      <c r="O6609" s="1">
        <v>2215.0300000000002</v>
      </c>
      <c r="P6609">
        <v>20190606</v>
      </c>
      <c r="Q6609" t="s">
        <v>2127</v>
      </c>
      <c r="R6609" t="s">
        <v>5261</v>
      </c>
      <c r="S6609" t="s">
        <v>1615</v>
      </c>
      <c r="T6609" t="s">
        <v>1713</v>
      </c>
    </row>
    <row r="6610" spans="1:20" x14ac:dyDescent="0.25">
      <c r="A6610">
        <v>9</v>
      </c>
      <c r="B6610">
        <v>199</v>
      </c>
      <c r="C6610" t="str">
        <f>"41"</f>
        <v>41</v>
      </c>
      <c r="D6610">
        <v>6499</v>
      </c>
      <c r="E6610" t="str">
        <f>"12"</f>
        <v>12</v>
      </c>
      <c r="F6610" t="str">
        <f>"720"</f>
        <v>720</v>
      </c>
      <c r="G6610">
        <v>9</v>
      </c>
      <c r="H6610" t="str">
        <f t="shared" si="1457"/>
        <v>99</v>
      </c>
      <c r="I6610" t="str">
        <f t="shared" si="1450"/>
        <v>0</v>
      </c>
      <c r="J6610" t="str">
        <f>"91"</f>
        <v>91</v>
      </c>
      <c r="K6610">
        <v>20190607</v>
      </c>
      <c r="L6610" t="str">
        <f>"077070"</f>
        <v>077070</v>
      </c>
      <c r="M6610" t="str">
        <f>"28820"</f>
        <v>28820</v>
      </c>
      <c r="N6610" t="s">
        <v>2224</v>
      </c>
      <c r="O6610">
        <v>47.15</v>
      </c>
      <c r="P6610">
        <v>20190605</v>
      </c>
      <c r="Q6610" t="s">
        <v>2225</v>
      </c>
      <c r="R6610" t="s">
        <v>3139</v>
      </c>
      <c r="S6610" t="s">
        <v>1615</v>
      </c>
      <c r="T6610" t="s">
        <v>2045</v>
      </c>
    </row>
    <row r="6611" spans="1:20" x14ac:dyDescent="0.25">
      <c r="A6611">
        <v>9</v>
      </c>
      <c r="B6611">
        <v>199</v>
      </c>
      <c r="C6611" t="str">
        <f>"41"</f>
        <v>41</v>
      </c>
      <c r="D6611">
        <v>6499</v>
      </c>
      <c r="E6611" t="str">
        <f>"12"</f>
        <v>12</v>
      </c>
      <c r="F6611" t="str">
        <f>"720"</f>
        <v>720</v>
      </c>
      <c r="G6611">
        <v>9</v>
      </c>
      <c r="H6611" t="str">
        <f t="shared" si="1457"/>
        <v>99</v>
      </c>
      <c r="I6611" t="str">
        <f t="shared" si="1450"/>
        <v>0</v>
      </c>
      <c r="J6611" t="str">
        <f>"91"</f>
        <v>91</v>
      </c>
      <c r="K6611">
        <v>20190607</v>
      </c>
      <c r="L6611" t="str">
        <f>"077070"</f>
        <v>077070</v>
      </c>
      <c r="M6611" t="str">
        <f>"28820"</f>
        <v>28820</v>
      </c>
      <c r="N6611" t="s">
        <v>2224</v>
      </c>
      <c r="O6611">
        <v>113.7</v>
      </c>
      <c r="P6611">
        <v>20190605</v>
      </c>
      <c r="Q6611" t="s">
        <v>2225</v>
      </c>
      <c r="R6611" t="s">
        <v>3744</v>
      </c>
      <c r="S6611" t="s">
        <v>1615</v>
      </c>
      <c r="T6611" t="s">
        <v>2045</v>
      </c>
    </row>
    <row r="6612" spans="1:20" x14ac:dyDescent="0.25">
      <c r="A6612">
        <v>9</v>
      </c>
      <c r="B6612">
        <v>199</v>
      </c>
      <c r="C6612" t="str">
        <f>"34"</f>
        <v>34</v>
      </c>
      <c r="D6612">
        <v>6249</v>
      </c>
      <c r="E6612" t="str">
        <f>"10"</f>
        <v>10</v>
      </c>
      <c r="F6612" t="str">
        <f>"937"</f>
        <v>937</v>
      </c>
      <c r="G6612">
        <v>9</v>
      </c>
      <c r="H6612" t="str">
        <f t="shared" si="1457"/>
        <v>99</v>
      </c>
      <c r="I6612" t="str">
        <f t="shared" si="1450"/>
        <v>0</v>
      </c>
      <c r="J6612" t="str">
        <f>"82"</f>
        <v>82</v>
      </c>
      <c r="K6612">
        <v>20190607</v>
      </c>
      <c r="L6612" t="str">
        <f>"077071"</f>
        <v>077071</v>
      </c>
      <c r="M6612" t="str">
        <f>"28825"</f>
        <v>28825</v>
      </c>
      <c r="N6612" t="s">
        <v>1722</v>
      </c>
      <c r="O6612">
        <v>210.56</v>
      </c>
      <c r="P6612">
        <v>20190605</v>
      </c>
      <c r="Q6612" t="s">
        <v>2036</v>
      </c>
      <c r="R6612" t="s">
        <v>5262</v>
      </c>
      <c r="S6612" t="s">
        <v>1615</v>
      </c>
      <c r="T6612" t="s">
        <v>1810</v>
      </c>
    </row>
    <row r="6613" spans="1:20" x14ac:dyDescent="0.25">
      <c r="A6613">
        <v>9</v>
      </c>
      <c r="B6613">
        <v>199</v>
      </c>
      <c r="C6613" t="str">
        <f t="shared" ref="C6613:C6622" si="1458">"51"</f>
        <v>51</v>
      </c>
      <c r="D6613">
        <v>6319</v>
      </c>
      <c r="E6613" t="str">
        <f t="shared" ref="E6613:E6622" si="1459">"MC"</f>
        <v>MC</v>
      </c>
      <c r="F6613" t="str">
        <f t="shared" ref="F6613:F6622" si="1460">"936"</f>
        <v>936</v>
      </c>
      <c r="G6613">
        <v>9</v>
      </c>
      <c r="H6613" t="str">
        <f t="shared" si="1457"/>
        <v>99</v>
      </c>
      <c r="I6613" t="str">
        <f t="shared" si="1450"/>
        <v>0</v>
      </c>
      <c r="J6613" t="str">
        <f t="shared" ref="J6613:J6622" si="1461">"81"</f>
        <v>81</v>
      </c>
      <c r="K6613">
        <v>20190607</v>
      </c>
      <c r="L6613" t="str">
        <f t="shared" ref="L6613:L6621" si="1462">"077072"</f>
        <v>077072</v>
      </c>
      <c r="M6613" t="str">
        <f t="shared" ref="M6613:M6621" si="1463">"29500"</f>
        <v>29500</v>
      </c>
      <c r="N6613" t="s">
        <v>2059</v>
      </c>
      <c r="O6613">
        <v>128.84</v>
      </c>
      <c r="P6613">
        <v>20190605</v>
      </c>
      <c r="Q6613" t="s">
        <v>2060</v>
      </c>
      <c r="R6613" t="s">
        <v>5263</v>
      </c>
      <c r="S6613" t="s">
        <v>1615</v>
      </c>
      <c r="T6613" t="s">
        <v>1713</v>
      </c>
    </row>
    <row r="6614" spans="1:20" x14ac:dyDescent="0.25">
      <c r="A6614">
        <v>9</v>
      </c>
      <c r="B6614">
        <v>199</v>
      </c>
      <c r="C6614" t="str">
        <f t="shared" si="1458"/>
        <v>51</v>
      </c>
      <c r="D6614">
        <v>6319</v>
      </c>
      <c r="E6614" t="str">
        <f t="shared" si="1459"/>
        <v>MC</v>
      </c>
      <c r="F6614" t="str">
        <f t="shared" si="1460"/>
        <v>936</v>
      </c>
      <c r="G6614">
        <v>9</v>
      </c>
      <c r="H6614" t="str">
        <f t="shared" si="1457"/>
        <v>99</v>
      </c>
      <c r="I6614" t="str">
        <f t="shared" si="1450"/>
        <v>0</v>
      </c>
      <c r="J6614" t="str">
        <f t="shared" si="1461"/>
        <v>81</v>
      </c>
      <c r="K6614">
        <v>20190607</v>
      </c>
      <c r="L6614" t="str">
        <f t="shared" si="1462"/>
        <v>077072</v>
      </c>
      <c r="M6614" t="str">
        <f t="shared" si="1463"/>
        <v>29500</v>
      </c>
      <c r="N6614" t="s">
        <v>2059</v>
      </c>
      <c r="O6614" s="1">
        <v>1620</v>
      </c>
      <c r="P6614">
        <v>20190605</v>
      </c>
      <c r="Q6614" t="s">
        <v>2060</v>
      </c>
      <c r="R6614" t="s">
        <v>5264</v>
      </c>
      <c r="S6614" t="s">
        <v>1615</v>
      </c>
      <c r="T6614" t="s">
        <v>1713</v>
      </c>
    </row>
    <row r="6615" spans="1:20" x14ac:dyDescent="0.25">
      <c r="A6615">
        <v>9</v>
      </c>
      <c r="B6615">
        <v>199</v>
      </c>
      <c r="C6615" t="str">
        <f t="shared" si="1458"/>
        <v>51</v>
      </c>
      <c r="D6615">
        <v>6319</v>
      </c>
      <c r="E6615" t="str">
        <f t="shared" si="1459"/>
        <v>MC</v>
      </c>
      <c r="F6615" t="str">
        <f t="shared" si="1460"/>
        <v>936</v>
      </c>
      <c r="G6615">
        <v>9</v>
      </c>
      <c r="H6615" t="str">
        <f t="shared" si="1457"/>
        <v>99</v>
      </c>
      <c r="I6615" t="str">
        <f t="shared" si="1450"/>
        <v>0</v>
      </c>
      <c r="J6615" t="str">
        <f t="shared" si="1461"/>
        <v>81</v>
      </c>
      <c r="K6615">
        <v>20190607</v>
      </c>
      <c r="L6615" t="str">
        <f t="shared" si="1462"/>
        <v>077072</v>
      </c>
      <c r="M6615" t="str">
        <f t="shared" si="1463"/>
        <v>29500</v>
      </c>
      <c r="N6615" t="s">
        <v>2059</v>
      </c>
      <c r="O6615">
        <v>136</v>
      </c>
      <c r="P6615">
        <v>20190605</v>
      </c>
      <c r="Q6615" t="s">
        <v>2060</v>
      </c>
      <c r="R6615" t="s">
        <v>5265</v>
      </c>
      <c r="S6615" t="s">
        <v>1615</v>
      </c>
      <c r="T6615" t="s">
        <v>1713</v>
      </c>
    </row>
    <row r="6616" spans="1:20" x14ac:dyDescent="0.25">
      <c r="A6616">
        <v>9</v>
      </c>
      <c r="B6616">
        <v>199</v>
      </c>
      <c r="C6616" t="str">
        <f t="shared" si="1458"/>
        <v>51</v>
      </c>
      <c r="D6616">
        <v>6319</v>
      </c>
      <c r="E6616" t="str">
        <f t="shared" si="1459"/>
        <v>MC</v>
      </c>
      <c r="F6616" t="str">
        <f t="shared" si="1460"/>
        <v>936</v>
      </c>
      <c r="G6616">
        <v>9</v>
      </c>
      <c r="H6616" t="str">
        <f t="shared" si="1457"/>
        <v>99</v>
      </c>
      <c r="I6616" t="str">
        <f t="shared" si="1450"/>
        <v>0</v>
      </c>
      <c r="J6616" t="str">
        <f t="shared" si="1461"/>
        <v>81</v>
      </c>
      <c r="K6616">
        <v>20190607</v>
      </c>
      <c r="L6616" t="str">
        <f t="shared" si="1462"/>
        <v>077072</v>
      </c>
      <c r="M6616" t="str">
        <f t="shared" si="1463"/>
        <v>29500</v>
      </c>
      <c r="N6616" t="s">
        <v>2059</v>
      </c>
      <c r="O6616">
        <v>516.67999999999995</v>
      </c>
      <c r="P6616">
        <v>20190605</v>
      </c>
      <c r="Q6616" t="s">
        <v>2060</v>
      </c>
      <c r="R6616" t="s">
        <v>2188</v>
      </c>
      <c r="S6616" t="s">
        <v>1615</v>
      </c>
      <c r="T6616" t="s">
        <v>1713</v>
      </c>
    </row>
    <row r="6617" spans="1:20" x14ac:dyDescent="0.25">
      <c r="A6617">
        <v>9</v>
      </c>
      <c r="B6617">
        <v>199</v>
      </c>
      <c r="C6617" t="str">
        <f t="shared" si="1458"/>
        <v>51</v>
      </c>
      <c r="D6617">
        <v>6319</v>
      </c>
      <c r="E6617" t="str">
        <f t="shared" si="1459"/>
        <v>MC</v>
      </c>
      <c r="F6617" t="str">
        <f t="shared" si="1460"/>
        <v>936</v>
      </c>
      <c r="G6617">
        <v>9</v>
      </c>
      <c r="H6617" t="str">
        <f t="shared" si="1457"/>
        <v>99</v>
      </c>
      <c r="I6617" t="str">
        <f t="shared" si="1450"/>
        <v>0</v>
      </c>
      <c r="J6617" t="str">
        <f t="shared" si="1461"/>
        <v>81</v>
      </c>
      <c r="K6617">
        <v>20190607</v>
      </c>
      <c r="L6617" t="str">
        <f t="shared" si="1462"/>
        <v>077072</v>
      </c>
      <c r="M6617" t="str">
        <f t="shared" si="1463"/>
        <v>29500</v>
      </c>
      <c r="N6617" t="s">
        <v>2059</v>
      </c>
      <c r="O6617" s="1">
        <v>1081.2</v>
      </c>
      <c r="P6617">
        <v>20190605</v>
      </c>
      <c r="Q6617" t="s">
        <v>2060</v>
      </c>
      <c r="R6617" t="s">
        <v>2188</v>
      </c>
      <c r="S6617" t="s">
        <v>1615</v>
      </c>
      <c r="T6617" t="s">
        <v>1713</v>
      </c>
    </row>
    <row r="6618" spans="1:20" x14ac:dyDescent="0.25">
      <c r="A6618">
        <v>9</v>
      </c>
      <c r="B6618">
        <v>199</v>
      </c>
      <c r="C6618" t="str">
        <f t="shared" si="1458"/>
        <v>51</v>
      </c>
      <c r="D6618">
        <v>6319</v>
      </c>
      <c r="E6618" t="str">
        <f t="shared" si="1459"/>
        <v>MC</v>
      </c>
      <c r="F6618" t="str">
        <f t="shared" si="1460"/>
        <v>936</v>
      </c>
      <c r="G6618">
        <v>9</v>
      </c>
      <c r="H6618" t="str">
        <f t="shared" si="1457"/>
        <v>99</v>
      </c>
      <c r="I6618" t="str">
        <f t="shared" si="1450"/>
        <v>0</v>
      </c>
      <c r="J6618" t="str">
        <f t="shared" si="1461"/>
        <v>81</v>
      </c>
      <c r="K6618">
        <v>20190607</v>
      </c>
      <c r="L6618" t="str">
        <f t="shared" si="1462"/>
        <v>077072</v>
      </c>
      <c r="M6618" t="str">
        <f t="shared" si="1463"/>
        <v>29500</v>
      </c>
      <c r="N6618" t="s">
        <v>2059</v>
      </c>
      <c r="O6618">
        <v>980</v>
      </c>
      <c r="P6618">
        <v>20190605</v>
      </c>
      <c r="Q6618" t="s">
        <v>2060</v>
      </c>
      <c r="R6618" t="s">
        <v>5266</v>
      </c>
      <c r="S6618" t="s">
        <v>1615</v>
      </c>
      <c r="T6618" t="s">
        <v>1713</v>
      </c>
    </row>
    <row r="6619" spans="1:20" x14ac:dyDescent="0.25">
      <c r="A6619">
        <v>9</v>
      </c>
      <c r="B6619">
        <v>199</v>
      </c>
      <c r="C6619" t="str">
        <f t="shared" si="1458"/>
        <v>51</v>
      </c>
      <c r="D6619">
        <v>6319</v>
      </c>
      <c r="E6619" t="str">
        <f t="shared" si="1459"/>
        <v>MC</v>
      </c>
      <c r="F6619" t="str">
        <f t="shared" si="1460"/>
        <v>936</v>
      </c>
      <c r="G6619">
        <v>9</v>
      </c>
      <c r="H6619" t="str">
        <f t="shared" si="1457"/>
        <v>99</v>
      </c>
      <c r="I6619" t="str">
        <f t="shared" si="1450"/>
        <v>0</v>
      </c>
      <c r="J6619" t="str">
        <f t="shared" si="1461"/>
        <v>81</v>
      </c>
      <c r="K6619">
        <v>20190607</v>
      </c>
      <c r="L6619" t="str">
        <f t="shared" si="1462"/>
        <v>077072</v>
      </c>
      <c r="M6619" t="str">
        <f t="shared" si="1463"/>
        <v>29500</v>
      </c>
      <c r="N6619" t="s">
        <v>2059</v>
      </c>
      <c r="O6619" s="1">
        <v>1215</v>
      </c>
      <c r="P6619">
        <v>20190605</v>
      </c>
      <c r="Q6619" t="s">
        <v>2060</v>
      </c>
      <c r="R6619" t="s">
        <v>5267</v>
      </c>
      <c r="S6619" t="s">
        <v>1615</v>
      </c>
      <c r="T6619" t="s">
        <v>1713</v>
      </c>
    </row>
    <row r="6620" spans="1:20" x14ac:dyDescent="0.25">
      <c r="A6620">
        <v>9</v>
      </c>
      <c r="B6620">
        <v>199</v>
      </c>
      <c r="C6620" t="str">
        <f t="shared" si="1458"/>
        <v>51</v>
      </c>
      <c r="D6620">
        <v>6319</v>
      </c>
      <c r="E6620" t="str">
        <f t="shared" si="1459"/>
        <v>MC</v>
      </c>
      <c r="F6620" t="str">
        <f t="shared" si="1460"/>
        <v>936</v>
      </c>
      <c r="G6620">
        <v>9</v>
      </c>
      <c r="H6620" t="str">
        <f t="shared" si="1457"/>
        <v>99</v>
      </c>
      <c r="I6620" t="str">
        <f t="shared" si="1450"/>
        <v>0</v>
      </c>
      <c r="J6620" t="str">
        <f t="shared" si="1461"/>
        <v>81</v>
      </c>
      <c r="K6620">
        <v>20190607</v>
      </c>
      <c r="L6620" t="str">
        <f t="shared" si="1462"/>
        <v>077072</v>
      </c>
      <c r="M6620" t="str">
        <f t="shared" si="1463"/>
        <v>29500</v>
      </c>
      <c r="N6620" t="s">
        <v>2059</v>
      </c>
      <c r="O6620">
        <v>154</v>
      </c>
      <c r="P6620">
        <v>20190605</v>
      </c>
      <c r="Q6620" t="s">
        <v>2060</v>
      </c>
      <c r="R6620" t="s">
        <v>5268</v>
      </c>
      <c r="S6620" t="s">
        <v>1615</v>
      </c>
      <c r="T6620" t="s">
        <v>1713</v>
      </c>
    </row>
    <row r="6621" spans="1:20" x14ac:dyDescent="0.25">
      <c r="A6621">
        <v>9</v>
      </c>
      <c r="B6621">
        <v>199</v>
      </c>
      <c r="C6621" t="str">
        <f t="shared" si="1458"/>
        <v>51</v>
      </c>
      <c r="D6621">
        <v>6319</v>
      </c>
      <c r="E6621" t="str">
        <f t="shared" si="1459"/>
        <v>MC</v>
      </c>
      <c r="F6621" t="str">
        <f t="shared" si="1460"/>
        <v>936</v>
      </c>
      <c r="G6621">
        <v>9</v>
      </c>
      <c r="H6621" t="str">
        <f t="shared" si="1457"/>
        <v>99</v>
      </c>
      <c r="I6621" t="str">
        <f t="shared" si="1450"/>
        <v>0</v>
      </c>
      <c r="J6621" t="str">
        <f t="shared" si="1461"/>
        <v>81</v>
      </c>
      <c r="K6621">
        <v>20190607</v>
      </c>
      <c r="L6621" t="str">
        <f t="shared" si="1462"/>
        <v>077072</v>
      </c>
      <c r="M6621" t="str">
        <f t="shared" si="1463"/>
        <v>29500</v>
      </c>
      <c r="N6621" t="s">
        <v>2059</v>
      </c>
      <c r="O6621" s="1">
        <v>1411.6</v>
      </c>
      <c r="P6621">
        <v>20190605</v>
      </c>
      <c r="Q6621" t="s">
        <v>2060</v>
      </c>
      <c r="R6621" t="s">
        <v>2188</v>
      </c>
      <c r="S6621" t="s">
        <v>1615</v>
      </c>
      <c r="T6621" t="s">
        <v>1713</v>
      </c>
    </row>
    <row r="6622" spans="1:20" x14ac:dyDescent="0.25">
      <c r="A6622">
        <v>9</v>
      </c>
      <c r="B6622">
        <v>199</v>
      </c>
      <c r="C6622" t="str">
        <f t="shared" si="1458"/>
        <v>51</v>
      </c>
      <c r="D6622">
        <v>6319</v>
      </c>
      <c r="E6622" t="str">
        <f t="shared" si="1459"/>
        <v>MC</v>
      </c>
      <c r="F6622" t="str">
        <f t="shared" si="1460"/>
        <v>936</v>
      </c>
      <c r="G6622">
        <v>9</v>
      </c>
      <c r="H6622" t="str">
        <f t="shared" si="1457"/>
        <v>99</v>
      </c>
      <c r="I6622" t="str">
        <f t="shared" si="1450"/>
        <v>0</v>
      </c>
      <c r="J6622" t="str">
        <f t="shared" si="1461"/>
        <v>81</v>
      </c>
      <c r="K6622">
        <v>20190607</v>
      </c>
      <c r="L6622" t="str">
        <f>"077073"</f>
        <v>077073</v>
      </c>
      <c r="M6622" t="str">
        <f>"29548"</f>
        <v>29548</v>
      </c>
      <c r="N6622" t="s">
        <v>2064</v>
      </c>
      <c r="O6622">
        <v>272.2</v>
      </c>
      <c r="P6622">
        <v>20190605</v>
      </c>
      <c r="Q6622" t="s">
        <v>2060</v>
      </c>
      <c r="R6622" t="s">
        <v>5269</v>
      </c>
      <c r="S6622" t="s">
        <v>1615</v>
      </c>
      <c r="T6622" t="s">
        <v>1713</v>
      </c>
    </row>
    <row r="6623" spans="1:20" x14ac:dyDescent="0.25">
      <c r="A6623">
        <v>9</v>
      </c>
      <c r="B6623">
        <v>199</v>
      </c>
      <c r="C6623" t="str">
        <f>"34"</f>
        <v>34</v>
      </c>
      <c r="D6623">
        <v>6249</v>
      </c>
      <c r="E6623" t="str">
        <f>"10"</f>
        <v>10</v>
      </c>
      <c r="F6623" t="str">
        <f>"937"</f>
        <v>937</v>
      </c>
      <c r="G6623">
        <v>9</v>
      </c>
      <c r="H6623" t="str">
        <f t="shared" si="1457"/>
        <v>99</v>
      </c>
      <c r="I6623" t="str">
        <f t="shared" si="1450"/>
        <v>0</v>
      </c>
      <c r="J6623" t="str">
        <f>"82"</f>
        <v>82</v>
      </c>
      <c r="K6623">
        <v>20190607</v>
      </c>
      <c r="L6623" t="str">
        <f>"077074"</f>
        <v>077074</v>
      </c>
      <c r="M6623" t="str">
        <f>"30130"</f>
        <v>30130</v>
      </c>
      <c r="N6623" t="s">
        <v>3025</v>
      </c>
      <c r="O6623">
        <v>733.67</v>
      </c>
      <c r="P6623">
        <v>20190605</v>
      </c>
      <c r="Q6623" t="s">
        <v>2036</v>
      </c>
      <c r="R6623" t="s">
        <v>5270</v>
      </c>
      <c r="S6623" t="s">
        <v>1615</v>
      </c>
      <c r="T6623" t="s">
        <v>1810</v>
      </c>
    </row>
    <row r="6624" spans="1:20" x14ac:dyDescent="0.25">
      <c r="A6624">
        <v>9</v>
      </c>
      <c r="B6624">
        <v>199</v>
      </c>
      <c r="C6624" t="str">
        <f>"34"</f>
        <v>34</v>
      </c>
      <c r="D6624">
        <v>6249</v>
      </c>
      <c r="E6624" t="str">
        <f>"10"</f>
        <v>10</v>
      </c>
      <c r="F6624" t="str">
        <f>"937"</f>
        <v>937</v>
      </c>
      <c r="G6624">
        <v>9</v>
      </c>
      <c r="H6624" t="str">
        <f t="shared" si="1457"/>
        <v>99</v>
      </c>
      <c r="I6624" t="str">
        <f t="shared" si="1450"/>
        <v>0</v>
      </c>
      <c r="J6624" t="str">
        <f>"82"</f>
        <v>82</v>
      </c>
      <c r="K6624">
        <v>20190607</v>
      </c>
      <c r="L6624" t="str">
        <f>"077074"</f>
        <v>077074</v>
      </c>
      <c r="M6624" t="str">
        <f>"30130"</f>
        <v>30130</v>
      </c>
      <c r="N6624" t="s">
        <v>3025</v>
      </c>
      <c r="O6624" s="1">
        <v>2651.51</v>
      </c>
      <c r="P6624">
        <v>20190605</v>
      </c>
      <c r="Q6624" t="s">
        <v>2036</v>
      </c>
      <c r="R6624" t="s">
        <v>5271</v>
      </c>
      <c r="S6624" t="s">
        <v>1615</v>
      </c>
      <c r="T6624" t="s">
        <v>1810</v>
      </c>
    </row>
    <row r="6625" spans="1:20" x14ac:dyDescent="0.25">
      <c r="A6625">
        <v>9</v>
      </c>
      <c r="B6625">
        <v>199</v>
      </c>
      <c r="C6625" t="str">
        <f>"11"</f>
        <v>11</v>
      </c>
      <c r="D6625">
        <v>6269</v>
      </c>
      <c r="E6625" t="str">
        <f>"7B"</f>
        <v>7B</v>
      </c>
      <c r="F6625" t="str">
        <f>"001"</f>
        <v>001</v>
      </c>
      <c r="G6625">
        <v>9</v>
      </c>
      <c r="H6625" t="str">
        <f>"11"</f>
        <v>11</v>
      </c>
      <c r="I6625" t="str">
        <f t="shared" si="1450"/>
        <v>0</v>
      </c>
      <c r="J6625" t="str">
        <f>"32"</f>
        <v>32</v>
      </c>
      <c r="K6625">
        <v>20190607</v>
      </c>
      <c r="L6625" t="str">
        <f>"077075"</f>
        <v>077075</v>
      </c>
      <c r="M6625" t="str">
        <f>"30744"</f>
        <v>30744</v>
      </c>
      <c r="N6625" t="s">
        <v>422</v>
      </c>
      <c r="O6625">
        <v>26.29</v>
      </c>
      <c r="P6625">
        <v>20190605</v>
      </c>
      <c r="Q6625" t="s">
        <v>5187</v>
      </c>
      <c r="R6625" t="s">
        <v>3498</v>
      </c>
      <c r="S6625" t="s">
        <v>1615</v>
      </c>
      <c r="T6625" t="s">
        <v>301</v>
      </c>
    </row>
    <row r="6626" spans="1:20" x14ac:dyDescent="0.25">
      <c r="A6626">
        <v>9</v>
      </c>
      <c r="B6626">
        <v>199</v>
      </c>
      <c r="C6626" t="str">
        <f>"13"</f>
        <v>13</v>
      </c>
      <c r="D6626">
        <v>6411</v>
      </c>
      <c r="E6626" t="str">
        <f>"VB"</f>
        <v>VB</v>
      </c>
      <c r="F6626" t="str">
        <f>"001"</f>
        <v>001</v>
      </c>
      <c r="G6626">
        <v>9</v>
      </c>
      <c r="H6626" t="str">
        <f>"22"</f>
        <v>22</v>
      </c>
      <c r="I6626" t="str">
        <f t="shared" si="1450"/>
        <v>0</v>
      </c>
      <c r="J6626" t="str">
        <f>"22"</f>
        <v>22</v>
      </c>
      <c r="K6626">
        <v>20190607</v>
      </c>
      <c r="L6626" t="str">
        <f>"077075"</f>
        <v>077075</v>
      </c>
      <c r="M6626" t="str">
        <f>"30744"</f>
        <v>30744</v>
      </c>
      <c r="N6626" t="s">
        <v>422</v>
      </c>
      <c r="O6626">
        <v>24.74</v>
      </c>
      <c r="P6626">
        <v>20190605</v>
      </c>
      <c r="Q6626" t="s">
        <v>3135</v>
      </c>
      <c r="R6626" t="s">
        <v>4755</v>
      </c>
      <c r="S6626" t="s">
        <v>1615</v>
      </c>
      <c r="T6626" t="s">
        <v>301</v>
      </c>
    </row>
    <row r="6627" spans="1:20" x14ac:dyDescent="0.25">
      <c r="A6627">
        <v>9</v>
      </c>
      <c r="B6627">
        <v>199</v>
      </c>
      <c r="C6627" t="str">
        <f>"23"</f>
        <v>23</v>
      </c>
      <c r="D6627">
        <v>6411</v>
      </c>
      <c r="E6627" t="str">
        <f>"10"</f>
        <v>10</v>
      </c>
      <c r="F6627" t="str">
        <f>"001"</f>
        <v>001</v>
      </c>
      <c r="G6627">
        <v>9</v>
      </c>
      <c r="H6627" t="str">
        <f>"99"</f>
        <v>99</v>
      </c>
      <c r="I6627" t="str">
        <f>"1"</f>
        <v>1</v>
      </c>
      <c r="J6627" t="str">
        <f>"01"</f>
        <v>01</v>
      </c>
      <c r="K6627">
        <v>20190607</v>
      </c>
      <c r="L6627" t="str">
        <f>"077076"</f>
        <v>077076</v>
      </c>
      <c r="M6627" t="str">
        <f>"31501"</f>
        <v>31501</v>
      </c>
      <c r="N6627" t="s">
        <v>5272</v>
      </c>
      <c r="O6627">
        <v>88.64</v>
      </c>
      <c r="P6627">
        <v>20190605</v>
      </c>
      <c r="Q6627" t="s">
        <v>2464</v>
      </c>
      <c r="R6627" t="s">
        <v>5273</v>
      </c>
      <c r="S6627" t="s">
        <v>1615</v>
      </c>
      <c r="T6627" t="s">
        <v>301</v>
      </c>
    </row>
    <row r="6628" spans="1:20" x14ac:dyDescent="0.25">
      <c r="A6628">
        <v>9</v>
      </c>
      <c r="B6628">
        <v>199</v>
      </c>
      <c r="C6628" t="str">
        <f>"36"</f>
        <v>36</v>
      </c>
      <c r="D6628">
        <v>6412</v>
      </c>
      <c r="E6628" t="str">
        <f>"03"</f>
        <v>03</v>
      </c>
      <c r="F6628" t="str">
        <f>"104"</f>
        <v>104</v>
      </c>
      <c r="G6628">
        <v>9</v>
      </c>
      <c r="H6628" t="str">
        <f>"99"</f>
        <v>99</v>
      </c>
      <c r="I6628" t="str">
        <f t="shared" ref="I6628:I6663" si="1464">"0"</f>
        <v>0</v>
      </c>
      <c r="J6628" t="str">
        <f>"05"</f>
        <v>05</v>
      </c>
      <c r="K6628">
        <v>20190607</v>
      </c>
      <c r="L6628" t="str">
        <f>"077077"</f>
        <v>077077</v>
      </c>
      <c r="M6628" t="str">
        <f>"34949"</f>
        <v>34949</v>
      </c>
      <c r="N6628" t="s">
        <v>423</v>
      </c>
      <c r="O6628">
        <v>842.89</v>
      </c>
      <c r="P6628">
        <v>20190605</v>
      </c>
      <c r="Q6628" t="s">
        <v>4274</v>
      </c>
      <c r="R6628" t="s">
        <v>5274</v>
      </c>
      <c r="S6628" t="s">
        <v>1615</v>
      </c>
      <c r="T6628" t="s">
        <v>46</v>
      </c>
    </row>
    <row r="6629" spans="1:20" x14ac:dyDescent="0.25">
      <c r="A6629">
        <v>9</v>
      </c>
      <c r="B6629">
        <v>199</v>
      </c>
      <c r="C6629" t="str">
        <f>"36"</f>
        <v>36</v>
      </c>
      <c r="D6629">
        <v>6412</v>
      </c>
      <c r="E6629" t="str">
        <f>"09"</f>
        <v>09</v>
      </c>
      <c r="F6629" t="str">
        <f>"041"</f>
        <v>041</v>
      </c>
      <c r="G6629">
        <v>9</v>
      </c>
      <c r="H6629" t="str">
        <f>"99"</f>
        <v>99</v>
      </c>
      <c r="I6629" t="str">
        <f t="shared" si="1464"/>
        <v>0</v>
      </c>
      <c r="J6629" t="str">
        <f>"03"</f>
        <v>03</v>
      </c>
      <c r="K6629">
        <v>20190607</v>
      </c>
      <c r="L6629" t="str">
        <f>"077077"</f>
        <v>077077</v>
      </c>
      <c r="M6629" t="str">
        <f>"34949"</f>
        <v>34949</v>
      </c>
      <c r="N6629" t="s">
        <v>423</v>
      </c>
      <c r="O6629">
        <v>670.87</v>
      </c>
      <c r="P6629">
        <v>20190605</v>
      </c>
      <c r="Q6629" t="s">
        <v>3945</v>
      </c>
      <c r="R6629" t="s">
        <v>5274</v>
      </c>
      <c r="S6629" t="s">
        <v>1615</v>
      </c>
      <c r="T6629" t="s">
        <v>106</v>
      </c>
    </row>
    <row r="6630" spans="1:20" x14ac:dyDescent="0.25">
      <c r="A6630">
        <v>9</v>
      </c>
      <c r="B6630">
        <v>199</v>
      </c>
      <c r="C6630" t="str">
        <f>"36"</f>
        <v>36</v>
      </c>
      <c r="D6630">
        <v>6495</v>
      </c>
      <c r="E6630" t="str">
        <f>"09"</f>
        <v>09</v>
      </c>
      <c r="F6630" t="str">
        <f>"101"</f>
        <v>101</v>
      </c>
      <c r="G6630">
        <v>9</v>
      </c>
      <c r="H6630" t="str">
        <f>"99"</f>
        <v>99</v>
      </c>
      <c r="I6630" t="str">
        <f t="shared" si="1464"/>
        <v>0</v>
      </c>
      <c r="J6630" t="str">
        <f>"04"</f>
        <v>04</v>
      </c>
      <c r="K6630">
        <v>20190607</v>
      </c>
      <c r="L6630" t="str">
        <f>"077077"</f>
        <v>077077</v>
      </c>
      <c r="M6630" t="str">
        <f>"34949"</f>
        <v>34949</v>
      </c>
      <c r="N6630" t="s">
        <v>423</v>
      </c>
      <c r="O6630">
        <v>206.42</v>
      </c>
      <c r="P6630">
        <v>20190605</v>
      </c>
      <c r="Q6630" t="s">
        <v>5275</v>
      </c>
      <c r="R6630" t="s">
        <v>5274</v>
      </c>
      <c r="S6630" t="s">
        <v>1615</v>
      </c>
      <c r="T6630" t="s">
        <v>1479</v>
      </c>
    </row>
    <row r="6631" spans="1:20" x14ac:dyDescent="0.25">
      <c r="A6631">
        <v>9</v>
      </c>
      <c r="B6631">
        <v>199</v>
      </c>
      <c r="C6631" t="str">
        <f t="shared" ref="C6631:C6639" si="1465">"11"</f>
        <v>11</v>
      </c>
      <c r="D6631">
        <v>6299</v>
      </c>
      <c r="E6631" t="str">
        <f>"7E"</f>
        <v>7E</v>
      </c>
      <c r="F6631" t="str">
        <f>"041"</f>
        <v>041</v>
      </c>
      <c r="G6631">
        <v>9</v>
      </c>
      <c r="H6631" t="str">
        <f>"11"</f>
        <v>11</v>
      </c>
      <c r="I6631" t="str">
        <f t="shared" si="1464"/>
        <v>0</v>
      </c>
      <c r="J6631" t="str">
        <f>"35"</f>
        <v>35</v>
      </c>
      <c r="K6631">
        <v>20190607</v>
      </c>
      <c r="L6631" t="str">
        <f>"077078"</f>
        <v>077078</v>
      </c>
      <c r="M6631" t="str">
        <f>"37570"</f>
        <v>37570</v>
      </c>
      <c r="N6631" t="s">
        <v>2876</v>
      </c>
      <c r="O6631">
        <v>160</v>
      </c>
      <c r="P6631">
        <v>20190605</v>
      </c>
      <c r="Q6631" t="s">
        <v>2877</v>
      </c>
      <c r="R6631" t="s">
        <v>5276</v>
      </c>
      <c r="S6631" t="s">
        <v>1615</v>
      </c>
      <c r="T6631" t="s">
        <v>106</v>
      </c>
    </row>
    <row r="6632" spans="1:20" x14ac:dyDescent="0.25">
      <c r="A6632">
        <v>9</v>
      </c>
      <c r="B6632">
        <v>199</v>
      </c>
      <c r="C6632" t="str">
        <f t="shared" si="1465"/>
        <v>11</v>
      </c>
      <c r="D6632">
        <v>6399</v>
      </c>
      <c r="E6632" t="str">
        <f>"00"</f>
        <v>00</v>
      </c>
      <c r="F6632" t="str">
        <f>"041"</f>
        <v>041</v>
      </c>
      <c r="G6632">
        <v>9</v>
      </c>
      <c r="H6632" t="str">
        <f>"23"</f>
        <v>23</v>
      </c>
      <c r="I6632" t="str">
        <f t="shared" si="1464"/>
        <v>0</v>
      </c>
      <c r="J6632" t="str">
        <f>"23"</f>
        <v>23</v>
      </c>
      <c r="K6632">
        <v>20190607</v>
      </c>
      <c r="L6632" t="str">
        <f t="shared" ref="L6632:L6650" si="1466">"077079"</f>
        <v>077079</v>
      </c>
      <c r="M6632" t="str">
        <f t="shared" ref="M6632:M6650" si="1467">"37500"</f>
        <v>37500</v>
      </c>
      <c r="N6632" t="s">
        <v>2077</v>
      </c>
      <c r="O6632">
        <v>23.04</v>
      </c>
      <c r="P6632">
        <v>20190606</v>
      </c>
      <c r="Q6632" t="s">
        <v>4116</v>
      </c>
      <c r="R6632" t="s">
        <v>5277</v>
      </c>
      <c r="S6632" t="s">
        <v>1615</v>
      </c>
      <c r="T6632" t="s">
        <v>106</v>
      </c>
    </row>
    <row r="6633" spans="1:20" x14ac:dyDescent="0.25">
      <c r="A6633">
        <v>9</v>
      </c>
      <c r="B6633">
        <v>199</v>
      </c>
      <c r="C6633" t="str">
        <f t="shared" si="1465"/>
        <v>11</v>
      </c>
      <c r="D6633">
        <v>6399</v>
      </c>
      <c r="E6633" t="str">
        <f>"00"</f>
        <v>00</v>
      </c>
      <c r="F6633" t="str">
        <f>"101"</f>
        <v>101</v>
      </c>
      <c r="G6633">
        <v>9</v>
      </c>
      <c r="H6633" t="str">
        <f>"23"</f>
        <v>23</v>
      </c>
      <c r="I6633" t="str">
        <f t="shared" si="1464"/>
        <v>0</v>
      </c>
      <c r="J6633" t="str">
        <f>"23"</f>
        <v>23</v>
      </c>
      <c r="K6633">
        <v>20190607</v>
      </c>
      <c r="L6633" t="str">
        <f t="shared" si="1466"/>
        <v>077079</v>
      </c>
      <c r="M6633" t="str">
        <f t="shared" si="1467"/>
        <v>37500</v>
      </c>
      <c r="N6633" t="s">
        <v>2077</v>
      </c>
      <c r="O6633">
        <v>23.05</v>
      </c>
      <c r="P6633">
        <v>20190606</v>
      </c>
      <c r="Q6633" t="s">
        <v>2078</v>
      </c>
      <c r="R6633" t="s">
        <v>5277</v>
      </c>
      <c r="S6633" t="s">
        <v>1615</v>
      </c>
      <c r="T6633" t="s">
        <v>1479</v>
      </c>
    </row>
    <row r="6634" spans="1:20" x14ac:dyDescent="0.25">
      <c r="A6634">
        <v>9</v>
      </c>
      <c r="B6634">
        <v>199</v>
      </c>
      <c r="C6634" t="str">
        <f t="shared" si="1465"/>
        <v>11</v>
      </c>
      <c r="D6634">
        <v>6399</v>
      </c>
      <c r="E6634" t="str">
        <f>"00"</f>
        <v>00</v>
      </c>
      <c r="F6634" t="str">
        <f>"104"</f>
        <v>104</v>
      </c>
      <c r="G6634">
        <v>9</v>
      </c>
      <c r="H6634" t="str">
        <f>"23"</f>
        <v>23</v>
      </c>
      <c r="I6634" t="str">
        <f t="shared" si="1464"/>
        <v>0</v>
      </c>
      <c r="J6634" t="str">
        <f>"23"</f>
        <v>23</v>
      </c>
      <c r="K6634">
        <v>20190607</v>
      </c>
      <c r="L6634" t="str">
        <f t="shared" si="1466"/>
        <v>077079</v>
      </c>
      <c r="M6634" t="str">
        <f t="shared" si="1467"/>
        <v>37500</v>
      </c>
      <c r="N6634" t="s">
        <v>2077</v>
      </c>
      <c r="O6634">
        <v>23.05</v>
      </c>
      <c r="P6634">
        <v>20190606</v>
      </c>
      <c r="Q6634" t="s">
        <v>4318</v>
      </c>
      <c r="R6634" t="s">
        <v>5277</v>
      </c>
      <c r="S6634" t="s">
        <v>1615</v>
      </c>
      <c r="T6634" t="s">
        <v>46</v>
      </c>
    </row>
    <row r="6635" spans="1:20" x14ac:dyDescent="0.25">
      <c r="A6635">
        <v>9</v>
      </c>
      <c r="B6635">
        <v>199</v>
      </c>
      <c r="C6635" t="str">
        <f t="shared" si="1465"/>
        <v>11</v>
      </c>
      <c r="D6635">
        <v>6399</v>
      </c>
      <c r="E6635" t="str">
        <f>"V8"</f>
        <v>V8</v>
      </c>
      <c r="F6635" t="str">
        <f>"041"</f>
        <v>041</v>
      </c>
      <c r="G6635">
        <v>9</v>
      </c>
      <c r="H6635" t="str">
        <f>"11"</f>
        <v>11</v>
      </c>
      <c r="I6635" t="str">
        <f t="shared" si="1464"/>
        <v>0</v>
      </c>
      <c r="J6635" t="str">
        <f>"03"</f>
        <v>03</v>
      </c>
      <c r="K6635">
        <v>20190607</v>
      </c>
      <c r="L6635" t="str">
        <f t="shared" si="1466"/>
        <v>077079</v>
      </c>
      <c r="M6635" t="str">
        <f t="shared" si="1467"/>
        <v>37500</v>
      </c>
      <c r="N6635" t="s">
        <v>2077</v>
      </c>
      <c r="O6635">
        <v>66.459999999999994</v>
      </c>
      <c r="P6635">
        <v>20190605</v>
      </c>
      <c r="Q6635" t="s">
        <v>3721</v>
      </c>
      <c r="R6635" t="s">
        <v>2443</v>
      </c>
      <c r="S6635" t="s">
        <v>1615</v>
      </c>
      <c r="T6635" t="s">
        <v>106</v>
      </c>
    </row>
    <row r="6636" spans="1:20" x14ac:dyDescent="0.25">
      <c r="A6636">
        <v>9</v>
      </c>
      <c r="B6636">
        <v>199</v>
      </c>
      <c r="C6636" t="str">
        <f t="shared" si="1465"/>
        <v>11</v>
      </c>
      <c r="D6636">
        <v>6498</v>
      </c>
      <c r="E6636" t="str">
        <f>"V1"</f>
        <v>V1</v>
      </c>
      <c r="F6636" t="str">
        <f>"001"</f>
        <v>001</v>
      </c>
      <c r="G6636">
        <v>9</v>
      </c>
      <c r="H6636" t="str">
        <f>"22"</f>
        <v>22</v>
      </c>
      <c r="I6636" t="str">
        <f t="shared" si="1464"/>
        <v>0</v>
      </c>
      <c r="J6636" t="str">
        <f>"22"</f>
        <v>22</v>
      </c>
      <c r="K6636">
        <v>20190607</v>
      </c>
      <c r="L6636" t="str">
        <f t="shared" si="1466"/>
        <v>077079</v>
      </c>
      <c r="M6636" t="str">
        <f t="shared" si="1467"/>
        <v>37500</v>
      </c>
      <c r="N6636" t="s">
        <v>2077</v>
      </c>
      <c r="O6636">
        <v>73.459999999999994</v>
      </c>
      <c r="P6636">
        <v>20190605</v>
      </c>
      <c r="Q6636" t="s">
        <v>3153</v>
      </c>
      <c r="R6636" t="s">
        <v>5278</v>
      </c>
      <c r="S6636" t="s">
        <v>1615</v>
      </c>
      <c r="T6636" t="s">
        <v>301</v>
      </c>
    </row>
    <row r="6637" spans="1:20" x14ac:dyDescent="0.25">
      <c r="A6637">
        <v>9</v>
      </c>
      <c r="B6637">
        <v>199</v>
      </c>
      <c r="C6637" t="str">
        <f t="shared" si="1465"/>
        <v>11</v>
      </c>
      <c r="D6637">
        <v>6498</v>
      </c>
      <c r="E6637" t="str">
        <f>"V1"</f>
        <v>V1</v>
      </c>
      <c r="F6637" t="str">
        <f>"001"</f>
        <v>001</v>
      </c>
      <c r="G6637">
        <v>9</v>
      </c>
      <c r="H6637" t="str">
        <f>"22"</f>
        <v>22</v>
      </c>
      <c r="I6637" t="str">
        <f t="shared" si="1464"/>
        <v>0</v>
      </c>
      <c r="J6637" t="str">
        <f>"22"</f>
        <v>22</v>
      </c>
      <c r="K6637">
        <v>20190607</v>
      </c>
      <c r="L6637" t="str">
        <f t="shared" si="1466"/>
        <v>077079</v>
      </c>
      <c r="M6637" t="str">
        <f t="shared" si="1467"/>
        <v>37500</v>
      </c>
      <c r="N6637" t="s">
        <v>2077</v>
      </c>
      <c r="O6637">
        <v>40.19</v>
      </c>
      <c r="P6637">
        <v>20190605</v>
      </c>
      <c r="Q6637" t="s">
        <v>3153</v>
      </c>
      <c r="R6637" t="s">
        <v>5278</v>
      </c>
      <c r="S6637" t="s">
        <v>1615</v>
      </c>
      <c r="T6637" t="s">
        <v>301</v>
      </c>
    </row>
    <row r="6638" spans="1:20" x14ac:dyDescent="0.25">
      <c r="A6638">
        <v>9</v>
      </c>
      <c r="B6638">
        <v>199</v>
      </c>
      <c r="C6638" t="str">
        <f t="shared" si="1465"/>
        <v>11</v>
      </c>
      <c r="D6638">
        <v>6499</v>
      </c>
      <c r="E6638" t="str">
        <f>"11"</f>
        <v>11</v>
      </c>
      <c r="F6638" t="str">
        <f>"001"</f>
        <v>001</v>
      </c>
      <c r="G6638">
        <v>9</v>
      </c>
      <c r="H6638" t="str">
        <f>"11"</f>
        <v>11</v>
      </c>
      <c r="I6638" t="str">
        <f t="shared" si="1464"/>
        <v>0</v>
      </c>
      <c r="J6638" t="str">
        <f>"01"</f>
        <v>01</v>
      </c>
      <c r="K6638">
        <v>20190607</v>
      </c>
      <c r="L6638" t="str">
        <f t="shared" si="1466"/>
        <v>077079</v>
      </c>
      <c r="M6638" t="str">
        <f t="shared" si="1467"/>
        <v>37500</v>
      </c>
      <c r="N6638" t="s">
        <v>2077</v>
      </c>
      <c r="O6638">
        <v>835</v>
      </c>
      <c r="P6638">
        <v>20190605</v>
      </c>
      <c r="Q6638" t="s">
        <v>3155</v>
      </c>
      <c r="R6638" t="s">
        <v>4518</v>
      </c>
      <c r="S6638" t="s">
        <v>1615</v>
      </c>
      <c r="T6638" t="s">
        <v>301</v>
      </c>
    </row>
    <row r="6639" spans="1:20" x14ac:dyDescent="0.25">
      <c r="A6639">
        <v>9</v>
      </c>
      <c r="B6639">
        <v>199</v>
      </c>
      <c r="C6639" t="str">
        <f t="shared" si="1465"/>
        <v>11</v>
      </c>
      <c r="D6639">
        <v>6499</v>
      </c>
      <c r="E6639" t="str">
        <f>"11"</f>
        <v>11</v>
      </c>
      <c r="F6639" t="str">
        <f>"001"</f>
        <v>001</v>
      </c>
      <c r="G6639">
        <v>9</v>
      </c>
      <c r="H6639" t="str">
        <f>"11"</f>
        <v>11</v>
      </c>
      <c r="I6639" t="str">
        <f t="shared" si="1464"/>
        <v>0</v>
      </c>
      <c r="J6639" t="str">
        <f>"01"</f>
        <v>01</v>
      </c>
      <c r="K6639">
        <v>20190607</v>
      </c>
      <c r="L6639" t="str">
        <f t="shared" si="1466"/>
        <v>077079</v>
      </c>
      <c r="M6639" t="str">
        <f t="shared" si="1467"/>
        <v>37500</v>
      </c>
      <c r="N6639" t="s">
        <v>2077</v>
      </c>
      <c r="O6639">
        <v>190</v>
      </c>
      <c r="P6639">
        <v>20190605</v>
      </c>
      <c r="Q6639" t="s">
        <v>3155</v>
      </c>
      <c r="R6639" t="s">
        <v>4518</v>
      </c>
      <c r="S6639" t="s">
        <v>1615</v>
      </c>
      <c r="T6639" t="s">
        <v>301</v>
      </c>
    </row>
    <row r="6640" spans="1:20" x14ac:dyDescent="0.25">
      <c r="A6640">
        <v>9</v>
      </c>
      <c r="B6640">
        <v>199</v>
      </c>
      <c r="C6640" t="str">
        <f t="shared" ref="C6640:C6646" si="1468">"23"</f>
        <v>23</v>
      </c>
      <c r="D6640">
        <v>6498</v>
      </c>
      <c r="E6640" t="str">
        <f>"10"</f>
        <v>10</v>
      </c>
      <c r="F6640" t="str">
        <f>"104"</f>
        <v>104</v>
      </c>
      <c r="G6640">
        <v>9</v>
      </c>
      <c r="H6640" t="str">
        <f t="shared" ref="H6640:H6660" si="1469">"99"</f>
        <v>99</v>
      </c>
      <c r="I6640" t="str">
        <f t="shared" si="1464"/>
        <v>0</v>
      </c>
      <c r="J6640" t="str">
        <f>"05"</f>
        <v>05</v>
      </c>
      <c r="K6640">
        <v>20190607</v>
      </c>
      <c r="L6640" t="str">
        <f t="shared" si="1466"/>
        <v>077079</v>
      </c>
      <c r="M6640" t="str">
        <f t="shared" si="1467"/>
        <v>37500</v>
      </c>
      <c r="N6640" t="s">
        <v>2077</v>
      </c>
      <c r="O6640">
        <v>46.07</v>
      </c>
      <c r="P6640">
        <v>20190605</v>
      </c>
      <c r="Q6640" t="s">
        <v>2402</v>
      </c>
      <c r="R6640" t="s">
        <v>5279</v>
      </c>
      <c r="S6640" t="s">
        <v>1615</v>
      </c>
      <c r="T6640" t="s">
        <v>46</v>
      </c>
    </row>
    <row r="6641" spans="1:20" x14ac:dyDescent="0.25">
      <c r="A6641">
        <v>9</v>
      </c>
      <c r="B6641">
        <v>199</v>
      </c>
      <c r="C6641" t="str">
        <f t="shared" si="1468"/>
        <v>23</v>
      </c>
      <c r="D6641">
        <v>6498</v>
      </c>
      <c r="E6641" t="str">
        <f>"10"</f>
        <v>10</v>
      </c>
      <c r="F6641" t="str">
        <f>"104"</f>
        <v>104</v>
      </c>
      <c r="G6641">
        <v>9</v>
      </c>
      <c r="H6641" t="str">
        <f t="shared" si="1469"/>
        <v>99</v>
      </c>
      <c r="I6641" t="str">
        <f t="shared" si="1464"/>
        <v>0</v>
      </c>
      <c r="J6641" t="str">
        <f>"05"</f>
        <v>05</v>
      </c>
      <c r="K6641">
        <v>20190607</v>
      </c>
      <c r="L6641" t="str">
        <f t="shared" si="1466"/>
        <v>077079</v>
      </c>
      <c r="M6641" t="str">
        <f t="shared" si="1467"/>
        <v>37500</v>
      </c>
      <c r="N6641" t="s">
        <v>2077</v>
      </c>
      <c r="O6641">
        <v>34.64</v>
      </c>
      <c r="P6641">
        <v>20190605</v>
      </c>
      <c r="Q6641" t="s">
        <v>2402</v>
      </c>
      <c r="R6641" t="s">
        <v>5279</v>
      </c>
      <c r="S6641" t="s">
        <v>1615</v>
      </c>
      <c r="T6641" t="s">
        <v>46</v>
      </c>
    </row>
    <row r="6642" spans="1:20" x14ac:dyDescent="0.25">
      <c r="A6642">
        <v>9</v>
      </c>
      <c r="B6642">
        <v>199</v>
      </c>
      <c r="C6642" t="str">
        <f t="shared" si="1468"/>
        <v>23</v>
      </c>
      <c r="D6642">
        <v>6498</v>
      </c>
      <c r="E6642" t="str">
        <f>"99"</f>
        <v>99</v>
      </c>
      <c r="F6642" t="str">
        <f>"041"</f>
        <v>041</v>
      </c>
      <c r="G6642">
        <v>9</v>
      </c>
      <c r="H6642" t="str">
        <f t="shared" si="1469"/>
        <v>99</v>
      </c>
      <c r="I6642" t="str">
        <f t="shared" si="1464"/>
        <v>0</v>
      </c>
      <c r="J6642" t="str">
        <f>"03"</f>
        <v>03</v>
      </c>
      <c r="K6642">
        <v>20190607</v>
      </c>
      <c r="L6642" t="str">
        <f t="shared" si="1466"/>
        <v>077079</v>
      </c>
      <c r="M6642" t="str">
        <f t="shared" si="1467"/>
        <v>37500</v>
      </c>
      <c r="N6642" t="s">
        <v>2077</v>
      </c>
      <c r="O6642">
        <v>35.54</v>
      </c>
      <c r="P6642">
        <v>20190605</v>
      </c>
      <c r="Q6642" t="s">
        <v>2140</v>
      </c>
      <c r="R6642" t="s">
        <v>2793</v>
      </c>
      <c r="S6642" t="s">
        <v>1615</v>
      </c>
      <c r="T6642" t="s">
        <v>106</v>
      </c>
    </row>
    <row r="6643" spans="1:20" x14ac:dyDescent="0.25">
      <c r="A6643">
        <v>9</v>
      </c>
      <c r="B6643">
        <v>199</v>
      </c>
      <c r="C6643" t="str">
        <f t="shared" si="1468"/>
        <v>23</v>
      </c>
      <c r="D6643">
        <v>6498</v>
      </c>
      <c r="E6643" t="str">
        <f>"99"</f>
        <v>99</v>
      </c>
      <c r="F6643" t="str">
        <f>"041"</f>
        <v>041</v>
      </c>
      <c r="G6643">
        <v>9</v>
      </c>
      <c r="H6643" t="str">
        <f t="shared" si="1469"/>
        <v>99</v>
      </c>
      <c r="I6643" t="str">
        <f t="shared" si="1464"/>
        <v>0</v>
      </c>
      <c r="J6643" t="str">
        <f>"03"</f>
        <v>03</v>
      </c>
      <c r="K6643">
        <v>20190607</v>
      </c>
      <c r="L6643" t="str">
        <f t="shared" si="1466"/>
        <v>077079</v>
      </c>
      <c r="M6643" t="str">
        <f t="shared" si="1467"/>
        <v>37500</v>
      </c>
      <c r="N6643" t="s">
        <v>2077</v>
      </c>
      <c r="O6643">
        <v>290.48</v>
      </c>
      <c r="P6643">
        <v>20190605</v>
      </c>
      <c r="Q6643" t="s">
        <v>2140</v>
      </c>
      <c r="R6643" t="s">
        <v>5279</v>
      </c>
      <c r="S6643" t="s">
        <v>1615</v>
      </c>
      <c r="T6643" t="s">
        <v>106</v>
      </c>
    </row>
    <row r="6644" spans="1:20" x14ac:dyDescent="0.25">
      <c r="A6644">
        <v>9</v>
      </c>
      <c r="B6644">
        <v>199</v>
      </c>
      <c r="C6644" t="str">
        <f t="shared" si="1468"/>
        <v>23</v>
      </c>
      <c r="D6644">
        <v>6498</v>
      </c>
      <c r="E6644" t="str">
        <f>"99"</f>
        <v>99</v>
      </c>
      <c r="F6644" t="str">
        <f>"041"</f>
        <v>041</v>
      </c>
      <c r="G6644">
        <v>9</v>
      </c>
      <c r="H6644" t="str">
        <f t="shared" si="1469"/>
        <v>99</v>
      </c>
      <c r="I6644" t="str">
        <f t="shared" si="1464"/>
        <v>0</v>
      </c>
      <c r="J6644" t="str">
        <f>"03"</f>
        <v>03</v>
      </c>
      <c r="K6644">
        <v>20190607</v>
      </c>
      <c r="L6644" t="str">
        <f t="shared" si="1466"/>
        <v>077079</v>
      </c>
      <c r="M6644" t="str">
        <f t="shared" si="1467"/>
        <v>37500</v>
      </c>
      <c r="N6644" t="s">
        <v>2077</v>
      </c>
      <c r="O6644">
        <v>38.35</v>
      </c>
      <c r="P6644">
        <v>20190605</v>
      </c>
      <c r="Q6644" t="s">
        <v>2140</v>
      </c>
      <c r="R6644" t="s">
        <v>5280</v>
      </c>
      <c r="S6644" t="s">
        <v>1615</v>
      </c>
      <c r="T6644" t="s">
        <v>106</v>
      </c>
    </row>
    <row r="6645" spans="1:20" x14ac:dyDescent="0.25">
      <c r="A6645">
        <v>9</v>
      </c>
      <c r="B6645">
        <v>199</v>
      </c>
      <c r="C6645" t="str">
        <f t="shared" si="1468"/>
        <v>23</v>
      </c>
      <c r="D6645">
        <v>6498</v>
      </c>
      <c r="E6645" t="str">
        <f>"99"</f>
        <v>99</v>
      </c>
      <c r="F6645" t="str">
        <f>"041"</f>
        <v>041</v>
      </c>
      <c r="G6645">
        <v>9</v>
      </c>
      <c r="H6645" t="str">
        <f t="shared" si="1469"/>
        <v>99</v>
      </c>
      <c r="I6645" t="str">
        <f t="shared" si="1464"/>
        <v>0</v>
      </c>
      <c r="J6645" t="str">
        <f>"03"</f>
        <v>03</v>
      </c>
      <c r="K6645">
        <v>20190607</v>
      </c>
      <c r="L6645" t="str">
        <f t="shared" si="1466"/>
        <v>077079</v>
      </c>
      <c r="M6645" t="str">
        <f t="shared" si="1467"/>
        <v>37500</v>
      </c>
      <c r="N6645" t="s">
        <v>2077</v>
      </c>
      <c r="O6645">
        <v>50.29</v>
      </c>
      <c r="P6645">
        <v>20190605</v>
      </c>
      <c r="Q6645" t="s">
        <v>2140</v>
      </c>
      <c r="R6645" t="s">
        <v>5281</v>
      </c>
      <c r="S6645" t="s">
        <v>1615</v>
      </c>
      <c r="T6645" t="s">
        <v>106</v>
      </c>
    </row>
    <row r="6646" spans="1:20" x14ac:dyDescent="0.25">
      <c r="A6646">
        <v>9</v>
      </c>
      <c r="B6646">
        <v>199</v>
      </c>
      <c r="C6646" t="str">
        <f t="shared" si="1468"/>
        <v>23</v>
      </c>
      <c r="D6646">
        <v>6498</v>
      </c>
      <c r="E6646" t="str">
        <f>"99"</f>
        <v>99</v>
      </c>
      <c r="F6646" t="str">
        <f>"041"</f>
        <v>041</v>
      </c>
      <c r="G6646">
        <v>9</v>
      </c>
      <c r="H6646" t="str">
        <f t="shared" si="1469"/>
        <v>99</v>
      </c>
      <c r="I6646" t="str">
        <f t="shared" si="1464"/>
        <v>0</v>
      </c>
      <c r="J6646" t="str">
        <f>"03"</f>
        <v>03</v>
      </c>
      <c r="K6646">
        <v>20190607</v>
      </c>
      <c r="L6646" t="str">
        <f t="shared" si="1466"/>
        <v>077079</v>
      </c>
      <c r="M6646" t="str">
        <f t="shared" si="1467"/>
        <v>37500</v>
      </c>
      <c r="N6646" t="s">
        <v>2077</v>
      </c>
      <c r="O6646">
        <v>83.12</v>
      </c>
      <c r="P6646">
        <v>20190605</v>
      </c>
      <c r="Q6646" t="s">
        <v>2140</v>
      </c>
      <c r="R6646" t="s">
        <v>5282</v>
      </c>
      <c r="S6646" t="s">
        <v>1615</v>
      </c>
      <c r="T6646" t="s">
        <v>106</v>
      </c>
    </row>
    <row r="6647" spans="1:20" x14ac:dyDescent="0.25">
      <c r="A6647">
        <v>9</v>
      </c>
      <c r="B6647">
        <v>199</v>
      </c>
      <c r="C6647" t="str">
        <f>"36"</f>
        <v>36</v>
      </c>
      <c r="D6647">
        <v>6499</v>
      </c>
      <c r="E6647" t="str">
        <f>"7K"</f>
        <v>7K</v>
      </c>
      <c r="F6647" t="str">
        <f>"001"</f>
        <v>001</v>
      </c>
      <c r="G6647">
        <v>9</v>
      </c>
      <c r="H6647" t="str">
        <f t="shared" si="1469"/>
        <v>99</v>
      </c>
      <c r="I6647" t="str">
        <f t="shared" si="1464"/>
        <v>0</v>
      </c>
      <c r="J6647" t="str">
        <f>"01"</f>
        <v>01</v>
      </c>
      <c r="K6647">
        <v>20190607</v>
      </c>
      <c r="L6647" t="str">
        <f t="shared" si="1466"/>
        <v>077079</v>
      </c>
      <c r="M6647" t="str">
        <f t="shared" si="1467"/>
        <v>37500</v>
      </c>
      <c r="N6647" t="s">
        <v>2077</v>
      </c>
      <c r="O6647">
        <v>66</v>
      </c>
      <c r="P6647">
        <v>20190605</v>
      </c>
      <c r="Q6647" t="s">
        <v>4909</v>
      </c>
      <c r="R6647" t="s">
        <v>5283</v>
      </c>
      <c r="S6647" t="s">
        <v>1615</v>
      </c>
      <c r="T6647" t="s">
        <v>301</v>
      </c>
    </row>
    <row r="6648" spans="1:20" x14ac:dyDescent="0.25">
      <c r="A6648">
        <v>9</v>
      </c>
      <c r="B6648">
        <v>199</v>
      </c>
      <c r="C6648" t="str">
        <f>"36"</f>
        <v>36</v>
      </c>
      <c r="D6648">
        <v>6499</v>
      </c>
      <c r="E6648" t="str">
        <f>"7K"</f>
        <v>7K</v>
      </c>
      <c r="F6648" t="str">
        <f>"001"</f>
        <v>001</v>
      </c>
      <c r="G6648">
        <v>9</v>
      </c>
      <c r="H6648" t="str">
        <f t="shared" si="1469"/>
        <v>99</v>
      </c>
      <c r="I6648" t="str">
        <f t="shared" si="1464"/>
        <v>0</v>
      </c>
      <c r="J6648" t="str">
        <f>"01"</f>
        <v>01</v>
      </c>
      <c r="K6648">
        <v>20190607</v>
      </c>
      <c r="L6648" t="str">
        <f t="shared" si="1466"/>
        <v>077079</v>
      </c>
      <c r="M6648" t="str">
        <f t="shared" si="1467"/>
        <v>37500</v>
      </c>
      <c r="N6648" t="s">
        <v>2077</v>
      </c>
      <c r="O6648">
        <v>57.67</v>
      </c>
      <c r="P6648">
        <v>20190605</v>
      </c>
      <c r="Q6648" t="s">
        <v>4909</v>
      </c>
      <c r="R6648" t="s">
        <v>5283</v>
      </c>
      <c r="S6648" t="s">
        <v>1615</v>
      </c>
      <c r="T6648" t="s">
        <v>301</v>
      </c>
    </row>
    <row r="6649" spans="1:20" x14ac:dyDescent="0.25">
      <c r="A6649">
        <v>9</v>
      </c>
      <c r="B6649">
        <v>199</v>
      </c>
      <c r="C6649" t="str">
        <f>"41"</f>
        <v>41</v>
      </c>
      <c r="D6649">
        <v>6499</v>
      </c>
      <c r="E6649" t="str">
        <f t="shared" ref="E6649:E6654" si="1470">"10"</f>
        <v>10</v>
      </c>
      <c r="F6649" t="str">
        <f>"730"</f>
        <v>730</v>
      </c>
      <c r="G6649">
        <v>9</v>
      </c>
      <c r="H6649" t="str">
        <f t="shared" si="1469"/>
        <v>99</v>
      </c>
      <c r="I6649" t="str">
        <f t="shared" si="1464"/>
        <v>0</v>
      </c>
      <c r="J6649" t="str">
        <f>"95"</f>
        <v>95</v>
      </c>
      <c r="K6649">
        <v>20190607</v>
      </c>
      <c r="L6649" t="str">
        <f t="shared" si="1466"/>
        <v>077079</v>
      </c>
      <c r="M6649" t="str">
        <f t="shared" si="1467"/>
        <v>37500</v>
      </c>
      <c r="N6649" t="s">
        <v>2077</v>
      </c>
      <c r="O6649">
        <v>256.98</v>
      </c>
      <c r="P6649">
        <v>20190605</v>
      </c>
      <c r="Q6649" t="s">
        <v>1792</v>
      </c>
      <c r="R6649" t="s">
        <v>5083</v>
      </c>
      <c r="S6649" t="s">
        <v>1615</v>
      </c>
      <c r="T6649" t="s">
        <v>1794</v>
      </c>
    </row>
    <row r="6650" spans="1:20" x14ac:dyDescent="0.25">
      <c r="A6650">
        <v>9</v>
      </c>
      <c r="B6650">
        <v>199</v>
      </c>
      <c r="C6650" t="str">
        <f>"53"</f>
        <v>53</v>
      </c>
      <c r="D6650">
        <v>6399</v>
      </c>
      <c r="E6650" t="str">
        <f t="shared" si="1470"/>
        <v>10</v>
      </c>
      <c r="F6650" t="str">
        <f>"880"</f>
        <v>880</v>
      </c>
      <c r="G6650">
        <v>9</v>
      </c>
      <c r="H6650" t="str">
        <f t="shared" si="1469"/>
        <v>99</v>
      </c>
      <c r="I6650" t="str">
        <f t="shared" si="1464"/>
        <v>0</v>
      </c>
      <c r="J6650" t="str">
        <f>"80"</f>
        <v>80</v>
      </c>
      <c r="K6650">
        <v>20190607</v>
      </c>
      <c r="L6650" t="str">
        <f t="shared" si="1466"/>
        <v>077079</v>
      </c>
      <c r="M6650" t="str">
        <f t="shared" si="1467"/>
        <v>37500</v>
      </c>
      <c r="N6650" t="s">
        <v>2077</v>
      </c>
      <c r="O6650">
        <v>48.79</v>
      </c>
      <c r="P6650">
        <v>20190605</v>
      </c>
      <c r="Q6650" t="s">
        <v>1865</v>
      </c>
      <c r="R6650" t="s">
        <v>2902</v>
      </c>
      <c r="S6650" t="s">
        <v>1615</v>
      </c>
      <c r="T6650" t="s">
        <v>1866</v>
      </c>
    </row>
    <row r="6651" spans="1:20" x14ac:dyDescent="0.25">
      <c r="A6651">
        <v>9</v>
      </c>
      <c r="B6651">
        <v>199</v>
      </c>
      <c r="C6651" t="str">
        <f>"52"</f>
        <v>52</v>
      </c>
      <c r="D6651">
        <v>6299</v>
      </c>
      <c r="E6651" t="str">
        <f t="shared" si="1470"/>
        <v>10</v>
      </c>
      <c r="F6651" t="str">
        <f>"001"</f>
        <v>001</v>
      </c>
      <c r="G6651">
        <v>9</v>
      </c>
      <c r="H6651" t="str">
        <f t="shared" si="1469"/>
        <v>99</v>
      </c>
      <c r="I6651" t="str">
        <f t="shared" si="1464"/>
        <v>0</v>
      </c>
      <c r="J6651" t="str">
        <f>"87"</f>
        <v>87</v>
      </c>
      <c r="K6651">
        <v>20190607</v>
      </c>
      <c r="L6651" t="str">
        <f>"077082"</f>
        <v>077082</v>
      </c>
      <c r="M6651" t="str">
        <f>"44450"</f>
        <v>44450</v>
      </c>
      <c r="N6651" t="s">
        <v>2500</v>
      </c>
      <c r="O6651">
        <v>337.5</v>
      </c>
      <c r="P6651">
        <v>20190606</v>
      </c>
      <c r="Q6651" t="s">
        <v>2501</v>
      </c>
      <c r="R6651" t="s">
        <v>5284</v>
      </c>
      <c r="S6651" t="s">
        <v>1615</v>
      </c>
      <c r="T6651" t="s">
        <v>301</v>
      </c>
    </row>
    <row r="6652" spans="1:20" x14ac:dyDescent="0.25">
      <c r="A6652">
        <v>9</v>
      </c>
      <c r="B6652">
        <v>199</v>
      </c>
      <c r="C6652" t="str">
        <f>"52"</f>
        <v>52</v>
      </c>
      <c r="D6652">
        <v>6299</v>
      </c>
      <c r="E6652" t="str">
        <f t="shared" si="1470"/>
        <v>10</v>
      </c>
      <c r="F6652" t="str">
        <f>"002"</f>
        <v>002</v>
      </c>
      <c r="G6652">
        <v>9</v>
      </c>
      <c r="H6652" t="str">
        <f t="shared" si="1469"/>
        <v>99</v>
      </c>
      <c r="I6652" t="str">
        <f t="shared" si="1464"/>
        <v>0</v>
      </c>
      <c r="J6652" t="str">
        <f>"87"</f>
        <v>87</v>
      </c>
      <c r="K6652">
        <v>20190607</v>
      </c>
      <c r="L6652" t="str">
        <f>"077082"</f>
        <v>077082</v>
      </c>
      <c r="M6652" t="str">
        <f>"44450"</f>
        <v>44450</v>
      </c>
      <c r="N6652" t="s">
        <v>2500</v>
      </c>
      <c r="O6652">
        <v>168.75</v>
      </c>
      <c r="P6652">
        <v>20190606</v>
      </c>
      <c r="Q6652" t="s">
        <v>2503</v>
      </c>
      <c r="R6652" t="s">
        <v>5285</v>
      </c>
      <c r="S6652" t="s">
        <v>1615</v>
      </c>
      <c r="T6652" t="s">
        <v>1485</v>
      </c>
    </row>
    <row r="6653" spans="1:20" x14ac:dyDescent="0.25">
      <c r="A6653">
        <v>9</v>
      </c>
      <c r="B6653">
        <v>199</v>
      </c>
      <c r="C6653" t="str">
        <f>"52"</f>
        <v>52</v>
      </c>
      <c r="D6653">
        <v>6299</v>
      </c>
      <c r="E6653" t="str">
        <f t="shared" si="1470"/>
        <v>10</v>
      </c>
      <c r="F6653" t="str">
        <f>"041"</f>
        <v>041</v>
      </c>
      <c r="G6653">
        <v>9</v>
      </c>
      <c r="H6653" t="str">
        <f t="shared" si="1469"/>
        <v>99</v>
      </c>
      <c r="I6653" t="str">
        <f t="shared" si="1464"/>
        <v>0</v>
      </c>
      <c r="J6653" t="str">
        <f>"87"</f>
        <v>87</v>
      </c>
      <c r="K6653">
        <v>20190607</v>
      </c>
      <c r="L6653" t="str">
        <f>"077082"</f>
        <v>077082</v>
      </c>
      <c r="M6653" t="str">
        <f>"44450"</f>
        <v>44450</v>
      </c>
      <c r="N6653" t="s">
        <v>2500</v>
      </c>
      <c r="O6653">
        <v>168.75</v>
      </c>
      <c r="P6653">
        <v>20190606</v>
      </c>
      <c r="Q6653" t="s">
        <v>2505</v>
      </c>
      <c r="R6653" t="s">
        <v>5285</v>
      </c>
      <c r="S6653" t="s">
        <v>1615</v>
      </c>
      <c r="T6653" t="s">
        <v>106</v>
      </c>
    </row>
    <row r="6654" spans="1:20" x14ac:dyDescent="0.25">
      <c r="A6654">
        <v>9</v>
      </c>
      <c r="B6654">
        <v>199</v>
      </c>
      <c r="C6654" t="str">
        <f>"41"</f>
        <v>41</v>
      </c>
      <c r="D6654">
        <v>6498</v>
      </c>
      <c r="E6654" t="str">
        <f t="shared" si="1470"/>
        <v>10</v>
      </c>
      <c r="F6654" t="str">
        <f>"702"</f>
        <v>702</v>
      </c>
      <c r="G6654">
        <v>9</v>
      </c>
      <c r="H6654" t="str">
        <f t="shared" si="1469"/>
        <v>99</v>
      </c>
      <c r="I6654" t="str">
        <f t="shared" si="1464"/>
        <v>0</v>
      </c>
      <c r="J6654" t="str">
        <f>"93"</f>
        <v>93</v>
      </c>
      <c r="K6654">
        <v>20190607</v>
      </c>
      <c r="L6654" t="str">
        <f>"077083"</f>
        <v>077083</v>
      </c>
      <c r="M6654" t="str">
        <f>"45093"</f>
        <v>45093</v>
      </c>
      <c r="N6654" t="s">
        <v>885</v>
      </c>
      <c r="O6654">
        <v>208.8</v>
      </c>
      <c r="P6654">
        <v>20190605</v>
      </c>
      <c r="Q6654" t="s">
        <v>2458</v>
      </c>
      <c r="R6654" t="s">
        <v>5286</v>
      </c>
      <c r="S6654" t="s">
        <v>1615</v>
      </c>
      <c r="T6654" t="s">
        <v>1611</v>
      </c>
    </row>
    <row r="6655" spans="1:20" x14ac:dyDescent="0.25">
      <c r="A6655">
        <v>9</v>
      </c>
      <c r="B6655">
        <v>199</v>
      </c>
      <c r="C6655" t="str">
        <f t="shared" ref="C6655:C6660" si="1471">"51"</f>
        <v>51</v>
      </c>
      <c r="D6655">
        <v>6249</v>
      </c>
      <c r="E6655" t="str">
        <f>"M6"</f>
        <v>M6</v>
      </c>
      <c r="F6655" t="str">
        <f>"936"</f>
        <v>936</v>
      </c>
      <c r="G6655">
        <v>9</v>
      </c>
      <c r="H6655" t="str">
        <f t="shared" si="1469"/>
        <v>99</v>
      </c>
      <c r="I6655" t="str">
        <f t="shared" si="1464"/>
        <v>0</v>
      </c>
      <c r="J6655" t="str">
        <f t="shared" ref="J6655:J6660" si="1472">"81"</f>
        <v>81</v>
      </c>
      <c r="K6655">
        <v>20190607</v>
      </c>
      <c r="L6655" t="str">
        <f t="shared" ref="L6655:L6660" si="1473">"077084"</f>
        <v>077084</v>
      </c>
      <c r="M6655" t="str">
        <f t="shared" ref="M6655:M6660" si="1474">"46369"</f>
        <v>46369</v>
      </c>
      <c r="N6655" t="s">
        <v>2086</v>
      </c>
      <c r="O6655" s="1">
        <v>2872</v>
      </c>
      <c r="P6655">
        <v>20190605</v>
      </c>
      <c r="Q6655" t="s">
        <v>2089</v>
      </c>
      <c r="R6655" t="s">
        <v>5287</v>
      </c>
      <c r="S6655" t="s">
        <v>1615</v>
      </c>
      <c r="T6655" t="s">
        <v>1713</v>
      </c>
    </row>
    <row r="6656" spans="1:20" x14ac:dyDescent="0.25">
      <c r="A6656">
        <v>9</v>
      </c>
      <c r="B6656">
        <v>199</v>
      </c>
      <c r="C6656" t="str">
        <f t="shared" si="1471"/>
        <v>51</v>
      </c>
      <c r="D6656">
        <v>6249</v>
      </c>
      <c r="E6656" t="str">
        <f>"M6"</f>
        <v>M6</v>
      </c>
      <c r="F6656" t="str">
        <f>"936"</f>
        <v>936</v>
      </c>
      <c r="G6656">
        <v>9</v>
      </c>
      <c r="H6656" t="str">
        <f t="shared" si="1469"/>
        <v>99</v>
      </c>
      <c r="I6656" t="str">
        <f t="shared" si="1464"/>
        <v>0</v>
      </c>
      <c r="J6656" t="str">
        <f t="shared" si="1472"/>
        <v>81</v>
      </c>
      <c r="K6656">
        <v>20190607</v>
      </c>
      <c r="L6656" t="str">
        <f t="shared" si="1473"/>
        <v>077084</v>
      </c>
      <c r="M6656" t="str">
        <f t="shared" si="1474"/>
        <v>46369</v>
      </c>
      <c r="N6656" t="s">
        <v>2086</v>
      </c>
      <c r="O6656" s="1">
        <v>2000</v>
      </c>
      <c r="P6656">
        <v>20190605</v>
      </c>
      <c r="Q6656" t="s">
        <v>2089</v>
      </c>
      <c r="R6656" t="s">
        <v>5288</v>
      </c>
      <c r="S6656" t="s">
        <v>1615</v>
      </c>
      <c r="T6656" t="s">
        <v>1713</v>
      </c>
    </row>
    <row r="6657" spans="1:20" x14ac:dyDescent="0.25">
      <c r="A6657">
        <v>9</v>
      </c>
      <c r="B6657">
        <v>199</v>
      </c>
      <c r="C6657" t="str">
        <f t="shared" si="1471"/>
        <v>51</v>
      </c>
      <c r="D6657">
        <v>6249</v>
      </c>
      <c r="E6657" t="str">
        <f>"M6"</f>
        <v>M6</v>
      </c>
      <c r="F6657" t="str">
        <f>"936"</f>
        <v>936</v>
      </c>
      <c r="G6657">
        <v>9</v>
      </c>
      <c r="H6657" t="str">
        <f t="shared" si="1469"/>
        <v>99</v>
      </c>
      <c r="I6657" t="str">
        <f t="shared" si="1464"/>
        <v>0</v>
      </c>
      <c r="J6657" t="str">
        <f t="shared" si="1472"/>
        <v>81</v>
      </c>
      <c r="K6657">
        <v>20190607</v>
      </c>
      <c r="L6657" t="str">
        <f t="shared" si="1473"/>
        <v>077084</v>
      </c>
      <c r="M6657" t="str">
        <f t="shared" si="1474"/>
        <v>46369</v>
      </c>
      <c r="N6657" t="s">
        <v>2086</v>
      </c>
      <c r="O6657" s="1">
        <v>2870</v>
      </c>
      <c r="P6657">
        <v>20190605</v>
      </c>
      <c r="Q6657" t="s">
        <v>2089</v>
      </c>
      <c r="R6657" t="s">
        <v>5289</v>
      </c>
      <c r="S6657" t="s">
        <v>1615</v>
      </c>
      <c r="T6657" t="s">
        <v>1713</v>
      </c>
    </row>
    <row r="6658" spans="1:20" x14ac:dyDescent="0.25">
      <c r="A6658">
        <v>9</v>
      </c>
      <c r="B6658">
        <v>199</v>
      </c>
      <c r="C6658" t="str">
        <f t="shared" si="1471"/>
        <v>51</v>
      </c>
      <c r="D6658">
        <v>6249</v>
      </c>
      <c r="E6658" t="str">
        <f>"M6"</f>
        <v>M6</v>
      </c>
      <c r="F6658" t="str">
        <f>"936"</f>
        <v>936</v>
      </c>
      <c r="G6658">
        <v>9</v>
      </c>
      <c r="H6658" t="str">
        <f t="shared" si="1469"/>
        <v>99</v>
      </c>
      <c r="I6658" t="str">
        <f t="shared" si="1464"/>
        <v>0</v>
      </c>
      <c r="J6658" t="str">
        <f t="shared" si="1472"/>
        <v>81</v>
      </c>
      <c r="K6658">
        <v>20190607</v>
      </c>
      <c r="L6658" t="str">
        <f t="shared" si="1473"/>
        <v>077084</v>
      </c>
      <c r="M6658" t="str">
        <f t="shared" si="1474"/>
        <v>46369</v>
      </c>
      <c r="N6658" t="s">
        <v>2086</v>
      </c>
      <c r="O6658" s="1">
        <v>1335</v>
      </c>
      <c r="P6658">
        <v>20190605</v>
      </c>
      <c r="Q6658" t="s">
        <v>2089</v>
      </c>
      <c r="R6658" t="s">
        <v>5290</v>
      </c>
      <c r="S6658" t="s">
        <v>1615</v>
      </c>
      <c r="T6658" t="s">
        <v>1713</v>
      </c>
    </row>
    <row r="6659" spans="1:20" x14ac:dyDescent="0.25">
      <c r="A6659">
        <v>9</v>
      </c>
      <c r="B6659">
        <v>199</v>
      </c>
      <c r="C6659" t="str">
        <f t="shared" si="1471"/>
        <v>51</v>
      </c>
      <c r="D6659">
        <v>6249</v>
      </c>
      <c r="E6659" t="str">
        <f>"MC"</f>
        <v>MC</v>
      </c>
      <c r="F6659" t="str">
        <f>"001"</f>
        <v>001</v>
      </c>
      <c r="G6659">
        <v>9</v>
      </c>
      <c r="H6659" t="str">
        <f t="shared" si="1469"/>
        <v>99</v>
      </c>
      <c r="I6659" t="str">
        <f t="shared" si="1464"/>
        <v>0</v>
      </c>
      <c r="J6659" t="str">
        <f t="shared" si="1472"/>
        <v>81</v>
      </c>
      <c r="K6659">
        <v>20190607</v>
      </c>
      <c r="L6659" t="str">
        <f t="shared" si="1473"/>
        <v>077084</v>
      </c>
      <c r="M6659" t="str">
        <f t="shared" si="1474"/>
        <v>46369</v>
      </c>
      <c r="N6659" t="s">
        <v>2086</v>
      </c>
      <c r="O6659">
        <v>557</v>
      </c>
      <c r="P6659">
        <v>20190605</v>
      </c>
      <c r="Q6659" t="s">
        <v>2386</v>
      </c>
      <c r="R6659" t="s">
        <v>5291</v>
      </c>
      <c r="S6659" t="s">
        <v>1615</v>
      </c>
      <c r="T6659" t="s">
        <v>301</v>
      </c>
    </row>
    <row r="6660" spans="1:20" x14ac:dyDescent="0.25">
      <c r="A6660">
        <v>9</v>
      </c>
      <c r="B6660">
        <v>199</v>
      </c>
      <c r="C6660" t="str">
        <f t="shared" si="1471"/>
        <v>51</v>
      </c>
      <c r="D6660">
        <v>6249</v>
      </c>
      <c r="E6660" t="str">
        <f>"MC"</f>
        <v>MC</v>
      </c>
      <c r="F6660" t="str">
        <f>"001"</f>
        <v>001</v>
      </c>
      <c r="G6660">
        <v>9</v>
      </c>
      <c r="H6660" t="str">
        <f t="shared" si="1469"/>
        <v>99</v>
      </c>
      <c r="I6660" t="str">
        <f t="shared" si="1464"/>
        <v>0</v>
      </c>
      <c r="J6660" t="str">
        <f t="shared" si="1472"/>
        <v>81</v>
      </c>
      <c r="K6660">
        <v>20190607</v>
      </c>
      <c r="L6660" t="str">
        <f t="shared" si="1473"/>
        <v>077084</v>
      </c>
      <c r="M6660" t="str">
        <f t="shared" si="1474"/>
        <v>46369</v>
      </c>
      <c r="N6660" t="s">
        <v>2086</v>
      </c>
      <c r="O6660" s="1">
        <v>2900</v>
      </c>
      <c r="P6660">
        <v>20190606</v>
      </c>
      <c r="Q6660" t="s">
        <v>2386</v>
      </c>
      <c r="R6660" t="s">
        <v>5292</v>
      </c>
      <c r="S6660" t="s">
        <v>1615</v>
      </c>
      <c r="T6660" t="s">
        <v>301</v>
      </c>
    </row>
    <row r="6661" spans="1:20" x14ac:dyDescent="0.25">
      <c r="A6661">
        <v>9</v>
      </c>
      <c r="B6661">
        <v>199</v>
      </c>
      <c r="C6661" t="str">
        <f>"13"</f>
        <v>13</v>
      </c>
      <c r="D6661">
        <v>6411</v>
      </c>
      <c r="E6661" t="str">
        <f>"10"</f>
        <v>10</v>
      </c>
      <c r="F6661" t="str">
        <f>"002"</f>
        <v>002</v>
      </c>
      <c r="G6661">
        <v>9</v>
      </c>
      <c r="H6661" t="str">
        <f>"11"</f>
        <v>11</v>
      </c>
      <c r="I6661" t="str">
        <f t="shared" si="1464"/>
        <v>0</v>
      </c>
      <c r="J6661" t="str">
        <f>"02"</f>
        <v>02</v>
      </c>
      <c r="K6661">
        <v>20190607</v>
      </c>
      <c r="L6661" t="str">
        <f>"077085"</f>
        <v>077085</v>
      </c>
      <c r="M6661" t="str">
        <f>"00823"</f>
        <v>00823</v>
      </c>
      <c r="N6661" t="s">
        <v>5293</v>
      </c>
      <c r="O6661">
        <v>436.8</v>
      </c>
      <c r="P6661">
        <v>20190605</v>
      </c>
      <c r="Q6661" t="s">
        <v>5294</v>
      </c>
      <c r="R6661" t="s">
        <v>5295</v>
      </c>
      <c r="S6661" t="s">
        <v>1615</v>
      </c>
      <c r="T6661" t="s">
        <v>1485</v>
      </c>
    </row>
    <row r="6662" spans="1:20" x14ac:dyDescent="0.25">
      <c r="A6662">
        <v>9</v>
      </c>
      <c r="B6662">
        <v>199</v>
      </c>
      <c r="C6662" t="str">
        <f>"11"</f>
        <v>11</v>
      </c>
      <c r="D6662">
        <v>6411</v>
      </c>
      <c r="E6662" t="str">
        <f>"LK"</f>
        <v>LK</v>
      </c>
      <c r="F6662" t="str">
        <f>"041"</f>
        <v>041</v>
      </c>
      <c r="G6662">
        <v>9</v>
      </c>
      <c r="H6662" t="str">
        <f>"11"</f>
        <v>11</v>
      </c>
      <c r="I6662" t="str">
        <f t="shared" si="1464"/>
        <v>0</v>
      </c>
      <c r="J6662" t="str">
        <f>"03"</f>
        <v>03</v>
      </c>
      <c r="K6662">
        <v>20190607</v>
      </c>
      <c r="L6662" t="str">
        <f>"077086"</f>
        <v>077086</v>
      </c>
      <c r="M6662" t="str">
        <f>"00054"</f>
        <v>00054</v>
      </c>
      <c r="N6662" t="s">
        <v>1746</v>
      </c>
      <c r="O6662">
        <v>57.96</v>
      </c>
      <c r="P6662">
        <v>20190605</v>
      </c>
      <c r="Q6662" t="s">
        <v>3042</v>
      </c>
      <c r="R6662" t="s">
        <v>5296</v>
      </c>
      <c r="S6662" t="s">
        <v>1615</v>
      </c>
      <c r="T6662" t="s">
        <v>106</v>
      </c>
    </row>
    <row r="6663" spans="1:20" x14ac:dyDescent="0.25">
      <c r="A6663">
        <v>9</v>
      </c>
      <c r="B6663">
        <v>199</v>
      </c>
      <c r="C6663" t="str">
        <f>"11"</f>
        <v>11</v>
      </c>
      <c r="D6663">
        <v>6399</v>
      </c>
      <c r="E6663" t="str">
        <f>"76"</f>
        <v>76</v>
      </c>
      <c r="F6663" t="str">
        <f>"041"</f>
        <v>041</v>
      </c>
      <c r="G6663">
        <v>9</v>
      </c>
      <c r="H6663" t="str">
        <f>"11"</f>
        <v>11</v>
      </c>
      <c r="I6663" t="str">
        <f t="shared" si="1464"/>
        <v>0</v>
      </c>
      <c r="J6663" t="str">
        <f>"03"</f>
        <v>03</v>
      </c>
      <c r="K6663">
        <v>20190607</v>
      </c>
      <c r="L6663" t="str">
        <f>"077087"</f>
        <v>077087</v>
      </c>
      <c r="M6663" t="str">
        <f>"00761"</f>
        <v>00761</v>
      </c>
      <c r="N6663" t="s">
        <v>1584</v>
      </c>
      <c r="O6663">
        <v>400</v>
      </c>
      <c r="P6663">
        <v>20190605</v>
      </c>
      <c r="Q6663" t="s">
        <v>3458</v>
      </c>
      <c r="R6663" t="s">
        <v>5297</v>
      </c>
      <c r="S6663" t="s">
        <v>1615</v>
      </c>
      <c r="T6663" t="s">
        <v>106</v>
      </c>
    </row>
    <row r="6664" spans="1:20" x14ac:dyDescent="0.25">
      <c r="A6664">
        <v>9</v>
      </c>
      <c r="B6664">
        <v>199</v>
      </c>
      <c r="C6664" t="str">
        <f>"23"</f>
        <v>23</v>
      </c>
      <c r="D6664">
        <v>6411</v>
      </c>
      <c r="E6664" t="str">
        <f>"10"</f>
        <v>10</v>
      </c>
      <c r="F6664" t="str">
        <f>"001"</f>
        <v>001</v>
      </c>
      <c r="G6664">
        <v>9</v>
      </c>
      <c r="H6664" t="str">
        <f t="shared" ref="H6664:H6670" si="1475">"99"</f>
        <v>99</v>
      </c>
      <c r="I6664" t="str">
        <f>"1"</f>
        <v>1</v>
      </c>
      <c r="J6664" t="str">
        <f>"01"</f>
        <v>01</v>
      </c>
      <c r="K6664">
        <v>20190607</v>
      </c>
      <c r="L6664" t="str">
        <f>"077088"</f>
        <v>077088</v>
      </c>
      <c r="M6664" t="str">
        <f>"48972"</f>
        <v>48972</v>
      </c>
      <c r="N6664" t="s">
        <v>2388</v>
      </c>
      <c r="O6664">
        <v>48.1</v>
      </c>
      <c r="P6664">
        <v>20190605</v>
      </c>
      <c r="Q6664" t="s">
        <v>2464</v>
      </c>
      <c r="R6664" t="s">
        <v>5298</v>
      </c>
      <c r="S6664" t="s">
        <v>1615</v>
      </c>
      <c r="T6664" t="s">
        <v>301</v>
      </c>
    </row>
    <row r="6665" spans="1:20" x14ac:dyDescent="0.25">
      <c r="A6665">
        <v>9</v>
      </c>
      <c r="B6665">
        <v>199</v>
      </c>
      <c r="C6665" t="str">
        <f>"23"</f>
        <v>23</v>
      </c>
      <c r="D6665">
        <v>6411</v>
      </c>
      <c r="E6665" t="str">
        <f>"10"</f>
        <v>10</v>
      </c>
      <c r="F6665" t="str">
        <f>"001"</f>
        <v>001</v>
      </c>
      <c r="G6665">
        <v>9</v>
      </c>
      <c r="H6665" t="str">
        <f t="shared" si="1475"/>
        <v>99</v>
      </c>
      <c r="I6665" t="str">
        <f>"1"</f>
        <v>1</v>
      </c>
      <c r="J6665" t="str">
        <f>"01"</f>
        <v>01</v>
      </c>
      <c r="K6665">
        <v>20190607</v>
      </c>
      <c r="L6665" t="str">
        <f>"077089"</f>
        <v>077089</v>
      </c>
      <c r="M6665" t="str">
        <f>"49748"</f>
        <v>49748</v>
      </c>
      <c r="N6665" t="s">
        <v>3044</v>
      </c>
      <c r="O6665">
        <v>917</v>
      </c>
      <c r="P6665">
        <v>20190605</v>
      </c>
      <c r="Q6665" t="s">
        <v>2464</v>
      </c>
      <c r="R6665" t="s">
        <v>5299</v>
      </c>
      <c r="S6665" t="s">
        <v>1615</v>
      </c>
      <c r="T6665" t="s">
        <v>301</v>
      </c>
    </row>
    <row r="6666" spans="1:20" x14ac:dyDescent="0.25">
      <c r="A6666">
        <v>9</v>
      </c>
      <c r="B6666">
        <v>199</v>
      </c>
      <c r="C6666" t="str">
        <f>"51"</f>
        <v>51</v>
      </c>
      <c r="D6666">
        <v>6319</v>
      </c>
      <c r="E6666" t="str">
        <f>"MC"</f>
        <v>MC</v>
      </c>
      <c r="F6666" t="str">
        <f>"936"</f>
        <v>936</v>
      </c>
      <c r="G6666">
        <v>9</v>
      </c>
      <c r="H6666" t="str">
        <f t="shared" si="1475"/>
        <v>99</v>
      </c>
      <c r="I6666" t="str">
        <f t="shared" ref="I6666:I6698" si="1476">"0"</f>
        <v>0</v>
      </c>
      <c r="J6666" t="str">
        <f>"81"</f>
        <v>81</v>
      </c>
      <c r="K6666">
        <v>20190607</v>
      </c>
      <c r="L6666" t="str">
        <f>"077091"</f>
        <v>077091</v>
      </c>
      <c r="M6666" t="str">
        <f>"49898"</f>
        <v>49898</v>
      </c>
      <c r="N6666" t="s">
        <v>2390</v>
      </c>
      <c r="O6666">
        <v>83.69</v>
      </c>
      <c r="P6666">
        <v>20190605</v>
      </c>
      <c r="Q6666" t="s">
        <v>2060</v>
      </c>
      <c r="R6666" t="s">
        <v>5300</v>
      </c>
      <c r="S6666" t="s">
        <v>1615</v>
      </c>
      <c r="T6666" t="s">
        <v>1713</v>
      </c>
    </row>
    <row r="6667" spans="1:20" x14ac:dyDescent="0.25">
      <c r="A6667">
        <v>9</v>
      </c>
      <c r="B6667">
        <v>199</v>
      </c>
      <c r="C6667" t="str">
        <f>"51"</f>
        <v>51</v>
      </c>
      <c r="D6667">
        <v>6319</v>
      </c>
      <c r="E6667" t="str">
        <f>"MC"</f>
        <v>MC</v>
      </c>
      <c r="F6667" t="str">
        <f>"936"</f>
        <v>936</v>
      </c>
      <c r="G6667">
        <v>9</v>
      </c>
      <c r="H6667" t="str">
        <f t="shared" si="1475"/>
        <v>99</v>
      </c>
      <c r="I6667" t="str">
        <f t="shared" si="1476"/>
        <v>0</v>
      </c>
      <c r="J6667" t="str">
        <f>"81"</f>
        <v>81</v>
      </c>
      <c r="K6667">
        <v>20190607</v>
      </c>
      <c r="L6667" t="str">
        <f>"077091"</f>
        <v>077091</v>
      </c>
      <c r="M6667" t="str">
        <f>"49898"</f>
        <v>49898</v>
      </c>
      <c r="N6667" t="s">
        <v>2390</v>
      </c>
      <c r="O6667">
        <v>500.8</v>
      </c>
      <c r="P6667">
        <v>20190605</v>
      </c>
      <c r="Q6667" t="s">
        <v>2060</v>
      </c>
      <c r="R6667" t="s">
        <v>2188</v>
      </c>
      <c r="S6667" t="s">
        <v>1615</v>
      </c>
      <c r="T6667" t="s">
        <v>1713</v>
      </c>
    </row>
    <row r="6668" spans="1:20" x14ac:dyDescent="0.25">
      <c r="A6668">
        <v>9</v>
      </c>
      <c r="B6668">
        <v>199</v>
      </c>
      <c r="C6668" t="str">
        <f>"51"</f>
        <v>51</v>
      </c>
      <c r="D6668">
        <v>6319</v>
      </c>
      <c r="E6668" t="str">
        <f>"MC"</f>
        <v>MC</v>
      </c>
      <c r="F6668" t="str">
        <f>"936"</f>
        <v>936</v>
      </c>
      <c r="G6668">
        <v>9</v>
      </c>
      <c r="H6668" t="str">
        <f t="shared" si="1475"/>
        <v>99</v>
      </c>
      <c r="I6668" t="str">
        <f t="shared" si="1476"/>
        <v>0</v>
      </c>
      <c r="J6668" t="str">
        <f>"81"</f>
        <v>81</v>
      </c>
      <c r="K6668">
        <v>20190607</v>
      </c>
      <c r="L6668" t="str">
        <f>"077091"</f>
        <v>077091</v>
      </c>
      <c r="M6668" t="str">
        <f>"49898"</f>
        <v>49898</v>
      </c>
      <c r="N6668" t="s">
        <v>2390</v>
      </c>
      <c r="O6668">
        <v>53.83</v>
      </c>
      <c r="P6668">
        <v>20190605</v>
      </c>
      <c r="Q6668" t="s">
        <v>2060</v>
      </c>
      <c r="R6668" t="s">
        <v>5301</v>
      </c>
      <c r="S6668" t="s">
        <v>1615</v>
      </c>
      <c r="T6668" t="s">
        <v>1713</v>
      </c>
    </row>
    <row r="6669" spans="1:20" x14ac:dyDescent="0.25">
      <c r="A6669">
        <v>9</v>
      </c>
      <c r="B6669">
        <v>199</v>
      </c>
      <c r="C6669" t="str">
        <f>"51"</f>
        <v>51</v>
      </c>
      <c r="D6669">
        <v>6319</v>
      </c>
      <c r="E6669" t="str">
        <f>"MC"</f>
        <v>MC</v>
      </c>
      <c r="F6669" t="str">
        <f>"936"</f>
        <v>936</v>
      </c>
      <c r="G6669">
        <v>9</v>
      </c>
      <c r="H6669" t="str">
        <f t="shared" si="1475"/>
        <v>99</v>
      </c>
      <c r="I6669" t="str">
        <f t="shared" si="1476"/>
        <v>0</v>
      </c>
      <c r="J6669" t="str">
        <f>"81"</f>
        <v>81</v>
      </c>
      <c r="K6669">
        <v>20190607</v>
      </c>
      <c r="L6669" t="str">
        <f>"077091"</f>
        <v>077091</v>
      </c>
      <c r="M6669" t="str">
        <f>"49898"</f>
        <v>49898</v>
      </c>
      <c r="N6669" t="s">
        <v>2390</v>
      </c>
      <c r="O6669">
        <v>130.69999999999999</v>
      </c>
      <c r="P6669">
        <v>20190605</v>
      </c>
      <c r="Q6669" t="s">
        <v>2060</v>
      </c>
      <c r="R6669" t="s">
        <v>5302</v>
      </c>
      <c r="S6669" t="s">
        <v>1615</v>
      </c>
      <c r="T6669" t="s">
        <v>1713</v>
      </c>
    </row>
    <row r="6670" spans="1:20" x14ac:dyDescent="0.25">
      <c r="A6670">
        <v>9</v>
      </c>
      <c r="B6670">
        <v>199</v>
      </c>
      <c r="C6670" t="str">
        <f>"32"</f>
        <v>32</v>
      </c>
      <c r="D6670">
        <v>6399</v>
      </c>
      <c r="E6670" t="str">
        <f>"00"</f>
        <v>00</v>
      </c>
      <c r="F6670" t="str">
        <f>"999"</f>
        <v>999</v>
      </c>
      <c r="G6670">
        <v>9</v>
      </c>
      <c r="H6670" t="str">
        <f t="shared" si="1475"/>
        <v>99</v>
      </c>
      <c r="I6670" t="str">
        <f t="shared" si="1476"/>
        <v>0</v>
      </c>
      <c r="J6670" t="str">
        <f>"02"</f>
        <v>02</v>
      </c>
      <c r="K6670">
        <v>20190607</v>
      </c>
      <c r="L6670" t="str">
        <f>"077092"</f>
        <v>077092</v>
      </c>
      <c r="M6670" t="str">
        <f>"50453"</f>
        <v>50453</v>
      </c>
      <c r="N6670" t="s">
        <v>1472</v>
      </c>
      <c r="O6670">
        <v>250</v>
      </c>
      <c r="P6670">
        <v>20190606</v>
      </c>
      <c r="Q6670" t="s">
        <v>5303</v>
      </c>
      <c r="R6670" t="s">
        <v>5304</v>
      </c>
      <c r="S6670" t="s">
        <v>1615</v>
      </c>
      <c r="T6670" t="s">
        <v>3622</v>
      </c>
    </row>
    <row r="6671" spans="1:20" x14ac:dyDescent="0.25">
      <c r="A6671">
        <v>9</v>
      </c>
      <c r="B6671">
        <v>199</v>
      </c>
      <c r="C6671" t="str">
        <f>"21"</f>
        <v>21</v>
      </c>
      <c r="D6671">
        <v>6216</v>
      </c>
      <c r="E6671" t="str">
        <f>"00"</f>
        <v>00</v>
      </c>
      <c r="F6671" t="str">
        <f>"875"</f>
        <v>875</v>
      </c>
      <c r="G6671">
        <v>9</v>
      </c>
      <c r="H6671" t="str">
        <f>"23"</f>
        <v>23</v>
      </c>
      <c r="I6671" t="str">
        <f t="shared" si="1476"/>
        <v>0</v>
      </c>
      <c r="J6671" t="str">
        <f>"23"</f>
        <v>23</v>
      </c>
      <c r="K6671">
        <v>20190607</v>
      </c>
      <c r="L6671" t="str">
        <f>"077093"</f>
        <v>077093</v>
      </c>
      <c r="M6671" t="str">
        <f>"51475"</f>
        <v>51475</v>
      </c>
      <c r="N6671" t="s">
        <v>3195</v>
      </c>
      <c r="O6671">
        <v>51.68</v>
      </c>
      <c r="P6671">
        <v>20190606</v>
      </c>
      <c r="Q6671" t="s">
        <v>3196</v>
      </c>
      <c r="R6671" t="s">
        <v>5305</v>
      </c>
      <c r="S6671" t="s">
        <v>1615</v>
      </c>
      <c r="T6671" t="s">
        <v>2041</v>
      </c>
    </row>
    <row r="6672" spans="1:20" x14ac:dyDescent="0.25">
      <c r="A6672">
        <v>9</v>
      </c>
      <c r="B6672">
        <v>199</v>
      </c>
      <c r="C6672" t="str">
        <f>"21"</f>
        <v>21</v>
      </c>
      <c r="D6672">
        <v>6216</v>
      </c>
      <c r="E6672" t="str">
        <f>"00"</f>
        <v>00</v>
      </c>
      <c r="F6672" t="str">
        <f>"875"</f>
        <v>875</v>
      </c>
      <c r="G6672">
        <v>9</v>
      </c>
      <c r="H6672" t="str">
        <f>"23"</f>
        <v>23</v>
      </c>
      <c r="I6672" t="str">
        <f t="shared" si="1476"/>
        <v>0</v>
      </c>
      <c r="J6672" t="str">
        <f>"23"</f>
        <v>23</v>
      </c>
      <c r="K6672">
        <v>20190607</v>
      </c>
      <c r="L6672" t="str">
        <f>"077093"</f>
        <v>077093</v>
      </c>
      <c r="M6672" t="str">
        <f>"51475"</f>
        <v>51475</v>
      </c>
      <c r="N6672" t="s">
        <v>3195</v>
      </c>
      <c r="O6672" s="1">
        <v>1982.97</v>
      </c>
      <c r="P6672">
        <v>20190606</v>
      </c>
      <c r="Q6672" t="s">
        <v>3196</v>
      </c>
      <c r="R6672" t="s">
        <v>5306</v>
      </c>
      <c r="S6672" t="s">
        <v>1615</v>
      </c>
      <c r="T6672" t="s">
        <v>2041</v>
      </c>
    </row>
    <row r="6673" spans="1:20" x14ac:dyDescent="0.25">
      <c r="A6673">
        <v>9</v>
      </c>
      <c r="B6673">
        <v>199</v>
      </c>
      <c r="C6673" t="str">
        <f>"51"</f>
        <v>51</v>
      </c>
      <c r="D6673">
        <v>6249</v>
      </c>
      <c r="E6673" t="str">
        <f>"M1"</f>
        <v>M1</v>
      </c>
      <c r="F6673" t="str">
        <f>"936"</f>
        <v>936</v>
      </c>
      <c r="G6673">
        <v>9</v>
      </c>
      <c r="H6673" t="str">
        <f>"99"</f>
        <v>99</v>
      </c>
      <c r="I6673" t="str">
        <f t="shared" si="1476"/>
        <v>0</v>
      </c>
      <c r="J6673" t="str">
        <f>"81"</f>
        <v>81</v>
      </c>
      <c r="K6673">
        <v>20190607</v>
      </c>
      <c r="L6673" t="str">
        <f>"077094"</f>
        <v>077094</v>
      </c>
      <c r="M6673" t="str">
        <f>"00181"</f>
        <v>00181</v>
      </c>
      <c r="N6673" t="s">
        <v>1762</v>
      </c>
      <c r="O6673">
        <v>320</v>
      </c>
      <c r="P6673">
        <v>20190606</v>
      </c>
      <c r="Q6673" t="s">
        <v>1763</v>
      </c>
      <c r="R6673" s="2">
        <v>43617</v>
      </c>
      <c r="S6673" t="s">
        <v>1615</v>
      </c>
      <c r="T6673" t="s">
        <v>1713</v>
      </c>
    </row>
    <row r="6674" spans="1:20" x14ac:dyDescent="0.25">
      <c r="A6674">
        <v>9</v>
      </c>
      <c r="B6674">
        <v>199</v>
      </c>
      <c r="C6674" t="str">
        <f>"11"</f>
        <v>11</v>
      </c>
      <c r="D6674">
        <v>6399</v>
      </c>
      <c r="E6674" t="str">
        <f>"45"</f>
        <v>45</v>
      </c>
      <c r="F6674" t="str">
        <f>"104"</f>
        <v>104</v>
      </c>
      <c r="G6674">
        <v>9</v>
      </c>
      <c r="H6674" t="str">
        <f>"11"</f>
        <v>11</v>
      </c>
      <c r="I6674" t="str">
        <f t="shared" si="1476"/>
        <v>0</v>
      </c>
      <c r="J6674" t="str">
        <f>"05"</f>
        <v>05</v>
      </c>
      <c r="K6674">
        <v>20190607</v>
      </c>
      <c r="L6674" t="str">
        <f>"077095"</f>
        <v>077095</v>
      </c>
      <c r="M6674" t="str">
        <f>"56564"</f>
        <v>56564</v>
      </c>
      <c r="N6674" t="s">
        <v>4765</v>
      </c>
      <c r="O6674">
        <v>141.88</v>
      </c>
      <c r="P6674">
        <v>20190606</v>
      </c>
      <c r="Q6674" t="s">
        <v>2069</v>
      </c>
      <c r="R6674" t="s">
        <v>5307</v>
      </c>
      <c r="S6674" t="s">
        <v>1615</v>
      </c>
      <c r="T6674" t="s">
        <v>46</v>
      </c>
    </row>
    <row r="6675" spans="1:20" x14ac:dyDescent="0.25">
      <c r="A6675">
        <v>9</v>
      </c>
      <c r="B6675">
        <v>199</v>
      </c>
      <c r="C6675" t="str">
        <f>"31"</f>
        <v>31</v>
      </c>
      <c r="D6675">
        <v>6399</v>
      </c>
      <c r="E6675" t="str">
        <f>"7F"</f>
        <v>7F</v>
      </c>
      <c r="F6675" t="str">
        <f>"101"</f>
        <v>101</v>
      </c>
      <c r="G6675">
        <v>9</v>
      </c>
      <c r="H6675" t="str">
        <f>"99"</f>
        <v>99</v>
      </c>
      <c r="I6675" t="str">
        <f t="shared" si="1476"/>
        <v>0</v>
      </c>
      <c r="J6675" t="str">
        <f>"04"</f>
        <v>04</v>
      </c>
      <c r="K6675">
        <v>20190607</v>
      </c>
      <c r="L6675" t="str">
        <f>"077095"</f>
        <v>077095</v>
      </c>
      <c r="M6675" t="str">
        <f>"56564"</f>
        <v>56564</v>
      </c>
      <c r="N6675" t="s">
        <v>4765</v>
      </c>
      <c r="O6675">
        <v>77.88</v>
      </c>
      <c r="P6675">
        <v>20190606</v>
      </c>
      <c r="Q6675" t="s">
        <v>5186</v>
      </c>
      <c r="R6675" t="s">
        <v>5308</v>
      </c>
      <c r="S6675" t="s">
        <v>1615</v>
      </c>
      <c r="T6675" t="s">
        <v>1479</v>
      </c>
    </row>
    <row r="6676" spans="1:20" x14ac:dyDescent="0.25">
      <c r="A6676">
        <v>9</v>
      </c>
      <c r="B6676">
        <v>199</v>
      </c>
      <c r="C6676" t="str">
        <f>"31"</f>
        <v>31</v>
      </c>
      <c r="D6676">
        <v>6399</v>
      </c>
      <c r="E6676" t="str">
        <f>"7F"</f>
        <v>7F</v>
      </c>
      <c r="F6676" t="str">
        <f>"101"</f>
        <v>101</v>
      </c>
      <c r="G6676">
        <v>9</v>
      </c>
      <c r="H6676" t="str">
        <f>"99"</f>
        <v>99</v>
      </c>
      <c r="I6676" t="str">
        <f t="shared" si="1476"/>
        <v>0</v>
      </c>
      <c r="J6676" t="str">
        <f>"04"</f>
        <v>04</v>
      </c>
      <c r="K6676">
        <v>20190607</v>
      </c>
      <c r="L6676" t="str">
        <f>"077095"</f>
        <v>077095</v>
      </c>
      <c r="M6676" t="str">
        <f>"56564"</f>
        <v>56564</v>
      </c>
      <c r="N6676" t="s">
        <v>4765</v>
      </c>
      <c r="O6676">
        <v>377.52</v>
      </c>
      <c r="P6676">
        <v>20190606</v>
      </c>
      <c r="Q6676" t="s">
        <v>5186</v>
      </c>
      <c r="R6676" t="s">
        <v>5309</v>
      </c>
      <c r="S6676" t="s">
        <v>1615</v>
      </c>
      <c r="T6676" t="s">
        <v>1479</v>
      </c>
    </row>
    <row r="6677" spans="1:20" x14ac:dyDescent="0.25">
      <c r="A6677">
        <v>9</v>
      </c>
      <c r="B6677">
        <v>199</v>
      </c>
      <c r="C6677" t="str">
        <f>"11"</f>
        <v>11</v>
      </c>
      <c r="D6677">
        <v>6339</v>
      </c>
      <c r="E6677" t="str">
        <f>"10"</f>
        <v>10</v>
      </c>
      <c r="F6677" t="str">
        <f>"041"</f>
        <v>041</v>
      </c>
      <c r="G6677">
        <v>9</v>
      </c>
      <c r="H6677" t="str">
        <f>"11"</f>
        <v>11</v>
      </c>
      <c r="I6677" t="str">
        <f t="shared" si="1476"/>
        <v>0</v>
      </c>
      <c r="J6677" t="str">
        <f>"03"</f>
        <v>03</v>
      </c>
      <c r="K6677">
        <v>20190607</v>
      </c>
      <c r="L6677" t="str">
        <f>"077096"</f>
        <v>077096</v>
      </c>
      <c r="M6677" t="str">
        <f>"51606"</f>
        <v>51606</v>
      </c>
      <c r="N6677" t="s">
        <v>2286</v>
      </c>
      <c r="O6677">
        <v>15</v>
      </c>
      <c r="P6677">
        <v>20190606</v>
      </c>
      <c r="Q6677" t="s">
        <v>4683</v>
      </c>
      <c r="R6677" t="s">
        <v>5310</v>
      </c>
      <c r="S6677" t="s">
        <v>1615</v>
      </c>
      <c r="T6677" t="s">
        <v>106</v>
      </c>
    </row>
    <row r="6678" spans="1:20" x14ac:dyDescent="0.25">
      <c r="A6678">
        <v>9</v>
      </c>
      <c r="B6678">
        <v>199</v>
      </c>
      <c r="C6678" t="str">
        <f>"51"</f>
        <v>51</v>
      </c>
      <c r="D6678">
        <v>6249</v>
      </c>
      <c r="E6678" t="str">
        <f>"M9"</f>
        <v>M9</v>
      </c>
      <c r="F6678" t="str">
        <f>"936"</f>
        <v>936</v>
      </c>
      <c r="G6678">
        <v>9</v>
      </c>
      <c r="H6678" t="str">
        <f>"99"</f>
        <v>99</v>
      </c>
      <c r="I6678" t="str">
        <f t="shared" si="1476"/>
        <v>0</v>
      </c>
      <c r="J6678" t="str">
        <f>"81"</f>
        <v>81</v>
      </c>
      <c r="K6678">
        <v>20190607</v>
      </c>
      <c r="L6678" t="str">
        <f>"077097"</f>
        <v>077097</v>
      </c>
      <c r="M6678" t="str">
        <f>"58173"</f>
        <v>58173</v>
      </c>
      <c r="N6678" t="s">
        <v>1764</v>
      </c>
      <c r="O6678">
        <v>600</v>
      </c>
      <c r="P6678">
        <v>20190606</v>
      </c>
      <c r="Q6678" t="s">
        <v>2289</v>
      </c>
      <c r="R6678" s="2">
        <v>43586</v>
      </c>
      <c r="S6678" t="s">
        <v>1615</v>
      </c>
      <c r="T6678" t="s">
        <v>1713</v>
      </c>
    </row>
    <row r="6679" spans="1:20" x14ac:dyDescent="0.25">
      <c r="A6679">
        <v>9</v>
      </c>
      <c r="B6679">
        <v>199</v>
      </c>
      <c r="C6679" t="str">
        <f>"51"</f>
        <v>51</v>
      </c>
      <c r="D6679">
        <v>6319</v>
      </c>
      <c r="E6679" t="str">
        <f>"M2"</f>
        <v>M2</v>
      </c>
      <c r="F6679" t="str">
        <f>"936"</f>
        <v>936</v>
      </c>
      <c r="G6679">
        <v>9</v>
      </c>
      <c r="H6679" t="str">
        <f>"99"</f>
        <v>99</v>
      </c>
      <c r="I6679" t="str">
        <f t="shared" si="1476"/>
        <v>0</v>
      </c>
      <c r="J6679" t="str">
        <f>"81"</f>
        <v>81</v>
      </c>
      <c r="K6679">
        <v>20190607</v>
      </c>
      <c r="L6679" t="str">
        <f>"077097"</f>
        <v>077097</v>
      </c>
      <c r="M6679" t="str">
        <f>"58173"</f>
        <v>58173</v>
      </c>
      <c r="N6679" t="s">
        <v>1764</v>
      </c>
      <c r="O6679">
        <v>195</v>
      </c>
      <c r="P6679">
        <v>20190606</v>
      </c>
      <c r="Q6679" t="s">
        <v>2074</v>
      </c>
      <c r="R6679" t="s">
        <v>5311</v>
      </c>
      <c r="S6679" t="s">
        <v>1615</v>
      </c>
      <c r="T6679" t="s">
        <v>1713</v>
      </c>
    </row>
    <row r="6680" spans="1:20" x14ac:dyDescent="0.25">
      <c r="A6680">
        <v>9</v>
      </c>
      <c r="B6680">
        <v>199</v>
      </c>
      <c r="C6680" t="str">
        <f>"11"</f>
        <v>11</v>
      </c>
      <c r="D6680">
        <v>6339</v>
      </c>
      <c r="E6680" t="str">
        <f>"11"</f>
        <v>11</v>
      </c>
      <c r="F6680" t="str">
        <f t="shared" ref="F6680:F6685" si="1477">"041"</f>
        <v>041</v>
      </c>
      <c r="G6680">
        <v>9</v>
      </c>
      <c r="H6680" t="str">
        <f>"11"</f>
        <v>11</v>
      </c>
      <c r="I6680" t="str">
        <f t="shared" si="1476"/>
        <v>0</v>
      </c>
      <c r="J6680" t="str">
        <f t="shared" ref="J6680:J6685" si="1478">"03"</f>
        <v>03</v>
      </c>
      <c r="K6680">
        <v>20190607</v>
      </c>
      <c r="L6680" t="str">
        <f t="shared" ref="L6680:L6685" si="1479">"077098"</f>
        <v>077098</v>
      </c>
      <c r="M6680" t="str">
        <f t="shared" ref="M6680:M6685" si="1480">"58202"</f>
        <v>58202</v>
      </c>
      <c r="N6680" t="s">
        <v>2781</v>
      </c>
      <c r="O6680">
        <v>14.7</v>
      </c>
      <c r="P6680">
        <v>20190606</v>
      </c>
      <c r="Q6680" t="s">
        <v>5312</v>
      </c>
      <c r="R6680" t="s">
        <v>5313</v>
      </c>
      <c r="S6680" t="s">
        <v>1615</v>
      </c>
      <c r="T6680" t="s">
        <v>106</v>
      </c>
    </row>
    <row r="6681" spans="1:20" x14ac:dyDescent="0.25">
      <c r="A6681">
        <v>9</v>
      </c>
      <c r="B6681">
        <v>199</v>
      </c>
      <c r="C6681" t="str">
        <f>"11"</f>
        <v>11</v>
      </c>
      <c r="D6681">
        <v>6399</v>
      </c>
      <c r="E6681" t="str">
        <f>"10"</f>
        <v>10</v>
      </c>
      <c r="F6681" t="str">
        <f t="shared" si="1477"/>
        <v>041</v>
      </c>
      <c r="G6681">
        <v>9</v>
      </c>
      <c r="H6681" t="str">
        <f>"11"</f>
        <v>11</v>
      </c>
      <c r="I6681" t="str">
        <f t="shared" si="1476"/>
        <v>0</v>
      </c>
      <c r="J6681" t="str">
        <f t="shared" si="1478"/>
        <v>03</v>
      </c>
      <c r="K6681">
        <v>20190607</v>
      </c>
      <c r="L6681" t="str">
        <f t="shared" si="1479"/>
        <v>077098</v>
      </c>
      <c r="M6681" t="str">
        <f t="shared" si="1480"/>
        <v>58202</v>
      </c>
      <c r="N6681" t="s">
        <v>2781</v>
      </c>
      <c r="O6681">
        <v>4.82</v>
      </c>
      <c r="P6681">
        <v>20190606</v>
      </c>
      <c r="Q6681" t="s">
        <v>2956</v>
      </c>
      <c r="R6681" t="s">
        <v>5314</v>
      </c>
      <c r="S6681" t="s">
        <v>1615</v>
      </c>
      <c r="T6681" t="s">
        <v>106</v>
      </c>
    </row>
    <row r="6682" spans="1:20" x14ac:dyDescent="0.25">
      <c r="A6682">
        <v>9</v>
      </c>
      <c r="B6682">
        <v>199</v>
      </c>
      <c r="C6682" t="str">
        <f>"11"</f>
        <v>11</v>
      </c>
      <c r="D6682">
        <v>6399</v>
      </c>
      <c r="E6682" t="str">
        <f>"45"</f>
        <v>45</v>
      </c>
      <c r="F6682" t="str">
        <f t="shared" si="1477"/>
        <v>041</v>
      </c>
      <c r="G6682">
        <v>9</v>
      </c>
      <c r="H6682" t="str">
        <f>"11"</f>
        <v>11</v>
      </c>
      <c r="I6682" t="str">
        <f t="shared" si="1476"/>
        <v>0</v>
      </c>
      <c r="J6682" t="str">
        <f t="shared" si="1478"/>
        <v>03</v>
      </c>
      <c r="K6682">
        <v>20190607</v>
      </c>
      <c r="L6682" t="str">
        <f t="shared" si="1479"/>
        <v>077098</v>
      </c>
      <c r="M6682" t="str">
        <f t="shared" si="1480"/>
        <v>58202</v>
      </c>
      <c r="N6682" t="s">
        <v>2781</v>
      </c>
      <c r="O6682">
        <v>3.34</v>
      </c>
      <c r="P6682">
        <v>20190606</v>
      </c>
      <c r="Q6682" t="s">
        <v>2204</v>
      </c>
      <c r="R6682" t="s">
        <v>5315</v>
      </c>
      <c r="S6682" t="s">
        <v>1615</v>
      </c>
      <c r="T6682" t="s">
        <v>106</v>
      </c>
    </row>
    <row r="6683" spans="1:20" x14ac:dyDescent="0.25">
      <c r="A6683">
        <v>9</v>
      </c>
      <c r="B6683">
        <v>199</v>
      </c>
      <c r="C6683" t="str">
        <f>"23"</f>
        <v>23</v>
      </c>
      <c r="D6683">
        <v>6498</v>
      </c>
      <c r="E6683" t="str">
        <f>"99"</f>
        <v>99</v>
      </c>
      <c r="F6683" t="str">
        <f t="shared" si="1477"/>
        <v>041</v>
      </c>
      <c r="G6683">
        <v>9</v>
      </c>
      <c r="H6683" t="str">
        <f t="shared" ref="H6683:H6696" si="1481">"99"</f>
        <v>99</v>
      </c>
      <c r="I6683" t="str">
        <f t="shared" si="1476"/>
        <v>0</v>
      </c>
      <c r="J6683" t="str">
        <f t="shared" si="1478"/>
        <v>03</v>
      </c>
      <c r="K6683">
        <v>20190607</v>
      </c>
      <c r="L6683" t="str">
        <f t="shared" si="1479"/>
        <v>077098</v>
      </c>
      <c r="M6683" t="str">
        <f t="shared" si="1480"/>
        <v>58202</v>
      </c>
      <c r="N6683" t="s">
        <v>2781</v>
      </c>
      <c r="O6683">
        <v>82.8</v>
      </c>
      <c r="P6683">
        <v>20190606</v>
      </c>
      <c r="Q6683" t="s">
        <v>2140</v>
      </c>
      <c r="R6683" t="s">
        <v>5316</v>
      </c>
      <c r="S6683" t="s">
        <v>1615</v>
      </c>
      <c r="T6683" t="s">
        <v>106</v>
      </c>
    </row>
    <row r="6684" spans="1:20" x14ac:dyDescent="0.25">
      <c r="A6684">
        <v>9</v>
      </c>
      <c r="B6684">
        <v>199</v>
      </c>
      <c r="C6684" t="str">
        <f>"23"</f>
        <v>23</v>
      </c>
      <c r="D6684">
        <v>6498</v>
      </c>
      <c r="E6684" t="str">
        <f>"99"</f>
        <v>99</v>
      </c>
      <c r="F6684" t="str">
        <f t="shared" si="1477"/>
        <v>041</v>
      </c>
      <c r="G6684">
        <v>9</v>
      </c>
      <c r="H6684" t="str">
        <f t="shared" si="1481"/>
        <v>99</v>
      </c>
      <c r="I6684" t="str">
        <f t="shared" si="1476"/>
        <v>0</v>
      </c>
      <c r="J6684" t="str">
        <f t="shared" si="1478"/>
        <v>03</v>
      </c>
      <c r="K6684">
        <v>20190607</v>
      </c>
      <c r="L6684" t="str">
        <f t="shared" si="1479"/>
        <v>077098</v>
      </c>
      <c r="M6684" t="str">
        <f t="shared" si="1480"/>
        <v>58202</v>
      </c>
      <c r="N6684" t="s">
        <v>2781</v>
      </c>
      <c r="O6684">
        <v>30.22</v>
      </c>
      <c r="P6684">
        <v>20190606</v>
      </c>
      <c r="Q6684" t="s">
        <v>2140</v>
      </c>
      <c r="R6684" t="s">
        <v>5317</v>
      </c>
      <c r="S6684" t="s">
        <v>1615</v>
      </c>
      <c r="T6684" t="s">
        <v>106</v>
      </c>
    </row>
    <row r="6685" spans="1:20" x14ac:dyDescent="0.25">
      <c r="A6685">
        <v>9</v>
      </c>
      <c r="B6685">
        <v>199</v>
      </c>
      <c r="C6685" t="str">
        <f>"23"</f>
        <v>23</v>
      </c>
      <c r="D6685">
        <v>6498</v>
      </c>
      <c r="E6685" t="str">
        <f>"99"</f>
        <v>99</v>
      </c>
      <c r="F6685" t="str">
        <f t="shared" si="1477"/>
        <v>041</v>
      </c>
      <c r="G6685">
        <v>9</v>
      </c>
      <c r="H6685" t="str">
        <f t="shared" si="1481"/>
        <v>99</v>
      </c>
      <c r="I6685" t="str">
        <f t="shared" si="1476"/>
        <v>0</v>
      </c>
      <c r="J6685" t="str">
        <f t="shared" si="1478"/>
        <v>03</v>
      </c>
      <c r="K6685">
        <v>20190607</v>
      </c>
      <c r="L6685" t="str">
        <f t="shared" si="1479"/>
        <v>077098</v>
      </c>
      <c r="M6685" t="str">
        <f t="shared" si="1480"/>
        <v>58202</v>
      </c>
      <c r="N6685" t="s">
        <v>2781</v>
      </c>
      <c r="O6685">
        <v>5.85</v>
      </c>
      <c r="P6685">
        <v>20190606</v>
      </c>
      <c r="Q6685" t="s">
        <v>2140</v>
      </c>
      <c r="R6685" t="s">
        <v>5318</v>
      </c>
      <c r="S6685" t="s">
        <v>1615</v>
      </c>
      <c r="T6685" t="s">
        <v>106</v>
      </c>
    </row>
    <row r="6686" spans="1:20" x14ac:dyDescent="0.25">
      <c r="A6686">
        <v>9</v>
      </c>
      <c r="B6686">
        <v>199</v>
      </c>
      <c r="C6686" t="str">
        <f t="shared" ref="C6686:C6694" si="1482">"34"</f>
        <v>34</v>
      </c>
      <c r="D6686">
        <v>6299</v>
      </c>
      <c r="E6686" t="str">
        <f t="shared" ref="E6686:E6694" si="1483">"10"</f>
        <v>10</v>
      </c>
      <c r="F6686" t="str">
        <f t="shared" ref="F6686:F6694" si="1484">"937"</f>
        <v>937</v>
      </c>
      <c r="G6686">
        <v>9</v>
      </c>
      <c r="H6686" t="str">
        <f t="shared" si="1481"/>
        <v>99</v>
      </c>
      <c r="I6686" t="str">
        <f t="shared" si="1476"/>
        <v>0</v>
      </c>
      <c r="J6686" t="str">
        <f t="shared" ref="J6686:J6694" si="1485">"82"</f>
        <v>82</v>
      </c>
      <c r="K6686">
        <v>20190607</v>
      </c>
      <c r="L6686" t="str">
        <f t="shared" ref="L6686:L6694" si="1486">"077099"</f>
        <v>077099</v>
      </c>
      <c r="M6686" t="str">
        <f t="shared" ref="M6686:M6694" si="1487">"58927"</f>
        <v>58927</v>
      </c>
      <c r="N6686" t="s">
        <v>1772</v>
      </c>
      <c r="O6686">
        <v>165</v>
      </c>
      <c r="P6686">
        <v>20190606</v>
      </c>
      <c r="Q6686" t="s">
        <v>2292</v>
      </c>
      <c r="R6686" t="s">
        <v>1773</v>
      </c>
      <c r="S6686" t="s">
        <v>1615</v>
      </c>
      <c r="T6686" t="s">
        <v>1810</v>
      </c>
    </row>
    <row r="6687" spans="1:20" x14ac:dyDescent="0.25">
      <c r="A6687">
        <v>9</v>
      </c>
      <c r="B6687">
        <v>199</v>
      </c>
      <c r="C6687" t="str">
        <f t="shared" si="1482"/>
        <v>34</v>
      </c>
      <c r="D6687">
        <v>6299</v>
      </c>
      <c r="E6687" t="str">
        <f t="shared" si="1483"/>
        <v>10</v>
      </c>
      <c r="F6687" t="str">
        <f t="shared" si="1484"/>
        <v>937</v>
      </c>
      <c r="G6687">
        <v>9</v>
      </c>
      <c r="H6687" t="str">
        <f t="shared" si="1481"/>
        <v>99</v>
      </c>
      <c r="I6687" t="str">
        <f t="shared" si="1476"/>
        <v>0</v>
      </c>
      <c r="J6687" t="str">
        <f t="shared" si="1485"/>
        <v>82</v>
      </c>
      <c r="K6687">
        <v>20190607</v>
      </c>
      <c r="L6687" t="str">
        <f t="shared" si="1486"/>
        <v>077099</v>
      </c>
      <c r="M6687" t="str">
        <f t="shared" si="1487"/>
        <v>58927</v>
      </c>
      <c r="N6687" t="s">
        <v>1772</v>
      </c>
      <c r="O6687">
        <v>180</v>
      </c>
      <c r="P6687">
        <v>20190606</v>
      </c>
      <c r="Q6687" t="s">
        <v>2292</v>
      </c>
      <c r="R6687" t="s">
        <v>1774</v>
      </c>
      <c r="S6687" t="s">
        <v>1615</v>
      </c>
      <c r="T6687" t="s">
        <v>1810</v>
      </c>
    </row>
    <row r="6688" spans="1:20" x14ac:dyDescent="0.25">
      <c r="A6688">
        <v>9</v>
      </c>
      <c r="B6688">
        <v>199</v>
      </c>
      <c r="C6688" t="str">
        <f t="shared" si="1482"/>
        <v>34</v>
      </c>
      <c r="D6688">
        <v>6299</v>
      </c>
      <c r="E6688" t="str">
        <f t="shared" si="1483"/>
        <v>10</v>
      </c>
      <c r="F6688" t="str">
        <f t="shared" si="1484"/>
        <v>937</v>
      </c>
      <c r="G6688">
        <v>9</v>
      </c>
      <c r="H6688" t="str">
        <f t="shared" si="1481"/>
        <v>99</v>
      </c>
      <c r="I6688" t="str">
        <f t="shared" si="1476"/>
        <v>0</v>
      </c>
      <c r="J6688" t="str">
        <f t="shared" si="1485"/>
        <v>82</v>
      </c>
      <c r="K6688">
        <v>20190607</v>
      </c>
      <c r="L6688" t="str">
        <f t="shared" si="1486"/>
        <v>077099</v>
      </c>
      <c r="M6688" t="str">
        <f t="shared" si="1487"/>
        <v>58927</v>
      </c>
      <c r="N6688" t="s">
        <v>1772</v>
      </c>
      <c r="O6688">
        <v>60</v>
      </c>
      <c r="P6688">
        <v>20190606</v>
      </c>
      <c r="Q6688" t="s">
        <v>2292</v>
      </c>
      <c r="R6688" t="s">
        <v>1774</v>
      </c>
      <c r="S6688" t="s">
        <v>1615</v>
      </c>
      <c r="T6688" t="s">
        <v>1810</v>
      </c>
    </row>
    <row r="6689" spans="1:20" x14ac:dyDescent="0.25">
      <c r="A6689">
        <v>9</v>
      </c>
      <c r="B6689">
        <v>199</v>
      </c>
      <c r="C6689" t="str">
        <f t="shared" si="1482"/>
        <v>34</v>
      </c>
      <c r="D6689">
        <v>6299</v>
      </c>
      <c r="E6689" t="str">
        <f t="shared" si="1483"/>
        <v>10</v>
      </c>
      <c r="F6689" t="str">
        <f t="shared" si="1484"/>
        <v>937</v>
      </c>
      <c r="G6689">
        <v>9</v>
      </c>
      <c r="H6689" t="str">
        <f t="shared" si="1481"/>
        <v>99</v>
      </c>
      <c r="I6689" t="str">
        <f t="shared" si="1476"/>
        <v>0</v>
      </c>
      <c r="J6689" t="str">
        <f t="shared" si="1485"/>
        <v>82</v>
      </c>
      <c r="K6689">
        <v>20190607</v>
      </c>
      <c r="L6689" t="str">
        <f t="shared" si="1486"/>
        <v>077099</v>
      </c>
      <c r="M6689" t="str">
        <f t="shared" si="1487"/>
        <v>58927</v>
      </c>
      <c r="N6689" t="s">
        <v>1772</v>
      </c>
      <c r="O6689">
        <v>415</v>
      </c>
      <c r="P6689">
        <v>20190606</v>
      </c>
      <c r="Q6689" t="s">
        <v>2292</v>
      </c>
      <c r="R6689" t="s">
        <v>5319</v>
      </c>
      <c r="S6689" t="s">
        <v>1615</v>
      </c>
      <c r="T6689" t="s">
        <v>1810</v>
      </c>
    </row>
    <row r="6690" spans="1:20" x14ac:dyDescent="0.25">
      <c r="A6690">
        <v>9</v>
      </c>
      <c r="B6690">
        <v>199</v>
      </c>
      <c r="C6690" t="str">
        <f t="shared" si="1482"/>
        <v>34</v>
      </c>
      <c r="D6690">
        <v>6299</v>
      </c>
      <c r="E6690" t="str">
        <f t="shared" si="1483"/>
        <v>10</v>
      </c>
      <c r="F6690" t="str">
        <f t="shared" si="1484"/>
        <v>937</v>
      </c>
      <c r="G6690">
        <v>9</v>
      </c>
      <c r="H6690" t="str">
        <f t="shared" si="1481"/>
        <v>99</v>
      </c>
      <c r="I6690" t="str">
        <f t="shared" si="1476"/>
        <v>0</v>
      </c>
      <c r="J6690" t="str">
        <f t="shared" si="1485"/>
        <v>82</v>
      </c>
      <c r="K6690">
        <v>20190607</v>
      </c>
      <c r="L6690" t="str">
        <f t="shared" si="1486"/>
        <v>077099</v>
      </c>
      <c r="M6690" t="str">
        <f t="shared" si="1487"/>
        <v>58927</v>
      </c>
      <c r="N6690" t="s">
        <v>1772</v>
      </c>
      <c r="O6690" s="1">
        <v>1260</v>
      </c>
      <c r="P6690">
        <v>20190606</v>
      </c>
      <c r="Q6690" t="s">
        <v>2292</v>
      </c>
      <c r="R6690" t="s">
        <v>5320</v>
      </c>
      <c r="S6690" t="s">
        <v>1615</v>
      </c>
      <c r="T6690" t="s">
        <v>1810</v>
      </c>
    </row>
    <row r="6691" spans="1:20" x14ac:dyDescent="0.25">
      <c r="A6691">
        <v>9</v>
      </c>
      <c r="B6691">
        <v>199</v>
      </c>
      <c r="C6691" t="str">
        <f t="shared" si="1482"/>
        <v>34</v>
      </c>
      <c r="D6691">
        <v>6299</v>
      </c>
      <c r="E6691" t="str">
        <f t="shared" si="1483"/>
        <v>10</v>
      </c>
      <c r="F6691" t="str">
        <f t="shared" si="1484"/>
        <v>937</v>
      </c>
      <c r="G6691">
        <v>9</v>
      </c>
      <c r="H6691" t="str">
        <f t="shared" si="1481"/>
        <v>99</v>
      </c>
      <c r="I6691" t="str">
        <f t="shared" si="1476"/>
        <v>0</v>
      </c>
      <c r="J6691" t="str">
        <f t="shared" si="1485"/>
        <v>82</v>
      </c>
      <c r="K6691">
        <v>20190607</v>
      </c>
      <c r="L6691" t="str">
        <f t="shared" si="1486"/>
        <v>077099</v>
      </c>
      <c r="M6691" t="str">
        <f t="shared" si="1487"/>
        <v>58927</v>
      </c>
      <c r="N6691" t="s">
        <v>1772</v>
      </c>
      <c r="O6691">
        <v>55</v>
      </c>
      <c r="P6691">
        <v>20190606</v>
      </c>
      <c r="Q6691" t="s">
        <v>2292</v>
      </c>
      <c r="R6691" t="s">
        <v>1773</v>
      </c>
      <c r="S6691" t="s">
        <v>1615</v>
      </c>
      <c r="T6691" t="s">
        <v>1810</v>
      </c>
    </row>
    <row r="6692" spans="1:20" x14ac:dyDescent="0.25">
      <c r="A6692">
        <v>9</v>
      </c>
      <c r="B6692">
        <v>199</v>
      </c>
      <c r="C6692" t="str">
        <f t="shared" si="1482"/>
        <v>34</v>
      </c>
      <c r="D6692">
        <v>6299</v>
      </c>
      <c r="E6692" t="str">
        <f t="shared" si="1483"/>
        <v>10</v>
      </c>
      <c r="F6692" t="str">
        <f t="shared" si="1484"/>
        <v>937</v>
      </c>
      <c r="G6692">
        <v>9</v>
      </c>
      <c r="H6692" t="str">
        <f t="shared" si="1481"/>
        <v>99</v>
      </c>
      <c r="I6692" t="str">
        <f t="shared" si="1476"/>
        <v>0</v>
      </c>
      <c r="J6692" t="str">
        <f t="shared" si="1485"/>
        <v>82</v>
      </c>
      <c r="K6692">
        <v>20190607</v>
      </c>
      <c r="L6692" t="str">
        <f t="shared" si="1486"/>
        <v>077099</v>
      </c>
      <c r="M6692" t="str">
        <f t="shared" si="1487"/>
        <v>58927</v>
      </c>
      <c r="N6692" t="s">
        <v>1772</v>
      </c>
      <c r="O6692">
        <v>60</v>
      </c>
      <c r="P6692">
        <v>20190606</v>
      </c>
      <c r="Q6692" t="s">
        <v>2292</v>
      </c>
      <c r="R6692" t="s">
        <v>1774</v>
      </c>
      <c r="S6692" t="s">
        <v>1615</v>
      </c>
      <c r="T6692" t="s">
        <v>1810</v>
      </c>
    </row>
    <row r="6693" spans="1:20" x14ac:dyDescent="0.25">
      <c r="A6693">
        <v>9</v>
      </c>
      <c r="B6693">
        <v>199</v>
      </c>
      <c r="C6693" t="str">
        <f t="shared" si="1482"/>
        <v>34</v>
      </c>
      <c r="D6693">
        <v>6299</v>
      </c>
      <c r="E6693" t="str">
        <f t="shared" si="1483"/>
        <v>10</v>
      </c>
      <c r="F6693" t="str">
        <f t="shared" si="1484"/>
        <v>937</v>
      </c>
      <c r="G6693">
        <v>9</v>
      </c>
      <c r="H6693" t="str">
        <f t="shared" si="1481"/>
        <v>99</v>
      </c>
      <c r="I6693" t="str">
        <f t="shared" si="1476"/>
        <v>0</v>
      </c>
      <c r="J6693" t="str">
        <f t="shared" si="1485"/>
        <v>82</v>
      </c>
      <c r="K6693">
        <v>20190607</v>
      </c>
      <c r="L6693" t="str">
        <f t="shared" si="1486"/>
        <v>077099</v>
      </c>
      <c r="M6693" t="str">
        <f t="shared" si="1487"/>
        <v>58927</v>
      </c>
      <c r="N6693" t="s">
        <v>1772</v>
      </c>
      <c r="O6693">
        <v>195</v>
      </c>
      <c r="P6693">
        <v>20190606</v>
      </c>
      <c r="Q6693" t="s">
        <v>2292</v>
      </c>
      <c r="R6693" t="s">
        <v>5319</v>
      </c>
      <c r="S6693" t="s">
        <v>1615</v>
      </c>
      <c r="T6693" t="s">
        <v>1810</v>
      </c>
    </row>
    <row r="6694" spans="1:20" x14ac:dyDescent="0.25">
      <c r="A6694">
        <v>9</v>
      </c>
      <c r="B6694">
        <v>199</v>
      </c>
      <c r="C6694" t="str">
        <f t="shared" si="1482"/>
        <v>34</v>
      </c>
      <c r="D6694">
        <v>6299</v>
      </c>
      <c r="E6694" t="str">
        <f t="shared" si="1483"/>
        <v>10</v>
      </c>
      <c r="F6694" t="str">
        <f t="shared" si="1484"/>
        <v>937</v>
      </c>
      <c r="G6694">
        <v>9</v>
      </c>
      <c r="H6694" t="str">
        <f t="shared" si="1481"/>
        <v>99</v>
      </c>
      <c r="I6694" t="str">
        <f t="shared" si="1476"/>
        <v>0</v>
      </c>
      <c r="J6694" t="str">
        <f t="shared" si="1485"/>
        <v>82</v>
      </c>
      <c r="K6694">
        <v>20190607</v>
      </c>
      <c r="L6694" t="str">
        <f t="shared" si="1486"/>
        <v>077099</v>
      </c>
      <c r="M6694" t="str">
        <f t="shared" si="1487"/>
        <v>58927</v>
      </c>
      <c r="N6694" t="s">
        <v>1772</v>
      </c>
      <c r="O6694">
        <v>300</v>
      </c>
      <c r="P6694">
        <v>20190606</v>
      </c>
      <c r="Q6694" t="s">
        <v>2292</v>
      </c>
      <c r="R6694" t="s">
        <v>4935</v>
      </c>
      <c r="S6694" t="s">
        <v>1615</v>
      </c>
      <c r="T6694" t="s">
        <v>1810</v>
      </c>
    </row>
    <row r="6695" spans="1:20" x14ac:dyDescent="0.25">
      <c r="A6695">
        <v>9</v>
      </c>
      <c r="B6695">
        <v>199</v>
      </c>
      <c r="C6695" t="str">
        <f>"36"</f>
        <v>36</v>
      </c>
      <c r="D6695">
        <v>6499</v>
      </c>
      <c r="E6695" t="str">
        <f>"7K"</f>
        <v>7K</v>
      </c>
      <c r="F6695" t="str">
        <f>"001"</f>
        <v>001</v>
      </c>
      <c r="G6695">
        <v>9</v>
      </c>
      <c r="H6695" t="str">
        <f t="shared" si="1481"/>
        <v>99</v>
      </c>
      <c r="I6695" t="str">
        <f t="shared" si="1476"/>
        <v>0</v>
      </c>
      <c r="J6695" t="str">
        <f>"01"</f>
        <v>01</v>
      </c>
      <c r="K6695">
        <v>20190607</v>
      </c>
      <c r="L6695" t="str">
        <f>"077100"</f>
        <v>077100</v>
      </c>
      <c r="M6695" t="str">
        <f>"00462"</f>
        <v>00462</v>
      </c>
      <c r="N6695" t="s">
        <v>5321</v>
      </c>
      <c r="O6695">
        <v>230</v>
      </c>
      <c r="P6695">
        <v>20190606</v>
      </c>
      <c r="Q6695" t="s">
        <v>4909</v>
      </c>
      <c r="R6695" t="s">
        <v>5322</v>
      </c>
      <c r="S6695" t="s">
        <v>1615</v>
      </c>
      <c r="T6695" t="s">
        <v>301</v>
      </c>
    </row>
    <row r="6696" spans="1:20" x14ac:dyDescent="0.25">
      <c r="A6696">
        <v>9</v>
      </c>
      <c r="B6696">
        <v>199</v>
      </c>
      <c r="C6696" t="str">
        <f>"41"</f>
        <v>41</v>
      </c>
      <c r="D6696">
        <v>6399</v>
      </c>
      <c r="E6696" t="str">
        <f>"10"</f>
        <v>10</v>
      </c>
      <c r="F6696" t="str">
        <f>"726"</f>
        <v>726</v>
      </c>
      <c r="G6696">
        <v>9</v>
      </c>
      <c r="H6696" t="str">
        <f t="shared" si="1481"/>
        <v>99</v>
      </c>
      <c r="I6696" t="str">
        <f t="shared" si="1476"/>
        <v>0</v>
      </c>
      <c r="J6696" t="str">
        <f>"91"</f>
        <v>91</v>
      </c>
      <c r="K6696">
        <v>20190607</v>
      </c>
      <c r="L6696" t="str">
        <f>"077101"</f>
        <v>077101</v>
      </c>
      <c r="M6696" t="str">
        <f>"60179"</f>
        <v>60179</v>
      </c>
      <c r="N6696" t="s">
        <v>3908</v>
      </c>
      <c r="O6696">
        <v>324.14999999999998</v>
      </c>
      <c r="P6696">
        <v>20190606</v>
      </c>
      <c r="Q6696" t="s">
        <v>2702</v>
      </c>
      <c r="R6696" t="s">
        <v>3909</v>
      </c>
      <c r="S6696" t="s">
        <v>1615</v>
      </c>
      <c r="T6696" t="s">
        <v>2608</v>
      </c>
    </row>
    <row r="6697" spans="1:20" x14ac:dyDescent="0.25">
      <c r="A6697">
        <v>9</v>
      </c>
      <c r="B6697">
        <v>199</v>
      </c>
      <c r="C6697" t="str">
        <f>"00"</f>
        <v>00</v>
      </c>
      <c r="D6697">
        <v>1415</v>
      </c>
      <c r="E6697" t="str">
        <f>"01"</f>
        <v>01</v>
      </c>
      <c r="F6697" t="str">
        <f>"000"</f>
        <v>000</v>
      </c>
      <c r="G6697">
        <v>9</v>
      </c>
      <c r="H6697" t="str">
        <f>"00"</f>
        <v>00</v>
      </c>
      <c r="I6697" t="str">
        <f t="shared" si="1476"/>
        <v>0</v>
      </c>
      <c r="J6697" t="str">
        <f>"00"</f>
        <v>00</v>
      </c>
      <c r="K6697">
        <v>20190607</v>
      </c>
      <c r="L6697" t="str">
        <f>"077103"</f>
        <v>077103</v>
      </c>
      <c r="M6697" t="str">
        <f>"60362"</f>
        <v>60362</v>
      </c>
      <c r="N6697" t="s">
        <v>2296</v>
      </c>
      <c r="O6697" s="1">
        <v>4040</v>
      </c>
      <c r="P6697">
        <v>20190606</v>
      </c>
      <c r="Q6697" t="s">
        <v>2297</v>
      </c>
      <c r="R6697" t="s">
        <v>5323</v>
      </c>
      <c r="S6697" t="s">
        <v>1615</v>
      </c>
      <c r="T6697" t="s">
        <v>296</v>
      </c>
    </row>
    <row r="6698" spans="1:20" x14ac:dyDescent="0.25">
      <c r="A6698">
        <v>9</v>
      </c>
      <c r="B6698">
        <v>199</v>
      </c>
      <c r="C6698" t="str">
        <f>"41"</f>
        <v>41</v>
      </c>
      <c r="D6698">
        <v>6499</v>
      </c>
      <c r="E6698" t="str">
        <f>"10"</f>
        <v>10</v>
      </c>
      <c r="F6698" t="str">
        <f>"720"</f>
        <v>720</v>
      </c>
      <c r="G6698">
        <v>9</v>
      </c>
      <c r="H6698" t="str">
        <f>"99"</f>
        <v>99</v>
      </c>
      <c r="I6698" t="str">
        <f t="shared" si="1476"/>
        <v>0</v>
      </c>
      <c r="J6698" t="str">
        <f>"91"</f>
        <v>91</v>
      </c>
      <c r="K6698">
        <v>20190607</v>
      </c>
      <c r="L6698" t="str">
        <f>"077103"</f>
        <v>077103</v>
      </c>
      <c r="M6698" t="str">
        <f>"60362"</f>
        <v>60362</v>
      </c>
      <c r="N6698" t="s">
        <v>2296</v>
      </c>
      <c r="O6698">
        <v>41</v>
      </c>
      <c r="P6698">
        <v>20190606</v>
      </c>
      <c r="Q6698" t="s">
        <v>4555</v>
      </c>
      <c r="R6698" t="s">
        <v>5323</v>
      </c>
      <c r="S6698" t="s">
        <v>1615</v>
      </c>
      <c r="T6698" t="s">
        <v>2045</v>
      </c>
    </row>
    <row r="6699" spans="1:20" x14ac:dyDescent="0.25">
      <c r="A6699">
        <v>9</v>
      </c>
      <c r="B6699">
        <v>199</v>
      </c>
      <c r="C6699" t="str">
        <f>"23"</f>
        <v>23</v>
      </c>
      <c r="D6699">
        <v>6411</v>
      </c>
      <c r="E6699" t="str">
        <f>"10"</f>
        <v>10</v>
      </c>
      <c r="F6699" t="str">
        <f>"001"</f>
        <v>001</v>
      </c>
      <c r="G6699">
        <v>9</v>
      </c>
      <c r="H6699" t="str">
        <f>"99"</f>
        <v>99</v>
      </c>
      <c r="I6699" t="str">
        <f>"1"</f>
        <v>1</v>
      </c>
      <c r="J6699" t="str">
        <f>"01"</f>
        <v>01</v>
      </c>
      <c r="K6699">
        <v>20190607</v>
      </c>
      <c r="L6699" t="str">
        <f>"077104"</f>
        <v>077104</v>
      </c>
      <c r="M6699" t="str">
        <f>"00833"</f>
        <v>00833</v>
      </c>
      <c r="N6699" t="s">
        <v>5324</v>
      </c>
      <c r="O6699">
        <v>50.18</v>
      </c>
      <c r="P6699">
        <v>20190606</v>
      </c>
      <c r="Q6699" t="s">
        <v>2464</v>
      </c>
      <c r="R6699" t="s">
        <v>5325</v>
      </c>
      <c r="S6699" t="s">
        <v>1615</v>
      </c>
      <c r="T6699" t="s">
        <v>301</v>
      </c>
    </row>
    <row r="6700" spans="1:20" x14ac:dyDescent="0.25">
      <c r="A6700">
        <v>9</v>
      </c>
      <c r="B6700">
        <v>199</v>
      </c>
      <c r="C6700" t="str">
        <f>"11"</f>
        <v>11</v>
      </c>
      <c r="D6700">
        <v>6411</v>
      </c>
      <c r="E6700" t="str">
        <f>"LK"</f>
        <v>LK</v>
      </c>
      <c r="F6700" t="str">
        <f>"002"</f>
        <v>002</v>
      </c>
      <c r="G6700">
        <v>9</v>
      </c>
      <c r="H6700" t="str">
        <f>"11"</f>
        <v>11</v>
      </c>
      <c r="I6700" t="str">
        <f t="shared" ref="I6700:I6734" si="1488">"0"</f>
        <v>0</v>
      </c>
      <c r="J6700" t="str">
        <f>"02"</f>
        <v>02</v>
      </c>
      <c r="K6700">
        <v>20190607</v>
      </c>
      <c r="L6700" t="str">
        <f>"077106"</f>
        <v>077106</v>
      </c>
      <c r="M6700" t="str">
        <f>"62686"</f>
        <v>62686</v>
      </c>
      <c r="N6700" t="s">
        <v>3233</v>
      </c>
      <c r="O6700">
        <v>177.23</v>
      </c>
      <c r="P6700">
        <v>20190606</v>
      </c>
      <c r="Q6700" t="s">
        <v>3234</v>
      </c>
      <c r="R6700" t="s">
        <v>5326</v>
      </c>
      <c r="S6700" t="s">
        <v>1615</v>
      </c>
      <c r="T6700" t="s">
        <v>1485</v>
      </c>
    </row>
    <row r="6701" spans="1:20" x14ac:dyDescent="0.25">
      <c r="A6701">
        <v>9</v>
      </c>
      <c r="B6701">
        <v>199</v>
      </c>
      <c r="C6701" t="str">
        <f>"11"</f>
        <v>11</v>
      </c>
      <c r="D6701">
        <v>6399</v>
      </c>
      <c r="E6701" t="str">
        <f>"7K"</f>
        <v>7K</v>
      </c>
      <c r="F6701" t="str">
        <f>"001"</f>
        <v>001</v>
      </c>
      <c r="G6701">
        <v>9</v>
      </c>
      <c r="H6701" t="str">
        <f>"11"</f>
        <v>11</v>
      </c>
      <c r="I6701" t="str">
        <f t="shared" si="1488"/>
        <v>0</v>
      </c>
      <c r="J6701" t="str">
        <f>"01"</f>
        <v>01</v>
      </c>
      <c r="K6701">
        <v>20190607</v>
      </c>
      <c r="L6701" t="str">
        <f>"077107"</f>
        <v>077107</v>
      </c>
      <c r="M6701" t="str">
        <f>"64955"</f>
        <v>64955</v>
      </c>
      <c r="N6701" t="s">
        <v>3451</v>
      </c>
      <c r="O6701">
        <v>44.7</v>
      </c>
      <c r="P6701">
        <v>20190606</v>
      </c>
      <c r="Q6701" t="s">
        <v>1671</v>
      </c>
      <c r="R6701" t="s">
        <v>3551</v>
      </c>
      <c r="S6701" t="s">
        <v>1615</v>
      </c>
      <c r="T6701" t="s">
        <v>301</v>
      </c>
    </row>
    <row r="6702" spans="1:20" x14ac:dyDescent="0.25">
      <c r="A6702">
        <v>9</v>
      </c>
      <c r="B6702">
        <v>199</v>
      </c>
      <c r="C6702" t="str">
        <f>"23"</f>
        <v>23</v>
      </c>
      <c r="D6702">
        <v>6498</v>
      </c>
      <c r="E6702" t="str">
        <f>"99"</f>
        <v>99</v>
      </c>
      <c r="F6702" t="str">
        <f>"041"</f>
        <v>041</v>
      </c>
      <c r="G6702">
        <v>9</v>
      </c>
      <c r="H6702" t="str">
        <f>"99"</f>
        <v>99</v>
      </c>
      <c r="I6702" t="str">
        <f t="shared" si="1488"/>
        <v>0</v>
      </c>
      <c r="J6702" t="str">
        <f>"03"</f>
        <v>03</v>
      </c>
      <c r="K6702">
        <v>20190607</v>
      </c>
      <c r="L6702" t="str">
        <f>"077108"</f>
        <v>077108</v>
      </c>
      <c r="M6702" t="str">
        <f>"65235"</f>
        <v>65235</v>
      </c>
      <c r="N6702" t="s">
        <v>3250</v>
      </c>
      <c r="O6702">
        <v>42.47</v>
      </c>
      <c r="P6702">
        <v>20190606</v>
      </c>
      <c r="Q6702" t="s">
        <v>2140</v>
      </c>
      <c r="R6702" t="s">
        <v>5327</v>
      </c>
      <c r="S6702" t="s">
        <v>1615</v>
      </c>
      <c r="T6702" t="s">
        <v>106</v>
      </c>
    </row>
    <row r="6703" spans="1:20" x14ac:dyDescent="0.25">
      <c r="A6703">
        <v>9</v>
      </c>
      <c r="B6703">
        <v>199</v>
      </c>
      <c r="C6703" t="str">
        <f>"23"</f>
        <v>23</v>
      </c>
      <c r="D6703">
        <v>6498</v>
      </c>
      <c r="E6703" t="str">
        <f>"99"</f>
        <v>99</v>
      </c>
      <c r="F6703" t="str">
        <f>"041"</f>
        <v>041</v>
      </c>
      <c r="G6703">
        <v>9</v>
      </c>
      <c r="H6703" t="str">
        <f>"99"</f>
        <v>99</v>
      </c>
      <c r="I6703" t="str">
        <f t="shared" si="1488"/>
        <v>0</v>
      </c>
      <c r="J6703" t="str">
        <f>"03"</f>
        <v>03</v>
      </c>
      <c r="K6703">
        <v>20190607</v>
      </c>
      <c r="L6703" t="str">
        <f>"077108"</f>
        <v>077108</v>
      </c>
      <c r="M6703" t="str">
        <f>"65235"</f>
        <v>65235</v>
      </c>
      <c r="N6703" t="s">
        <v>3250</v>
      </c>
      <c r="O6703">
        <v>37.979999999999997</v>
      </c>
      <c r="P6703">
        <v>20190606</v>
      </c>
      <c r="Q6703" t="s">
        <v>2140</v>
      </c>
      <c r="R6703" t="s">
        <v>5328</v>
      </c>
      <c r="S6703" t="s">
        <v>1615</v>
      </c>
      <c r="T6703" t="s">
        <v>106</v>
      </c>
    </row>
    <row r="6704" spans="1:20" x14ac:dyDescent="0.25">
      <c r="A6704">
        <v>9</v>
      </c>
      <c r="B6704">
        <v>199</v>
      </c>
      <c r="C6704" t="str">
        <f>"11"</f>
        <v>11</v>
      </c>
      <c r="D6704">
        <v>6499</v>
      </c>
      <c r="E6704" t="str">
        <f>"7Q"</f>
        <v>7Q</v>
      </c>
      <c r="F6704" t="str">
        <f>"001"</f>
        <v>001</v>
      </c>
      <c r="G6704">
        <v>9</v>
      </c>
      <c r="H6704" t="str">
        <f>"11"</f>
        <v>11</v>
      </c>
      <c r="I6704" t="str">
        <f t="shared" si="1488"/>
        <v>0</v>
      </c>
      <c r="J6704" t="str">
        <f>"01"</f>
        <v>01</v>
      </c>
      <c r="K6704">
        <v>20190607</v>
      </c>
      <c r="L6704" t="str">
        <f>"077110"</f>
        <v>077110</v>
      </c>
      <c r="M6704" t="str">
        <f>"71250"</f>
        <v>71250</v>
      </c>
      <c r="N6704" t="s">
        <v>1389</v>
      </c>
      <c r="O6704">
        <v>353.23</v>
      </c>
      <c r="P6704">
        <v>20190606</v>
      </c>
      <c r="Q6704" t="s">
        <v>4215</v>
      </c>
      <c r="R6704" t="s">
        <v>5329</v>
      </c>
      <c r="S6704" t="s">
        <v>1615</v>
      </c>
      <c r="T6704" t="s">
        <v>301</v>
      </c>
    </row>
    <row r="6705" spans="1:20" x14ac:dyDescent="0.25">
      <c r="A6705">
        <v>9</v>
      </c>
      <c r="B6705">
        <v>199</v>
      </c>
      <c r="C6705" t="str">
        <f>"31"</f>
        <v>31</v>
      </c>
      <c r="D6705">
        <v>6499</v>
      </c>
      <c r="E6705" t="str">
        <f>"7F"</f>
        <v>7F</v>
      </c>
      <c r="F6705" t="str">
        <f>"001"</f>
        <v>001</v>
      </c>
      <c r="G6705">
        <v>9</v>
      </c>
      <c r="H6705" t="str">
        <f>"31"</f>
        <v>31</v>
      </c>
      <c r="I6705" t="str">
        <f t="shared" si="1488"/>
        <v>0</v>
      </c>
      <c r="J6705" t="str">
        <f>"34"</f>
        <v>34</v>
      </c>
      <c r="K6705">
        <v>20190607</v>
      </c>
      <c r="L6705" t="str">
        <f>"077110"</f>
        <v>077110</v>
      </c>
      <c r="M6705" t="str">
        <f>"71250"</f>
        <v>71250</v>
      </c>
      <c r="N6705" t="s">
        <v>1389</v>
      </c>
      <c r="O6705">
        <v>126.28</v>
      </c>
      <c r="P6705">
        <v>20190606</v>
      </c>
      <c r="Q6705" t="s">
        <v>2880</v>
      </c>
      <c r="R6705" t="s">
        <v>5094</v>
      </c>
      <c r="S6705" t="s">
        <v>1615</v>
      </c>
      <c r="T6705" t="s">
        <v>301</v>
      </c>
    </row>
    <row r="6706" spans="1:20" x14ac:dyDescent="0.25">
      <c r="A6706">
        <v>9</v>
      </c>
      <c r="B6706">
        <v>199</v>
      </c>
      <c r="C6706" t="str">
        <f>"51"</f>
        <v>51</v>
      </c>
      <c r="D6706">
        <v>6249</v>
      </c>
      <c r="E6706" t="str">
        <f>"WF"</f>
        <v>WF</v>
      </c>
      <c r="F6706" t="str">
        <f>"936"</f>
        <v>936</v>
      </c>
      <c r="G6706">
        <v>9</v>
      </c>
      <c r="H6706" t="str">
        <f>"99"</f>
        <v>99</v>
      </c>
      <c r="I6706" t="str">
        <f t="shared" si="1488"/>
        <v>0</v>
      </c>
      <c r="J6706" t="str">
        <f>"82"</f>
        <v>82</v>
      </c>
      <c r="K6706">
        <v>20190607</v>
      </c>
      <c r="L6706" t="str">
        <f>"077111"</f>
        <v>077111</v>
      </c>
      <c r="M6706" t="str">
        <f>"71225"</f>
        <v>71225</v>
      </c>
      <c r="N6706" t="s">
        <v>1803</v>
      </c>
      <c r="O6706">
        <v>362.99</v>
      </c>
      <c r="P6706">
        <v>20190606</v>
      </c>
      <c r="Q6706" t="s">
        <v>2127</v>
      </c>
      <c r="R6706" t="s">
        <v>5330</v>
      </c>
      <c r="S6706" t="s">
        <v>1615</v>
      </c>
      <c r="T6706" t="s">
        <v>1713</v>
      </c>
    </row>
    <row r="6707" spans="1:20" x14ac:dyDescent="0.25">
      <c r="A6707">
        <v>9</v>
      </c>
      <c r="B6707">
        <v>199</v>
      </c>
      <c r="C6707" t="str">
        <f>"00"</f>
        <v>00</v>
      </c>
      <c r="D6707">
        <v>1312</v>
      </c>
      <c r="E6707" t="str">
        <f>"00"</f>
        <v>00</v>
      </c>
      <c r="F6707" t="str">
        <f>"000"</f>
        <v>000</v>
      </c>
      <c r="G6707">
        <v>9</v>
      </c>
      <c r="H6707" t="str">
        <f>"00"</f>
        <v>00</v>
      </c>
      <c r="I6707" t="str">
        <f t="shared" si="1488"/>
        <v>0</v>
      </c>
      <c r="J6707" t="str">
        <f>"00"</f>
        <v>00</v>
      </c>
      <c r="K6707">
        <v>20190607</v>
      </c>
      <c r="L6707" t="str">
        <f>"077112"</f>
        <v>077112</v>
      </c>
      <c r="M6707" t="str">
        <f>"00822"</f>
        <v>00822</v>
      </c>
      <c r="N6707" t="s">
        <v>5331</v>
      </c>
      <c r="O6707">
        <v>309.38</v>
      </c>
      <c r="P6707">
        <v>20190606</v>
      </c>
      <c r="Q6707" t="s">
        <v>1860</v>
      </c>
      <c r="R6707" t="s">
        <v>5332</v>
      </c>
      <c r="S6707" t="s">
        <v>1615</v>
      </c>
      <c r="T6707" t="s">
        <v>296</v>
      </c>
    </row>
    <row r="6708" spans="1:20" x14ac:dyDescent="0.25">
      <c r="A6708">
        <v>9</v>
      </c>
      <c r="B6708">
        <v>199</v>
      </c>
      <c r="C6708" t="str">
        <f t="shared" ref="C6708:C6720" si="1489">"11"</f>
        <v>11</v>
      </c>
      <c r="D6708">
        <v>6399</v>
      </c>
      <c r="E6708" t="str">
        <f t="shared" ref="E6708:E6720" si="1490">"45"</f>
        <v>45</v>
      </c>
      <c r="F6708" t="str">
        <f>"101"</f>
        <v>101</v>
      </c>
      <c r="G6708">
        <v>9</v>
      </c>
      <c r="H6708" t="str">
        <f t="shared" ref="H6708:H6720" si="1491">"11"</f>
        <v>11</v>
      </c>
      <c r="I6708" t="str">
        <f t="shared" si="1488"/>
        <v>0</v>
      </c>
      <c r="J6708" t="str">
        <f>"04"</f>
        <v>04</v>
      </c>
      <c r="K6708">
        <v>20190607</v>
      </c>
      <c r="L6708" t="str">
        <f t="shared" ref="L6708:L6724" si="1492">"077113"</f>
        <v>077113</v>
      </c>
      <c r="M6708" t="str">
        <f t="shared" ref="M6708:M6724" si="1493">"72730"</f>
        <v>72730</v>
      </c>
      <c r="N6708" t="s">
        <v>639</v>
      </c>
      <c r="O6708">
        <v>161.47</v>
      </c>
      <c r="P6708">
        <v>20190606</v>
      </c>
      <c r="Q6708" t="s">
        <v>1859</v>
      </c>
      <c r="R6708" t="s">
        <v>2793</v>
      </c>
      <c r="S6708" t="s">
        <v>1615</v>
      </c>
      <c r="T6708" t="s">
        <v>1479</v>
      </c>
    </row>
    <row r="6709" spans="1:20" x14ac:dyDescent="0.25">
      <c r="A6709">
        <v>9</v>
      </c>
      <c r="B6709">
        <v>199</v>
      </c>
      <c r="C6709" t="str">
        <f t="shared" si="1489"/>
        <v>11</v>
      </c>
      <c r="D6709">
        <v>6399</v>
      </c>
      <c r="E6709" t="str">
        <f t="shared" si="1490"/>
        <v>45</v>
      </c>
      <c r="F6709" t="str">
        <f>"101"</f>
        <v>101</v>
      </c>
      <c r="G6709">
        <v>9</v>
      </c>
      <c r="H6709" t="str">
        <f t="shared" si="1491"/>
        <v>11</v>
      </c>
      <c r="I6709" t="str">
        <f t="shared" si="1488"/>
        <v>0</v>
      </c>
      <c r="J6709" t="str">
        <f>"04"</f>
        <v>04</v>
      </c>
      <c r="K6709">
        <v>20190607</v>
      </c>
      <c r="L6709" t="str">
        <f t="shared" si="1492"/>
        <v>077113</v>
      </c>
      <c r="M6709" t="str">
        <f t="shared" si="1493"/>
        <v>72730</v>
      </c>
      <c r="N6709" t="s">
        <v>639</v>
      </c>
      <c r="O6709">
        <v>35.18</v>
      </c>
      <c r="P6709">
        <v>20190606</v>
      </c>
      <c r="Q6709" t="s">
        <v>1859</v>
      </c>
      <c r="R6709" t="s">
        <v>5333</v>
      </c>
      <c r="S6709" t="s">
        <v>1615</v>
      </c>
      <c r="T6709" t="s">
        <v>1479</v>
      </c>
    </row>
    <row r="6710" spans="1:20" x14ac:dyDescent="0.25">
      <c r="A6710">
        <v>9</v>
      </c>
      <c r="B6710">
        <v>199</v>
      </c>
      <c r="C6710" t="str">
        <f t="shared" si="1489"/>
        <v>11</v>
      </c>
      <c r="D6710">
        <v>6399</v>
      </c>
      <c r="E6710" t="str">
        <f t="shared" si="1490"/>
        <v>45</v>
      </c>
      <c r="F6710" t="str">
        <f t="shared" ref="F6710:F6720" si="1494">"104"</f>
        <v>104</v>
      </c>
      <c r="G6710">
        <v>9</v>
      </c>
      <c r="H6710" t="str">
        <f t="shared" si="1491"/>
        <v>11</v>
      </c>
      <c r="I6710" t="str">
        <f t="shared" si="1488"/>
        <v>0</v>
      </c>
      <c r="J6710" t="str">
        <f t="shared" ref="J6710:J6720" si="1495">"05"</f>
        <v>05</v>
      </c>
      <c r="K6710">
        <v>20190607</v>
      </c>
      <c r="L6710" t="str">
        <f t="shared" si="1492"/>
        <v>077113</v>
      </c>
      <c r="M6710" t="str">
        <f t="shared" si="1493"/>
        <v>72730</v>
      </c>
      <c r="N6710" t="s">
        <v>639</v>
      </c>
      <c r="O6710">
        <v>388.45</v>
      </c>
      <c r="P6710">
        <v>20190606</v>
      </c>
      <c r="Q6710" t="s">
        <v>2069</v>
      </c>
      <c r="R6710" t="s">
        <v>5334</v>
      </c>
      <c r="S6710" t="s">
        <v>1615</v>
      </c>
      <c r="T6710" t="s">
        <v>46</v>
      </c>
    </row>
    <row r="6711" spans="1:20" x14ac:dyDescent="0.25">
      <c r="A6711">
        <v>9</v>
      </c>
      <c r="B6711">
        <v>199</v>
      </c>
      <c r="C6711" t="str">
        <f t="shared" si="1489"/>
        <v>11</v>
      </c>
      <c r="D6711">
        <v>6399</v>
      </c>
      <c r="E6711" t="str">
        <f t="shared" si="1490"/>
        <v>45</v>
      </c>
      <c r="F6711" t="str">
        <f t="shared" si="1494"/>
        <v>104</v>
      </c>
      <c r="G6711">
        <v>9</v>
      </c>
      <c r="H6711" t="str">
        <f t="shared" si="1491"/>
        <v>11</v>
      </c>
      <c r="I6711" t="str">
        <f t="shared" si="1488"/>
        <v>0</v>
      </c>
      <c r="J6711" t="str">
        <f t="shared" si="1495"/>
        <v>05</v>
      </c>
      <c r="K6711">
        <v>20190607</v>
      </c>
      <c r="L6711" t="str">
        <f t="shared" si="1492"/>
        <v>077113</v>
      </c>
      <c r="M6711" t="str">
        <f t="shared" si="1493"/>
        <v>72730</v>
      </c>
      <c r="N6711" t="s">
        <v>639</v>
      </c>
      <c r="O6711" s="1">
        <v>1197.23</v>
      </c>
      <c r="P6711">
        <v>20190606</v>
      </c>
      <c r="Q6711" t="s">
        <v>2069</v>
      </c>
      <c r="R6711" t="s">
        <v>5335</v>
      </c>
      <c r="S6711" t="s">
        <v>1615</v>
      </c>
      <c r="T6711" t="s">
        <v>46</v>
      </c>
    </row>
    <row r="6712" spans="1:20" x14ac:dyDescent="0.25">
      <c r="A6712">
        <v>9</v>
      </c>
      <c r="B6712">
        <v>199</v>
      </c>
      <c r="C6712" t="str">
        <f t="shared" si="1489"/>
        <v>11</v>
      </c>
      <c r="D6712">
        <v>6399</v>
      </c>
      <c r="E6712" t="str">
        <f t="shared" si="1490"/>
        <v>45</v>
      </c>
      <c r="F6712" t="str">
        <f t="shared" si="1494"/>
        <v>104</v>
      </c>
      <c r="G6712">
        <v>9</v>
      </c>
      <c r="H6712" t="str">
        <f t="shared" si="1491"/>
        <v>11</v>
      </c>
      <c r="I6712" t="str">
        <f t="shared" si="1488"/>
        <v>0</v>
      </c>
      <c r="J6712" t="str">
        <f t="shared" si="1495"/>
        <v>05</v>
      </c>
      <c r="K6712">
        <v>20190607</v>
      </c>
      <c r="L6712" t="str">
        <f t="shared" si="1492"/>
        <v>077113</v>
      </c>
      <c r="M6712" t="str">
        <f t="shared" si="1493"/>
        <v>72730</v>
      </c>
      <c r="N6712" t="s">
        <v>639</v>
      </c>
      <c r="O6712">
        <v>75.56</v>
      </c>
      <c r="P6712">
        <v>20190606</v>
      </c>
      <c r="Q6712" t="s">
        <v>2069</v>
      </c>
      <c r="R6712" t="s">
        <v>5335</v>
      </c>
      <c r="S6712" t="s">
        <v>1615</v>
      </c>
      <c r="T6712" t="s">
        <v>46</v>
      </c>
    </row>
    <row r="6713" spans="1:20" x14ac:dyDescent="0.25">
      <c r="A6713">
        <v>9</v>
      </c>
      <c r="B6713">
        <v>199</v>
      </c>
      <c r="C6713" t="str">
        <f t="shared" si="1489"/>
        <v>11</v>
      </c>
      <c r="D6713">
        <v>6399</v>
      </c>
      <c r="E6713" t="str">
        <f t="shared" si="1490"/>
        <v>45</v>
      </c>
      <c r="F6713" t="str">
        <f t="shared" si="1494"/>
        <v>104</v>
      </c>
      <c r="G6713">
        <v>9</v>
      </c>
      <c r="H6713" t="str">
        <f t="shared" si="1491"/>
        <v>11</v>
      </c>
      <c r="I6713" t="str">
        <f t="shared" si="1488"/>
        <v>0</v>
      </c>
      <c r="J6713" t="str">
        <f t="shared" si="1495"/>
        <v>05</v>
      </c>
      <c r="K6713">
        <v>20190607</v>
      </c>
      <c r="L6713" t="str">
        <f t="shared" si="1492"/>
        <v>077113</v>
      </c>
      <c r="M6713" t="str">
        <f t="shared" si="1493"/>
        <v>72730</v>
      </c>
      <c r="N6713" t="s">
        <v>639</v>
      </c>
      <c r="O6713">
        <v>12.23</v>
      </c>
      <c r="P6713">
        <v>20190606</v>
      </c>
      <c r="Q6713" t="s">
        <v>2069</v>
      </c>
      <c r="R6713" t="s">
        <v>5336</v>
      </c>
      <c r="S6713" t="s">
        <v>1615</v>
      </c>
      <c r="T6713" t="s">
        <v>46</v>
      </c>
    </row>
    <row r="6714" spans="1:20" x14ac:dyDescent="0.25">
      <c r="A6714">
        <v>9</v>
      </c>
      <c r="B6714">
        <v>199</v>
      </c>
      <c r="C6714" t="str">
        <f t="shared" si="1489"/>
        <v>11</v>
      </c>
      <c r="D6714">
        <v>6399</v>
      </c>
      <c r="E6714" t="str">
        <f t="shared" si="1490"/>
        <v>45</v>
      </c>
      <c r="F6714" t="str">
        <f t="shared" si="1494"/>
        <v>104</v>
      </c>
      <c r="G6714">
        <v>9</v>
      </c>
      <c r="H6714" t="str">
        <f t="shared" si="1491"/>
        <v>11</v>
      </c>
      <c r="I6714" t="str">
        <f t="shared" si="1488"/>
        <v>0</v>
      </c>
      <c r="J6714" t="str">
        <f t="shared" si="1495"/>
        <v>05</v>
      </c>
      <c r="K6714">
        <v>20190607</v>
      </c>
      <c r="L6714" t="str">
        <f t="shared" si="1492"/>
        <v>077113</v>
      </c>
      <c r="M6714" t="str">
        <f t="shared" si="1493"/>
        <v>72730</v>
      </c>
      <c r="N6714" t="s">
        <v>639</v>
      </c>
      <c r="O6714">
        <v>15.74</v>
      </c>
      <c r="P6714">
        <v>20190606</v>
      </c>
      <c r="Q6714" t="s">
        <v>2069</v>
      </c>
      <c r="R6714" t="s">
        <v>5337</v>
      </c>
      <c r="S6714" t="s">
        <v>1615</v>
      </c>
      <c r="T6714" t="s">
        <v>46</v>
      </c>
    </row>
    <row r="6715" spans="1:20" x14ac:dyDescent="0.25">
      <c r="A6715">
        <v>9</v>
      </c>
      <c r="B6715">
        <v>199</v>
      </c>
      <c r="C6715" t="str">
        <f t="shared" si="1489"/>
        <v>11</v>
      </c>
      <c r="D6715">
        <v>6399</v>
      </c>
      <c r="E6715" t="str">
        <f t="shared" si="1490"/>
        <v>45</v>
      </c>
      <c r="F6715" t="str">
        <f t="shared" si="1494"/>
        <v>104</v>
      </c>
      <c r="G6715">
        <v>9</v>
      </c>
      <c r="H6715" t="str">
        <f t="shared" si="1491"/>
        <v>11</v>
      </c>
      <c r="I6715" t="str">
        <f t="shared" si="1488"/>
        <v>0</v>
      </c>
      <c r="J6715" t="str">
        <f t="shared" si="1495"/>
        <v>05</v>
      </c>
      <c r="K6715">
        <v>20190607</v>
      </c>
      <c r="L6715" t="str">
        <f t="shared" si="1492"/>
        <v>077113</v>
      </c>
      <c r="M6715" t="str">
        <f t="shared" si="1493"/>
        <v>72730</v>
      </c>
      <c r="N6715" t="s">
        <v>639</v>
      </c>
      <c r="O6715">
        <v>12.99</v>
      </c>
      <c r="P6715">
        <v>20190606</v>
      </c>
      <c r="Q6715" t="s">
        <v>2069</v>
      </c>
      <c r="R6715" t="s">
        <v>5338</v>
      </c>
      <c r="S6715" t="s">
        <v>1615</v>
      </c>
      <c r="T6715" t="s">
        <v>46</v>
      </c>
    </row>
    <row r="6716" spans="1:20" x14ac:dyDescent="0.25">
      <c r="A6716">
        <v>9</v>
      </c>
      <c r="B6716">
        <v>199</v>
      </c>
      <c r="C6716" t="str">
        <f t="shared" si="1489"/>
        <v>11</v>
      </c>
      <c r="D6716">
        <v>6399</v>
      </c>
      <c r="E6716" t="str">
        <f t="shared" si="1490"/>
        <v>45</v>
      </c>
      <c r="F6716" t="str">
        <f t="shared" si="1494"/>
        <v>104</v>
      </c>
      <c r="G6716">
        <v>9</v>
      </c>
      <c r="H6716" t="str">
        <f t="shared" si="1491"/>
        <v>11</v>
      </c>
      <c r="I6716" t="str">
        <f t="shared" si="1488"/>
        <v>0</v>
      </c>
      <c r="J6716" t="str">
        <f t="shared" si="1495"/>
        <v>05</v>
      </c>
      <c r="K6716">
        <v>20190607</v>
      </c>
      <c r="L6716" t="str">
        <f t="shared" si="1492"/>
        <v>077113</v>
      </c>
      <c r="M6716" t="str">
        <f t="shared" si="1493"/>
        <v>72730</v>
      </c>
      <c r="N6716" t="s">
        <v>639</v>
      </c>
      <c r="O6716">
        <v>15.49</v>
      </c>
      <c r="P6716">
        <v>20190606</v>
      </c>
      <c r="Q6716" t="s">
        <v>2069</v>
      </c>
      <c r="R6716" t="s">
        <v>5339</v>
      </c>
      <c r="S6716" t="s">
        <v>1615</v>
      </c>
      <c r="T6716" t="s">
        <v>46</v>
      </c>
    </row>
    <row r="6717" spans="1:20" x14ac:dyDescent="0.25">
      <c r="A6717">
        <v>9</v>
      </c>
      <c r="B6717">
        <v>199</v>
      </c>
      <c r="C6717" t="str">
        <f t="shared" si="1489"/>
        <v>11</v>
      </c>
      <c r="D6717">
        <v>6399</v>
      </c>
      <c r="E6717" t="str">
        <f t="shared" si="1490"/>
        <v>45</v>
      </c>
      <c r="F6717" t="str">
        <f t="shared" si="1494"/>
        <v>104</v>
      </c>
      <c r="G6717">
        <v>9</v>
      </c>
      <c r="H6717" t="str">
        <f t="shared" si="1491"/>
        <v>11</v>
      </c>
      <c r="I6717" t="str">
        <f t="shared" si="1488"/>
        <v>0</v>
      </c>
      <c r="J6717" t="str">
        <f t="shared" si="1495"/>
        <v>05</v>
      </c>
      <c r="K6717">
        <v>20190607</v>
      </c>
      <c r="L6717" t="str">
        <f t="shared" si="1492"/>
        <v>077113</v>
      </c>
      <c r="M6717" t="str">
        <f t="shared" si="1493"/>
        <v>72730</v>
      </c>
      <c r="N6717" t="s">
        <v>639</v>
      </c>
      <c r="O6717">
        <v>13.39</v>
      </c>
      <c r="P6717">
        <v>20190606</v>
      </c>
      <c r="Q6717" t="s">
        <v>2069</v>
      </c>
      <c r="R6717" t="s">
        <v>5340</v>
      </c>
      <c r="S6717" t="s">
        <v>1615</v>
      </c>
      <c r="T6717" t="s">
        <v>46</v>
      </c>
    </row>
    <row r="6718" spans="1:20" x14ac:dyDescent="0.25">
      <c r="A6718">
        <v>9</v>
      </c>
      <c r="B6718">
        <v>199</v>
      </c>
      <c r="C6718" t="str">
        <f t="shared" si="1489"/>
        <v>11</v>
      </c>
      <c r="D6718">
        <v>6399</v>
      </c>
      <c r="E6718" t="str">
        <f t="shared" si="1490"/>
        <v>45</v>
      </c>
      <c r="F6718" t="str">
        <f t="shared" si="1494"/>
        <v>104</v>
      </c>
      <c r="G6718">
        <v>9</v>
      </c>
      <c r="H6718" t="str">
        <f t="shared" si="1491"/>
        <v>11</v>
      </c>
      <c r="I6718" t="str">
        <f t="shared" si="1488"/>
        <v>0</v>
      </c>
      <c r="J6718" t="str">
        <f t="shared" si="1495"/>
        <v>05</v>
      </c>
      <c r="K6718">
        <v>20190607</v>
      </c>
      <c r="L6718" t="str">
        <f t="shared" si="1492"/>
        <v>077113</v>
      </c>
      <c r="M6718" t="str">
        <f t="shared" si="1493"/>
        <v>72730</v>
      </c>
      <c r="N6718" t="s">
        <v>639</v>
      </c>
      <c r="O6718">
        <v>48.59</v>
      </c>
      <c r="P6718">
        <v>20190606</v>
      </c>
      <c r="Q6718" t="s">
        <v>2069</v>
      </c>
      <c r="R6718" t="s">
        <v>5341</v>
      </c>
      <c r="S6718" t="s">
        <v>1615</v>
      </c>
      <c r="T6718" t="s">
        <v>46</v>
      </c>
    </row>
    <row r="6719" spans="1:20" x14ac:dyDescent="0.25">
      <c r="A6719">
        <v>9</v>
      </c>
      <c r="B6719">
        <v>199</v>
      </c>
      <c r="C6719" t="str">
        <f t="shared" si="1489"/>
        <v>11</v>
      </c>
      <c r="D6719">
        <v>6399</v>
      </c>
      <c r="E6719" t="str">
        <f t="shared" si="1490"/>
        <v>45</v>
      </c>
      <c r="F6719" t="str">
        <f t="shared" si="1494"/>
        <v>104</v>
      </c>
      <c r="G6719">
        <v>9</v>
      </c>
      <c r="H6719" t="str">
        <f t="shared" si="1491"/>
        <v>11</v>
      </c>
      <c r="I6719" t="str">
        <f t="shared" si="1488"/>
        <v>0</v>
      </c>
      <c r="J6719" t="str">
        <f t="shared" si="1495"/>
        <v>05</v>
      </c>
      <c r="K6719">
        <v>20190607</v>
      </c>
      <c r="L6719" t="str">
        <f t="shared" si="1492"/>
        <v>077113</v>
      </c>
      <c r="M6719" t="str">
        <f t="shared" si="1493"/>
        <v>72730</v>
      </c>
      <c r="N6719" t="s">
        <v>639</v>
      </c>
      <c r="O6719">
        <v>208.81</v>
      </c>
      <c r="P6719">
        <v>20190606</v>
      </c>
      <c r="Q6719" t="s">
        <v>2069</v>
      </c>
      <c r="R6719" t="s">
        <v>5334</v>
      </c>
      <c r="S6719" t="s">
        <v>1615</v>
      </c>
      <c r="T6719" t="s">
        <v>46</v>
      </c>
    </row>
    <row r="6720" spans="1:20" x14ac:dyDescent="0.25">
      <c r="A6720">
        <v>9</v>
      </c>
      <c r="B6720">
        <v>199</v>
      </c>
      <c r="C6720" t="str">
        <f t="shared" si="1489"/>
        <v>11</v>
      </c>
      <c r="D6720">
        <v>6399</v>
      </c>
      <c r="E6720" t="str">
        <f t="shared" si="1490"/>
        <v>45</v>
      </c>
      <c r="F6720" t="str">
        <f t="shared" si="1494"/>
        <v>104</v>
      </c>
      <c r="G6720">
        <v>9</v>
      </c>
      <c r="H6720" t="str">
        <f t="shared" si="1491"/>
        <v>11</v>
      </c>
      <c r="I6720" t="str">
        <f t="shared" si="1488"/>
        <v>0</v>
      </c>
      <c r="J6720" t="str">
        <f t="shared" si="1495"/>
        <v>05</v>
      </c>
      <c r="K6720">
        <v>20190607</v>
      </c>
      <c r="L6720" t="str">
        <f t="shared" si="1492"/>
        <v>077113</v>
      </c>
      <c r="M6720" t="str">
        <f t="shared" si="1493"/>
        <v>72730</v>
      </c>
      <c r="N6720" t="s">
        <v>639</v>
      </c>
      <c r="O6720">
        <v>-151.74</v>
      </c>
      <c r="P6720">
        <v>20190516</v>
      </c>
      <c r="Q6720" t="s">
        <v>2069</v>
      </c>
      <c r="R6720" t="s">
        <v>5342</v>
      </c>
      <c r="S6720" t="s">
        <v>1615</v>
      </c>
      <c r="T6720" t="s">
        <v>46</v>
      </c>
    </row>
    <row r="6721" spans="1:20" x14ac:dyDescent="0.25">
      <c r="A6721">
        <v>9</v>
      </c>
      <c r="B6721">
        <v>199</v>
      </c>
      <c r="C6721" t="str">
        <f>"34"</f>
        <v>34</v>
      </c>
      <c r="D6721">
        <v>6399</v>
      </c>
      <c r="E6721" t="str">
        <f>"10"</f>
        <v>10</v>
      </c>
      <c r="F6721" t="str">
        <f>"937"</f>
        <v>937</v>
      </c>
      <c r="G6721">
        <v>9</v>
      </c>
      <c r="H6721" t="str">
        <f>"99"</f>
        <v>99</v>
      </c>
      <c r="I6721" t="str">
        <f t="shared" si="1488"/>
        <v>0</v>
      </c>
      <c r="J6721" t="str">
        <f>"82"</f>
        <v>82</v>
      </c>
      <c r="K6721">
        <v>20190607</v>
      </c>
      <c r="L6721" t="str">
        <f t="shared" si="1492"/>
        <v>077113</v>
      </c>
      <c r="M6721" t="str">
        <f t="shared" si="1493"/>
        <v>72730</v>
      </c>
      <c r="N6721" t="s">
        <v>639</v>
      </c>
      <c r="O6721">
        <v>63.23</v>
      </c>
      <c r="P6721">
        <v>20190606</v>
      </c>
      <c r="Q6721" t="s">
        <v>4075</v>
      </c>
      <c r="R6721" t="s">
        <v>5343</v>
      </c>
      <c r="S6721" t="s">
        <v>1615</v>
      </c>
      <c r="T6721" t="s">
        <v>1810</v>
      </c>
    </row>
    <row r="6722" spans="1:20" x14ac:dyDescent="0.25">
      <c r="A6722">
        <v>9</v>
      </c>
      <c r="B6722">
        <v>199</v>
      </c>
      <c r="C6722" t="str">
        <f>"34"</f>
        <v>34</v>
      </c>
      <c r="D6722">
        <v>6399</v>
      </c>
      <c r="E6722" t="str">
        <f>"10"</f>
        <v>10</v>
      </c>
      <c r="F6722" t="str">
        <f>"937"</f>
        <v>937</v>
      </c>
      <c r="G6722">
        <v>9</v>
      </c>
      <c r="H6722" t="str">
        <f>"99"</f>
        <v>99</v>
      </c>
      <c r="I6722" t="str">
        <f t="shared" si="1488"/>
        <v>0</v>
      </c>
      <c r="J6722" t="str">
        <f>"82"</f>
        <v>82</v>
      </c>
      <c r="K6722">
        <v>20190607</v>
      </c>
      <c r="L6722" t="str">
        <f t="shared" si="1492"/>
        <v>077113</v>
      </c>
      <c r="M6722" t="str">
        <f t="shared" si="1493"/>
        <v>72730</v>
      </c>
      <c r="N6722" t="s">
        <v>639</v>
      </c>
      <c r="O6722">
        <v>174.24</v>
      </c>
      <c r="P6722">
        <v>20190606</v>
      </c>
      <c r="Q6722" t="s">
        <v>4075</v>
      </c>
      <c r="R6722" t="s">
        <v>641</v>
      </c>
      <c r="S6722" t="s">
        <v>1615</v>
      </c>
      <c r="T6722" t="s">
        <v>1810</v>
      </c>
    </row>
    <row r="6723" spans="1:20" x14ac:dyDescent="0.25">
      <c r="A6723">
        <v>9</v>
      </c>
      <c r="B6723">
        <v>199</v>
      </c>
      <c r="C6723" t="str">
        <f>"34"</f>
        <v>34</v>
      </c>
      <c r="D6723">
        <v>6399</v>
      </c>
      <c r="E6723" t="str">
        <f>"10"</f>
        <v>10</v>
      </c>
      <c r="F6723" t="str">
        <f>"937"</f>
        <v>937</v>
      </c>
      <c r="G6723">
        <v>9</v>
      </c>
      <c r="H6723" t="str">
        <f>"99"</f>
        <v>99</v>
      </c>
      <c r="I6723" t="str">
        <f t="shared" si="1488"/>
        <v>0</v>
      </c>
      <c r="J6723" t="str">
        <f>"82"</f>
        <v>82</v>
      </c>
      <c r="K6723">
        <v>20190607</v>
      </c>
      <c r="L6723" t="str">
        <f t="shared" si="1492"/>
        <v>077113</v>
      </c>
      <c r="M6723" t="str">
        <f t="shared" si="1493"/>
        <v>72730</v>
      </c>
      <c r="N6723" t="s">
        <v>639</v>
      </c>
      <c r="O6723">
        <v>90.39</v>
      </c>
      <c r="P6723">
        <v>20190606</v>
      </c>
      <c r="Q6723" t="s">
        <v>4075</v>
      </c>
      <c r="R6723" t="s">
        <v>5344</v>
      </c>
      <c r="S6723" t="s">
        <v>1615</v>
      </c>
      <c r="T6723" t="s">
        <v>1810</v>
      </c>
    </row>
    <row r="6724" spans="1:20" x14ac:dyDescent="0.25">
      <c r="A6724">
        <v>9</v>
      </c>
      <c r="B6724">
        <v>199</v>
      </c>
      <c r="C6724" t="str">
        <f>"34"</f>
        <v>34</v>
      </c>
      <c r="D6724">
        <v>6399</v>
      </c>
      <c r="E6724" t="str">
        <f>"10"</f>
        <v>10</v>
      </c>
      <c r="F6724" t="str">
        <f>"937"</f>
        <v>937</v>
      </c>
      <c r="G6724">
        <v>9</v>
      </c>
      <c r="H6724" t="str">
        <f>"99"</f>
        <v>99</v>
      </c>
      <c r="I6724" t="str">
        <f t="shared" si="1488"/>
        <v>0</v>
      </c>
      <c r="J6724" t="str">
        <f>"82"</f>
        <v>82</v>
      </c>
      <c r="K6724">
        <v>20190607</v>
      </c>
      <c r="L6724" t="str">
        <f t="shared" si="1492"/>
        <v>077113</v>
      </c>
      <c r="M6724" t="str">
        <f t="shared" si="1493"/>
        <v>72730</v>
      </c>
      <c r="N6724" t="s">
        <v>639</v>
      </c>
      <c r="O6724">
        <v>69.989999999999995</v>
      </c>
      <c r="P6724">
        <v>20190606</v>
      </c>
      <c r="Q6724" t="s">
        <v>4075</v>
      </c>
      <c r="R6724" t="s">
        <v>5345</v>
      </c>
      <c r="S6724" t="s">
        <v>1615</v>
      </c>
      <c r="T6724" t="s">
        <v>1810</v>
      </c>
    </row>
    <row r="6725" spans="1:20" x14ac:dyDescent="0.25">
      <c r="A6725">
        <v>9</v>
      </c>
      <c r="B6725">
        <v>199</v>
      </c>
      <c r="C6725" t="str">
        <f>"11"</f>
        <v>11</v>
      </c>
      <c r="D6725">
        <v>6249</v>
      </c>
      <c r="E6725" t="str">
        <f>"10"</f>
        <v>10</v>
      </c>
      <c r="F6725" t="str">
        <f>"001"</f>
        <v>001</v>
      </c>
      <c r="G6725">
        <v>9</v>
      </c>
      <c r="H6725" t="str">
        <f>"11"</f>
        <v>11</v>
      </c>
      <c r="I6725" t="str">
        <f t="shared" si="1488"/>
        <v>0</v>
      </c>
      <c r="J6725" t="str">
        <f>"01"</f>
        <v>01</v>
      </c>
      <c r="K6725">
        <v>20190607</v>
      </c>
      <c r="L6725" t="str">
        <f>"077114"</f>
        <v>077114</v>
      </c>
      <c r="M6725" t="str">
        <f>"73614"</f>
        <v>73614</v>
      </c>
      <c r="N6725" t="s">
        <v>5346</v>
      </c>
      <c r="O6725">
        <v>117.37</v>
      </c>
      <c r="P6725">
        <v>20190606</v>
      </c>
      <c r="Q6725" t="s">
        <v>3674</v>
      </c>
      <c r="R6725" t="s">
        <v>5347</v>
      </c>
      <c r="S6725" t="s">
        <v>1615</v>
      </c>
      <c r="T6725" t="s">
        <v>301</v>
      </c>
    </row>
    <row r="6726" spans="1:20" x14ac:dyDescent="0.25">
      <c r="A6726">
        <v>9</v>
      </c>
      <c r="B6726">
        <v>199</v>
      </c>
      <c r="C6726" t="str">
        <f>"41"</f>
        <v>41</v>
      </c>
      <c r="D6726">
        <v>6495</v>
      </c>
      <c r="E6726" t="str">
        <f>"11"</f>
        <v>11</v>
      </c>
      <c r="F6726" t="str">
        <f>"701"</f>
        <v>701</v>
      </c>
      <c r="G6726">
        <v>9</v>
      </c>
      <c r="H6726" t="str">
        <f>"99"</f>
        <v>99</v>
      </c>
      <c r="I6726" t="str">
        <f t="shared" si="1488"/>
        <v>0</v>
      </c>
      <c r="J6726" t="str">
        <f>"92"</f>
        <v>92</v>
      </c>
      <c r="K6726">
        <v>20190607</v>
      </c>
      <c r="L6726" t="str">
        <f>"077116"</f>
        <v>077116</v>
      </c>
      <c r="M6726" t="str">
        <f>"74385"</f>
        <v>74385</v>
      </c>
      <c r="N6726" t="s">
        <v>1812</v>
      </c>
      <c r="O6726">
        <v>68.56</v>
      </c>
      <c r="P6726">
        <v>20190606</v>
      </c>
      <c r="Q6726" t="s">
        <v>1839</v>
      </c>
      <c r="R6726" t="s">
        <v>5348</v>
      </c>
      <c r="S6726" t="s">
        <v>1615</v>
      </c>
      <c r="T6726" t="s">
        <v>1841</v>
      </c>
    </row>
    <row r="6727" spans="1:20" x14ac:dyDescent="0.25">
      <c r="A6727">
        <v>9</v>
      </c>
      <c r="B6727">
        <v>199</v>
      </c>
      <c r="C6727" t="str">
        <f>"41"</f>
        <v>41</v>
      </c>
      <c r="D6727">
        <v>6499</v>
      </c>
      <c r="E6727" t="str">
        <f>"12"</f>
        <v>12</v>
      </c>
      <c r="F6727" t="str">
        <f>"730"</f>
        <v>730</v>
      </c>
      <c r="G6727">
        <v>9</v>
      </c>
      <c r="H6727" t="str">
        <f>"99"</f>
        <v>99</v>
      </c>
      <c r="I6727" t="str">
        <f t="shared" si="1488"/>
        <v>0</v>
      </c>
      <c r="J6727" t="str">
        <f>"95"</f>
        <v>95</v>
      </c>
      <c r="K6727">
        <v>20190607</v>
      </c>
      <c r="L6727" t="str">
        <f>"077117"</f>
        <v>077117</v>
      </c>
      <c r="M6727" t="str">
        <f>"75452"</f>
        <v>75452</v>
      </c>
      <c r="N6727" t="s">
        <v>57</v>
      </c>
      <c r="O6727">
        <v>913.11</v>
      </c>
      <c r="P6727">
        <v>20190606</v>
      </c>
      <c r="Q6727" t="s">
        <v>5349</v>
      </c>
      <c r="R6727" t="s">
        <v>5350</v>
      </c>
      <c r="S6727" t="s">
        <v>1615</v>
      </c>
      <c r="T6727" t="s">
        <v>1794</v>
      </c>
    </row>
    <row r="6728" spans="1:20" x14ac:dyDescent="0.25">
      <c r="A6728">
        <v>9</v>
      </c>
      <c r="B6728">
        <v>199</v>
      </c>
      <c r="C6728" t="str">
        <f>"11"</f>
        <v>11</v>
      </c>
      <c r="D6728">
        <v>6412</v>
      </c>
      <c r="E6728" t="str">
        <f>"V8"</f>
        <v>V8</v>
      </c>
      <c r="F6728" t="str">
        <f>"001"</f>
        <v>001</v>
      </c>
      <c r="G6728">
        <v>9</v>
      </c>
      <c r="H6728" t="str">
        <f>"22"</f>
        <v>22</v>
      </c>
      <c r="I6728" t="str">
        <f t="shared" si="1488"/>
        <v>0</v>
      </c>
      <c r="J6728" t="str">
        <f>"22"</f>
        <v>22</v>
      </c>
      <c r="K6728">
        <v>20190607</v>
      </c>
      <c r="L6728" t="str">
        <f>"077118"</f>
        <v>077118</v>
      </c>
      <c r="M6728" t="str">
        <f>"78345"</f>
        <v>78345</v>
      </c>
      <c r="N6728" t="s">
        <v>2337</v>
      </c>
      <c r="O6728" s="1">
        <v>1029</v>
      </c>
      <c r="P6728">
        <v>20190606</v>
      </c>
      <c r="Q6728" t="s">
        <v>1884</v>
      </c>
      <c r="R6728" t="s">
        <v>5351</v>
      </c>
      <c r="S6728" t="s">
        <v>1615</v>
      </c>
      <c r="T6728" t="s">
        <v>301</v>
      </c>
    </row>
    <row r="6729" spans="1:20" x14ac:dyDescent="0.25">
      <c r="A6729">
        <v>9</v>
      </c>
      <c r="B6729">
        <v>199</v>
      </c>
      <c r="C6729" t="str">
        <f>"51"</f>
        <v>51</v>
      </c>
      <c r="D6729">
        <v>6319</v>
      </c>
      <c r="E6729" t="str">
        <f>"M2"</f>
        <v>M2</v>
      </c>
      <c r="F6729" t="str">
        <f>"936"</f>
        <v>936</v>
      </c>
      <c r="G6729">
        <v>9</v>
      </c>
      <c r="H6729" t="str">
        <f>"99"</f>
        <v>99</v>
      </c>
      <c r="I6729" t="str">
        <f t="shared" si="1488"/>
        <v>0</v>
      </c>
      <c r="J6729" t="str">
        <f>"81"</f>
        <v>81</v>
      </c>
      <c r="K6729">
        <v>20190607</v>
      </c>
      <c r="L6729" t="str">
        <f>"077121"</f>
        <v>077121</v>
      </c>
      <c r="M6729" t="str">
        <f>"00794"</f>
        <v>00794</v>
      </c>
      <c r="N6729" t="s">
        <v>4582</v>
      </c>
      <c r="O6729">
        <v>219.75</v>
      </c>
      <c r="P6729">
        <v>20190606</v>
      </c>
      <c r="Q6729" t="s">
        <v>2074</v>
      </c>
      <c r="R6729" t="s">
        <v>5352</v>
      </c>
      <c r="S6729" t="s">
        <v>1615</v>
      </c>
      <c r="T6729" t="s">
        <v>1713</v>
      </c>
    </row>
    <row r="6730" spans="1:20" x14ac:dyDescent="0.25">
      <c r="A6730">
        <v>9</v>
      </c>
      <c r="B6730">
        <v>199</v>
      </c>
      <c r="C6730" t="str">
        <f>"00"</f>
        <v>00</v>
      </c>
      <c r="D6730">
        <v>1312</v>
      </c>
      <c r="E6730" t="str">
        <f>"00"</f>
        <v>00</v>
      </c>
      <c r="F6730" t="str">
        <f>"000"</f>
        <v>000</v>
      </c>
      <c r="G6730">
        <v>9</v>
      </c>
      <c r="H6730" t="str">
        <f>"00"</f>
        <v>00</v>
      </c>
      <c r="I6730" t="str">
        <f t="shared" si="1488"/>
        <v>0</v>
      </c>
      <c r="J6730" t="str">
        <f>"00"</f>
        <v>00</v>
      </c>
      <c r="K6730">
        <v>20190607</v>
      </c>
      <c r="L6730" t="str">
        <f>"077122"</f>
        <v>077122</v>
      </c>
      <c r="M6730" t="str">
        <f>"84075"</f>
        <v>84075</v>
      </c>
      <c r="N6730" t="s">
        <v>4448</v>
      </c>
      <c r="O6730">
        <v>156</v>
      </c>
      <c r="P6730">
        <v>20190606</v>
      </c>
      <c r="Q6730" t="s">
        <v>1860</v>
      </c>
      <c r="R6730" t="s">
        <v>5353</v>
      </c>
      <c r="S6730" t="s">
        <v>1615</v>
      </c>
      <c r="T6730" t="s">
        <v>296</v>
      </c>
    </row>
    <row r="6731" spans="1:20" x14ac:dyDescent="0.25">
      <c r="A6731">
        <v>9</v>
      </c>
      <c r="B6731">
        <v>199</v>
      </c>
      <c r="C6731" t="str">
        <f>"00"</f>
        <v>00</v>
      </c>
      <c r="D6731">
        <v>1312</v>
      </c>
      <c r="E6731" t="str">
        <f>"00"</f>
        <v>00</v>
      </c>
      <c r="F6731" t="str">
        <f>"000"</f>
        <v>000</v>
      </c>
      <c r="G6731">
        <v>9</v>
      </c>
      <c r="H6731" t="str">
        <f>"00"</f>
        <v>00</v>
      </c>
      <c r="I6731" t="str">
        <f t="shared" si="1488"/>
        <v>0</v>
      </c>
      <c r="J6731" t="str">
        <f>"00"</f>
        <v>00</v>
      </c>
      <c r="K6731">
        <v>20190607</v>
      </c>
      <c r="L6731" t="str">
        <f>"077122"</f>
        <v>077122</v>
      </c>
      <c r="M6731" t="str">
        <f>"84075"</f>
        <v>84075</v>
      </c>
      <c r="N6731" t="s">
        <v>4448</v>
      </c>
      <c r="O6731">
        <v>418</v>
      </c>
      <c r="P6731">
        <v>20190606</v>
      </c>
      <c r="Q6731" t="s">
        <v>1860</v>
      </c>
      <c r="R6731" t="s">
        <v>5354</v>
      </c>
      <c r="S6731" t="s">
        <v>1615</v>
      </c>
      <c r="T6731" t="s">
        <v>296</v>
      </c>
    </row>
    <row r="6732" spans="1:20" x14ac:dyDescent="0.25">
      <c r="A6732">
        <v>9</v>
      </c>
      <c r="B6732">
        <v>199</v>
      </c>
      <c r="C6732" t="str">
        <f>"00"</f>
        <v>00</v>
      </c>
      <c r="D6732">
        <v>1312</v>
      </c>
      <c r="E6732" t="str">
        <f>"00"</f>
        <v>00</v>
      </c>
      <c r="F6732" t="str">
        <f>"000"</f>
        <v>000</v>
      </c>
      <c r="G6732">
        <v>9</v>
      </c>
      <c r="H6732" t="str">
        <f>"00"</f>
        <v>00</v>
      </c>
      <c r="I6732" t="str">
        <f t="shared" si="1488"/>
        <v>0</v>
      </c>
      <c r="J6732" t="str">
        <f>"00"</f>
        <v>00</v>
      </c>
      <c r="K6732">
        <v>20190607</v>
      </c>
      <c r="L6732" t="str">
        <f>"077122"</f>
        <v>077122</v>
      </c>
      <c r="M6732" t="str">
        <f>"84075"</f>
        <v>84075</v>
      </c>
      <c r="N6732" t="s">
        <v>4448</v>
      </c>
      <c r="O6732">
        <v>483</v>
      </c>
      <c r="P6732">
        <v>20190606</v>
      </c>
      <c r="Q6732" t="s">
        <v>1860</v>
      </c>
      <c r="R6732" t="s">
        <v>5355</v>
      </c>
      <c r="S6732" t="s">
        <v>1615</v>
      </c>
      <c r="T6732" t="s">
        <v>296</v>
      </c>
    </row>
    <row r="6733" spans="1:20" x14ac:dyDescent="0.25">
      <c r="A6733">
        <v>9</v>
      </c>
      <c r="B6733">
        <v>199</v>
      </c>
      <c r="C6733" t="str">
        <f>"00"</f>
        <v>00</v>
      </c>
      <c r="D6733">
        <v>1312</v>
      </c>
      <c r="E6733" t="str">
        <f>"00"</f>
        <v>00</v>
      </c>
      <c r="F6733" t="str">
        <f>"000"</f>
        <v>000</v>
      </c>
      <c r="G6733">
        <v>9</v>
      </c>
      <c r="H6733" t="str">
        <f>"00"</f>
        <v>00</v>
      </c>
      <c r="I6733" t="str">
        <f t="shared" si="1488"/>
        <v>0</v>
      </c>
      <c r="J6733" t="str">
        <f>"00"</f>
        <v>00</v>
      </c>
      <c r="K6733">
        <v>20190607</v>
      </c>
      <c r="L6733" t="str">
        <f>"077122"</f>
        <v>077122</v>
      </c>
      <c r="M6733" t="str">
        <f>"84075"</f>
        <v>84075</v>
      </c>
      <c r="N6733" t="s">
        <v>4448</v>
      </c>
      <c r="O6733" s="1">
        <v>1343.1</v>
      </c>
      <c r="P6733">
        <v>20190606</v>
      </c>
      <c r="Q6733" t="s">
        <v>1860</v>
      </c>
      <c r="R6733" t="s">
        <v>5356</v>
      </c>
      <c r="S6733" t="s">
        <v>1615</v>
      </c>
      <c r="T6733" t="s">
        <v>296</v>
      </c>
    </row>
    <row r="6734" spans="1:20" x14ac:dyDescent="0.25">
      <c r="A6734">
        <v>9</v>
      </c>
      <c r="B6734">
        <v>199</v>
      </c>
      <c r="C6734" t="str">
        <f>"00"</f>
        <v>00</v>
      </c>
      <c r="D6734">
        <v>1312</v>
      </c>
      <c r="E6734" t="str">
        <f>"00"</f>
        <v>00</v>
      </c>
      <c r="F6734" t="str">
        <f>"000"</f>
        <v>000</v>
      </c>
      <c r="G6734">
        <v>9</v>
      </c>
      <c r="H6734" t="str">
        <f>"00"</f>
        <v>00</v>
      </c>
      <c r="I6734" t="str">
        <f t="shared" si="1488"/>
        <v>0</v>
      </c>
      <c r="J6734" t="str">
        <f>"00"</f>
        <v>00</v>
      </c>
      <c r="K6734">
        <v>20190607</v>
      </c>
      <c r="L6734" t="str">
        <f>"077122"</f>
        <v>077122</v>
      </c>
      <c r="M6734" t="str">
        <f>"84075"</f>
        <v>84075</v>
      </c>
      <c r="N6734" t="s">
        <v>4448</v>
      </c>
      <c r="O6734" s="1">
        <v>1101</v>
      </c>
      <c r="P6734">
        <v>20190606</v>
      </c>
      <c r="Q6734" t="s">
        <v>1860</v>
      </c>
      <c r="R6734" t="s">
        <v>5357</v>
      </c>
      <c r="S6734" t="s">
        <v>1615</v>
      </c>
      <c r="T6734" t="s">
        <v>296</v>
      </c>
    </row>
    <row r="6735" spans="1:20" x14ac:dyDescent="0.25">
      <c r="A6735">
        <v>9</v>
      </c>
      <c r="B6735">
        <v>199</v>
      </c>
      <c r="C6735" t="str">
        <f>"11"</f>
        <v>11</v>
      </c>
      <c r="D6735">
        <v>6411</v>
      </c>
      <c r="E6735" t="str">
        <f>"HB"</f>
        <v>HB</v>
      </c>
      <c r="F6735" t="str">
        <f>"001"</f>
        <v>001</v>
      </c>
      <c r="G6735">
        <v>9</v>
      </c>
      <c r="H6735" t="str">
        <f>"11"</f>
        <v>11</v>
      </c>
      <c r="I6735" t="str">
        <f>"3"</f>
        <v>3</v>
      </c>
      <c r="J6735" t="str">
        <f>"74"</f>
        <v>74</v>
      </c>
      <c r="K6735">
        <v>20190607</v>
      </c>
      <c r="L6735" t="str">
        <f>"077123"</f>
        <v>077123</v>
      </c>
      <c r="M6735" t="str">
        <f>"00825"</f>
        <v>00825</v>
      </c>
      <c r="N6735" t="s">
        <v>5358</v>
      </c>
      <c r="O6735">
        <v>18.5</v>
      </c>
      <c r="P6735">
        <v>20190606</v>
      </c>
      <c r="Q6735" t="s">
        <v>4533</v>
      </c>
      <c r="R6735" t="s">
        <v>5359</v>
      </c>
      <c r="S6735" t="s">
        <v>1615</v>
      </c>
      <c r="T6735" t="s">
        <v>301</v>
      </c>
    </row>
    <row r="6736" spans="1:20" x14ac:dyDescent="0.25">
      <c r="A6736">
        <v>9</v>
      </c>
      <c r="B6736">
        <v>199</v>
      </c>
      <c r="C6736" t="str">
        <f>"41"</f>
        <v>41</v>
      </c>
      <c r="D6736">
        <v>6649</v>
      </c>
      <c r="E6736" t="str">
        <f>"00"</f>
        <v>00</v>
      </c>
      <c r="F6736" t="str">
        <f>"939"</f>
        <v>939</v>
      </c>
      <c r="G6736">
        <v>9</v>
      </c>
      <c r="H6736" t="str">
        <f>"99"</f>
        <v>99</v>
      </c>
      <c r="I6736" t="str">
        <f t="shared" ref="I6736:I6742" si="1496">"0"</f>
        <v>0</v>
      </c>
      <c r="J6736" t="str">
        <f>"87"</f>
        <v>87</v>
      </c>
      <c r="K6736">
        <v>20190614</v>
      </c>
      <c r="L6736" t="str">
        <f>"077124"</f>
        <v>077124</v>
      </c>
      <c r="M6736" t="str">
        <f>"10027"</f>
        <v>10027</v>
      </c>
      <c r="N6736" t="s">
        <v>4453</v>
      </c>
      <c r="O6736">
        <v>255</v>
      </c>
      <c r="P6736">
        <v>20190612</v>
      </c>
      <c r="Q6736" t="s">
        <v>5360</v>
      </c>
      <c r="R6736" t="s">
        <v>5361</v>
      </c>
      <c r="S6736" t="s">
        <v>1615</v>
      </c>
      <c r="T6736" t="s">
        <v>2985</v>
      </c>
    </row>
    <row r="6737" spans="1:20" x14ac:dyDescent="0.25">
      <c r="A6737">
        <v>9</v>
      </c>
      <c r="B6737">
        <v>199</v>
      </c>
      <c r="C6737" t="str">
        <f>"11"</f>
        <v>11</v>
      </c>
      <c r="D6737">
        <v>6399</v>
      </c>
      <c r="E6737" t="str">
        <f>"45"</f>
        <v>45</v>
      </c>
      <c r="F6737" t="str">
        <f>"101"</f>
        <v>101</v>
      </c>
      <c r="G6737">
        <v>9</v>
      </c>
      <c r="H6737" t="str">
        <f>"11"</f>
        <v>11</v>
      </c>
      <c r="I6737" t="str">
        <f t="shared" si="1496"/>
        <v>0</v>
      </c>
      <c r="J6737" t="str">
        <f>"04"</f>
        <v>04</v>
      </c>
      <c r="K6737">
        <v>20190614</v>
      </c>
      <c r="L6737" t="str">
        <f>"077125"</f>
        <v>077125</v>
      </c>
      <c r="M6737" t="str">
        <f>"00314"</f>
        <v>00314</v>
      </c>
      <c r="N6737" t="s">
        <v>1858</v>
      </c>
      <c r="O6737">
        <v>107.96</v>
      </c>
      <c r="P6737">
        <v>20190612</v>
      </c>
      <c r="Q6737" t="s">
        <v>1859</v>
      </c>
      <c r="R6737" t="s">
        <v>1959</v>
      </c>
      <c r="S6737" t="s">
        <v>1615</v>
      </c>
      <c r="T6737" t="s">
        <v>1479</v>
      </c>
    </row>
    <row r="6738" spans="1:20" x14ac:dyDescent="0.25">
      <c r="A6738">
        <v>9</v>
      </c>
      <c r="B6738">
        <v>199</v>
      </c>
      <c r="C6738" t="str">
        <f>"11"</f>
        <v>11</v>
      </c>
      <c r="D6738">
        <v>6268</v>
      </c>
      <c r="E6738" t="str">
        <f>"7Q"</f>
        <v>7Q</v>
      </c>
      <c r="F6738" t="str">
        <f>"001"</f>
        <v>001</v>
      </c>
      <c r="G6738">
        <v>9</v>
      </c>
      <c r="H6738" t="str">
        <f>"11"</f>
        <v>11</v>
      </c>
      <c r="I6738" t="str">
        <f t="shared" si="1496"/>
        <v>0</v>
      </c>
      <c r="J6738" t="str">
        <f>"01"</f>
        <v>01</v>
      </c>
      <c r="K6738">
        <v>20190614</v>
      </c>
      <c r="L6738" t="str">
        <f>"077126"</f>
        <v>077126</v>
      </c>
      <c r="M6738" t="str">
        <f>"64653"</f>
        <v>64653</v>
      </c>
      <c r="N6738" t="s">
        <v>3496</v>
      </c>
      <c r="O6738" s="1">
        <v>2918.47</v>
      </c>
      <c r="P6738">
        <v>20190612</v>
      </c>
      <c r="Q6738" t="s">
        <v>3497</v>
      </c>
      <c r="R6738" t="s">
        <v>3498</v>
      </c>
      <c r="S6738" t="s">
        <v>1615</v>
      </c>
      <c r="T6738" t="s">
        <v>301</v>
      </c>
    </row>
    <row r="6739" spans="1:20" x14ac:dyDescent="0.25">
      <c r="A6739">
        <v>9</v>
      </c>
      <c r="B6739">
        <v>199</v>
      </c>
      <c r="C6739" t="str">
        <f>"34"</f>
        <v>34</v>
      </c>
      <c r="D6739">
        <v>6249</v>
      </c>
      <c r="E6739" t="str">
        <f>"10"</f>
        <v>10</v>
      </c>
      <c r="F6739" t="str">
        <f>"937"</f>
        <v>937</v>
      </c>
      <c r="G6739">
        <v>9</v>
      </c>
      <c r="H6739" t="str">
        <f t="shared" ref="H6739:H6744" si="1497">"99"</f>
        <v>99</v>
      </c>
      <c r="I6739" t="str">
        <f t="shared" si="1496"/>
        <v>0</v>
      </c>
      <c r="J6739" t="str">
        <f>"82"</f>
        <v>82</v>
      </c>
      <c r="K6739">
        <v>20190614</v>
      </c>
      <c r="L6739" t="str">
        <f>"077127"</f>
        <v>077127</v>
      </c>
      <c r="M6739" t="str">
        <f>"24208"</f>
        <v>24208</v>
      </c>
      <c r="N6739" t="s">
        <v>2356</v>
      </c>
      <c r="O6739">
        <v>150</v>
      </c>
      <c r="P6739">
        <v>20190612</v>
      </c>
      <c r="Q6739" t="s">
        <v>2036</v>
      </c>
      <c r="R6739" t="s">
        <v>5362</v>
      </c>
      <c r="S6739" t="s">
        <v>1615</v>
      </c>
      <c r="T6739" t="s">
        <v>1810</v>
      </c>
    </row>
    <row r="6740" spans="1:20" x14ac:dyDescent="0.25">
      <c r="A6740">
        <v>9</v>
      </c>
      <c r="B6740">
        <v>199</v>
      </c>
      <c r="C6740" t="str">
        <f>"34"</f>
        <v>34</v>
      </c>
      <c r="D6740">
        <v>6249</v>
      </c>
      <c r="E6740" t="str">
        <f>"10"</f>
        <v>10</v>
      </c>
      <c r="F6740" t="str">
        <f>"937"</f>
        <v>937</v>
      </c>
      <c r="G6740">
        <v>9</v>
      </c>
      <c r="H6740" t="str">
        <f t="shared" si="1497"/>
        <v>99</v>
      </c>
      <c r="I6740" t="str">
        <f t="shared" si="1496"/>
        <v>0</v>
      </c>
      <c r="J6740" t="str">
        <f>"82"</f>
        <v>82</v>
      </c>
      <c r="K6740">
        <v>20190614</v>
      </c>
      <c r="L6740" t="str">
        <f>"077127"</f>
        <v>077127</v>
      </c>
      <c r="M6740" t="str">
        <f>"24208"</f>
        <v>24208</v>
      </c>
      <c r="N6740" t="s">
        <v>2356</v>
      </c>
      <c r="O6740">
        <v>225</v>
      </c>
      <c r="P6740">
        <v>20190612</v>
      </c>
      <c r="Q6740" t="s">
        <v>2036</v>
      </c>
      <c r="R6740" t="s">
        <v>5363</v>
      </c>
      <c r="S6740" t="s">
        <v>1615</v>
      </c>
      <c r="T6740" t="s">
        <v>1810</v>
      </c>
    </row>
    <row r="6741" spans="1:20" x14ac:dyDescent="0.25">
      <c r="A6741">
        <v>9</v>
      </c>
      <c r="B6741">
        <v>199</v>
      </c>
      <c r="C6741" t="str">
        <f>"34"</f>
        <v>34</v>
      </c>
      <c r="D6741">
        <v>6399</v>
      </c>
      <c r="E6741" t="str">
        <f>"11"</f>
        <v>11</v>
      </c>
      <c r="F6741" t="str">
        <f>"937"</f>
        <v>937</v>
      </c>
      <c r="G6741">
        <v>9</v>
      </c>
      <c r="H6741" t="str">
        <f t="shared" si="1497"/>
        <v>99</v>
      </c>
      <c r="I6741" t="str">
        <f t="shared" si="1496"/>
        <v>0</v>
      </c>
      <c r="J6741" t="str">
        <f>"82"</f>
        <v>82</v>
      </c>
      <c r="K6741">
        <v>20190614</v>
      </c>
      <c r="L6741" t="str">
        <f>"077128"</f>
        <v>077128</v>
      </c>
      <c r="M6741" t="str">
        <f>"08196"</f>
        <v>08196</v>
      </c>
      <c r="N6741" t="s">
        <v>2185</v>
      </c>
      <c r="O6741">
        <v>160</v>
      </c>
      <c r="P6741">
        <v>20190612</v>
      </c>
      <c r="Q6741" t="s">
        <v>2210</v>
      </c>
      <c r="R6741" t="s">
        <v>5364</v>
      </c>
      <c r="S6741" t="s">
        <v>1615</v>
      </c>
      <c r="T6741" t="s">
        <v>1810</v>
      </c>
    </row>
    <row r="6742" spans="1:20" x14ac:dyDescent="0.25">
      <c r="A6742">
        <v>9</v>
      </c>
      <c r="B6742">
        <v>199</v>
      </c>
      <c r="C6742" t="str">
        <f>"34"</f>
        <v>34</v>
      </c>
      <c r="D6742">
        <v>6249</v>
      </c>
      <c r="E6742" t="str">
        <f>"10"</f>
        <v>10</v>
      </c>
      <c r="F6742" t="str">
        <f>"937"</f>
        <v>937</v>
      </c>
      <c r="G6742">
        <v>9</v>
      </c>
      <c r="H6742" t="str">
        <f t="shared" si="1497"/>
        <v>99</v>
      </c>
      <c r="I6742" t="str">
        <f t="shared" si="1496"/>
        <v>0</v>
      </c>
      <c r="J6742" t="str">
        <f>"82"</f>
        <v>82</v>
      </c>
      <c r="K6742">
        <v>20190614</v>
      </c>
      <c r="L6742" t="str">
        <f>"077129"</f>
        <v>077129</v>
      </c>
      <c r="M6742" t="str">
        <f>"00748"</f>
        <v>00748</v>
      </c>
      <c r="N6742" t="s">
        <v>5365</v>
      </c>
      <c r="O6742" s="1">
        <v>2175</v>
      </c>
      <c r="P6742">
        <v>20190612</v>
      </c>
      <c r="Q6742" t="s">
        <v>2036</v>
      </c>
      <c r="R6742" t="s">
        <v>5366</v>
      </c>
      <c r="S6742" t="s">
        <v>1615</v>
      </c>
      <c r="T6742" t="s">
        <v>1810</v>
      </c>
    </row>
    <row r="6743" spans="1:20" x14ac:dyDescent="0.25">
      <c r="A6743">
        <v>9</v>
      </c>
      <c r="B6743">
        <v>199</v>
      </c>
      <c r="C6743" t="str">
        <f>"23"</f>
        <v>23</v>
      </c>
      <c r="D6743">
        <v>6411</v>
      </c>
      <c r="E6743" t="str">
        <f>"10"</f>
        <v>10</v>
      </c>
      <c r="F6743" t="str">
        <f>"001"</f>
        <v>001</v>
      </c>
      <c r="G6743">
        <v>9</v>
      </c>
      <c r="H6743" t="str">
        <f t="shared" si="1497"/>
        <v>99</v>
      </c>
      <c r="I6743" t="str">
        <f>"1"</f>
        <v>1</v>
      </c>
      <c r="J6743" t="str">
        <f>"01"</f>
        <v>01</v>
      </c>
      <c r="K6743">
        <v>20190614</v>
      </c>
      <c r="L6743" t="str">
        <f>"077130"</f>
        <v>077130</v>
      </c>
      <c r="M6743" t="str">
        <f>"11140"</f>
        <v>11140</v>
      </c>
      <c r="N6743" t="s">
        <v>2463</v>
      </c>
      <c r="O6743">
        <v>155.04</v>
      </c>
      <c r="P6743">
        <v>20190612</v>
      </c>
      <c r="Q6743" t="s">
        <v>2464</v>
      </c>
      <c r="R6743" t="s">
        <v>5296</v>
      </c>
      <c r="S6743" t="s">
        <v>1615</v>
      </c>
      <c r="T6743" t="s">
        <v>301</v>
      </c>
    </row>
    <row r="6744" spans="1:20" x14ac:dyDescent="0.25">
      <c r="A6744">
        <v>9</v>
      </c>
      <c r="B6744">
        <v>199</v>
      </c>
      <c r="C6744" t="str">
        <f>"41"</f>
        <v>41</v>
      </c>
      <c r="D6744">
        <v>6211</v>
      </c>
      <c r="E6744" t="str">
        <f>"01"</f>
        <v>01</v>
      </c>
      <c r="F6744" t="str">
        <f>"702"</f>
        <v>702</v>
      </c>
      <c r="G6744">
        <v>9</v>
      </c>
      <c r="H6744" t="str">
        <f t="shared" si="1497"/>
        <v>99</v>
      </c>
      <c r="I6744" t="str">
        <f>"0"</f>
        <v>0</v>
      </c>
      <c r="J6744" t="str">
        <f>"93"</f>
        <v>93</v>
      </c>
      <c r="K6744">
        <v>20190614</v>
      </c>
      <c r="L6744" t="str">
        <f>"077132"</f>
        <v>077132</v>
      </c>
      <c r="M6744" t="str">
        <f>"13281"</f>
        <v>13281</v>
      </c>
      <c r="N6744" t="s">
        <v>1684</v>
      </c>
      <c r="O6744" s="1">
        <v>3208.33</v>
      </c>
      <c r="P6744">
        <v>20190612</v>
      </c>
      <c r="Q6744" t="s">
        <v>1685</v>
      </c>
      <c r="R6744" t="s">
        <v>5367</v>
      </c>
      <c r="S6744" t="s">
        <v>1615</v>
      </c>
      <c r="T6744" t="s">
        <v>1611</v>
      </c>
    </row>
    <row r="6745" spans="1:20" x14ac:dyDescent="0.25">
      <c r="A6745">
        <v>9</v>
      </c>
      <c r="B6745">
        <v>199</v>
      </c>
      <c r="C6745" t="str">
        <f>"11"</f>
        <v>11</v>
      </c>
      <c r="D6745">
        <v>6411</v>
      </c>
      <c r="E6745" t="str">
        <f>"00"</f>
        <v>00</v>
      </c>
      <c r="F6745" t="str">
        <f>"101"</f>
        <v>101</v>
      </c>
      <c r="G6745">
        <v>9</v>
      </c>
      <c r="H6745" t="str">
        <f>"23"</f>
        <v>23</v>
      </c>
      <c r="I6745" t="str">
        <f>"1"</f>
        <v>1</v>
      </c>
      <c r="J6745" t="str">
        <f>"23"</f>
        <v>23</v>
      </c>
      <c r="K6745">
        <v>20190614</v>
      </c>
      <c r="L6745" t="str">
        <f>"077134"</f>
        <v>077134</v>
      </c>
      <c r="M6745" t="str">
        <f>"19041"</f>
        <v>19041</v>
      </c>
      <c r="N6745" t="s">
        <v>4881</v>
      </c>
      <c r="O6745">
        <v>86.99</v>
      </c>
      <c r="P6745">
        <v>20190612</v>
      </c>
      <c r="Q6745" t="s">
        <v>5368</v>
      </c>
      <c r="R6745" t="s">
        <v>5369</v>
      </c>
      <c r="S6745" t="s">
        <v>1615</v>
      </c>
      <c r="T6745" t="s">
        <v>1479</v>
      </c>
    </row>
    <row r="6746" spans="1:20" x14ac:dyDescent="0.25">
      <c r="A6746">
        <v>9</v>
      </c>
      <c r="B6746">
        <v>199</v>
      </c>
      <c r="C6746" t="str">
        <f>"51"</f>
        <v>51</v>
      </c>
      <c r="D6746">
        <v>6249</v>
      </c>
      <c r="E6746" t="str">
        <f>"MC"</f>
        <v>MC</v>
      </c>
      <c r="F6746" t="str">
        <f>"001"</f>
        <v>001</v>
      </c>
      <c r="G6746">
        <v>9</v>
      </c>
      <c r="H6746" t="str">
        <f>"99"</f>
        <v>99</v>
      </c>
      <c r="I6746" t="str">
        <f t="shared" ref="I6746:I6751" si="1498">"0"</f>
        <v>0</v>
      </c>
      <c r="J6746" t="str">
        <f>"81"</f>
        <v>81</v>
      </c>
      <c r="K6746">
        <v>20190614</v>
      </c>
      <c r="L6746" t="str">
        <f>"077135"</f>
        <v>077135</v>
      </c>
      <c r="M6746" t="str">
        <f>"19076"</f>
        <v>19076</v>
      </c>
      <c r="N6746" t="s">
        <v>5370</v>
      </c>
      <c r="O6746">
        <v>395</v>
      </c>
      <c r="P6746">
        <v>20190612</v>
      </c>
      <c r="Q6746" t="s">
        <v>2386</v>
      </c>
      <c r="R6746" t="s">
        <v>5371</v>
      </c>
      <c r="S6746" t="s">
        <v>1615</v>
      </c>
      <c r="T6746" t="s">
        <v>301</v>
      </c>
    </row>
    <row r="6747" spans="1:20" x14ac:dyDescent="0.25">
      <c r="A6747">
        <v>9</v>
      </c>
      <c r="B6747">
        <v>199</v>
      </c>
      <c r="C6747" t="str">
        <f>"51"</f>
        <v>51</v>
      </c>
      <c r="D6747">
        <v>6249</v>
      </c>
      <c r="E6747" t="str">
        <f>"MC"</f>
        <v>MC</v>
      </c>
      <c r="F6747" t="str">
        <f>"041"</f>
        <v>041</v>
      </c>
      <c r="G6747">
        <v>9</v>
      </c>
      <c r="H6747" t="str">
        <f>"99"</f>
        <v>99</v>
      </c>
      <c r="I6747" t="str">
        <f t="shared" si="1498"/>
        <v>0</v>
      </c>
      <c r="J6747" t="str">
        <f>"81"</f>
        <v>81</v>
      </c>
      <c r="K6747">
        <v>20190614</v>
      </c>
      <c r="L6747" t="str">
        <f>"077135"</f>
        <v>077135</v>
      </c>
      <c r="M6747" t="str">
        <f>"19076"</f>
        <v>19076</v>
      </c>
      <c r="N6747" t="s">
        <v>5370</v>
      </c>
      <c r="O6747">
        <v>395</v>
      </c>
      <c r="P6747">
        <v>20190612</v>
      </c>
      <c r="Q6747" t="s">
        <v>1707</v>
      </c>
      <c r="R6747" t="s">
        <v>5371</v>
      </c>
      <c r="S6747" t="s">
        <v>1615</v>
      </c>
      <c r="T6747" t="s">
        <v>106</v>
      </c>
    </row>
    <row r="6748" spans="1:20" x14ac:dyDescent="0.25">
      <c r="A6748">
        <v>9</v>
      </c>
      <c r="B6748">
        <v>199</v>
      </c>
      <c r="C6748" t="str">
        <f>"51"</f>
        <v>51</v>
      </c>
      <c r="D6748">
        <v>6249</v>
      </c>
      <c r="E6748" t="str">
        <f>"MC"</f>
        <v>MC</v>
      </c>
      <c r="F6748" t="str">
        <f>"101"</f>
        <v>101</v>
      </c>
      <c r="G6748">
        <v>9</v>
      </c>
      <c r="H6748" t="str">
        <f>"99"</f>
        <v>99</v>
      </c>
      <c r="I6748" t="str">
        <f t="shared" si="1498"/>
        <v>0</v>
      </c>
      <c r="J6748" t="str">
        <f>"81"</f>
        <v>81</v>
      </c>
      <c r="K6748">
        <v>20190614</v>
      </c>
      <c r="L6748" t="str">
        <f>"077135"</f>
        <v>077135</v>
      </c>
      <c r="M6748" t="str">
        <f>"19076"</f>
        <v>19076</v>
      </c>
      <c r="N6748" t="s">
        <v>5370</v>
      </c>
      <c r="O6748">
        <v>395</v>
      </c>
      <c r="P6748">
        <v>20190612</v>
      </c>
      <c r="Q6748" t="s">
        <v>4500</v>
      </c>
      <c r="R6748" t="s">
        <v>5371</v>
      </c>
      <c r="S6748" t="s">
        <v>1615</v>
      </c>
      <c r="T6748" t="s">
        <v>1479</v>
      </c>
    </row>
    <row r="6749" spans="1:20" x14ac:dyDescent="0.25">
      <c r="A6749">
        <v>9</v>
      </c>
      <c r="B6749">
        <v>199</v>
      </c>
      <c r="C6749" t="str">
        <f>"51"</f>
        <v>51</v>
      </c>
      <c r="D6749">
        <v>6249</v>
      </c>
      <c r="E6749" t="str">
        <f>"MC"</f>
        <v>MC</v>
      </c>
      <c r="F6749" t="str">
        <f>"104"</f>
        <v>104</v>
      </c>
      <c r="G6749">
        <v>9</v>
      </c>
      <c r="H6749" t="str">
        <f>"99"</f>
        <v>99</v>
      </c>
      <c r="I6749" t="str">
        <f t="shared" si="1498"/>
        <v>0</v>
      </c>
      <c r="J6749" t="str">
        <f>"81"</f>
        <v>81</v>
      </c>
      <c r="K6749">
        <v>20190614</v>
      </c>
      <c r="L6749" t="str">
        <f>"077135"</f>
        <v>077135</v>
      </c>
      <c r="M6749" t="str">
        <f>"19076"</f>
        <v>19076</v>
      </c>
      <c r="N6749" t="s">
        <v>5370</v>
      </c>
      <c r="O6749">
        <v>395</v>
      </c>
      <c r="P6749">
        <v>20190612</v>
      </c>
      <c r="Q6749" t="s">
        <v>1744</v>
      </c>
      <c r="R6749" t="s">
        <v>5371</v>
      </c>
      <c r="S6749" t="s">
        <v>1615</v>
      </c>
      <c r="T6749" t="s">
        <v>46</v>
      </c>
    </row>
    <row r="6750" spans="1:20" x14ac:dyDescent="0.25">
      <c r="A6750">
        <v>9</v>
      </c>
      <c r="B6750">
        <v>199</v>
      </c>
      <c r="C6750" t="str">
        <f>"13"</f>
        <v>13</v>
      </c>
      <c r="D6750">
        <v>6411</v>
      </c>
      <c r="E6750" t="str">
        <f>"VB"</f>
        <v>VB</v>
      </c>
      <c r="F6750" t="str">
        <f>"001"</f>
        <v>001</v>
      </c>
      <c r="G6750">
        <v>9</v>
      </c>
      <c r="H6750" t="str">
        <f>"22"</f>
        <v>22</v>
      </c>
      <c r="I6750" t="str">
        <f t="shared" si="1498"/>
        <v>0</v>
      </c>
      <c r="J6750" t="str">
        <f>"22"</f>
        <v>22</v>
      </c>
      <c r="K6750">
        <v>20190614</v>
      </c>
      <c r="L6750" t="str">
        <f>"077136"</f>
        <v>077136</v>
      </c>
      <c r="M6750" t="str">
        <f>"31367"</f>
        <v>31367</v>
      </c>
      <c r="N6750" t="s">
        <v>2199</v>
      </c>
      <c r="O6750">
        <v>15.71</v>
      </c>
      <c r="P6750">
        <v>20190612</v>
      </c>
      <c r="Q6750" t="s">
        <v>3135</v>
      </c>
      <c r="R6750" t="s">
        <v>4755</v>
      </c>
      <c r="S6750" t="s">
        <v>1615</v>
      </c>
      <c r="T6750" t="s">
        <v>301</v>
      </c>
    </row>
    <row r="6751" spans="1:20" x14ac:dyDescent="0.25">
      <c r="A6751">
        <v>9</v>
      </c>
      <c r="B6751">
        <v>199</v>
      </c>
      <c r="C6751" t="str">
        <f>"51"</f>
        <v>51</v>
      </c>
      <c r="D6751">
        <v>6249</v>
      </c>
      <c r="E6751" t="str">
        <f>"MC"</f>
        <v>MC</v>
      </c>
      <c r="F6751" t="str">
        <f>"001"</f>
        <v>001</v>
      </c>
      <c r="G6751">
        <v>9</v>
      </c>
      <c r="H6751" t="str">
        <f>"99"</f>
        <v>99</v>
      </c>
      <c r="I6751" t="str">
        <f t="shared" si="1498"/>
        <v>0</v>
      </c>
      <c r="J6751" t="str">
        <f>"81"</f>
        <v>81</v>
      </c>
      <c r="K6751">
        <v>20190614</v>
      </c>
      <c r="L6751" t="str">
        <f>"077137"</f>
        <v>077137</v>
      </c>
      <c r="M6751" t="str">
        <f>"19188"</f>
        <v>19188</v>
      </c>
      <c r="N6751" t="s">
        <v>2851</v>
      </c>
      <c r="O6751">
        <v>270</v>
      </c>
      <c r="P6751">
        <v>20190613</v>
      </c>
      <c r="Q6751" t="s">
        <v>2386</v>
      </c>
      <c r="R6751" t="s">
        <v>5372</v>
      </c>
      <c r="S6751" t="s">
        <v>1615</v>
      </c>
      <c r="T6751" t="s">
        <v>301</v>
      </c>
    </row>
    <row r="6752" spans="1:20" x14ac:dyDescent="0.25">
      <c r="A6752">
        <v>9</v>
      </c>
      <c r="B6752">
        <v>199</v>
      </c>
      <c r="C6752" t="str">
        <f>"51"</f>
        <v>51</v>
      </c>
      <c r="D6752">
        <v>6254</v>
      </c>
      <c r="E6752" t="str">
        <f>"ME"</f>
        <v>ME</v>
      </c>
      <c r="F6752" t="str">
        <f>"936"</f>
        <v>936</v>
      </c>
      <c r="G6752">
        <v>9</v>
      </c>
      <c r="H6752" t="str">
        <f>"99"</f>
        <v>99</v>
      </c>
      <c r="I6752" t="str">
        <f>"1"</f>
        <v>1</v>
      </c>
      <c r="J6752" t="str">
        <f>"73"</f>
        <v>73</v>
      </c>
      <c r="K6752">
        <v>20190614</v>
      </c>
      <c r="L6752" t="str">
        <f>"077138"</f>
        <v>077138</v>
      </c>
      <c r="M6752" t="str">
        <f>"19310"</f>
        <v>19310</v>
      </c>
      <c r="N6752" t="s">
        <v>1689</v>
      </c>
      <c r="O6752" s="1">
        <v>3017.24</v>
      </c>
      <c r="P6752">
        <v>20190612</v>
      </c>
      <c r="Q6752" t="s">
        <v>1891</v>
      </c>
      <c r="R6752" t="s">
        <v>5373</v>
      </c>
      <c r="S6752" t="s">
        <v>1615</v>
      </c>
      <c r="T6752" t="s">
        <v>1713</v>
      </c>
    </row>
    <row r="6753" spans="1:20" x14ac:dyDescent="0.25">
      <c r="A6753">
        <v>9</v>
      </c>
      <c r="B6753">
        <v>199</v>
      </c>
      <c r="C6753" t="str">
        <f>"51"</f>
        <v>51</v>
      </c>
      <c r="D6753">
        <v>6254</v>
      </c>
      <c r="E6753" t="str">
        <f>"ME"</f>
        <v>ME</v>
      </c>
      <c r="F6753" t="str">
        <f>"936"</f>
        <v>936</v>
      </c>
      <c r="G6753">
        <v>9</v>
      </c>
      <c r="H6753" t="str">
        <f>"99"</f>
        <v>99</v>
      </c>
      <c r="I6753" t="str">
        <f>"1"</f>
        <v>1</v>
      </c>
      <c r="J6753" t="str">
        <f>"73"</f>
        <v>73</v>
      </c>
      <c r="K6753">
        <v>20190614</v>
      </c>
      <c r="L6753" t="str">
        <f>"077138"</f>
        <v>077138</v>
      </c>
      <c r="M6753" t="str">
        <f>"19310"</f>
        <v>19310</v>
      </c>
      <c r="N6753" t="s">
        <v>1689</v>
      </c>
      <c r="O6753">
        <v>319.16000000000003</v>
      </c>
      <c r="P6753">
        <v>20190612</v>
      </c>
      <c r="Q6753" t="s">
        <v>1891</v>
      </c>
      <c r="R6753" t="s">
        <v>5374</v>
      </c>
      <c r="S6753" t="s">
        <v>1615</v>
      </c>
      <c r="T6753" t="s">
        <v>1713</v>
      </c>
    </row>
    <row r="6754" spans="1:20" x14ac:dyDescent="0.25">
      <c r="A6754">
        <v>9</v>
      </c>
      <c r="B6754">
        <v>199</v>
      </c>
      <c r="C6754" t="str">
        <f>"00"</f>
        <v>00</v>
      </c>
      <c r="D6754">
        <v>1312</v>
      </c>
      <c r="E6754" t="str">
        <f>"00"</f>
        <v>00</v>
      </c>
      <c r="F6754" t="str">
        <f>"000"</f>
        <v>000</v>
      </c>
      <c r="G6754">
        <v>9</v>
      </c>
      <c r="H6754" t="str">
        <f>"00"</f>
        <v>00</v>
      </c>
      <c r="I6754" t="str">
        <f t="shared" ref="I6754:I6771" si="1499">"0"</f>
        <v>0</v>
      </c>
      <c r="J6754" t="str">
        <f>"00"</f>
        <v>00</v>
      </c>
      <c r="K6754">
        <v>20190614</v>
      </c>
      <c r="L6754" t="str">
        <f>"077139"</f>
        <v>077139</v>
      </c>
      <c r="M6754" t="str">
        <f>"14821"</f>
        <v>14821</v>
      </c>
      <c r="N6754" t="s">
        <v>1224</v>
      </c>
      <c r="O6754">
        <v>313.3</v>
      </c>
      <c r="P6754">
        <v>20190613</v>
      </c>
      <c r="Q6754" t="s">
        <v>1860</v>
      </c>
      <c r="R6754" t="s">
        <v>1225</v>
      </c>
      <c r="S6754" t="s">
        <v>1615</v>
      </c>
      <c r="T6754" t="s">
        <v>296</v>
      </c>
    </row>
    <row r="6755" spans="1:20" x14ac:dyDescent="0.25">
      <c r="A6755">
        <v>9</v>
      </c>
      <c r="B6755">
        <v>199</v>
      </c>
      <c r="C6755" t="str">
        <f>"11"</f>
        <v>11</v>
      </c>
      <c r="D6755">
        <v>6399</v>
      </c>
      <c r="E6755" t="str">
        <f>"45"</f>
        <v>45</v>
      </c>
      <c r="F6755" t="str">
        <f>"041"</f>
        <v>041</v>
      </c>
      <c r="G6755">
        <v>9</v>
      </c>
      <c r="H6755" t="str">
        <f>"11"</f>
        <v>11</v>
      </c>
      <c r="I6755" t="str">
        <f t="shared" si="1499"/>
        <v>0</v>
      </c>
      <c r="J6755" t="str">
        <f>"03"</f>
        <v>03</v>
      </c>
      <c r="K6755">
        <v>20190614</v>
      </c>
      <c r="L6755" t="str">
        <f>"077139"</f>
        <v>077139</v>
      </c>
      <c r="M6755" t="str">
        <f>"14821"</f>
        <v>14821</v>
      </c>
      <c r="N6755" t="s">
        <v>1224</v>
      </c>
      <c r="O6755" s="1">
        <v>1253.2</v>
      </c>
      <c r="P6755">
        <v>20190613</v>
      </c>
      <c r="Q6755" t="s">
        <v>2204</v>
      </c>
      <c r="R6755" t="s">
        <v>1225</v>
      </c>
      <c r="S6755" t="s">
        <v>1615</v>
      </c>
      <c r="T6755" t="s">
        <v>106</v>
      </c>
    </row>
    <row r="6756" spans="1:20" x14ac:dyDescent="0.25">
      <c r="A6756">
        <v>9</v>
      </c>
      <c r="B6756">
        <v>199</v>
      </c>
      <c r="C6756" t="str">
        <f>"11"</f>
        <v>11</v>
      </c>
      <c r="D6756">
        <v>6399</v>
      </c>
      <c r="E6756" t="str">
        <f>"45"</f>
        <v>45</v>
      </c>
      <c r="F6756" t="str">
        <f>"041"</f>
        <v>041</v>
      </c>
      <c r="G6756">
        <v>9</v>
      </c>
      <c r="H6756" t="str">
        <f>"11"</f>
        <v>11</v>
      </c>
      <c r="I6756" t="str">
        <f t="shared" si="1499"/>
        <v>0</v>
      </c>
      <c r="J6756" t="str">
        <f>"03"</f>
        <v>03</v>
      </c>
      <c r="K6756">
        <v>20190614</v>
      </c>
      <c r="L6756" t="str">
        <f>"077139"</f>
        <v>077139</v>
      </c>
      <c r="M6756" t="str">
        <f>"14821"</f>
        <v>14821</v>
      </c>
      <c r="N6756" t="s">
        <v>1224</v>
      </c>
      <c r="O6756" s="1">
        <v>2506.4</v>
      </c>
      <c r="P6756">
        <v>20190613</v>
      </c>
      <c r="Q6756" t="s">
        <v>2204</v>
      </c>
      <c r="R6756" t="s">
        <v>1225</v>
      </c>
      <c r="S6756" t="s">
        <v>1615</v>
      </c>
      <c r="T6756" t="s">
        <v>106</v>
      </c>
    </row>
    <row r="6757" spans="1:20" x14ac:dyDescent="0.25">
      <c r="A6757">
        <v>9</v>
      </c>
      <c r="B6757">
        <v>199</v>
      </c>
      <c r="C6757" t="str">
        <f>"11"</f>
        <v>11</v>
      </c>
      <c r="D6757">
        <v>6399</v>
      </c>
      <c r="E6757" t="str">
        <f>"8U"</f>
        <v>8U</v>
      </c>
      <c r="F6757" t="str">
        <f>"001"</f>
        <v>001</v>
      </c>
      <c r="G6757">
        <v>9</v>
      </c>
      <c r="H6757" t="str">
        <f>"11"</f>
        <v>11</v>
      </c>
      <c r="I6757" t="str">
        <f t="shared" si="1499"/>
        <v>0</v>
      </c>
      <c r="J6757" t="str">
        <f>"01"</f>
        <v>01</v>
      </c>
      <c r="K6757">
        <v>20190614</v>
      </c>
      <c r="L6757" t="str">
        <f>"077139"</f>
        <v>077139</v>
      </c>
      <c r="M6757" t="str">
        <f>"14821"</f>
        <v>14821</v>
      </c>
      <c r="N6757" t="s">
        <v>1224</v>
      </c>
      <c r="O6757" s="1">
        <v>1566.5</v>
      </c>
      <c r="P6757">
        <v>20190613</v>
      </c>
      <c r="Q6757" t="s">
        <v>2205</v>
      </c>
      <c r="R6757" t="s">
        <v>1225</v>
      </c>
      <c r="S6757" t="s">
        <v>1615</v>
      </c>
      <c r="T6757" t="s">
        <v>301</v>
      </c>
    </row>
    <row r="6758" spans="1:20" x14ac:dyDescent="0.25">
      <c r="A6758">
        <v>9</v>
      </c>
      <c r="B6758">
        <v>199</v>
      </c>
      <c r="C6758" t="str">
        <f>"34"</f>
        <v>34</v>
      </c>
      <c r="D6758">
        <v>6399</v>
      </c>
      <c r="E6758" t="str">
        <f>"10"</f>
        <v>10</v>
      </c>
      <c r="F6758" t="str">
        <f>"937"</f>
        <v>937</v>
      </c>
      <c r="G6758">
        <v>9</v>
      </c>
      <c r="H6758" t="str">
        <f>"99"</f>
        <v>99</v>
      </c>
      <c r="I6758" t="str">
        <f t="shared" si="1499"/>
        <v>0</v>
      </c>
      <c r="J6758" t="str">
        <f>"82"</f>
        <v>82</v>
      </c>
      <c r="K6758">
        <v>20190614</v>
      </c>
      <c r="L6758" t="str">
        <f>"077139"</f>
        <v>077139</v>
      </c>
      <c r="M6758" t="str">
        <f>"14821"</f>
        <v>14821</v>
      </c>
      <c r="N6758" t="s">
        <v>1224</v>
      </c>
      <c r="O6758">
        <v>783.25</v>
      </c>
      <c r="P6758">
        <v>20190613</v>
      </c>
      <c r="Q6758" t="s">
        <v>4075</v>
      </c>
      <c r="R6758" t="s">
        <v>1225</v>
      </c>
      <c r="S6758" t="s">
        <v>1615</v>
      </c>
      <c r="T6758" t="s">
        <v>1810</v>
      </c>
    </row>
    <row r="6759" spans="1:20" x14ac:dyDescent="0.25">
      <c r="A6759">
        <v>9</v>
      </c>
      <c r="B6759">
        <v>199</v>
      </c>
      <c r="C6759" t="str">
        <f>"34"</f>
        <v>34</v>
      </c>
      <c r="D6759">
        <v>6399</v>
      </c>
      <c r="E6759" t="str">
        <f>"11"</f>
        <v>11</v>
      </c>
      <c r="F6759" t="str">
        <f>"937"</f>
        <v>937</v>
      </c>
      <c r="G6759">
        <v>9</v>
      </c>
      <c r="H6759" t="str">
        <f>"99"</f>
        <v>99</v>
      </c>
      <c r="I6759" t="str">
        <f t="shared" si="1499"/>
        <v>0</v>
      </c>
      <c r="J6759" t="str">
        <f>"82"</f>
        <v>82</v>
      </c>
      <c r="K6759">
        <v>20190614</v>
      </c>
      <c r="L6759" t="str">
        <f>"077140"</f>
        <v>077140</v>
      </c>
      <c r="M6759" t="str">
        <f>"19425"</f>
        <v>19425</v>
      </c>
      <c r="N6759" t="s">
        <v>2209</v>
      </c>
      <c r="O6759">
        <v>207.59</v>
      </c>
      <c r="P6759">
        <v>20190612</v>
      </c>
      <c r="Q6759" t="s">
        <v>2210</v>
      </c>
      <c r="R6759" t="s">
        <v>5375</v>
      </c>
      <c r="S6759" t="s">
        <v>1615</v>
      </c>
      <c r="T6759" t="s">
        <v>1810</v>
      </c>
    </row>
    <row r="6760" spans="1:20" x14ac:dyDescent="0.25">
      <c r="A6760">
        <v>9</v>
      </c>
      <c r="B6760">
        <v>199</v>
      </c>
      <c r="C6760" t="str">
        <f>"34"</f>
        <v>34</v>
      </c>
      <c r="D6760">
        <v>6399</v>
      </c>
      <c r="E6760" t="str">
        <f>"11"</f>
        <v>11</v>
      </c>
      <c r="F6760" t="str">
        <f>"937"</f>
        <v>937</v>
      </c>
      <c r="G6760">
        <v>9</v>
      </c>
      <c r="H6760" t="str">
        <f>"99"</f>
        <v>99</v>
      </c>
      <c r="I6760" t="str">
        <f t="shared" si="1499"/>
        <v>0</v>
      </c>
      <c r="J6760" t="str">
        <f>"82"</f>
        <v>82</v>
      </c>
      <c r="K6760">
        <v>20190614</v>
      </c>
      <c r="L6760" t="str">
        <f>"077140"</f>
        <v>077140</v>
      </c>
      <c r="M6760" t="str">
        <f>"19425"</f>
        <v>19425</v>
      </c>
      <c r="N6760" t="s">
        <v>2209</v>
      </c>
      <c r="O6760">
        <v>135.94999999999999</v>
      </c>
      <c r="P6760">
        <v>20190612</v>
      </c>
      <c r="Q6760" t="s">
        <v>2210</v>
      </c>
      <c r="R6760" t="s">
        <v>5375</v>
      </c>
      <c r="S6760" t="s">
        <v>1615</v>
      </c>
      <c r="T6760" t="s">
        <v>1810</v>
      </c>
    </row>
    <row r="6761" spans="1:20" x14ac:dyDescent="0.25">
      <c r="A6761">
        <v>9</v>
      </c>
      <c r="B6761">
        <v>199</v>
      </c>
      <c r="C6761" t="str">
        <f>"34"</f>
        <v>34</v>
      </c>
      <c r="D6761">
        <v>6399</v>
      </c>
      <c r="E6761" t="str">
        <f>"11"</f>
        <v>11</v>
      </c>
      <c r="F6761" t="str">
        <f>"937"</f>
        <v>937</v>
      </c>
      <c r="G6761">
        <v>9</v>
      </c>
      <c r="H6761" t="str">
        <f>"99"</f>
        <v>99</v>
      </c>
      <c r="I6761" t="str">
        <f t="shared" si="1499"/>
        <v>0</v>
      </c>
      <c r="J6761" t="str">
        <f>"82"</f>
        <v>82</v>
      </c>
      <c r="K6761">
        <v>20190614</v>
      </c>
      <c r="L6761" t="str">
        <f>"077140"</f>
        <v>077140</v>
      </c>
      <c r="M6761" t="str">
        <f>"19425"</f>
        <v>19425</v>
      </c>
      <c r="N6761" t="s">
        <v>2209</v>
      </c>
      <c r="O6761">
        <v>474.55</v>
      </c>
      <c r="P6761">
        <v>20190612</v>
      </c>
      <c r="Q6761" t="s">
        <v>2210</v>
      </c>
      <c r="R6761" t="s">
        <v>2211</v>
      </c>
      <c r="S6761" t="s">
        <v>1615</v>
      </c>
      <c r="T6761" t="s">
        <v>1810</v>
      </c>
    </row>
    <row r="6762" spans="1:20" x14ac:dyDescent="0.25">
      <c r="A6762">
        <v>9</v>
      </c>
      <c r="B6762">
        <v>199</v>
      </c>
      <c r="C6762" t="str">
        <f>"34"</f>
        <v>34</v>
      </c>
      <c r="D6762">
        <v>6399</v>
      </c>
      <c r="E6762" t="str">
        <f>"11"</f>
        <v>11</v>
      </c>
      <c r="F6762" t="str">
        <f>"937"</f>
        <v>937</v>
      </c>
      <c r="G6762">
        <v>9</v>
      </c>
      <c r="H6762" t="str">
        <f>"99"</f>
        <v>99</v>
      </c>
      <c r="I6762" t="str">
        <f t="shared" si="1499"/>
        <v>0</v>
      </c>
      <c r="J6762" t="str">
        <f>"82"</f>
        <v>82</v>
      </c>
      <c r="K6762">
        <v>20190614</v>
      </c>
      <c r="L6762" t="str">
        <f>"077140"</f>
        <v>077140</v>
      </c>
      <c r="M6762" t="str">
        <f>"19425"</f>
        <v>19425</v>
      </c>
      <c r="N6762" t="s">
        <v>2209</v>
      </c>
      <c r="O6762">
        <v>91</v>
      </c>
      <c r="P6762">
        <v>20190612</v>
      </c>
      <c r="Q6762" t="s">
        <v>2210</v>
      </c>
      <c r="R6762" t="s">
        <v>5376</v>
      </c>
      <c r="S6762" t="s">
        <v>1615</v>
      </c>
      <c r="T6762" t="s">
        <v>1810</v>
      </c>
    </row>
    <row r="6763" spans="1:20" x14ac:dyDescent="0.25">
      <c r="A6763">
        <v>9</v>
      </c>
      <c r="B6763">
        <v>199</v>
      </c>
      <c r="C6763" t="str">
        <f t="shared" ref="C6763:C6770" si="1500">"11"</f>
        <v>11</v>
      </c>
      <c r="D6763">
        <v>6269</v>
      </c>
      <c r="E6763" t="str">
        <f>"VA"</f>
        <v>VA</v>
      </c>
      <c r="F6763" t="str">
        <f t="shared" ref="F6763:F6770" si="1501">"001"</f>
        <v>001</v>
      </c>
      <c r="G6763">
        <v>9</v>
      </c>
      <c r="H6763" t="str">
        <f t="shared" ref="H6763:H6770" si="1502">"22"</f>
        <v>22</v>
      </c>
      <c r="I6763" t="str">
        <f t="shared" si="1499"/>
        <v>0</v>
      </c>
      <c r="J6763" t="str">
        <f t="shared" ref="J6763:J6770" si="1503">"22"</f>
        <v>22</v>
      </c>
      <c r="K6763">
        <v>20190614</v>
      </c>
      <c r="L6763" t="str">
        <f t="shared" ref="L6763:L6770" si="1504">"077142"</f>
        <v>077142</v>
      </c>
      <c r="M6763" t="str">
        <f t="shared" ref="M6763:M6770" si="1505">"20683"</f>
        <v>20683</v>
      </c>
      <c r="N6763" t="s">
        <v>1697</v>
      </c>
      <c r="O6763">
        <v>49.77</v>
      </c>
      <c r="P6763">
        <v>20190612</v>
      </c>
      <c r="Q6763" t="s">
        <v>2213</v>
      </c>
      <c r="R6763" t="s">
        <v>5377</v>
      </c>
      <c r="S6763" t="s">
        <v>1615</v>
      </c>
      <c r="T6763" t="s">
        <v>301</v>
      </c>
    </row>
    <row r="6764" spans="1:20" x14ac:dyDescent="0.25">
      <c r="A6764">
        <v>9</v>
      </c>
      <c r="B6764">
        <v>199</v>
      </c>
      <c r="C6764" t="str">
        <f t="shared" si="1500"/>
        <v>11</v>
      </c>
      <c r="D6764">
        <v>6269</v>
      </c>
      <c r="E6764" t="str">
        <f>"VA"</f>
        <v>VA</v>
      </c>
      <c r="F6764" t="str">
        <f t="shared" si="1501"/>
        <v>001</v>
      </c>
      <c r="G6764">
        <v>9</v>
      </c>
      <c r="H6764" t="str">
        <f t="shared" si="1502"/>
        <v>22</v>
      </c>
      <c r="I6764" t="str">
        <f t="shared" si="1499"/>
        <v>0</v>
      </c>
      <c r="J6764" t="str">
        <f t="shared" si="1503"/>
        <v>22</v>
      </c>
      <c r="K6764">
        <v>20190614</v>
      </c>
      <c r="L6764" t="str">
        <f t="shared" si="1504"/>
        <v>077142</v>
      </c>
      <c r="M6764" t="str">
        <f t="shared" si="1505"/>
        <v>20683</v>
      </c>
      <c r="N6764" t="s">
        <v>1697</v>
      </c>
      <c r="O6764">
        <v>49.78</v>
      </c>
      <c r="P6764">
        <v>20190612</v>
      </c>
      <c r="Q6764" t="s">
        <v>2213</v>
      </c>
      <c r="R6764" t="s">
        <v>5378</v>
      </c>
      <c r="S6764" t="s">
        <v>1615</v>
      </c>
      <c r="T6764" t="s">
        <v>301</v>
      </c>
    </row>
    <row r="6765" spans="1:20" x14ac:dyDescent="0.25">
      <c r="A6765">
        <v>9</v>
      </c>
      <c r="B6765">
        <v>199</v>
      </c>
      <c r="C6765" t="str">
        <f t="shared" si="1500"/>
        <v>11</v>
      </c>
      <c r="D6765">
        <v>6269</v>
      </c>
      <c r="E6765" t="str">
        <f>"VA"</f>
        <v>VA</v>
      </c>
      <c r="F6765" t="str">
        <f t="shared" si="1501"/>
        <v>001</v>
      </c>
      <c r="G6765">
        <v>9</v>
      </c>
      <c r="H6765" t="str">
        <f t="shared" si="1502"/>
        <v>22</v>
      </c>
      <c r="I6765" t="str">
        <f t="shared" si="1499"/>
        <v>0</v>
      </c>
      <c r="J6765" t="str">
        <f t="shared" si="1503"/>
        <v>22</v>
      </c>
      <c r="K6765">
        <v>20190614</v>
      </c>
      <c r="L6765" t="str">
        <f t="shared" si="1504"/>
        <v>077142</v>
      </c>
      <c r="M6765" t="str">
        <f t="shared" si="1505"/>
        <v>20683</v>
      </c>
      <c r="N6765" t="s">
        <v>1697</v>
      </c>
      <c r="O6765">
        <v>98.18</v>
      </c>
      <c r="P6765">
        <v>20190612</v>
      </c>
      <c r="Q6765" t="s">
        <v>2213</v>
      </c>
      <c r="R6765" t="s">
        <v>5379</v>
      </c>
      <c r="S6765" t="s">
        <v>1615</v>
      </c>
      <c r="T6765" t="s">
        <v>301</v>
      </c>
    </row>
    <row r="6766" spans="1:20" x14ac:dyDescent="0.25">
      <c r="A6766">
        <v>9</v>
      </c>
      <c r="B6766">
        <v>199</v>
      </c>
      <c r="C6766" t="str">
        <f t="shared" si="1500"/>
        <v>11</v>
      </c>
      <c r="D6766">
        <v>6269</v>
      </c>
      <c r="E6766" t="str">
        <f>"VA"</f>
        <v>VA</v>
      </c>
      <c r="F6766" t="str">
        <f t="shared" si="1501"/>
        <v>001</v>
      </c>
      <c r="G6766">
        <v>9</v>
      </c>
      <c r="H6766" t="str">
        <f t="shared" si="1502"/>
        <v>22</v>
      </c>
      <c r="I6766" t="str">
        <f t="shared" si="1499"/>
        <v>0</v>
      </c>
      <c r="J6766" t="str">
        <f t="shared" si="1503"/>
        <v>22</v>
      </c>
      <c r="K6766">
        <v>20190614</v>
      </c>
      <c r="L6766" t="str">
        <f t="shared" si="1504"/>
        <v>077142</v>
      </c>
      <c r="M6766" t="str">
        <f t="shared" si="1505"/>
        <v>20683</v>
      </c>
      <c r="N6766" t="s">
        <v>1697</v>
      </c>
      <c r="O6766">
        <v>49.78</v>
      </c>
      <c r="P6766">
        <v>20190612</v>
      </c>
      <c r="Q6766" t="s">
        <v>2213</v>
      </c>
      <c r="R6766" t="s">
        <v>5380</v>
      </c>
      <c r="S6766" t="s">
        <v>1615</v>
      </c>
      <c r="T6766" t="s">
        <v>301</v>
      </c>
    </row>
    <row r="6767" spans="1:20" x14ac:dyDescent="0.25">
      <c r="A6767">
        <v>9</v>
      </c>
      <c r="B6767">
        <v>199</v>
      </c>
      <c r="C6767" t="str">
        <f t="shared" si="1500"/>
        <v>11</v>
      </c>
      <c r="D6767">
        <v>6399</v>
      </c>
      <c r="E6767" t="str">
        <f>"V8"</f>
        <v>V8</v>
      </c>
      <c r="F6767" t="str">
        <f t="shared" si="1501"/>
        <v>001</v>
      </c>
      <c r="G6767">
        <v>9</v>
      </c>
      <c r="H6767" t="str">
        <f t="shared" si="1502"/>
        <v>22</v>
      </c>
      <c r="I6767" t="str">
        <f t="shared" si="1499"/>
        <v>0</v>
      </c>
      <c r="J6767" t="str">
        <f t="shared" si="1503"/>
        <v>22</v>
      </c>
      <c r="K6767">
        <v>20190614</v>
      </c>
      <c r="L6767" t="str">
        <f t="shared" si="1504"/>
        <v>077142</v>
      </c>
      <c r="M6767" t="str">
        <f t="shared" si="1505"/>
        <v>20683</v>
      </c>
      <c r="N6767" t="s">
        <v>1697</v>
      </c>
      <c r="O6767">
        <v>13.69</v>
      </c>
      <c r="P6767">
        <v>20190612</v>
      </c>
      <c r="Q6767" t="s">
        <v>2001</v>
      </c>
      <c r="R6767" t="s">
        <v>5377</v>
      </c>
      <c r="S6767" t="s">
        <v>1615</v>
      </c>
      <c r="T6767" t="s">
        <v>301</v>
      </c>
    </row>
    <row r="6768" spans="1:20" x14ac:dyDescent="0.25">
      <c r="A6768">
        <v>9</v>
      </c>
      <c r="B6768">
        <v>199</v>
      </c>
      <c r="C6768" t="str">
        <f t="shared" si="1500"/>
        <v>11</v>
      </c>
      <c r="D6768">
        <v>6399</v>
      </c>
      <c r="E6768" t="str">
        <f>"V8"</f>
        <v>V8</v>
      </c>
      <c r="F6768" t="str">
        <f t="shared" si="1501"/>
        <v>001</v>
      </c>
      <c r="G6768">
        <v>9</v>
      </c>
      <c r="H6768" t="str">
        <f t="shared" si="1502"/>
        <v>22</v>
      </c>
      <c r="I6768" t="str">
        <f t="shared" si="1499"/>
        <v>0</v>
      </c>
      <c r="J6768" t="str">
        <f t="shared" si="1503"/>
        <v>22</v>
      </c>
      <c r="K6768">
        <v>20190614</v>
      </c>
      <c r="L6768" t="str">
        <f t="shared" si="1504"/>
        <v>077142</v>
      </c>
      <c r="M6768" t="str">
        <f t="shared" si="1505"/>
        <v>20683</v>
      </c>
      <c r="N6768" t="s">
        <v>1697</v>
      </c>
      <c r="O6768">
        <v>13.68</v>
      </c>
      <c r="P6768">
        <v>20190612</v>
      </c>
      <c r="Q6768" t="s">
        <v>2001</v>
      </c>
      <c r="R6768" t="s">
        <v>5378</v>
      </c>
      <c r="S6768" t="s">
        <v>1615</v>
      </c>
      <c r="T6768" t="s">
        <v>301</v>
      </c>
    </row>
    <row r="6769" spans="1:20" x14ac:dyDescent="0.25">
      <c r="A6769">
        <v>9</v>
      </c>
      <c r="B6769">
        <v>199</v>
      </c>
      <c r="C6769" t="str">
        <f t="shared" si="1500"/>
        <v>11</v>
      </c>
      <c r="D6769">
        <v>6399</v>
      </c>
      <c r="E6769" t="str">
        <f>"V8"</f>
        <v>V8</v>
      </c>
      <c r="F6769" t="str">
        <f t="shared" si="1501"/>
        <v>001</v>
      </c>
      <c r="G6769">
        <v>9</v>
      </c>
      <c r="H6769" t="str">
        <f t="shared" si="1502"/>
        <v>22</v>
      </c>
      <c r="I6769" t="str">
        <f t="shared" si="1499"/>
        <v>0</v>
      </c>
      <c r="J6769" t="str">
        <f t="shared" si="1503"/>
        <v>22</v>
      </c>
      <c r="K6769">
        <v>20190614</v>
      </c>
      <c r="L6769" t="str">
        <f t="shared" si="1504"/>
        <v>077142</v>
      </c>
      <c r="M6769" t="str">
        <f t="shared" si="1505"/>
        <v>20683</v>
      </c>
      <c r="N6769" t="s">
        <v>1697</v>
      </c>
      <c r="O6769">
        <v>13.68</v>
      </c>
      <c r="P6769">
        <v>20190612</v>
      </c>
      <c r="Q6769" t="s">
        <v>2001</v>
      </c>
      <c r="R6769" t="s">
        <v>5380</v>
      </c>
      <c r="S6769" t="s">
        <v>1615</v>
      </c>
      <c r="T6769" t="s">
        <v>301</v>
      </c>
    </row>
    <row r="6770" spans="1:20" x14ac:dyDescent="0.25">
      <c r="A6770">
        <v>9</v>
      </c>
      <c r="B6770">
        <v>199</v>
      </c>
      <c r="C6770" t="str">
        <f t="shared" si="1500"/>
        <v>11</v>
      </c>
      <c r="D6770">
        <v>6399</v>
      </c>
      <c r="E6770" t="str">
        <f>"V8"</f>
        <v>V8</v>
      </c>
      <c r="F6770" t="str">
        <f t="shared" si="1501"/>
        <v>001</v>
      </c>
      <c r="G6770">
        <v>9</v>
      </c>
      <c r="H6770" t="str">
        <f t="shared" si="1502"/>
        <v>22</v>
      </c>
      <c r="I6770" t="str">
        <f t="shared" si="1499"/>
        <v>0</v>
      </c>
      <c r="J6770" t="str">
        <f t="shared" si="1503"/>
        <v>22</v>
      </c>
      <c r="K6770">
        <v>20190614</v>
      </c>
      <c r="L6770" t="str">
        <f t="shared" si="1504"/>
        <v>077142</v>
      </c>
      <c r="M6770" t="str">
        <f t="shared" si="1505"/>
        <v>20683</v>
      </c>
      <c r="N6770" t="s">
        <v>1697</v>
      </c>
      <c r="O6770">
        <v>13.69</v>
      </c>
      <c r="P6770">
        <v>20190613</v>
      </c>
      <c r="Q6770" t="s">
        <v>2001</v>
      </c>
      <c r="R6770" t="s">
        <v>5379</v>
      </c>
      <c r="S6770" t="s">
        <v>1615</v>
      </c>
      <c r="T6770" t="s">
        <v>301</v>
      </c>
    </row>
    <row r="6771" spans="1:20" x14ac:dyDescent="0.25">
      <c r="A6771">
        <v>9</v>
      </c>
      <c r="B6771">
        <v>199</v>
      </c>
      <c r="C6771" t="str">
        <f>"51"</f>
        <v>51</v>
      </c>
      <c r="D6771">
        <v>6319</v>
      </c>
      <c r="E6771" t="str">
        <f>"MC"</f>
        <v>MC</v>
      </c>
      <c r="F6771" t="str">
        <f>"936"</f>
        <v>936</v>
      </c>
      <c r="G6771">
        <v>9</v>
      </c>
      <c r="H6771" t="str">
        <f>"99"</f>
        <v>99</v>
      </c>
      <c r="I6771" t="str">
        <f t="shared" si="1499"/>
        <v>0</v>
      </c>
      <c r="J6771" t="str">
        <f>"81"</f>
        <v>81</v>
      </c>
      <c r="K6771">
        <v>20190614</v>
      </c>
      <c r="L6771" t="str">
        <f>"077144"</f>
        <v>077144</v>
      </c>
      <c r="M6771" t="str">
        <f>"21081"</f>
        <v>21081</v>
      </c>
      <c r="N6771" t="s">
        <v>3117</v>
      </c>
      <c r="O6771">
        <v>583.67999999999995</v>
      </c>
      <c r="P6771">
        <v>20190612</v>
      </c>
      <c r="Q6771" t="s">
        <v>2060</v>
      </c>
      <c r="R6771" t="s">
        <v>5381</v>
      </c>
      <c r="S6771" t="s">
        <v>1615</v>
      </c>
      <c r="T6771" t="s">
        <v>1713</v>
      </c>
    </row>
    <row r="6772" spans="1:20" x14ac:dyDescent="0.25">
      <c r="A6772">
        <v>9</v>
      </c>
      <c r="B6772">
        <v>199</v>
      </c>
      <c r="C6772" t="str">
        <f>"31"</f>
        <v>31</v>
      </c>
      <c r="D6772">
        <v>6411</v>
      </c>
      <c r="E6772" t="str">
        <f>"00"</f>
        <v>00</v>
      </c>
      <c r="F6772" t="str">
        <f>"875"</f>
        <v>875</v>
      </c>
      <c r="G6772">
        <v>9</v>
      </c>
      <c r="H6772" t="str">
        <f>"23"</f>
        <v>23</v>
      </c>
      <c r="I6772" t="str">
        <f>"1"</f>
        <v>1</v>
      </c>
      <c r="J6772" t="str">
        <f>"23"</f>
        <v>23</v>
      </c>
      <c r="K6772">
        <v>20190614</v>
      </c>
      <c r="L6772" t="str">
        <f>"077145"</f>
        <v>077145</v>
      </c>
      <c r="M6772" t="str">
        <f>"21132"</f>
        <v>21132</v>
      </c>
      <c r="N6772" t="s">
        <v>5382</v>
      </c>
      <c r="O6772">
        <v>26.73</v>
      </c>
      <c r="P6772">
        <v>20190612</v>
      </c>
      <c r="Q6772" t="s">
        <v>3656</v>
      </c>
      <c r="R6772" t="s">
        <v>5383</v>
      </c>
      <c r="S6772" t="s">
        <v>1615</v>
      </c>
      <c r="T6772" t="s">
        <v>2041</v>
      </c>
    </row>
    <row r="6773" spans="1:20" x14ac:dyDescent="0.25">
      <c r="A6773">
        <v>9</v>
      </c>
      <c r="B6773">
        <v>199</v>
      </c>
      <c r="C6773" t="str">
        <f>"11"</f>
        <v>11</v>
      </c>
      <c r="D6773">
        <v>6399</v>
      </c>
      <c r="E6773" t="str">
        <f>"DC"</f>
        <v>DC</v>
      </c>
      <c r="F6773" t="str">
        <f>"001"</f>
        <v>001</v>
      </c>
      <c r="G6773">
        <v>9</v>
      </c>
      <c r="H6773" t="str">
        <f>"31"</f>
        <v>31</v>
      </c>
      <c r="I6773" t="str">
        <f>"0"</f>
        <v>0</v>
      </c>
      <c r="J6773" t="str">
        <f>"34"</f>
        <v>34</v>
      </c>
      <c r="K6773">
        <v>20190614</v>
      </c>
      <c r="L6773" t="str">
        <f>"077146"</f>
        <v>077146</v>
      </c>
      <c r="M6773" t="str">
        <f>"21283"</f>
        <v>21283</v>
      </c>
      <c r="N6773" t="s">
        <v>3856</v>
      </c>
      <c r="O6773" s="1">
        <v>1099</v>
      </c>
      <c r="P6773">
        <v>20190612</v>
      </c>
      <c r="Q6773" t="s">
        <v>3857</v>
      </c>
      <c r="R6773" t="s">
        <v>3858</v>
      </c>
      <c r="S6773" t="s">
        <v>1615</v>
      </c>
      <c r="T6773" t="s">
        <v>301</v>
      </c>
    </row>
    <row r="6774" spans="1:20" x14ac:dyDescent="0.25">
      <c r="A6774">
        <v>9</v>
      </c>
      <c r="B6774">
        <v>199</v>
      </c>
      <c r="C6774" t="str">
        <f>"31"</f>
        <v>31</v>
      </c>
      <c r="D6774">
        <v>6219</v>
      </c>
      <c r="E6774" t="str">
        <f>"00"</f>
        <v>00</v>
      </c>
      <c r="F6774" t="str">
        <f>"875"</f>
        <v>875</v>
      </c>
      <c r="G6774">
        <v>9</v>
      </c>
      <c r="H6774" t="str">
        <f>"23"</f>
        <v>23</v>
      </c>
      <c r="I6774" t="str">
        <f>"0"</f>
        <v>0</v>
      </c>
      <c r="J6774" t="str">
        <f>"23"</f>
        <v>23</v>
      </c>
      <c r="K6774">
        <v>20190614</v>
      </c>
      <c r="L6774" t="str">
        <f>"077147"</f>
        <v>077147</v>
      </c>
      <c r="M6774" t="str">
        <f>"21769"</f>
        <v>21769</v>
      </c>
      <c r="N6774" t="s">
        <v>1701</v>
      </c>
      <c r="O6774" s="1">
        <v>4000</v>
      </c>
      <c r="P6774">
        <v>20190612</v>
      </c>
      <c r="Q6774" t="s">
        <v>2207</v>
      </c>
      <c r="R6774" t="s">
        <v>5384</v>
      </c>
      <c r="S6774" t="s">
        <v>1615</v>
      </c>
      <c r="T6774" t="s">
        <v>2041</v>
      </c>
    </row>
    <row r="6775" spans="1:20" x14ac:dyDescent="0.25">
      <c r="A6775">
        <v>9</v>
      </c>
      <c r="B6775">
        <v>199</v>
      </c>
      <c r="C6775" t="str">
        <f>"11"</f>
        <v>11</v>
      </c>
      <c r="D6775">
        <v>6412</v>
      </c>
      <c r="E6775" t="str">
        <f>"V8"</f>
        <v>V8</v>
      </c>
      <c r="F6775" t="str">
        <f>"001"</f>
        <v>001</v>
      </c>
      <c r="G6775">
        <v>9</v>
      </c>
      <c r="H6775" t="str">
        <f>"22"</f>
        <v>22</v>
      </c>
      <c r="I6775" t="str">
        <f>"0"</f>
        <v>0</v>
      </c>
      <c r="J6775" t="str">
        <f>"22"</f>
        <v>22</v>
      </c>
      <c r="K6775">
        <v>20190614</v>
      </c>
      <c r="L6775" t="str">
        <f>"077149"</f>
        <v>077149</v>
      </c>
      <c r="M6775" t="str">
        <f>"25460"</f>
        <v>25460</v>
      </c>
      <c r="N6775" t="s">
        <v>2600</v>
      </c>
      <c r="O6775">
        <v>900</v>
      </c>
      <c r="P6775">
        <v>20190612</v>
      </c>
      <c r="Q6775" t="s">
        <v>1884</v>
      </c>
      <c r="R6775" t="s">
        <v>5351</v>
      </c>
      <c r="S6775" t="s">
        <v>1615</v>
      </c>
      <c r="T6775" t="s">
        <v>301</v>
      </c>
    </row>
    <row r="6776" spans="1:20" x14ac:dyDescent="0.25">
      <c r="A6776">
        <v>9</v>
      </c>
      <c r="B6776">
        <v>199</v>
      </c>
      <c r="C6776" t="str">
        <f>"36"</f>
        <v>36</v>
      </c>
      <c r="D6776">
        <v>6411</v>
      </c>
      <c r="E6776" t="str">
        <f>"V8"</f>
        <v>V8</v>
      </c>
      <c r="F6776" t="str">
        <f>"001"</f>
        <v>001</v>
      </c>
      <c r="G6776">
        <v>9</v>
      </c>
      <c r="H6776" t="str">
        <f>"22"</f>
        <v>22</v>
      </c>
      <c r="I6776" t="str">
        <f>"0"</f>
        <v>0</v>
      </c>
      <c r="J6776" t="str">
        <f>"22"</f>
        <v>22</v>
      </c>
      <c r="K6776">
        <v>20190614</v>
      </c>
      <c r="L6776" t="str">
        <f>"077149"</f>
        <v>077149</v>
      </c>
      <c r="M6776" t="str">
        <f>"25460"</f>
        <v>25460</v>
      </c>
      <c r="N6776" t="s">
        <v>2600</v>
      </c>
      <c r="O6776">
        <v>375</v>
      </c>
      <c r="P6776">
        <v>20190612</v>
      </c>
      <c r="Q6776" t="s">
        <v>2602</v>
      </c>
      <c r="R6776" t="s">
        <v>5351</v>
      </c>
      <c r="S6776" t="s">
        <v>1615</v>
      </c>
      <c r="T6776" t="s">
        <v>301</v>
      </c>
    </row>
    <row r="6777" spans="1:20" x14ac:dyDescent="0.25">
      <c r="A6777">
        <v>9</v>
      </c>
      <c r="B6777">
        <v>199</v>
      </c>
      <c r="C6777" t="str">
        <f>"13"</f>
        <v>13</v>
      </c>
      <c r="D6777">
        <v>6411</v>
      </c>
      <c r="E6777" t="str">
        <f>"PD"</f>
        <v>PD</v>
      </c>
      <c r="F6777" t="str">
        <f>"001"</f>
        <v>001</v>
      </c>
      <c r="G6777">
        <v>9</v>
      </c>
      <c r="H6777" t="str">
        <f>"31"</f>
        <v>31</v>
      </c>
      <c r="I6777" t="str">
        <f>"0"</f>
        <v>0</v>
      </c>
      <c r="J6777" t="str">
        <f>"34"</f>
        <v>34</v>
      </c>
      <c r="K6777">
        <v>20190614</v>
      </c>
      <c r="L6777" t="str">
        <f>"077151"</f>
        <v>077151</v>
      </c>
      <c r="M6777" t="str">
        <f>"26391"</f>
        <v>26391</v>
      </c>
      <c r="N6777" t="s">
        <v>5385</v>
      </c>
      <c r="O6777">
        <v>693.24</v>
      </c>
      <c r="P6777">
        <v>20190612</v>
      </c>
      <c r="Q6777" t="s">
        <v>2220</v>
      </c>
      <c r="R6777" t="s">
        <v>4692</v>
      </c>
      <c r="S6777" t="s">
        <v>1615</v>
      </c>
      <c r="T6777" t="s">
        <v>301</v>
      </c>
    </row>
    <row r="6778" spans="1:20" x14ac:dyDescent="0.25">
      <c r="A6778">
        <v>9</v>
      </c>
      <c r="B6778">
        <v>199</v>
      </c>
      <c r="C6778" t="str">
        <f>"11"</f>
        <v>11</v>
      </c>
      <c r="D6778">
        <v>6411</v>
      </c>
      <c r="E6778" t="str">
        <f>"HB"</f>
        <v>HB</v>
      </c>
      <c r="F6778" t="str">
        <f>"001"</f>
        <v>001</v>
      </c>
      <c r="G6778">
        <v>9</v>
      </c>
      <c r="H6778" t="str">
        <f>"11"</f>
        <v>11</v>
      </c>
      <c r="I6778" t="str">
        <f>"3"</f>
        <v>3</v>
      </c>
      <c r="J6778" t="str">
        <f>"74"</f>
        <v>74</v>
      </c>
      <c r="K6778">
        <v>20190614</v>
      </c>
      <c r="L6778" t="str">
        <f>"077152"</f>
        <v>077152</v>
      </c>
      <c r="M6778" t="str">
        <f>"26395"</f>
        <v>26395</v>
      </c>
      <c r="N6778" t="s">
        <v>5386</v>
      </c>
      <c r="O6778">
        <v>73.7</v>
      </c>
      <c r="P6778">
        <v>20190613</v>
      </c>
      <c r="Q6778" t="s">
        <v>4533</v>
      </c>
      <c r="R6778" t="s">
        <v>5387</v>
      </c>
      <c r="S6778" t="s">
        <v>1615</v>
      </c>
      <c r="T6778" t="s">
        <v>301</v>
      </c>
    </row>
    <row r="6779" spans="1:20" x14ac:dyDescent="0.25">
      <c r="A6779">
        <v>9</v>
      </c>
      <c r="B6779">
        <v>199</v>
      </c>
      <c r="C6779" t="str">
        <f>"11"</f>
        <v>11</v>
      </c>
      <c r="D6779">
        <v>6399</v>
      </c>
      <c r="E6779" t="str">
        <f>"7K"</f>
        <v>7K</v>
      </c>
      <c r="F6779" t="str">
        <f>"001"</f>
        <v>001</v>
      </c>
      <c r="G6779">
        <v>9</v>
      </c>
      <c r="H6779" t="str">
        <f>"11"</f>
        <v>11</v>
      </c>
      <c r="I6779" t="str">
        <f t="shared" ref="I6779:I6788" si="1506">"0"</f>
        <v>0</v>
      </c>
      <c r="J6779" t="str">
        <f>"01"</f>
        <v>01</v>
      </c>
      <c r="K6779">
        <v>20190614</v>
      </c>
      <c r="L6779" t="str">
        <f>"077153"</f>
        <v>077153</v>
      </c>
      <c r="M6779" t="str">
        <f>"26876"</f>
        <v>26876</v>
      </c>
      <c r="N6779" t="s">
        <v>3550</v>
      </c>
      <c r="O6779">
        <v>193.7</v>
      </c>
      <c r="P6779">
        <v>20190612</v>
      </c>
      <c r="Q6779" t="s">
        <v>1671</v>
      </c>
      <c r="R6779" t="s">
        <v>3551</v>
      </c>
      <c r="S6779" t="s">
        <v>1615</v>
      </c>
      <c r="T6779" t="s">
        <v>301</v>
      </c>
    </row>
    <row r="6780" spans="1:20" x14ac:dyDescent="0.25">
      <c r="A6780">
        <v>9</v>
      </c>
      <c r="B6780">
        <v>199</v>
      </c>
      <c r="C6780" t="str">
        <f>"34"</f>
        <v>34</v>
      </c>
      <c r="D6780">
        <v>6411</v>
      </c>
      <c r="E6780" t="str">
        <f>"10"</f>
        <v>10</v>
      </c>
      <c r="F6780" t="str">
        <f>"937"</f>
        <v>937</v>
      </c>
      <c r="G6780">
        <v>9</v>
      </c>
      <c r="H6780" t="str">
        <f>"99"</f>
        <v>99</v>
      </c>
      <c r="I6780" t="str">
        <f t="shared" si="1506"/>
        <v>0</v>
      </c>
      <c r="J6780" t="str">
        <f>"82"</f>
        <v>82</v>
      </c>
      <c r="K6780">
        <v>20190614</v>
      </c>
      <c r="L6780" t="str">
        <f>"077156"</f>
        <v>077156</v>
      </c>
      <c r="M6780" t="str">
        <f>"27900"</f>
        <v>27900</v>
      </c>
      <c r="N6780" t="s">
        <v>1490</v>
      </c>
      <c r="O6780">
        <v>600</v>
      </c>
      <c r="P6780">
        <v>20190612</v>
      </c>
      <c r="Q6780" t="s">
        <v>2604</v>
      </c>
      <c r="R6780" t="s">
        <v>5388</v>
      </c>
      <c r="S6780" t="s">
        <v>1615</v>
      </c>
      <c r="T6780" t="s">
        <v>1810</v>
      </c>
    </row>
    <row r="6781" spans="1:20" x14ac:dyDescent="0.25">
      <c r="A6781">
        <v>9</v>
      </c>
      <c r="B6781">
        <v>199</v>
      </c>
      <c r="C6781" t="str">
        <f>"21"</f>
        <v>21</v>
      </c>
      <c r="D6781">
        <v>6299</v>
      </c>
      <c r="E6781" t="str">
        <f>"00"</f>
        <v>00</v>
      </c>
      <c r="F6781" t="str">
        <f>"939"</f>
        <v>939</v>
      </c>
      <c r="G6781">
        <v>9</v>
      </c>
      <c r="H6781" t="str">
        <f>"99"</f>
        <v>99</v>
      </c>
      <c r="I6781" t="str">
        <f t="shared" si="1506"/>
        <v>0</v>
      </c>
      <c r="J6781" t="str">
        <f>"87"</f>
        <v>87</v>
      </c>
      <c r="K6781">
        <v>20190614</v>
      </c>
      <c r="L6781" t="str">
        <f>"077157"</f>
        <v>077157</v>
      </c>
      <c r="M6781" t="str">
        <f>"00758"</f>
        <v>00758</v>
      </c>
      <c r="N6781" t="s">
        <v>5389</v>
      </c>
      <c r="O6781" s="1">
        <v>5820</v>
      </c>
      <c r="P6781">
        <v>20190612</v>
      </c>
      <c r="Q6781" t="s">
        <v>5390</v>
      </c>
      <c r="R6781" t="s">
        <v>5391</v>
      </c>
      <c r="S6781" t="s">
        <v>1615</v>
      </c>
      <c r="T6781" t="s">
        <v>2985</v>
      </c>
    </row>
    <row r="6782" spans="1:20" x14ac:dyDescent="0.25">
      <c r="A6782">
        <v>9</v>
      </c>
      <c r="B6782">
        <v>199</v>
      </c>
      <c r="C6782" t="str">
        <f>"21"</f>
        <v>21</v>
      </c>
      <c r="D6782">
        <v>6299</v>
      </c>
      <c r="E6782" t="str">
        <f>"00"</f>
        <v>00</v>
      </c>
      <c r="F6782" t="str">
        <f>"939"</f>
        <v>939</v>
      </c>
      <c r="G6782">
        <v>9</v>
      </c>
      <c r="H6782" t="str">
        <f>"99"</f>
        <v>99</v>
      </c>
      <c r="I6782" t="str">
        <f t="shared" si="1506"/>
        <v>0</v>
      </c>
      <c r="J6782" t="str">
        <f>"87"</f>
        <v>87</v>
      </c>
      <c r="K6782">
        <v>20190614</v>
      </c>
      <c r="L6782" t="str">
        <f>"077157"</f>
        <v>077157</v>
      </c>
      <c r="M6782" t="str">
        <f>"00758"</f>
        <v>00758</v>
      </c>
      <c r="N6782" t="s">
        <v>5389</v>
      </c>
      <c r="O6782">
        <v>600</v>
      </c>
      <c r="P6782">
        <v>20190612</v>
      </c>
      <c r="Q6782" t="s">
        <v>5390</v>
      </c>
      <c r="R6782" t="s">
        <v>5392</v>
      </c>
      <c r="S6782" t="s">
        <v>1615</v>
      </c>
      <c r="T6782" t="s">
        <v>2985</v>
      </c>
    </row>
    <row r="6783" spans="1:20" x14ac:dyDescent="0.25">
      <c r="A6783">
        <v>9</v>
      </c>
      <c r="B6783">
        <v>199</v>
      </c>
      <c r="C6783" t="str">
        <f>"13"</f>
        <v>13</v>
      </c>
      <c r="D6783">
        <v>6411</v>
      </c>
      <c r="E6783" t="str">
        <f>"VB"</f>
        <v>VB</v>
      </c>
      <c r="F6783" t="str">
        <f>"001"</f>
        <v>001</v>
      </c>
      <c r="G6783">
        <v>9</v>
      </c>
      <c r="H6783" t="str">
        <f>"22"</f>
        <v>22</v>
      </c>
      <c r="I6783" t="str">
        <f t="shared" si="1506"/>
        <v>0</v>
      </c>
      <c r="J6783" t="str">
        <f>"22"</f>
        <v>22</v>
      </c>
      <c r="K6783">
        <v>20190614</v>
      </c>
      <c r="L6783" t="str">
        <f>"077158"</f>
        <v>077158</v>
      </c>
      <c r="M6783" t="str">
        <f>"28680"</f>
        <v>28680</v>
      </c>
      <c r="N6783" t="s">
        <v>482</v>
      </c>
      <c r="O6783">
        <v>278.16000000000003</v>
      </c>
      <c r="P6783">
        <v>20190612</v>
      </c>
      <c r="Q6783" t="s">
        <v>3135</v>
      </c>
      <c r="R6783" t="s">
        <v>4755</v>
      </c>
      <c r="S6783" t="s">
        <v>1615</v>
      </c>
      <c r="T6783" t="s">
        <v>301</v>
      </c>
    </row>
    <row r="6784" spans="1:20" x14ac:dyDescent="0.25">
      <c r="A6784">
        <v>9</v>
      </c>
      <c r="B6784">
        <v>199</v>
      </c>
      <c r="C6784" t="str">
        <f>"36"</f>
        <v>36</v>
      </c>
      <c r="D6784">
        <v>6412</v>
      </c>
      <c r="E6784" t="str">
        <f>"09"</f>
        <v>09</v>
      </c>
      <c r="F6784" t="str">
        <f>"001"</f>
        <v>001</v>
      </c>
      <c r="G6784">
        <v>9</v>
      </c>
      <c r="H6784" t="str">
        <f>"99"</f>
        <v>99</v>
      </c>
      <c r="I6784" t="str">
        <f t="shared" si="1506"/>
        <v>0</v>
      </c>
      <c r="J6784" t="str">
        <f>"01"</f>
        <v>01</v>
      </c>
      <c r="K6784">
        <v>20190614</v>
      </c>
      <c r="L6784" t="str">
        <f>"077158"</f>
        <v>077158</v>
      </c>
      <c r="M6784" t="str">
        <f>"28680"</f>
        <v>28680</v>
      </c>
      <c r="N6784" t="s">
        <v>482</v>
      </c>
      <c r="O6784">
        <v>355.11</v>
      </c>
      <c r="P6784">
        <v>20190612</v>
      </c>
      <c r="Q6784" t="s">
        <v>2427</v>
      </c>
      <c r="R6784" t="s">
        <v>5006</v>
      </c>
      <c r="S6784" t="s">
        <v>1615</v>
      </c>
      <c r="T6784" t="s">
        <v>301</v>
      </c>
    </row>
    <row r="6785" spans="1:20" x14ac:dyDescent="0.25">
      <c r="A6785">
        <v>9</v>
      </c>
      <c r="B6785">
        <v>199</v>
      </c>
      <c r="C6785" t="str">
        <f>"36"</f>
        <v>36</v>
      </c>
      <c r="D6785">
        <v>6412</v>
      </c>
      <c r="E6785" t="str">
        <f>"7B"</f>
        <v>7B</v>
      </c>
      <c r="F6785" t="str">
        <f>"001"</f>
        <v>001</v>
      </c>
      <c r="G6785">
        <v>9</v>
      </c>
      <c r="H6785" t="str">
        <f>"99"</f>
        <v>99</v>
      </c>
      <c r="I6785" t="str">
        <f t="shared" si="1506"/>
        <v>0</v>
      </c>
      <c r="J6785" t="str">
        <f>"32"</f>
        <v>32</v>
      </c>
      <c r="K6785">
        <v>20190614</v>
      </c>
      <c r="L6785" t="str">
        <f>"077158"</f>
        <v>077158</v>
      </c>
      <c r="M6785" t="str">
        <f>"28680"</f>
        <v>28680</v>
      </c>
      <c r="N6785" t="s">
        <v>482</v>
      </c>
      <c r="O6785">
        <v>52</v>
      </c>
      <c r="P6785">
        <v>20190612</v>
      </c>
      <c r="Q6785" t="s">
        <v>1658</v>
      </c>
      <c r="R6785" t="s">
        <v>5087</v>
      </c>
      <c r="S6785" t="s">
        <v>1615</v>
      </c>
      <c r="T6785" t="s">
        <v>301</v>
      </c>
    </row>
    <row r="6786" spans="1:20" x14ac:dyDescent="0.25">
      <c r="A6786">
        <v>9</v>
      </c>
      <c r="B6786">
        <v>199</v>
      </c>
      <c r="C6786" t="str">
        <f>"51"</f>
        <v>51</v>
      </c>
      <c r="D6786">
        <v>6269</v>
      </c>
      <c r="E6786" t="str">
        <f>"10"</f>
        <v>10</v>
      </c>
      <c r="F6786" t="str">
        <f>"936"</f>
        <v>936</v>
      </c>
      <c r="G6786">
        <v>9</v>
      </c>
      <c r="H6786" t="str">
        <f>"99"</f>
        <v>99</v>
      </c>
      <c r="I6786" t="str">
        <f t="shared" si="1506"/>
        <v>0</v>
      </c>
      <c r="J6786" t="str">
        <f>"81"</f>
        <v>81</v>
      </c>
      <c r="K6786">
        <v>20190614</v>
      </c>
      <c r="L6786" t="str">
        <f>"077158"</f>
        <v>077158</v>
      </c>
      <c r="M6786" t="str">
        <f>"28680"</f>
        <v>28680</v>
      </c>
      <c r="N6786" t="s">
        <v>482</v>
      </c>
      <c r="O6786">
        <v>110.02</v>
      </c>
      <c r="P6786">
        <v>20190612</v>
      </c>
      <c r="Q6786" t="s">
        <v>5393</v>
      </c>
      <c r="R6786" t="s">
        <v>5394</v>
      </c>
      <c r="S6786" t="s">
        <v>1615</v>
      </c>
      <c r="T6786" t="s">
        <v>1713</v>
      </c>
    </row>
    <row r="6787" spans="1:20" x14ac:dyDescent="0.25">
      <c r="A6787">
        <v>9</v>
      </c>
      <c r="B6787">
        <v>199</v>
      </c>
      <c r="C6787" t="str">
        <f>"51"</f>
        <v>51</v>
      </c>
      <c r="D6787">
        <v>6269</v>
      </c>
      <c r="E6787" t="str">
        <f>"10"</f>
        <v>10</v>
      </c>
      <c r="F6787" t="str">
        <f>"936"</f>
        <v>936</v>
      </c>
      <c r="G6787">
        <v>9</v>
      </c>
      <c r="H6787" t="str">
        <f>"99"</f>
        <v>99</v>
      </c>
      <c r="I6787" t="str">
        <f t="shared" si="1506"/>
        <v>0</v>
      </c>
      <c r="J6787" t="str">
        <f>"81"</f>
        <v>81</v>
      </c>
      <c r="K6787">
        <v>20190614</v>
      </c>
      <c r="L6787" t="str">
        <f>"077158"</f>
        <v>077158</v>
      </c>
      <c r="M6787" t="str">
        <f>"28680"</f>
        <v>28680</v>
      </c>
      <c r="N6787" t="s">
        <v>482</v>
      </c>
      <c r="O6787">
        <v>112.34</v>
      </c>
      <c r="P6787">
        <v>20190612</v>
      </c>
      <c r="Q6787" t="s">
        <v>5393</v>
      </c>
      <c r="R6787" t="s">
        <v>5394</v>
      </c>
      <c r="S6787" t="s">
        <v>1615</v>
      </c>
      <c r="T6787" t="s">
        <v>1713</v>
      </c>
    </row>
    <row r="6788" spans="1:20" x14ac:dyDescent="0.25">
      <c r="A6788">
        <v>9</v>
      </c>
      <c r="B6788">
        <v>199</v>
      </c>
      <c r="C6788" t="str">
        <f>"11"</f>
        <v>11</v>
      </c>
      <c r="D6788">
        <v>6412</v>
      </c>
      <c r="E6788" t="str">
        <f>"V8"</f>
        <v>V8</v>
      </c>
      <c r="F6788" t="str">
        <f>"001"</f>
        <v>001</v>
      </c>
      <c r="G6788">
        <v>9</v>
      </c>
      <c r="H6788" t="str">
        <f>"22"</f>
        <v>22</v>
      </c>
      <c r="I6788" t="str">
        <f t="shared" si="1506"/>
        <v>0</v>
      </c>
      <c r="J6788" t="str">
        <f>"22"</f>
        <v>22</v>
      </c>
      <c r="K6788">
        <v>20190614</v>
      </c>
      <c r="L6788" t="str">
        <f>"077159"</f>
        <v>077159</v>
      </c>
      <c r="M6788" t="str">
        <f>"21049"</f>
        <v>21049</v>
      </c>
      <c r="N6788" t="s">
        <v>1883</v>
      </c>
      <c r="O6788">
        <v>240</v>
      </c>
      <c r="P6788">
        <v>20190612</v>
      </c>
      <c r="Q6788" t="s">
        <v>1884</v>
      </c>
      <c r="R6788" t="s">
        <v>5395</v>
      </c>
      <c r="S6788" t="s">
        <v>1615</v>
      </c>
      <c r="T6788" t="s">
        <v>301</v>
      </c>
    </row>
    <row r="6789" spans="1:20" x14ac:dyDescent="0.25">
      <c r="A6789">
        <v>9</v>
      </c>
      <c r="B6789">
        <v>199</v>
      </c>
      <c r="C6789" t="str">
        <f>"11"</f>
        <v>11</v>
      </c>
      <c r="D6789">
        <v>6411</v>
      </c>
      <c r="E6789" t="str">
        <f>"00"</f>
        <v>00</v>
      </c>
      <c r="F6789" t="str">
        <f>"001"</f>
        <v>001</v>
      </c>
      <c r="G6789">
        <v>9</v>
      </c>
      <c r="H6789" t="str">
        <f>"23"</f>
        <v>23</v>
      </c>
      <c r="I6789" t="str">
        <f>"1"</f>
        <v>1</v>
      </c>
      <c r="J6789" t="str">
        <f>"23"</f>
        <v>23</v>
      </c>
      <c r="K6789">
        <v>20190614</v>
      </c>
      <c r="L6789" t="str">
        <f>"077160"</f>
        <v>077160</v>
      </c>
      <c r="M6789" t="str">
        <f>"29554"</f>
        <v>29554</v>
      </c>
      <c r="N6789" t="s">
        <v>5396</v>
      </c>
      <c r="O6789">
        <v>300</v>
      </c>
      <c r="P6789">
        <v>20190612</v>
      </c>
      <c r="Q6789" t="s">
        <v>5397</v>
      </c>
      <c r="R6789" t="s">
        <v>5398</v>
      </c>
      <c r="S6789" t="s">
        <v>1615</v>
      </c>
      <c r="T6789" t="s">
        <v>301</v>
      </c>
    </row>
    <row r="6790" spans="1:20" x14ac:dyDescent="0.25">
      <c r="A6790">
        <v>9</v>
      </c>
      <c r="B6790">
        <v>199</v>
      </c>
      <c r="C6790" t="str">
        <f>"11"</f>
        <v>11</v>
      </c>
      <c r="D6790">
        <v>6411</v>
      </c>
      <c r="E6790" t="str">
        <f>"00"</f>
        <v>00</v>
      </c>
      <c r="F6790" t="str">
        <f>"041"</f>
        <v>041</v>
      </c>
      <c r="G6790">
        <v>9</v>
      </c>
      <c r="H6790" t="str">
        <f>"23"</f>
        <v>23</v>
      </c>
      <c r="I6790" t="str">
        <f>"1"</f>
        <v>1</v>
      </c>
      <c r="J6790" t="str">
        <f>"23"</f>
        <v>23</v>
      </c>
      <c r="K6790">
        <v>20190614</v>
      </c>
      <c r="L6790" t="str">
        <f>"077160"</f>
        <v>077160</v>
      </c>
      <c r="M6790" t="str">
        <f>"29554"</f>
        <v>29554</v>
      </c>
      <c r="N6790" t="s">
        <v>5396</v>
      </c>
      <c r="O6790">
        <v>212.06</v>
      </c>
      <c r="P6790">
        <v>20190612</v>
      </c>
      <c r="Q6790" t="s">
        <v>5399</v>
      </c>
      <c r="R6790" t="s">
        <v>5398</v>
      </c>
      <c r="S6790" t="s">
        <v>1615</v>
      </c>
      <c r="T6790" t="s">
        <v>106</v>
      </c>
    </row>
    <row r="6791" spans="1:20" x14ac:dyDescent="0.25">
      <c r="A6791">
        <v>9</v>
      </c>
      <c r="B6791">
        <v>199</v>
      </c>
      <c r="C6791" t="str">
        <f>"00"</f>
        <v>00</v>
      </c>
      <c r="D6791">
        <v>1312</v>
      </c>
      <c r="E6791" t="str">
        <f>"00"</f>
        <v>00</v>
      </c>
      <c r="F6791" t="str">
        <f>"000"</f>
        <v>000</v>
      </c>
      <c r="G6791">
        <v>9</v>
      </c>
      <c r="H6791" t="str">
        <f>"00"</f>
        <v>00</v>
      </c>
      <c r="I6791" t="str">
        <f>"0"</f>
        <v>0</v>
      </c>
      <c r="J6791" t="str">
        <f>"00"</f>
        <v>00</v>
      </c>
      <c r="K6791">
        <v>20190614</v>
      </c>
      <c r="L6791" t="str">
        <f>"077161"</f>
        <v>077161</v>
      </c>
      <c r="M6791" t="str">
        <f>"29610"</f>
        <v>29610</v>
      </c>
      <c r="N6791" t="s">
        <v>2067</v>
      </c>
      <c r="O6791">
        <v>195.6</v>
      </c>
      <c r="P6791">
        <v>20190612</v>
      </c>
      <c r="Q6791" t="s">
        <v>1860</v>
      </c>
      <c r="R6791" t="s">
        <v>5400</v>
      </c>
      <c r="S6791" t="s">
        <v>1615</v>
      </c>
      <c r="T6791" t="s">
        <v>296</v>
      </c>
    </row>
    <row r="6792" spans="1:20" x14ac:dyDescent="0.25">
      <c r="A6792">
        <v>9</v>
      </c>
      <c r="B6792">
        <v>199</v>
      </c>
      <c r="C6792" t="str">
        <f>"00"</f>
        <v>00</v>
      </c>
      <c r="D6792">
        <v>1312</v>
      </c>
      <c r="E6792" t="str">
        <f>"00"</f>
        <v>00</v>
      </c>
      <c r="F6792" t="str">
        <f>"000"</f>
        <v>000</v>
      </c>
      <c r="G6792">
        <v>9</v>
      </c>
      <c r="H6792" t="str">
        <f>"00"</f>
        <v>00</v>
      </c>
      <c r="I6792" t="str">
        <f>"0"</f>
        <v>0</v>
      </c>
      <c r="J6792" t="str">
        <f>"00"</f>
        <v>00</v>
      </c>
      <c r="K6792">
        <v>20190614</v>
      </c>
      <c r="L6792" t="str">
        <f>"077161"</f>
        <v>077161</v>
      </c>
      <c r="M6792" t="str">
        <f>"29610"</f>
        <v>29610</v>
      </c>
      <c r="N6792" t="s">
        <v>2067</v>
      </c>
      <c r="O6792">
        <v>339.75</v>
      </c>
      <c r="P6792">
        <v>20190612</v>
      </c>
      <c r="Q6792" t="s">
        <v>1860</v>
      </c>
      <c r="R6792" t="s">
        <v>5401</v>
      </c>
      <c r="S6792" t="s">
        <v>1615</v>
      </c>
      <c r="T6792" t="s">
        <v>296</v>
      </c>
    </row>
    <row r="6793" spans="1:20" x14ac:dyDescent="0.25">
      <c r="A6793">
        <v>9</v>
      </c>
      <c r="B6793">
        <v>199</v>
      </c>
      <c r="C6793" t="str">
        <f>"00"</f>
        <v>00</v>
      </c>
      <c r="D6793">
        <v>1312</v>
      </c>
      <c r="E6793" t="str">
        <f>"00"</f>
        <v>00</v>
      </c>
      <c r="F6793" t="str">
        <f>"000"</f>
        <v>000</v>
      </c>
      <c r="G6793">
        <v>9</v>
      </c>
      <c r="H6793" t="str">
        <f>"00"</f>
        <v>00</v>
      </c>
      <c r="I6793" t="str">
        <f>"0"</f>
        <v>0</v>
      </c>
      <c r="J6793" t="str">
        <f>"00"</f>
        <v>00</v>
      </c>
      <c r="K6793">
        <v>20190614</v>
      </c>
      <c r="L6793" t="str">
        <f>"077161"</f>
        <v>077161</v>
      </c>
      <c r="M6793" t="str">
        <f>"29610"</f>
        <v>29610</v>
      </c>
      <c r="N6793" t="s">
        <v>2067</v>
      </c>
      <c r="O6793">
        <v>201.4</v>
      </c>
      <c r="P6793">
        <v>20190612</v>
      </c>
      <c r="Q6793" t="s">
        <v>1860</v>
      </c>
      <c r="R6793" t="s">
        <v>5402</v>
      </c>
      <c r="S6793" t="s">
        <v>1615</v>
      </c>
      <c r="T6793" t="s">
        <v>296</v>
      </c>
    </row>
    <row r="6794" spans="1:20" x14ac:dyDescent="0.25">
      <c r="A6794">
        <v>9</v>
      </c>
      <c r="B6794">
        <v>199</v>
      </c>
      <c r="C6794" t="str">
        <f>"36"</f>
        <v>36</v>
      </c>
      <c r="D6794">
        <v>6412</v>
      </c>
      <c r="E6794" t="str">
        <f>"V2"</f>
        <v>V2</v>
      </c>
      <c r="F6794" t="str">
        <f>"001"</f>
        <v>001</v>
      </c>
      <c r="G6794">
        <v>9</v>
      </c>
      <c r="H6794" t="str">
        <f>"22"</f>
        <v>22</v>
      </c>
      <c r="I6794" t="str">
        <f>"5"</f>
        <v>5</v>
      </c>
      <c r="J6794" t="str">
        <f>"74"</f>
        <v>74</v>
      </c>
      <c r="K6794">
        <v>20190614</v>
      </c>
      <c r="L6794" t="str">
        <f>"077163"</f>
        <v>077163</v>
      </c>
      <c r="M6794" t="str">
        <f>"13359"</f>
        <v>13359</v>
      </c>
      <c r="N6794" t="s">
        <v>4516</v>
      </c>
      <c r="O6794">
        <v>540</v>
      </c>
      <c r="P6794">
        <v>20190612</v>
      </c>
      <c r="Q6794" t="s">
        <v>5147</v>
      </c>
      <c r="R6794" t="s">
        <v>5148</v>
      </c>
      <c r="S6794" t="s">
        <v>1615</v>
      </c>
      <c r="T6794" t="s">
        <v>301</v>
      </c>
    </row>
    <row r="6795" spans="1:20" x14ac:dyDescent="0.25">
      <c r="A6795">
        <v>9</v>
      </c>
      <c r="B6795">
        <v>199</v>
      </c>
      <c r="C6795" t="str">
        <f>"36"</f>
        <v>36</v>
      </c>
      <c r="D6795">
        <v>6412</v>
      </c>
      <c r="E6795" t="str">
        <f>"V2"</f>
        <v>V2</v>
      </c>
      <c r="F6795" t="str">
        <f>"001"</f>
        <v>001</v>
      </c>
      <c r="G6795">
        <v>9</v>
      </c>
      <c r="H6795" t="str">
        <f>"22"</f>
        <v>22</v>
      </c>
      <c r="I6795" t="str">
        <f>"5"</f>
        <v>5</v>
      </c>
      <c r="J6795" t="str">
        <f>"74"</f>
        <v>74</v>
      </c>
      <c r="K6795">
        <v>20190614</v>
      </c>
      <c r="L6795" t="str">
        <f>"077163"</f>
        <v>077163</v>
      </c>
      <c r="M6795" t="str">
        <f>"13359"</f>
        <v>13359</v>
      </c>
      <c r="N6795" t="s">
        <v>4516</v>
      </c>
      <c r="O6795">
        <v>185</v>
      </c>
      <c r="P6795">
        <v>20190612</v>
      </c>
      <c r="Q6795" t="s">
        <v>5147</v>
      </c>
      <c r="R6795" t="s">
        <v>5148</v>
      </c>
      <c r="S6795" t="s">
        <v>1615</v>
      </c>
      <c r="T6795" t="s">
        <v>301</v>
      </c>
    </row>
    <row r="6796" spans="1:20" x14ac:dyDescent="0.25">
      <c r="A6796">
        <v>9</v>
      </c>
      <c r="B6796">
        <v>199</v>
      </c>
      <c r="C6796" t="str">
        <f>"11"</f>
        <v>11</v>
      </c>
      <c r="D6796">
        <v>6299</v>
      </c>
      <c r="E6796" t="str">
        <f>"7Q"</f>
        <v>7Q</v>
      </c>
      <c r="F6796" t="str">
        <f>"001"</f>
        <v>001</v>
      </c>
      <c r="G6796">
        <v>9</v>
      </c>
      <c r="H6796" t="str">
        <f>"11"</f>
        <v>11</v>
      </c>
      <c r="I6796" t="str">
        <f>"0"</f>
        <v>0</v>
      </c>
      <c r="J6796" t="str">
        <f>"01"</f>
        <v>01</v>
      </c>
      <c r="K6796">
        <v>20190614</v>
      </c>
      <c r="L6796" t="str">
        <f>"077164"</f>
        <v>077164</v>
      </c>
      <c r="M6796" t="str">
        <f>"34525"</f>
        <v>34525</v>
      </c>
      <c r="N6796" t="s">
        <v>3389</v>
      </c>
      <c r="O6796">
        <v>100</v>
      </c>
      <c r="P6796">
        <v>20190612</v>
      </c>
      <c r="Q6796" t="s">
        <v>5403</v>
      </c>
      <c r="R6796" t="s">
        <v>3498</v>
      </c>
      <c r="S6796" t="s">
        <v>1615</v>
      </c>
      <c r="T6796" t="s">
        <v>301</v>
      </c>
    </row>
    <row r="6797" spans="1:20" x14ac:dyDescent="0.25">
      <c r="A6797">
        <v>9</v>
      </c>
      <c r="B6797">
        <v>199</v>
      </c>
      <c r="C6797" t="str">
        <f>"36"</f>
        <v>36</v>
      </c>
      <c r="D6797">
        <v>6412</v>
      </c>
      <c r="E6797" t="str">
        <f>"7E"</f>
        <v>7E</v>
      </c>
      <c r="F6797" t="str">
        <f>"001"</f>
        <v>001</v>
      </c>
      <c r="G6797">
        <v>9</v>
      </c>
      <c r="H6797" t="str">
        <f t="shared" ref="H6797:H6802" si="1507">"99"</f>
        <v>99</v>
      </c>
      <c r="I6797" t="str">
        <f>"5"</f>
        <v>5</v>
      </c>
      <c r="J6797" t="str">
        <f>"74"</f>
        <v>74</v>
      </c>
      <c r="K6797">
        <v>20190614</v>
      </c>
      <c r="L6797" t="str">
        <f>"077164"</f>
        <v>077164</v>
      </c>
      <c r="M6797" t="str">
        <f>"34525"</f>
        <v>34525</v>
      </c>
      <c r="N6797" t="s">
        <v>3389</v>
      </c>
      <c r="O6797">
        <v>400</v>
      </c>
      <c r="P6797">
        <v>20190612</v>
      </c>
      <c r="Q6797" t="s">
        <v>4602</v>
      </c>
      <c r="R6797" t="s">
        <v>5087</v>
      </c>
      <c r="S6797" t="s">
        <v>1615</v>
      </c>
      <c r="T6797" t="s">
        <v>301</v>
      </c>
    </row>
    <row r="6798" spans="1:20" x14ac:dyDescent="0.25">
      <c r="A6798">
        <v>9</v>
      </c>
      <c r="B6798">
        <v>199</v>
      </c>
      <c r="C6798" t="str">
        <f>"36"</f>
        <v>36</v>
      </c>
      <c r="D6798">
        <v>6412</v>
      </c>
      <c r="E6798" t="str">
        <f>"7E"</f>
        <v>7E</v>
      </c>
      <c r="F6798" t="str">
        <f>"001"</f>
        <v>001</v>
      </c>
      <c r="G6798">
        <v>9</v>
      </c>
      <c r="H6798" t="str">
        <f t="shared" si="1507"/>
        <v>99</v>
      </c>
      <c r="I6798" t="str">
        <f>"5"</f>
        <v>5</v>
      </c>
      <c r="J6798" t="str">
        <f>"74"</f>
        <v>74</v>
      </c>
      <c r="K6798">
        <v>20190614</v>
      </c>
      <c r="L6798" t="str">
        <f>"077165"</f>
        <v>077165</v>
      </c>
      <c r="M6798" t="str">
        <f>"37260"</f>
        <v>37260</v>
      </c>
      <c r="N6798" t="s">
        <v>1890</v>
      </c>
      <c r="O6798" s="1">
        <v>2300</v>
      </c>
      <c r="P6798">
        <v>20190613</v>
      </c>
      <c r="Q6798" t="s">
        <v>4602</v>
      </c>
      <c r="R6798" t="s">
        <v>5087</v>
      </c>
      <c r="S6798" t="s">
        <v>1615</v>
      </c>
      <c r="T6798" t="s">
        <v>301</v>
      </c>
    </row>
    <row r="6799" spans="1:20" x14ac:dyDescent="0.25">
      <c r="A6799">
        <v>9</v>
      </c>
      <c r="B6799">
        <v>199</v>
      </c>
      <c r="C6799" t="str">
        <f>"51"</f>
        <v>51</v>
      </c>
      <c r="D6799">
        <v>6319</v>
      </c>
      <c r="E6799" t="str">
        <f>"M3"</f>
        <v>M3</v>
      </c>
      <c r="F6799" t="str">
        <f>"936"</f>
        <v>936</v>
      </c>
      <c r="G6799">
        <v>9</v>
      </c>
      <c r="H6799" t="str">
        <f t="shared" si="1507"/>
        <v>99</v>
      </c>
      <c r="I6799" t="str">
        <f t="shared" ref="I6799:I6806" si="1508">"0"</f>
        <v>0</v>
      </c>
      <c r="J6799" t="str">
        <f>"81"</f>
        <v>81</v>
      </c>
      <c r="K6799">
        <v>20190614</v>
      </c>
      <c r="L6799" t="str">
        <f>"077166"</f>
        <v>077166</v>
      </c>
      <c r="M6799" t="str">
        <f>"00125"</f>
        <v>00125</v>
      </c>
      <c r="N6799" t="s">
        <v>2245</v>
      </c>
      <c r="O6799">
        <v>137.80000000000001</v>
      </c>
      <c r="P6799">
        <v>20190612</v>
      </c>
      <c r="Q6799" t="s">
        <v>2246</v>
      </c>
      <c r="R6799" t="s">
        <v>5404</v>
      </c>
      <c r="S6799" t="s">
        <v>1615</v>
      </c>
      <c r="T6799" t="s">
        <v>1713</v>
      </c>
    </row>
    <row r="6800" spans="1:20" x14ac:dyDescent="0.25">
      <c r="A6800">
        <v>9</v>
      </c>
      <c r="B6800">
        <v>199</v>
      </c>
      <c r="C6800" t="str">
        <f>"51"</f>
        <v>51</v>
      </c>
      <c r="D6800">
        <v>6319</v>
      </c>
      <c r="E6800" t="str">
        <f>"M3"</f>
        <v>M3</v>
      </c>
      <c r="F6800" t="str">
        <f>"936"</f>
        <v>936</v>
      </c>
      <c r="G6800">
        <v>9</v>
      </c>
      <c r="H6800" t="str">
        <f t="shared" si="1507"/>
        <v>99</v>
      </c>
      <c r="I6800" t="str">
        <f t="shared" si="1508"/>
        <v>0</v>
      </c>
      <c r="J6800" t="str">
        <f>"81"</f>
        <v>81</v>
      </c>
      <c r="K6800">
        <v>20190614</v>
      </c>
      <c r="L6800" t="str">
        <f>"077166"</f>
        <v>077166</v>
      </c>
      <c r="M6800" t="str">
        <f>"00125"</f>
        <v>00125</v>
      </c>
      <c r="N6800" t="s">
        <v>2245</v>
      </c>
      <c r="O6800">
        <v>430.2</v>
      </c>
      <c r="P6800">
        <v>20190612</v>
      </c>
      <c r="Q6800" t="s">
        <v>2246</v>
      </c>
      <c r="R6800" t="s">
        <v>5405</v>
      </c>
      <c r="S6800" t="s">
        <v>1615</v>
      </c>
      <c r="T6800" t="s">
        <v>1713</v>
      </c>
    </row>
    <row r="6801" spans="1:20" x14ac:dyDescent="0.25">
      <c r="A6801">
        <v>9</v>
      </c>
      <c r="B6801">
        <v>199</v>
      </c>
      <c r="C6801" t="str">
        <f>"51"</f>
        <v>51</v>
      </c>
      <c r="D6801">
        <v>6319</v>
      </c>
      <c r="E6801" t="str">
        <f>"M3"</f>
        <v>M3</v>
      </c>
      <c r="F6801" t="str">
        <f>"936"</f>
        <v>936</v>
      </c>
      <c r="G6801">
        <v>9</v>
      </c>
      <c r="H6801" t="str">
        <f t="shared" si="1507"/>
        <v>99</v>
      </c>
      <c r="I6801" t="str">
        <f t="shared" si="1508"/>
        <v>0</v>
      </c>
      <c r="J6801" t="str">
        <f>"81"</f>
        <v>81</v>
      </c>
      <c r="K6801">
        <v>20190614</v>
      </c>
      <c r="L6801" t="str">
        <f>"077166"</f>
        <v>077166</v>
      </c>
      <c r="M6801" t="str">
        <f>"00125"</f>
        <v>00125</v>
      </c>
      <c r="N6801" t="s">
        <v>2245</v>
      </c>
      <c r="O6801" s="1">
        <v>15661.85</v>
      </c>
      <c r="P6801">
        <v>20190612</v>
      </c>
      <c r="Q6801" t="s">
        <v>2246</v>
      </c>
      <c r="R6801" t="s">
        <v>2249</v>
      </c>
      <c r="S6801" t="s">
        <v>1615</v>
      </c>
      <c r="T6801" t="s">
        <v>1713</v>
      </c>
    </row>
    <row r="6802" spans="1:20" x14ac:dyDescent="0.25">
      <c r="A6802">
        <v>9</v>
      </c>
      <c r="B6802">
        <v>199</v>
      </c>
      <c r="C6802" t="str">
        <f>"51"</f>
        <v>51</v>
      </c>
      <c r="D6802">
        <v>6319</v>
      </c>
      <c r="E6802" t="str">
        <f>"M3"</f>
        <v>M3</v>
      </c>
      <c r="F6802" t="str">
        <f>"936"</f>
        <v>936</v>
      </c>
      <c r="G6802">
        <v>9</v>
      </c>
      <c r="H6802" t="str">
        <f t="shared" si="1507"/>
        <v>99</v>
      </c>
      <c r="I6802" t="str">
        <f t="shared" si="1508"/>
        <v>0</v>
      </c>
      <c r="J6802" t="str">
        <f>"81"</f>
        <v>81</v>
      </c>
      <c r="K6802">
        <v>20190614</v>
      </c>
      <c r="L6802" t="str">
        <f>"077166"</f>
        <v>077166</v>
      </c>
      <c r="M6802" t="str">
        <f>"00125"</f>
        <v>00125</v>
      </c>
      <c r="N6802" t="s">
        <v>2245</v>
      </c>
      <c r="O6802" s="1">
        <v>10832.76</v>
      </c>
      <c r="P6802">
        <v>20190612</v>
      </c>
      <c r="Q6802" t="s">
        <v>2246</v>
      </c>
      <c r="R6802" t="s">
        <v>2249</v>
      </c>
      <c r="S6802" t="s">
        <v>1615</v>
      </c>
      <c r="T6802" t="s">
        <v>1713</v>
      </c>
    </row>
    <row r="6803" spans="1:20" x14ac:dyDescent="0.25">
      <c r="A6803">
        <v>9</v>
      </c>
      <c r="B6803">
        <v>199</v>
      </c>
      <c r="C6803" t="str">
        <f>"13"</f>
        <v>13</v>
      </c>
      <c r="D6803">
        <v>6411</v>
      </c>
      <c r="E6803" t="str">
        <f>"VB"</f>
        <v>VB</v>
      </c>
      <c r="F6803" t="str">
        <f>"001"</f>
        <v>001</v>
      </c>
      <c r="G6803">
        <v>9</v>
      </c>
      <c r="H6803" t="str">
        <f>"22"</f>
        <v>22</v>
      </c>
      <c r="I6803" t="str">
        <f t="shared" si="1508"/>
        <v>0</v>
      </c>
      <c r="J6803" t="str">
        <f>"22"</f>
        <v>22</v>
      </c>
      <c r="K6803">
        <v>20190614</v>
      </c>
      <c r="L6803" t="str">
        <f>"077168"</f>
        <v>077168</v>
      </c>
      <c r="M6803" t="str">
        <f>"00801"</f>
        <v>00801</v>
      </c>
      <c r="N6803" t="s">
        <v>592</v>
      </c>
      <c r="O6803">
        <v>337.9</v>
      </c>
      <c r="P6803">
        <v>20190612</v>
      </c>
      <c r="Q6803" t="s">
        <v>3135</v>
      </c>
      <c r="R6803" t="s">
        <v>5406</v>
      </c>
      <c r="S6803" t="s">
        <v>1615</v>
      </c>
      <c r="T6803" t="s">
        <v>301</v>
      </c>
    </row>
    <row r="6804" spans="1:20" x14ac:dyDescent="0.25">
      <c r="A6804">
        <v>9</v>
      </c>
      <c r="B6804">
        <v>199</v>
      </c>
      <c r="C6804" t="str">
        <f>"11"</f>
        <v>11</v>
      </c>
      <c r="D6804">
        <v>6399</v>
      </c>
      <c r="E6804" t="str">
        <f>"7K"</f>
        <v>7K</v>
      </c>
      <c r="F6804" t="str">
        <f>"001"</f>
        <v>001</v>
      </c>
      <c r="G6804">
        <v>9</v>
      </c>
      <c r="H6804" t="str">
        <f>"11"</f>
        <v>11</v>
      </c>
      <c r="I6804" t="str">
        <f t="shared" si="1508"/>
        <v>0</v>
      </c>
      <c r="J6804" t="str">
        <f>"01"</f>
        <v>01</v>
      </c>
      <c r="K6804">
        <v>20190614</v>
      </c>
      <c r="L6804" t="str">
        <f>"077169"</f>
        <v>077169</v>
      </c>
      <c r="M6804" t="str">
        <f>"41230"</f>
        <v>41230</v>
      </c>
      <c r="N6804" t="s">
        <v>1350</v>
      </c>
      <c r="O6804">
        <v>984.2</v>
      </c>
      <c r="P6804">
        <v>20190612</v>
      </c>
      <c r="Q6804" t="s">
        <v>1671</v>
      </c>
      <c r="R6804" t="s">
        <v>5407</v>
      </c>
      <c r="S6804" t="s">
        <v>1615</v>
      </c>
      <c r="T6804" t="s">
        <v>301</v>
      </c>
    </row>
    <row r="6805" spans="1:20" x14ac:dyDescent="0.25">
      <c r="A6805">
        <v>9</v>
      </c>
      <c r="B6805">
        <v>199</v>
      </c>
      <c r="C6805" t="str">
        <f>"11"</f>
        <v>11</v>
      </c>
      <c r="D6805">
        <v>6399</v>
      </c>
      <c r="E6805" t="str">
        <f>"7K"</f>
        <v>7K</v>
      </c>
      <c r="F6805" t="str">
        <f>"001"</f>
        <v>001</v>
      </c>
      <c r="G6805">
        <v>9</v>
      </c>
      <c r="H6805" t="str">
        <f>"11"</f>
        <v>11</v>
      </c>
      <c r="I6805" t="str">
        <f t="shared" si="1508"/>
        <v>0</v>
      </c>
      <c r="J6805" t="str">
        <f>"01"</f>
        <v>01</v>
      </c>
      <c r="K6805">
        <v>20190614</v>
      </c>
      <c r="L6805" t="str">
        <f>"077169"</f>
        <v>077169</v>
      </c>
      <c r="M6805" t="str">
        <f>"41230"</f>
        <v>41230</v>
      </c>
      <c r="N6805" t="s">
        <v>1350</v>
      </c>
      <c r="O6805">
        <v>161.49</v>
      </c>
      <c r="P6805">
        <v>20190612</v>
      </c>
      <c r="Q6805" t="s">
        <v>1671</v>
      </c>
      <c r="R6805" t="s">
        <v>5407</v>
      </c>
      <c r="S6805" t="s">
        <v>1615</v>
      </c>
      <c r="T6805" t="s">
        <v>301</v>
      </c>
    </row>
    <row r="6806" spans="1:20" x14ac:dyDescent="0.25">
      <c r="A6806">
        <v>9</v>
      </c>
      <c r="B6806">
        <v>199</v>
      </c>
      <c r="C6806" t="str">
        <f>"51"</f>
        <v>51</v>
      </c>
      <c r="D6806">
        <v>6319</v>
      </c>
      <c r="E6806" t="str">
        <f>"MC"</f>
        <v>MC</v>
      </c>
      <c r="F6806" t="str">
        <f>"936"</f>
        <v>936</v>
      </c>
      <c r="G6806">
        <v>9</v>
      </c>
      <c r="H6806" t="str">
        <f>"99"</f>
        <v>99</v>
      </c>
      <c r="I6806" t="str">
        <f t="shared" si="1508"/>
        <v>0</v>
      </c>
      <c r="J6806" t="str">
        <f>"81"</f>
        <v>81</v>
      </c>
      <c r="K6806">
        <v>20190614</v>
      </c>
      <c r="L6806" t="str">
        <f>"077169"</f>
        <v>077169</v>
      </c>
      <c r="M6806" t="str">
        <f>"41230"</f>
        <v>41230</v>
      </c>
      <c r="N6806" t="s">
        <v>1350</v>
      </c>
      <c r="O6806">
        <v>31.35</v>
      </c>
      <c r="P6806">
        <v>20190612</v>
      </c>
      <c r="Q6806" t="s">
        <v>2060</v>
      </c>
      <c r="R6806" t="s">
        <v>5408</v>
      </c>
      <c r="S6806" t="s">
        <v>1615</v>
      </c>
      <c r="T6806" t="s">
        <v>1713</v>
      </c>
    </row>
    <row r="6807" spans="1:20" x14ac:dyDescent="0.25">
      <c r="A6807">
        <v>9</v>
      </c>
      <c r="B6807">
        <v>199</v>
      </c>
      <c r="C6807" t="str">
        <f>"21"</f>
        <v>21</v>
      </c>
      <c r="D6807">
        <v>6411</v>
      </c>
      <c r="E6807" t="str">
        <f>"00"</f>
        <v>00</v>
      </c>
      <c r="F6807" t="str">
        <f>"875"</f>
        <v>875</v>
      </c>
      <c r="G6807">
        <v>9</v>
      </c>
      <c r="H6807" t="str">
        <f>"23"</f>
        <v>23</v>
      </c>
      <c r="I6807" t="str">
        <f>"1"</f>
        <v>1</v>
      </c>
      <c r="J6807" t="str">
        <f>"23"</f>
        <v>23</v>
      </c>
      <c r="K6807">
        <v>20190614</v>
      </c>
      <c r="L6807" t="str">
        <f>"077171"</f>
        <v>077171</v>
      </c>
      <c r="M6807" t="str">
        <f>"45054"</f>
        <v>45054</v>
      </c>
      <c r="N6807" t="s">
        <v>1905</v>
      </c>
      <c r="O6807">
        <v>291.3</v>
      </c>
      <c r="P6807">
        <v>20190612</v>
      </c>
      <c r="Q6807" t="s">
        <v>5409</v>
      </c>
      <c r="R6807" t="s">
        <v>5410</v>
      </c>
      <c r="S6807" t="s">
        <v>1615</v>
      </c>
      <c r="T6807" t="s">
        <v>2041</v>
      </c>
    </row>
    <row r="6808" spans="1:20" x14ac:dyDescent="0.25">
      <c r="A6808">
        <v>9</v>
      </c>
      <c r="B6808">
        <v>199</v>
      </c>
      <c r="C6808" t="str">
        <f>"11"</f>
        <v>11</v>
      </c>
      <c r="D6808">
        <v>6399</v>
      </c>
      <c r="E6808" t="str">
        <f>"45"</f>
        <v>45</v>
      </c>
      <c r="F6808" t="str">
        <f>"104"</f>
        <v>104</v>
      </c>
      <c r="G6808">
        <v>9</v>
      </c>
      <c r="H6808" t="str">
        <f>"11"</f>
        <v>11</v>
      </c>
      <c r="I6808" t="str">
        <f t="shared" ref="I6808:I6815" si="1509">"0"</f>
        <v>0</v>
      </c>
      <c r="J6808" t="str">
        <f>"05"</f>
        <v>05</v>
      </c>
      <c r="K6808">
        <v>20190614</v>
      </c>
      <c r="L6808" t="str">
        <f>"077172"</f>
        <v>077172</v>
      </c>
      <c r="M6808" t="str">
        <f>"40781"</f>
        <v>40781</v>
      </c>
      <c r="N6808" t="s">
        <v>1738</v>
      </c>
      <c r="O6808" s="1">
        <v>1837.5</v>
      </c>
      <c r="P6808">
        <v>20190612</v>
      </c>
      <c r="Q6808" t="s">
        <v>2069</v>
      </c>
      <c r="R6808" t="s">
        <v>2883</v>
      </c>
      <c r="S6808" t="s">
        <v>1615</v>
      </c>
      <c r="T6808" t="s">
        <v>46</v>
      </c>
    </row>
    <row r="6809" spans="1:20" x14ac:dyDescent="0.25">
      <c r="A6809">
        <v>9</v>
      </c>
      <c r="B6809">
        <v>199</v>
      </c>
      <c r="C6809" t="str">
        <f>"11"</f>
        <v>11</v>
      </c>
      <c r="D6809">
        <v>6399</v>
      </c>
      <c r="E6809" t="str">
        <f>"7E"</f>
        <v>7E</v>
      </c>
      <c r="F6809" t="str">
        <f>"001"</f>
        <v>001</v>
      </c>
      <c r="G6809">
        <v>9</v>
      </c>
      <c r="H6809" t="str">
        <f>"11"</f>
        <v>11</v>
      </c>
      <c r="I6809" t="str">
        <f t="shared" si="1509"/>
        <v>0</v>
      </c>
      <c r="J6809" t="str">
        <f>"31"</f>
        <v>31</v>
      </c>
      <c r="K6809">
        <v>20190614</v>
      </c>
      <c r="L6809" t="str">
        <f>"077173"</f>
        <v>077173</v>
      </c>
      <c r="M6809" t="str">
        <f>"57791"</f>
        <v>57791</v>
      </c>
      <c r="N6809" t="s">
        <v>2381</v>
      </c>
      <c r="O6809">
        <v>93</v>
      </c>
      <c r="P6809">
        <v>20190612</v>
      </c>
      <c r="Q6809" t="s">
        <v>2382</v>
      </c>
      <c r="R6809" t="s">
        <v>5411</v>
      </c>
      <c r="S6809" t="s">
        <v>1615</v>
      </c>
      <c r="T6809" t="s">
        <v>301</v>
      </c>
    </row>
    <row r="6810" spans="1:20" x14ac:dyDescent="0.25">
      <c r="A6810">
        <v>9</v>
      </c>
      <c r="B6810">
        <v>199</v>
      </c>
      <c r="C6810" t="str">
        <f>"11"</f>
        <v>11</v>
      </c>
      <c r="D6810">
        <v>6399</v>
      </c>
      <c r="E6810" t="str">
        <f>"7E"</f>
        <v>7E</v>
      </c>
      <c r="F6810" t="str">
        <f>"001"</f>
        <v>001</v>
      </c>
      <c r="G6810">
        <v>9</v>
      </c>
      <c r="H6810" t="str">
        <f>"11"</f>
        <v>11</v>
      </c>
      <c r="I6810" t="str">
        <f t="shared" si="1509"/>
        <v>0</v>
      </c>
      <c r="J6810" t="str">
        <f>"31"</f>
        <v>31</v>
      </c>
      <c r="K6810">
        <v>20190614</v>
      </c>
      <c r="L6810" t="str">
        <f>"077173"</f>
        <v>077173</v>
      </c>
      <c r="M6810" t="str">
        <f>"57791"</f>
        <v>57791</v>
      </c>
      <c r="N6810" t="s">
        <v>2381</v>
      </c>
      <c r="O6810">
        <v>55</v>
      </c>
      <c r="P6810">
        <v>20190612</v>
      </c>
      <c r="Q6810" t="s">
        <v>2382</v>
      </c>
      <c r="R6810" t="s">
        <v>5412</v>
      </c>
      <c r="S6810" t="s">
        <v>1615</v>
      </c>
      <c r="T6810" t="s">
        <v>301</v>
      </c>
    </row>
    <row r="6811" spans="1:20" x14ac:dyDescent="0.25">
      <c r="A6811">
        <v>9</v>
      </c>
      <c r="B6811">
        <v>199</v>
      </c>
      <c r="C6811" t="str">
        <f>"11"</f>
        <v>11</v>
      </c>
      <c r="D6811">
        <v>6399</v>
      </c>
      <c r="E6811" t="str">
        <f>"7E"</f>
        <v>7E</v>
      </c>
      <c r="F6811" t="str">
        <f>"041"</f>
        <v>041</v>
      </c>
      <c r="G6811">
        <v>9</v>
      </c>
      <c r="H6811" t="str">
        <f>"11"</f>
        <v>11</v>
      </c>
      <c r="I6811" t="str">
        <f t="shared" si="1509"/>
        <v>0</v>
      </c>
      <c r="J6811" t="str">
        <f>"35"</f>
        <v>35</v>
      </c>
      <c r="K6811">
        <v>20190614</v>
      </c>
      <c r="L6811" t="str">
        <f>"077173"</f>
        <v>077173</v>
      </c>
      <c r="M6811" t="str">
        <f>"57791"</f>
        <v>57791</v>
      </c>
      <c r="N6811" t="s">
        <v>2381</v>
      </c>
      <c r="O6811">
        <v>289.49</v>
      </c>
      <c r="P6811">
        <v>20190612</v>
      </c>
      <c r="Q6811" t="s">
        <v>2655</v>
      </c>
      <c r="R6811" t="s">
        <v>2652</v>
      </c>
      <c r="S6811" t="s">
        <v>1615</v>
      </c>
      <c r="T6811" t="s">
        <v>106</v>
      </c>
    </row>
    <row r="6812" spans="1:20" x14ac:dyDescent="0.25">
      <c r="A6812">
        <v>9</v>
      </c>
      <c r="B6812">
        <v>199</v>
      </c>
      <c r="C6812" t="str">
        <f>"00"</f>
        <v>00</v>
      </c>
      <c r="D6812">
        <v>1291</v>
      </c>
      <c r="E6812" t="str">
        <f>"05"</f>
        <v>05</v>
      </c>
      <c r="F6812" t="str">
        <f>"000"</f>
        <v>000</v>
      </c>
      <c r="G6812">
        <v>9</v>
      </c>
      <c r="H6812" t="str">
        <f>"00"</f>
        <v>00</v>
      </c>
      <c r="I6812" t="str">
        <f t="shared" si="1509"/>
        <v>0</v>
      </c>
      <c r="J6812" t="str">
        <f>"00"</f>
        <v>00</v>
      </c>
      <c r="K6812">
        <v>20190614</v>
      </c>
      <c r="L6812" t="str">
        <f>"077175"</f>
        <v>077175</v>
      </c>
      <c r="M6812" t="str">
        <f>"46398"</f>
        <v>46398</v>
      </c>
      <c r="N6812" t="s">
        <v>1636</v>
      </c>
      <c r="O6812" s="1">
        <v>1820</v>
      </c>
      <c r="P6812">
        <v>20190612</v>
      </c>
      <c r="Q6812" t="s">
        <v>1637</v>
      </c>
      <c r="R6812" t="s">
        <v>5413</v>
      </c>
      <c r="S6812" t="s">
        <v>1615</v>
      </c>
      <c r="T6812" t="s">
        <v>296</v>
      </c>
    </row>
    <row r="6813" spans="1:20" x14ac:dyDescent="0.25">
      <c r="A6813">
        <v>9</v>
      </c>
      <c r="B6813">
        <v>199</v>
      </c>
      <c r="C6813" t="str">
        <f>"00"</f>
        <v>00</v>
      </c>
      <c r="D6813">
        <v>1291</v>
      </c>
      <c r="E6813" t="str">
        <f>"05"</f>
        <v>05</v>
      </c>
      <c r="F6813" t="str">
        <f>"000"</f>
        <v>000</v>
      </c>
      <c r="G6813">
        <v>9</v>
      </c>
      <c r="H6813" t="str">
        <f>"00"</f>
        <v>00</v>
      </c>
      <c r="I6813" t="str">
        <f t="shared" si="1509"/>
        <v>0</v>
      </c>
      <c r="J6813" t="str">
        <f>"00"</f>
        <v>00</v>
      </c>
      <c r="K6813">
        <v>20190614</v>
      </c>
      <c r="L6813" t="str">
        <f>"077176"</f>
        <v>077176</v>
      </c>
      <c r="M6813" t="str">
        <f>"46351"</f>
        <v>46351</v>
      </c>
      <c r="N6813" t="s">
        <v>1639</v>
      </c>
      <c r="O6813" s="1">
        <v>11075.67</v>
      </c>
      <c r="P6813">
        <v>20190612</v>
      </c>
      <c r="Q6813" t="s">
        <v>1637</v>
      </c>
      <c r="R6813" t="s">
        <v>5414</v>
      </c>
      <c r="S6813" t="s">
        <v>1615</v>
      </c>
      <c r="T6813" t="s">
        <v>296</v>
      </c>
    </row>
    <row r="6814" spans="1:20" x14ac:dyDescent="0.25">
      <c r="A6814">
        <v>9</v>
      </c>
      <c r="B6814">
        <v>199</v>
      </c>
      <c r="C6814" t="str">
        <f>"41"</f>
        <v>41</v>
      </c>
      <c r="D6814">
        <v>6269</v>
      </c>
      <c r="E6814" t="str">
        <f>"10"</f>
        <v>10</v>
      </c>
      <c r="F6814" t="str">
        <f>"933"</f>
        <v>933</v>
      </c>
      <c r="G6814">
        <v>9</v>
      </c>
      <c r="H6814" t="str">
        <f>"99"</f>
        <v>99</v>
      </c>
      <c r="I6814" t="str">
        <f t="shared" si="1509"/>
        <v>0</v>
      </c>
      <c r="J6814" t="str">
        <f>"85"</f>
        <v>85</v>
      </c>
      <c r="K6814">
        <v>20190614</v>
      </c>
      <c r="L6814" t="str">
        <f>"077176"</f>
        <v>077176</v>
      </c>
      <c r="M6814" t="str">
        <f>"46351"</f>
        <v>46351</v>
      </c>
      <c r="N6814" t="s">
        <v>1639</v>
      </c>
      <c r="O6814" s="1">
        <v>4248.04</v>
      </c>
      <c r="P6814">
        <v>20190612</v>
      </c>
      <c r="Q6814" t="s">
        <v>1642</v>
      </c>
      <c r="R6814" t="s">
        <v>5414</v>
      </c>
      <c r="S6814" t="s">
        <v>1615</v>
      </c>
      <c r="T6814" t="s">
        <v>1643</v>
      </c>
    </row>
    <row r="6815" spans="1:20" x14ac:dyDescent="0.25">
      <c r="A6815">
        <v>9</v>
      </c>
      <c r="B6815">
        <v>199</v>
      </c>
      <c r="C6815" t="str">
        <f>"11"</f>
        <v>11</v>
      </c>
      <c r="D6815">
        <v>6399</v>
      </c>
      <c r="E6815" t="str">
        <f>"PK"</f>
        <v>PK</v>
      </c>
      <c r="F6815" t="str">
        <f>"101"</f>
        <v>101</v>
      </c>
      <c r="G6815">
        <v>9</v>
      </c>
      <c r="H6815" t="str">
        <f>"11"</f>
        <v>11</v>
      </c>
      <c r="I6815" t="str">
        <f t="shared" si="1509"/>
        <v>0</v>
      </c>
      <c r="J6815" t="str">
        <f>"04"</f>
        <v>04</v>
      </c>
      <c r="K6815">
        <v>20190614</v>
      </c>
      <c r="L6815" t="str">
        <f>"077183"</f>
        <v>077183</v>
      </c>
      <c r="M6815" t="str">
        <f>"00638"</f>
        <v>00638</v>
      </c>
      <c r="N6815" t="s">
        <v>3040</v>
      </c>
      <c r="O6815">
        <v>256.77</v>
      </c>
      <c r="P6815">
        <v>20190612</v>
      </c>
      <c r="Q6815" t="s">
        <v>2823</v>
      </c>
      <c r="R6815" t="s">
        <v>5415</v>
      </c>
      <c r="S6815" t="s">
        <v>1615</v>
      </c>
      <c r="T6815" t="s">
        <v>1479</v>
      </c>
    </row>
    <row r="6816" spans="1:20" x14ac:dyDescent="0.25">
      <c r="A6816">
        <v>9</v>
      </c>
      <c r="B6816">
        <v>199</v>
      </c>
      <c r="C6816" t="str">
        <f>"31"</f>
        <v>31</v>
      </c>
      <c r="D6816">
        <v>6411</v>
      </c>
      <c r="E6816" t="str">
        <f>"00"</f>
        <v>00</v>
      </c>
      <c r="F6816" t="str">
        <f>"875"</f>
        <v>875</v>
      </c>
      <c r="G6816">
        <v>9</v>
      </c>
      <c r="H6816" t="str">
        <f>"23"</f>
        <v>23</v>
      </c>
      <c r="I6816" t="str">
        <f>"1"</f>
        <v>1</v>
      </c>
      <c r="J6816" t="str">
        <f>"23"</f>
        <v>23</v>
      </c>
      <c r="K6816">
        <v>20190614</v>
      </c>
      <c r="L6816" t="str">
        <f>"077184"</f>
        <v>077184</v>
      </c>
      <c r="M6816" t="str">
        <f>"48958"</f>
        <v>48958</v>
      </c>
      <c r="N6816" t="s">
        <v>3655</v>
      </c>
      <c r="O6816">
        <v>106.96</v>
      </c>
      <c r="P6816">
        <v>20190612</v>
      </c>
      <c r="Q6816" t="s">
        <v>3656</v>
      </c>
      <c r="R6816" t="s">
        <v>5416</v>
      </c>
      <c r="S6816" t="s">
        <v>1615</v>
      </c>
      <c r="T6816" t="s">
        <v>2041</v>
      </c>
    </row>
    <row r="6817" spans="1:20" x14ac:dyDescent="0.25">
      <c r="A6817">
        <v>9</v>
      </c>
      <c r="B6817">
        <v>199</v>
      </c>
      <c r="C6817" t="str">
        <f>"51"</f>
        <v>51</v>
      </c>
      <c r="D6817">
        <v>6319</v>
      </c>
      <c r="E6817" t="str">
        <f>"M3"</f>
        <v>M3</v>
      </c>
      <c r="F6817" t="str">
        <f>"936"</f>
        <v>936</v>
      </c>
      <c r="G6817">
        <v>9</v>
      </c>
      <c r="H6817" t="str">
        <f>"99"</f>
        <v>99</v>
      </c>
      <c r="I6817" t="str">
        <f>"0"</f>
        <v>0</v>
      </c>
      <c r="J6817" t="str">
        <f>"81"</f>
        <v>81</v>
      </c>
      <c r="K6817">
        <v>20190614</v>
      </c>
      <c r="L6817" t="str">
        <f>"077186"</f>
        <v>077186</v>
      </c>
      <c r="M6817" t="str">
        <f>"49970"</f>
        <v>49970</v>
      </c>
      <c r="N6817" t="s">
        <v>2273</v>
      </c>
      <c r="O6817">
        <v>927.75</v>
      </c>
      <c r="P6817">
        <v>20190612</v>
      </c>
      <c r="Q6817" t="s">
        <v>2246</v>
      </c>
      <c r="R6817" t="s">
        <v>3427</v>
      </c>
      <c r="S6817" t="s">
        <v>1615</v>
      </c>
      <c r="T6817" t="s">
        <v>1713</v>
      </c>
    </row>
    <row r="6818" spans="1:20" x14ac:dyDescent="0.25">
      <c r="A6818">
        <v>9</v>
      </c>
      <c r="B6818">
        <v>199</v>
      </c>
      <c r="C6818" t="str">
        <f>"31"</f>
        <v>31</v>
      </c>
      <c r="D6818">
        <v>6411</v>
      </c>
      <c r="E6818" t="str">
        <f>"00"</f>
        <v>00</v>
      </c>
      <c r="F6818" t="str">
        <f>"875"</f>
        <v>875</v>
      </c>
      <c r="G6818">
        <v>9</v>
      </c>
      <c r="H6818" t="str">
        <f>"23"</f>
        <v>23</v>
      </c>
      <c r="I6818" t="str">
        <f>"1"</f>
        <v>1</v>
      </c>
      <c r="J6818" t="str">
        <f>"23"</f>
        <v>23</v>
      </c>
      <c r="K6818">
        <v>20190614</v>
      </c>
      <c r="L6818" t="str">
        <f>"077187"</f>
        <v>077187</v>
      </c>
      <c r="M6818" t="str">
        <f>"00066"</f>
        <v>00066</v>
      </c>
      <c r="N6818" t="s">
        <v>3811</v>
      </c>
      <c r="O6818">
        <v>70.3</v>
      </c>
      <c r="P6818">
        <v>20190612</v>
      </c>
      <c r="Q6818" t="s">
        <v>3656</v>
      </c>
      <c r="R6818" t="s">
        <v>5273</v>
      </c>
      <c r="S6818" t="s">
        <v>1615</v>
      </c>
      <c r="T6818" t="s">
        <v>2041</v>
      </c>
    </row>
    <row r="6819" spans="1:20" x14ac:dyDescent="0.25">
      <c r="A6819">
        <v>9</v>
      </c>
      <c r="B6819">
        <v>199</v>
      </c>
      <c r="C6819" t="str">
        <f>"51"</f>
        <v>51</v>
      </c>
      <c r="D6819">
        <v>6396</v>
      </c>
      <c r="E6819" t="str">
        <f t="shared" ref="E6819:E6828" si="1510">"10"</f>
        <v>10</v>
      </c>
      <c r="F6819" t="str">
        <f>"936"</f>
        <v>936</v>
      </c>
      <c r="G6819">
        <v>9</v>
      </c>
      <c r="H6819" t="str">
        <f>"99"</f>
        <v>99</v>
      </c>
      <c r="I6819" t="str">
        <f>"0"</f>
        <v>0</v>
      </c>
      <c r="J6819" t="str">
        <f>"81"</f>
        <v>81</v>
      </c>
      <c r="K6819">
        <v>20190614</v>
      </c>
      <c r="L6819" t="str">
        <f>"077189"</f>
        <v>077189</v>
      </c>
      <c r="M6819" t="str">
        <f>"54036"</f>
        <v>54036</v>
      </c>
      <c r="N6819" t="s">
        <v>5417</v>
      </c>
      <c r="O6819" s="1">
        <v>2749</v>
      </c>
      <c r="P6819">
        <v>20190612</v>
      </c>
      <c r="Q6819" t="s">
        <v>1711</v>
      </c>
      <c r="R6819" t="s">
        <v>5418</v>
      </c>
      <c r="S6819" t="s">
        <v>1615</v>
      </c>
      <c r="T6819" t="s">
        <v>1713</v>
      </c>
    </row>
    <row r="6820" spans="1:20" x14ac:dyDescent="0.25">
      <c r="A6820">
        <v>9</v>
      </c>
      <c r="B6820">
        <v>199</v>
      </c>
      <c r="C6820" t="str">
        <f>"41"</f>
        <v>41</v>
      </c>
      <c r="D6820">
        <v>6299</v>
      </c>
      <c r="E6820" t="str">
        <f t="shared" si="1510"/>
        <v>10</v>
      </c>
      <c r="F6820" t="str">
        <f>"735"</f>
        <v>735</v>
      </c>
      <c r="G6820">
        <v>9</v>
      </c>
      <c r="H6820" t="str">
        <f>"99"</f>
        <v>99</v>
      </c>
      <c r="I6820" t="str">
        <f>"0"</f>
        <v>0</v>
      </c>
      <c r="J6820" t="str">
        <f>"96"</f>
        <v>96</v>
      </c>
      <c r="K6820">
        <v>20190614</v>
      </c>
      <c r="L6820" t="str">
        <f>"077190"</f>
        <v>077190</v>
      </c>
      <c r="M6820" t="str">
        <f>"00522"</f>
        <v>00522</v>
      </c>
      <c r="N6820" t="s">
        <v>1647</v>
      </c>
      <c r="O6820" s="1">
        <v>2100</v>
      </c>
      <c r="P6820">
        <v>20190612</v>
      </c>
      <c r="Q6820" t="s">
        <v>2101</v>
      </c>
      <c r="R6820" t="s">
        <v>5419</v>
      </c>
      <c r="S6820" t="s">
        <v>1615</v>
      </c>
      <c r="T6820" t="s">
        <v>151</v>
      </c>
    </row>
    <row r="6821" spans="1:20" x14ac:dyDescent="0.25">
      <c r="A6821">
        <v>9</v>
      </c>
      <c r="B6821">
        <v>199</v>
      </c>
      <c r="C6821" t="str">
        <f>"23"</f>
        <v>23</v>
      </c>
      <c r="D6821">
        <v>6411</v>
      </c>
      <c r="E6821" t="str">
        <f t="shared" si="1510"/>
        <v>10</v>
      </c>
      <c r="F6821" t="str">
        <f>"001"</f>
        <v>001</v>
      </c>
      <c r="G6821">
        <v>9</v>
      </c>
      <c r="H6821" t="str">
        <f>"99"</f>
        <v>99</v>
      </c>
      <c r="I6821" t="str">
        <f>"1"</f>
        <v>1</v>
      </c>
      <c r="J6821" t="str">
        <f>"01"</f>
        <v>01</v>
      </c>
      <c r="K6821">
        <v>20190614</v>
      </c>
      <c r="L6821" t="str">
        <f>"077191"</f>
        <v>077191</v>
      </c>
      <c r="M6821" t="str">
        <f>"57994"</f>
        <v>57994</v>
      </c>
      <c r="N6821" t="s">
        <v>5420</v>
      </c>
      <c r="O6821">
        <v>42.12</v>
      </c>
      <c r="P6821">
        <v>20190612</v>
      </c>
      <c r="Q6821" t="s">
        <v>2464</v>
      </c>
      <c r="R6821" t="s">
        <v>5421</v>
      </c>
      <c r="S6821" t="s">
        <v>1615</v>
      </c>
      <c r="T6821" t="s">
        <v>301</v>
      </c>
    </row>
    <row r="6822" spans="1:20" x14ac:dyDescent="0.25">
      <c r="A6822">
        <v>9</v>
      </c>
      <c r="B6822">
        <v>199</v>
      </c>
      <c r="C6822" t="str">
        <f>"11"</f>
        <v>11</v>
      </c>
      <c r="D6822">
        <v>6399</v>
      </c>
      <c r="E6822" t="str">
        <f t="shared" si="1510"/>
        <v>10</v>
      </c>
      <c r="F6822" t="str">
        <f>"002"</f>
        <v>002</v>
      </c>
      <c r="G6822">
        <v>9</v>
      </c>
      <c r="H6822" t="str">
        <f>"11"</f>
        <v>11</v>
      </c>
      <c r="I6822" t="str">
        <f t="shared" ref="I6822:I6832" si="1511">"0"</f>
        <v>0</v>
      </c>
      <c r="J6822" t="str">
        <f>"02"</f>
        <v>02</v>
      </c>
      <c r="K6822">
        <v>20190614</v>
      </c>
      <c r="L6822" t="str">
        <f>"077192"</f>
        <v>077192</v>
      </c>
      <c r="M6822" t="str">
        <f>"58211"</f>
        <v>58211</v>
      </c>
      <c r="N6822" t="s">
        <v>1472</v>
      </c>
      <c r="O6822">
        <v>15.13</v>
      </c>
      <c r="P6822">
        <v>20190612</v>
      </c>
      <c r="Q6822" t="s">
        <v>3208</v>
      </c>
      <c r="R6822" t="s">
        <v>5422</v>
      </c>
      <c r="S6822" t="s">
        <v>1615</v>
      </c>
      <c r="T6822" t="s">
        <v>1485</v>
      </c>
    </row>
    <row r="6823" spans="1:20" x14ac:dyDescent="0.25">
      <c r="A6823">
        <v>9</v>
      </c>
      <c r="B6823">
        <v>199</v>
      </c>
      <c r="C6823" t="str">
        <f>"23"</f>
        <v>23</v>
      </c>
      <c r="D6823">
        <v>6498</v>
      </c>
      <c r="E6823" t="str">
        <f t="shared" si="1510"/>
        <v>10</v>
      </c>
      <c r="F6823" t="str">
        <f>"002"</f>
        <v>002</v>
      </c>
      <c r="G6823">
        <v>9</v>
      </c>
      <c r="H6823" t="str">
        <f t="shared" ref="H6823:H6828" si="1512">"99"</f>
        <v>99</v>
      </c>
      <c r="I6823" t="str">
        <f t="shared" si="1511"/>
        <v>0</v>
      </c>
      <c r="J6823" t="str">
        <f>"02"</f>
        <v>02</v>
      </c>
      <c r="K6823">
        <v>20190614</v>
      </c>
      <c r="L6823" t="str">
        <f>"077192"</f>
        <v>077192</v>
      </c>
      <c r="M6823" t="str">
        <f>"58211"</f>
        <v>58211</v>
      </c>
      <c r="N6823" t="s">
        <v>1472</v>
      </c>
      <c r="O6823">
        <v>87</v>
      </c>
      <c r="P6823">
        <v>20190612</v>
      </c>
      <c r="Q6823" t="s">
        <v>3213</v>
      </c>
      <c r="R6823" t="s">
        <v>5423</v>
      </c>
      <c r="S6823" t="s">
        <v>1615</v>
      </c>
      <c r="T6823" t="s">
        <v>1485</v>
      </c>
    </row>
    <row r="6824" spans="1:20" x14ac:dyDescent="0.25">
      <c r="A6824">
        <v>9</v>
      </c>
      <c r="B6824">
        <v>199</v>
      </c>
      <c r="C6824" t="str">
        <f>"23"</f>
        <v>23</v>
      </c>
      <c r="D6824">
        <v>6498</v>
      </c>
      <c r="E6824" t="str">
        <f t="shared" si="1510"/>
        <v>10</v>
      </c>
      <c r="F6824" t="str">
        <f>"002"</f>
        <v>002</v>
      </c>
      <c r="G6824">
        <v>9</v>
      </c>
      <c r="H6824" t="str">
        <f t="shared" si="1512"/>
        <v>99</v>
      </c>
      <c r="I6824" t="str">
        <f t="shared" si="1511"/>
        <v>0</v>
      </c>
      <c r="J6824" t="str">
        <f>"02"</f>
        <v>02</v>
      </c>
      <c r="K6824">
        <v>20190614</v>
      </c>
      <c r="L6824" t="str">
        <f>"077192"</f>
        <v>077192</v>
      </c>
      <c r="M6824" t="str">
        <f>"58211"</f>
        <v>58211</v>
      </c>
      <c r="N6824" t="s">
        <v>1472</v>
      </c>
      <c r="O6824">
        <v>38.97</v>
      </c>
      <c r="P6824">
        <v>20190612</v>
      </c>
      <c r="Q6824" t="s">
        <v>3213</v>
      </c>
      <c r="R6824" t="s">
        <v>5424</v>
      </c>
      <c r="S6824" t="s">
        <v>1615</v>
      </c>
      <c r="T6824" t="s">
        <v>1485</v>
      </c>
    </row>
    <row r="6825" spans="1:20" x14ac:dyDescent="0.25">
      <c r="A6825">
        <v>9</v>
      </c>
      <c r="B6825">
        <v>199</v>
      </c>
      <c r="C6825" t="str">
        <f>"41"</f>
        <v>41</v>
      </c>
      <c r="D6825">
        <v>6498</v>
      </c>
      <c r="E6825" t="str">
        <f t="shared" si="1510"/>
        <v>10</v>
      </c>
      <c r="F6825" t="str">
        <f>"701"</f>
        <v>701</v>
      </c>
      <c r="G6825">
        <v>9</v>
      </c>
      <c r="H6825" t="str">
        <f t="shared" si="1512"/>
        <v>99</v>
      </c>
      <c r="I6825" t="str">
        <f t="shared" si="1511"/>
        <v>0</v>
      </c>
      <c r="J6825" t="str">
        <f>"92"</f>
        <v>92</v>
      </c>
      <c r="K6825">
        <v>20190614</v>
      </c>
      <c r="L6825" t="str">
        <f>"077193"</f>
        <v>077193</v>
      </c>
      <c r="M6825" t="str">
        <f>"58200"</f>
        <v>58200</v>
      </c>
      <c r="N6825" t="s">
        <v>1765</v>
      </c>
      <c r="O6825">
        <v>23.12</v>
      </c>
      <c r="P6825">
        <v>20190612</v>
      </c>
      <c r="Q6825" t="s">
        <v>2202</v>
      </c>
      <c r="R6825" t="s">
        <v>5425</v>
      </c>
      <c r="S6825" t="s">
        <v>1615</v>
      </c>
      <c r="T6825" t="s">
        <v>1841</v>
      </c>
    </row>
    <row r="6826" spans="1:20" x14ac:dyDescent="0.25">
      <c r="A6826">
        <v>9</v>
      </c>
      <c r="B6826">
        <v>199</v>
      </c>
      <c r="C6826" t="str">
        <f>"41"</f>
        <v>41</v>
      </c>
      <c r="D6826">
        <v>6498</v>
      </c>
      <c r="E6826" t="str">
        <f t="shared" si="1510"/>
        <v>10</v>
      </c>
      <c r="F6826" t="str">
        <f>"730"</f>
        <v>730</v>
      </c>
      <c r="G6826">
        <v>9</v>
      </c>
      <c r="H6826" t="str">
        <f t="shared" si="1512"/>
        <v>99</v>
      </c>
      <c r="I6826" t="str">
        <f t="shared" si="1511"/>
        <v>0</v>
      </c>
      <c r="J6826" t="str">
        <f>"95"</f>
        <v>95</v>
      </c>
      <c r="K6826">
        <v>20190614</v>
      </c>
      <c r="L6826" t="str">
        <f>"077193"</f>
        <v>077193</v>
      </c>
      <c r="M6826" t="str">
        <f>"58200"</f>
        <v>58200</v>
      </c>
      <c r="N6826" t="s">
        <v>1765</v>
      </c>
      <c r="O6826">
        <v>69.900000000000006</v>
      </c>
      <c r="P6826">
        <v>20190612</v>
      </c>
      <c r="Q6826" t="s">
        <v>2842</v>
      </c>
      <c r="R6826" t="s">
        <v>5426</v>
      </c>
      <c r="S6826" t="s">
        <v>1615</v>
      </c>
      <c r="T6826" t="s">
        <v>1794</v>
      </c>
    </row>
    <row r="6827" spans="1:20" x14ac:dyDescent="0.25">
      <c r="A6827">
        <v>9</v>
      </c>
      <c r="B6827">
        <v>199</v>
      </c>
      <c r="C6827" t="str">
        <f>"41"</f>
        <v>41</v>
      </c>
      <c r="D6827">
        <v>6498</v>
      </c>
      <c r="E6827" t="str">
        <f t="shared" si="1510"/>
        <v>10</v>
      </c>
      <c r="F6827" t="str">
        <f>"730"</f>
        <v>730</v>
      </c>
      <c r="G6827">
        <v>9</v>
      </c>
      <c r="H6827" t="str">
        <f t="shared" si="1512"/>
        <v>99</v>
      </c>
      <c r="I6827" t="str">
        <f t="shared" si="1511"/>
        <v>0</v>
      </c>
      <c r="J6827" t="str">
        <f>"95"</f>
        <v>95</v>
      </c>
      <c r="K6827">
        <v>20190614</v>
      </c>
      <c r="L6827" t="str">
        <f>"077193"</f>
        <v>077193</v>
      </c>
      <c r="M6827" t="str">
        <f>"58200"</f>
        <v>58200</v>
      </c>
      <c r="N6827" t="s">
        <v>1765</v>
      </c>
      <c r="O6827">
        <v>49</v>
      </c>
      <c r="P6827">
        <v>20190612</v>
      </c>
      <c r="Q6827" t="s">
        <v>2842</v>
      </c>
      <c r="R6827" t="s">
        <v>5424</v>
      </c>
      <c r="S6827" t="s">
        <v>1615</v>
      </c>
      <c r="T6827" t="s">
        <v>1794</v>
      </c>
    </row>
    <row r="6828" spans="1:20" x14ac:dyDescent="0.25">
      <c r="A6828">
        <v>9</v>
      </c>
      <c r="B6828">
        <v>199</v>
      </c>
      <c r="C6828" t="str">
        <f>"41"</f>
        <v>41</v>
      </c>
      <c r="D6828">
        <v>6498</v>
      </c>
      <c r="E6828" t="str">
        <f t="shared" si="1510"/>
        <v>10</v>
      </c>
      <c r="F6828" t="str">
        <f>"730"</f>
        <v>730</v>
      </c>
      <c r="G6828">
        <v>9</v>
      </c>
      <c r="H6828" t="str">
        <f t="shared" si="1512"/>
        <v>99</v>
      </c>
      <c r="I6828" t="str">
        <f t="shared" si="1511"/>
        <v>0</v>
      </c>
      <c r="J6828" t="str">
        <f>"95"</f>
        <v>95</v>
      </c>
      <c r="K6828">
        <v>20190614</v>
      </c>
      <c r="L6828" t="str">
        <f>"077193"</f>
        <v>077193</v>
      </c>
      <c r="M6828" t="str">
        <f>"58200"</f>
        <v>58200</v>
      </c>
      <c r="N6828" t="s">
        <v>1765</v>
      </c>
      <c r="O6828">
        <v>30</v>
      </c>
      <c r="P6828">
        <v>20190612</v>
      </c>
      <c r="Q6828" t="s">
        <v>2842</v>
      </c>
      <c r="R6828" t="s">
        <v>5424</v>
      </c>
      <c r="S6828" t="s">
        <v>1615</v>
      </c>
      <c r="T6828" t="s">
        <v>1794</v>
      </c>
    </row>
    <row r="6829" spans="1:20" x14ac:dyDescent="0.25">
      <c r="A6829">
        <v>9</v>
      </c>
      <c r="B6829">
        <v>199</v>
      </c>
      <c r="C6829" t="str">
        <f>"11"</f>
        <v>11</v>
      </c>
      <c r="D6829">
        <v>6399</v>
      </c>
      <c r="E6829" t="str">
        <f>"45"</f>
        <v>45</v>
      </c>
      <c r="F6829" t="str">
        <f>"101"</f>
        <v>101</v>
      </c>
      <c r="G6829">
        <v>9</v>
      </c>
      <c r="H6829" t="str">
        <f>"11"</f>
        <v>11</v>
      </c>
      <c r="I6829" t="str">
        <f t="shared" si="1511"/>
        <v>0</v>
      </c>
      <c r="J6829" t="str">
        <f>"04"</f>
        <v>04</v>
      </c>
      <c r="K6829">
        <v>20190614</v>
      </c>
      <c r="L6829" t="str">
        <f>"077194"</f>
        <v>077194</v>
      </c>
      <c r="M6829" t="str">
        <f>"58203"</f>
        <v>58203</v>
      </c>
      <c r="N6829" t="s">
        <v>3051</v>
      </c>
      <c r="O6829">
        <v>26.86</v>
      </c>
      <c r="P6829">
        <v>20190612</v>
      </c>
      <c r="Q6829" t="s">
        <v>1859</v>
      </c>
      <c r="R6829" t="s">
        <v>641</v>
      </c>
      <c r="S6829" t="s">
        <v>1615</v>
      </c>
      <c r="T6829" t="s">
        <v>1479</v>
      </c>
    </row>
    <row r="6830" spans="1:20" x14ac:dyDescent="0.25">
      <c r="A6830">
        <v>9</v>
      </c>
      <c r="B6830">
        <v>199</v>
      </c>
      <c r="C6830" t="str">
        <f>"23"</f>
        <v>23</v>
      </c>
      <c r="D6830">
        <v>6498</v>
      </c>
      <c r="E6830" t="str">
        <f>"10"</f>
        <v>10</v>
      </c>
      <c r="F6830" t="str">
        <f>"101"</f>
        <v>101</v>
      </c>
      <c r="G6830">
        <v>9</v>
      </c>
      <c r="H6830" t="str">
        <f>"99"</f>
        <v>99</v>
      </c>
      <c r="I6830" t="str">
        <f t="shared" si="1511"/>
        <v>0</v>
      </c>
      <c r="J6830" t="str">
        <f>"04"</f>
        <v>04</v>
      </c>
      <c r="K6830">
        <v>20190614</v>
      </c>
      <c r="L6830" t="str">
        <f>"077194"</f>
        <v>077194</v>
      </c>
      <c r="M6830" t="str">
        <f>"58203"</f>
        <v>58203</v>
      </c>
      <c r="N6830" t="s">
        <v>3051</v>
      </c>
      <c r="O6830">
        <v>21.98</v>
      </c>
      <c r="P6830">
        <v>20190612</v>
      </c>
      <c r="Q6830" t="s">
        <v>2139</v>
      </c>
      <c r="R6830" t="s">
        <v>5162</v>
      </c>
      <c r="S6830" t="s">
        <v>1615</v>
      </c>
      <c r="T6830" t="s">
        <v>1479</v>
      </c>
    </row>
    <row r="6831" spans="1:20" x14ac:dyDescent="0.25">
      <c r="A6831">
        <v>9</v>
      </c>
      <c r="B6831">
        <v>199</v>
      </c>
      <c r="C6831" t="str">
        <f>"23"</f>
        <v>23</v>
      </c>
      <c r="D6831">
        <v>6498</v>
      </c>
      <c r="E6831" t="str">
        <f>"10"</f>
        <v>10</v>
      </c>
      <c r="F6831" t="str">
        <f>"101"</f>
        <v>101</v>
      </c>
      <c r="G6831">
        <v>9</v>
      </c>
      <c r="H6831" t="str">
        <f>"99"</f>
        <v>99</v>
      </c>
      <c r="I6831" t="str">
        <f t="shared" si="1511"/>
        <v>0</v>
      </c>
      <c r="J6831" t="str">
        <f>"04"</f>
        <v>04</v>
      </c>
      <c r="K6831">
        <v>20190614</v>
      </c>
      <c r="L6831" t="str">
        <f>"077194"</f>
        <v>077194</v>
      </c>
      <c r="M6831" t="str">
        <f>"58203"</f>
        <v>58203</v>
      </c>
      <c r="N6831" t="s">
        <v>3051</v>
      </c>
      <c r="O6831">
        <v>52.99</v>
      </c>
      <c r="P6831">
        <v>20190612</v>
      </c>
      <c r="Q6831" t="s">
        <v>2139</v>
      </c>
      <c r="R6831" t="s">
        <v>5427</v>
      </c>
      <c r="S6831" t="s">
        <v>1615</v>
      </c>
      <c r="T6831" t="s">
        <v>1479</v>
      </c>
    </row>
    <row r="6832" spans="1:20" x14ac:dyDescent="0.25">
      <c r="A6832">
        <v>9</v>
      </c>
      <c r="B6832">
        <v>199</v>
      </c>
      <c r="C6832" t="str">
        <f>"23"</f>
        <v>23</v>
      </c>
      <c r="D6832">
        <v>6498</v>
      </c>
      <c r="E6832" t="str">
        <f>"10"</f>
        <v>10</v>
      </c>
      <c r="F6832" t="str">
        <f>"101"</f>
        <v>101</v>
      </c>
      <c r="G6832">
        <v>9</v>
      </c>
      <c r="H6832" t="str">
        <f>"99"</f>
        <v>99</v>
      </c>
      <c r="I6832" t="str">
        <f t="shared" si="1511"/>
        <v>0</v>
      </c>
      <c r="J6832" t="str">
        <f>"04"</f>
        <v>04</v>
      </c>
      <c r="K6832">
        <v>20190614</v>
      </c>
      <c r="L6832" t="str">
        <f>"077194"</f>
        <v>077194</v>
      </c>
      <c r="M6832" t="str">
        <f>"58203"</f>
        <v>58203</v>
      </c>
      <c r="N6832" t="s">
        <v>3051</v>
      </c>
      <c r="O6832">
        <v>104.24</v>
      </c>
      <c r="P6832">
        <v>20190612</v>
      </c>
      <c r="Q6832" t="s">
        <v>2139</v>
      </c>
      <c r="R6832" t="s">
        <v>5428</v>
      </c>
      <c r="S6832" t="s">
        <v>1615</v>
      </c>
      <c r="T6832" t="s">
        <v>1479</v>
      </c>
    </row>
    <row r="6833" spans="1:20" x14ac:dyDescent="0.25">
      <c r="A6833">
        <v>9</v>
      </c>
      <c r="B6833">
        <v>199</v>
      </c>
      <c r="C6833" t="str">
        <f>"23"</f>
        <v>23</v>
      </c>
      <c r="D6833">
        <v>6411</v>
      </c>
      <c r="E6833" t="str">
        <f>"10"</f>
        <v>10</v>
      </c>
      <c r="F6833" t="str">
        <f>"001"</f>
        <v>001</v>
      </c>
      <c r="G6833">
        <v>9</v>
      </c>
      <c r="H6833" t="str">
        <f>"99"</f>
        <v>99</v>
      </c>
      <c r="I6833" t="str">
        <f>"1"</f>
        <v>1</v>
      </c>
      <c r="J6833" t="str">
        <f>"01"</f>
        <v>01</v>
      </c>
      <c r="K6833">
        <v>20190614</v>
      </c>
      <c r="L6833" t="str">
        <f>"077195"</f>
        <v>077195</v>
      </c>
      <c r="M6833" t="str">
        <f>"59018"</f>
        <v>59018</v>
      </c>
      <c r="N6833" t="s">
        <v>2526</v>
      </c>
      <c r="O6833">
        <v>163.44999999999999</v>
      </c>
      <c r="P6833">
        <v>20190612</v>
      </c>
      <c r="Q6833" t="s">
        <v>2464</v>
      </c>
      <c r="R6833" t="s">
        <v>5429</v>
      </c>
      <c r="S6833" t="s">
        <v>1615</v>
      </c>
      <c r="T6833" t="s">
        <v>301</v>
      </c>
    </row>
    <row r="6834" spans="1:20" x14ac:dyDescent="0.25">
      <c r="A6834">
        <v>9</v>
      </c>
      <c r="B6834">
        <v>199</v>
      </c>
      <c r="C6834" t="str">
        <f>"11"</f>
        <v>11</v>
      </c>
      <c r="D6834">
        <v>6299</v>
      </c>
      <c r="E6834" t="str">
        <f>"NL"</f>
        <v>NL</v>
      </c>
      <c r="F6834" t="str">
        <f>"001"</f>
        <v>001</v>
      </c>
      <c r="G6834">
        <v>9</v>
      </c>
      <c r="H6834" t="str">
        <f>"22"</f>
        <v>22</v>
      </c>
      <c r="I6834" t="str">
        <f t="shared" ref="I6834:I6879" si="1513">"0"</f>
        <v>0</v>
      </c>
      <c r="J6834" t="str">
        <f>"22"</f>
        <v>22</v>
      </c>
      <c r="K6834">
        <v>20190614</v>
      </c>
      <c r="L6834" t="str">
        <f>"077196"</f>
        <v>077196</v>
      </c>
      <c r="M6834" t="str">
        <f>"00779"</f>
        <v>00779</v>
      </c>
      <c r="N6834" t="s">
        <v>5430</v>
      </c>
      <c r="O6834">
        <v>247.5</v>
      </c>
      <c r="P6834">
        <v>20190612</v>
      </c>
      <c r="Q6834" t="s">
        <v>2290</v>
      </c>
      <c r="R6834" t="s">
        <v>5431</v>
      </c>
      <c r="S6834" t="s">
        <v>1615</v>
      </c>
      <c r="T6834" t="s">
        <v>301</v>
      </c>
    </row>
    <row r="6835" spans="1:20" x14ac:dyDescent="0.25">
      <c r="A6835">
        <v>9</v>
      </c>
      <c r="B6835">
        <v>199</v>
      </c>
      <c r="C6835" t="str">
        <f>"11"</f>
        <v>11</v>
      </c>
      <c r="D6835">
        <v>6299</v>
      </c>
      <c r="E6835" t="str">
        <f>"NL"</f>
        <v>NL</v>
      </c>
      <c r="F6835" t="str">
        <f>"001"</f>
        <v>001</v>
      </c>
      <c r="G6835">
        <v>9</v>
      </c>
      <c r="H6835" t="str">
        <f>"22"</f>
        <v>22</v>
      </c>
      <c r="I6835" t="str">
        <f t="shared" si="1513"/>
        <v>0</v>
      </c>
      <c r="J6835" t="str">
        <f>"22"</f>
        <v>22</v>
      </c>
      <c r="K6835">
        <v>20190614</v>
      </c>
      <c r="L6835" t="str">
        <f>"077196"</f>
        <v>077196</v>
      </c>
      <c r="M6835" t="str">
        <f>"00779"</f>
        <v>00779</v>
      </c>
      <c r="N6835" t="s">
        <v>5430</v>
      </c>
      <c r="O6835">
        <v>-70.42</v>
      </c>
      <c r="P6835">
        <v>20190515</v>
      </c>
      <c r="Q6835" t="s">
        <v>2290</v>
      </c>
      <c r="R6835" t="s">
        <v>5432</v>
      </c>
      <c r="S6835" t="s">
        <v>1615</v>
      </c>
      <c r="T6835" t="s">
        <v>301</v>
      </c>
    </row>
    <row r="6836" spans="1:20" x14ac:dyDescent="0.25">
      <c r="A6836">
        <v>9</v>
      </c>
      <c r="B6836">
        <v>199</v>
      </c>
      <c r="C6836" t="str">
        <f>"41"</f>
        <v>41</v>
      </c>
      <c r="D6836">
        <v>6491</v>
      </c>
      <c r="E6836" t="str">
        <f>"10"</f>
        <v>10</v>
      </c>
      <c r="F6836" t="str">
        <f>"939"</f>
        <v>939</v>
      </c>
      <c r="G6836">
        <v>9</v>
      </c>
      <c r="H6836" t="str">
        <f>"99"</f>
        <v>99</v>
      </c>
      <c r="I6836" t="str">
        <f t="shared" si="1513"/>
        <v>0</v>
      </c>
      <c r="J6836" t="str">
        <f>"87"</f>
        <v>87</v>
      </c>
      <c r="K6836">
        <v>20190614</v>
      </c>
      <c r="L6836" t="str">
        <f>"077197"</f>
        <v>077197</v>
      </c>
      <c r="M6836" t="str">
        <f>"00355"</f>
        <v>00355</v>
      </c>
      <c r="N6836" t="s">
        <v>2304</v>
      </c>
      <c r="O6836">
        <v>160</v>
      </c>
      <c r="P6836">
        <v>20190612</v>
      </c>
      <c r="Q6836" t="s">
        <v>3861</v>
      </c>
      <c r="R6836" t="s">
        <v>5433</v>
      </c>
      <c r="S6836" t="s">
        <v>1615</v>
      </c>
      <c r="T6836" t="s">
        <v>2985</v>
      </c>
    </row>
    <row r="6837" spans="1:20" x14ac:dyDescent="0.25">
      <c r="A6837">
        <v>9</v>
      </c>
      <c r="B6837">
        <v>199</v>
      </c>
      <c r="C6837" t="str">
        <f>"36"</f>
        <v>36</v>
      </c>
      <c r="D6837">
        <v>6499</v>
      </c>
      <c r="E6837" t="str">
        <f>"7E"</f>
        <v>7E</v>
      </c>
      <c r="F6837" t="str">
        <f>"001"</f>
        <v>001</v>
      </c>
      <c r="G6837">
        <v>9</v>
      </c>
      <c r="H6837" t="str">
        <f>"99"</f>
        <v>99</v>
      </c>
      <c r="I6837" t="str">
        <f t="shared" si="1513"/>
        <v>0</v>
      </c>
      <c r="J6837" t="str">
        <f>"31"</f>
        <v>31</v>
      </c>
      <c r="K6837">
        <v>20190614</v>
      </c>
      <c r="L6837" t="str">
        <f>"077199"</f>
        <v>077199</v>
      </c>
      <c r="M6837" t="str">
        <f>"63053"</f>
        <v>63053</v>
      </c>
      <c r="N6837" t="s">
        <v>2309</v>
      </c>
      <c r="O6837">
        <v>280</v>
      </c>
      <c r="P6837">
        <v>20190612</v>
      </c>
      <c r="Q6837" t="s">
        <v>5030</v>
      </c>
      <c r="R6837" t="s">
        <v>5087</v>
      </c>
      <c r="S6837" t="s">
        <v>1615</v>
      </c>
      <c r="T6837" t="s">
        <v>301</v>
      </c>
    </row>
    <row r="6838" spans="1:20" x14ac:dyDescent="0.25">
      <c r="A6838">
        <v>9</v>
      </c>
      <c r="B6838">
        <v>199</v>
      </c>
      <c r="C6838" t="str">
        <f t="shared" ref="C6838:C6853" si="1514">"11"</f>
        <v>11</v>
      </c>
      <c r="D6838">
        <v>6399</v>
      </c>
      <c r="E6838" t="str">
        <f>"45"</f>
        <v>45</v>
      </c>
      <c r="F6838" t="str">
        <f>"104"</f>
        <v>104</v>
      </c>
      <c r="G6838">
        <v>9</v>
      </c>
      <c r="H6838" t="str">
        <f>"11"</f>
        <v>11</v>
      </c>
      <c r="I6838" t="str">
        <f t="shared" si="1513"/>
        <v>0</v>
      </c>
      <c r="J6838" t="str">
        <f>"05"</f>
        <v>05</v>
      </c>
      <c r="K6838">
        <v>20190614</v>
      </c>
      <c r="L6838" t="str">
        <f>"077200"</f>
        <v>077200</v>
      </c>
      <c r="M6838" t="str">
        <f>"65826"</f>
        <v>65826</v>
      </c>
      <c r="N6838" t="s">
        <v>2787</v>
      </c>
      <c r="O6838" s="1">
        <v>1511.49</v>
      </c>
      <c r="P6838">
        <v>20190612</v>
      </c>
      <c r="Q6838" t="s">
        <v>2069</v>
      </c>
      <c r="R6838" t="s">
        <v>5434</v>
      </c>
      <c r="S6838" t="s">
        <v>1615</v>
      </c>
      <c r="T6838" t="s">
        <v>46</v>
      </c>
    </row>
    <row r="6839" spans="1:20" x14ac:dyDescent="0.25">
      <c r="A6839">
        <v>9</v>
      </c>
      <c r="B6839">
        <v>199</v>
      </c>
      <c r="C6839" t="str">
        <f t="shared" si="1514"/>
        <v>11</v>
      </c>
      <c r="D6839">
        <v>6399</v>
      </c>
      <c r="E6839" t="str">
        <f>"45"</f>
        <v>45</v>
      </c>
      <c r="F6839" t="str">
        <f>"104"</f>
        <v>104</v>
      </c>
      <c r="G6839">
        <v>9</v>
      </c>
      <c r="H6839" t="str">
        <f>"11"</f>
        <v>11</v>
      </c>
      <c r="I6839" t="str">
        <f t="shared" si="1513"/>
        <v>0</v>
      </c>
      <c r="J6839" t="str">
        <f>"05"</f>
        <v>05</v>
      </c>
      <c r="K6839">
        <v>20190614</v>
      </c>
      <c r="L6839" t="str">
        <f>"077200"</f>
        <v>077200</v>
      </c>
      <c r="M6839" t="str">
        <f>"65826"</f>
        <v>65826</v>
      </c>
      <c r="N6839" t="s">
        <v>2787</v>
      </c>
      <c r="O6839">
        <v>91.71</v>
      </c>
      <c r="P6839">
        <v>20190612</v>
      </c>
      <c r="Q6839" t="s">
        <v>2069</v>
      </c>
      <c r="R6839" t="s">
        <v>5334</v>
      </c>
      <c r="S6839" t="s">
        <v>1615</v>
      </c>
      <c r="T6839" t="s">
        <v>46</v>
      </c>
    </row>
    <row r="6840" spans="1:20" x14ac:dyDescent="0.25">
      <c r="A6840">
        <v>9</v>
      </c>
      <c r="B6840">
        <v>199</v>
      </c>
      <c r="C6840" t="str">
        <f t="shared" si="1514"/>
        <v>11</v>
      </c>
      <c r="D6840">
        <v>6399</v>
      </c>
      <c r="E6840" t="str">
        <f>"45"</f>
        <v>45</v>
      </c>
      <c r="F6840" t="str">
        <f>"104"</f>
        <v>104</v>
      </c>
      <c r="G6840">
        <v>9</v>
      </c>
      <c r="H6840" t="str">
        <f>"11"</f>
        <v>11</v>
      </c>
      <c r="I6840" t="str">
        <f t="shared" si="1513"/>
        <v>0</v>
      </c>
      <c r="J6840" t="str">
        <f>"05"</f>
        <v>05</v>
      </c>
      <c r="K6840">
        <v>20190614</v>
      </c>
      <c r="L6840" t="str">
        <f>"077200"</f>
        <v>077200</v>
      </c>
      <c r="M6840" t="str">
        <f>"65826"</f>
        <v>65826</v>
      </c>
      <c r="N6840" t="s">
        <v>2787</v>
      </c>
      <c r="O6840">
        <v>80.569999999999993</v>
      </c>
      <c r="P6840">
        <v>20190612</v>
      </c>
      <c r="Q6840" t="s">
        <v>2069</v>
      </c>
      <c r="R6840" t="s">
        <v>2793</v>
      </c>
      <c r="S6840" t="s">
        <v>1615</v>
      </c>
      <c r="T6840" t="s">
        <v>46</v>
      </c>
    </row>
    <row r="6841" spans="1:20" x14ac:dyDescent="0.25">
      <c r="A6841">
        <v>9</v>
      </c>
      <c r="B6841">
        <v>199</v>
      </c>
      <c r="C6841" t="str">
        <f t="shared" si="1514"/>
        <v>11</v>
      </c>
      <c r="D6841">
        <v>6399</v>
      </c>
      <c r="E6841" t="str">
        <f>"45"</f>
        <v>45</v>
      </c>
      <c r="F6841" t="str">
        <f>"104"</f>
        <v>104</v>
      </c>
      <c r="G6841">
        <v>9</v>
      </c>
      <c r="H6841" t="str">
        <f>"11"</f>
        <v>11</v>
      </c>
      <c r="I6841" t="str">
        <f t="shared" si="1513"/>
        <v>0</v>
      </c>
      <c r="J6841" t="str">
        <f>"05"</f>
        <v>05</v>
      </c>
      <c r="K6841">
        <v>20190614</v>
      </c>
      <c r="L6841" t="str">
        <f>"077200"</f>
        <v>077200</v>
      </c>
      <c r="M6841" t="str">
        <f>"65826"</f>
        <v>65826</v>
      </c>
      <c r="N6841" t="s">
        <v>2787</v>
      </c>
      <c r="O6841">
        <v>-5.94</v>
      </c>
      <c r="P6841">
        <v>20190529</v>
      </c>
      <c r="Q6841" t="s">
        <v>2069</v>
      </c>
      <c r="R6841" t="s">
        <v>5342</v>
      </c>
      <c r="S6841" t="s">
        <v>1615</v>
      </c>
      <c r="T6841" t="s">
        <v>46</v>
      </c>
    </row>
    <row r="6842" spans="1:20" x14ac:dyDescent="0.25">
      <c r="A6842">
        <v>9</v>
      </c>
      <c r="B6842">
        <v>199</v>
      </c>
      <c r="C6842" t="str">
        <f t="shared" si="1514"/>
        <v>11</v>
      </c>
      <c r="D6842">
        <v>6339</v>
      </c>
      <c r="E6842" t="str">
        <f>"NL"</f>
        <v>NL</v>
      </c>
      <c r="F6842" t="str">
        <f t="shared" ref="F6842:F6847" si="1515">"001"</f>
        <v>001</v>
      </c>
      <c r="G6842">
        <v>9</v>
      </c>
      <c r="H6842" t="str">
        <f t="shared" ref="H6842:H6847" si="1516">"22"</f>
        <v>22</v>
      </c>
      <c r="I6842" t="str">
        <f t="shared" si="1513"/>
        <v>0</v>
      </c>
      <c r="J6842" t="str">
        <f t="shared" ref="J6842:J6847" si="1517">"22"</f>
        <v>22</v>
      </c>
      <c r="K6842">
        <v>20190614</v>
      </c>
      <c r="L6842" t="str">
        <f t="shared" ref="L6842:L6857" si="1518">"077202"</f>
        <v>077202</v>
      </c>
      <c r="M6842" t="str">
        <f t="shared" ref="M6842:M6857" si="1519">"70242"</f>
        <v>70242</v>
      </c>
      <c r="N6842" t="s">
        <v>5435</v>
      </c>
      <c r="O6842">
        <v>237.5</v>
      </c>
      <c r="P6842">
        <v>20190612</v>
      </c>
      <c r="Q6842" t="s">
        <v>3183</v>
      </c>
      <c r="R6842" t="s">
        <v>5436</v>
      </c>
      <c r="S6842" t="s">
        <v>1615</v>
      </c>
      <c r="T6842" t="s">
        <v>301</v>
      </c>
    </row>
    <row r="6843" spans="1:20" x14ac:dyDescent="0.25">
      <c r="A6843">
        <v>9</v>
      </c>
      <c r="B6843">
        <v>199</v>
      </c>
      <c r="C6843" t="str">
        <f t="shared" si="1514"/>
        <v>11</v>
      </c>
      <c r="D6843">
        <v>6399</v>
      </c>
      <c r="E6843" t="str">
        <f>"V1"</f>
        <v>V1</v>
      </c>
      <c r="F6843" t="str">
        <f t="shared" si="1515"/>
        <v>001</v>
      </c>
      <c r="G6843">
        <v>9</v>
      </c>
      <c r="H6843" t="str">
        <f t="shared" si="1516"/>
        <v>22</v>
      </c>
      <c r="I6843" t="str">
        <f t="shared" si="1513"/>
        <v>0</v>
      </c>
      <c r="J6843" t="str">
        <f t="shared" si="1517"/>
        <v>22</v>
      </c>
      <c r="K6843">
        <v>20190614</v>
      </c>
      <c r="L6843" t="str">
        <f t="shared" si="1518"/>
        <v>077202</v>
      </c>
      <c r="M6843" t="str">
        <f t="shared" si="1519"/>
        <v>70242</v>
      </c>
      <c r="N6843" t="s">
        <v>5435</v>
      </c>
      <c r="O6843">
        <v>237.5</v>
      </c>
      <c r="P6843">
        <v>20190612</v>
      </c>
      <c r="Q6843" t="s">
        <v>5437</v>
      </c>
      <c r="R6843" t="s">
        <v>5436</v>
      </c>
      <c r="S6843" t="s">
        <v>1615</v>
      </c>
      <c r="T6843" t="s">
        <v>301</v>
      </c>
    </row>
    <row r="6844" spans="1:20" x14ac:dyDescent="0.25">
      <c r="A6844">
        <v>9</v>
      </c>
      <c r="B6844">
        <v>199</v>
      </c>
      <c r="C6844" t="str">
        <f t="shared" si="1514"/>
        <v>11</v>
      </c>
      <c r="D6844">
        <v>6399</v>
      </c>
      <c r="E6844" t="str">
        <f>"V8"</f>
        <v>V8</v>
      </c>
      <c r="F6844" t="str">
        <f t="shared" si="1515"/>
        <v>001</v>
      </c>
      <c r="G6844">
        <v>9</v>
      </c>
      <c r="H6844" t="str">
        <f t="shared" si="1516"/>
        <v>22</v>
      </c>
      <c r="I6844" t="str">
        <f t="shared" si="1513"/>
        <v>0</v>
      </c>
      <c r="J6844" t="str">
        <f t="shared" si="1517"/>
        <v>22</v>
      </c>
      <c r="K6844">
        <v>20190614</v>
      </c>
      <c r="L6844" t="str">
        <f t="shared" si="1518"/>
        <v>077202</v>
      </c>
      <c r="M6844" t="str">
        <f t="shared" si="1519"/>
        <v>70242</v>
      </c>
      <c r="N6844" t="s">
        <v>5435</v>
      </c>
      <c r="O6844">
        <v>237.5</v>
      </c>
      <c r="P6844">
        <v>20190612</v>
      </c>
      <c r="Q6844" t="s">
        <v>2001</v>
      </c>
      <c r="R6844" t="s">
        <v>5436</v>
      </c>
      <c r="S6844" t="s">
        <v>1615</v>
      </c>
      <c r="T6844" t="s">
        <v>301</v>
      </c>
    </row>
    <row r="6845" spans="1:20" x14ac:dyDescent="0.25">
      <c r="A6845">
        <v>9</v>
      </c>
      <c r="B6845">
        <v>199</v>
      </c>
      <c r="C6845" t="str">
        <f t="shared" si="1514"/>
        <v>11</v>
      </c>
      <c r="D6845">
        <v>6399</v>
      </c>
      <c r="E6845" t="str">
        <f>"VA"</f>
        <v>VA</v>
      </c>
      <c r="F6845" t="str">
        <f t="shared" si="1515"/>
        <v>001</v>
      </c>
      <c r="G6845">
        <v>9</v>
      </c>
      <c r="H6845" t="str">
        <f t="shared" si="1516"/>
        <v>22</v>
      </c>
      <c r="I6845" t="str">
        <f t="shared" si="1513"/>
        <v>0</v>
      </c>
      <c r="J6845" t="str">
        <f t="shared" si="1517"/>
        <v>22</v>
      </c>
      <c r="K6845">
        <v>20190614</v>
      </c>
      <c r="L6845" t="str">
        <f t="shared" si="1518"/>
        <v>077202</v>
      </c>
      <c r="M6845" t="str">
        <f t="shared" si="1519"/>
        <v>70242</v>
      </c>
      <c r="N6845" t="s">
        <v>5435</v>
      </c>
      <c r="O6845">
        <v>237.5</v>
      </c>
      <c r="P6845">
        <v>20190612</v>
      </c>
      <c r="Q6845" t="s">
        <v>2186</v>
      </c>
      <c r="R6845" t="s">
        <v>5436</v>
      </c>
      <c r="S6845" t="s">
        <v>1615</v>
      </c>
      <c r="T6845" t="s">
        <v>301</v>
      </c>
    </row>
    <row r="6846" spans="1:20" x14ac:dyDescent="0.25">
      <c r="A6846">
        <v>9</v>
      </c>
      <c r="B6846">
        <v>199</v>
      </c>
      <c r="C6846" t="str">
        <f t="shared" si="1514"/>
        <v>11</v>
      </c>
      <c r="D6846">
        <v>6399</v>
      </c>
      <c r="E6846" t="str">
        <f>"VB"</f>
        <v>VB</v>
      </c>
      <c r="F6846" t="str">
        <f t="shared" si="1515"/>
        <v>001</v>
      </c>
      <c r="G6846">
        <v>9</v>
      </c>
      <c r="H6846" t="str">
        <f t="shared" si="1516"/>
        <v>22</v>
      </c>
      <c r="I6846" t="str">
        <f t="shared" si="1513"/>
        <v>0</v>
      </c>
      <c r="J6846" t="str">
        <f t="shared" si="1517"/>
        <v>22</v>
      </c>
      <c r="K6846">
        <v>20190614</v>
      </c>
      <c r="L6846" t="str">
        <f t="shared" si="1518"/>
        <v>077202</v>
      </c>
      <c r="M6846" t="str">
        <f t="shared" si="1519"/>
        <v>70242</v>
      </c>
      <c r="N6846" t="s">
        <v>5435</v>
      </c>
      <c r="O6846">
        <v>237.5</v>
      </c>
      <c r="P6846">
        <v>20190612</v>
      </c>
      <c r="Q6846" t="s">
        <v>2837</v>
      </c>
      <c r="R6846" t="s">
        <v>5436</v>
      </c>
      <c r="S6846" t="s">
        <v>1615</v>
      </c>
      <c r="T6846" t="s">
        <v>301</v>
      </c>
    </row>
    <row r="6847" spans="1:20" x14ac:dyDescent="0.25">
      <c r="A6847">
        <v>9</v>
      </c>
      <c r="B6847">
        <v>199</v>
      </c>
      <c r="C6847" t="str">
        <f t="shared" si="1514"/>
        <v>11</v>
      </c>
      <c r="D6847">
        <v>6399</v>
      </c>
      <c r="E6847" t="str">
        <f>"VL"</f>
        <v>VL</v>
      </c>
      <c r="F6847" t="str">
        <f t="shared" si="1515"/>
        <v>001</v>
      </c>
      <c r="G6847">
        <v>9</v>
      </c>
      <c r="H6847" t="str">
        <f t="shared" si="1516"/>
        <v>22</v>
      </c>
      <c r="I6847" t="str">
        <f t="shared" si="1513"/>
        <v>0</v>
      </c>
      <c r="J6847" t="str">
        <f t="shared" si="1517"/>
        <v>22</v>
      </c>
      <c r="K6847">
        <v>20190614</v>
      </c>
      <c r="L6847" t="str">
        <f t="shared" si="1518"/>
        <v>077202</v>
      </c>
      <c r="M6847" t="str">
        <f t="shared" si="1519"/>
        <v>70242</v>
      </c>
      <c r="N6847" t="s">
        <v>5435</v>
      </c>
      <c r="O6847">
        <v>237.5</v>
      </c>
      <c r="P6847">
        <v>20190612</v>
      </c>
      <c r="Q6847" t="s">
        <v>3104</v>
      </c>
      <c r="R6847" t="s">
        <v>5436</v>
      </c>
      <c r="S6847" t="s">
        <v>1615</v>
      </c>
      <c r="T6847" t="s">
        <v>301</v>
      </c>
    </row>
    <row r="6848" spans="1:20" x14ac:dyDescent="0.25">
      <c r="A6848">
        <v>9</v>
      </c>
      <c r="B6848">
        <v>199</v>
      </c>
      <c r="C6848" t="str">
        <f t="shared" si="1514"/>
        <v>11</v>
      </c>
      <c r="D6848">
        <v>6499</v>
      </c>
      <c r="E6848" t="str">
        <f>"10"</f>
        <v>10</v>
      </c>
      <c r="F6848" t="str">
        <f>"002"</f>
        <v>002</v>
      </c>
      <c r="G6848">
        <v>9</v>
      </c>
      <c r="H6848" t="str">
        <f>"11"</f>
        <v>11</v>
      </c>
      <c r="I6848" t="str">
        <f t="shared" si="1513"/>
        <v>0</v>
      </c>
      <c r="J6848" t="str">
        <f>"02"</f>
        <v>02</v>
      </c>
      <c r="K6848">
        <v>20190614</v>
      </c>
      <c r="L6848" t="str">
        <f t="shared" si="1518"/>
        <v>077202</v>
      </c>
      <c r="M6848" t="str">
        <f t="shared" si="1519"/>
        <v>70242</v>
      </c>
      <c r="N6848" t="s">
        <v>5435</v>
      </c>
      <c r="O6848">
        <v>200</v>
      </c>
      <c r="P6848">
        <v>20190612</v>
      </c>
      <c r="Q6848" t="s">
        <v>5438</v>
      </c>
      <c r="R6848" t="s">
        <v>5439</v>
      </c>
      <c r="S6848" t="s">
        <v>1615</v>
      </c>
      <c r="T6848" t="s">
        <v>1485</v>
      </c>
    </row>
    <row r="6849" spans="1:20" x14ac:dyDescent="0.25">
      <c r="A6849">
        <v>9</v>
      </c>
      <c r="B6849">
        <v>199</v>
      </c>
      <c r="C6849" t="str">
        <f t="shared" si="1514"/>
        <v>11</v>
      </c>
      <c r="D6849">
        <v>6499</v>
      </c>
      <c r="E6849" t="str">
        <f>"7Q"</f>
        <v>7Q</v>
      </c>
      <c r="F6849" t="str">
        <f t="shared" ref="F6849:F6857" si="1520">"001"</f>
        <v>001</v>
      </c>
      <c r="G6849">
        <v>9</v>
      </c>
      <c r="H6849" t="str">
        <f>"11"</f>
        <v>11</v>
      </c>
      <c r="I6849" t="str">
        <f t="shared" si="1513"/>
        <v>0</v>
      </c>
      <c r="J6849" t="str">
        <f>"01"</f>
        <v>01</v>
      </c>
      <c r="K6849">
        <v>20190614</v>
      </c>
      <c r="L6849" t="str">
        <f t="shared" si="1518"/>
        <v>077202</v>
      </c>
      <c r="M6849" t="str">
        <f t="shared" si="1519"/>
        <v>70242</v>
      </c>
      <c r="N6849" t="s">
        <v>5435</v>
      </c>
      <c r="O6849" s="1">
        <v>1336.25</v>
      </c>
      <c r="P6849">
        <v>20190612</v>
      </c>
      <c r="Q6849" t="s">
        <v>4215</v>
      </c>
      <c r="R6849" t="s">
        <v>5440</v>
      </c>
      <c r="S6849" t="s">
        <v>1615</v>
      </c>
      <c r="T6849" t="s">
        <v>301</v>
      </c>
    </row>
    <row r="6850" spans="1:20" x14ac:dyDescent="0.25">
      <c r="A6850">
        <v>9</v>
      </c>
      <c r="B6850">
        <v>199</v>
      </c>
      <c r="C6850" t="str">
        <f t="shared" si="1514"/>
        <v>11</v>
      </c>
      <c r="D6850">
        <v>6499</v>
      </c>
      <c r="E6850" t="str">
        <f>"7Q"</f>
        <v>7Q</v>
      </c>
      <c r="F6850" t="str">
        <f t="shared" si="1520"/>
        <v>001</v>
      </c>
      <c r="G6850">
        <v>9</v>
      </c>
      <c r="H6850" t="str">
        <f>"11"</f>
        <v>11</v>
      </c>
      <c r="I6850" t="str">
        <f t="shared" si="1513"/>
        <v>0</v>
      </c>
      <c r="J6850" t="str">
        <f>"01"</f>
        <v>01</v>
      </c>
      <c r="K6850">
        <v>20190614</v>
      </c>
      <c r="L6850" t="str">
        <f t="shared" si="1518"/>
        <v>077202</v>
      </c>
      <c r="M6850" t="str">
        <f t="shared" si="1519"/>
        <v>70242</v>
      </c>
      <c r="N6850" t="s">
        <v>5435</v>
      </c>
      <c r="O6850">
        <v>108</v>
      </c>
      <c r="P6850">
        <v>20190612</v>
      </c>
      <c r="Q6850" t="s">
        <v>4215</v>
      </c>
      <c r="R6850" t="s">
        <v>5440</v>
      </c>
      <c r="S6850" t="s">
        <v>1615</v>
      </c>
      <c r="T6850" t="s">
        <v>301</v>
      </c>
    </row>
    <row r="6851" spans="1:20" x14ac:dyDescent="0.25">
      <c r="A6851">
        <v>9</v>
      </c>
      <c r="B6851">
        <v>199</v>
      </c>
      <c r="C6851" t="str">
        <f t="shared" si="1514"/>
        <v>11</v>
      </c>
      <c r="D6851">
        <v>6499</v>
      </c>
      <c r="E6851" t="str">
        <f>"7Q"</f>
        <v>7Q</v>
      </c>
      <c r="F6851" t="str">
        <f t="shared" si="1520"/>
        <v>001</v>
      </c>
      <c r="G6851">
        <v>9</v>
      </c>
      <c r="H6851" t="str">
        <f>"11"</f>
        <v>11</v>
      </c>
      <c r="I6851" t="str">
        <f t="shared" si="1513"/>
        <v>0</v>
      </c>
      <c r="J6851" t="str">
        <f>"01"</f>
        <v>01</v>
      </c>
      <c r="K6851">
        <v>20190614</v>
      </c>
      <c r="L6851" t="str">
        <f t="shared" si="1518"/>
        <v>077202</v>
      </c>
      <c r="M6851" t="str">
        <f t="shared" si="1519"/>
        <v>70242</v>
      </c>
      <c r="N6851" t="s">
        <v>5435</v>
      </c>
      <c r="O6851">
        <v>266</v>
      </c>
      <c r="P6851">
        <v>20190613</v>
      </c>
      <c r="Q6851" t="s">
        <v>4215</v>
      </c>
      <c r="R6851" t="s">
        <v>5440</v>
      </c>
      <c r="S6851" t="s">
        <v>1615</v>
      </c>
      <c r="T6851" t="s">
        <v>301</v>
      </c>
    </row>
    <row r="6852" spans="1:20" x14ac:dyDescent="0.25">
      <c r="A6852">
        <v>9</v>
      </c>
      <c r="B6852">
        <v>199</v>
      </c>
      <c r="C6852" t="str">
        <f t="shared" si="1514"/>
        <v>11</v>
      </c>
      <c r="D6852">
        <v>6499</v>
      </c>
      <c r="E6852" t="str">
        <f>"8M"</f>
        <v>8M</v>
      </c>
      <c r="F6852" t="str">
        <f t="shared" si="1520"/>
        <v>001</v>
      </c>
      <c r="G6852">
        <v>9</v>
      </c>
      <c r="H6852" t="str">
        <f>"11"</f>
        <v>11</v>
      </c>
      <c r="I6852" t="str">
        <f t="shared" si="1513"/>
        <v>0</v>
      </c>
      <c r="J6852" t="str">
        <f>"33"</f>
        <v>33</v>
      </c>
      <c r="K6852">
        <v>20190614</v>
      </c>
      <c r="L6852" t="str">
        <f t="shared" si="1518"/>
        <v>077202</v>
      </c>
      <c r="M6852" t="str">
        <f t="shared" si="1519"/>
        <v>70242</v>
      </c>
      <c r="N6852" t="s">
        <v>5435</v>
      </c>
      <c r="O6852">
        <v>171</v>
      </c>
      <c r="P6852">
        <v>20190612</v>
      </c>
      <c r="Q6852" t="s">
        <v>3900</v>
      </c>
      <c r="R6852" t="s">
        <v>5441</v>
      </c>
      <c r="S6852" t="s">
        <v>1615</v>
      </c>
      <c r="T6852" t="s">
        <v>301</v>
      </c>
    </row>
    <row r="6853" spans="1:20" x14ac:dyDescent="0.25">
      <c r="A6853">
        <v>9</v>
      </c>
      <c r="B6853">
        <v>199</v>
      </c>
      <c r="C6853" t="str">
        <f t="shared" si="1514"/>
        <v>11</v>
      </c>
      <c r="D6853">
        <v>6499</v>
      </c>
      <c r="E6853" t="str">
        <f>"AW"</f>
        <v>AW</v>
      </c>
      <c r="F6853" t="str">
        <f t="shared" si="1520"/>
        <v>001</v>
      </c>
      <c r="G6853">
        <v>9</v>
      </c>
      <c r="H6853" t="str">
        <f>"31"</f>
        <v>31</v>
      </c>
      <c r="I6853" t="str">
        <f t="shared" si="1513"/>
        <v>0</v>
      </c>
      <c r="J6853" t="str">
        <f>"34"</f>
        <v>34</v>
      </c>
      <c r="K6853">
        <v>20190614</v>
      </c>
      <c r="L6853" t="str">
        <f t="shared" si="1518"/>
        <v>077202</v>
      </c>
      <c r="M6853" t="str">
        <f t="shared" si="1519"/>
        <v>70242</v>
      </c>
      <c r="N6853" t="s">
        <v>5435</v>
      </c>
      <c r="O6853">
        <v>387.75</v>
      </c>
      <c r="P6853">
        <v>20190612</v>
      </c>
      <c r="Q6853" t="s">
        <v>5442</v>
      </c>
      <c r="R6853" t="s">
        <v>5440</v>
      </c>
      <c r="S6853" t="s">
        <v>1615</v>
      </c>
      <c r="T6853" t="s">
        <v>301</v>
      </c>
    </row>
    <row r="6854" spans="1:20" x14ac:dyDescent="0.25">
      <c r="A6854">
        <v>9</v>
      </c>
      <c r="B6854">
        <v>199</v>
      </c>
      <c r="C6854" t="str">
        <f>"36"</f>
        <v>36</v>
      </c>
      <c r="D6854">
        <v>6499</v>
      </c>
      <c r="E6854" t="str">
        <f>"09"</f>
        <v>09</v>
      </c>
      <c r="F6854" t="str">
        <f t="shared" si="1520"/>
        <v>001</v>
      </c>
      <c r="G6854">
        <v>9</v>
      </c>
      <c r="H6854" t="str">
        <f>"99"</f>
        <v>99</v>
      </c>
      <c r="I6854" t="str">
        <f t="shared" si="1513"/>
        <v>0</v>
      </c>
      <c r="J6854" t="str">
        <f>"01"</f>
        <v>01</v>
      </c>
      <c r="K6854">
        <v>20190614</v>
      </c>
      <c r="L6854" t="str">
        <f t="shared" si="1518"/>
        <v>077202</v>
      </c>
      <c r="M6854" t="str">
        <f t="shared" si="1519"/>
        <v>70242</v>
      </c>
      <c r="N6854" t="s">
        <v>5435</v>
      </c>
      <c r="O6854">
        <v>285</v>
      </c>
      <c r="P6854">
        <v>20190612</v>
      </c>
      <c r="Q6854" t="s">
        <v>3984</v>
      </c>
      <c r="R6854" t="s">
        <v>5440</v>
      </c>
      <c r="S6854" t="s">
        <v>1615</v>
      </c>
      <c r="T6854" t="s">
        <v>301</v>
      </c>
    </row>
    <row r="6855" spans="1:20" x14ac:dyDescent="0.25">
      <c r="A6855">
        <v>9</v>
      </c>
      <c r="B6855">
        <v>199</v>
      </c>
      <c r="C6855" t="str">
        <f>"36"</f>
        <v>36</v>
      </c>
      <c r="D6855">
        <v>6499</v>
      </c>
      <c r="E6855" t="str">
        <f>"7B"</f>
        <v>7B</v>
      </c>
      <c r="F6855" t="str">
        <f t="shared" si="1520"/>
        <v>001</v>
      </c>
      <c r="G6855">
        <v>9</v>
      </c>
      <c r="H6855" t="str">
        <f>"99"</f>
        <v>99</v>
      </c>
      <c r="I6855" t="str">
        <f t="shared" si="1513"/>
        <v>0</v>
      </c>
      <c r="J6855" t="str">
        <f>"32"</f>
        <v>32</v>
      </c>
      <c r="K6855">
        <v>20190614</v>
      </c>
      <c r="L6855" t="str">
        <f t="shared" si="1518"/>
        <v>077202</v>
      </c>
      <c r="M6855" t="str">
        <f t="shared" si="1519"/>
        <v>70242</v>
      </c>
      <c r="N6855" t="s">
        <v>5435</v>
      </c>
      <c r="O6855">
        <v>190</v>
      </c>
      <c r="P6855">
        <v>20190612</v>
      </c>
      <c r="Q6855" t="s">
        <v>4731</v>
      </c>
      <c r="R6855" t="s">
        <v>5443</v>
      </c>
      <c r="S6855" t="s">
        <v>1615</v>
      </c>
      <c r="T6855" t="s">
        <v>301</v>
      </c>
    </row>
    <row r="6856" spans="1:20" x14ac:dyDescent="0.25">
      <c r="A6856">
        <v>9</v>
      </c>
      <c r="B6856">
        <v>199</v>
      </c>
      <c r="C6856" t="str">
        <f>"36"</f>
        <v>36</v>
      </c>
      <c r="D6856">
        <v>6499</v>
      </c>
      <c r="E6856" t="str">
        <f>"7E"</f>
        <v>7E</v>
      </c>
      <c r="F6856" t="str">
        <f t="shared" si="1520"/>
        <v>001</v>
      </c>
      <c r="G6856">
        <v>9</v>
      </c>
      <c r="H6856" t="str">
        <f>"99"</f>
        <v>99</v>
      </c>
      <c r="I6856" t="str">
        <f t="shared" si="1513"/>
        <v>0</v>
      </c>
      <c r="J6856" t="str">
        <f>"31"</f>
        <v>31</v>
      </c>
      <c r="K6856">
        <v>20190614</v>
      </c>
      <c r="L6856" t="str">
        <f t="shared" si="1518"/>
        <v>077202</v>
      </c>
      <c r="M6856" t="str">
        <f t="shared" si="1519"/>
        <v>70242</v>
      </c>
      <c r="N6856" t="s">
        <v>5435</v>
      </c>
      <c r="O6856">
        <v>47.5</v>
      </c>
      <c r="P6856">
        <v>20190612</v>
      </c>
      <c r="Q6856" t="s">
        <v>5030</v>
      </c>
      <c r="R6856" t="s">
        <v>5443</v>
      </c>
      <c r="S6856" t="s">
        <v>1615</v>
      </c>
      <c r="T6856" t="s">
        <v>301</v>
      </c>
    </row>
    <row r="6857" spans="1:20" x14ac:dyDescent="0.25">
      <c r="A6857">
        <v>9</v>
      </c>
      <c r="B6857">
        <v>199</v>
      </c>
      <c r="C6857" t="str">
        <f>"36"</f>
        <v>36</v>
      </c>
      <c r="D6857">
        <v>6499</v>
      </c>
      <c r="E6857" t="str">
        <f>"8S"</f>
        <v>8S</v>
      </c>
      <c r="F6857" t="str">
        <f t="shared" si="1520"/>
        <v>001</v>
      </c>
      <c r="G6857">
        <v>9</v>
      </c>
      <c r="H6857" t="str">
        <f>"99"</f>
        <v>99</v>
      </c>
      <c r="I6857" t="str">
        <f t="shared" si="1513"/>
        <v>0</v>
      </c>
      <c r="J6857" t="str">
        <f>"01"</f>
        <v>01</v>
      </c>
      <c r="K6857">
        <v>20190614</v>
      </c>
      <c r="L6857" t="str">
        <f t="shared" si="1518"/>
        <v>077202</v>
      </c>
      <c r="M6857" t="str">
        <f t="shared" si="1519"/>
        <v>70242</v>
      </c>
      <c r="N6857" t="s">
        <v>5435</v>
      </c>
      <c r="O6857">
        <v>82</v>
      </c>
      <c r="P6857">
        <v>20190612</v>
      </c>
      <c r="Q6857" t="s">
        <v>5444</v>
      </c>
      <c r="R6857" t="s">
        <v>5445</v>
      </c>
      <c r="S6857" t="s">
        <v>1615</v>
      </c>
      <c r="T6857" t="s">
        <v>301</v>
      </c>
    </row>
    <row r="6858" spans="1:20" x14ac:dyDescent="0.25">
      <c r="A6858">
        <v>9</v>
      </c>
      <c r="B6858">
        <v>199</v>
      </c>
      <c r="C6858" t="str">
        <f>"51"</f>
        <v>51</v>
      </c>
      <c r="D6858">
        <v>6256</v>
      </c>
      <c r="E6858" t="str">
        <f>"10"</f>
        <v>10</v>
      </c>
      <c r="F6858" t="str">
        <f>"936"</f>
        <v>936</v>
      </c>
      <c r="G6858">
        <v>9</v>
      </c>
      <c r="H6858" t="str">
        <f>"99"</f>
        <v>99</v>
      </c>
      <c r="I6858" t="str">
        <f t="shared" si="1513"/>
        <v>0</v>
      </c>
      <c r="J6858" t="str">
        <f>"81"</f>
        <v>81</v>
      </c>
      <c r="K6858">
        <v>20190614</v>
      </c>
      <c r="L6858" t="str">
        <f>"077203"</f>
        <v>077203</v>
      </c>
      <c r="M6858" t="str">
        <f>"72340"</f>
        <v>72340</v>
      </c>
      <c r="N6858" t="s">
        <v>1652</v>
      </c>
      <c r="O6858">
        <v>441.87</v>
      </c>
      <c r="P6858">
        <v>20190612</v>
      </c>
      <c r="Q6858" t="s">
        <v>2679</v>
      </c>
      <c r="R6858" t="s">
        <v>5446</v>
      </c>
      <c r="S6858" t="s">
        <v>1615</v>
      </c>
      <c r="T6858" t="s">
        <v>1713</v>
      </c>
    </row>
    <row r="6859" spans="1:20" x14ac:dyDescent="0.25">
      <c r="A6859">
        <v>9</v>
      </c>
      <c r="B6859">
        <v>199</v>
      </c>
      <c r="C6859" t="str">
        <f t="shared" ref="C6859:C6870" si="1521">"11"</f>
        <v>11</v>
      </c>
      <c r="D6859">
        <v>6399</v>
      </c>
      <c r="E6859" t="str">
        <f t="shared" ref="E6859:E6870" si="1522">"45"</f>
        <v>45</v>
      </c>
      <c r="F6859" t="str">
        <f t="shared" ref="F6859:F6873" si="1523">"104"</f>
        <v>104</v>
      </c>
      <c r="G6859">
        <v>9</v>
      </c>
      <c r="H6859" t="str">
        <f t="shared" ref="H6859:H6870" si="1524">"11"</f>
        <v>11</v>
      </c>
      <c r="I6859" t="str">
        <f t="shared" si="1513"/>
        <v>0</v>
      </c>
      <c r="J6859" t="str">
        <f t="shared" ref="J6859:J6873" si="1525">"05"</f>
        <v>05</v>
      </c>
      <c r="K6859">
        <v>20190614</v>
      </c>
      <c r="L6859" t="str">
        <f t="shared" ref="L6859:L6875" si="1526">"077204"</f>
        <v>077204</v>
      </c>
      <c r="M6859" t="str">
        <f t="shared" ref="M6859:M6875" si="1527">"72730"</f>
        <v>72730</v>
      </c>
      <c r="N6859" t="s">
        <v>639</v>
      </c>
      <c r="O6859" s="1">
        <v>1285.3800000000001</v>
      </c>
      <c r="P6859">
        <v>20190613</v>
      </c>
      <c r="Q6859" t="s">
        <v>2069</v>
      </c>
      <c r="R6859" t="s">
        <v>5447</v>
      </c>
      <c r="S6859" t="s">
        <v>1615</v>
      </c>
      <c r="T6859" t="s">
        <v>46</v>
      </c>
    </row>
    <row r="6860" spans="1:20" x14ac:dyDescent="0.25">
      <c r="A6860">
        <v>9</v>
      </c>
      <c r="B6860">
        <v>199</v>
      </c>
      <c r="C6860" t="str">
        <f t="shared" si="1521"/>
        <v>11</v>
      </c>
      <c r="D6860">
        <v>6399</v>
      </c>
      <c r="E6860" t="str">
        <f t="shared" si="1522"/>
        <v>45</v>
      </c>
      <c r="F6860" t="str">
        <f t="shared" si="1523"/>
        <v>104</v>
      </c>
      <c r="G6860">
        <v>9</v>
      </c>
      <c r="H6860" t="str">
        <f t="shared" si="1524"/>
        <v>11</v>
      </c>
      <c r="I6860" t="str">
        <f t="shared" si="1513"/>
        <v>0</v>
      </c>
      <c r="J6860" t="str">
        <f t="shared" si="1525"/>
        <v>05</v>
      </c>
      <c r="K6860">
        <v>20190614</v>
      </c>
      <c r="L6860" t="str">
        <f t="shared" si="1526"/>
        <v>077204</v>
      </c>
      <c r="M6860" t="str">
        <f t="shared" si="1527"/>
        <v>72730</v>
      </c>
      <c r="N6860" t="s">
        <v>639</v>
      </c>
      <c r="O6860">
        <v>18.79</v>
      </c>
      <c r="P6860">
        <v>20190613</v>
      </c>
      <c r="Q6860" t="s">
        <v>2069</v>
      </c>
      <c r="R6860" t="s">
        <v>5447</v>
      </c>
      <c r="S6860" t="s">
        <v>1615</v>
      </c>
      <c r="T6860" t="s">
        <v>46</v>
      </c>
    </row>
    <row r="6861" spans="1:20" x14ac:dyDescent="0.25">
      <c r="A6861">
        <v>9</v>
      </c>
      <c r="B6861">
        <v>199</v>
      </c>
      <c r="C6861" t="str">
        <f t="shared" si="1521"/>
        <v>11</v>
      </c>
      <c r="D6861">
        <v>6399</v>
      </c>
      <c r="E6861" t="str">
        <f t="shared" si="1522"/>
        <v>45</v>
      </c>
      <c r="F6861" t="str">
        <f t="shared" si="1523"/>
        <v>104</v>
      </c>
      <c r="G6861">
        <v>9</v>
      </c>
      <c r="H6861" t="str">
        <f t="shared" si="1524"/>
        <v>11</v>
      </c>
      <c r="I6861" t="str">
        <f t="shared" si="1513"/>
        <v>0</v>
      </c>
      <c r="J6861" t="str">
        <f t="shared" si="1525"/>
        <v>05</v>
      </c>
      <c r="K6861">
        <v>20190614</v>
      </c>
      <c r="L6861" t="str">
        <f t="shared" si="1526"/>
        <v>077204</v>
      </c>
      <c r="M6861" t="str">
        <f t="shared" si="1527"/>
        <v>72730</v>
      </c>
      <c r="N6861" t="s">
        <v>639</v>
      </c>
      <c r="O6861">
        <v>25.04</v>
      </c>
      <c r="P6861">
        <v>20190613</v>
      </c>
      <c r="Q6861" t="s">
        <v>2069</v>
      </c>
      <c r="R6861" t="s">
        <v>5447</v>
      </c>
      <c r="S6861" t="s">
        <v>1615</v>
      </c>
      <c r="T6861" t="s">
        <v>46</v>
      </c>
    </row>
    <row r="6862" spans="1:20" x14ac:dyDescent="0.25">
      <c r="A6862">
        <v>9</v>
      </c>
      <c r="B6862">
        <v>199</v>
      </c>
      <c r="C6862" t="str">
        <f t="shared" si="1521"/>
        <v>11</v>
      </c>
      <c r="D6862">
        <v>6399</v>
      </c>
      <c r="E6862" t="str">
        <f t="shared" si="1522"/>
        <v>45</v>
      </c>
      <c r="F6862" t="str">
        <f t="shared" si="1523"/>
        <v>104</v>
      </c>
      <c r="G6862">
        <v>9</v>
      </c>
      <c r="H6862" t="str">
        <f t="shared" si="1524"/>
        <v>11</v>
      </c>
      <c r="I6862" t="str">
        <f t="shared" si="1513"/>
        <v>0</v>
      </c>
      <c r="J6862" t="str">
        <f t="shared" si="1525"/>
        <v>05</v>
      </c>
      <c r="K6862">
        <v>20190614</v>
      </c>
      <c r="L6862" t="str">
        <f t="shared" si="1526"/>
        <v>077204</v>
      </c>
      <c r="M6862" t="str">
        <f t="shared" si="1527"/>
        <v>72730</v>
      </c>
      <c r="N6862" t="s">
        <v>639</v>
      </c>
      <c r="O6862">
        <v>17.59</v>
      </c>
      <c r="P6862">
        <v>20190613</v>
      </c>
      <c r="Q6862" t="s">
        <v>2069</v>
      </c>
      <c r="R6862" t="s">
        <v>5448</v>
      </c>
      <c r="S6862" t="s">
        <v>1615</v>
      </c>
      <c r="T6862" t="s">
        <v>46</v>
      </c>
    </row>
    <row r="6863" spans="1:20" x14ac:dyDescent="0.25">
      <c r="A6863">
        <v>9</v>
      </c>
      <c r="B6863">
        <v>199</v>
      </c>
      <c r="C6863" t="str">
        <f t="shared" si="1521"/>
        <v>11</v>
      </c>
      <c r="D6863">
        <v>6399</v>
      </c>
      <c r="E6863" t="str">
        <f t="shared" si="1522"/>
        <v>45</v>
      </c>
      <c r="F6863" t="str">
        <f t="shared" si="1523"/>
        <v>104</v>
      </c>
      <c r="G6863">
        <v>9</v>
      </c>
      <c r="H6863" t="str">
        <f t="shared" si="1524"/>
        <v>11</v>
      </c>
      <c r="I6863" t="str">
        <f t="shared" si="1513"/>
        <v>0</v>
      </c>
      <c r="J6863" t="str">
        <f t="shared" si="1525"/>
        <v>05</v>
      </c>
      <c r="K6863">
        <v>20190614</v>
      </c>
      <c r="L6863" t="str">
        <f t="shared" si="1526"/>
        <v>077204</v>
      </c>
      <c r="M6863" t="str">
        <f t="shared" si="1527"/>
        <v>72730</v>
      </c>
      <c r="N6863" t="s">
        <v>639</v>
      </c>
      <c r="O6863">
        <v>11.61</v>
      </c>
      <c r="P6863">
        <v>20190613</v>
      </c>
      <c r="Q6863" t="s">
        <v>2069</v>
      </c>
      <c r="R6863" t="s">
        <v>5449</v>
      </c>
      <c r="S6863" t="s">
        <v>1615</v>
      </c>
      <c r="T6863" t="s">
        <v>46</v>
      </c>
    </row>
    <row r="6864" spans="1:20" x14ac:dyDescent="0.25">
      <c r="A6864">
        <v>9</v>
      </c>
      <c r="B6864">
        <v>199</v>
      </c>
      <c r="C6864" t="str">
        <f t="shared" si="1521"/>
        <v>11</v>
      </c>
      <c r="D6864">
        <v>6399</v>
      </c>
      <c r="E6864" t="str">
        <f t="shared" si="1522"/>
        <v>45</v>
      </c>
      <c r="F6864" t="str">
        <f t="shared" si="1523"/>
        <v>104</v>
      </c>
      <c r="G6864">
        <v>9</v>
      </c>
      <c r="H6864" t="str">
        <f t="shared" si="1524"/>
        <v>11</v>
      </c>
      <c r="I6864" t="str">
        <f t="shared" si="1513"/>
        <v>0</v>
      </c>
      <c r="J6864" t="str">
        <f t="shared" si="1525"/>
        <v>05</v>
      </c>
      <c r="K6864">
        <v>20190614</v>
      </c>
      <c r="L6864" t="str">
        <f t="shared" si="1526"/>
        <v>077204</v>
      </c>
      <c r="M6864" t="str">
        <f t="shared" si="1527"/>
        <v>72730</v>
      </c>
      <c r="N6864" t="s">
        <v>639</v>
      </c>
      <c r="O6864">
        <v>15.49</v>
      </c>
      <c r="P6864">
        <v>20190613</v>
      </c>
      <c r="Q6864" t="s">
        <v>2069</v>
      </c>
      <c r="R6864" t="s">
        <v>5450</v>
      </c>
      <c r="S6864" t="s">
        <v>1615</v>
      </c>
      <c r="T6864" t="s">
        <v>46</v>
      </c>
    </row>
    <row r="6865" spans="1:20" x14ac:dyDescent="0.25">
      <c r="A6865">
        <v>9</v>
      </c>
      <c r="B6865">
        <v>199</v>
      </c>
      <c r="C6865" t="str">
        <f t="shared" si="1521"/>
        <v>11</v>
      </c>
      <c r="D6865">
        <v>6399</v>
      </c>
      <c r="E6865" t="str">
        <f t="shared" si="1522"/>
        <v>45</v>
      </c>
      <c r="F6865" t="str">
        <f t="shared" si="1523"/>
        <v>104</v>
      </c>
      <c r="G6865">
        <v>9</v>
      </c>
      <c r="H6865" t="str">
        <f t="shared" si="1524"/>
        <v>11</v>
      </c>
      <c r="I6865" t="str">
        <f t="shared" si="1513"/>
        <v>0</v>
      </c>
      <c r="J6865" t="str">
        <f t="shared" si="1525"/>
        <v>05</v>
      </c>
      <c r="K6865">
        <v>20190614</v>
      </c>
      <c r="L6865" t="str">
        <f t="shared" si="1526"/>
        <v>077204</v>
      </c>
      <c r="M6865" t="str">
        <f t="shared" si="1527"/>
        <v>72730</v>
      </c>
      <c r="N6865" t="s">
        <v>639</v>
      </c>
      <c r="O6865">
        <v>2.99</v>
      </c>
      <c r="P6865">
        <v>20190613</v>
      </c>
      <c r="Q6865" t="s">
        <v>2069</v>
      </c>
      <c r="R6865" t="s">
        <v>5451</v>
      </c>
      <c r="S6865" t="s">
        <v>1615</v>
      </c>
      <c r="T6865" t="s">
        <v>46</v>
      </c>
    </row>
    <row r="6866" spans="1:20" x14ac:dyDescent="0.25">
      <c r="A6866">
        <v>9</v>
      </c>
      <c r="B6866">
        <v>199</v>
      </c>
      <c r="C6866" t="str">
        <f t="shared" si="1521"/>
        <v>11</v>
      </c>
      <c r="D6866">
        <v>6399</v>
      </c>
      <c r="E6866" t="str">
        <f t="shared" si="1522"/>
        <v>45</v>
      </c>
      <c r="F6866" t="str">
        <f t="shared" si="1523"/>
        <v>104</v>
      </c>
      <c r="G6866">
        <v>9</v>
      </c>
      <c r="H6866" t="str">
        <f t="shared" si="1524"/>
        <v>11</v>
      </c>
      <c r="I6866" t="str">
        <f t="shared" si="1513"/>
        <v>0</v>
      </c>
      <c r="J6866" t="str">
        <f t="shared" si="1525"/>
        <v>05</v>
      </c>
      <c r="K6866">
        <v>20190614</v>
      </c>
      <c r="L6866" t="str">
        <f t="shared" si="1526"/>
        <v>077204</v>
      </c>
      <c r="M6866" t="str">
        <f t="shared" si="1527"/>
        <v>72730</v>
      </c>
      <c r="N6866" t="s">
        <v>639</v>
      </c>
      <c r="O6866">
        <v>2.99</v>
      </c>
      <c r="P6866">
        <v>20190613</v>
      </c>
      <c r="Q6866" t="s">
        <v>2069</v>
      </c>
      <c r="R6866" t="s">
        <v>5452</v>
      </c>
      <c r="S6866" t="s">
        <v>1615</v>
      </c>
      <c r="T6866" t="s">
        <v>46</v>
      </c>
    </row>
    <row r="6867" spans="1:20" x14ac:dyDescent="0.25">
      <c r="A6867">
        <v>9</v>
      </c>
      <c r="B6867">
        <v>199</v>
      </c>
      <c r="C6867" t="str">
        <f t="shared" si="1521"/>
        <v>11</v>
      </c>
      <c r="D6867">
        <v>6399</v>
      </c>
      <c r="E6867" t="str">
        <f t="shared" si="1522"/>
        <v>45</v>
      </c>
      <c r="F6867" t="str">
        <f t="shared" si="1523"/>
        <v>104</v>
      </c>
      <c r="G6867">
        <v>9</v>
      </c>
      <c r="H6867" t="str">
        <f t="shared" si="1524"/>
        <v>11</v>
      </c>
      <c r="I6867" t="str">
        <f t="shared" si="1513"/>
        <v>0</v>
      </c>
      <c r="J6867" t="str">
        <f t="shared" si="1525"/>
        <v>05</v>
      </c>
      <c r="K6867">
        <v>20190614</v>
      </c>
      <c r="L6867" t="str">
        <f t="shared" si="1526"/>
        <v>077204</v>
      </c>
      <c r="M6867" t="str">
        <f t="shared" si="1527"/>
        <v>72730</v>
      </c>
      <c r="N6867" t="s">
        <v>639</v>
      </c>
      <c r="O6867">
        <v>7.95</v>
      </c>
      <c r="P6867">
        <v>20190613</v>
      </c>
      <c r="Q6867" t="s">
        <v>2069</v>
      </c>
      <c r="R6867" t="s">
        <v>5453</v>
      </c>
      <c r="S6867" t="s">
        <v>1615</v>
      </c>
      <c r="T6867" t="s">
        <v>46</v>
      </c>
    </row>
    <row r="6868" spans="1:20" x14ac:dyDescent="0.25">
      <c r="A6868">
        <v>9</v>
      </c>
      <c r="B6868">
        <v>199</v>
      </c>
      <c r="C6868" t="str">
        <f t="shared" si="1521"/>
        <v>11</v>
      </c>
      <c r="D6868">
        <v>6399</v>
      </c>
      <c r="E6868" t="str">
        <f t="shared" si="1522"/>
        <v>45</v>
      </c>
      <c r="F6868" t="str">
        <f t="shared" si="1523"/>
        <v>104</v>
      </c>
      <c r="G6868">
        <v>9</v>
      </c>
      <c r="H6868" t="str">
        <f t="shared" si="1524"/>
        <v>11</v>
      </c>
      <c r="I6868" t="str">
        <f t="shared" si="1513"/>
        <v>0</v>
      </c>
      <c r="J6868" t="str">
        <f t="shared" si="1525"/>
        <v>05</v>
      </c>
      <c r="K6868">
        <v>20190614</v>
      </c>
      <c r="L6868" t="str">
        <f t="shared" si="1526"/>
        <v>077204</v>
      </c>
      <c r="M6868" t="str">
        <f t="shared" si="1527"/>
        <v>72730</v>
      </c>
      <c r="N6868" t="s">
        <v>639</v>
      </c>
      <c r="O6868">
        <v>13.19</v>
      </c>
      <c r="P6868">
        <v>20190613</v>
      </c>
      <c r="Q6868" t="s">
        <v>2069</v>
      </c>
      <c r="R6868" t="s">
        <v>5454</v>
      </c>
      <c r="S6868" t="s">
        <v>1615</v>
      </c>
      <c r="T6868" t="s">
        <v>46</v>
      </c>
    </row>
    <row r="6869" spans="1:20" x14ac:dyDescent="0.25">
      <c r="A6869">
        <v>9</v>
      </c>
      <c r="B6869">
        <v>199</v>
      </c>
      <c r="C6869" t="str">
        <f t="shared" si="1521"/>
        <v>11</v>
      </c>
      <c r="D6869">
        <v>6399</v>
      </c>
      <c r="E6869" t="str">
        <f t="shared" si="1522"/>
        <v>45</v>
      </c>
      <c r="F6869" t="str">
        <f t="shared" si="1523"/>
        <v>104</v>
      </c>
      <c r="G6869">
        <v>9</v>
      </c>
      <c r="H6869" t="str">
        <f t="shared" si="1524"/>
        <v>11</v>
      </c>
      <c r="I6869" t="str">
        <f t="shared" si="1513"/>
        <v>0</v>
      </c>
      <c r="J6869" t="str">
        <f t="shared" si="1525"/>
        <v>05</v>
      </c>
      <c r="K6869">
        <v>20190614</v>
      </c>
      <c r="L6869" t="str">
        <f t="shared" si="1526"/>
        <v>077204</v>
      </c>
      <c r="M6869" t="str">
        <f t="shared" si="1527"/>
        <v>72730</v>
      </c>
      <c r="N6869" t="s">
        <v>639</v>
      </c>
      <c r="O6869">
        <v>11.09</v>
      </c>
      <c r="P6869">
        <v>20190613</v>
      </c>
      <c r="Q6869" t="s">
        <v>2069</v>
      </c>
      <c r="R6869" t="s">
        <v>5455</v>
      </c>
      <c r="S6869" t="s">
        <v>1615</v>
      </c>
      <c r="T6869" t="s">
        <v>46</v>
      </c>
    </row>
    <row r="6870" spans="1:20" x14ac:dyDescent="0.25">
      <c r="A6870">
        <v>9</v>
      </c>
      <c r="B6870">
        <v>199</v>
      </c>
      <c r="C6870" t="str">
        <f t="shared" si="1521"/>
        <v>11</v>
      </c>
      <c r="D6870">
        <v>6399</v>
      </c>
      <c r="E6870" t="str">
        <f t="shared" si="1522"/>
        <v>45</v>
      </c>
      <c r="F6870" t="str">
        <f t="shared" si="1523"/>
        <v>104</v>
      </c>
      <c r="G6870">
        <v>9</v>
      </c>
      <c r="H6870" t="str">
        <f t="shared" si="1524"/>
        <v>11</v>
      </c>
      <c r="I6870" t="str">
        <f t="shared" si="1513"/>
        <v>0</v>
      </c>
      <c r="J6870" t="str">
        <f t="shared" si="1525"/>
        <v>05</v>
      </c>
      <c r="K6870">
        <v>20190614</v>
      </c>
      <c r="L6870" t="str">
        <f t="shared" si="1526"/>
        <v>077204</v>
      </c>
      <c r="M6870" t="str">
        <f t="shared" si="1527"/>
        <v>72730</v>
      </c>
      <c r="N6870" t="s">
        <v>639</v>
      </c>
      <c r="O6870">
        <v>733.97</v>
      </c>
      <c r="P6870">
        <v>20190613</v>
      </c>
      <c r="Q6870" t="s">
        <v>2069</v>
      </c>
      <c r="R6870" t="s">
        <v>641</v>
      </c>
      <c r="S6870" t="s">
        <v>1615</v>
      </c>
      <c r="T6870" t="s">
        <v>46</v>
      </c>
    </row>
    <row r="6871" spans="1:20" x14ac:dyDescent="0.25">
      <c r="A6871">
        <v>9</v>
      </c>
      <c r="B6871">
        <v>199</v>
      </c>
      <c r="C6871" t="str">
        <f>"23"</f>
        <v>23</v>
      </c>
      <c r="D6871">
        <v>6399</v>
      </c>
      <c r="E6871" t="str">
        <f>"8K"</f>
        <v>8K</v>
      </c>
      <c r="F6871" t="str">
        <f t="shared" si="1523"/>
        <v>104</v>
      </c>
      <c r="G6871">
        <v>9</v>
      </c>
      <c r="H6871" t="str">
        <f t="shared" ref="H6871:H6876" si="1528">"99"</f>
        <v>99</v>
      </c>
      <c r="I6871" t="str">
        <f t="shared" si="1513"/>
        <v>0</v>
      </c>
      <c r="J6871" t="str">
        <f t="shared" si="1525"/>
        <v>05</v>
      </c>
      <c r="K6871">
        <v>20190614</v>
      </c>
      <c r="L6871" t="str">
        <f t="shared" si="1526"/>
        <v>077204</v>
      </c>
      <c r="M6871" t="str">
        <f t="shared" si="1527"/>
        <v>72730</v>
      </c>
      <c r="N6871" t="s">
        <v>639</v>
      </c>
      <c r="O6871">
        <v>57.67</v>
      </c>
      <c r="P6871">
        <v>20190613</v>
      </c>
      <c r="Q6871" t="s">
        <v>2326</v>
      </c>
      <c r="R6871" t="s">
        <v>5456</v>
      </c>
      <c r="S6871" t="s">
        <v>1615</v>
      </c>
      <c r="T6871" t="s">
        <v>46</v>
      </c>
    </row>
    <row r="6872" spans="1:20" x14ac:dyDescent="0.25">
      <c r="A6872">
        <v>9</v>
      </c>
      <c r="B6872">
        <v>199</v>
      </c>
      <c r="C6872" t="str">
        <f>"23"</f>
        <v>23</v>
      </c>
      <c r="D6872">
        <v>6399</v>
      </c>
      <c r="E6872" t="str">
        <f>"8K"</f>
        <v>8K</v>
      </c>
      <c r="F6872" t="str">
        <f t="shared" si="1523"/>
        <v>104</v>
      </c>
      <c r="G6872">
        <v>9</v>
      </c>
      <c r="H6872" t="str">
        <f t="shared" si="1528"/>
        <v>99</v>
      </c>
      <c r="I6872" t="str">
        <f t="shared" si="1513"/>
        <v>0</v>
      </c>
      <c r="J6872" t="str">
        <f t="shared" si="1525"/>
        <v>05</v>
      </c>
      <c r="K6872">
        <v>20190614</v>
      </c>
      <c r="L6872" t="str">
        <f t="shared" si="1526"/>
        <v>077204</v>
      </c>
      <c r="M6872" t="str">
        <f t="shared" si="1527"/>
        <v>72730</v>
      </c>
      <c r="N6872" t="s">
        <v>639</v>
      </c>
      <c r="O6872">
        <v>8.36</v>
      </c>
      <c r="P6872">
        <v>20190613</v>
      </c>
      <c r="Q6872" t="s">
        <v>2326</v>
      </c>
      <c r="R6872" t="s">
        <v>2325</v>
      </c>
      <c r="S6872" t="s">
        <v>1615</v>
      </c>
      <c r="T6872" t="s">
        <v>46</v>
      </c>
    </row>
    <row r="6873" spans="1:20" x14ac:dyDescent="0.25">
      <c r="A6873">
        <v>9</v>
      </c>
      <c r="B6873">
        <v>199</v>
      </c>
      <c r="C6873" t="str">
        <f>"23"</f>
        <v>23</v>
      </c>
      <c r="D6873">
        <v>6399</v>
      </c>
      <c r="E6873" t="str">
        <f>"8K"</f>
        <v>8K</v>
      </c>
      <c r="F6873" t="str">
        <f t="shared" si="1523"/>
        <v>104</v>
      </c>
      <c r="G6873">
        <v>9</v>
      </c>
      <c r="H6873" t="str">
        <f t="shared" si="1528"/>
        <v>99</v>
      </c>
      <c r="I6873" t="str">
        <f t="shared" si="1513"/>
        <v>0</v>
      </c>
      <c r="J6873" t="str">
        <f t="shared" si="1525"/>
        <v>05</v>
      </c>
      <c r="K6873">
        <v>20190614</v>
      </c>
      <c r="L6873" t="str">
        <f t="shared" si="1526"/>
        <v>077204</v>
      </c>
      <c r="M6873" t="str">
        <f t="shared" si="1527"/>
        <v>72730</v>
      </c>
      <c r="N6873" t="s">
        <v>639</v>
      </c>
      <c r="O6873">
        <v>11.94</v>
      </c>
      <c r="P6873">
        <v>20190613</v>
      </c>
      <c r="Q6873" t="s">
        <v>2326</v>
      </c>
      <c r="R6873" t="s">
        <v>2325</v>
      </c>
      <c r="S6873" t="s">
        <v>1615</v>
      </c>
      <c r="T6873" t="s">
        <v>46</v>
      </c>
    </row>
    <row r="6874" spans="1:20" x14ac:dyDescent="0.25">
      <c r="A6874">
        <v>9</v>
      </c>
      <c r="B6874">
        <v>199</v>
      </c>
      <c r="C6874" t="str">
        <f>"31"</f>
        <v>31</v>
      </c>
      <c r="D6874">
        <v>6399</v>
      </c>
      <c r="E6874" t="str">
        <f>"7F"</f>
        <v>7F</v>
      </c>
      <c r="F6874" t="str">
        <f>"101"</f>
        <v>101</v>
      </c>
      <c r="G6874">
        <v>9</v>
      </c>
      <c r="H6874" t="str">
        <f t="shared" si="1528"/>
        <v>99</v>
      </c>
      <c r="I6874" t="str">
        <f t="shared" si="1513"/>
        <v>0</v>
      </c>
      <c r="J6874" t="str">
        <f>"04"</f>
        <v>04</v>
      </c>
      <c r="K6874">
        <v>20190614</v>
      </c>
      <c r="L6874" t="str">
        <f t="shared" si="1526"/>
        <v>077204</v>
      </c>
      <c r="M6874" t="str">
        <f t="shared" si="1527"/>
        <v>72730</v>
      </c>
      <c r="N6874" t="s">
        <v>639</v>
      </c>
      <c r="O6874">
        <v>158.51</v>
      </c>
      <c r="P6874">
        <v>20190613</v>
      </c>
      <c r="Q6874" t="s">
        <v>5186</v>
      </c>
      <c r="R6874" t="s">
        <v>5457</v>
      </c>
      <c r="S6874" t="s">
        <v>1615</v>
      </c>
      <c r="T6874" t="s">
        <v>1479</v>
      </c>
    </row>
    <row r="6875" spans="1:20" x14ac:dyDescent="0.25">
      <c r="A6875">
        <v>9</v>
      </c>
      <c r="B6875">
        <v>199</v>
      </c>
      <c r="C6875" t="str">
        <f>"31"</f>
        <v>31</v>
      </c>
      <c r="D6875">
        <v>6399</v>
      </c>
      <c r="E6875" t="str">
        <f>"7F"</f>
        <v>7F</v>
      </c>
      <c r="F6875" t="str">
        <f>"101"</f>
        <v>101</v>
      </c>
      <c r="G6875">
        <v>9</v>
      </c>
      <c r="H6875" t="str">
        <f t="shared" si="1528"/>
        <v>99</v>
      </c>
      <c r="I6875" t="str">
        <f t="shared" si="1513"/>
        <v>0</v>
      </c>
      <c r="J6875" t="str">
        <f>"04"</f>
        <v>04</v>
      </c>
      <c r="K6875">
        <v>20190614</v>
      </c>
      <c r="L6875" t="str">
        <f t="shared" si="1526"/>
        <v>077204</v>
      </c>
      <c r="M6875" t="str">
        <f t="shared" si="1527"/>
        <v>72730</v>
      </c>
      <c r="N6875" t="s">
        <v>639</v>
      </c>
      <c r="O6875">
        <v>20.49</v>
      </c>
      <c r="P6875">
        <v>20190613</v>
      </c>
      <c r="Q6875" t="s">
        <v>5186</v>
      </c>
      <c r="R6875" t="s">
        <v>5458</v>
      </c>
      <c r="S6875" t="s">
        <v>1615</v>
      </c>
      <c r="T6875" t="s">
        <v>1479</v>
      </c>
    </row>
    <row r="6876" spans="1:20" x14ac:dyDescent="0.25">
      <c r="A6876">
        <v>9</v>
      </c>
      <c r="B6876">
        <v>199</v>
      </c>
      <c r="C6876" t="str">
        <f>"41"</f>
        <v>41</v>
      </c>
      <c r="D6876">
        <v>6498</v>
      </c>
      <c r="E6876" t="str">
        <f>"10"</f>
        <v>10</v>
      </c>
      <c r="F6876" t="str">
        <f>"701"</f>
        <v>701</v>
      </c>
      <c r="G6876">
        <v>9</v>
      </c>
      <c r="H6876" t="str">
        <f t="shared" si="1528"/>
        <v>99</v>
      </c>
      <c r="I6876" t="str">
        <f t="shared" si="1513"/>
        <v>0</v>
      </c>
      <c r="J6876" t="str">
        <f>"92"</f>
        <v>92</v>
      </c>
      <c r="K6876">
        <v>20190614</v>
      </c>
      <c r="L6876" t="str">
        <f>"077205"</f>
        <v>077205</v>
      </c>
      <c r="M6876" t="str">
        <f>"00539"</f>
        <v>00539</v>
      </c>
      <c r="N6876" t="s">
        <v>2332</v>
      </c>
      <c r="O6876">
        <v>46.25</v>
      </c>
      <c r="P6876">
        <v>20190613</v>
      </c>
      <c r="Q6876" t="s">
        <v>2202</v>
      </c>
      <c r="R6876" t="s">
        <v>5459</v>
      </c>
      <c r="S6876" t="s">
        <v>1615</v>
      </c>
      <c r="T6876" t="s">
        <v>1841</v>
      </c>
    </row>
    <row r="6877" spans="1:20" x14ac:dyDescent="0.25">
      <c r="A6877">
        <v>9</v>
      </c>
      <c r="B6877">
        <v>199</v>
      </c>
      <c r="C6877" t="str">
        <f>"11"</f>
        <v>11</v>
      </c>
      <c r="D6877">
        <v>6339</v>
      </c>
      <c r="E6877" t="str">
        <f>"V8"</f>
        <v>V8</v>
      </c>
      <c r="F6877" t="str">
        <f>"001"</f>
        <v>001</v>
      </c>
      <c r="G6877">
        <v>9</v>
      </c>
      <c r="H6877" t="str">
        <f>"22"</f>
        <v>22</v>
      </c>
      <c r="I6877" t="str">
        <f t="shared" si="1513"/>
        <v>0</v>
      </c>
      <c r="J6877" t="str">
        <f>"22"</f>
        <v>22</v>
      </c>
      <c r="K6877">
        <v>20190614</v>
      </c>
      <c r="L6877" t="str">
        <f>"077208"</f>
        <v>077208</v>
      </c>
      <c r="M6877" t="str">
        <f>"79427"</f>
        <v>79427</v>
      </c>
      <c r="N6877" t="s">
        <v>4783</v>
      </c>
      <c r="O6877">
        <v>120</v>
      </c>
      <c r="P6877">
        <v>20190613</v>
      </c>
      <c r="Q6877" t="s">
        <v>3517</v>
      </c>
      <c r="R6877" t="s">
        <v>5460</v>
      </c>
      <c r="S6877" t="s">
        <v>1615</v>
      </c>
      <c r="T6877" t="s">
        <v>301</v>
      </c>
    </row>
    <row r="6878" spans="1:20" x14ac:dyDescent="0.25">
      <c r="A6878">
        <v>9</v>
      </c>
      <c r="B6878">
        <v>199</v>
      </c>
      <c r="C6878" t="str">
        <f>"11"</f>
        <v>11</v>
      </c>
      <c r="D6878">
        <v>6399</v>
      </c>
      <c r="E6878" t="str">
        <f>"V8"</f>
        <v>V8</v>
      </c>
      <c r="F6878" t="str">
        <f>"001"</f>
        <v>001</v>
      </c>
      <c r="G6878">
        <v>9</v>
      </c>
      <c r="H6878" t="str">
        <f>"22"</f>
        <v>22</v>
      </c>
      <c r="I6878" t="str">
        <f t="shared" si="1513"/>
        <v>0</v>
      </c>
      <c r="J6878" t="str">
        <f>"22"</f>
        <v>22</v>
      </c>
      <c r="K6878">
        <v>20190614</v>
      </c>
      <c r="L6878" t="str">
        <f>"077209"</f>
        <v>077209</v>
      </c>
      <c r="M6878" t="str">
        <f>"80500"</f>
        <v>80500</v>
      </c>
      <c r="N6878" t="s">
        <v>2340</v>
      </c>
      <c r="O6878">
        <v>508.88</v>
      </c>
      <c r="P6878">
        <v>20190613</v>
      </c>
      <c r="Q6878" t="s">
        <v>2001</v>
      </c>
      <c r="R6878" t="s">
        <v>2443</v>
      </c>
      <c r="S6878" t="s">
        <v>1615</v>
      </c>
      <c r="T6878" t="s">
        <v>301</v>
      </c>
    </row>
    <row r="6879" spans="1:20" x14ac:dyDescent="0.25">
      <c r="A6879">
        <v>9</v>
      </c>
      <c r="B6879">
        <v>199</v>
      </c>
      <c r="C6879" t="str">
        <f>"13"</f>
        <v>13</v>
      </c>
      <c r="D6879">
        <v>6411</v>
      </c>
      <c r="E6879" t="str">
        <f>"PD"</f>
        <v>PD</v>
      </c>
      <c r="F6879" t="str">
        <f>"001"</f>
        <v>001</v>
      </c>
      <c r="G6879">
        <v>9</v>
      </c>
      <c r="H6879" t="str">
        <f>"31"</f>
        <v>31</v>
      </c>
      <c r="I6879" t="str">
        <f t="shared" si="1513"/>
        <v>0</v>
      </c>
      <c r="J6879" t="str">
        <f>"34"</f>
        <v>34</v>
      </c>
      <c r="K6879">
        <v>20190614</v>
      </c>
      <c r="L6879" t="str">
        <f>"077210"</f>
        <v>077210</v>
      </c>
      <c r="M6879" t="str">
        <f>"82166"</f>
        <v>82166</v>
      </c>
      <c r="N6879" t="s">
        <v>1286</v>
      </c>
      <c r="O6879" s="1">
        <v>2670</v>
      </c>
      <c r="P6879">
        <v>20190613</v>
      </c>
      <c r="Q6879" t="s">
        <v>2220</v>
      </c>
      <c r="R6879" t="s">
        <v>5461</v>
      </c>
      <c r="S6879" t="s">
        <v>1615</v>
      </c>
      <c r="T6879" t="s">
        <v>301</v>
      </c>
    </row>
    <row r="6880" spans="1:20" x14ac:dyDescent="0.25">
      <c r="A6880">
        <v>9</v>
      </c>
      <c r="B6880">
        <v>199</v>
      </c>
      <c r="C6880" t="str">
        <f>"36"</f>
        <v>36</v>
      </c>
      <c r="D6880">
        <v>6412</v>
      </c>
      <c r="E6880" t="str">
        <f>"7B"</f>
        <v>7B</v>
      </c>
      <c r="F6880" t="str">
        <f>"001"</f>
        <v>001</v>
      </c>
      <c r="G6880">
        <v>9</v>
      </c>
      <c r="H6880" t="str">
        <f>"99"</f>
        <v>99</v>
      </c>
      <c r="I6880" t="str">
        <f>"1"</f>
        <v>1</v>
      </c>
      <c r="J6880" t="str">
        <f>"32"</f>
        <v>32</v>
      </c>
      <c r="K6880">
        <v>20190614</v>
      </c>
      <c r="L6880" t="str">
        <f>"077211"</f>
        <v>077211</v>
      </c>
      <c r="M6880" t="str">
        <f>"57702"</f>
        <v>57702</v>
      </c>
      <c r="N6880" t="s">
        <v>5462</v>
      </c>
      <c r="O6880">
        <v>56.58</v>
      </c>
      <c r="P6880">
        <v>20190613</v>
      </c>
      <c r="Q6880" t="s">
        <v>1696</v>
      </c>
      <c r="R6880" t="s">
        <v>5463</v>
      </c>
      <c r="S6880" t="s">
        <v>1615</v>
      </c>
      <c r="T6880" t="s">
        <v>301</v>
      </c>
    </row>
    <row r="6881" spans="1:20" x14ac:dyDescent="0.25">
      <c r="A6881">
        <v>9</v>
      </c>
      <c r="B6881">
        <v>199</v>
      </c>
      <c r="C6881" t="str">
        <f>"23"</f>
        <v>23</v>
      </c>
      <c r="D6881">
        <v>6299</v>
      </c>
      <c r="E6881" t="str">
        <f>"10"</f>
        <v>10</v>
      </c>
      <c r="F6881" t="str">
        <f>"001"</f>
        <v>001</v>
      </c>
      <c r="G6881">
        <v>9</v>
      </c>
      <c r="H6881" t="str">
        <f>"99"</f>
        <v>99</v>
      </c>
      <c r="I6881" t="str">
        <f>"0"</f>
        <v>0</v>
      </c>
      <c r="J6881" t="str">
        <f>"01"</f>
        <v>01</v>
      </c>
      <c r="K6881">
        <v>20190614</v>
      </c>
      <c r="L6881" t="str">
        <f>"077213"</f>
        <v>077213</v>
      </c>
      <c r="M6881" t="str">
        <f>"84323"</f>
        <v>84323</v>
      </c>
      <c r="N6881" t="s">
        <v>5464</v>
      </c>
      <c r="O6881">
        <v>150</v>
      </c>
      <c r="P6881">
        <v>20190613</v>
      </c>
      <c r="Q6881" t="s">
        <v>5171</v>
      </c>
      <c r="R6881" t="s">
        <v>3498</v>
      </c>
      <c r="S6881" t="s">
        <v>1615</v>
      </c>
      <c r="T6881" t="s">
        <v>301</v>
      </c>
    </row>
    <row r="6882" spans="1:20" x14ac:dyDescent="0.25">
      <c r="A6882">
        <v>9</v>
      </c>
      <c r="B6882">
        <v>199</v>
      </c>
      <c r="C6882" t="str">
        <f t="shared" ref="C6882:C6910" si="1529">"11"</f>
        <v>11</v>
      </c>
      <c r="D6882">
        <v>6649</v>
      </c>
      <c r="E6882" t="str">
        <f>"7M"</f>
        <v>7M</v>
      </c>
      <c r="F6882" t="str">
        <f>"041"</f>
        <v>041</v>
      </c>
      <c r="G6882">
        <v>9</v>
      </c>
      <c r="H6882" t="str">
        <f>"11"</f>
        <v>11</v>
      </c>
      <c r="I6882" t="str">
        <f>"1"</f>
        <v>1</v>
      </c>
      <c r="J6882" t="str">
        <f>"36"</f>
        <v>36</v>
      </c>
      <c r="K6882">
        <v>20190614</v>
      </c>
      <c r="L6882" t="str">
        <f>"077214"</f>
        <v>077214</v>
      </c>
      <c r="M6882" t="str">
        <f>"00537"</f>
        <v>00537</v>
      </c>
      <c r="N6882" t="s">
        <v>5465</v>
      </c>
      <c r="O6882">
        <v>535.9</v>
      </c>
      <c r="P6882">
        <v>20190613</v>
      </c>
      <c r="Q6882" t="s">
        <v>4401</v>
      </c>
      <c r="R6882" t="s">
        <v>5466</v>
      </c>
      <c r="S6882" t="s">
        <v>1615</v>
      </c>
      <c r="T6882" t="s">
        <v>106</v>
      </c>
    </row>
    <row r="6883" spans="1:20" x14ac:dyDescent="0.25">
      <c r="A6883">
        <v>9</v>
      </c>
      <c r="B6883">
        <v>199</v>
      </c>
      <c r="C6883" t="str">
        <f t="shared" si="1529"/>
        <v>11</v>
      </c>
      <c r="D6883">
        <v>6649</v>
      </c>
      <c r="E6883" t="str">
        <f>"7M"</f>
        <v>7M</v>
      </c>
      <c r="F6883" t="str">
        <f>"041"</f>
        <v>041</v>
      </c>
      <c r="G6883">
        <v>9</v>
      </c>
      <c r="H6883" t="str">
        <f>"11"</f>
        <v>11</v>
      </c>
      <c r="I6883" t="str">
        <f>"1"</f>
        <v>1</v>
      </c>
      <c r="J6883" t="str">
        <f>"36"</f>
        <v>36</v>
      </c>
      <c r="K6883">
        <v>20190614</v>
      </c>
      <c r="L6883" t="str">
        <f>"077214"</f>
        <v>077214</v>
      </c>
      <c r="M6883" t="str">
        <f>"00537"</f>
        <v>00537</v>
      </c>
      <c r="N6883" t="s">
        <v>5465</v>
      </c>
      <c r="O6883" s="1">
        <v>16395</v>
      </c>
      <c r="P6883">
        <v>20190613</v>
      </c>
      <c r="Q6883" t="s">
        <v>4401</v>
      </c>
      <c r="R6883" t="s">
        <v>5467</v>
      </c>
      <c r="S6883" t="s">
        <v>1615</v>
      </c>
      <c r="T6883" t="s">
        <v>106</v>
      </c>
    </row>
    <row r="6884" spans="1:20" x14ac:dyDescent="0.25">
      <c r="A6884">
        <v>9</v>
      </c>
      <c r="B6884">
        <v>199</v>
      </c>
      <c r="C6884" t="str">
        <f t="shared" si="1529"/>
        <v>11</v>
      </c>
      <c r="D6884">
        <v>6249</v>
      </c>
      <c r="E6884" t="str">
        <f>"V8"</f>
        <v>V8</v>
      </c>
      <c r="F6884" t="str">
        <f t="shared" ref="F6884:F6894" si="1530">"001"</f>
        <v>001</v>
      </c>
      <c r="G6884">
        <v>9</v>
      </c>
      <c r="H6884" t="str">
        <f>"22"</f>
        <v>22</v>
      </c>
      <c r="I6884" t="str">
        <f t="shared" ref="I6884:I6915" si="1531">"0"</f>
        <v>0</v>
      </c>
      <c r="J6884" t="str">
        <f>"22"</f>
        <v>22</v>
      </c>
      <c r="K6884">
        <v>20190621</v>
      </c>
      <c r="L6884" t="str">
        <f>"077216"</f>
        <v>077216</v>
      </c>
      <c r="M6884" t="str">
        <f>"02230"</f>
        <v>02230</v>
      </c>
      <c r="N6884" t="s">
        <v>1673</v>
      </c>
      <c r="O6884">
        <v>255.23</v>
      </c>
      <c r="P6884">
        <v>20190619</v>
      </c>
      <c r="Q6884" t="s">
        <v>4029</v>
      </c>
      <c r="R6884" t="s">
        <v>5468</v>
      </c>
      <c r="S6884" t="s">
        <v>1615</v>
      </c>
      <c r="T6884" t="s">
        <v>301</v>
      </c>
    </row>
    <row r="6885" spans="1:20" x14ac:dyDescent="0.25">
      <c r="A6885">
        <v>9</v>
      </c>
      <c r="B6885">
        <v>199</v>
      </c>
      <c r="C6885" t="str">
        <f t="shared" si="1529"/>
        <v>11</v>
      </c>
      <c r="D6885">
        <v>6269</v>
      </c>
      <c r="E6885" t="str">
        <f>"V8"</f>
        <v>V8</v>
      </c>
      <c r="F6885" t="str">
        <f t="shared" si="1530"/>
        <v>001</v>
      </c>
      <c r="G6885">
        <v>9</v>
      </c>
      <c r="H6885" t="str">
        <f>"22"</f>
        <v>22</v>
      </c>
      <c r="I6885" t="str">
        <f t="shared" si="1531"/>
        <v>0</v>
      </c>
      <c r="J6885" t="str">
        <f>"22"</f>
        <v>22</v>
      </c>
      <c r="K6885">
        <v>20190621</v>
      </c>
      <c r="L6885" t="str">
        <f>"077216"</f>
        <v>077216</v>
      </c>
      <c r="M6885" t="str">
        <f>"02230"</f>
        <v>02230</v>
      </c>
      <c r="N6885" t="s">
        <v>1673</v>
      </c>
      <c r="O6885">
        <v>88.37</v>
      </c>
      <c r="P6885">
        <v>20190619</v>
      </c>
      <c r="Q6885" t="s">
        <v>2154</v>
      </c>
      <c r="R6885" t="s">
        <v>4844</v>
      </c>
      <c r="S6885" t="s">
        <v>1615</v>
      </c>
      <c r="T6885" t="s">
        <v>301</v>
      </c>
    </row>
    <row r="6886" spans="1:20" x14ac:dyDescent="0.25">
      <c r="A6886">
        <v>9</v>
      </c>
      <c r="B6886">
        <v>199</v>
      </c>
      <c r="C6886" t="str">
        <f t="shared" si="1529"/>
        <v>11</v>
      </c>
      <c r="D6886">
        <v>6399</v>
      </c>
      <c r="E6886" t="str">
        <f t="shared" ref="E6886:E6896" si="1532">"10"</f>
        <v>10</v>
      </c>
      <c r="F6886" t="str">
        <f t="shared" si="1530"/>
        <v>001</v>
      </c>
      <c r="G6886">
        <v>9</v>
      </c>
      <c r="H6886" t="str">
        <f t="shared" ref="H6886:H6902" si="1533">"11"</f>
        <v>11</v>
      </c>
      <c r="I6886" t="str">
        <f t="shared" si="1531"/>
        <v>0</v>
      </c>
      <c r="J6886" t="str">
        <f>"01"</f>
        <v>01</v>
      </c>
      <c r="K6886">
        <v>20190621</v>
      </c>
      <c r="L6886" t="str">
        <f t="shared" ref="L6886:L6929" si="1534">"077217"</f>
        <v>077217</v>
      </c>
      <c r="M6886" t="str">
        <f t="shared" ref="M6886:M6929" si="1535">"04410"</f>
        <v>04410</v>
      </c>
      <c r="N6886" t="s">
        <v>410</v>
      </c>
      <c r="O6886">
        <v>115.32</v>
      </c>
      <c r="P6886">
        <v>20190619</v>
      </c>
      <c r="Q6886" t="s">
        <v>1675</v>
      </c>
      <c r="R6886" t="s">
        <v>4354</v>
      </c>
      <c r="S6886" t="s">
        <v>1615</v>
      </c>
      <c r="T6886" t="s">
        <v>301</v>
      </c>
    </row>
    <row r="6887" spans="1:20" x14ac:dyDescent="0.25">
      <c r="A6887">
        <v>9</v>
      </c>
      <c r="B6887">
        <v>199</v>
      </c>
      <c r="C6887" t="str">
        <f t="shared" si="1529"/>
        <v>11</v>
      </c>
      <c r="D6887">
        <v>6399</v>
      </c>
      <c r="E6887" t="str">
        <f t="shared" si="1532"/>
        <v>10</v>
      </c>
      <c r="F6887" t="str">
        <f t="shared" si="1530"/>
        <v>001</v>
      </c>
      <c r="G6887">
        <v>9</v>
      </c>
      <c r="H6887" t="str">
        <f t="shared" si="1533"/>
        <v>11</v>
      </c>
      <c r="I6887" t="str">
        <f t="shared" si="1531"/>
        <v>0</v>
      </c>
      <c r="J6887" t="str">
        <f>"01"</f>
        <v>01</v>
      </c>
      <c r="K6887">
        <v>20190621</v>
      </c>
      <c r="L6887" t="str">
        <f t="shared" si="1534"/>
        <v>077217</v>
      </c>
      <c r="M6887" t="str">
        <f t="shared" si="1535"/>
        <v>04410</v>
      </c>
      <c r="N6887" t="s">
        <v>410</v>
      </c>
      <c r="O6887">
        <v>385.44</v>
      </c>
      <c r="P6887">
        <v>20190619</v>
      </c>
      <c r="Q6887" t="s">
        <v>1675</v>
      </c>
      <c r="R6887" t="s">
        <v>2793</v>
      </c>
      <c r="S6887" t="s">
        <v>1615</v>
      </c>
      <c r="T6887" t="s">
        <v>301</v>
      </c>
    </row>
    <row r="6888" spans="1:20" x14ac:dyDescent="0.25">
      <c r="A6888">
        <v>9</v>
      </c>
      <c r="B6888">
        <v>199</v>
      </c>
      <c r="C6888" t="str">
        <f t="shared" si="1529"/>
        <v>11</v>
      </c>
      <c r="D6888">
        <v>6399</v>
      </c>
      <c r="E6888" t="str">
        <f t="shared" si="1532"/>
        <v>10</v>
      </c>
      <c r="F6888" t="str">
        <f t="shared" si="1530"/>
        <v>001</v>
      </c>
      <c r="G6888">
        <v>9</v>
      </c>
      <c r="H6888" t="str">
        <f t="shared" si="1533"/>
        <v>11</v>
      </c>
      <c r="I6888" t="str">
        <f t="shared" si="1531"/>
        <v>0</v>
      </c>
      <c r="J6888" t="str">
        <f>"01"</f>
        <v>01</v>
      </c>
      <c r="K6888">
        <v>20190621</v>
      </c>
      <c r="L6888" t="str">
        <f t="shared" si="1534"/>
        <v>077217</v>
      </c>
      <c r="M6888" t="str">
        <f t="shared" si="1535"/>
        <v>04410</v>
      </c>
      <c r="N6888" t="s">
        <v>410</v>
      </c>
      <c r="O6888">
        <v>213.85</v>
      </c>
      <c r="P6888">
        <v>20190619</v>
      </c>
      <c r="Q6888" t="s">
        <v>1675</v>
      </c>
      <c r="R6888" t="s">
        <v>2793</v>
      </c>
      <c r="S6888" t="s">
        <v>1615</v>
      </c>
      <c r="T6888" t="s">
        <v>301</v>
      </c>
    </row>
    <row r="6889" spans="1:20" x14ac:dyDescent="0.25">
      <c r="A6889">
        <v>9</v>
      </c>
      <c r="B6889">
        <v>199</v>
      </c>
      <c r="C6889" t="str">
        <f t="shared" si="1529"/>
        <v>11</v>
      </c>
      <c r="D6889">
        <v>6399</v>
      </c>
      <c r="E6889" t="str">
        <f t="shared" si="1532"/>
        <v>10</v>
      </c>
      <c r="F6889" t="str">
        <f t="shared" si="1530"/>
        <v>001</v>
      </c>
      <c r="G6889">
        <v>9</v>
      </c>
      <c r="H6889" t="str">
        <f t="shared" si="1533"/>
        <v>11</v>
      </c>
      <c r="I6889" t="str">
        <f t="shared" si="1531"/>
        <v>0</v>
      </c>
      <c r="J6889" t="str">
        <f>"01"</f>
        <v>01</v>
      </c>
      <c r="K6889">
        <v>20190621</v>
      </c>
      <c r="L6889" t="str">
        <f t="shared" si="1534"/>
        <v>077217</v>
      </c>
      <c r="M6889" t="str">
        <f t="shared" si="1535"/>
        <v>04410</v>
      </c>
      <c r="N6889" t="s">
        <v>410</v>
      </c>
      <c r="O6889">
        <v>571.01</v>
      </c>
      <c r="P6889">
        <v>20190619</v>
      </c>
      <c r="Q6889" t="s">
        <v>1675</v>
      </c>
      <c r="R6889" t="s">
        <v>2793</v>
      </c>
      <c r="S6889" t="s">
        <v>1615</v>
      </c>
      <c r="T6889" t="s">
        <v>301</v>
      </c>
    </row>
    <row r="6890" spans="1:20" x14ac:dyDescent="0.25">
      <c r="A6890">
        <v>9</v>
      </c>
      <c r="B6890">
        <v>199</v>
      </c>
      <c r="C6890" t="str">
        <f t="shared" si="1529"/>
        <v>11</v>
      </c>
      <c r="D6890">
        <v>6399</v>
      </c>
      <c r="E6890" t="str">
        <f t="shared" si="1532"/>
        <v>10</v>
      </c>
      <c r="F6890" t="str">
        <f t="shared" si="1530"/>
        <v>001</v>
      </c>
      <c r="G6890">
        <v>9</v>
      </c>
      <c r="H6890" t="str">
        <f t="shared" si="1533"/>
        <v>11</v>
      </c>
      <c r="I6890" t="str">
        <f t="shared" si="1531"/>
        <v>0</v>
      </c>
      <c r="J6890" t="str">
        <f>"01"</f>
        <v>01</v>
      </c>
      <c r="K6890">
        <v>20190621</v>
      </c>
      <c r="L6890" t="str">
        <f t="shared" si="1534"/>
        <v>077217</v>
      </c>
      <c r="M6890" t="str">
        <f t="shared" si="1535"/>
        <v>04410</v>
      </c>
      <c r="N6890" t="s">
        <v>410</v>
      </c>
      <c r="O6890">
        <v>254.99</v>
      </c>
      <c r="P6890">
        <v>20190619</v>
      </c>
      <c r="Q6890" t="s">
        <v>1675</v>
      </c>
      <c r="R6890" t="s">
        <v>5469</v>
      </c>
      <c r="S6890" t="s">
        <v>1615</v>
      </c>
      <c r="T6890" t="s">
        <v>301</v>
      </c>
    </row>
    <row r="6891" spans="1:20" x14ac:dyDescent="0.25">
      <c r="A6891">
        <v>9</v>
      </c>
      <c r="B6891">
        <v>199</v>
      </c>
      <c r="C6891" t="str">
        <f t="shared" si="1529"/>
        <v>11</v>
      </c>
      <c r="D6891">
        <v>6399</v>
      </c>
      <c r="E6891" t="str">
        <f t="shared" si="1532"/>
        <v>10</v>
      </c>
      <c r="F6891" t="str">
        <f t="shared" si="1530"/>
        <v>001</v>
      </c>
      <c r="G6891">
        <v>9</v>
      </c>
      <c r="H6891" t="str">
        <f t="shared" si="1533"/>
        <v>11</v>
      </c>
      <c r="I6891" t="str">
        <f t="shared" si="1531"/>
        <v>0</v>
      </c>
      <c r="J6891" t="str">
        <f>"80"</f>
        <v>80</v>
      </c>
      <c r="K6891">
        <v>20190621</v>
      </c>
      <c r="L6891" t="str">
        <f t="shared" si="1534"/>
        <v>077217</v>
      </c>
      <c r="M6891" t="str">
        <f t="shared" si="1535"/>
        <v>04410</v>
      </c>
      <c r="N6891" t="s">
        <v>410</v>
      </c>
      <c r="O6891" s="1">
        <v>1635.3</v>
      </c>
      <c r="P6891">
        <v>20190619</v>
      </c>
      <c r="Q6891" t="s">
        <v>2958</v>
      </c>
      <c r="R6891" t="s">
        <v>1993</v>
      </c>
      <c r="S6891" t="s">
        <v>1615</v>
      </c>
      <c r="T6891" t="s">
        <v>301</v>
      </c>
    </row>
    <row r="6892" spans="1:20" x14ac:dyDescent="0.25">
      <c r="A6892">
        <v>9</v>
      </c>
      <c r="B6892">
        <v>199</v>
      </c>
      <c r="C6892" t="str">
        <f t="shared" si="1529"/>
        <v>11</v>
      </c>
      <c r="D6892">
        <v>6399</v>
      </c>
      <c r="E6892" t="str">
        <f t="shared" si="1532"/>
        <v>10</v>
      </c>
      <c r="F6892" t="str">
        <f t="shared" si="1530"/>
        <v>001</v>
      </c>
      <c r="G6892">
        <v>9</v>
      </c>
      <c r="H6892" t="str">
        <f t="shared" si="1533"/>
        <v>11</v>
      </c>
      <c r="I6892" t="str">
        <f t="shared" si="1531"/>
        <v>0</v>
      </c>
      <c r="J6892" t="str">
        <f>"80"</f>
        <v>80</v>
      </c>
      <c r="K6892">
        <v>20190621</v>
      </c>
      <c r="L6892" t="str">
        <f t="shared" si="1534"/>
        <v>077217</v>
      </c>
      <c r="M6892" t="str">
        <f t="shared" si="1535"/>
        <v>04410</v>
      </c>
      <c r="N6892" t="s">
        <v>410</v>
      </c>
      <c r="O6892">
        <v>513.20000000000005</v>
      </c>
      <c r="P6892">
        <v>20190619</v>
      </c>
      <c r="Q6892" t="s">
        <v>2958</v>
      </c>
      <c r="R6892" t="s">
        <v>5470</v>
      </c>
      <c r="S6892" t="s">
        <v>1615</v>
      </c>
      <c r="T6892" t="s">
        <v>301</v>
      </c>
    </row>
    <row r="6893" spans="1:20" x14ac:dyDescent="0.25">
      <c r="A6893">
        <v>9</v>
      </c>
      <c r="B6893">
        <v>199</v>
      </c>
      <c r="C6893" t="str">
        <f t="shared" si="1529"/>
        <v>11</v>
      </c>
      <c r="D6893">
        <v>6399</v>
      </c>
      <c r="E6893" t="str">
        <f t="shared" si="1532"/>
        <v>10</v>
      </c>
      <c r="F6893" t="str">
        <f t="shared" si="1530"/>
        <v>001</v>
      </c>
      <c r="G6893">
        <v>9</v>
      </c>
      <c r="H6893" t="str">
        <f t="shared" si="1533"/>
        <v>11</v>
      </c>
      <c r="I6893" t="str">
        <f t="shared" si="1531"/>
        <v>0</v>
      </c>
      <c r="J6893" t="str">
        <f>"80"</f>
        <v>80</v>
      </c>
      <c r="K6893">
        <v>20190621</v>
      </c>
      <c r="L6893" t="str">
        <f t="shared" si="1534"/>
        <v>077217</v>
      </c>
      <c r="M6893" t="str">
        <f t="shared" si="1535"/>
        <v>04410</v>
      </c>
      <c r="N6893" t="s">
        <v>410</v>
      </c>
      <c r="O6893">
        <v>23.79</v>
      </c>
      <c r="P6893">
        <v>20190619</v>
      </c>
      <c r="Q6893" t="s">
        <v>2958</v>
      </c>
      <c r="R6893" t="s">
        <v>5471</v>
      </c>
      <c r="S6893" t="s">
        <v>1615</v>
      </c>
      <c r="T6893" t="s">
        <v>301</v>
      </c>
    </row>
    <row r="6894" spans="1:20" x14ac:dyDescent="0.25">
      <c r="A6894">
        <v>9</v>
      </c>
      <c r="B6894">
        <v>199</v>
      </c>
      <c r="C6894" t="str">
        <f t="shared" si="1529"/>
        <v>11</v>
      </c>
      <c r="D6894">
        <v>6399</v>
      </c>
      <c r="E6894" t="str">
        <f t="shared" si="1532"/>
        <v>10</v>
      </c>
      <c r="F6894" t="str">
        <f t="shared" si="1530"/>
        <v>001</v>
      </c>
      <c r="G6894">
        <v>9</v>
      </c>
      <c r="H6894" t="str">
        <f t="shared" si="1533"/>
        <v>11</v>
      </c>
      <c r="I6894" t="str">
        <f t="shared" si="1531"/>
        <v>0</v>
      </c>
      <c r="J6894" t="str">
        <f>"80"</f>
        <v>80</v>
      </c>
      <c r="K6894">
        <v>20190621</v>
      </c>
      <c r="L6894" t="str">
        <f t="shared" si="1534"/>
        <v>077217</v>
      </c>
      <c r="M6894" t="str">
        <f t="shared" si="1535"/>
        <v>04410</v>
      </c>
      <c r="N6894" t="s">
        <v>410</v>
      </c>
      <c r="O6894">
        <v>25.95</v>
      </c>
      <c r="P6894">
        <v>20190619</v>
      </c>
      <c r="Q6894" t="s">
        <v>2958</v>
      </c>
      <c r="R6894" t="s">
        <v>5472</v>
      </c>
      <c r="S6894" t="s">
        <v>1615</v>
      </c>
      <c r="T6894" t="s">
        <v>301</v>
      </c>
    </row>
    <row r="6895" spans="1:20" x14ac:dyDescent="0.25">
      <c r="A6895">
        <v>9</v>
      </c>
      <c r="B6895">
        <v>199</v>
      </c>
      <c r="C6895" t="str">
        <f t="shared" si="1529"/>
        <v>11</v>
      </c>
      <c r="D6895">
        <v>6399</v>
      </c>
      <c r="E6895" t="str">
        <f t="shared" si="1532"/>
        <v>10</v>
      </c>
      <c r="F6895" t="str">
        <f>"002"</f>
        <v>002</v>
      </c>
      <c r="G6895">
        <v>9</v>
      </c>
      <c r="H6895" t="str">
        <f t="shared" si="1533"/>
        <v>11</v>
      </c>
      <c r="I6895" t="str">
        <f t="shared" si="1531"/>
        <v>0</v>
      </c>
      <c r="J6895" t="str">
        <f>"02"</f>
        <v>02</v>
      </c>
      <c r="K6895">
        <v>20190621</v>
      </c>
      <c r="L6895" t="str">
        <f t="shared" si="1534"/>
        <v>077217</v>
      </c>
      <c r="M6895" t="str">
        <f t="shared" si="1535"/>
        <v>04410</v>
      </c>
      <c r="N6895" t="s">
        <v>410</v>
      </c>
      <c r="O6895">
        <v>45.72</v>
      </c>
      <c r="P6895">
        <v>20190619</v>
      </c>
      <c r="Q6895" t="s">
        <v>3208</v>
      </c>
      <c r="R6895" t="s">
        <v>5473</v>
      </c>
      <c r="S6895" t="s">
        <v>1615</v>
      </c>
      <c r="T6895" t="s">
        <v>1485</v>
      </c>
    </row>
    <row r="6896" spans="1:20" x14ac:dyDescent="0.25">
      <c r="A6896">
        <v>9</v>
      </c>
      <c r="B6896">
        <v>199</v>
      </c>
      <c r="C6896" t="str">
        <f t="shared" si="1529"/>
        <v>11</v>
      </c>
      <c r="D6896">
        <v>6399</v>
      </c>
      <c r="E6896" t="str">
        <f t="shared" si="1532"/>
        <v>10</v>
      </c>
      <c r="F6896" t="str">
        <f>"101"</f>
        <v>101</v>
      </c>
      <c r="G6896">
        <v>9</v>
      </c>
      <c r="H6896" t="str">
        <f t="shared" si="1533"/>
        <v>11</v>
      </c>
      <c r="I6896" t="str">
        <f t="shared" si="1531"/>
        <v>0</v>
      </c>
      <c r="J6896" t="str">
        <f>"80"</f>
        <v>80</v>
      </c>
      <c r="K6896">
        <v>20190621</v>
      </c>
      <c r="L6896" t="str">
        <f t="shared" si="1534"/>
        <v>077217</v>
      </c>
      <c r="M6896" t="str">
        <f t="shared" si="1535"/>
        <v>04410</v>
      </c>
      <c r="N6896" t="s">
        <v>410</v>
      </c>
      <c r="O6896">
        <v>580.1</v>
      </c>
      <c r="P6896">
        <v>20190619</v>
      </c>
      <c r="Q6896" t="s">
        <v>1981</v>
      </c>
      <c r="R6896" t="s">
        <v>1993</v>
      </c>
      <c r="S6896" t="s">
        <v>1615</v>
      </c>
      <c r="T6896" t="s">
        <v>1479</v>
      </c>
    </row>
    <row r="6897" spans="1:20" x14ac:dyDescent="0.25">
      <c r="A6897">
        <v>9</v>
      </c>
      <c r="B6897">
        <v>199</v>
      </c>
      <c r="C6897" t="str">
        <f t="shared" si="1529"/>
        <v>11</v>
      </c>
      <c r="D6897">
        <v>6399</v>
      </c>
      <c r="E6897" t="str">
        <f>"45"</f>
        <v>45</v>
      </c>
      <c r="F6897" t="str">
        <f>"101"</f>
        <v>101</v>
      </c>
      <c r="G6897">
        <v>9</v>
      </c>
      <c r="H6897" t="str">
        <f t="shared" si="1533"/>
        <v>11</v>
      </c>
      <c r="I6897" t="str">
        <f t="shared" si="1531"/>
        <v>0</v>
      </c>
      <c r="J6897" t="str">
        <f>"04"</f>
        <v>04</v>
      </c>
      <c r="K6897">
        <v>20190621</v>
      </c>
      <c r="L6897" t="str">
        <f t="shared" si="1534"/>
        <v>077217</v>
      </c>
      <c r="M6897" t="str">
        <f t="shared" si="1535"/>
        <v>04410</v>
      </c>
      <c r="N6897" t="s">
        <v>410</v>
      </c>
      <c r="O6897">
        <v>152.61000000000001</v>
      </c>
      <c r="P6897">
        <v>20190619</v>
      </c>
      <c r="Q6897" t="s">
        <v>1859</v>
      </c>
      <c r="R6897" t="s">
        <v>641</v>
      </c>
      <c r="S6897" t="s">
        <v>1615</v>
      </c>
      <c r="T6897" t="s">
        <v>1479</v>
      </c>
    </row>
    <row r="6898" spans="1:20" x14ac:dyDescent="0.25">
      <c r="A6898">
        <v>9</v>
      </c>
      <c r="B6898">
        <v>199</v>
      </c>
      <c r="C6898" t="str">
        <f t="shared" si="1529"/>
        <v>11</v>
      </c>
      <c r="D6898">
        <v>6399</v>
      </c>
      <c r="E6898" t="str">
        <f>"45"</f>
        <v>45</v>
      </c>
      <c r="F6898" t="str">
        <f>"104"</f>
        <v>104</v>
      </c>
      <c r="G6898">
        <v>9</v>
      </c>
      <c r="H6898" t="str">
        <f t="shared" si="1533"/>
        <v>11</v>
      </c>
      <c r="I6898" t="str">
        <f t="shared" si="1531"/>
        <v>0</v>
      </c>
      <c r="J6898" t="str">
        <f>"05"</f>
        <v>05</v>
      </c>
      <c r="K6898">
        <v>20190621</v>
      </c>
      <c r="L6898" t="str">
        <f t="shared" si="1534"/>
        <v>077217</v>
      </c>
      <c r="M6898" t="str">
        <f t="shared" si="1535"/>
        <v>04410</v>
      </c>
      <c r="N6898" t="s">
        <v>410</v>
      </c>
      <c r="O6898">
        <v>319.73</v>
      </c>
      <c r="P6898">
        <v>20190619</v>
      </c>
      <c r="Q6898" t="s">
        <v>2069</v>
      </c>
      <c r="R6898" t="s">
        <v>2793</v>
      </c>
      <c r="S6898" t="s">
        <v>1615</v>
      </c>
      <c r="T6898" t="s">
        <v>46</v>
      </c>
    </row>
    <row r="6899" spans="1:20" x14ac:dyDescent="0.25">
      <c r="A6899">
        <v>9</v>
      </c>
      <c r="B6899">
        <v>199</v>
      </c>
      <c r="C6899" t="str">
        <f t="shared" si="1529"/>
        <v>11</v>
      </c>
      <c r="D6899">
        <v>6399</v>
      </c>
      <c r="E6899" t="str">
        <f>"8M"</f>
        <v>8M</v>
      </c>
      <c r="F6899" t="str">
        <f>"001"</f>
        <v>001</v>
      </c>
      <c r="G6899">
        <v>9</v>
      </c>
      <c r="H6899" t="str">
        <f t="shared" si="1533"/>
        <v>11</v>
      </c>
      <c r="I6899" t="str">
        <f t="shared" si="1531"/>
        <v>0</v>
      </c>
      <c r="J6899" t="str">
        <f>"33"</f>
        <v>33</v>
      </c>
      <c r="K6899">
        <v>20190621</v>
      </c>
      <c r="L6899" t="str">
        <f t="shared" si="1534"/>
        <v>077217</v>
      </c>
      <c r="M6899" t="str">
        <f t="shared" si="1535"/>
        <v>04410</v>
      </c>
      <c r="N6899" t="s">
        <v>410</v>
      </c>
      <c r="O6899">
        <v>66.61</v>
      </c>
      <c r="P6899">
        <v>20190619</v>
      </c>
      <c r="Q6899" t="s">
        <v>1928</v>
      </c>
      <c r="R6899" t="s">
        <v>5474</v>
      </c>
      <c r="S6899" t="s">
        <v>1615</v>
      </c>
      <c r="T6899" t="s">
        <v>301</v>
      </c>
    </row>
    <row r="6900" spans="1:20" x14ac:dyDescent="0.25">
      <c r="A6900">
        <v>9</v>
      </c>
      <c r="B6900">
        <v>199</v>
      </c>
      <c r="C6900" t="str">
        <f t="shared" si="1529"/>
        <v>11</v>
      </c>
      <c r="D6900">
        <v>6399</v>
      </c>
      <c r="E6900" t="str">
        <f>"8U"</f>
        <v>8U</v>
      </c>
      <c r="F6900" t="str">
        <f>"041"</f>
        <v>041</v>
      </c>
      <c r="G6900">
        <v>9</v>
      </c>
      <c r="H6900" t="str">
        <f t="shared" si="1533"/>
        <v>11</v>
      </c>
      <c r="I6900" t="str">
        <f t="shared" si="1531"/>
        <v>0</v>
      </c>
      <c r="J6900" t="str">
        <f>"03"</f>
        <v>03</v>
      </c>
      <c r="K6900">
        <v>20190621</v>
      </c>
      <c r="L6900" t="str">
        <f t="shared" si="1534"/>
        <v>077217</v>
      </c>
      <c r="M6900" t="str">
        <f t="shared" si="1535"/>
        <v>04410</v>
      </c>
      <c r="N6900" t="s">
        <v>410</v>
      </c>
      <c r="O6900">
        <v>39.880000000000003</v>
      </c>
      <c r="P6900">
        <v>20190619</v>
      </c>
      <c r="Q6900" t="s">
        <v>2229</v>
      </c>
      <c r="R6900" t="s">
        <v>5475</v>
      </c>
      <c r="S6900" t="s">
        <v>1615</v>
      </c>
      <c r="T6900" t="s">
        <v>106</v>
      </c>
    </row>
    <row r="6901" spans="1:20" x14ac:dyDescent="0.25">
      <c r="A6901">
        <v>9</v>
      </c>
      <c r="B6901">
        <v>199</v>
      </c>
      <c r="C6901" t="str">
        <f t="shared" si="1529"/>
        <v>11</v>
      </c>
      <c r="D6901">
        <v>6399</v>
      </c>
      <c r="E6901" t="str">
        <f>"PK"</f>
        <v>PK</v>
      </c>
      <c r="F6901" t="str">
        <f>"101"</f>
        <v>101</v>
      </c>
      <c r="G6901">
        <v>9</v>
      </c>
      <c r="H6901" t="str">
        <f t="shared" si="1533"/>
        <v>11</v>
      </c>
      <c r="I6901" t="str">
        <f t="shared" si="1531"/>
        <v>0</v>
      </c>
      <c r="J6901" t="str">
        <f>"04"</f>
        <v>04</v>
      </c>
      <c r="K6901">
        <v>20190621</v>
      </c>
      <c r="L6901" t="str">
        <f t="shared" si="1534"/>
        <v>077217</v>
      </c>
      <c r="M6901" t="str">
        <f t="shared" si="1535"/>
        <v>04410</v>
      </c>
      <c r="N6901" t="s">
        <v>410</v>
      </c>
      <c r="O6901">
        <v>132.62</v>
      </c>
      <c r="P6901">
        <v>20190619</v>
      </c>
      <c r="Q6901" t="s">
        <v>2823</v>
      </c>
      <c r="R6901" t="s">
        <v>5476</v>
      </c>
      <c r="S6901" t="s">
        <v>1615</v>
      </c>
      <c r="T6901" t="s">
        <v>1479</v>
      </c>
    </row>
    <row r="6902" spans="1:20" x14ac:dyDescent="0.25">
      <c r="A6902">
        <v>9</v>
      </c>
      <c r="B6902">
        <v>199</v>
      </c>
      <c r="C6902" t="str">
        <f t="shared" si="1529"/>
        <v>11</v>
      </c>
      <c r="D6902">
        <v>6399</v>
      </c>
      <c r="E6902" t="str">
        <f>"R1"</f>
        <v>R1</v>
      </c>
      <c r="F6902" t="str">
        <f>"001"</f>
        <v>001</v>
      </c>
      <c r="G6902">
        <v>9</v>
      </c>
      <c r="H6902" t="str">
        <f t="shared" si="1533"/>
        <v>11</v>
      </c>
      <c r="I6902" t="str">
        <f t="shared" si="1531"/>
        <v>0</v>
      </c>
      <c r="J6902" t="str">
        <f>"01"</f>
        <v>01</v>
      </c>
      <c r="K6902">
        <v>20190621</v>
      </c>
      <c r="L6902" t="str">
        <f t="shared" si="1534"/>
        <v>077217</v>
      </c>
      <c r="M6902" t="str">
        <f t="shared" si="1535"/>
        <v>04410</v>
      </c>
      <c r="N6902" t="s">
        <v>410</v>
      </c>
      <c r="O6902">
        <v>176.74</v>
      </c>
      <c r="P6902">
        <v>20190619</v>
      </c>
      <c r="Q6902" t="s">
        <v>2441</v>
      </c>
      <c r="R6902" t="s">
        <v>5477</v>
      </c>
      <c r="S6902" t="s">
        <v>1615</v>
      </c>
      <c r="T6902" t="s">
        <v>301</v>
      </c>
    </row>
    <row r="6903" spans="1:20" x14ac:dyDescent="0.25">
      <c r="A6903">
        <v>9</v>
      </c>
      <c r="B6903">
        <v>199</v>
      </c>
      <c r="C6903" t="str">
        <f t="shared" si="1529"/>
        <v>11</v>
      </c>
      <c r="D6903">
        <v>6399</v>
      </c>
      <c r="E6903" t="str">
        <f>"V1"</f>
        <v>V1</v>
      </c>
      <c r="F6903" t="str">
        <f>"001"</f>
        <v>001</v>
      </c>
      <c r="G6903">
        <v>9</v>
      </c>
      <c r="H6903" t="str">
        <f t="shared" ref="H6903:H6908" si="1536">"22"</f>
        <v>22</v>
      </c>
      <c r="I6903" t="str">
        <f t="shared" si="1531"/>
        <v>0</v>
      </c>
      <c r="J6903" t="str">
        <f t="shared" ref="J6903:J6908" si="1537">"22"</f>
        <v>22</v>
      </c>
      <c r="K6903">
        <v>20190621</v>
      </c>
      <c r="L6903" t="str">
        <f t="shared" si="1534"/>
        <v>077217</v>
      </c>
      <c r="M6903" t="str">
        <f t="shared" si="1535"/>
        <v>04410</v>
      </c>
      <c r="N6903" t="s">
        <v>410</v>
      </c>
      <c r="O6903">
        <v>555.96</v>
      </c>
      <c r="P6903">
        <v>20190619</v>
      </c>
      <c r="Q6903" t="s">
        <v>5437</v>
      </c>
      <c r="R6903" t="s">
        <v>5478</v>
      </c>
      <c r="S6903" t="s">
        <v>1615</v>
      </c>
      <c r="T6903" t="s">
        <v>301</v>
      </c>
    </row>
    <row r="6904" spans="1:20" x14ac:dyDescent="0.25">
      <c r="A6904">
        <v>9</v>
      </c>
      <c r="B6904">
        <v>199</v>
      </c>
      <c r="C6904" t="str">
        <f t="shared" si="1529"/>
        <v>11</v>
      </c>
      <c r="D6904">
        <v>6399</v>
      </c>
      <c r="E6904" t="str">
        <f>"V8"</f>
        <v>V8</v>
      </c>
      <c r="F6904" t="str">
        <f>"001"</f>
        <v>001</v>
      </c>
      <c r="G6904">
        <v>9</v>
      </c>
      <c r="H6904" t="str">
        <f t="shared" si="1536"/>
        <v>22</v>
      </c>
      <c r="I6904" t="str">
        <f t="shared" si="1531"/>
        <v>0</v>
      </c>
      <c r="J6904" t="str">
        <f t="shared" si="1537"/>
        <v>22</v>
      </c>
      <c r="K6904">
        <v>20190621</v>
      </c>
      <c r="L6904" t="str">
        <f t="shared" si="1534"/>
        <v>077217</v>
      </c>
      <c r="M6904" t="str">
        <f t="shared" si="1535"/>
        <v>04410</v>
      </c>
      <c r="N6904" t="s">
        <v>410</v>
      </c>
      <c r="O6904">
        <v>419.61</v>
      </c>
      <c r="P6904">
        <v>20190619</v>
      </c>
      <c r="Q6904" t="s">
        <v>2001</v>
      </c>
      <c r="R6904" t="s">
        <v>2443</v>
      </c>
      <c r="S6904" t="s">
        <v>1615</v>
      </c>
      <c r="T6904" t="s">
        <v>301</v>
      </c>
    </row>
    <row r="6905" spans="1:20" x14ac:dyDescent="0.25">
      <c r="A6905">
        <v>9</v>
      </c>
      <c r="B6905">
        <v>199</v>
      </c>
      <c r="C6905" t="str">
        <f t="shared" si="1529"/>
        <v>11</v>
      </c>
      <c r="D6905">
        <v>6399</v>
      </c>
      <c r="E6905" t="str">
        <f>"V8"</f>
        <v>V8</v>
      </c>
      <c r="F6905" t="str">
        <f>"001"</f>
        <v>001</v>
      </c>
      <c r="G6905">
        <v>9</v>
      </c>
      <c r="H6905" t="str">
        <f t="shared" si="1536"/>
        <v>22</v>
      </c>
      <c r="I6905" t="str">
        <f t="shared" si="1531"/>
        <v>0</v>
      </c>
      <c r="J6905" t="str">
        <f t="shared" si="1537"/>
        <v>22</v>
      </c>
      <c r="K6905">
        <v>20190621</v>
      </c>
      <c r="L6905" t="str">
        <f t="shared" si="1534"/>
        <v>077217</v>
      </c>
      <c r="M6905" t="str">
        <f t="shared" si="1535"/>
        <v>04410</v>
      </c>
      <c r="N6905" t="s">
        <v>410</v>
      </c>
      <c r="O6905">
        <v>67.45</v>
      </c>
      <c r="P6905">
        <v>20190619</v>
      </c>
      <c r="Q6905" t="s">
        <v>2001</v>
      </c>
      <c r="R6905" t="s">
        <v>5479</v>
      </c>
      <c r="S6905" t="s">
        <v>1615</v>
      </c>
      <c r="T6905" t="s">
        <v>301</v>
      </c>
    </row>
    <row r="6906" spans="1:20" x14ac:dyDescent="0.25">
      <c r="A6906">
        <v>9</v>
      </c>
      <c r="B6906">
        <v>199</v>
      </c>
      <c r="C6906" t="str">
        <f t="shared" si="1529"/>
        <v>11</v>
      </c>
      <c r="D6906">
        <v>6399</v>
      </c>
      <c r="E6906" t="str">
        <f>"VB"</f>
        <v>VB</v>
      </c>
      <c r="F6906" t="str">
        <f>"002"</f>
        <v>002</v>
      </c>
      <c r="G6906">
        <v>9</v>
      </c>
      <c r="H6906" t="str">
        <f t="shared" si="1536"/>
        <v>22</v>
      </c>
      <c r="I6906" t="str">
        <f t="shared" si="1531"/>
        <v>0</v>
      </c>
      <c r="J6906" t="str">
        <f t="shared" si="1537"/>
        <v>22</v>
      </c>
      <c r="K6906">
        <v>20190621</v>
      </c>
      <c r="L6906" t="str">
        <f t="shared" si="1534"/>
        <v>077217</v>
      </c>
      <c r="M6906" t="str">
        <f t="shared" si="1535"/>
        <v>04410</v>
      </c>
      <c r="N6906" t="s">
        <v>410</v>
      </c>
      <c r="O6906">
        <v>169.52</v>
      </c>
      <c r="P6906">
        <v>20190619</v>
      </c>
      <c r="Q6906" t="s">
        <v>5480</v>
      </c>
      <c r="R6906" t="s">
        <v>5481</v>
      </c>
      <c r="S6906" t="s">
        <v>1615</v>
      </c>
      <c r="T6906" t="s">
        <v>1485</v>
      </c>
    </row>
    <row r="6907" spans="1:20" x14ac:dyDescent="0.25">
      <c r="A6907">
        <v>9</v>
      </c>
      <c r="B6907">
        <v>199</v>
      </c>
      <c r="C6907" t="str">
        <f t="shared" si="1529"/>
        <v>11</v>
      </c>
      <c r="D6907">
        <v>6399</v>
      </c>
      <c r="E6907" t="str">
        <f>"VB"</f>
        <v>VB</v>
      </c>
      <c r="F6907" t="str">
        <f>"002"</f>
        <v>002</v>
      </c>
      <c r="G6907">
        <v>9</v>
      </c>
      <c r="H6907" t="str">
        <f t="shared" si="1536"/>
        <v>22</v>
      </c>
      <c r="I6907" t="str">
        <f t="shared" si="1531"/>
        <v>0</v>
      </c>
      <c r="J6907" t="str">
        <f t="shared" si="1537"/>
        <v>22</v>
      </c>
      <c r="K6907">
        <v>20190621</v>
      </c>
      <c r="L6907" t="str">
        <f t="shared" si="1534"/>
        <v>077217</v>
      </c>
      <c r="M6907" t="str">
        <f t="shared" si="1535"/>
        <v>04410</v>
      </c>
      <c r="N6907" t="s">
        <v>410</v>
      </c>
      <c r="O6907">
        <v>196.7</v>
      </c>
      <c r="P6907">
        <v>20190619</v>
      </c>
      <c r="Q6907" t="s">
        <v>5480</v>
      </c>
      <c r="R6907" t="s">
        <v>5481</v>
      </c>
      <c r="S6907" t="s">
        <v>1615</v>
      </c>
      <c r="T6907" t="s">
        <v>1485</v>
      </c>
    </row>
    <row r="6908" spans="1:20" x14ac:dyDescent="0.25">
      <c r="A6908">
        <v>9</v>
      </c>
      <c r="B6908">
        <v>199</v>
      </c>
      <c r="C6908" t="str">
        <f t="shared" si="1529"/>
        <v>11</v>
      </c>
      <c r="D6908">
        <v>6399</v>
      </c>
      <c r="E6908" t="str">
        <f>"VB"</f>
        <v>VB</v>
      </c>
      <c r="F6908" t="str">
        <f>"002"</f>
        <v>002</v>
      </c>
      <c r="G6908">
        <v>9</v>
      </c>
      <c r="H6908" t="str">
        <f t="shared" si="1536"/>
        <v>22</v>
      </c>
      <c r="I6908" t="str">
        <f t="shared" si="1531"/>
        <v>0</v>
      </c>
      <c r="J6908" t="str">
        <f t="shared" si="1537"/>
        <v>22</v>
      </c>
      <c r="K6908">
        <v>20190621</v>
      </c>
      <c r="L6908" t="str">
        <f t="shared" si="1534"/>
        <v>077217</v>
      </c>
      <c r="M6908" t="str">
        <f t="shared" si="1535"/>
        <v>04410</v>
      </c>
      <c r="N6908" t="s">
        <v>410</v>
      </c>
      <c r="O6908">
        <v>19.989999999999998</v>
      </c>
      <c r="P6908">
        <v>20190619</v>
      </c>
      <c r="Q6908" t="s">
        <v>5480</v>
      </c>
      <c r="R6908" t="s">
        <v>5482</v>
      </c>
      <c r="S6908" t="s">
        <v>1615</v>
      </c>
      <c r="T6908" t="s">
        <v>1485</v>
      </c>
    </row>
    <row r="6909" spans="1:20" x14ac:dyDescent="0.25">
      <c r="A6909">
        <v>9</v>
      </c>
      <c r="B6909">
        <v>199</v>
      </c>
      <c r="C6909" t="str">
        <f t="shared" si="1529"/>
        <v>11</v>
      </c>
      <c r="D6909">
        <v>6399</v>
      </c>
      <c r="E6909" t="str">
        <f>"VT"</f>
        <v>VT</v>
      </c>
      <c r="F6909" t="str">
        <f>"001"</f>
        <v>001</v>
      </c>
      <c r="G6909">
        <v>9</v>
      </c>
      <c r="H6909" t="str">
        <f>"11"</f>
        <v>11</v>
      </c>
      <c r="I6909" t="str">
        <f t="shared" si="1531"/>
        <v>0</v>
      </c>
      <c r="J6909" t="str">
        <f>"01"</f>
        <v>01</v>
      </c>
      <c r="K6909">
        <v>20190621</v>
      </c>
      <c r="L6909" t="str">
        <f t="shared" si="1534"/>
        <v>077217</v>
      </c>
      <c r="M6909" t="str">
        <f t="shared" si="1535"/>
        <v>04410</v>
      </c>
      <c r="N6909" t="s">
        <v>410</v>
      </c>
      <c r="O6909">
        <v>106.94</v>
      </c>
      <c r="P6909">
        <v>20190619</v>
      </c>
      <c r="Q6909" t="s">
        <v>4588</v>
      </c>
      <c r="R6909" t="s">
        <v>2793</v>
      </c>
      <c r="S6909" t="s">
        <v>1615</v>
      </c>
      <c r="T6909" t="s">
        <v>301</v>
      </c>
    </row>
    <row r="6910" spans="1:20" x14ac:dyDescent="0.25">
      <c r="A6910">
        <v>9</v>
      </c>
      <c r="B6910">
        <v>199</v>
      </c>
      <c r="C6910" t="str">
        <f t="shared" si="1529"/>
        <v>11</v>
      </c>
      <c r="D6910">
        <v>6499</v>
      </c>
      <c r="E6910" t="str">
        <f>"11"</f>
        <v>11</v>
      </c>
      <c r="F6910" t="str">
        <f>"002"</f>
        <v>002</v>
      </c>
      <c r="G6910">
        <v>9</v>
      </c>
      <c r="H6910" t="str">
        <f>"11"</f>
        <v>11</v>
      </c>
      <c r="I6910" t="str">
        <f t="shared" si="1531"/>
        <v>0</v>
      </c>
      <c r="J6910" t="str">
        <f>"02"</f>
        <v>02</v>
      </c>
      <c r="K6910">
        <v>20190621</v>
      </c>
      <c r="L6910" t="str">
        <f t="shared" si="1534"/>
        <v>077217</v>
      </c>
      <c r="M6910" t="str">
        <f t="shared" si="1535"/>
        <v>04410</v>
      </c>
      <c r="N6910" t="s">
        <v>410</v>
      </c>
      <c r="O6910">
        <v>505.6</v>
      </c>
      <c r="P6910">
        <v>20190619</v>
      </c>
      <c r="Q6910" t="s">
        <v>5483</v>
      </c>
      <c r="R6910" t="s">
        <v>2641</v>
      </c>
      <c r="S6910" t="s">
        <v>1615</v>
      </c>
      <c r="T6910" t="s">
        <v>1485</v>
      </c>
    </row>
    <row r="6911" spans="1:20" x14ac:dyDescent="0.25">
      <c r="A6911">
        <v>9</v>
      </c>
      <c r="B6911">
        <v>199</v>
      </c>
      <c r="C6911" t="str">
        <f>"23"</f>
        <v>23</v>
      </c>
      <c r="D6911">
        <v>6399</v>
      </c>
      <c r="E6911" t="str">
        <f>"11"</f>
        <v>11</v>
      </c>
      <c r="F6911" t="str">
        <f>"041"</f>
        <v>041</v>
      </c>
      <c r="G6911">
        <v>9</v>
      </c>
      <c r="H6911" t="str">
        <f t="shared" ref="H6911:H6930" si="1538">"99"</f>
        <v>99</v>
      </c>
      <c r="I6911" t="str">
        <f t="shared" si="1531"/>
        <v>0</v>
      </c>
      <c r="J6911" t="str">
        <f>"03"</f>
        <v>03</v>
      </c>
      <c r="K6911">
        <v>20190621</v>
      </c>
      <c r="L6911" t="str">
        <f t="shared" si="1534"/>
        <v>077217</v>
      </c>
      <c r="M6911" t="str">
        <f t="shared" si="1535"/>
        <v>04410</v>
      </c>
      <c r="N6911" t="s">
        <v>410</v>
      </c>
      <c r="O6911">
        <v>358.28</v>
      </c>
      <c r="P6911">
        <v>20190619</v>
      </c>
      <c r="Q6911" t="s">
        <v>1955</v>
      </c>
      <c r="R6911" t="s">
        <v>5484</v>
      </c>
      <c r="S6911" t="s">
        <v>1615</v>
      </c>
      <c r="T6911" t="s">
        <v>106</v>
      </c>
    </row>
    <row r="6912" spans="1:20" x14ac:dyDescent="0.25">
      <c r="A6912">
        <v>9</v>
      </c>
      <c r="B6912">
        <v>199</v>
      </c>
      <c r="C6912" t="str">
        <f>"23"</f>
        <v>23</v>
      </c>
      <c r="D6912">
        <v>6399</v>
      </c>
      <c r="E6912" t="str">
        <f>"12"</f>
        <v>12</v>
      </c>
      <c r="F6912" t="str">
        <f>"041"</f>
        <v>041</v>
      </c>
      <c r="G6912">
        <v>9</v>
      </c>
      <c r="H6912" t="str">
        <f t="shared" si="1538"/>
        <v>99</v>
      </c>
      <c r="I6912" t="str">
        <f t="shared" si="1531"/>
        <v>0</v>
      </c>
      <c r="J6912" t="str">
        <f>"03"</f>
        <v>03</v>
      </c>
      <c r="K6912">
        <v>20190621</v>
      </c>
      <c r="L6912" t="str">
        <f t="shared" si="1534"/>
        <v>077217</v>
      </c>
      <c r="M6912" t="str">
        <f t="shared" si="1535"/>
        <v>04410</v>
      </c>
      <c r="N6912" t="s">
        <v>410</v>
      </c>
      <c r="O6912">
        <v>255</v>
      </c>
      <c r="P6912">
        <v>20190619</v>
      </c>
      <c r="Q6912" t="s">
        <v>5485</v>
      </c>
      <c r="R6912" t="s">
        <v>5486</v>
      </c>
      <c r="S6912" t="s">
        <v>1615</v>
      </c>
      <c r="T6912" t="s">
        <v>106</v>
      </c>
    </row>
    <row r="6913" spans="1:20" x14ac:dyDescent="0.25">
      <c r="A6913">
        <v>9</v>
      </c>
      <c r="B6913">
        <v>199</v>
      </c>
      <c r="C6913" t="str">
        <f>"23"</f>
        <v>23</v>
      </c>
      <c r="D6913">
        <v>6399</v>
      </c>
      <c r="E6913" t="str">
        <f>"8K"</f>
        <v>8K</v>
      </c>
      <c r="F6913" t="str">
        <f>"101"</f>
        <v>101</v>
      </c>
      <c r="G6913">
        <v>9</v>
      </c>
      <c r="H6913" t="str">
        <f t="shared" si="1538"/>
        <v>99</v>
      </c>
      <c r="I6913" t="str">
        <f t="shared" si="1531"/>
        <v>0</v>
      </c>
      <c r="J6913" t="str">
        <f>"04"</f>
        <v>04</v>
      </c>
      <c r="K6913">
        <v>20190621</v>
      </c>
      <c r="L6913" t="str">
        <f t="shared" si="1534"/>
        <v>077217</v>
      </c>
      <c r="M6913" t="str">
        <f t="shared" si="1535"/>
        <v>04410</v>
      </c>
      <c r="N6913" t="s">
        <v>410</v>
      </c>
      <c r="O6913">
        <v>152.61000000000001</v>
      </c>
      <c r="P6913">
        <v>20190619</v>
      </c>
      <c r="Q6913" t="s">
        <v>1998</v>
      </c>
      <c r="R6913" t="s">
        <v>641</v>
      </c>
      <c r="S6913" t="s">
        <v>1615</v>
      </c>
      <c r="T6913" t="s">
        <v>1479</v>
      </c>
    </row>
    <row r="6914" spans="1:20" x14ac:dyDescent="0.25">
      <c r="A6914">
        <v>9</v>
      </c>
      <c r="B6914">
        <v>199</v>
      </c>
      <c r="C6914" t="str">
        <f>"31"</f>
        <v>31</v>
      </c>
      <c r="D6914">
        <v>6399</v>
      </c>
      <c r="E6914" t="str">
        <f>"7F"</f>
        <v>7F</v>
      </c>
      <c r="F6914" t="str">
        <f>"101"</f>
        <v>101</v>
      </c>
      <c r="G6914">
        <v>9</v>
      </c>
      <c r="H6914" t="str">
        <f t="shared" si="1538"/>
        <v>99</v>
      </c>
      <c r="I6914" t="str">
        <f t="shared" si="1531"/>
        <v>0</v>
      </c>
      <c r="J6914" t="str">
        <f>"04"</f>
        <v>04</v>
      </c>
      <c r="K6914">
        <v>20190621</v>
      </c>
      <c r="L6914" t="str">
        <f t="shared" si="1534"/>
        <v>077217</v>
      </c>
      <c r="M6914" t="str">
        <f t="shared" si="1535"/>
        <v>04410</v>
      </c>
      <c r="N6914" t="s">
        <v>410</v>
      </c>
      <c r="O6914">
        <v>400.88</v>
      </c>
      <c r="P6914">
        <v>20190619</v>
      </c>
      <c r="Q6914" t="s">
        <v>5186</v>
      </c>
      <c r="R6914" t="s">
        <v>5487</v>
      </c>
      <c r="S6914" t="s">
        <v>1615</v>
      </c>
      <c r="T6914" t="s">
        <v>1479</v>
      </c>
    </row>
    <row r="6915" spans="1:20" x14ac:dyDescent="0.25">
      <c r="A6915">
        <v>9</v>
      </c>
      <c r="B6915">
        <v>199</v>
      </c>
      <c r="C6915" t="str">
        <f>"31"</f>
        <v>31</v>
      </c>
      <c r="D6915">
        <v>6399</v>
      </c>
      <c r="E6915" t="str">
        <f>"7F"</f>
        <v>7F</v>
      </c>
      <c r="F6915" t="str">
        <f>"101"</f>
        <v>101</v>
      </c>
      <c r="G6915">
        <v>9</v>
      </c>
      <c r="H6915" t="str">
        <f t="shared" si="1538"/>
        <v>99</v>
      </c>
      <c r="I6915" t="str">
        <f t="shared" si="1531"/>
        <v>0</v>
      </c>
      <c r="J6915" t="str">
        <f>"04"</f>
        <v>04</v>
      </c>
      <c r="K6915">
        <v>20190621</v>
      </c>
      <c r="L6915" t="str">
        <f t="shared" si="1534"/>
        <v>077217</v>
      </c>
      <c r="M6915" t="str">
        <f t="shared" si="1535"/>
        <v>04410</v>
      </c>
      <c r="N6915" t="s">
        <v>410</v>
      </c>
      <c r="O6915">
        <v>257.74</v>
      </c>
      <c r="P6915">
        <v>20190619</v>
      </c>
      <c r="Q6915" t="s">
        <v>5186</v>
      </c>
      <c r="R6915" t="s">
        <v>5487</v>
      </c>
      <c r="S6915" t="s">
        <v>1615</v>
      </c>
      <c r="T6915" t="s">
        <v>1479</v>
      </c>
    </row>
    <row r="6916" spans="1:20" x14ac:dyDescent="0.25">
      <c r="A6916">
        <v>9</v>
      </c>
      <c r="B6916">
        <v>199</v>
      </c>
      <c r="C6916" t="str">
        <f>"31"</f>
        <v>31</v>
      </c>
      <c r="D6916">
        <v>6399</v>
      </c>
      <c r="E6916" t="str">
        <f>"7F"</f>
        <v>7F</v>
      </c>
      <c r="F6916" t="str">
        <f>"101"</f>
        <v>101</v>
      </c>
      <c r="G6916">
        <v>9</v>
      </c>
      <c r="H6916" t="str">
        <f t="shared" si="1538"/>
        <v>99</v>
      </c>
      <c r="I6916" t="str">
        <f t="shared" ref="I6916:I6935" si="1539">"0"</f>
        <v>0</v>
      </c>
      <c r="J6916" t="str">
        <f>"04"</f>
        <v>04</v>
      </c>
      <c r="K6916">
        <v>20190621</v>
      </c>
      <c r="L6916" t="str">
        <f t="shared" si="1534"/>
        <v>077217</v>
      </c>
      <c r="M6916" t="str">
        <f t="shared" si="1535"/>
        <v>04410</v>
      </c>
      <c r="N6916" t="s">
        <v>410</v>
      </c>
      <c r="O6916">
        <v>577.36</v>
      </c>
      <c r="P6916">
        <v>20190619</v>
      </c>
      <c r="Q6916" t="s">
        <v>5186</v>
      </c>
      <c r="R6916" t="s">
        <v>5487</v>
      </c>
      <c r="S6916" t="s">
        <v>1615</v>
      </c>
      <c r="T6916" t="s">
        <v>1479</v>
      </c>
    </row>
    <row r="6917" spans="1:20" x14ac:dyDescent="0.25">
      <c r="A6917">
        <v>9</v>
      </c>
      <c r="B6917">
        <v>199</v>
      </c>
      <c r="C6917" t="str">
        <f t="shared" ref="C6917:C6926" si="1540">"36"</f>
        <v>36</v>
      </c>
      <c r="D6917">
        <v>6399</v>
      </c>
      <c r="E6917" t="str">
        <f>"09"</f>
        <v>09</v>
      </c>
      <c r="F6917" t="str">
        <f t="shared" ref="F6917:F6926" si="1541">"001"</f>
        <v>001</v>
      </c>
      <c r="G6917">
        <v>9</v>
      </c>
      <c r="H6917" t="str">
        <f t="shared" si="1538"/>
        <v>99</v>
      </c>
      <c r="I6917" t="str">
        <f t="shared" si="1539"/>
        <v>0</v>
      </c>
      <c r="J6917" t="str">
        <f t="shared" ref="J6917:J6926" si="1542">"01"</f>
        <v>01</v>
      </c>
      <c r="K6917">
        <v>20190621</v>
      </c>
      <c r="L6917" t="str">
        <f t="shared" si="1534"/>
        <v>077217</v>
      </c>
      <c r="M6917" t="str">
        <f t="shared" si="1535"/>
        <v>04410</v>
      </c>
      <c r="N6917" t="s">
        <v>410</v>
      </c>
      <c r="O6917">
        <v>242.51</v>
      </c>
      <c r="P6917">
        <v>20190619</v>
      </c>
      <c r="Q6917" t="s">
        <v>2177</v>
      </c>
      <c r="R6917" t="s">
        <v>4354</v>
      </c>
      <c r="S6917" t="s">
        <v>1615</v>
      </c>
      <c r="T6917" t="s">
        <v>301</v>
      </c>
    </row>
    <row r="6918" spans="1:20" x14ac:dyDescent="0.25">
      <c r="A6918">
        <v>9</v>
      </c>
      <c r="B6918">
        <v>199</v>
      </c>
      <c r="C6918" t="str">
        <f t="shared" si="1540"/>
        <v>36</v>
      </c>
      <c r="D6918">
        <v>6399</v>
      </c>
      <c r="E6918" t="str">
        <f>"09"</f>
        <v>09</v>
      </c>
      <c r="F6918" t="str">
        <f t="shared" si="1541"/>
        <v>001</v>
      </c>
      <c r="G6918">
        <v>9</v>
      </c>
      <c r="H6918" t="str">
        <f t="shared" si="1538"/>
        <v>99</v>
      </c>
      <c r="I6918" t="str">
        <f t="shared" si="1539"/>
        <v>0</v>
      </c>
      <c r="J6918" t="str">
        <f t="shared" si="1542"/>
        <v>01</v>
      </c>
      <c r="K6918">
        <v>20190621</v>
      </c>
      <c r="L6918" t="str">
        <f t="shared" si="1534"/>
        <v>077217</v>
      </c>
      <c r="M6918" t="str">
        <f t="shared" si="1535"/>
        <v>04410</v>
      </c>
      <c r="N6918" t="s">
        <v>410</v>
      </c>
      <c r="O6918">
        <v>398.86</v>
      </c>
      <c r="P6918">
        <v>20190619</v>
      </c>
      <c r="Q6918" t="s">
        <v>2177</v>
      </c>
      <c r="R6918" t="s">
        <v>5488</v>
      </c>
      <c r="S6918" t="s">
        <v>1615</v>
      </c>
      <c r="T6918" t="s">
        <v>301</v>
      </c>
    </row>
    <row r="6919" spans="1:20" x14ac:dyDescent="0.25">
      <c r="A6919">
        <v>9</v>
      </c>
      <c r="B6919">
        <v>199</v>
      </c>
      <c r="C6919" t="str">
        <f t="shared" si="1540"/>
        <v>36</v>
      </c>
      <c r="D6919">
        <v>6399</v>
      </c>
      <c r="E6919" t="str">
        <f>"7C"</f>
        <v>7C</v>
      </c>
      <c r="F6919" t="str">
        <f t="shared" si="1541"/>
        <v>001</v>
      </c>
      <c r="G6919">
        <v>9</v>
      </c>
      <c r="H6919" t="str">
        <f t="shared" si="1538"/>
        <v>99</v>
      </c>
      <c r="I6919" t="str">
        <f t="shared" si="1539"/>
        <v>0</v>
      </c>
      <c r="J6919" t="str">
        <f t="shared" si="1542"/>
        <v>01</v>
      </c>
      <c r="K6919">
        <v>20190621</v>
      </c>
      <c r="L6919" t="str">
        <f t="shared" si="1534"/>
        <v>077217</v>
      </c>
      <c r="M6919" t="str">
        <f t="shared" si="1535"/>
        <v>04410</v>
      </c>
      <c r="N6919" t="s">
        <v>410</v>
      </c>
      <c r="O6919">
        <v>163.27000000000001</v>
      </c>
      <c r="P6919">
        <v>20190619</v>
      </c>
      <c r="Q6919" t="s">
        <v>4579</v>
      </c>
      <c r="R6919" t="s">
        <v>641</v>
      </c>
      <c r="S6919" t="s">
        <v>1615</v>
      </c>
      <c r="T6919" t="s">
        <v>301</v>
      </c>
    </row>
    <row r="6920" spans="1:20" x14ac:dyDescent="0.25">
      <c r="A6920">
        <v>9</v>
      </c>
      <c r="B6920">
        <v>199</v>
      </c>
      <c r="C6920" t="str">
        <f t="shared" si="1540"/>
        <v>36</v>
      </c>
      <c r="D6920">
        <v>6399</v>
      </c>
      <c r="E6920" t="str">
        <f>"7C"</f>
        <v>7C</v>
      </c>
      <c r="F6920" t="str">
        <f t="shared" si="1541"/>
        <v>001</v>
      </c>
      <c r="G6920">
        <v>9</v>
      </c>
      <c r="H6920" t="str">
        <f t="shared" si="1538"/>
        <v>99</v>
      </c>
      <c r="I6920" t="str">
        <f t="shared" si="1539"/>
        <v>0</v>
      </c>
      <c r="J6920" t="str">
        <f t="shared" si="1542"/>
        <v>01</v>
      </c>
      <c r="K6920">
        <v>20190621</v>
      </c>
      <c r="L6920" t="str">
        <f t="shared" si="1534"/>
        <v>077217</v>
      </c>
      <c r="M6920" t="str">
        <f t="shared" si="1535"/>
        <v>04410</v>
      </c>
      <c r="N6920" t="s">
        <v>410</v>
      </c>
      <c r="O6920">
        <v>52.99</v>
      </c>
      <c r="P6920">
        <v>20190619</v>
      </c>
      <c r="Q6920" t="s">
        <v>4579</v>
      </c>
      <c r="R6920" t="s">
        <v>5489</v>
      </c>
      <c r="S6920" t="s">
        <v>1615</v>
      </c>
      <c r="T6920" t="s">
        <v>301</v>
      </c>
    </row>
    <row r="6921" spans="1:20" x14ac:dyDescent="0.25">
      <c r="A6921">
        <v>9</v>
      </c>
      <c r="B6921">
        <v>199</v>
      </c>
      <c r="C6921" t="str">
        <f t="shared" si="1540"/>
        <v>36</v>
      </c>
      <c r="D6921">
        <v>6399</v>
      </c>
      <c r="E6921" t="str">
        <f>"8S"</f>
        <v>8S</v>
      </c>
      <c r="F6921" t="str">
        <f t="shared" si="1541"/>
        <v>001</v>
      </c>
      <c r="G6921">
        <v>9</v>
      </c>
      <c r="H6921" t="str">
        <f t="shared" si="1538"/>
        <v>99</v>
      </c>
      <c r="I6921" t="str">
        <f t="shared" si="1539"/>
        <v>0</v>
      </c>
      <c r="J6921" t="str">
        <f t="shared" si="1542"/>
        <v>01</v>
      </c>
      <c r="K6921">
        <v>20190621</v>
      </c>
      <c r="L6921" t="str">
        <f t="shared" si="1534"/>
        <v>077217</v>
      </c>
      <c r="M6921" t="str">
        <f t="shared" si="1535"/>
        <v>04410</v>
      </c>
      <c r="N6921" t="s">
        <v>410</v>
      </c>
      <c r="O6921" s="1">
        <v>1165.18</v>
      </c>
      <c r="P6921">
        <v>20190619</v>
      </c>
      <c r="Q6921" t="s">
        <v>1780</v>
      </c>
      <c r="R6921" t="s">
        <v>5490</v>
      </c>
      <c r="S6921" t="s">
        <v>1615</v>
      </c>
      <c r="T6921" t="s">
        <v>301</v>
      </c>
    </row>
    <row r="6922" spans="1:20" x14ac:dyDescent="0.25">
      <c r="A6922">
        <v>9</v>
      </c>
      <c r="B6922">
        <v>199</v>
      </c>
      <c r="C6922" t="str">
        <f t="shared" si="1540"/>
        <v>36</v>
      </c>
      <c r="D6922">
        <v>6399</v>
      </c>
      <c r="E6922" t="str">
        <f>"8S"</f>
        <v>8S</v>
      </c>
      <c r="F6922" t="str">
        <f t="shared" si="1541"/>
        <v>001</v>
      </c>
      <c r="G6922">
        <v>9</v>
      </c>
      <c r="H6922" t="str">
        <f t="shared" si="1538"/>
        <v>99</v>
      </c>
      <c r="I6922" t="str">
        <f t="shared" si="1539"/>
        <v>0</v>
      </c>
      <c r="J6922" t="str">
        <f t="shared" si="1542"/>
        <v>01</v>
      </c>
      <c r="K6922">
        <v>20190621</v>
      </c>
      <c r="L6922" t="str">
        <f t="shared" si="1534"/>
        <v>077217</v>
      </c>
      <c r="M6922" t="str">
        <f t="shared" si="1535"/>
        <v>04410</v>
      </c>
      <c r="N6922" t="s">
        <v>410</v>
      </c>
      <c r="O6922">
        <v>64.81</v>
      </c>
      <c r="P6922">
        <v>20190619</v>
      </c>
      <c r="Q6922" t="s">
        <v>1780</v>
      </c>
      <c r="R6922" t="s">
        <v>5491</v>
      </c>
      <c r="S6922" t="s">
        <v>1615</v>
      </c>
      <c r="T6922" t="s">
        <v>301</v>
      </c>
    </row>
    <row r="6923" spans="1:20" x14ac:dyDescent="0.25">
      <c r="A6923">
        <v>9</v>
      </c>
      <c r="B6923">
        <v>199</v>
      </c>
      <c r="C6923" t="str">
        <f t="shared" si="1540"/>
        <v>36</v>
      </c>
      <c r="D6923">
        <v>6399</v>
      </c>
      <c r="E6923" t="str">
        <f>"8T"</f>
        <v>8T</v>
      </c>
      <c r="F6923" t="str">
        <f t="shared" si="1541"/>
        <v>001</v>
      </c>
      <c r="G6923">
        <v>9</v>
      </c>
      <c r="H6923" t="str">
        <f t="shared" si="1538"/>
        <v>99</v>
      </c>
      <c r="I6923" t="str">
        <f t="shared" si="1539"/>
        <v>0</v>
      </c>
      <c r="J6923" t="str">
        <f t="shared" si="1542"/>
        <v>01</v>
      </c>
      <c r="K6923">
        <v>20190621</v>
      </c>
      <c r="L6923" t="str">
        <f t="shared" si="1534"/>
        <v>077217</v>
      </c>
      <c r="M6923" t="str">
        <f t="shared" si="1535"/>
        <v>04410</v>
      </c>
      <c r="N6923" t="s">
        <v>410</v>
      </c>
      <c r="O6923">
        <v>405.74</v>
      </c>
      <c r="P6923">
        <v>20190619</v>
      </c>
      <c r="Q6923" t="s">
        <v>2966</v>
      </c>
      <c r="R6923" t="s">
        <v>5309</v>
      </c>
      <c r="S6923" t="s">
        <v>1615</v>
      </c>
      <c r="T6923" t="s">
        <v>301</v>
      </c>
    </row>
    <row r="6924" spans="1:20" x14ac:dyDescent="0.25">
      <c r="A6924">
        <v>9</v>
      </c>
      <c r="B6924">
        <v>199</v>
      </c>
      <c r="C6924" t="str">
        <f t="shared" si="1540"/>
        <v>36</v>
      </c>
      <c r="D6924">
        <v>6399</v>
      </c>
      <c r="E6924" t="str">
        <f>"8T"</f>
        <v>8T</v>
      </c>
      <c r="F6924" t="str">
        <f t="shared" si="1541"/>
        <v>001</v>
      </c>
      <c r="G6924">
        <v>9</v>
      </c>
      <c r="H6924" t="str">
        <f t="shared" si="1538"/>
        <v>99</v>
      </c>
      <c r="I6924" t="str">
        <f t="shared" si="1539"/>
        <v>0</v>
      </c>
      <c r="J6924" t="str">
        <f t="shared" si="1542"/>
        <v>01</v>
      </c>
      <c r="K6924">
        <v>20190621</v>
      </c>
      <c r="L6924" t="str">
        <f t="shared" si="1534"/>
        <v>077217</v>
      </c>
      <c r="M6924" t="str">
        <f t="shared" si="1535"/>
        <v>04410</v>
      </c>
      <c r="N6924" t="s">
        <v>410</v>
      </c>
      <c r="O6924">
        <v>16.989999999999998</v>
      </c>
      <c r="P6924">
        <v>20190619</v>
      </c>
      <c r="Q6924" t="s">
        <v>2966</v>
      </c>
      <c r="R6924" t="s">
        <v>5492</v>
      </c>
      <c r="S6924" t="s">
        <v>1615</v>
      </c>
      <c r="T6924" t="s">
        <v>301</v>
      </c>
    </row>
    <row r="6925" spans="1:20" x14ac:dyDescent="0.25">
      <c r="A6925">
        <v>9</v>
      </c>
      <c r="B6925">
        <v>199</v>
      </c>
      <c r="C6925" t="str">
        <f t="shared" si="1540"/>
        <v>36</v>
      </c>
      <c r="D6925">
        <v>6399</v>
      </c>
      <c r="E6925" t="str">
        <f>"8T"</f>
        <v>8T</v>
      </c>
      <c r="F6925" t="str">
        <f t="shared" si="1541"/>
        <v>001</v>
      </c>
      <c r="G6925">
        <v>9</v>
      </c>
      <c r="H6925" t="str">
        <f t="shared" si="1538"/>
        <v>99</v>
      </c>
      <c r="I6925" t="str">
        <f t="shared" si="1539"/>
        <v>0</v>
      </c>
      <c r="J6925" t="str">
        <f t="shared" si="1542"/>
        <v>01</v>
      </c>
      <c r="K6925">
        <v>20190621</v>
      </c>
      <c r="L6925" t="str">
        <f t="shared" si="1534"/>
        <v>077217</v>
      </c>
      <c r="M6925" t="str">
        <f t="shared" si="1535"/>
        <v>04410</v>
      </c>
      <c r="N6925" t="s">
        <v>410</v>
      </c>
      <c r="O6925">
        <v>166.19</v>
      </c>
      <c r="P6925">
        <v>20190619</v>
      </c>
      <c r="Q6925" t="s">
        <v>2966</v>
      </c>
      <c r="R6925" t="s">
        <v>5493</v>
      </c>
      <c r="S6925" t="s">
        <v>1615</v>
      </c>
      <c r="T6925" t="s">
        <v>301</v>
      </c>
    </row>
    <row r="6926" spans="1:20" x14ac:dyDescent="0.25">
      <c r="A6926">
        <v>9</v>
      </c>
      <c r="B6926">
        <v>199</v>
      </c>
      <c r="C6926" t="str">
        <f t="shared" si="1540"/>
        <v>36</v>
      </c>
      <c r="D6926">
        <v>6399</v>
      </c>
      <c r="E6926" t="str">
        <f>"8T"</f>
        <v>8T</v>
      </c>
      <c r="F6926" t="str">
        <f t="shared" si="1541"/>
        <v>001</v>
      </c>
      <c r="G6926">
        <v>9</v>
      </c>
      <c r="H6926" t="str">
        <f t="shared" si="1538"/>
        <v>99</v>
      </c>
      <c r="I6926" t="str">
        <f t="shared" si="1539"/>
        <v>0</v>
      </c>
      <c r="J6926" t="str">
        <f t="shared" si="1542"/>
        <v>01</v>
      </c>
      <c r="K6926">
        <v>20190621</v>
      </c>
      <c r="L6926" t="str">
        <f t="shared" si="1534"/>
        <v>077217</v>
      </c>
      <c r="M6926" t="str">
        <f t="shared" si="1535"/>
        <v>04410</v>
      </c>
      <c r="N6926" t="s">
        <v>410</v>
      </c>
      <c r="O6926">
        <v>-122.4</v>
      </c>
      <c r="P6926">
        <v>20190606</v>
      </c>
      <c r="Q6926" t="s">
        <v>2966</v>
      </c>
      <c r="R6926" t="s">
        <v>5494</v>
      </c>
      <c r="S6926" t="s">
        <v>1615</v>
      </c>
      <c r="T6926" t="s">
        <v>301</v>
      </c>
    </row>
    <row r="6927" spans="1:20" x14ac:dyDescent="0.25">
      <c r="A6927">
        <v>9</v>
      </c>
      <c r="B6927">
        <v>199</v>
      </c>
      <c r="C6927" t="str">
        <f>"41"</f>
        <v>41</v>
      </c>
      <c r="D6927">
        <v>6399</v>
      </c>
      <c r="E6927" t="str">
        <f>"10"</f>
        <v>10</v>
      </c>
      <c r="F6927" t="str">
        <f>"726"</f>
        <v>726</v>
      </c>
      <c r="G6927">
        <v>9</v>
      </c>
      <c r="H6927" t="str">
        <f t="shared" si="1538"/>
        <v>99</v>
      </c>
      <c r="I6927" t="str">
        <f t="shared" si="1539"/>
        <v>0</v>
      </c>
      <c r="J6927" t="str">
        <f>"91"</f>
        <v>91</v>
      </c>
      <c r="K6927">
        <v>20190621</v>
      </c>
      <c r="L6927" t="str">
        <f t="shared" si="1534"/>
        <v>077217</v>
      </c>
      <c r="M6927" t="str">
        <f t="shared" si="1535"/>
        <v>04410</v>
      </c>
      <c r="N6927" t="s">
        <v>410</v>
      </c>
      <c r="O6927">
        <v>14.78</v>
      </c>
      <c r="P6927">
        <v>20190619</v>
      </c>
      <c r="Q6927" t="s">
        <v>2702</v>
      </c>
      <c r="R6927" t="s">
        <v>5495</v>
      </c>
      <c r="S6927" t="s">
        <v>1615</v>
      </c>
      <c r="T6927" t="s">
        <v>2608</v>
      </c>
    </row>
    <row r="6928" spans="1:20" x14ac:dyDescent="0.25">
      <c r="A6928">
        <v>9</v>
      </c>
      <c r="B6928">
        <v>199</v>
      </c>
      <c r="C6928" t="str">
        <f>"53"</f>
        <v>53</v>
      </c>
      <c r="D6928">
        <v>6399</v>
      </c>
      <c r="E6928" t="str">
        <f>"10"</f>
        <v>10</v>
      </c>
      <c r="F6928" t="str">
        <f>"880"</f>
        <v>880</v>
      </c>
      <c r="G6928">
        <v>9</v>
      </c>
      <c r="H6928" t="str">
        <f t="shared" si="1538"/>
        <v>99</v>
      </c>
      <c r="I6928" t="str">
        <f t="shared" si="1539"/>
        <v>0</v>
      </c>
      <c r="J6928" t="str">
        <f>"80"</f>
        <v>80</v>
      </c>
      <c r="K6928">
        <v>20190621</v>
      </c>
      <c r="L6928" t="str">
        <f t="shared" si="1534"/>
        <v>077217</v>
      </c>
      <c r="M6928" t="str">
        <f t="shared" si="1535"/>
        <v>04410</v>
      </c>
      <c r="N6928" t="s">
        <v>410</v>
      </c>
      <c r="O6928">
        <v>122.39</v>
      </c>
      <c r="P6928">
        <v>20190619</v>
      </c>
      <c r="Q6928" t="s">
        <v>1865</v>
      </c>
      <c r="R6928" t="s">
        <v>5496</v>
      </c>
      <c r="S6928" t="s">
        <v>1615</v>
      </c>
      <c r="T6928" t="s">
        <v>1866</v>
      </c>
    </row>
    <row r="6929" spans="1:20" x14ac:dyDescent="0.25">
      <c r="A6929">
        <v>9</v>
      </c>
      <c r="B6929">
        <v>199</v>
      </c>
      <c r="C6929" t="str">
        <f>"53"</f>
        <v>53</v>
      </c>
      <c r="D6929">
        <v>6649</v>
      </c>
      <c r="E6929" t="str">
        <f>"00"</f>
        <v>00</v>
      </c>
      <c r="F6929" t="str">
        <f>"880"</f>
        <v>880</v>
      </c>
      <c r="G6929">
        <v>9</v>
      </c>
      <c r="H6929" t="str">
        <f t="shared" si="1538"/>
        <v>99</v>
      </c>
      <c r="I6929" t="str">
        <f t="shared" si="1539"/>
        <v>0</v>
      </c>
      <c r="J6929" t="str">
        <f>"80"</f>
        <v>80</v>
      </c>
      <c r="K6929">
        <v>20190621</v>
      </c>
      <c r="L6929" t="str">
        <f t="shared" si="1534"/>
        <v>077217</v>
      </c>
      <c r="M6929" t="str">
        <f t="shared" si="1535"/>
        <v>04410</v>
      </c>
      <c r="N6929" t="s">
        <v>410</v>
      </c>
      <c r="O6929">
        <v>910.72</v>
      </c>
      <c r="P6929">
        <v>20190619</v>
      </c>
      <c r="Q6929" t="s">
        <v>5223</v>
      </c>
      <c r="R6929" t="s">
        <v>5497</v>
      </c>
      <c r="S6929" t="s">
        <v>1615</v>
      </c>
      <c r="T6929" t="s">
        <v>1866</v>
      </c>
    </row>
    <row r="6930" spans="1:20" x14ac:dyDescent="0.25">
      <c r="A6930">
        <v>9</v>
      </c>
      <c r="B6930">
        <v>199</v>
      </c>
      <c r="C6930" t="str">
        <f>"34"</f>
        <v>34</v>
      </c>
      <c r="D6930">
        <v>6399</v>
      </c>
      <c r="E6930" t="str">
        <f>"11"</f>
        <v>11</v>
      </c>
      <c r="F6930" t="str">
        <f>"937"</f>
        <v>937</v>
      </c>
      <c r="G6930">
        <v>9</v>
      </c>
      <c r="H6930" t="str">
        <f t="shared" si="1538"/>
        <v>99</v>
      </c>
      <c r="I6930" t="str">
        <f t="shared" si="1539"/>
        <v>0</v>
      </c>
      <c r="J6930" t="str">
        <f>"82"</f>
        <v>82</v>
      </c>
      <c r="K6930">
        <v>20190621</v>
      </c>
      <c r="L6930" t="str">
        <f>"077218"</f>
        <v>077218</v>
      </c>
      <c r="M6930" t="str">
        <f>"06267"</f>
        <v>06267</v>
      </c>
      <c r="N6930" t="s">
        <v>1867</v>
      </c>
      <c r="O6930">
        <v>291.98</v>
      </c>
      <c r="P6930">
        <v>20190619</v>
      </c>
      <c r="Q6930" t="s">
        <v>2210</v>
      </c>
      <c r="R6930" t="s">
        <v>5498</v>
      </c>
      <c r="S6930" t="s">
        <v>1615</v>
      </c>
      <c r="T6930" t="s">
        <v>1810</v>
      </c>
    </row>
    <row r="6931" spans="1:20" x14ac:dyDescent="0.25">
      <c r="A6931">
        <v>9</v>
      </c>
      <c r="B6931">
        <v>199</v>
      </c>
      <c r="C6931" t="str">
        <f>"11"</f>
        <v>11</v>
      </c>
      <c r="D6931">
        <v>6649</v>
      </c>
      <c r="E6931" t="str">
        <f>"10"</f>
        <v>10</v>
      </c>
      <c r="F6931" t="str">
        <f>"002"</f>
        <v>002</v>
      </c>
      <c r="G6931">
        <v>9</v>
      </c>
      <c r="H6931" t="str">
        <f>"11"</f>
        <v>11</v>
      </c>
      <c r="I6931" t="str">
        <f t="shared" si="1539"/>
        <v>0</v>
      </c>
      <c r="J6931" t="str">
        <f>"02"</f>
        <v>02</v>
      </c>
      <c r="K6931">
        <v>20190621</v>
      </c>
      <c r="L6931" t="str">
        <f>"077219"</f>
        <v>077219</v>
      </c>
      <c r="M6931" t="str">
        <f>"06509"</f>
        <v>06509</v>
      </c>
      <c r="N6931" t="s">
        <v>1545</v>
      </c>
      <c r="O6931" s="1">
        <v>7287</v>
      </c>
      <c r="P6931">
        <v>20190619</v>
      </c>
      <c r="Q6931" t="s">
        <v>5499</v>
      </c>
      <c r="R6931" t="s">
        <v>5500</v>
      </c>
      <c r="S6931" t="s">
        <v>1615</v>
      </c>
      <c r="T6931" t="s">
        <v>1485</v>
      </c>
    </row>
    <row r="6932" spans="1:20" x14ac:dyDescent="0.25">
      <c r="A6932">
        <v>9</v>
      </c>
      <c r="B6932">
        <v>199</v>
      </c>
      <c r="C6932" t="str">
        <f>"51"</f>
        <v>51</v>
      </c>
      <c r="D6932">
        <v>6249</v>
      </c>
      <c r="E6932" t="str">
        <f>"WF"</f>
        <v>WF</v>
      </c>
      <c r="F6932" t="str">
        <f>"936"</f>
        <v>936</v>
      </c>
      <c r="G6932">
        <v>9</v>
      </c>
      <c r="H6932" t="str">
        <f>"99"</f>
        <v>99</v>
      </c>
      <c r="I6932" t="str">
        <f t="shared" si="1539"/>
        <v>0</v>
      </c>
      <c r="J6932" t="str">
        <f>"82"</f>
        <v>82</v>
      </c>
      <c r="K6932">
        <v>20190621</v>
      </c>
      <c r="L6932" t="str">
        <f>"077220"</f>
        <v>077220</v>
      </c>
      <c r="M6932" t="str">
        <f>"03852"</f>
        <v>03852</v>
      </c>
      <c r="N6932" t="s">
        <v>5133</v>
      </c>
      <c r="O6932">
        <v>398.1</v>
      </c>
      <c r="P6932">
        <v>20190619</v>
      </c>
      <c r="Q6932" t="s">
        <v>2127</v>
      </c>
      <c r="R6932" t="s">
        <v>5501</v>
      </c>
      <c r="S6932" t="s">
        <v>1615</v>
      </c>
      <c r="T6932" t="s">
        <v>1713</v>
      </c>
    </row>
    <row r="6933" spans="1:20" x14ac:dyDescent="0.25">
      <c r="A6933">
        <v>9</v>
      </c>
      <c r="B6933">
        <v>199</v>
      </c>
      <c r="C6933" t="str">
        <f>"34"</f>
        <v>34</v>
      </c>
      <c r="D6933">
        <v>6249</v>
      </c>
      <c r="E6933" t="str">
        <f>"10"</f>
        <v>10</v>
      </c>
      <c r="F6933" t="str">
        <f>"937"</f>
        <v>937</v>
      </c>
      <c r="G6933">
        <v>9</v>
      </c>
      <c r="H6933" t="str">
        <f>"99"</f>
        <v>99</v>
      </c>
      <c r="I6933" t="str">
        <f t="shared" si="1539"/>
        <v>0</v>
      </c>
      <c r="J6933" t="str">
        <f>"82"</f>
        <v>82</v>
      </c>
      <c r="K6933">
        <v>20190621</v>
      </c>
      <c r="L6933" t="str">
        <f>"077221"</f>
        <v>077221</v>
      </c>
      <c r="M6933" t="str">
        <f>"00748"</f>
        <v>00748</v>
      </c>
      <c r="N6933" t="s">
        <v>5365</v>
      </c>
      <c r="O6933">
        <v>675</v>
      </c>
      <c r="P6933">
        <v>20190619</v>
      </c>
      <c r="Q6933" t="s">
        <v>2036</v>
      </c>
      <c r="R6933" t="s">
        <v>5502</v>
      </c>
      <c r="S6933" t="s">
        <v>1615</v>
      </c>
      <c r="T6933" t="s">
        <v>1810</v>
      </c>
    </row>
    <row r="6934" spans="1:20" x14ac:dyDescent="0.25">
      <c r="A6934">
        <v>9</v>
      </c>
      <c r="B6934">
        <v>199</v>
      </c>
      <c r="C6934" t="str">
        <f>"34"</f>
        <v>34</v>
      </c>
      <c r="D6934">
        <v>6249</v>
      </c>
      <c r="E6934" t="str">
        <f>"10"</f>
        <v>10</v>
      </c>
      <c r="F6934" t="str">
        <f>"937"</f>
        <v>937</v>
      </c>
      <c r="G6934">
        <v>9</v>
      </c>
      <c r="H6934" t="str">
        <f>"99"</f>
        <v>99</v>
      </c>
      <c r="I6934" t="str">
        <f t="shared" si="1539"/>
        <v>0</v>
      </c>
      <c r="J6934" t="str">
        <f>"82"</f>
        <v>82</v>
      </c>
      <c r="K6934">
        <v>20190621</v>
      </c>
      <c r="L6934" t="str">
        <f>"077221"</f>
        <v>077221</v>
      </c>
      <c r="M6934" t="str">
        <f>"00748"</f>
        <v>00748</v>
      </c>
      <c r="N6934" t="s">
        <v>5365</v>
      </c>
      <c r="O6934" s="1">
        <v>1150</v>
      </c>
      <c r="P6934">
        <v>20190619</v>
      </c>
      <c r="Q6934" t="s">
        <v>2036</v>
      </c>
      <c r="R6934" t="s">
        <v>5503</v>
      </c>
      <c r="S6934" t="s">
        <v>1615</v>
      </c>
      <c r="T6934" t="s">
        <v>1810</v>
      </c>
    </row>
    <row r="6935" spans="1:20" x14ac:dyDescent="0.25">
      <c r="A6935">
        <v>9</v>
      </c>
      <c r="B6935">
        <v>199</v>
      </c>
      <c r="C6935" t="str">
        <f>"11"</f>
        <v>11</v>
      </c>
      <c r="D6935">
        <v>6399</v>
      </c>
      <c r="E6935" t="str">
        <f>"8M"</f>
        <v>8M</v>
      </c>
      <c r="F6935" t="str">
        <f>"001"</f>
        <v>001</v>
      </c>
      <c r="G6935">
        <v>9</v>
      </c>
      <c r="H6935" t="str">
        <f>"11"</f>
        <v>11</v>
      </c>
      <c r="I6935" t="str">
        <f t="shared" si="1539"/>
        <v>0</v>
      </c>
      <c r="J6935" t="str">
        <f>"33"</f>
        <v>33</v>
      </c>
      <c r="K6935">
        <v>20190621</v>
      </c>
      <c r="L6935" t="str">
        <f>"077222"</f>
        <v>077222</v>
      </c>
      <c r="M6935" t="str">
        <f>"08788"</f>
        <v>08788</v>
      </c>
      <c r="N6935" t="s">
        <v>473</v>
      </c>
      <c r="O6935">
        <v>466.73</v>
      </c>
      <c r="P6935">
        <v>20190619</v>
      </c>
      <c r="Q6935" t="s">
        <v>1928</v>
      </c>
      <c r="R6935" t="s">
        <v>5504</v>
      </c>
      <c r="S6935" t="s">
        <v>1615</v>
      </c>
      <c r="T6935" t="s">
        <v>301</v>
      </c>
    </row>
    <row r="6936" spans="1:20" x14ac:dyDescent="0.25">
      <c r="A6936">
        <v>9</v>
      </c>
      <c r="B6936">
        <v>199</v>
      </c>
      <c r="C6936" t="str">
        <f>"36"</f>
        <v>36</v>
      </c>
      <c r="D6936">
        <v>6399</v>
      </c>
      <c r="E6936" t="str">
        <f>"3N"</f>
        <v>3N</v>
      </c>
      <c r="F6936" t="str">
        <f>"001"</f>
        <v>001</v>
      </c>
      <c r="G6936">
        <v>9</v>
      </c>
      <c r="H6936" t="str">
        <f>"91"</f>
        <v>91</v>
      </c>
      <c r="I6936" t="str">
        <f>"2"</f>
        <v>2</v>
      </c>
      <c r="J6936" t="str">
        <f>"74"</f>
        <v>74</v>
      </c>
      <c r="K6936">
        <v>20190621</v>
      </c>
      <c r="L6936" t="str">
        <f>"077222"</f>
        <v>077222</v>
      </c>
      <c r="M6936" t="str">
        <f>"08788"</f>
        <v>08788</v>
      </c>
      <c r="N6936" t="s">
        <v>473</v>
      </c>
      <c r="O6936" s="1">
        <v>2000</v>
      </c>
      <c r="P6936">
        <v>20190619</v>
      </c>
      <c r="Q6936" t="s">
        <v>5505</v>
      </c>
      <c r="R6936" t="s">
        <v>1401</v>
      </c>
      <c r="S6936" t="s">
        <v>1615</v>
      </c>
      <c r="T6936" t="s">
        <v>301</v>
      </c>
    </row>
    <row r="6937" spans="1:20" x14ac:dyDescent="0.25">
      <c r="A6937">
        <v>9</v>
      </c>
      <c r="B6937">
        <v>199</v>
      </c>
      <c r="C6937" t="str">
        <f>"11"</f>
        <v>11</v>
      </c>
      <c r="D6937">
        <v>6399</v>
      </c>
      <c r="E6937" t="str">
        <f>"10"</f>
        <v>10</v>
      </c>
      <c r="F6937" t="str">
        <f>"041"</f>
        <v>041</v>
      </c>
      <c r="G6937">
        <v>9</v>
      </c>
      <c r="H6937" t="str">
        <f>"11"</f>
        <v>11</v>
      </c>
      <c r="I6937" t="str">
        <f t="shared" ref="I6937:I6962" si="1543">"0"</f>
        <v>0</v>
      </c>
      <c r="J6937" t="str">
        <f>"80"</f>
        <v>80</v>
      </c>
      <c r="K6937">
        <v>20190621</v>
      </c>
      <c r="L6937" t="str">
        <f>"077223"</f>
        <v>077223</v>
      </c>
      <c r="M6937" t="str">
        <f>"16807"</f>
        <v>16807</v>
      </c>
      <c r="N6937" t="s">
        <v>1581</v>
      </c>
      <c r="O6937" s="1">
        <v>1337</v>
      </c>
      <c r="P6937">
        <v>20190619</v>
      </c>
      <c r="Q6937" t="s">
        <v>2566</v>
      </c>
      <c r="R6937" t="s">
        <v>5506</v>
      </c>
      <c r="S6937" t="s">
        <v>1615</v>
      </c>
      <c r="T6937" t="s">
        <v>106</v>
      </c>
    </row>
    <row r="6938" spans="1:20" x14ac:dyDescent="0.25">
      <c r="A6938">
        <v>9</v>
      </c>
      <c r="B6938">
        <v>199</v>
      </c>
      <c r="C6938" t="str">
        <f>"11"</f>
        <v>11</v>
      </c>
      <c r="D6938">
        <v>6649</v>
      </c>
      <c r="E6938" t="str">
        <f>"8U"</f>
        <v>8U</v>
      </c>
      <c r="F6938" t="str">
        <f>"041"</f>
        <v>041</v>
      </c>
      <c r="G6938">
        <v>9</v>
      </c>
      <c r="H6938" t="str">
        <f>"11"</f>
        <v>11</v>
      </c>
      <c r="I6938" t="str">
        <f t="shared" si="1543"/>
        <v>0</v>
      </c>
      <c r="J6938" t="str">
        <f>"03"</f>
        <v>03</v>
      </c>
      <c r="K6938">
        <v>20190621</v>
      </c>
      <c r="L6938" t="str">
        <f>"077223"</f>
        <v>077223</v>
      </c>
      <c r="M6938" t="str">
        <f>"16807"</f>
        <v>16807</v>
      </c>
      <c r="N6938" t="s">
        <v>1581</v>
      </c>
      <c r="O6938">
        <v>493.46</v>
      </c>
      <c r="P6938">
        <v>20190619</v>
      </c>
      <c r="Q6938" t="s">
        <v>5159</v>
      </c>
      <c r="R6938" t="s">
        <v>5507</v>
      </c>
      <c r="S6938" t="s">
        <v>1615</v>
      </c>
      <c r="T6938" t="s">
        <v>106</v>
      </c>
    </row>
    <row r="6939" spans="1:20" x14ac:dyDescent="0.25">
      <c r="A6939">
        <v>9</v>
      </c>
      <c r="B6939">
        <v>199</v>
      </c>
      <c r="C6939" t="str">
        <f>"53"</f>
        <v>53</v>
      </c>
      <c r="D6939">
        <v>6649</v>
      </c>
      <c r="E6939" t="str">
        <f>"00"</f>
        <v>00</v>
      </c>
      <c r="F6939" t="str">
        <f>"880"</f>
        <v>880</v>
      </c>
      <c r="G6939">
        <v>9</v>
      </c>
      <c r="H6939" t="str">
        <f>"99"</f>
        <v>99</v>
      </c>
      <c r="I6939" t="str">
        <f t="shared" si="1543"/>
        <v>0</v>
      </c>
      <c r="J6939" t="str">
        <f>"80"</f>
        <v>80</v>
      </c>
      <c r="K6939">
        <v>20190621</v>
      </c>
      <c r="L6939" t="str">
        <f>"077223"</f>
        <v>077223</v>
      </c>
      <c r="M6939" t="str">
        <f>"16807"</f>
        <v>16807</v>
      </c>
      <c r="N6939" t="s">
        <v>1581</v>
      </c>
      <c r="O6939">
        <v>175.33</v>
      </c>
      <c r="P6939">
        <v>20190619</v>
      </c>
      <c r="Q6939" t="s">
        <v>5223</v>
      </c>
      <c r="R6939" t="s">
        <v>5508</v>
      </c>
      <c r="S6939" t="s">
        <v>1615</v>
      </c>
      <c r="T6939" t="s">
        <v>1866</v>
      </c>
    </row>
    <row r="6940" spans="1:20" x14ac:dyDescent="0.25">
      <c r="A6940">
        <v>9</v>
      </c>
      <c r="B6940">
        <v>199</v>
      </c>
      <c r="C6940" t="str">
        <f>"31"</f>
        <v>31</v>
      </c>
      <c r="D6940">
        <v>6219</v>
      </c>
      <c r="E6940" t="str">
        <f>"00"</f>
        <v>00</v>
      </c>
      <c r="F6940" t="str">
        <f>"875"</f>
        <v>875</v>
      </c>
      <c r="G6940">
        <v>9</v>
      </c>
      <c r="H6940" t="str">
        <f>"23"</f>
        <v>23</v>
      </c>
      <c r="I6940" t="str">
        <f t="shared" si="1543"/>
        <v>0</v>
      </c>
      <c r="J6940" t="str">
        <f>"23"</f>
        <v>23</v>
      </c>
      <c r="K6940">
        <v>20190621</v>
      </c>
      <c r="L6940" t="str">
        <f>"077224"</f>
        <v>077224</v>
      </c>
      <c r="M6940" t="str">
        <f>"74150"</f>
        <v>74150</v>
      </c>
      <c r="N6940" t="s">
        <v>1691</v>
      </c>
      <c r="O6940" s="1">
        <v>1986.8</v>
      </c>
      <c r="P6940">
        <v>20190619</v>
      </c>
      <c r="Q6940" t="s">
        <v>2207</v>
      </c>
      <c r="R6940" t="s">
        <v>5509</v>
      </c>
      <c r="S6940" t="s">
        <v>1615</v>
      </c>
      <c r="T6940" t="s">
        <v>2041</v>
      </c>
    </row>
    <row r="6941" spans="1:20" x14ac:dyDescent="0.25">
      <c r="A6941">
        <v>9</v>
      </c>
      <c r="B6941">
        <v>199</v>
      </c>
      <c r="C6941" t="str">
        <f>"51"</f>
        <v>51</v>
      </c>
      <c r="D6941">
        <v>6256</v>
      </c>
      <c r="E6941" t="str">
        <f>"13"</f>
        <v>13</v>
      </c>
      <c r="F6941" t="str">
        <f>"880"</f>
        <v>880</v>
      </c>
      <c r="G6941">
        <v>9</v>
      </c>
      <c r="H6941" t="str">
        <f t="shared" ref="H6941:H6950" si="1544">"99"</f>
        <v>99</v>
      </c>
      <c r="I6941" t="str">
        <f t="shared" si="1543"/>
        <v>0</v>
      </c>
      <c r="J6941" t="str">
        <f>"80"</f>
        <v>80</v>
      </c>
      <c r="K6941">
        <v>20190621</v>
      </c>
      <c r="L6941" t="str">
        <f>"077225"</f>
        <v>077225</v>
      </c>
      <c r="M6941" t="str">
        <f>"21146"</f>
        <v>21146</v>
      </c>
      <c r="N6941" t="s">
        <v>2367</v>
      </c>
      <c r="O6941">
        <v>412.8</v>
      </c>
      <c r="P6941">
        <v>20190619</v>
      </c>
      <c r="Q6941" t="s">
        <v>2368</v>
      </c>
      <c r="R6941" t="s">
        <v>5419</v>
      </c>
      <c r="S6941" t="s">
        <v>1615</v>
      </c>
      <c r="T6941" t="s">
        <v>1866</v>
      </c>
    </row>
    <row r="6942" spans="1:20" x14ac:dyDescent="0.25">
      <c r="A6942">
        <v>9</v>
      </c>
      <c r="B6942">
        <v>199</v>
      </c>
      <c r="C6942" t="str">
        <f>"53"</f>
        <v>53</v>
      </c>
      <c r="D6942">
        <v>6649</v>
      </c>
      <c r="E6942" t="str">
        <f>"00"</f>
        <v>00</v>
      </c>
      <c r="F6942" t="str">
        <f>"880"</f>
        <v>880</v>
      </c>
      <c r="G6942">
        <v>9</v>
      </c>
      <c r="H6942" t="str">
        <f t="shared" si="1544"/>
        <v>99</v>
      </c>
      <c r="I6942" t="str">
        <f t="shared" si="1543"/>
        <v>0</v>
      </c>
      <c r="J6942" t="str">
        <f>"80"</f>
        <v>80</v>
      </c>
      <c r="K6942">
        <v>20190621</v>
      </c>
      <c r="L6942" t="str">
        <f>"077226"</f>
        <v>077226</v>
      </c>
      <c r="M6942" t="str">
        <f>"21468"</f>
        <v>21468</v>
      </c>
      <c r="N6942" t="s">
        <v>2369</v>
      </c>
      <c r="O6942" s="1">
        <v>4411</v>
      </c>
      <c r="P6942">
        <v>20190619</v>
      </c>
      <c r="Q6942" t="s">
        <v>5223</v>
      </c>
      <c r="R6942" t="s">
        <v>5510</v>
      </c>
      <c r="S6942" t="s">
        <v>1615</v>
      </c>
      <c r="T6942" t="s">
        <v>1866</v>
      </c>
    </row>
    <row r="6943" spans="1:20" x14ac:dyDescent="0.25">
      <c r="A6943">
        <v>9</v>
      </c>
      <c r="B6943">
        <v>199</v>
      </c>
      <c r="C6943" t="str">
        <f>"41"</f>
        <v>41</v>
      </c>
      <c r="D6943">
        <v>6491</v>
      </c>
      <c r="E6943" t="str">
        <f>"10"</f>
        <v>10</v>
      </c>
      <c r="F6943" t="str">
        <f>"939"</f>
        <v>939</v>
      </c>
      <c r="G6943">
        <v>9</v>
      </c>
      <c r="H6943" t="str">
        <f t="shared" si="1544"/>
        <v>99</v>
      </c>
      <c r="I6943" t="str">
        <f t="shared" si="1543"/>
        <v>0</v>
      </c>
      <c r="J6943" t="str">
        <f>"87"</f>
        <v>87</v>
      </c>
      <c r="K6943">
        <v>20190621</v>
      </c>
      <c r="L6943" t="str">
        <f>"077227"</f>
        <v>077227</v>
      </c>
      <c r="M6943" t="str">
        <f>"21860"</f>
        <v>21860</v>
      </c>
      <c r="N6943" t="s">
        <v>3860</v>
      </c>
      <c r="O6943">
        <v>354.2</v>
      </c>
      <c r="P6943">
        <v>20190619</v>
      </c>
      <c r="Q6943" t="s">
        <v>3861</v>
      </c>
      <c r="R6943" t="s">
        <v>5511</v>
      </c>
      <c r="S6943" t="s">
        <v>1615</v>
      </c>
      <c r="T6943" t="s">
        <v>2985</v>
      </c>
    </row>
    <row r="6944" spans="1:20" x14ac:dyDescent="0.25">
      <c r="A6944">
        <v>9</v>
      </c>
      <c r="B6944">
        <v>199</v>
      </c>
      <c r="C6944" t="str">
        <f>"41"</f>
        <v>41</v>
      </c>
      <c r="D6944">
        <v>6491</v>
      </c>
      <c r="E6944" t="str">
        <f>"10"</f>
        <v>10</v>
      </c>
      <c r="F6944" t="str">
        <f>"939"</f>
        <v>939</v>
      </c>
      <c r="G6944">
        <v>9</v>
      </c>
      <c r="H6944" t="str">
        <f t="shared" si="1544"/>
        <v>99</v>
      </c>
      <c r="I6944" t="str">
        <f t="shared" si="1543"/>
        <v>0</v>
      </c>
      <c r="J6944" t="str">
        <f>"87"</f>
        <v>87</v>
      </c>
      <c r="K6944">
        <v>20190621</v>
      </c>
      <c r="L6944" t="str">
        <f>"077227"</f>
        <v>077227</v>
      </c>
      <c r="M6944" t="str">
        <f>"21860"</f>
        <v>21860</v>
      </c>
      <c r="N6944" t="s">
        <v>3860</v>
      </c>
      <c r="O6944">
        <v>169.9</v>
      </c>
      <c r="P6944">
        <v>20190619</v>
      </c>
      <c r="Q6944" t="s">
        <v>3861</v>
      </c>
      <c r="R6944" t="s">
        <v>5512</v>
      </c>
      <c r="S6944" t="s">
        <v>1615</v>
      </c>
      <c r="T6944" t="s">
        <v>2985</v>
      </c>
    </row>
    <row r="6945" spans="1:20" x14ac:dyDescent="0.25">
      <c r="A6945">
        <v>9</v>
      </c>
      <c r="B6945">
        <v>199</v>
      </c>
      <c r="C6945" t="str">
        <f>"36"</f>
        <v>36</v>
      </c>
      <c r="D6945">
        <v>6399</v>
      </c>
      <c r="E6945" t="str">
        <f>"7C"</f>
        <v>7C</v>
      </c>
      <c r="F6945" t="str">
        <f>"001"</f>
        <v>001</v>
      </c>
      <c r="G6945">
        <v>9</v>
      </c>
      <c r="H6945" t="str">
        <f t="shared" si="1544"/>
        <v>99</v>
      </c>
      <c r="I6945" t="str">
        <f t="shared" si="1543"/>
        <v>0</v>
      </c>
      <c r="J6945" t="str">
        <f>"01"</f>
        <v>01</v>
      </c>
      <c r="K6945">
        <v>20190621</v>
      </c>
      <c r="L6945" t="str">
        <f>"077228"</f>
        <v>077228</v>
      </c>
      <c r="M6945" t="str">
        <f>"23665"</f>
        <v>23665</v>
      </c>
      <c r="N6945" t="s">
        <v>4502</v>
      </c>
      <c r="O6945">
        <v>202.29</v>
      </c>
      <c r="P6945">
        <v>20190619</v>
      </c>
      <c r="Q6945" t="s">
        <v>4579</v>
      </c>
      <c r="R6945" t="s">
        <v>5513</v>
      </c>
      <c r="S6945" t="s">
        <v>1615</v>
      </c>
      <c r="T6945" t="s">
        <v>301</v>
      </c>
    </row>
    <row r="6946" spans="1:20" x14ac:dyDescent="0.25">
      <c r="A6946">
        <v>9</v>
      </c>
      <c r="B6946">
        <v>199</v>
      </c>
      <c r="C6946" t="str">
        <f>"51"</f>
        <v>51</v>
      </c>
      <c r="D6946">
        <v>6249</v>
      </c>
      <c r="E6946" t="str">
        <f>"MC"</f>
        <v>MC</v>
      </c>
      <c r="F6946" t="str">
        <f>"001"</f>
        <v>001</v>
      </c>
      <c r="G6946">
        <v>9</v>
      </c>
      <c r="H6946" t="str">
        <f t="shared" si="1544"/>
        <v>99</v>
      </c>
      <c r="I6946" t="str">
        <f t="shared" si="1543"/>
        <v>0</v>
      </c>
      <c r="J6946" t="str">
        <f>"81"</f>
        <v>81</v>
      </c>
      <c r="K6946">
        <v>20190621</v>
      </c>
      <c r="L6946" t="str">
        <f>"077229"</f>
        <v>077229</v>
      </c>
      <c r="M6946" t="str">
        <f>"24130"</f>
        <v>24130</v>
      </c>
      <c r="N6946" t="s">
        <v>567</v>
      </c>
      <c r="O6946">
        <v>350</v>
      </c>
      <c r="P6946">
        <v>20190619</v>
      </c>
      <c r="Q6946" t="s">
        <v>2386</v>
      </c>
      <c r="R6946" t="s">
        <v>5514</v>
      </c>
      <c r="S6946" t="s">
        <v>1615</v>
      </c>
      <c r="T6946" t="s">
        <v>301</v>
      </c>
    </row>
    <row r="6947" spans="1:20" x14ac:dyDescent="0.25">
      <c r="A6947">
        <v>9</v>
      </c>
      <c r="B6947">
        <v>199</v>
      </c>
      <c r="C6947" t="str">
        <f>"51"</f>
        <v>51</v>
      </c>
      <c r="D6947">
        <v>6249</v>
      </c>
      <c r="E6947" t="str">
        <f>"MC"</f>
        <v>MC</v>
      </c>
      <c r="F6947" t="str">
        <f>"104"</f>
        <v>104</v>
      </c>
      <c r="G6947">
        <v>9</v>
      </c>
      <c r="H6947" t="str">
        <f t="shared" si="1544"/>
        <v>99</v>
      </c>
      <c r="I6947" t="str">
        <f t="shared" si="1543"/>
        <v>0</v>
      </c>
      <c r="J6947" t="str">
        <f>"81"</f>
        <v>81</v>
      </c>
      <c r="K6947">
        <v>20190621</v>
      </c>
      <c r="L6947" t="str">
        <f>"077229"</f>
        <v>077229</v>
      </c>
      <c r="M6947" t="str">
        <f>"24130"</f>
        <v>24130</v>
      </c>
      <c r="N6947" t="s">
        <v>567</v>
      </c>
      <c r="O6947">
        <v>844.75</v>
      </c>
      <c r="P6947">
        <v>20190619</v>
      </c>
      <c r="Q6947" t="s">
        <v>1744</v>
      </c>
      <c r="R6947" t="s">
        <v>5515</v>
      </c>
      <c r="S6947" t="s">
        <v>1615</v>
      </c>
      <c r="T6947" t="s">
        <v>46</v>
      </c>
    </row>
    <row r="6948" spans="1:20" x14ac:dyDescent="0.25">
      <c r="A6948">
        <v>9</v>
      </c>
      <c r="B6948">
        <v>199</v>
      </c>
      <c r="C6948" t="str">
        <f>"51"</f>
        <v>51</v>
      </c>
      <c r="D6948">
        <v>6249</v>
      </c>
      <c r="E6948" t="str">
        <f>"MC"</f>
        <v>MC</v>
      </c>
      <c r="F6948" t="str">
        <f>"104"</f>
        <v>104</v>
      </c>
      <c r="G6948">
        <v>9</v>
      </c>
      <c r="H6948" t="str">
        <f t="shared" si="1544"/>
        <v>99</v>
      </c>
      <c r="I6948" t="str">
        <f t="shared" si="1543"/>
        <v>0</v>
      </c>
      <c r="J6948" t="str">
        <f>"81"</f>
        <v>81</v>
      </c>
      <c r="K6948">
        <v>20190621</v>
      </c>
      <c r="L6948" t="str">
        <f>"077229"</f>
        <v>077229</v>
      </c>
      <c r="M6948" t="str">
        <f>"24130"</f>
        <v>24130</v>
      </c>
      <c r="N6948" t="s">
        <v>567</v>
      </c>
      <c r="O6948">
        <v>716</v>
      </c>
      <c r="P6948">
        <v>20190619</v>
      </c>
      <c r="Q6948" t="s">
        <v>1744</v>
      </c>
      <c r="R6948" t="s">
        <v>5516</v>
      </c>
      <c r="S6948" t="s">
        <v>1615</v>
      </c>
      <c r="T6948" t="s">
        <v>46</v>
      </c>
    </row>
    <row r="6949" spans="1:20" x14ac:dyDescent="0.25">
      <c r="A6949">
        <v>9</v>
      </c>
      <c r="B6949">
        <v>199</v>
      </c>
      <c r="C6949" t="str">
        <f>"53"</f>
        <v>53</v>
      </c>
      <c r="D6949">
        <v>6639</v>
      </c>
      <c r="E6949" t="str">
        <f>"00"</f>
        <v>00</v>
      </c>
      <c r="F6949" t="str">
        <f>"880"</f>
        <v>880</v>
      </c>
      <c r="G6949">
        <v>9</v>
      </c>
      <c r="H6949" t="str">
        <f t="shared" si="1544"/>
        <v>99</v>
      </c>
      <c r="I6949" t="str">
        <f t="shared" si="1543"/>
        <v>0</v>
      </c>
      <c r="J6949" t="str">
        <f>"80"</f>
        <v>80</v>
      </c>
      <c r="K6949">
        <v>20190621</v>
      </c>
      <c r="L6949" t="str">
        <f>"077231"</f>
        <v>077231</v>
      </c>
      <c r="M6949" t="str">
        <f>"25165"</f>
        <v>25165</v>
      </c>
      <c r="N6949" t="s">
        <v>2860</v>
      </c>
      <c r="O6949" s="1">
        <v>7743.9</v>
      </c>
      <c r="P6949">
        <v>20190619</v>
      </c>
      <c r="Q6949" t="s">
        <v>5517</v>
      </c>
      <c r="R6949" t="s">
        <v>5518</v>
      </c>
      <c r="S6949" t="s">
        <v>1615</v>
      </c>
      <c r="T6949" t="s">
        <v>1866</v>
      </c>
    </row>
    <row r="6950" spans="1:20" x14ac:dyDescent="0.25">
      <c r="A6950">
        <v>9</v>
      </c>
      <c r="B6950">
        <v>199</v>
      </c>
      <c r="C6950" t="str">
        <f>"53"</f>
        <v>53</v>
      </c>
      <c r="D6950">
        <v>6649</v>
      </c>
      <c r="E6950" t="str">
        <f>"00"</f>
        <v>00</v>
      </c>
      <c r="F6950" t="str">
        <f>"880"</f>
        <v>880</v>
      </c>
      <c r="G6950">
        <v>9</v>
      </c>
      <c r="H6950" t="str">
        <f t="shared" si="1544"/>
        <v>99</v>
      </c>
      <c r="I6950" t="str">
        <f t="shared" si="1543"/>
        <v>0</v>
      </c>
      <c r="J6950" t="str">
        <f>"80"</f>
        <v>80</v>
      </c>
      <c r="K6950">
        <v>20190621</v>
      </c>
      <c r="L6950" t="str">
        <f>"077231"</f>
        <v>077231</v>
      </c>
      <c r="M6950" t="str">
        <f>"25165"</f>
        <v>25165</v>
      </c>
      <c r="N6950" t="s">
        <v>2860</v>
      </c>
      <c r="O6950" s="1">
        <v>2449.44</v>
      </c>
      <c r="P6950">
        <v>20190619</v>
      </c>
      <c r="Q6950" t="s">
        <v>5223</v>
      </c>
      <c r="R6950" t="s">
        <v>3546</v>
      </c>
      <c r="S6950" t="s">
        <v>1615</v>
      </c>
      <c r="T6950" t="s">
        <v>1866</v>
      </c>
    </row>
    <row r="6951" spans="1:20" x14ac:dyDescent="0.25">
      <c r="A6951">
        <v>9</v>
      </c>
      <c r="B6951">
        <v>199</v>
      </c>
      <c r="C6951" t="str">
        <f>"13"</f>
        <v>13</v>
      </c>
      <c r="D6951">
        <v>6411</v>
      </c>
      <c r="E6951" t="str">
        <f>"PD"</f>
        <v>PD</v>
      </c>
      <c r="F6951" t="str">
        <f>"001"</f>
        <v>001</v>
      </c>
      <c r="G6951">
        <v>9</v>
      </c>
      <c r="H6951" t="str">
        <f>"31"</f>
        <v>31</v>
      </c>
      <c r="I6951" t="str">
        <f t="shared" si="1543"/>
        <v>0</v>
      </c>
      <c r="J6951" t="str">
        <f>"34"</f>
        <v>34</v>
      </c>
      <c r="K6951">
        <v>20190621</v>
      </c>
      <c r="L6951" t="str">
        <f>"077232"</f>
        <v>077232</v>
      </c>
      <c r="M6951" t="str">
        <f>"26390"</f>
        <v>26390</v>
      </c>
      <c r="N6951" t="s">
        <v>3021</v>
      </c>
      <c r="O6951">
        <v>715.04</v>
      </c>
      <c r="P6951">
        <v>20190619</v>
      </c>
      <c r="Q6951" t="s">
        <v>2220</v>
      </c>
      <c r="R6951" t="s">
        <v>4692</v>
      </c>
      <c r="S6951" t="s">
        <v>1615</v>
      </c>
      <c r="T6951" t="s">
        <v>301</v>
      </c>
    </row>
    <row r="6952" spans="1:20" x14ac:dyDescent="0.25">
      <c r="A6952">
        <v>9</v>
      </c>
      <c r="B6952">
        <v>199</v>
      </c>
      <c r="C6952" t="str">
        <f>"12"</f>
        <v>12</v>
      </c>
      <c r="D6952">
        <v>6329</v>
      </c>
      <c r="E6952" t="str">
        <f>"7U"</f>
        <v>7U</v>
      </c>
      <c r="F6952" t="str">
        <f>"104"</f>
        <v>104</v>
      </c>
      <c r="G6952">
        <v>9</v>
      </c>
      <c r="H6952" t="str">
        <f>"11"</f>
        <v>11</v>
      </c>
      <c r="I6952" t="str">
        <f t="shared" si="1543"/>
        <v>0</v>
      </c>
      <c r="J6952" t="str">
        <f>"05"</f>
        <v>05</v>
      </c>
      <c r="K6952">
        <v>20190621</v>
      </c>
      <c r="L6952" t="str">
        <f>"077233"</f>
        <v>077233</v>
      </c>
      <c r="M6952" t="str">
        <f>"27038"</f>
        <v>27038</v>
      </c>
      <c r="N6952" t="s">
        <v>3552</v>
      </c>
      <c r="O6952">
        <v>108.62</v>
      </c>
      <c r="P6952">
        <v>20190619</v>
      </c>
      <c r="Q6952" t="s">
        <v>2848</v>
      </c>
      <c r="R6952" t="s">
        <v>5519</v>
      </c>
      <c r="S6952" t="s">
        <v>1615</v>
      </c>
      <c r="T6952" t="s">
        <v>46</v>
      </c>
    </row>
    <row r="6953" spans="1:20" x14ac:dyDescent="0.25">
      <c r="A6953">
        <v>9</v>
      </c>
      <c r="B6953">
        <v>199</v>
      </c>
      <c r="C6953" t="str">
        <f>"41"</f>
        <v>41</v>
      </c>
      <c r="D6953">
        <v>6499</v>
      </c>
      <c r="E6953" t="str">
        <f>"12"</f>
        <v>12</v>
      </c>
      <c r="F6953" t="str">
        <f>"720"</f>
        <v>720</v>
      </c>
      <c r="G6953">
        <v>9</v>
      </c>
      <c r="H6953" t="str">
        <f>"99"</f>
        <v>99</v>
      </c>
      <c r="I6953" t="str">
        <f t="shared" si="1543"/>
        <v>0</v>
      </c>
      <c r="J6953" t="str">
        <f>"91"</f>
        <v>91</v>
      </c>
      <c r="K6953">
        <v>20190621</v>
      </c>
      <c r="L6953" t="str">
        <f>"077235"</f>
        <v>077235</v>
      </c>
      <c r="M6953" t="str">
        <f>"28820"</f>
        <v>28820</v>
      </c>
      <c r="N6953" t="s">
        <v>2224</v>
      </c>
      <c r="O6953">
        <v>14.7</v>
      </c>
      <c r="P6953">
        <v>20190619</v>
      </c>
      <c r="Q6953" t="s">
        <v>2225</v>
      </c>
      <c r="R6953" t="s">
        <v>2227</v>
      </c>
      <c r="S6953" t="s">
        <v>1615</v>
      </c>
      <c r="T6953" t="s">
        <v>2045</v>
      </c>
    </row>
    <row r="6954" spans="1:20" x14ac:dyDescent="0.25">
      <c r="A6954">
        <v>9</v>
      </c>
      <c r="B6954">
        <v>199</v>
      </c>
      <c r="C6954" t="str">
        <f>"41"</f>
        <v>41</v>
      </c>
      <c r="D6954">
        <v>6499</v>
      </c>
      <c r="E6954" t="str">
        <f>"12"</f>
        <v>12</v>
      </c>
      <c r="F6954" t="str">
        <f>"720"</f>
        <v>720</v>
      </c>
      <c r="G6954">
        <v>9</v>
      </c>
      <c r="H6954" t="str">
        <f>"99"</f>
        <v>99</v>
      </c>
      <c r="I6954" t="str">
        <f t="shared" si="1543"/>
        <v>0</v>
      </c>
      <c r="J6954" t="str">
        <f>"91"</f>
        <v>91</v>
      </c>
      <c r="K6954">
        <v>20190621</v>
      </c>
      <c r="L6954" t="str">
        <f>"077235"</f>
        <v>077235</v>
      </c>
      <c r="M6954" t="str">
        <f>"28820"</f>
        <v>28820</v>
      </c>
      <c r="N6954" t="s">
        <v>2224</v>
      </c>
      <c r="O6954">
        <v>50.15</v>
      </c>
      <c r="P6954">
        <v>20190619</v>
      </c>
      <c r="Q6954" t="s">
        <v>2225</v>
      </c>
      <c r="R6954" t="s">
        <v>2615</v>
      </c>
      <c r="S6954" t="s">
        <v>1615</v>
      </c>
      <c r="T6954" t="s">
        <v>2045</v>
      </c>
    </row>
    <row r="6955" spans="1:20" x14ac:dyDescent="0.25">
      <c r="A6955">
        <v>9</v>
      </c>
      <c r="B6955">
        <v>199</v>
      </c>
      <c r="C6955" t="str">
        <f>"53"</f>
        <v>53</v>
      </c>
      <c r="D6955">
        <v>6399</v>
      </c>
      <c r="E6955" t="str">
        <f>"10"</f>
        <v>10</v>
      </c>
      <c r="F6955" t="str">
        <f>"880"</f>
        <v>880</v>
      </c>
      <c r="G6955">
        <v>9</v>
      </c>
      <c r="H6955" t="str">
        <f>"99"</f>
        <v>99</v>
      </c>
      <c r="I6955" t="str">
        <f t="shared" si="1543"/>
        <v>0</v>
      </c>
      <c r="J6955" t="str">
        <f>"80"</f>
        <v>80</v>
      </c>
      <c r="K6955">
        <v>20190621</v>
      </c>
      <c r="L6955" t="str">
        <f>"077237"</f>
        <v>077237</v>
      </c>
      <c r="M6955" t="str">
        <f>"30390"</f>
        <v>30390</v>
      </c>
      <c r="N6955" t="s">
        <v>2624</v>
      </c>
      <c r="O6955">
        <v>311.43</v>
      </c>
      <c r="P6955">
        <v>20190619</v>
      </c>
      <c r="Q6955" t="s">
        <v>1865</v>
      </c>
      <c r="R6955" t="s">
        <v>5520</v>
      </c>
      <c r="S6955" t="s">
        <v>1615</v>
      </c>
      <c r="T6955" t="s">
        <v>1866</v>
      </c>
    </row>
    <row r="6956" spans="1:20" x14ac:dyDescent="0.25">
      <c r="A6956">
        <v>9</v>
      </c>
      <c r="B6956">
        <v>199</v>
      </c>
      <c r="C6956" t="str">
        <f>"34"</f>
        <v>34</v>
      </c>
      <c r="D6956">
        <v>6311</v>
      </c>
      <c r="E6956" t="str">
        <f>"10"</f>
        <v>10</v>
      </c>
      <c r="F6956" t="str">
        <f>"937"</f>
        <v>937</v>
      </c>
      <c r="G6956">
        <v>9</v>
      </c>
      <c r="H6956" t="str">
        <f>"99"</f>
        <v>99</v>
      </c>
      <c r="I6956" t="str">
        <f t="shared" si="1543"/>
        <v>0</v>
      </c>
      <c r="J6956" t="str">
        <f>"82"</f>
        <v>82</v>
      </c>
      <c r="K6956">
        <v>20190621</v>
      </c>
      <c r="L6956" t="str">
        <f>"077238"</f>
        <v>077238</v>
      </c>
      <c r="M6956" t="str">
        <f>"30744"</f>
        <v>30744</v>
      </c>
      <c r="N6956" t="s">
        <v>422</v>
      </c>
      <c r="O6956">
        <v>77.66</v>
      </c>
      <c r="P6956">
        <v>20190619</v>
      </c>
      <c r="Q6956" t="s">
        <v>1914</v>
      </c>
      <c r="R6956" t="s">
        <v>5087</v>
      </c>
      <c r="S6956" t="s">
        <v>1615</v>
      </c>
      <c r="T6956" t="s">
        <v>1810</v>
      </c>
    </row>
    <row r="6957" spans="1:20" x14ac:dyDescent="0.25">
      <c r="A6957">
        <v>9</v>
      </c>
      <c r="B6957">
        <v>199</v>
      </c>
      <c r="C6957" t="str">
        <f>"34"</f>
        <v>34</v>
      </c>
      <c r="D6957">
        <v>6311</v>
      </c>
      <c r="E6957" t="str">
        <f>"10"</f>
        <v>10</v>
      </c>
      <c r="F6957" t="str">
        <f>"937"</f>
        <v>937</v>
      </c>
      <c r="G6957">
        <v>9</v>
      </c>
      <c r="H6957" t="str">
        <f>"99"</f>
        <v>99</v>
      </c>
      <c r="I6957" t="str">
        <f t="shared" si="1543"/>
        <v>0</v>
      </c>
      <c r="J6957" t="str">
        <f>"82"</f>
        <v>82</v>
      </c>
      <c r="K6957">
        <v>20190621</v>
      </c>
      <c r="L6957" t="str">
        <f>"077238"</f>
        <v>077238</v>
      </c>
      <c r="M6957" t="str">
        <f>"30744"</f>
        <v>30744</v>
      </c>
      <c r="N6957" t="s">
        <v>422</v>
      </c>
      <c r="O6957">
        <v>72.489999999999995</v>
      </c>
      <c r="P6957">
        <v>20190619</v>
      </c>
      <c r="Q6957" t="s">
        <v>1914</v>
      </c>
      <c r="R6957" t="s">
        <v>5087</v>
      </c>
      <c r="S6957" t="s">
        <v>1615</v>
      </c>
      <c r="T6957" t="s">
        <v>1810</v>
      </c>
    </row>
    <row r="6958" spans="1:20" x14ac:dyDescent="0.25">
      <c r="A6958">
        <v>9</v>
      </c>
      <c r="B6958">
        <v>199</v>
      </c>
      <c r="C6958" t="str">
        <f>"13"</f>
        <v>13</v>
      </c>
      <c r="D6958">
        <v>6411</v>
      </c>
      <c r="E6958" t="str">
        <f>"NL"</f>
        <v>NL</v>
      </c>
      <c r="F6958" t="str">
        <f>"001"</f>
        <v>001</v>
      </c>
      <c r="G6958">
        <v>9</v>
      </c>
      <c r="H6958" t="str">
        <f>"22"</f>
        <v>22</v>
      </c>
      <c r="I6958" t="str">
        <f t="shared" si="1543"/>
        <v>0</v>
      </c>
      <c r="J6958" t="str">
        <f>"22"</f>
        <v>22</v>
      </c>
      <c r="K6958">
        <v>20190621</v>
      </c>
      <c r="L6958" t="str">
        <f>"077239"</f>
        <v>077239</v>
      </c>
      <c r="M6958" t="str">
        <f>"00084"</f>
        <v>00084</v>
      </c>
      <c r="N6958" t="s">
        <v>3947</v>
      </c>
      <c r="O6958">
        <v>489.45</v>
      </c>
      <c r="P6958">
        <v>20190619</v>
      </c>
      <c r="Q6958" t="s">
        <v>4676</v>
      </c>
      <c r="R6958" t="s">
        <v>4954</v>
      </c>
      <c r="S6958" t="s">
        <v>1615</v>
      </c>
      <c r="T6958" t="s">
        <v>301</v>
      </c>
    </row>
    <row r="6959" spans="1:20" x14ac:dyDescent="0.25">
      <c r="A6959">
        <v>9</v>
      </c>
      <c r="B6959">
        <v>199</v>
      </c>
      <c r="C6959" t="str">
        <f>"13"</f>
        <v>13</v>
      </c>
      <c r="D6959">
        <v>6411</v>
      </c>
      <c r="E6959" t="str">
        <f>"7E"</f>
        <v>7E</v>
      </c>
      <c r="F6959" t="str">
        <f>"001"</f>
        <v>001</v>
      </c>
      <c r="G6959">
        <v>9</v>
      </c>
      <c r="H6959" t="str">
        <f>"11"</f>
        <v>11</v>
      </c>
      <c r="I6959" t="str">
        <f t="shared" si="1543"/>
        <v>0</v>
      </c>
      <c r="J6959" t="str">
        <f>"31"</f>
        <v>31</v>
      </c>
      <c r="K6959">
        <v>20190621</v>
      </c>
      <c r="L6959" t="str">
        <f>"077240"</f>
        <v>077240</v>
      </c>
      <c r="M6959" t="str">
        <f>"34575"</f>
        <v>34575</v>
      </c>
      <c r="N6959" t="s">
        <v>3650</v>
      </c>
      <c r="O6959">
        <v>891.48</v>
      </c>
      <c r="P6959">
        <v>20190619</v>
      </c>
      <c r="Q6959" t="s">
        <v>5521</v>
      </c>
      <c r="R6959" t="s">
        <v>5522</v>
      </c>
      <c r="S6959" t="s">
        <v>1615</v>
      </c>
      <c r="T6959" t="s">
        <v>301</v>
      </c>
    </row>
    <row r="6960" spans="1:20" x14ac:dyDescent="0.25">
      <c r="A6960">
        <v>9</v>
      </c>
      <c r="B6960">
        <v>199</v>
      </c>
      <c r="C6960" t="str">
        <f>"00"</f>
        <v>00</v>
      </c>
      <c r="D6960">
        <v>1312</v>
      </c>
      <c r="E6960" t="str">
        <f>"00"</f>
        <v>00</v>
      </c>
      <c r="F6960" t="str">
        <f>"000"</f>
        <v>000</v>
      </c>
      <c r="G6960">
        <v>9</v>
      </c>
      <c r="H6960" t="str">
        <f>"00"</f>
        <v>00</v>
      </c>
      <c r="I6960" t="str">
        <f t="shared" si="1543"/>
        <v>0</v>
      </c>
      <c r="J6960" t="str">
        <f>"00"</f>
        <v>00</v>
      </c>
      <c r="K6960">
        <v>20190621</v>
      </c>
      <c r="L6960" t="str">
        <f>"077241"</f>
        <v>077241</v>
      </c>
      <c r="M6960" t="str">
        <f>"35430"</f>
        <v>35430</v>
      </c>
      <c r="N6960" t="s">
        <v>5523</v>
      </c>
      <c r="O6960">
        <v>467</v>
      </c>
      <c r="P6960">
        <v>20190619</v>
      </c>
      <c r="Q6960" t="s">
        <v>1860</v>
      </c>
      <c r="R6960" t="s">
        <v>3482</v>
      </c>
      <c r="S6960" t="s">
        <v>1615</v>
      </c>
      <c r="T6960" t="s">
        <v>296</v>
      </c>
    </row>
    <row r="6961" spans="1:20" x14ac:dyDescent="0.25">
      <c r="A6961">
        <v>9</v>
      </c>
      <c r="B6961">
        <v>199</v>
      </c>
      <c r="C6961" t="str">
        <f>"11"</f>
        <v>11</v>
      </c>
      <c r="D6961">
        <v>6249</v>
      </c>
      <c r="E6961" t="str">
        <f>"7B"</f>
        <v>7B</v>
      </c>
      <c r="F6961" t="str">
        <f>"041"</f>
        <v>041</v>
      </c>
      <c r="G6961">
        <v>9</v>
      </c>
      <c r="H6961" t="str">
        <f>"11"</f>
        <v>11</v>
      </c>
      <c r="I6961" t="str">
        <f t="shared" si="1543"/>
        <v>0</v>
      </c>
      <c r="J6961" t="str">
        <f>"36"</f>
        <v>36</v>
      </c>
      <c r="K6961">
        <v>20190621</v>
      </c>
      <c r="L6961" t="str">
        <f>"077242"</f>
        <v>077242</v>
      </c>
      <c r="M6961" t="str">
        <f>"39572"</f>
        <v>39572</v>
      </c>
      <c r="N6961" t="s">
        <v>2233</v>
      </c>
      <c r="O6961">
        <v>54.99</v>
      </c>
      <c r="P6961">
        <v>20190619</v>
      </c>
      <c r="Q6961" t="s">
        <v>2672</v>
      </c>
      <c r="R6961" t="s">
        <v>5524</v>
      </c>
      <c r="S6961" t="s">
        <v>1615</v>
      </c>
      <c r="T6961" t="s">
        <v>106</v>
      </c>
    </row>
    <row r="6962" spans="1:20" x14ac:dyDescent="0.25">
      <c r="A6962">
        <v>9</v>
      </c>
      <c r="B6962">
        <v>199</v>
      </c>
      <c r="C6962" t="str">
        <f>"51"</f>
        <v>51</v>
      </c>
      <c r="D6962">
        <v>6639</v>
      </c>
      <c r="E6962" t="str">
        <f>"M3"</f>
        <v>M3</v>
      </c>
      <c r="F6962" t="str">
        <f>"936"</f>
        <v>936</v>
      </c>
      <c r="G6962">
        <v>9</v>
      </c>
      <c r="H6962" t="str">
        <f t="shared" ref="H6962:H6973" si="1545">"99"</f>
        <v>99</v>
      </c>
      <c r="I6962" t="str">
        <f t="shared" si="1543"/>
        <v>0</v>
      </c>
      <c r="J6962" t="str">
        <f>"81"</f>
        <v>81</v>
      </c>
      <c r="K6962">
        <v>20190621</v>
      </c>
      <c r="L6962" t="str">
        <f>"077243"</f>
        <v>077243</v>
      </c>
      <c r="M6962" t="str">
        <f>"00125"</f>
        <v>00125</v>
      </c>
      <c r="N6962" t="s">
        <v>2245</v>
      </c>
      <c r="O6962" s="1">
        <v>26594.94</v>
      </c>
      <c r="P6962">
        <v>20190619</v>
      </c>
      <c r="Q6962" t="s">
        <v>5177</v>
      </c>
      <c r="R6962" t="s">
        <v>5525</v>
      </c>
      <c r="S6962" t="s">
        <v>1615</v>
      </c>
      <c r="T6962" t="s">
        <v>1713</v>
      </c>
    </row>
    <row r="6963" spans="1:20" x14ac:dyDescent="0.25">
      <c r="A6963">
        <v>9</v>
      </c>
      <c r="B6963">
        <v>199</v>
      </c>
      <c r="C6963" t="str">
        <f>"51"</f>
        <v>51</v>
      </c>
      <c r="D6963">
        <v>6254</v>
      </c>
      <c r="E6963" t="str">
        <f>"ME"</f>
        <v>ME</v>
      </c>
      <c r="F6963" t="str">
        <f>"936"</f>
        <v>936</v>
      </c>
      <c r="G6963">
        <v>9</v>
      </c>
      <c r="H6963" t="str">
        <f t="shared" si="1545"/>
        <v>99</v>
      </c>
      <c r="I6963" t="str">
        <f>"1"</f>
        <v>1</v>
      </c>
      <c r="J6963" t="str">
        <f>"73"</f>
        <v>73</v>
      </c>
      <c r="K6963">
        <v>20190621</v>
      </c>
      <c r="L6963" t="str">
        <f>"077244"</f>
        <v>077244</v>
      </c>
      <c r="M6963" t="str">
        <f>"42194"</f>
        <v>42194</v>
      </c>
      <c r="N6963" t="s">
        <v>1736</v>
      </c>
      <c r="O6963" s="1">
        <v>69850.87</v>
      </c>
      <c r="P6963">
        <v>20190619</v>
      </c>
      <c r="Q6963" t="s">
        <v>1891</v>
      </c>
      <c r="R6963" t="s">
        <v>5526</v>
      </c>
      <c r="S6963" t="s">
        <v>1615</v>
      </c>
      <c r="T6963" t="s">
        <v>1713</v>
      </c>
    </row>
    <row r="6964" spans="1:20" x14ac:dyDescent="0.25">
      <c r="A6964">
        <v>9</v>
      </c>
      <c r="B6964">
        <v>199</v>
      </c>
      <c r="C6964" t="str">
        <f>"51"</f>
        <v>51</v>
      </c>
      <c r="D6964">
        <v>6254</v>
      </c>
      <c r="E6964" t="str">
        <f>"ME"</f>
        <v>ME</v>
      </c>
      <c r="F6964" t="str">
        <f>"936"</f>
        <v>936</v>
      </c>
      <c r="G6964">
        <v>9</v>
      </c>
      <c r="H6964" t="str">
        <f t="shared" si="1545"/>
        <v>99</v>
      </c>
      <c r="I6964" t="str">
        <f>"1"</f>
        <v>1</v>
      </c>
      <c r="J6964" t="str">
        <f>"73"</f>
        <v>73</v>
      </c>
      <c r="K6964">
        <v>20190621</v>
      </c>
      <c r="L6964" t="str">
        <f>"077244"</f>
        <v>077244</v>
      </c>
      <c r="M6964" t="str">
        <f>"42194"</f>
        <v>42194</v>
      </c>
      <c r="N6964" t="s">
        <v>1736</v>
      </c>
      <c r="O6964">
        <v>964.69</v>
      </c>
      <c r="P6964">
        <v>20190619</v>
      </c>
      <c r="Q6964" t="s">
        <v>1891</v>
      </c>
      <c r="R6964" t="s">
        <v>5527</v>
      </c>
      <c r="S6964" t="s">
        <v>1615</v>
      </c>
      <c r="T6964" t="s">
        <v>1713</v>
      </c>
    </row>
    <row r="6965" spans="1:20" x14ac:dyDescent="0.25">
      <c r="A6965">
        <v>9</v>
      </c>
      <c r="B6965">
        <v>199</v>
      </c>
      <c r="C6965" t="str">
        <f>"52"</f>
        <v>52</v>
      </c>
      <c r="D6965">
        <v>6299</v>
      </c>
      <c r="E6965" t="str">
        <f>"10"</f>
        <v>10</v>
      </c>
      <c r="F6965" t="str">
        <f>"002"</f>
        <v>002</v>
      </c>
      <c r="G6965">
        <v>9</v>
      </c>
      <c r="H6965" t="str">
        <f t="shared" si="1545"/>
        <v>99</v>
      </c>
      <c r="I6965" t="str">
        <f t="shared" ref="I6965:I6970" si="1546">"0"</f>
        <v>0</v>
      </c>
      <c r="J6965" t="str">
        <f>"87"</f>
        <v>87</v>
      </c>
      <c r="K6965">
        <v>20190621</v>
      </c>
      <c r="L6965" t="str">
        <f>"077245"</f>
        <v>077245</v>
      </c>
      <c r="M6965" t="str">
        <f>"44450"</f>
        <v>44450</v>
      </c>
      <c r="N6965" t="s">
        <v>2500</v>
      </c>
      <c r="O6965">
        <v>225</v>
      </c>
      <c r="P6965">
        <v>20190619</v>
      </c>
      <c r="Q6965" t="s">
        <v>2503</v>
      </c>
      <c r="R6965" t="s">
        <v>5528</v>
      </c>
      <c r="S6965" t="s">
        <v>1615</v>
      </c>
      <c r="T6965" t="s">
        <v>1485</v>
      </c>
    </row>
    <row r="6966" spans="1:20" x14ac:dyDescent="0.25">
      <c r="A6966">
        <v>9</v>
      </c>
      <c r="B6966">
        <v>199</v>
      </c>
      <c r="C6966" t="str">
        <f>"52"</f>
        <v>52</v>
      </c>
      <c r="D6966">
        <v>6299</v>
      </c>
      <c r="E6966" t="str">
        <f>"10"</f>
        <v>10</v>
      </c>
      <c r="F6966" t="str">
        <f>"041"</f>
        <v>041</v>
      </c>
      <c r="G6966">
        <v>9</v>
      </c>
      <c r="H6966" t="str">
        <f t="shared" si="1545"/>
        <v>99</v>
      </c>
      <c r="I6966" t="str">
        <f t="shared" si="1546"/>
        <v>0</v>
      </c>
      <c r="J6966" t="str">
        <f>"87"</f>
        <v>87</v>
      </c>
      <c r="K6966">
        <v>20190621</v>
      </c>
      <c r="L6966" t="str">
        <f>"077245"</f>
        <v>077245</v>
      </c>
      <c r="M6966" t="str">
        <f>"44450"</f>
        <v>44450</v>
      </c>
      <c r="N6966" t="s">
        <v>2500</v>
      </c>
      <c r="O6966">
        <v>225</v>
      </c>
      <c r="P6966">
        <v>20190619</v>
      </c>
      <c r="Q6966" t="s">
        <v>2505</v>
      </c>
      <c r="R6966" t="s">
        <v>5528</v>
      </c>
      <c r="S6966" t="s">
        <v>1615</v>
      </c>
      <c r="T6966" t="s">
        <v>106</v>
      </c>
    </row>
    <row r="6967" spans="1:20" x14ac:dyDescent="0.25">
      <c r="A6967">
        <v>9</v>
      </c>
      <c r="B6967">
        <v>199</v>
      </c>
      <c r="C6967" t="str">
        <f>"21"</f>
        <v>21</v>
      </c>
      <c r="D6967">
        <v>6498</v>
      </c>
      <c r="E6967" t="str">
        <f>"10"</f>
        <v>10</v>
      </c>
      <c r="F6967" t="str">
        <f>"871"</f>
        <v>871</v>
      </c>
      <c r="G6967">
        <v>9</v>
      </c>
      <c r="H6967" t="str">
        <f t="shared" si="1545"/>
        <v>99</v>
      </c>
      <c r="I6967" t="str">
        <f t="shared" si="1546"/>
        <v>0</v>
      </c>
      <c r="J6967" t="str">
        <f>"94"</f>
        <v>94</v>
      </c>
      <c r="K6967">
        <v>20190621</v>
      </c>
      <c r="L6967" t="str">
        <f>"077246"</f>
        <v>077246</v>
      </c>
      <c r="M6967" t="str">
        <f>"45093"</f>
        <v>45093</v>
      </c>
      <c r="N6967" t="s">
        <v>885</v>
      </c>
      <c r="O6967">
        <v>259.75</v>
      </c>
      <c r="P6967">
        <v>20190619</v>
      </c>
      <c r="Q6967" t="s">
        <v>4639</v>
      </c>
      <c r="R6967" t="s">
        <v>5529</v>
      </c>
      <c r="S6967" t="s">
        <v>1615</v>
      </c>
      <c r="T6967" t="s">
        <v>1932</v>
      </c>
    </row>
    <row r="6968" spans="1:20" x14ac:dyDescent="0.25">
      <c r="A6968">
        <v>9</v>
      </c>
      <c r="B6968">
        <v>199</v>
      </c>
      <c r="C6968" t="str">
        <f>"36"</f>
        <v>36</v>
      </c>
      <c r="D6968">
        <v>6499</v>
      </c>
      <c r="E6968" t="str">
        <f>"H2"</f>
        <v>H2</v>
      </c>
      <c r="F6968" t="str">
        <f>"001"</f>
        <v>001</v>
      </c>
      <c r="G6968">
        <v>9</v>
      </c>
      <c r="H6968" t="str">
        <f t="shared" si="1545"/>
        <v>99</v>
      </c>
      <c r="I6968" t="str">
        <f t="shared" si="1546"/>
        <v>0</v>
      </c>
      <c r="J6968" t="str">
        <f>"37"</f>
        <v>37</v>
      </c>
      <c r="K6968">
        <v>20190621</v>
      </c>
      <c r="L6968" t="str">
        <f>"077246"</f>
        <v>077246</v>
      </c>
      <c r="M6968" t="str">
        <f>"45093"</f>
        <v>45093</v>
      </c>
      <c r="N6968" t="s">
        <v>885</v>
      </c>
      <c r="O6968">
        <v>239.98</v>
      </c>
      <c r="P6968">
        <v>20190619</v>
      </c>
      <c r="Q6968" t="s">
        <v>2903</v>
      </c>
      <c r="R6968" t="s">
        <v>5530</v>
      </c>
      <c r="S6968" t="s">
        <v>1615</v>
      </c>
      <c r="T6968" t="s">
        <v>301</v>
      </c>
    </row>
    <row r="6969" spans="1:20" x14ac:dyDescent="0.25">
      <c r="A6969">
        <v>9</v>
      </c>
      <c r="B6969">
        <v>199</v>
      </c>
      <c r="C6969" t="str">
        <f>"21"</f>
        <v>21</v>
      </c>
      <c r="D6969">
        <v>6399</v>
      </c>
      <c r="E6969" t="str">
        <f>"10"</f>
        <v>10</v>
      </c>
      <c r="F6969" t="str">
        <f>"871"</f>
        <v>871</v>
      </c>
      <c r="G6969">
        <v>9</v>
      </c>
      <c r="H6969" t="str">
        <f t="shared" si="1545"/>
        <v>99</v>
      </c>
      <c r="I6969" t="str">
        <f t="shared" si="1546"/>
        <v>0</v>
      </c>
      <c r="J6969" t="str">
        <f>"94"</f>
        <v>94</v>
      </c>
      <c r="K6969">
        <v>20190621</v>
      </c>
      <c r="L6969" t="str">
        <f>"077247"</f>
        <v>077247</v>
      </c>
      <c r="M6969" t="str">
        <f>"45496"</f>
        <v>45496</v>
      </c>
      <c r="N6969" t="s">
        <v>3175</v>
      </c>
      <c r="O6969">
        <v>120.39</v>
      </c>
      <c r="P6969">
        <v>20190619</v>
      </c>
      <c r="Q6969" t="s">
        <v>3176</v>
      </c>
      <c r="R6969" t="s">
        <v>641</v>
      </c>
      <c r="S6969" t="s">
        <v>1615</v>
      </c>
      <c r="T6969" t="s">
        <v>1932</v>
      </c>
    </row>
    <row r="6970" spans="1:20" x14ac:dyDescent="0.25">
      <c r="A6970">
        <v>9</v>
      </c>
      <c r="B6970">
        <v>199</v>
      </c>
      <c r="C6970" t="str">
        <f>"41"</f>
        <v>41</v>
      </c>
      <c r="D6970">
        <v>6399</v>
      </c>
      <c r="E6970" t="str">
        <f>"00"</f>
        <v>00</v>
      </c>
      <c r="F6970" t="str">
        <f>"932"</f>
        <v>932</v>
      </c>
      <c r="G6970">
        <v>9</v>
      </c>
      <c r="H6970" t="str">
        <f t="shared" si="1545"/>
        <v>99</v>
      </c>
      <c r="I6970" t="str">
        <f t="shared" si="1546"/>
        <v>0</v>
      </c>
      <c r="J6970" t="str">
        <f>"84"</f>
        <v>84</v>
      </c>
      <c r="K6970">
        <v>20190621</v>
      </c>
      <c r="L6970" t="str">
        <f>"077247"</f>
        <v>077247</v>
      </c>
      <c r="M6970" t="str">
        <f>"45496"</f>
        <v>45496</v>
      </c>
      <c r="N6970" t="s">
        <v>3175</v>
      </c>
      <c r="O6970">
        <v>83.82</v>
      </c>
      <c r="P6970">
        <v>20190619</v>
      </c>
      <c r="Q6970" t="s">
        <v>5531</v>
      </c>
      <c r="R6970" t="s">
        <v>641</v>
      </c>
      <c r="S6970" t="s">
        <v>1615</v>
      </c>
      <c r="T6970" t="s">
        <v>2900</v>
      </c>
    </row>
    <row r="6971" spans="1:20" x14ac:dyDescent="0.25">
      <c r="A6971">
        <v>9</v>
      </c>
      <c r="B6971">
        <v>199</v>
      </c>
      <c r="C6971" t="str">
        <f>"36"</f>
        <v>36</v>
      </c>
      <c r="D6971">
        <v>6412</v>
      </c>
      <c r="E6971" t="str">
        <f>"10"</f>
        <v>10</v>
      </c>
      <c r="F6971" t="str">
        <f>"001"</f>
        <v>001</v>
      </c>
      <c r="G6971">
        <v>9</v>
      </c>
      <c r="H6971" t="str">
        <f t="shared" si="1545"/>
        <v>99</v>
      </c>
      <c r="I6971" t="str">
        <f>"5"</f>
        <v>5</v>
      </c>
      <c r="J6971" t="str">
        <f>"74"</f>
        <v>74</v>
      </c>
      <c r="K6971">
        <v>20190621</v>
      </c>
      <c r="L6971" t="str">
        <f>"077249"</f>
        <v>077249</v>
      </c>
      <c r="M6971" t="str">
        <f>"46348"</f>
        <v>46348</v>
      </c>
      <c r="N6971" t="s">
        <v>1631</v>
      </c>
      <c r="O6971">
        <v>99.47</v>
      </c>
      <c r="P6971">
        <v>20190620</v>
      </c>
      <c r="Q6971" t="s">
        <v>5007</v>
      </c>
      <c r="R6971" t="s">
        <v>5006</v>
      </c>
      <c r="S6971" t="s">
        <v>1615</v>
      </c>
      <c r="T6971" t="s">
        <v>301</v>
      </c>
    </row>
    <row r="6972" spans="1:20" x14ac:dyDescent="0.25">
      <c r="A6972">
        <v>9</v>
      </c>
      <c r="B6972">
        <v>199</v>
      </c>
      <c r="C6972" t="str">
        <f>"51"</f>
        <v>51</v>
      </c>
      <c r="D6972">
        <v>6249</v>
      </c>
      <c r="E6972" t="str">
        <f>"MC"</f>
        <v>MC</v>
      </c>
      <c r="F6972" t="str">
        <f>"001"</f>
        <v>001</v>
      </c>
      <c r="G6972">
        <v>9</v>
      </c>
      <c r="H6972" t="str">
        <f t="shared" si="1545"/>
        <v>99</v>
      </c>
      <c r="I6972" t="str">
        <f t="shared" ref="I6972:I7003" si="1547">"0"</f>
        <v>0</v>
      </c>
      <c r="J6972" t="str">
        <f>"81"</f>
        <v>81</v>
      </c>
      <c r="K6972">
        <v>20190621</v>
      </c>
      <c r="L6972" t="str">
        <f>"077250"</f>
        <v>077250</v>
      </c>
      <c r="M6972" t="str">
        <f>"46369"</f>
        <v>46369</v>
      </c>
      <c r="N6972" t="s">
        <v>2086</v>
      </c>
      <c r="O6972">
        <v>554</v>
      </c>
      <c r="P6972">
        <v>20190619</v>
      </c>
      <c r="Q6972" t="s">
        <v>2386</v>
      </c>
      <c r="R6972" t="s">
        <v>5532</v>
      </c>
      <c r="S6972" t="s">
        <v>1615</v>
      </c>
      <c r="T6972" t="s">
        <v>301</v>
      </c>
    </row>
    <row r="6973" spans="1:20" x14ac:dyDescent="0.25">
      <c r="A6973">
        <v>9</v>
      </c>
      <c r="B6973">
        <v>199</v>
      </c>
      <c r="C6973" t="str">
        <f>"51"</f>
        <v>51</v>
      </c>
      <c r="D6973">
        <v>6249</v>
      </c>
      <c r="E6973" t="str">
        <f>"MC"</f>
        <v>MC</v>
      </c>
      <c r="F6973" t="str">
        <f>"041"</f>
        <v>041</v>
      </c>
      <c r="G6973">
        <v>9</v>
      </c>
      <c r="H6973" t="str">
        <f t="shared" si="1545"/>
        <v>99</v>
      </c>
      <c r="I6973" t="str">
        <f t="shared" si="1547"/>
        <v>0</v>
      </c>
      <c r="J6973" t="str">
        <f>"81"</f>
        <v>81</v>
      </c>
      <c r="K6973">
        <v>20190621</v>
      </c>
      <c r="L6973" t="str">
        <f>"077250"</f>
        <v>077250</v>
      </c>
      <c r="M6973" t="str">
        <f>"46369"</f>
        <v>46369</v>
      </c>
      <c r="N6973" t="s">
        <v>2086</v>
      </c>
      <c r="O6973">
        <v>561</v>
      </c>
      <c r="P6973">
        <v>20190619</v>
      </c>
      <c r="Q6973" t="s">
        <v>1707</v>
      </c>
      <c r="R6973" t="s">
        <v>5533</v>
      </c>
      <c r="S6973" t="s">
        <v>1615</v>
      </c>
      <c r="T6973" t="s">
        <v>106</v>
      </c>
    </row>
    <row r="6974" spans="1:20" x14ac:dyDescent="0.25">
      <c r="A6974">
        <v>9</v>
      </c>
      <c r="B6974">
        <v>199</v>
      </c>
      <c r="C6974" t="str">
        <f>"11"</f>
        <v>11</v>
      </c>
      <c r="D6974">
        <v>6399</v>
      </c>
      <c r="E6974" t="str">
        <f>"45"</f>
        <v>45</v>
      </c>
      <c r="F6974" t="str">
        <f>"104"</f>
        <v>104</v>
      </c>
      <c r="G6974">
        <v>9</v>
      </c>
      <c r="H6974" t="str">
        <f>"11"</f>
        <v>11</v>
      </c>
      <c r="I6974" t="str">
        <f t="shared" si="1547"/>
        <v>0</v>
      </c>
      <c r="J6974" t="str">
        <f>"05"</f>
        <v>05</v>
      </c>
      <c r="K6974">
        <v>20190621</v>
      </c>
      <c r="L6974" t="str">
        <f>"077251"</f>
        <v>077251</v>
      </c>
      <c r="M6974" t="str">
        <f>"46850"</f>
        <v>46850</v>
      </c>
      <c r="N6974" t="s">
        <v>4752</v>
      </c>
      <c r="O6974">
        <v>37.979999999999997</v>
      </c>
      <c r="P6974">
        <v>20190619</v>
      </c>
      <c r="Q6974" t="s">
        <v>2069</v>
      </c>
      <c r="R6974" t="s">
        <v>5534</v>
      </c>
      <c r="S6974" t="s">
        <v>1615</v>
      </c>
      <c r="T6974" t="s">
        <v>46</v>
      </c>
    </row>
    <row r="6975" spans="1:20" x14ac:dyDescent="0.25">
      <c r="A6975">
        <v>9</v>
      </c>
      <c r="B6975">
        <v>199</v>
      </c>
      <c r="C6975" t="str">
        <f>"11"</f>
        <v>11</v>
      </c>
      <c r="D6975">
        <v>6399</v>
      </c>
      <c r="E6975" t="str">
        <f>"00"</f>
        <v>00</v>
      </c>
      <c r="F6975" t="str">
        <f>"001"</f>
        <v>001</v>
      </c>
      <c r="G6975">
        <v>9</v>
      </c>
      <c r="H6975" t="str">
        <f>"23"</f>
        <v>23</v>
      </c>
      <c r="I6975" t="str">
        <f t="shared" si="1547"/>
        <v>0</v>
      </c>
      <c r="J6975" t="str">
        <f>"23"</f>
        <v>23</v>
      </c>
      <c r="K6975">
        <v>20190621</v>
      </c>
      <c r="L6975" t="str">
        <f>"077253"</f>
        <v>077253</v>
      </c>
      <c r="M6975" t="str">
        <f>"47610"</f>
        <v>47610</v>
      </c>
      <c r="N6975" t="s">
        <v>5535</v>
      </c>
      <c r="O6975">
        <v>231.04</v>
      </c>
      <c r="P6975">
        <v>20190619</v>
      </c>
      <c r="Q6975" t="s">
        <v>2635</v>
      </c>
      <c r="R6975" t="s">
        <v>5536</v>
      </c>
      <c r="S6975" t="s">
        <v>1615</v>
      </c>
      <c r="T6975" t="s">
        <v>301</v>
      </c>
    </row>
    <row r="6976" spans="1:20" x14ac:dyDescent="0.25">
      <c r="A6976">
        <v>9</v>
      </c>
      <c r="B6976">
        <v>199</v>
      </c>
      <c r="C6976" t="str">
        <f>"11"</f>
        <v>11</v>
      </c>
      <c r="D6976">
        <v>6399</v>
      </c>
      <c r="E6976" t="str">
        <f>"00"</f>
        <v>00</v>
      </c>
      <c r="F6976" t="str">
        <f>"041"</f>
        <v>041</v>
      </c>
      <c r="G6976">
        <v>9</v>
      </c>
      <c r="H6976" t="str">
        <f>"23"</f>
        <v>23</v>
      </c>
      <c r="I6976" t="str">
        <f t="shared" si="1547"/>
        <v>0</v>
      </c>
      <c r="J6976" t="str">
        <f>"23"</f>
        <v>23</v>
      </c>
      <c r="K6976">
        <v>20190621</v>
      </c>
      <c r="L6976" t="str">
        <f>"077253"</f>
        <v>077253</v>
      </c>
      <c r="M6976" t="str">
        <f>"47610"</f>
        <v>47610</v>
      </c>
      <c r="N6976" t="s">
        <v>5535</v>
      </c>
      <c r="O6976">
        <v>230.99</v>
      </c>
      <c r="P6976">
        <v>20190619</v>
      </c>
      <c r="Q6976" t="s">
        <v>4116</v>
      </c>
      <c r="R6976" t="s">
        <v>5536</v>
      </c>
      <c r="S6976" t="s">
        <v>1615</v>
      </c>
      <c r="T6976" t="s">
        <v>106</v>
      </c>
    </row>
    <row r="6977" spans="1:20" x14ac:dyDescent="0.25">
      <c r="A6977">
        <v>9</v>
      </c>
      <c r="B6977">
        <v>199</v>
      </c>
      <c r="C6977" t="str">
        <f>"11"</f>
        <v>11</v>
      </c>
      <c r="D6977">
        <v>6399</v>
      </c>
      <c r="E6977" t="str">
        <f>"00"</f>
        <v>00</v>
      </c>
      <c r="F6977" t="str">
        <f>"104"</f>
        <v>104</v>
      </c>
      <c r="G6977">
        <v>9</v>
      </c>
      <c r="H6977" t="str">
        <f>"23"</f>
        <v>23</v>
      </c>
      <c r="I6977" t="str">
        <f t="shared" si="1547"/>
        <v>0</v>
      </c>
      <c r="J6977" t="str">
        <f>"23"</f>
        <v>23</v>
      </c>
      <c r="K6977">
        <v>20190621</v>
      </c>
      <c r="L6977" t="str">
        <f>"077253"</f>
        <v>077253</v>
      </c>
      <c r="M6977" t="str">
        <f>"47610"</f>
        <v>47610</v>
      </c>
      <c r="N6977" t="s">
        <v>5535</v>
      </c>
      <c r="O6977">
        <v>230.97</v>
      </c>
      <c r="P6977">
        <v>20190619</v>
      </c>
      <c r="Q6977" t="s">
        <v>4318</v>
      </c>
      <c r="R6977" t="s">
        <v>5536</v>
      </c>
      <c r="S6977" t="s">
        <v>1615</v>
      </c>
      <c r="T6977" t="s">
        <v>46</v>
      </c>
    </row>
    <row r="6978" spans="1:20" x14ac:dyDescent="0.25">
      <c r="A6978">
        <v>9</v>
      </c>
      <c r="B6978">
        <v>199</v>
      </c>
      <c r="C6978" t="str">
        <f>"51"</f>
        <v>51</v>
      </c>
      <c r="D6978">
        <v>6319</v>
      </c>
      <c r="E6978" t="str">
        <f>"MC"</f>
        <v>MC</v>
      </c>
      <c r="F6978" t="str">
        <f>"936"</f>
        <v>936</v>
      </c>
      <c r="G6978">
        <v>9</v>
      </c>
      <c r="H6978" t="str">
        <f>"99"</f>
        <v>99</v>
      </c>
      <c r="I6978" t="str">
        <f t="shared" si="1547"/>
        <v>0</v>
      </c>
      <c r="J6978" t="str">
        <f>"81"</f>
        <v>81</v>
      </c>
      <c r="K6978">
        <v>20190621</v>
      </c>
      <c r="L6978" t="str">
        <f>"077254"</f>
        <v>077254</v>
      </c>
      <c r="M6978" t="str">
        <f>"47725"</f>
        <v>47725</v>
      </c>
      <c r="N6978" t="s">
        <v>2095</v>
      </c>
      <c r="O6978">
        <v>879.12</v>
      </c>
      <c r="P6978">
        <v>20190619</v>
      </c>
      <c r="Q6978" t="s">
        <v>2060</v>
      </c>
      <c r="R6978" t="s">
        <v>5537</v>
      </c>
      <c r="S6978" t="s">
        <v>1615</v>
      </c>
      <c r="T6978" t="s">
        <v>1713</v>
      </c>
    </row>
    <row r="6979" spans="1:20" x14ac:dyDescent="0.25">
      <c r="A6979">
        <v>9</v>
      </c>
      <c r="B6979">
        <v>199</v>
      </c>
      <c r="C6979" t="str">
        <f>"36"</f>
        <v>36</v>
      </c>
      <c r="D6979">
        <v>6499</v>
      </c>
      <c r="E6979" t="str">
        <f>"7E"</f>
        <v>7E</v>
      </c>
      <c r="F6979" t="str">
        <f>"001"</f>
        <v>001</v>
      </c>
      <c r="G6979">
        <v>9</v>
      </c>
      <c r="H6979" t="str">
        <f>"99"</f>
        <v>99</v>
      </c>
      <c r="I6979" t="str">
        <f t="shared" si="1547"/>
        <v>0</v>
      </c>
      <c r="J6979" t="str">
        <f>"31"</f>
        <v>31</v>
      </c>
      <c r="K6979">
        <v>20190621</v>
      </c>
      <c r="L6979" t="str">
        <f>"077255"</f>
        <v>077255</v>
      </c>
      <c r="M6979" t="str">
        <f>"51347"</f>
        <v>51347</v>
      </c>
      <c r="N6979" t="s">
        <v>1158</v>
      </c>
      <c r="O6979">
        <v>70</v>
      </c>
      <c r="P6979">
        <v>20190619</v>
      </c>
      <c r="Q6979" t="s">
        <v>5030</v>
      </c>
      <c r="R6979" t="s">
        <v>1277</v>
      </c>
      <c r="S6979" t="s">
        <v>1615</v>
      </c>
      <c r="T6979" t="s">
        <v>301</v>
      </c>
    </row>
    <row r="6980" spans="1:20" x14ac:dyDescent="0.25">
      <c r="A6980">
        <v>9</v>
      </c>
      <c r="B6980">
        <v>199</v>
      </c>
      <c r="C6980" t="str">
        <f>"36"</f>
        <v>36</v>
      </c>
      <c r="D6980">
        <v>6499</v>
      </c>
      <c r="E6980" t="str">
        <f>"7E"</f>
        <v>7E</v>
      </c>
      <c r="F6980" t="str">
        <f>"001"</f>
        <v>001</v>
      </c>
      <c r="G6980">
        <v>9</v>
      </c>
      <c r="H6980" t="str">
        <f>"99"</f>
        <v>99</v>
      </c>
      <c r="I6980" t="str">
        <f t="shared" si="1547"/>
        <v>0</v>
      </c>
      <c r="J6980" t="str">
        <f>"31"</f>
        <v>31</v>
      </c>
      <c r="K6980">
        <v>20190621</v>
      </c>
      <c r="L6980" t="str">
        <f>"077255"</f>
        <v>077255</v>
      </c>
      <c r="M6980" t="str">
        <f>"51347"</f>
        <v>51347</v>
      </c>
      <c r="N6980" t="s">
        <v>1158</v>
      </c>
      <c r="O6980">
        <v>140</v>
      </c>
      <c r="P6980">
        <v>20190619</v>
      </c>
      <c r="Q6980" t="s">
        <v>5030</v>
      </c>
      <c r="R6980" t="s">
        <v>1160</v>
      </c>
      <c r="S6980" t="s">
        <v>1615</v>
      </c>
      <c r="T6980" t="s">
        <v>301</v>
      </c>
    </row>
    <row r="6981" spans="1:20" x14ac:dyDescent="0.25">
      <c r="A6981">
        <v>9</v>
      </c>
      <c r="B6981">
        <v>199</v>
      </c>
      <c r="C6981" t="str">
        <f>"21"</f>
        <v>21</v>
      </c>
      <c r="D6981">
        <v>6216</v>
      </c>
      <c r="E6981" t="str">
        <f>"00"</f>
        <v>00</v>
      </c>
      <c r="F6981" t="str">
        <f>"875"</f>
        <v>875</v>
      </c>
      <c r="G6981">
        <v>9</v>
      </c>
      <c r="H6981" t="str">
        <f>"23"</f>
        <v>23</v>
      </c>
      <c r="I6981" t="str">
        <f t="shared" si="1547"/>
        <v>0</v>
      </c>
      <c r="J6981" t="str">
        <f>"23"</f>
        <v>23</v>
      </c>
      <c r="K6981">
        <v>20190621</v>
      </c>
      <c r="L6981" t="str">
        <f>"077256"</f>
        <v>077256</v>
      </c>
      <c r="M6981" t="str">
        <f>"51475"</f>
        <v>51475</v>
      </c>
      <c r="N6981" t="s">
        <v>3195</v>
      </c>
      <c r="O6981">
        <v>0.64</v>
      </c>
      <c r="P6981">
        <v>20190619</v>
      </c>
      <c r="Q6981" t="s">
        <v>3196</v>
      </c>
      <c r="R6981" t="s">
        <v>5538</v>
      </c>
      <c r="S6981" t="s">
        <v>1615</v>
      </c>
      <c r="T6981" t="s">
        <v>2041</v>
      </c>
    </row>
    <row r="6982" spans="1:20" x14ac:dyDescent="0.25">
      <c r="A6982">
        <v>9</v>
      </c>
      <c r="B6982">
        <v>199</v>
      </c>
      <c r="C6982" t="str">
        <f>"21"</f>
        <v>21</v>
      </c>
      <c r="D6982">
        <v>6216</v>
      </c>
      <c r="E6982" t="str">
        <f>"00"</f>
        <v>00</v>
      </c>
      <c r="F6982" t="str">
        <f>"875"</f>
        <v>875</v>
      </c>
      <c r="G6982">
        <v>9</v>
      </c>
      <c r="H6982" t="str">
        <f>"23"</f>
        <v>23</v>
      </c>
      <c r="I6982" t="str">
        <f t="shared" si="1547"/>
        <v>0</v>
      </c>
      <c r="J6982" t="str">
        <f>"23"</f>
        <v>23</v>
      </c>
      <c r="K6982">
        <v>20190621</v>
      </c>
      <c r="L6982" t="str">
        <f>"077256"</f>
        <v>077256</v>
      </c>
      <c r="M6982" t="str">
        <f>"51475"</f>
        <v>51475</v>
      </c>
      <c r="N6982" t="s">
        <v>3195</v>
      </c>
      <c r="O6982">
        <v>5.27</v>
      </c>
      <c r="P6982">
        <v>20190619</v>
      </c>
      <c r="Q6982" t="s">
        <v>3196</v>
      </c>
      <c r="R6982" t="s">
        <v>5539</v>
      </c>
      <c r="S6982" t="s">
        <v>1615</v>
      </c>
      <c r="T6982" t="s">
        <v>2041</v>
      </c>
    </row>
    <row r="6983" spans="1:20" x14ac:dyDescent="0.25">
      <c r="A6983">
        <v>9</v>
      </c>
      <c r="B6983">
        <v>199</v>
      </c>
      <c r="C6983" t="str">
        <f>"21"</f>
        <v>21</v>
      </c>
      <c r="D6983">
        <v>6216</v>
      </c>
      <c r="E6983" t="str">
        <f>"00"</f>
        <v>00</v>
      </c>
      <c r="F6983" t="str">
        <f>"875"</f>
        <v>875</v>
      </c>
      <c r="G6983">
        <v>9</v>
      </c>
      <c r="H6983" t="str">
        <f>"23"</f>
        <v>23</v>
      </c>
      <c r="I6983" t="str">
        <f t="shared" si="1547"/>
        <v>0</v>
      </c>
      <c r="J6983" t="str">
        <f>"23"</f>
        <v>23</v>
      </c>
      <c r="K6983">
        <v>20190621</v>
      </c>
      <c r="L6983" t="str">
        <f>"077256"</f>
        <v>077256</v>
      </c>
      <c r="M6983" t="str">
        <f>"51475"</f>
        <v>51475</v>
      </c>
      <c r="N6983" t="s">
        <v>3195</v>
      </c>
      <c r="O6983" s="1">
        <v>1318.16</v>
      </c>
      <c r="P6983">
        <v>20190619</v>
      </c>
      <c r="Q6983" t="s">
        <v>3196</v>
      </c>
      <c r="R6983" t="s">
        <v>5540</v>
      </c>
      <c r="S6983" t="s">
        <v>1615</v>
      </c>
      <c r="T6983" t="s">
        <v>2041</v>
      </c>
    </row>
    <row r="6984" spans="1:20" x14ac:dyDescent="0.25">
      <c r="A6984">
        <v>9</v>
      </c>
      <c r="B6984">
        <v>199</v>
      </c>
      <c r="C6984" t="str">
        <f>"11"</f>
        <v>11</v>
      </c>
      <c r="D6984">
        <v>6399</v>
      </c>
      <c r="E6984" t="str">
        <f>"7A"</f>
        <v>7A</v>
      </c>
      <c r="F6984" t="str">
        <f>"002"</f>
        <v>002</v>
      </c>
      <c r="G6984">
        <v>9</v>
      </c>
      <c r="H6984" t="str">
        <f>"11"</f>
        <v>11</v>
      </c>
      <c r="I6984" t="str">
        <f t="shared" si="1547"/>
        <v>0</v>
      </c>
      <c r="J6984" t="str">
        <f>"02"</f>
        <v>02</v>
      </c>
      <c r="K6984">
        <v>20190621</v>
      </c>
      <c r="L6984" t="str">
        <f>"077258"</f>
        <v>077258</v>
      </c>
      <c r="M6984" t="str">
        <f>"54149"</f>
        <v>54149</v>
      </c>
      <c r="N6984" t="s">
        <v>3434</v>
      </c>
      <c r="O6984">
        <v>887.6</v>
      </c>
      <c r="P6984">
        <v>20190619</v>
      </c>
      <c r="Q6984" t="s">
        <v>5541</v>
      </c>
      <c r="R6984" t="s">
        <v>2466</v>
      </c>
      <c r="S6984" t="s">
        <v>1615</v>
      </c>
      <c r="T6984" t="s">
        <v>1485</v>
      </c>
    </row>
    <row r="6985" spans="1:20" x14ac:dyDescent="0.25">
      <c r="A6985">
        <v>9</v>
      </c>
      <c r="B6985">
        <v>199</v>
      </c>
      <c r="C6985" t="str">
        <f>"11"</f>
        <v>11</v>
      </c>
      <c r="D6985">
        <v>6399</v>
      </c>
      <c r="E6985" t="str">
        <f>"VH"</f>
        <v>VH</v>
      </c>
      <c r="F6985" t="str">
        <f>"002"</f>
        <v>002</v>
      </c>
      <c r="G6985">
        <v>9</v>
      </c>
      <c r="H6985" t="str">
        <f>"22"</f>
        <v>22</v>
      </c>
      <c r="I6985" t="str">
        <f t="shared" si="1547"/>
        <v>0</v>
      </c>
      <c r="J6985" t="str">
        <f>"22"</f>
        <v>22</v>
      </c>
      <c r="K6985">
        <v>20190621</v>
      </c>
      <c r="L6985" t="str">
        <f>"077258"</f>
        <v>077258</v>
      </c>
      <c r="M6985" t="str">
        <f>"54149"</f>
        <v>54149</v>
      </c>
      <c r="N6985" t="s">
        <v>3434</v>
      </c>
      <c r="O6985">
        <v>339.75</v>
      </c>
      <c r="P6985">
        <v>20190619</v>
      </c>
      <c r="Q6985" t="s">
        <v>1912</v>
      </c>
      <c r="R6985" t="s">
        <v>2636</v>
      </c>
      <c r="S6985" t="s">
        <v>1615</v>
      </c>
      <c r="T6985" t="s">
        <v>1485</v>
      </c>
    </row>
    <row r="6986" spans="1:20" x14ac:dyDescent="0.25">
      <c r="A6986">
        <v>9</v>
      </c>
      <c r="B6986">
        <v>199</v>
      </c>
      <c r="C6986" t="str">
        <f>"41"</f>
        <v>41</v>
      </c>
      <c r="D6986">
        <v>6213</v>
      </c>
      <c r="E6986" t="str">
        <f>"11"</f>
        <v>11</v>
      </c>
      <c r="F6986" t="str">
        <f>"703"</f>
        <v>703</v>
      </c>
      <c r="G6986">
        <v>9</v>
      </c>
      <c r="H6986" t="str">
        <f>"99"</f>
        <v>99</v>
      </c>
      <c r="I6986" t="str">
        <f t="shared" si="1547"/>
        <v>0</v>
      </c>
      <c r="J6986" t="str">
        <f>"91"</f>
        <v>91</v>
      </c>
      <c r="K6986">
        <v>20190621</v>
      </c>
      <c r="L6986" t="str">
        <f>"077260"</f>
        <v>077260</v>
      </c>
      <c r="M6986" t="str">
        <f>"61166"</f>
        <v>61166</v>
      </c>
      <c r="N6986" t="s">
        <v>2892</v>
      </c>
      <c r="O6986">
        <v>145.12</v>
      </c>
      <c r="P6986">
        <v>20190619</v>
      </c>
      <c r="Q6986" t="s">
        <v>2893</v>
      </c>
      <c r="R6986" t="s">
        <v>2894</v>
      </c>
      <c r="S6986" t="s">
        <v>1615</v>
      </c>
      <c r="T6986" t="s">
        <v>1761</v>
      </c>
    </row>
    <row r="6987" spans="1:20" x14ac:dyDescent="0.25">
      <c r="A6987">
        <v>9</v>
      </c>
      <c r="B6987">
        <v>199</v>
      </c>
      <c r="C6987" t="str">
        <f>"11"</f>
        <v>11</v>
      </c>
      <c r="D6987">
        <v>6249</v>
      </c>
      <c r="E6987" t="str">
        <f>"8M"</f>
        <v>8M</v>
      </c>
      <c r="F6987" t="str">
        <f>"001"</f>
        <v>001</v>
      </c>
      <c r="G6987">
        <v>9</v>
      </c>
      <c r="H6987" t="str">
        <f>"11"</f>
        <v>11</v>
      </c>
      <c r="I6987" t="str">
        <f t="shared" si="1547"/>
        <v>0</v>
      </c>
      <c r="J6987" t="str">
        <f>"33"</f>
        <v>33</v>
      </c>
      <c r="K6987">
        <v>20190621</v>
      </c>
      <c r="L6987" t="str">
        <f>"077261"</f>
        <v>077261</v>
      </c>
      <c r="M6987" t="str">
        <f>"57662"</f>
        <v>57662</v>
      </c>
      <c r="N6987" t="s">
        <v>2519</v>
      </c>
      <c r="O6987">
        <v>201</v>
      </c>
      <c r="P6987">
        <v>20190619</v>
      </c>
      <c r="Q6987" t="s">
        <v>3206</v>
      </c>
      <c r="R6987" t="s">
        <v>3207</v>
      </c>
      <c r="S6987" t="s">
        <v>1615</v>
      </c>
      <c r="T6987" t="s">
        <v>301</v>
      </c>
    </row>
    <row r="6988" spans="1:20" x14ac:dyDescent="0.25">
      <c r="A6988">
        <v>9</v>
      </c>
      <c r="B6988">
        <v>199</v>
      </c>
      <c r="C6988" t="str">
        <f>"11"</f>
        <v>11</v>
      </c>
      <c r="D6988">
        <v>6249</v>
      </c>
      <c r="E6988" t="str">
        <f>"8M"</f>
        <v>8M</v>
      </c>
      <c r="F6988" t="str">
        <f>"001"</f>
        <v>001</v>
      </c>
      <c r="G6988">
        <v>9</v>
      </c>
      <c r="H6988" t="str">
        <f>"11"</f>
        <v>11</v>
      </c>
      <c r="I6988" t="str">
        <f t="shared" si="1547"/>
        <v>0</v>
      </c>
      <c r="J6988" t="str">
        <f>"33"</f>
        <v>33</v>
      </c>
      <c r="K6988">
        <v>20190621</v>
      </c>
      <c r="L6988" t="str">
        <f>"077261"</f>
        <v>077261</v>
      </c>
      <c r="M6988" t="str">
        <f>"57662"</f>
        <v>57662</v>
      </c>
      <c r="N6988" t="s">
        <v>2519</v>
      </c>
      <c r="O6988">
        <v>228</v>
      </c>
      <c r="P6988">
        <v>20190619</v>
      </c>
      <c r="Q6988" t="s">
        <v>3206</v>
      </c>
      <c r="R6988" t="s">
        <v>3207</v>
      </c>
      <c r="S6988" t="s">
        <v>1615</v>
      </c>
      <c r="T6988" t="s">
        <v>301</v>
      </c>
    </row>
    <row r="6989" spans="1:20" x14ac:dyDescent="0.25">
      <c r="A6989">
        <v>9</v>
      </c>
      <c r="B6989">
        <v>199</v>
      </c>
      <c r="C6989" t="str">
        <f>"11"</f>
        <v>11</v>
      </c>
      <c r="D6989">
        <v>6249</v>
      </c>
      <c r="E6989" t="str">
        <f>"8M"</f>
        <v>8M</v>
      </c>
      <c r="F6989" t="str">
        <f>"001"</f>
        <v>001</v>
      </c>
      <c r="G6989">
        <v>9</v>
      </c>
      <c r="H6989" t="str">
        <f>"11"</f>
        <v>11</v>
      </c>
      <c r="I6989" t="str">
        <f t="shared" si="1547"/>
        <v>0</v>
      </c>
      <c r="J6989" t="str">
        <f>"33"</f>
        <v>33</v>
      </c>
      <c r="K6989">
        <v>20190621</v>
      </c>
      <c r="L6989" t="str">
        <f>"077261"</f>
        <v>077261</v>
      </c>
      <c r="M6989" t="str">
        <f>"57662"</f>
        <v>57662</v>
      </c>
      <c r="N6989" t="s">
        <v>2519</v>
      </c>
      <c r="O6989">
        <v>101.25</v>
      </c>
      <c r="P6989">
        <v>20190619</v>
      </c>
      <c r="Q6989" t="s">
        <v>3206</v>
      </c>
      <c r="R6989" t="s">
        <v>3207</v>
      </c>
      <c r="S6989" t="s">
        <v>1615</v>
      </c>
      <c r="T6989" t="s">
        <v>301</v>
      </c>
    </row>
    <row r="6990" spans="1:20" x14ac:dyDescent="0.25">
      <c r="A6990">
        <v>9</v>
      </c>
      <c r="B6990">
        <v>199</v>
      </c>
      <c r="C6990" t="str">
        <f>"41"</f>
        <v>41</v>
      </c>
      <c r="D6990">
        <v>6264</v>
      </c>
      <c r="E6990" t="str">
        <f>"10"</f>
        <v>10</v>
      </c>
      <c r="F6990" t="str">
        <f>"934"</f>
        <v>934</v>
      </c>
      <c r="G6990">
        <v>9</v>
      </c>
      <c r="H6990" t="str">
        <f>"99"</f>
        <v>99</v>
      </c>
      <c r="I6990" t="str">
        <f t="shared" si="1547"/>
        <v>0</v>
      </c>
      <c r="J6990" t="str">
        <f>"91"</f>
        <v>91</v>
      </c>
      <c r="K6990">
        <v>20190621</v>
      </c>
      <c r="L6990" t="str">
        <f>"077264"</f>
        <v>077264</v>
      </c>
      <c r="M6990" t="str">
        <f>"58936"</f>
        <v>58936</v>
      </c>
      <c r="N6990" t="s">
        <v>1775</v>
      </c>
      <c r="O6990">
        <v>180</v>
      </c>
      <c r="P6990">
        <v>20190619</v>
      </c>
      <c r="Q6990" t="s">
        <v>1776</v>
      </c>
      <c r="R6990" t="s">
        <v>5542</v>
      </c>
      <c r="S6990" t="s">
        <v>1615</v>
      </c>
      <c r="T6990" t="s">
        <v>1778</v>
      </c>
    </row>
    <row r="6991" spans="1:20" x14ac:dyDescent="0.25">
      <c r="A6991">
        <v>9</v>
      </c>
      <c r="B6991">
        <v>199</v>
      </c>
      <c r="C6991" t="str">
        <f>"11"</f>
        <v>11</v>
      </c>
      <c r="D6991">
        <v>6649</v>
      </c>
      <c r="E6991" t="str">
        <f>"N7"</f>
        <v>N7</v>
      </c>
      <c r="F6991" t="str">
        <f>"001"</f>
        <v>001</v>
      </c>
      <c r="G6991">
        <v>9</v>
      </c>
      <c r="H6991" t="str">
        <f>"11"</f>
        <v>11</v>
      </c>
      <c r="I6991" t="str">
        <f t="shared" si="1547"/>
        <v>0</v>
      </c>
      <c r="J6991" t="str">
        <f>"01"</f>
        <v>01</v>
      </c>
      <c r="K6991">
        <v>20190621</v>
      </c>
      <c r="L6991" t="str">
        <f>"077265"</f>
        <v>077265</v>
      </c>
      <c r="M6991" t="str">
        <f>"60190"</f>
        <v>60190</v>
      </c>
      <c r="N6991" t="s">
        <v>4277</v>
      </c>
      <c r="O6991" s="1">
        <v>2054.6</v>
      </c>
      <c r="P6991">
        <v>20190619</v>
      </c>
      <c r="Q6991" t="s">
        <v>5543</v>
      </c>
      <c r="R6991" t="s">
        <v>5544</v>
      </c>
      <c r="S6991" t="s">
        <v>1615</v>
      </c>
      <c r="T6991" t="s">
        <v>301</v>
      </c>
    </row>
    <row r="6992" spans="1:20" x14ac:dyDescent="0.25">
      <c r="A6992">
        <v>9</v>
      </c>
      <c r="B6992">
        <v>199</v>
      </c>
      <c r="C6992" t="str">
        <f>"11"</f>
        <v>11</v>
      </c>
      <c r="D6992">
        <v>6399</v>
      </c>
      <c r="E6992" t="str">
        <f>"PK"</f>
        <v>PK</v>
      </c>
      <c r="F6992" t="str">
        <f>"101"</f>
        <v>101</v>
      </c>
      <c r="G6992">
        <v>9</v>
      </c>
      <c r="H6992" t="str">
        <f>"11"</f>
        <v>11</v>
      </c>
      <c r="I6992" t="str">
        <f t="shared" si="1547"/>
        <v>0</v>
      </c>
      <c r="J6992" t="str">
        <f>"04"</f>
        <v>04</v>
      </c>
      <c r="K6992">
        <v>20190621</v>
      </c>
      <c r="L6992" t="str">
        <f>"077266"</f>
        <v>077266</v>
      </c>
      <c r="M6992" t="str">
        <f>"60603"</f>
        <v>60603</v>
      </c>
      <c r="N6992" t="s">
        <v>1909</v>
      </c>
      <c r="O6992">
        <v>98.7</v>
      </c>
      <c r="P6992">
        <v>20190619</v>
      </c>
      <c r="Q6992" t="s">
        <v>2823</v>
      </c>
      <c r="R6992" t="s">
        <v>5545</v>
      </c>
      <c r="S6992" t="s">
        <v>1615</v>
      </c>
      <c r="T6992" t="s">
        <v>1479</v>
      </c>
    </row>
    <row r="6993" spans="1:20" x14ac:dyDescent="0.25">
      <c r="A6993">
        <v>9</v>
      </c>
      <c r="B6993">
        <v>199</v>
      </c>
      <c r="C6993" t="str">
        <f>"11"</f>
        <v>11</v>
      </c>
      <c r="D6993">
        <v>6399</v>
      </c>
      <c r="E6993" t="str">
        <f>"PK"</f>
        <v>PK</v>
      </c>
      <c r="F6993" t="str">
        <f>"101"</f>
        <v>101</v>
      </c>
      <c r="G6993">
        <v>9</v>
      </c>
      <c r="H6993" t="str">
        <f>"11"</f>
        <v>11</v>
      </c>
      <c r="I6993" t="str">
        <f t="shared" si="1547"/>
        <v>0</v>
      </c>
      <c r="J6993" t="str">
        <f>"04"</f>
        <v>04</v>
      </c>
      <c r="K6993">
        <v>20190621</v>
      </c>
      <c r="L6993" t="str">
        <f>"077266"</f>
        <v>077266</v>
      </c>
      <c r="M6993" t="str">
        <f>"60603"</f>
        <v>60603</v>
      </c>
      <c r="N6993" t="s">
        <v>1909</v>
      </c>
      <c r="O6993">
        <v>324.66000000000003</v>
      </c>
      <c r="P6993">
        <v>20190619</v>
      </c>
      <c r="Q6993" t="s">
        <v>2823</v>
      </c>
      <c r="R6993" t="s">
        <v>5546</v>
      </c>
      <c r="S6993" t="s">
        <v>1615</v>
      </c>
      <c r="T6993" t="s">
        <v>1479</v>
      </c>
    </row>
    <row r="6994" spans="1:20" x14ac:dyDescent="0.25">
      <c r="A6994">
        <v>9</v>
      </c>
      <c r="B6994">
        <v>199</v>
      </c>
      <c r="C6994" t="str">
        <f>"23"</f>
        <v>23</v>
      </c>
      <c r="D6994">
        <v>6299</v>
      </c>
      <c r="E6994" t="str">
        <f>"10"</f>
        <v>10</v>
      </c>
      <c r="F6994" t="str">
        <f>"041"</f>
        <v>041</v>
      </c>
      <c r="G6994">
        <v>9</v>
      </c>
      <c r="H6994" t="str">
        <f>"99"</f>
        <v>99</v>
      </c>
      <c r="I6994" t="str">
        <f t="shared" si="1547"/>
        <v>0</v>
      </c>
      <c r="J6994" t="str">
        <f>"03"</f>
        <v>03</v>
      </c>
      <c r="K6994">
        <v>20190621</v>
      </c>
      <c r="L6994" t="str">
        <f>"077267"</f>
        <v>077267</v>
      </c>
      <c r="M6994" t="str">
        <f>"61221"</f>
        <v>61221</v>
      </c>
      <c r="N6994" t="s">
        <v>1782</v>
      </c>
      <c r="O6994">
        <v>500</v>
      </c>
      <c r="P6994">
        <v>20190619</v>
      </c>
      <c r="Q6994" t="s">
        <v>4703</v>
      </c>
      <c r="R6994" t="s">
        <v>1786</v>
      </c>
      <c r="S6994" t="s">
        <v>1615</v>
      </c>
      <c r="T6994" t="s">
        <v>106</v>
      </c>
    </row>
    <row r="6995" spans="1:20" x14ac:dyDescent="0.25">
      <c r="A6995">
        <v>9</v>
      </c>
      <c r="B6995">
        <v>199</v>
      </c>
      <c r="C6995" t="str">
        <f>"11"</f>
        <v>11</v>
      </c>
      <c r="D6995">
        <v>6399</v>
      </c>
      <c r="E6995" t="str">
        <f>"V1"</f>
        <v>V1</v>
      </c>
      <c r="F6995" t="str">
        <f>"001"</f>
        <v>001</v>
      </c>
      <c r="G6995">
        <v>9</v>
      </c>
      <c r="H6995" t="str">
        <f>"22"</f>
        <v>22</v>
      </c>
      <c r="I6995" t="str">
        <f t="shared" si="1547"/>
        <v>0</v>
      </c>
      <c r="J6995" t="str">
        <f>"22"</f>
        <v>22</v>
      </c>
      <c r="K6995">
        <v>20190621</v>
      </c>
      <c r="L6995" t="str">
        <f>"077269"</f>
        <v>077269</v>
      </c>
      <c r="M6995" t="str">
        <f>"00355"</f>
        <v>00355</v>
      </c>
      <c r="N6995" t="s">
        <v>2304</v>
      </c>
      <c r="O6995">
        <v>210</v>
      </c>
      <c r="P6995">
        <v>20190619</v>
      </c>
      <c r="Q6995" t="s">
        <v>5437</v>
      </c>
      <c r="R6995" t="s">
        <v>5547</v>
      </c>
      <c r="S6995" t="s">
        <v>1615</v>
      </c>
      <c r="T6995" t="s">
        <v>301</v>
      </c>
    </row>
    <row r="6996" spans="1:20" x14ac:dyDescent="0.25">
      <c r="A6996">
        <v>9</v>
      </c>
      <c r="B6996">
        <v>199</v>
      </c>
      <c r="C6996" t="str">
        <f>"21"</f>
        <v>21</v>
      </c>
      <c r="D6996">
        <v>6499</v>
      </c>
      <c r="E6996" t="str">
        <f>"00"</f>
        <v>00</v>
      </c>
      <c r="F6996" t="str">
        <f>"875"</f>
        <v>875</v>
      </c>
      <c r="G6996">
        <v>9</v>
      </c>
      <c r="H6996" t="str">
        <f>"23"</f>
        <v>23</v>
      </c>
      <c r="I6996" t="str">
        <f t="shared" si="1547"/>
        <v>0</v>
      </c>
      <c r="J6996" t="str">
        <f>"23"</f>
        <v>23</v>
      </c>
      <c r="K6996">
        <v>20190621</v>
      </c>
      <c r="L6996" t="str">
        <f>"077269"</f>
        <v>077269</v>
      </c>
      <c r="M6996" t="str">
        <f>"00355"</f>
        <v>00355</v>
      </c>
      <c r="N6996" t="s">
        <v>2304</v>
      </c>
      <c r="O6996">
        <v>120</v>
      </c>
      <c r="P6996">
        <v>20190619</v>
      </c>
      <c r="Q6996" t="s">
        <v>5548</v>
      </c>
      <c r="R6996" t="s">
        <v>5549</v>
      </c>
      <c r="S6996" t="s">
        <v>1615</v>
      </c>
      <c r="T6996" t="s">
        <v>2041</v>
      </c>
    </row>
    <row r="6997" spans="1:20" x14ac:dyDescent="0.25">
      <c r="A6997">
        <v>9</v>
      </c>
      <c r="B6997">
        <v>199</v>
      </c>
      <c r="C6997" t="str">
        <f>"51"</f>
        <v>51</v>
      </c>
      <c r="D6997">
        <v>6259</v>
      </c>
      <c r="E6997" t="str">
        <f>"10"</f>
        <v>10</v>
      </c>
      <c r="F6997" t="str">
        <f>"936"</f>
        <v>936</v>
      </c>
      <c r="G6997">
        <v>9</v>
      </c>
      <c r="H6997" t="str">
        <f>"99"</f>
        <v>99</v>
      </c>
      <c r="I6997" t="str">
        <f t="shared" si="1547"/>
        <v>0</v>
      </c>
      <c r="J6997" t="str">
        <f>"73"</f>
        <v>73</v>
      </c>
      <c r="K6997">
        <v>20190621</v>
      </c>
      <c r="L6997" t="str">
        <f>"077270"</f>
        <v>077270</v>
      </c>
      <c r="M6997" t="str">
        <f>"62340"</f>
        <v>62340</v>
      </c>
      <c r="N6997" t="s">
        <v>1787</v>
      </c>
      <c r="O6997" s="1">
        <v>5406.48</v>
      </c>
      <c r="P6997">
        <v>20190619</v>
      </c>
      <c r="Q6997" t="s">
        <v>1789</v>
      </c>
      <c r="R6997" t="s">
        <v>5419</v>
      </c>
      <c r="S6997" t="s">
        <v>1615</v>
      </c>
      <c r="T6997" t="s">
        <v>1713</v>
      </c>
    </row>
    <row r="6998" spans="1:20" x14ac:dyDescent="0.25">
      <c r="A6998">
        <v>9</v>
      </c>
      <c r="B6998">
        <v>199</v>
      </c>
      <c r="C6998" t="str">
        <f>"23"</f>
        <v>23</v>
      </c>
      <c r="D6998">
        <v>6498</v>
      </c>
      <c r="E6998" t="str">
        <f>"99"</f>
        <v>99</v>
      </c>
      <c r="F6998" t="str">
        <f>"041"</f>
        <v>041</v>
      </c>
      <c r="G6998">
        <v>9</v>
      </c>
      <c r="H6998" t="str">
        <f>"99"</f>
        <v>99</v>
      </c>
      <c r="I6998" t="str">
        <f t="shared" si="1547"/>
        <v>0</v>
      </c>
      <c r="J6998" t="str">
        <f>"03"</f>
        <v>03</v>
      </c>
      <c r="K6998">
        <v>20190621</v>
      </c>
      <c r="L6998" t="str">
        <f>"077271"</f>
        <v>077271</v>
      </c>
      <c r="M6998" t="str">
        <f>"64610"</f>
        <v>64610</v>
      </c>
      <c r="N6998" t="s">
        <v>1062</v>
      </c>
      <c r="O6998">
        <v>141</v>
      </c>
      <c r="P6998">
        <v>20190619</v>
      </c>
      <c r="Q6998" t="s">
        <v>2140</v>
      </c>
      <c r="R6998" t="s">
        <v>5550</v>
      </c>
      <c r="S6998" t="s">
        <v>1615</v>
      </c>
      <c r="T6998" t="s">
        <v>106</v>
      </c>
    </row>
    <row r="6999" spans="1:20" x14ac:dyDescent="0.25">
      <c r="A6999">
        <v>9</v>
      </c>
      <c r="B6999">
        <v>199</v>
      </c>
      <c r="C6999" t="str">
        <f>"11"</f>
        <v>11</v>
      </c>
      <c r="D6999">
        <v>6399</v>
      </c>
      <c r="E6999" t="str">
        <f>"10"</f>
        <v>10</v>
      </c>
      <c r="F6999" t="str">
        <f t="shared" ref="F6999:F7005" si="1548">"001"</f>
        <v>001</v>
      </c>
      <c r="G6999">
        <v>9</v>
      </c>
      <c r="H6999" t="str">
        <f>"11"</f>
        <v>11</v>
      </c>
      <c r="I6999" t="str">
        <f t="shared" si="1547"/>
        <v>0</v>
      </c>
      <c r="J6999" t="str">
        <f>"01"</f>
        <v>01</v>
      </c>
      <c r="K6999">
        <v>20190621</v>
      </c>
      <c r="L6999" t="str">
        <f t="shared" ref="L6999:L7006" si="1549">"077272"</f>
        <v>077272</v>
      </c>
      <c r="M6999" t="str">
        <f t="shared" ref="M6999:M7006" si="1550">"65106"</f>
        <v>65106</v>
      </c>
      <c r="N6999" t="s">
        <v>1175</v>
      </c>
      <c r="O6999" s="1">
        <v>1546.18</v>
      </c>
      <c r="P6999">
        <v>20190619</v>
      </c>
      <c r="Q6999" t="s">
        <v>1675</v>
      </c>
      <c r="R6999" t="s">
        <v>3341</v>
      </c>
      <c r="S6999" t="s">
        <v>1615</v>
      </c>
      <c r="T6999" t="s">
        <v>301</v>
      </c>
    </row>
    <row r="7000" spans="1:20" x14ac:dyDescent="0.25">
      <c r="A7000">
        <v>9</v>
      </c>
      <c r="B7000">
        <v>199</v>
      </c>
      <c r="C7000" t="str">
        <f>"11"</f>
        <v>11</v>
      </c>
      <c r="D7000">
        <v>6399</v>
      </c>
      <c r="E7000" t="str">
        <f>"10"</f>
        <v>10</v>
      </c>
      <c r="F7000" t="str">
        <f t="shared" si="1548"/>
        <v>001</v>
      </c>
      <c r="G7000">
        <v>9</v>
      </c>
      <c r="H7000" t="str">
        <f>"11"</f>
        <v>11</v>
      </c>
      <c r="I7000" t="str">
        <f t="shared" si="1547"/>
        <v>0</v>
      </c>
      <c r="J7000" t="str">
        <f>"01"</f>
        <v>01</v>
      </c>
      <c r="K7000">
        <v>20190621</v>
      </c>
      <c r="L7000" t="str">
        <f t="shared" si="1549"/>
        <v>077272</v>
      </c>
      <c r="M7000" t="str">
        <f t="shared" si="1550"/>
        <v>65106</v>
      </c>
      <c r="N7000" t="s">
        <v>1175</v>
      </c>
      <c r="O7000">
        <v>419.92</v>
      </c>
      <c r="P7000">
        <v>20190619</v>
      </c>
      <c r="Q7000" t="s">
        <v>1675</v>
      </c>
      <c r="R7000" t="s">
        <v>4358</v>
      </c>
      <c r="S7000" t="s">
        <v>1615</v>
      </c>
      <c r="T7000" t="s">
        <v>301</v>
      </c>
    </row>
    <row r="7001" spans="1:20" x14ac:dyDescent="0.25">
      <c r="A7001">
        <v>9</v>
      </c>
      <c r="B7001">
        <v>199</v>
      </c>
      <c r="C7001" t="str">
        <f>"11"</f>
        <v>11</v>
      </c>
      <c r="D7001">
        <v>6399</v>
      </c>
      <c r="E7001" t="str">
        <f>"AW"</f>
        <v>AW</v>
      </c>
      <c r="F7001" t="str">
        <f t="shared" si="1548"/>
        <v>001</v>
      </c>
      <c r="G7001">
        <v>9</v>
      </c>
      <c r="H7001" t="str">
        <f>"31"</f>
        <v>31</v>
      </c>
      <c r="I7001" t="str">
        <f t="shared" si="1547"/>
        <v>0</v>
      </c>
      <c r="J7001" t="str">
        <f>"34"</f>
        <v>34</v>
      </c>
      <c r="K7001">
        <v>20190621</v>
      </c>
      <c r="L7001" t="str">
        <f t="shared" si="1549"/>
        <v>077272</v>
      </c>
      <c r="M7001" t="str">
        <f t="shared" si="1550"/>
        <v>65106</v>
      </c>
      <c r="N7001" t="s">
        <v>1175</v>
      </c>
      <c r="O7001">
        <v>71.349999999999994</v>
      </c>
      <c r="P7001">
        <v>20190619</v>
      </c>
      <c r="Q7001" t="s">
        <v>5551</v>
      </c>
      <c r="R7001" t="s">
        <v>5552</v>
      </c>
      <c r="S7001" t="s">
        <v>1615</v>
      </c>
      <c r="T7001" t="s">
        <v>301</v>
      </c>
    </row>
    <row r="7002" spans="1:20" x14ac:dyDescent="0.25">
      <c r="A7002">
        <v>9</v>
      </c>
      <c r="B7002">
        <v>199</v>
      </c>
      <c r="C7002" t="str">
        <f>"11"</f>
        <v>11</v>
      </c>
      <c r="D7002">
        <v>6399</v>
      </c>
      <c r="E7002" t="str">
        <f>"VT"</f>
        <v>VT</v>
      </c>
      <c r="F7002" t="str">
        <f t="shared" si="1548"/>
        <v>001</v>
      </c>
      <c r="G7002">
        <v>9</v>
      </c>
      <c r="H7002" t="str">
        <f>"11"</f>
        <v>11</v>
      </c>
      <c r="I7002" t="str">
        <f t="shared" si="1547"/>
        <v>0</v>
      </c>
      <c r="J7002" t="str">
        <f>"01"</f>
        <v>01</v>
      </c>
      <c r="K7002">
        <v>20190621</v>
      </c>
      <c r="L7002" t="str">
        <f t="shared" si="1549"/>
        <v>077272</v>
      </c>
      <c r="M7002" t="str">
        <f t="shared" si="1550"/>
        <v>65106</v>
      </c>
      <c r="N7002" t="s">
        <v>1175</v>
      </c>
      <c r="O7002">
        <v>629.88</v>
      </c>
      <c r="P7002">
        <v>20190619</v>
      </c>
      <c r="Q7002" t="s">
        <v>4588</v>
      </c>
      <c r="R7002" t="s">
        <v>5553</v>
      </c>
      <c r="S7002" t="s">
        <v>1615</v>
      </c>
      <c r="T7002" t="s">
        <v>301</v>
      </c>
    </row>
    <row r="7003" spans="1:20" x14ac:dyDescent="0.25">
      <c r="A7003">
        <v>9</v>
      </c>
      <c r="B7003">
        <v>199</v>
      </c>
      <c r="C7003" t="str">
        <f>"11"</f>
        <v>11</v>
      </c>
      <c r="D7003">
        <v>6499</v>
      </c>
      <c r="E7003" t="str">
        <f>"AW"</f>
        <v>AW</v>
      </c>
      <c r="F7003" t="str">
        <f t="shared" si="1548"/>
        <v>001</v>
      </c>
      <c r="G7003">
        <v>9</v>
      </c>
      <c r="H7003" t="str">
        <f>"31"</f>
        <v>31</v>
      </c>
      <c r="I7003" t="str">
        <f t="shared" si="1547"/>
        <v>0</v>
      </c>
      <c r="J7003" t="str">
        <f>"34"</f>
        <v>34</v>
      </c>
      <c r="K7003">
        <v>20190621</v>
      </c>
      <c r="L7003" t="str">
        <f t="shared" si="1549"/>
        <v>077272</v>
      </c>
      <c r="M7003" t="str">
        <f t="shared" si="1550"/>
        <v>65106</v>
      </c>
      <c r="N7003" t="s">
        <v>1175</v>
      </c>
      <c r="O7003">
        <v>194.89</v>
      </c>
      <c r="P7003">
        <v>20190619</v>
      </c>
      <c r="Q7003" t="s">
        <v>5442</v>
      </c>
      <c r="R7003" t="s">
        <v>5554</v>
      </c>
      <c r="S7003" t="s">
        <v>1615</v>
      </c>
      <c r="T7003" t="s">
        <v>301</v>
      </c>
    </row>
    <row r="7004" spans="1:20" x14ac:dyDescent="0.25">
      <c r="A7004">
        <v>9</v>
      </c>
      <c r="B7004">
        <v>199</v>
      </c>
      <c r="C7004" t="str">
        <f>"36"</f>
        <v>36</v>
      </c>
      <c r="D7004">
        <v>6399</v>
      </c>
      <c r="E7004" t="str">
        <f>"09"</f>
        <v>09</v>
      </c>
      <c r="F7004" t="str">
        <f t="shared" si="1548"/>
        <v>001</v>
      </c>
      <c r="G7004">
        <v>9</v>
      </c>
      <c r="H7004" t="str">
        <f>"99"</f>
        <v>99</v>
      </c>
      <c r="I7004" t="str">
        <f t="shared" ref="I7004:I7035" si="1551">"0"</f>
        <v>0</v>
      </c>
      <c r="J7004" t="str">
        <f>"01"</f>
        <v>01</v>
      </c>
      <c r="K7004">
        <v>20190621</v>
      </c>
      <c r="L7004" t="str">
        <f t="shared" si="1549"/>
        <v>077272</v>
      </c>
      <c r="M7004" t="str">
        <f t="shared" si="1550"/>
        <v>65106</v>
      </c>
      <c r="N7004" t="s">
        <v>1175</v>
      </c>
      <c r="O7004" s="1">
        <v>2435.98</v>
      </c>
      <c r="P7004">
        <v>20190619</v>
      </c>
      <c r="Q7004" t="s">
        <v>2177</v>
      </c>
      <c r="R7004" t="s">
        <v>4354</v>
      </c>
      <c r="S7004" t="s">
        <v>1615</v>
      </c>
      <c r="T7004" t="s">
        <v>301</v>
      </c>
    </row>
    <row r="7005" spans="1:20" x14ac:dyDescent="0.25">
      <c r="A7005">
        <v>9</v>
      </c>
      <c r="B7005">
        <v>199</v>
      </c>
      <c r="C7005" t="str">
        <f>"36"</f>
        <v>36</v>
      </c>
      <c r="D7005">
        <v>6399</v>
      </c>
      <c r="E7005" t="str">
        <f>"8T"</f>
        <v>8T</v>
      </c>
      <c r="F7005" t="str">
        <f t="shared" si="1548"/>
        <v>001</v>
      </c>
      <c r="G7005">
        <v>9</v>
      </c>
      <c r="H7005" t="str">
        <f>"99"</f>
        <v>99</v>
      </c>
      <c r="I7005" t="str">
        <f t="shared" si="1551"/>
        <v>0</v>
      </c>
      <c r="J7005" t="str">
        <f>"01"</f>
        <v>01</v>
      </c>
      <c r="K7005">
        <v>20190621</v>
      </c>
      <c r="L7005" t="str">
        <f t="shared" si="1549"/>
        <v>077272</v>
      </c>
      <c r="M7005" t="str">
        <f t="shared" si="1550"/>
        <v>65106</v>
      </c>
      <c r="N7005" t="s">
        <v>1175</v>
      </c>
      <c r="O7005">
        <v>238.93</v>
      </c>
      <c r="P7005">
        <v>20190619</v>
      </c>
      <c r="Q7005" t="s">
        <v>2966</v>
      </c>
      <c r="R7005" t="s">
        <v>5555</v>
      </c>
      <c r="S7005" t="s">
        <v>1615</v>
      </c>
      <c r="T7005" t="s">
        <v>301</v>
      </c>
    </row>
    <row r="7006" spans="1:20" x14ac:dyDescent="0.25">
      <c r="A7006">
        <v>9</v>
      </c>
      <c r="B7006">
        <v>199</v>
      </c>
      <c r="C7006" t="str">
        <f>"53"</f>
        <v>53</v>
      </c>
      <c r="D7006">
        <v>6399</v>
      </c>
      <c r="E7006" t="str">
        <f>"10"</f>
        <v>10</v>
      </c>
      <c r="F7006" t="str">
        <f>"880"</f>
        <v>880</v>
      </c>
      <c r="G7006">
        <v>9</v>
      </c>
      <c r="H7006" t="str">
        <f>"99"</f>
        <v>99</v>
      </c>
      <c r="I7006" t="str">
        <f t="shared" si="1551"/>
        <v>0</v>
      </c>
      <c r="J7006" t="str">
        <f>"80"</f>
        <v>80</v>
      </c>
      <c r="K7006">
        <v>20190621</v>
      </c>
      <c r="L7006" t="str">
        <f t="shared" si="1549"/>
        <v>077272</v>
      </c>
      <c r="M7006" t="str">
        <f t="shared" si="1550"/>
        <v>65106</v>
      </c>
      <c r="N7006" t="s">
        <v>1175</v>
      </c>
      <c r="O7006">
        <v>174.08</v>
      </c>
      <c r="P7006">
        <v>20190619</v>
      </c>
      <c r="Q7006" t="s">
        <v>1865</v>
      </c>
      <c r="R7006" t="s">
        <v>641</v>
      </c>
      <c r="S7006" t="s">
        <v>1615</v>
      </c>
      <c r="T7006" t="s">
        <v>1866</v>
      </c>
    </row>
    <row r="7007" spans="1:20" x14ac:dyDescent="0.25">
      <c r="A7007">
        <v>9</v>
      </c>
      <c r="B7007">
        <v>199</v>
      </c>
      <c r="C7007" t="str">
        <f>"36"</f>
        <v>36</v>
      </c>
      <c r="D7007">
        <v>6495</v>
      </c>
      <c r="E7007" t="str">
        <f>"7K"</f>
        <v>7K</v>
      </c>
      <c r="F7007" t="str">
        <f>"001"</f>
        <v>001</v>
      </c>
      <c r="G7007">
        <v>9</v>
      </c>
      <c r="H7007" t="str">
        <f>"99"</f>
        <v>99</v>
      </c>
      <c r="I7007" t="str">
        <f t="shared" si="1551"/>
        <v>0</v>
      </c>
      <c r="J7007" t="str">
        <f>"01"</f>
        <v>01</v>
      </c>
      <c r="K7007">
        <v>20190621</v>
      </c>
      <c r="L7007" t="str">
        <f>"077273"</f>
        <v>077273</v>
      </c>
      <c r="M7007" t="str">
        <f>"64955"</f>
        <v>64955</v>
      </c>
      <c r="N7007" t="s">
        <v>3451</v>
      </c>
      <c r="O7007" s="1">
        <v>3400</v>
      </c>
      <c r="P7007">
        <v>20190619</v>
      </c>
      <c r="Q7007" t="s">
        <v>1650</v>
      </c>
      <c r="R7007" t="s">
        <v>5556</v>
      </c>
      <c r="S7007" t="s">
        <v>1615</v>
      </c>
      <c r="T7007" t="s">
        <v>301</v>
      </c>
    </row>
    <row r="7008" spans="1:20" x14ac:dyDescent="0.25">
      <c r="A7008">
        <v>9</v>
      </c>
      <c r="B7008">
        <v>199</v>
      </c>
      <c r="C7008" t="str">
        <f>"23"</f>
        <v>23</v>
      </c>
      <c r="D7008">
        <v>6411</v>
      </c>
      <c r="E7008" t="str">
        <f>"10"</f>
        <v>10</v>
      </c>
      <c r="F7008" t="str">
        <f>"041"</f>
        <v>041</v>
      </c>
      <c r="G7008">
        <v>9</v>
      </c>
      <c r="H7008" t="str">
        <f>"99"</f>
        <v>99</v>
      </c>
      <c r="I7008" t="str">
        <f t="shared" si="1551"/>
        <v>0</v>
      </c>
      <c r="J7008" t="str">
        <f>"03"</f>
        <v>03</v>
      </c>
      <c r="K7008">
        <v>20190621</v>
      </c>
      <c r="L7008" t="str">
        <f>"077274"</f>
        <v>077274</v>
      </c>
      <c r="M7008" t="str">
        <f>"65235"</f>
        <v>65235</v>
      </c>
      <c r="N7008" t="s">
        <v>3250</v>
      </c>
      <c r="O7008">
        <v>169.98</v>
      </c>
      <c r="P7008">
        <v>20190619</v>
      </c>
      <c r="Q7008" t="s">
        <v>3251</v>
      </c>
      <c r="R7008" t="s">
        <v>5557</v>
      </c>
      <c r="S7008" t="s">
        <v>1615</v>
      </c>
      <c r="T7008" t="s">
        <v>106</v>
      </c>
    </row>
    <row r="7009" spans="1:20" x14ac:dyDescent="0.25">
      <c r="A7009">
        <v>9</v>
      </c>
      <c r="B7009">
        <v>199</v>
      </c>
      <c r="C7009" t="str">
        <f>"11"</f>
        <v>11</v>
      </c>
      <c r="D7009">
        <v>6339</v>
      </c>
      <c r="E7009" t="str">
        <f>"10"</f>
        <v>10</v>
      </c>
      <c r="F7009" t="str">
        <f>"041"</f>
        <v>041</v>
      </c>
      <c r="G7009">
        <v>9</v>
      </c>
      <c r="H7009" t="str">
        <f>"11"</f>
        <v>11</v>
      </c>
      <c r="I7009" t="str">
        <f t="shared" si="1551"/>
        <v>0</v>
      </c>
      <c r="J7009" t="str">
        <f>"03"</f>
        <v>03</v>
      </c>
      <c r="K7009">
        <v>20190621</v>
      </c>
      <c r="L7009" t="str">
        <f>"077275"</f>
        <v>077275</v>
      </c>
      <c r="M7009" t="str">
        <f>"64562"</f>
        <v>64562</v>
      </c>
      <c r="N7009" t="s">
        <v>3985</v>
      </c>
      <c r="O7009">
        <v>33.44</v>
      </c>
      <c r="P7009">
        <v>20190619</v>
      </c>
      <c r="Q7009" t="s">
        <v>4683</v>
      </c>
      <c r="R7009" t="s">
        <v>4939</v>
      </c>
      <c r="S7009" t="s">
        <v>1615</v>
      </c>
      <c r="T7009" t="s">
        <v>106</v>
      </c>
    </row>
    <row r="7010" spans="1:20" x14ac:dyDescent="0.25">
      <c r="A7010">
        <v>9</v>
      </c>
      <c r="B7010">
        <v>199</v>
      </c>
      <c r="C7010" t="str">
        <f>"33"</f>
        <v>33</v>
      </c>
      <c r="D7010">
        <v>6399</v>
      </c>
      <c r="E7010" t="str">
        <f>"8F"</f>
        <v>8F</v>
      </c>
      <c r="F7010" t="str">
        <f>"101"</f>
        <v>101</v>
      </c>
      <c r="G7010">
        <v>9</v>
      </c>
      <c r="H7010" t="str">
        <f>"99"</f>
        <v>99</v>
      </c>
      <c r="I7010" t="str">
        <f t="shared" si="1551"/>
        <v>0</v>
      </c>
      <c r="J7010" t="str">
        <f>"04"</f>
        <v>04</v>
      </c>
      <c r="K7010">
        <v>20190621</v>
      </c>
      <c r="L7010" t="str">
        <f>"077276"</f>
        <v>077276</v>
      </c>
      <c r="M7010" t="str">
        <f>"65817"</f>
        <v>65817</v>
      </c>
      <c r="N7010" t="s">
        <v>2321</v>
      </c>
      <c r="O7010">
        <v>815.97</v>
      </c>
      <c r="P7010">
        <v>20190619</v>
      </c>
      <c r="Q7010" t="s">
        <v>2322</v>
      </c>
      <c r="R7010" t="s">
        <v>2323</v>
      </c>
      <c r="S7010" t="s">
        <v>1615</v>
      </c>
      <c r="T7010" t="s">
        <v>1479</v>
      </c>
    </row>
    <row r="7011" spans="1:20" x14ac:dyDescent="0.25">
      <c r="A7011">
        <v>9</v>
      </c>
      <c r="B7011">
        <v>199</v>
      </c>
      <c r="C7011" t="str">
        <f>"33"</f>
        <v>33</v>
      </c>
      <c r="D7011">
        <v>6399</v>
      </c>
      <c r="E7011" t="str">
        <f>"8F"</f>
        <v>8F</v>
      </c>
      <c r="F7011" t="str">
        <f>"104"</f>
        <v>104</v>
      </c>
      <c r="G7011">
        <v>9</v>
      </c>
      <c r="H7011" t="str">
        <f>"99"</f>
        <v>99</v>
      </c>
      <c r="I7011" t="str">
        <f t="shared" si="1551"/>
        <v>0</v>
      </c>
      <c r="J7011" t="str">
        <f>"05"</f>
        <v>05</v>
      </c>
      <c r="K7011">
        <v>20190621</v>
      </c>
      <c r="L7011" t="str">
        <f>"077276"</f>
        <v>077276</v>
      </c>
      <c r="M7011" t="str">
        <f>"65817"</f>
        <v>65817</v>
      </c>
      <c r="N7011" t="s">
        <v>2321</v>
      </c>
      <c r="O7011" s="1">
        <v>1146.0999999999999</v>
      </c>
      <c r="P7011">
        <v>20190619</v>
      </c>
      <c r="Q7011" t="s">
        <v>3600</v>
      </c>
      <c r="R7011" t="s">
        <v>2323</v>
      </c>
      <c r="S7011" t="s">
        <v>1615</v>
      </c>
      <c r="T7011" t="s">
        <v>46</v>
      </c>
    </row>
    <row r="7012" spans="1:20" x14ac:dyDescent="0.25">
      <c r="A7012">
        <v>9</v>
      </c>
      <c r="B7012">
        <v>199</v>
      </c>
      <c r="C7012" t="str">
        <f>"11"</f>
        <v>11</v>
      </c>
      <c r="D7012">
        <v>6396</v>
      </c>
      <c r="E7012" t="str">
        <f>"50"</f>
        <v>50</v>
      </c>
      <c r="F7012" t="str">
        <f>"001"</f>
        <v>001</v>
      </c>
      <c r="G7012">
        <v>9</v>
      </c>
      <c r="H7012" t="str">
        <f>"11"</f>
        <v>11</v>
      </c>
      <c r="I7012" t="str">
        <f t="shared" si="1551"/>
        <v>0</v>
      </c>
      <c r="J7012" t="str">
        <f>"80"</f>
        <v>80</v>
      </c>
      <c r="K7012">
        <v>20190621</v>
      </c>
      <c r="L7012" t="str">
        <f>"077278"</f>
        <v>077278</v>
      </c>
      <c r="M7012" t="str">
        <f>"66911"</f>
        <v>66911</v>
      </c>
      <c r="N7012" t="s">
        <v>5558</v>
      </c>
      <c r="O7012">
        <v>800.03</v>
      </c>
      <c r="P7012">
        <v>20190619</v>
      </c>
      <c r="Q7012" t="s">
        <v>2281</v>
      </c>
      <c r="R7012" t="s">
        <v>5559</v>
      </c>
      <c r="S7012" t="s">
        <v>1615</v>
      </c>
      <c r="T7012" t="s">
        <v>301</v>
      </c>
    </row>
    <row r="7013" spans="1:20" x14ac:dyDescent="0.25">
      <c r="A7013">
        <v>9</v>
      </c>
      <c r="B7013">
        <v>199</v>
      </c>
      <c r="C7013" t="str">
        <f>"11"</f>
        <v>11</v>
      </c>
      <c r="D7013">
        <v>6396</v>
      </c>
      <c r="E7013" t="str">
        <f>"50"</f>
        <v>50</v>
      </c>
      <c r="F7013" t="str">
        <f>"041"</f>
        <v>041</v>
      </c>
      <c r="G7013">
        <v>9</v>
      </c>
      <c r="H7013" t="str">
        <f>"11"</f>
        <v>11</v>
      </c>
      <c r="I7013" t="str">
        <f t="shared" si="1551"/>
        <v>0</v>
      </c>
      <c r="J7013" t="str">
        <f>"80"</f>
        <v>80</v>
      </c>
      <c r="K7013">
        <v>20190621</v>
      </c>
      <c r="L7013" t="str">
        <f>"077278"</f>
        <v>077278</v>
      </c>
      <c r="M7013" t="str">
        <f>"66911"</f>
        <v>66911</v>
      </c>
      <c r="N7013" t="s">
        <v>5558</v>
      </c>
      <c r="O7013" s="1">
        <v>1447.97</v>
      </c>
      <c r="P7013">
        <v>20190619</v>
      </c>
      <c r="Q7013" t="s">
        <v>2283</v>
      </c>
      <c r="R7013" t="s">
        <v>5559</v>
      </c>
      <c r="S7013" t="s">
        <v>1615</v>
      </c>
      <c r="T7013" t="s">
        <v>106</v>
      </c>
    </row>
    <row r="7014" spans="1:20" x14ac:dyDescent="0.25">
      <c r="A7014">
        <v>9</v>
      </c>
      <c r="B7014">
        <v>199</v>
      </c>
      <c r="C7014" t="str">
        <f>"11"</f>
        <v>11</v>
      </c>
      <c r="D7014">
        <v>6396</v>
      </c>
      <c r="E7014" t="str">
        <f>"50"</f>
        <v>50</v>
      </c>
      <c r="F7014" t="str">
        <f>"101"</f>
        <v>101</v>
      </c>
      <c r="G7014">
        <v>9</v>
      </c>
      <c r="H7014" t="str">
        <f>"11"</f>
        <v>11</v>
      </c>
      <c r="I7014" t="str">
        <f t="shared" si="1551"/>
        <v>0</v>
      </c>
      <c r="J7014" t="str">
        <f>"80"</f>
        <v>80</v>
      </c>
      <c r="K7014">
        <v>20190621</v>
      </c>
      <c r="L7014" t="str">
        <f>"077278"</f>
        <v>077278</v>
      </c>
      <c r="M7014" t="str">
        <f>"66911"</f>
        <v>66911</v>
      </c>
      <c r="N7014" t="s">
        <v>5558</v>
      </c>
      <c r="O7014">
        <v>800</v>
      </c>
      <c r="P7014">
        <v>20190619</v>
      </c>
      <c r="Q7014" t="s">
        <v>2284</v>
      </c>
      <c r="R7014" t="s">
        <v>5559</v>
      </c>
      <c r="S7014" t="s">
        <v>1615</v>
      </c>
      <c r="T7014" t="s">
        <v>1479</v>
      </c>
    </row>
    <row r="7015" spans="1:20" x14ac:dyDescent="0.25">
      <c r="A7015">
        <v>9</v>
      </c>
      <c r="B7015">
        <v>199</v>
      </c>
      <c r="C7015" t="str">
        <f>"11"</f>
        <v>11</v>
      </c>
      <c r="D7015">
        <v>6396</v>
      </c>
      <c r="E7015" t="str">
        <f>"50"</f>
        <v>50</v>
      </c>
      <c r="F7015" t="str">
        <f>"104"</f>
        <v>104</v>
      </c>
      <c r="G7015">
        <v>9</v>
      </c>
      <c r="H7015" t="str">
        <f>"11"</f>
        <v>11</v>
      </c>
      <c r="I7015" t="str">
        <f t="shared" si="1551"/>
        <v>0</v>
      </c>
      <c r="J7015" t="str">
        <f>"80"</f>
        <v>80</v>
      </c>
      <c r="K7015">
        <v>20190621</v>
      </c>
      <c r="L7015" t="str">
        <f>"077278"</f>
        <v>077278</v>
      </c>
      <c r="M7015" t="str">
        <f>"66911"</f>
        <v>66911</v>
      </c>
      <c r="N7015" t="s">
        <v>5558</v>
      </c>
      <c r="O7015">
        <v>900</v>
      </c>
      <c r="P7015">
        <v>20190619</v>
      </c>
      <c r="Q7015" t="s">
        <v>2285</v>
      </c>
      <c r="R7015" t="s">
        <v>5559</v>
      </c>
      <c r="S7015" t="s">
        <v>1615</v>
      </c>
      <c r="T7015" t="s">
        <v>46</v>
      </c>
    </row>
    <row r="7016" spans="1:20" x14ac:dyDescent="0.25">
      <c r="A7016">
        <v>9</v>
      </c>
      <c r="B7016">
        <v>199</v>
      </c>
      <c r="C7016" t="str">
        <f>"13"</f>
        <v>13</v>
      </c>
      <c r="D7016">
        <v>6411</v>
      </c>
      <c r="E7016" t="str">
        <f>"VH"</f>
        <v>VH</v>
      </c>
      <c r="F7016" t="str">
        <f>"001"</f>
        <v>001</v>
      </c>
      <c r="G7016">
        <v>9</v>
      </c>
      <c r="H7016" t="str">
        <f>"22"</f>
        <v>22</v>
      </c>
      <c r="I7016" t="str">
        <f t="shared" si="1551"/>
        <v>0</v>
      </c>
      <c r="J7016" t="str">
        <f>"22"</f>
        <v>22</v>
      </c>
      <c r="K7016">
        <v>20190621</v>
      </c>
      <c r="L7016" t="str">
        <f>"077279"</f>
        <v>077279</v>
      </c>
      <c r="M7016" t="str">
        <f>"67580"</f>
        <v>67580</v>
      </c>
      <c r="N7016" t="s">
        <v>3987</v>
      </c>
      <c r="O7016">
        <v>775.75</v>
      </c>
      <c r="P7016">
        <v>20190619</v>
      </c>
      <c r="Q7016" t="s">
        <v>4996</v>
      </c>
      <c r="R7016" t="s">
        <v>4997</v>
      </c>
      <c r="S7016" t="s">
        <v>1615</v>
      </c>
      <c r="T7016" t="s">
        <v>301</v>
      </c>
    </row>
    <row r="7017" spans="1:20" x14ac:dyDescent="0.25">
      <c r="A7017">
        <v>9</v>
      </c>
      <c r="B7017">
        <v>199</v>
      </c>
      <c r="C7017" t="str">
        <f>"11"</f>
        <v>11</v>
      </c>
      <c r="D7017">
        <v>6399</v>
      </c>
      <c r="E7017" t="str">
        <f>"45"</f>
        <v>45</v>
      </c>
      <c r="F7017" t="str">
        <f>"101"</f>
        <v>101</v>
      </c>
      <c r="G7017">
        <v>9</v>
      </c>
      <c r="H7017" t="str">
        <f>"11"</f>
        <v>11</v>
      </c>
      <c r="I7017" t="str">
        <f t="shared" si="1551"/>
        <v>0</v>
      </c>
      <c r="J7017" t="str">
        <f>"04"</f>
        <v>04</v>
      </c>
      <c r="K7017">
        <v>20190621</v>
      </c>
      <c r="L7017" t="str">
        <f t="shared" ref="L7017:L7022" si="1552">"077280"</f>
        <v>077280</v>
      </c>
      <c r="M7017" t="str">
        <f t="shared" ref="M7017:M7022" si="1553">"72730"</f>
        <v>72730</v>
      </c>
      <c r="N7017" t="s">
        <v>639</v>
      </c>
      <c r="O7017">
        <v>444.4</v>
      </c>
      <c r="P7017">
        <v>20190619</v>
      </c>
      <c r="Q7017" t="s">
        <v>1859</v>
      </c>
      <c r="R7017" t="s">
        <v>641</v>
      </c>
      <c r="S7017" t="s">
        <v>1615</v>
      </c>
      <c r="T7017" t="s">
        <v>1479</v>
      </c>
    </row>
    <row r="7018" spans="1:20" x14ac:dyDescent="0.25">
      <c r="A7018">
        <v>9</v>
      </c>
      <c r="B7018">
        <v>199</v>
      </c>
      <c r="C7018" t="str">
        <f>"11"</f>
        <v>11</v>
      </c>
      <c r="D7018">
        <v>6399</v>
      </c>
      <c r="E7018" t="str">
        <f>"45"</f>
        <v>45</v>
      </c>
      <c r="F7018" t="str">
        <f>"101"</f>
        <v>101</v>
      </c>
      <c r="G7018">
        <v>9</v>
      </c>
      <c r="H7018" t="str">
        <f>"11"</f>
        <v>11</v>
      </c>
      <c r="I7018" t="str">
        <f t="shared" si="1551"/>
        <v>0</v>
      </c>
      <c r="J7018" t="str">
        <f>"04"</f>
        <v>04</v>
      </c>
      <c r="K7018">
        <v>20190621</v>
      </c>
      <c r="L7018" t="str">
        <f t="shared" si="1552"/>
        <v>077280</v>
      </c>
      <c r="M7018" t="str">
        <f t="shared" si="1553"/>
        <v>72730</v>
      </c>
      <c r="N7018" t="s">
        <v>639</v>
      </c>
      <c r="O7018">
        <v>10.45</v>
      </c>
      <c r="P7018">
        <v>20190619</v>
      </c>
      <c r="Q7018" t="s">
        <v>1859</v>
      </c>
      <c r="R7018" t="s">
        <v>2325</v>
      </c>
      <c r="S7018" t="s">
        <v>1615</v>
      </c>
      <c r="T7018" t="s">
        <v>1479</v>
      </c>
    </row>
    <row r="7019" spans="1:20" x14ac:dyDescent="0.25">
      <c r="A7019">
        <v>9</v>
      </c>
      <c r="B7019">
        <v>199</v>
      </c>
      <c r="C7019" t="str">
        <f>"11"</f>
        <v>11</v>
      </c>
      <c r="D7019">
        <v>6399</v>
      </c>
      <c r="E7019" t="str">
        <f>"45"</f>
        <v>45</v>
      </c>
      <c r="F7019" t="str">
        <f>"101"</f>
        <v>101</v>
      </c>
      <c r="G7019">
        <v>9</v>
      </c>
      <c r="H7019" t="str">
        <f>"11"</f>
        <v>11</v>
      </c>
      <c r="I7019" t="str">
        <f t="shared" si="1551"/>
        <v>0</v>
      </c>
      <c r="J7019" t="str">
        <f>"04"</f>
        <v>04</v>
      </c>
      <c r="K7019">
        <v>20190621</v>
      </c>
      <c r="L7019" t="str">
        <f t="shared" si="1552"/>
        <v>077280</v>
      </c>
      <c r="M7019" t="str">
        <f t="shared" si="1553"/>
        <v>72730</v>
      </c>
      <c r="N7019" t="s">
        <v>639</v>
      </c>
      <c r="O7019">
        <v>29.9</v>
      </c>
      <c r="P7019">
        <v>20190619</v>
      </c>
      <c r="Q7019" t="s">
        <v>1859</v>
      </c>
      <c r="R7019" t="s">
        <v>2325</v>
      </c>
      <c r="S7019" t="s">
        <v>1615</v>
      </c>
      <c r="T7019" t="s">
        <v>1479</v>
      </c>
    </row>
    <row r="7020" spans="1:20" x14ac:dyDescent="0.25">
      <c r="A7020">
        <v>9</v>
      </c>
      <c r="B7020">
        <v>199</v>
      </c>
      <c r="C7020" t="str">
        <f>"11"</f>
        <v>11</v>
      </c>
      <c r="D7020">
        <v>6399</v>
      </c>
      <c r="E7020" t="str">
        <f>"45"</f>
        <v>45</v>
      </c>
      <c r="F7020" t="str">
        <f>"101"</f>
        <v>101</v>
      </c>
      <c r="G7020">
        <v>9</v>
      </c>
      <c r="H7020" t="str">
        <f>"11"</f>
        <v>11</v>
      </c>
      <c r="I7020" t="str">
        <f t="shared" si="1551"/>
        <v>0</v>
      </c>
      <c r="J7020" t="str">
        <f>"04"</f>
        <v>04</v>
      </c>
      <c r="K7020">
        <v>20190621</v>
      </c>
      <c r="L7020" t="str">
        <f t="shared" si="1552"/>
        <v>077280</v>
      </c>
      <c r="M7020" t="str">
        <f t="shared" si="1553"/>
        <v>72730</v>
      </c>
      <c r="N7020" t="s">
        <v>639</v>
      </c>
      <c r="O7020">
        <v>64.86</v>
      </c>
      <c r="P7020">
        <v>20190619</v>
      </c>
      <c r="Q7020" t="s">
        <v>1859</v>
      </c>
      <c r="R7020" t="s">
        <v>5560</v>
      </c>
      <c r="S7020" t="s">
        <v>1615</v>
      </c>
      <c r="T7020" t="s">
        <v>1479</v>
      </c>
    </row>
    <row r="7021" spans="1:20" x14ac:dyDescent="0.25">
      <c r="A7021">
        <v>9</v>
      </c>
      <c r="B7021">
        <v>199</v>
      </c>
      <c r="C7021" t="str">
        <f>"11"</f>
        <v>11</v>
      </c>
      <c r="D7021">
        <v>6399</v>
      </c>
      <c r="E7021" t="str">
        <f>"45"</f>
        <v>45</v>
      </c>
      <c r="F7021" t="str">
        <f>"104"</f>
        <v>104</v>
      </c>
      <c r="G7021">
        <v>9</v>
      </c>
      <c r="H7021" t="str">
        <f>"11"</f>
        <v>11</v>
      </c>
      <c r="I7021" t="str">
        <f t="shared" si="1551"/>
        <v>0</v>
      </c>
      <c r="J7021" t="str">
        <f>"05"</f>
        <v>05</v>
      </c>
      <c r="K7021">
        <v>20190621</v>
      </c>
      <c r="L7021" t="str">
        <f t="shared" si="1552"/>
        <v>077280</v>
      </c>
      <c r="M7021" t="str">
        <f t="shared" si="1553"/>
        <v>72730</v>
      </c>
      <c r="N7021" t="s">
        <v>639</v>
      </c>
      <c r="O7021">
        <v>402.65</v>
      </c>
      <c r="P7021">
        <v>20190619</v>
      </c>
      <c r="Q7021" t="s">
        <v>2069</v>
      </c>
      <c r="R7021" t="s">
        <v>641</v>
      </c>
      <c r="S7021" t="s">
        <v>1615</v>
      </c>
      <c r="T7021" t="s">
        <v>46</v>
      </c>
    </row>
    <row r="7022" spans="1:20" x14ac:dyDescent="0.25">
      <c r="A7022">
        <v>9</v>
      </c>
      <c r="B7022">
        <v>199</v>
      </c>
      <c r="C7022" t="str">
        <f>"41"</f>
        <v>41</v>
      </c>
      <c r="D7022">
        <v>6399</v>
      </c>
      <c r="E7022" t="str">
        <f>"10"</f>
        <v>10</v>
      </c>
      <c r="F7022" t="str">
        <f>"726"</f>
        <v>726</v>
      </c>
      <c r="G7022">
        <v>9</v>
      </c>
      <c r="H7022" t="str">
        <f>"99"</f>
        <v>99</v>
      </c>
      <c r="I7022" t="str">
        <f t="shared" si="1551"/>
        <v>0</v>
      </c>
      <c r="J7022" t="str">
        <f>"91"</f>
        <v>91</v>
      </c>
      <c r="K7022">
        <v>20190621</v>
      </c>
      <c r="L7022" t="str">
        <f t="shared" si="1552"/>
        <v>077280</v>
      </c>
      <c r="M7022" t="str">
        <f t="shared" si="1553"/>
        <v>72730</v>
      </c>
      <c r="N7022" t="s">
        <v>639</v>
      </c>
      <c r="O7022">
        <v>113.63</v>
      </c>
      <c r="P7022">
        <v>20190619</v>
      </c>
      <c r="Q7022" t="s">
        <v>2702</v>
      </c>
      <c r="R7022" t="s">
        <v>641</v>
      </c>
      <c r="S7022" t="s">
        <v>1615</v>
      </c>
      <c r="T7022" t="s">
        <v>2608</v>
      </c>
    </row>
    <row r="7023" spans="1:20" x14ac:dyDescent="0.25">
      <c r="A7023">
        <v>9</v>
      </c>
      <c r="B7023">
        <v>199</v>
      </c>
      <c r="C7023" t="str">
        <f>"13"</f>
        <v>13</v>
      </c>
      <c r="D7023">
        <v>6411</v>
      </c>
      <c r="E7023" t="str">
        <f>"7E"</f>
        <v>7E</v>
      </c>
      <c r="F7023" t="str">
        <f>"001"</f>
        <v>001</v>
      </c>
      <c r="G7023">
        <v>9</v>
      </c>
      <c r="H7023" t="str">
        <f>"11"</f>
        <v>11</v>
      </c>
      <c r="I7023" t="str">
        <f t="shared" si="1551"/>
        <v>0</v>
      </c>
      <c r="J7023" t="str">
        <f>"31"</f>
        <v>31</v>
      </c>
      <c r="K7023">
        <v>20190621</v>
      </c>
      <c r="L7023" t="str">
        <f>"077283"</f>
        <v>077283</v>
      </c>
      <c r="M7023" t="str">
        <f>"77020"</f>
        <v>77020</v>
      </c>
      <c r="N7023" t="s">
        <v>5561</v>
      </c>
      <c r="O7023">
        <v>305</v>
      </c>
      <c r="P7023">
        <v>20190619</v>
      </c>
      <c r="Q7023" t="s">
        <v>5521</v>
      </c>
      <c r="R7023" t="s">
        <v>5522</v>
      </c>
      <c r="S7023" t="s">
        <v>1615</v>
      </c>
      <c r="T7023" t="s">
        <v>301</v>
      </c>
    </row>
    <row r="7024" spans="1:20" x14ac:dyDescent="0.25">
      <c r="A7024">
        <v>9</v>
      </c>
      <c r="B7024">
        <v>199</v>
      </c>
      <c r="C7024" t="str">
        <f>"36"</f>
        <v>36</v>
      </c>
      <c r="D7024">
        <v>6495</v>
      </c>
      <c r="E7024" t="str">
        <f>"7E"</f>
        <v>7E</v>
      </c>
      <c r="F7024" t="str">
        <f>"041"</f>
        <v>041</v>
      </c>
      <c r="G7024">
        <v>9</v>
      </c>
      <c r="H7024" t="str">
        <f>"99"</f>
        <v>99</v>
      </c>
      <c r="I7024" t="str">
        <f t="shared" si="1551"/>
        <v>0</v>
      </c>
      <c r="J7024" t="str">
        <f>"35"</f>
        <v>35</v>
      </c>
      <c r="K7024">
        <v>20190621</v>
      </c>
      <c r="L7024" t="str">
        <f>"077283"</f>
        <v>077283</v>
      </c>
      <c r="M7024" t="str">
        <f>"77020"</f>
        <v>77020</v>
      </c>
      <c r="N7024" t="s">
        <v>5561</v>
      </c>
      <c r="O7024">
        <v>180</v>
      </c>
      <c r="P7024">
        <v>20190619</v>
      </c>
      <c r="Q7024" t="s">
        <v>2138</v>
      </c>
      <c r="R7024" t="s">
        <v>5522</v>
      </c>
      <c r="S7024" t="s">
        <v>1615</v>
      </c>
      <c r="T7024" t="s">
        <v>106</v>
      </c>
    </row>
    <row r="7025" spans="1:20" x14ac:dyDescent="0.25">
      <c r="A7025">
        <v>9</v>
      </c>
      <c r="B7025">
        <v>199</v>
      </c>
      <c r="C7025" t="str">
        <f>"41"</f>
        <v>41</v>
      </c>
      <c r="D7025">
        <v>6499</v>
      </c>
      <c r="E7025" t="str">
        <f t="shared" ref="E7025:E7030" si="1554">"10"</f>
        <v>10</v>
      </c>
      <c r="F7025" t="str">
        <f>"730"</f>
        <v>730</v>
      </c>
      <c r="G7025">
        <v>9</v>
      </c>
      <c r="H7025" t="str">
        <f>"99"</f>
        <v>99</v>
      </c>
      <c r="I7025" t="str">
        <f t="shared" si="1551"/>
        <v>0</v>
      </c>
      <c r="J7025" t="str">
        <f>"95"</f>
        <v>95</v>
      </c>
      <c r="K7025">
        <v>20190621</v>
      </c>
      <c r="L7025" t="str">
        <f>"077286"</f>
        <v>077286</v>
      </c>
      <c r="M7025" t="str">
        <f>"81299"</f>
        <v>81299</v>
      </c>
      <c r="N7025" t="s">
        <v>4298</v>
      </c>
      <c r="O7025" s="1">
        <v>1057.5</v>
      </c>
      <c r="P7025">
        <v>20190620</v>
      </c>
      <c r="Q7025" t="s">
        <v>1792</v>
      </c>
      <c r="R7025" t="s">
        <v>5199</v>
      </c>
      <c r="S7025" t="s">
        <v>1615</v>
      </c>
      <c r="T7025" t="s">
        <v>1794</v>
      </c>
    </row>
    <row r="7026" spans="1:20" x14ac:dyDescent="0.25">
      <c r="A7026">
        <v>9</v>
      </c>
      <c r="B7026">
        <v>199</v>
      </c>
      <c r="C7026" t="str">
        <f>"41"</f>
        <v>41</v>
      </c>
      <c r="D7026">
        <v>6499</v>
      </c>
      <c r="E7026" t="str">
        <f t="shared" si="1554"/>
        <v>10</v>
      </c>
      <c r="F7026" t="str">
        <f>"730"</f>
        <v>730</v>
      </c>
      <c r="G7026">
        <v>9</v>
      </c>
      <c r="H7026" t="str">
        <f>"99"</f>
        <v>99</v>
      </c>
      <c r="I7026" t="str">
        <f t="shared" si="1551"/>
        <v>0</v>
      </c>
      <c r="J7026" t="str">
        <f>"95"</f>
        <v>95</v>
      </c>
      <c r="K7026">
        <v>20190621</v>
      </c>
      <c r="L7026" t="str">
        <f>"077286"</f>
        <v>077286</v>
      </c>
      <c r="M7026" t="str">
        <f>"81299"</f>
        <v>81299</v>
      </c>
      <c r="N7026" t="s">
        <v>4298</v>
      </c>
      <c r="O7026" s="1">
        <v>2008</v>
      </c>
      <c r="P7026">
        <v>20190620</v>
      </c>
      <c r="Q7026" t="s">
        <v>1792</v>
      </c>
      <c r="R7026" t="s">
        <v>5426</v>
      </c>
      <c r="S7026" t="s">
        <v>1615</v>
      </c>
      <c r="T7026" t="s">
        <v>1794</v>
      </c>
    </row>
    <row r="7027" spans="1:20" x14ac:dyDescent="0.25">
      <c r="A7027">
        <v>9</v>
      </c>
      <c r="B7027">
        <v>199</v>
      </c>
      <c r="C7027" t="str">
        <f t="shared" ref="C7027:C7033" si="1555">"11"</f>
        <v>11</v>
      </c>
      <c r="D7027">
        <v>6395</v>
      </c>
      <c r="E7027" t="str">
        <f t="shared" si="1554"/>
        <v>10</v>
      </c>
      <c r="F7027" t="str">
        <f>"001"</f>
        <v>001</v>
      </c>
      <c r="G7027">
        <v>9</v>
      </c>
      <c r="H7027" t="str">
        <f t="shared" ref="H7027:H7033" si="1556">"11"</f>
        <v>11</v>
      </c>
      <c r="I7027" t="str">
        <f t="shared" si="1551"/>
        <v>0</v>
      </c>
      <c r="J7027" t="str">
        <f>"01"</f>
        <v>01</v>
      </c>
      <c r="K7027">
        <v>20190621</v>
      </c>
      <c r="L7027" t="str">
        <f t="shared" ref="L7027:L7034" si="1557">"077287"</f>
        <v>077287</v>
      </c>
      <c r="M7027" t="str">
        <f t="shared" ref="M7027:M7034" si="1558">"81303"</f>
        <v>81303</v>
      </c>
      <c r="N7027" t="s">
        <v>66</v>
      </c>
      <c r="O7027">
        <v>125</v>
      </c>
      <c r="P7027">
        <v>20190619</v>
      </c>
      <c r="Q7027" t="s">
        <v>1929</v>
      </c>
      <c r="R7027" t="s">
        <v>5562</v>
      </c>
      <c r="S7027" t="s">
        <v>1615</v>
      </c>
      <c r="T7027" t="s">
        <v>301</v>
      </c>
    </row>
    <row r="7028" spans="1:20" x14ac:dyDescent="0.25">
      <c r="A7028">
        <v>9</v>
      </c>
      <c r="B7028">
        <v>199</v>
      </c>
      <c r="C7028" t="str">
        <f t="shared" si="1555"/>
        <v>11</v>
      </c>
      <c r="D7028">
        <v>6395</v>
      </c>
      <c r="E7028" t="str">
        <f t="shared" si="1554"/>
        <v>10</v>
      </c>
      <c r="F7028" t="str">
        <f>"001"</f>
        <v>001</v>
      </c>
      <c r="G7028">
        <v>9</v>
      </c>
      <c r="H7028" t="str">
        <f t="shared" si="1556"/>
        <v>11</v>
      </c>
      <c r="I7028" t="str">
        <f t="shared" si="1551"/>
        <v>0</v>
      </c>
      <c r="J7028" t="str">
        <f>"01"</f>
        <v>01</v>
      </c>
      <c r="K7028">
        <v>20190621</v>
      </c>
      <c r="L7028" t="str">
        <f t="shared" si="1557"/>
        <v>077287</v>
      </c>
      <c r="M7028" t="str">
        <f t="shared" si="1558"/>
        <v>81303</v>
      </c>
      <c r="N7028" t="s">
        <v>66</v>
      </c>
      <c r="O7028">
        <v>35</v>
      </c>
      <c r="P7028">
        <v>20190619</v>
      </c>
      <c r="Q7028" t="s">
        <v>1929</v>
      </c>
      <c r="R7028" t="s">
        <v>2145</v>
      </c>
      <c r="S7028" t="s">
        <v>1615</v>
      </c>
      <c r="T7028" t="s">
        <v>301</v>
      </c>
    </row>
    <row r="7029" spans="1:20" x14ac:dyDescent="0.25">
      <c r="A7029">
        <v>9</v>
      </c>
      <c r="B7029">
        <v>199</v>
      </c>
      <c r="C7029" t="str">
        <f t="shared" si="1555"/>
        <v>11</v>
      </c>
      <c r="D7029">
        <v>6395</v>
      </c>
      <c r="E7029" t="str">
        <f t="shared" si="1554"/>
        <v>10</v>
      </c>
      <c r="F7029" t="str">
        <f>"001"</f>
        <v>001</v>
      </c>
      <c r="G7029">
        <v>9</v>
      </c>
      <c r="H7029" t="str">
        <f t="shared" si="1556"/>
        <v>11</v>
      </c>
      <c r="I7029" t="str">
        <f t="shared" si="1551"/>
        <v>0</v>
      </c>
      <c r="J7029" t="str">
        <f>"01"</f>
        <v>01</v>
      </c>
      <c r="K7029">
        <v>20190621</v>
      </c>
      <c r="L7029" t="str">
        <f t="shared" si="1557"/>
        <v>077287</v>
      </c>
      <c r="M7029" t="str">
        <f t="shared" si="1558"/>
        <v>81303</v>
      </c>
      <c r="N7029" t="s">
        <v>66</v>
      </c>
      <c r="O7029">
        <v>34</v>
      </c>
      <c r="P7029">
        <v>20190619</v>
      </c>
      <c r="Q7029" t="s">
        <v>1929</v>
      </c>
      <c r="R7029" t="s">
        <v>5563</v>
      </c>
      <c r="S7029" t="s">
        <v>1615</v>
      </c>
      <c r="T7029" t="s">
        <v>301</v>
      </c>
    </row>
    <row r="7030" spans="1:20" x14ac:dyDescent="0.25">
      <c r="A7030">
        <v>9</v>
      </c>
      <c r="B7030">
        <v>199</v>
      </c>
      <c r="C7030" t="str">
        <f t="shared" si="1555"/>
        <v>11</v>
      </c>
      <c r="D7030">
        <v>6395</v>
      </c>
      <c r="E7030" t="str">
        <f t="shared" si="1554"/>
        <v>10</v>
      </c>
      <c r="F7030" t="str">
        <f>"041"</f>
        <v>041</v>
      </c>
      <c r="G7030">
        <v>9</v>
      </c>
      <c r="H7030" t="str">
        <f t="shared" si="1556"/>
        <v>11</v>
      </c>
      <c r="I7030" t="str">
        <f t="shared" si="1551"/>
        <v>0</v>
      </c>
      <c r="J7030" t="str">
        <f>"03"</f>
        <v>03</v>
      </c>
      <c r="K7030">
        <v>20190621</v>
      </c>
      <c r="L7030" t="str">
        <f t="shared" si="1557"/>
        <v>077287</v>
      </c>
      <c r="M7030" t="str">
        <f t="shared" si="1558"/>
        <v>81303</v>
      </c>
      <c r="N7030" t="s">
        <v>66</v>
      </c>
      <c r="O7030">
        <v>22</v>
      </c>
      <c r="P7030">
        <v>20190619</v>
      </c>
      <c r="Q7030" t="s">
        <v>2927</v>
      </c>
      <c r="R7030" t="s">
        <v>4794</v>
      </c>
      <c r="S7030" t="s">
        <v>1615</v>
      </c>
      <c r="T7030" t="s">
        <v>106</v>
      </c>
    </row>
    <row r="7031" spans="1:20" x14ac:dyDescent="0.25">
      <c r="A7031">
        <v>9</v>
      </c>
      <c r="B7031">
        <v>199</v>
      </c>
      <c r="C7031" t="str">
        <f t="shared" si="1555"/>
        <v>11</v>
      </c>
      <c r="D7031">
        <v>6395</v>
      </c>
      <c r="E7031" t="str">
        <f>"45"</f>
        <v>45</v>
      </c>
      <c r="F7031" t="str">
        <f>"101"</f>
        <v>101</v>
      </c>
      <c r="G7031">
        <v>9</v>
      </c>
      <c r="H7031" t="str">
        <f t="shared" si="1556"/>
        <v>11</v>
      </c>
      <c r="I7031" t="str">
        <f t="shared" si="1551"/>
        <v>0</v>
      </c>
      <c r="J7031" t="str">
        <f>"04"</f>
        <v>04</v>
      </c>
      <c r="K7031">
        <v>20190621</v>
      </c>
      <c r="L7031" t="str">
        <f t="shared" si="1557"/>
        <v>077287</v>
      </c>
      <c r="M7031" t="str">
        <f t="shared" si="1558"/>
        <v>81303</v>
      </c>
      <c r="N7031" t="s">
        <v>66</v>
      </c>
      <c r="O7031">
        <v>42.43</v>
      </c>
      <c r="P7031">
        <v>20190619</v>
      </c>
      <c r="Q7031" t="s">
        <v>2542</v>
      </c>
      <c r="R7031" t="s">
        <v>3612</v>
      </c>
      <c r="S7031" t="s">
        <v>1615</v>
      </c>
      <c r="T7031" t="s">
        <v>1479</v>
      </c>
    </row>
    <row r="7032" spans="1:20" x14ac:dyDescent="0.25">
      <c r="A7032">
        <v>9</v>
      </c>
      <c r="B7032">
        <v>199</v>
      </c>
      <c r="C7032" t="str">
        <f t="shared" si="1555"/>
        <v>11</v>
      </c>
      <c r="D7032">
        <v>6395</v>
      </c>
      <c r="E7032" t="str">
        <f>"45"</f>
        <v>45</v>
      </c>
      <c r="F7032" t="str">
        <f>"104"</f>
        <v>104</v>
      </c>
      <c r="G7032">
        <v>9</v>
      </c>
      <c r="H7032" t="str">
        <f t="shared" si="1556"/>
        <v>11</v>
      </c>
      <c r="I7032" t="str">
        <f t="shared" si="1551"/>
        <v>0</v>
      </c>
      <c r="J7032" t="str">
        <f>"05"</f>
        <v>05</v>
      </c>
      <c r="K7032">
        <v>20190621</v>
      </c>
      <c r="L7032" t="str">
        <f t="shared" si="1557"/>
        <v>077287</v>
      </c>
      <c r="M7032" t="str">
        <f t="shared" si="1558"/>
        <v>81303</v>
      </c>
      <c r="N7032" t="s">
        <v>66</v>
      </c>
      <c r="O7032">
        <v>25.2</v>
      </c>
      <c r="P7032">
        <v>20190619</v>
      </c>
      <c r="Q7032" t="s">
        <v>3480</v>
      </c>
      <c r="R7032" t="s">
        <v>3481</v>
      </c>
      <c r="S7032" t="s">
        <v>1615</v>
      </c>
      <c r="T7032" t="s">
        <v>46</v>
      </c>
    </row>
    <row r="7033" spans="1:20" x14ac:dyDescent="0.25">
      <c r="A7033">
        <v>9</v>
      </c>
      <c r="B7033">
        <v>199</v>
      </c>
      <c r="C7033" t="str">
        <f t="shared" si="1555"/>
        <v>11</v>
      </c>
      <c r="D7033">
        <v>6395</v>
      </c>
      <c r="E7033" t="str">
        <f>"45"</f>
        <v>45</v>
      </c>
      <c r="F7033" t="str">
        <f>"104"</f>
        <v>104</v>
      </c>
      <c r="G7033">
        <v>9</v>
      </c>
      <c r="H7033" t="str">
        <f t="shared" si="1556"/>
        <v>11</v>
      </c>
      <c r="I7033" t="str">
        <f t="shared" si="1551"/>
        <v>0</v>
      </c>
      <c r="J7033" t="str">
        <f>"05"</f>
        <v>05</v>
      </c>
      <c r="K7033">
        <v>20190621</v>
      </c>
      <c r="L7033" t="str">
        <f t="shared" si="1557"/>
        <v>077287</v>
      </c>
      <c r="M7033" t="str">
        <f t="shared" si="1558"/>
        <v>81303</v>
      </c>
      <c r="N7033" t="s">
        <v>66</v>
      </c>
      <c r="O7033">
        <v>90</v>
      </c>
      <c r="P7033">
        <v>20190619</v>
      </c>
      <c r="Q7033" t="s">
        <v>3480</v>
      </c>
      <c r="R7033" t="s">
        <v>4792</v>
      </c>
      <c r="S7033" t="s">
        <v>1615</v>
      </c>
      <c r="T7033" t="s">
        <v>46</v>
      </c>
    </row>
    <row r="7034" spans="1:20" x14ac:dyDescent="0.25">
      <c r="A7034">
        <v>9</v>
      </c>
      <c r="B7034">
        <v>199</v>
      </c>
      <c r="C7034" t="str">
        <f>"41"</f>
        <v>41</v>
      </c>
      <c r="D7034">
        <v>6399</v>
      </c>
      <c r="E7034" t="str">
        <f>"10"</f>
        <v>10</v>
      </c>
      <c r="F7034" t="str">
        <f>"730"</f>
        <v>730</v>
      </c>
      <c r="G7034">
        <v>9</v>
      </c>
      <c r="H7034" t="str">
        <f>"99"</f>
        <v>99</v>
      </c>
      <c r="I7034" t="str">
        <f t="shared" si="1551"/>
        <v>0</v>
      </c>
      <c r="J7034" t="str">
        <f>"95"</f>
        <v>95</v>
      </c>
      <c r="K7034">
        <v>20190621</v>
      </c>
      <c r="L7034" t="str">
        <f t="shared" si="1557"/>
        <v>077287</v>
      </c>
      <c r="M7034" t="str">
        <f t="shared" si="1558"/>
        <v>81303</v>
      </c>
      <c r="N7034" t="s">
        <v>66</v>
      </c>
      <c r="O7034">
        <v>270</v>
      </c>
      <c r="P7034">
        <v>20190619</v>
      </c>
      <c r="Q7034" t="s">
        <v>1987</v>
      </c>
      <c r="R7034" t="s">
        <v>3482</v>
      </c>
      <c r="S7034" t="s">
        <v>1615</v>
      </c>
      <c r="T7034" t="s">
        <v>1794</v>
      </c>
    </row>
    <row r="7035" spans="1:20" x14ac:dyDescent="0.25">
      <c r="A7035">
        <v>9</v>
      </c>
      <c r="B7035">
        <v>199</v>
      </c>
      <c r="C7035" t="str">
        <f>"12"</f>
        <v>12</v>
      </c>
      <c r="D7035">
        <v>6396</v>
      </c>
      <c r="E7035" t="str">
        <f>"7U"</f>
        <v>7U</v>
      </c>
      <c r="F7035" t="str">
        <f>"001"</f>
        <v>001</v>
      </c>
      <c r="G7035">
        <v>9</v>
      </c>
      <c r="H7035" t="str">
        <f>"11"</f>
        <v>11</v>
      </c>
      <c r="I7035" t="str">
        <f t="shared" si="1551"/>
        <v>0</v>
      </c>
      <c r="J7035" t="str">
        <f>"01"</f>
        <v>01</v>
      </c>
      <c r="K7035">
        <v>20190621</v>
      </c>
      <c r="L7035" t="str">
        <f>"077288"</f>
        <v>077288</v>
      </c>
      <c r="M7035" t="str">
        <f>"86155"</f>
        <v>86155</v>
      </c>
      <c r="N7035" t="s">
        <v>5048</v>
      </c>
      <c r="O7035" s="1">
        <v>1373.7</v>
      </c>
      <c r="P7035">
        <v>20190619</v>
      </c>
      <c r="Q7035" t="s">
        <v>5012</v>
      </c>
      <c r="R7035" t="s">
        <v>5564</v>
      </c>
      <c r="S7035" t="s">
        <v>1615</v>
      </c>
      <c r="T7035" t="s">
        <v>301</v>
      </c>
    </row>
    <row r="7036" spans="1:20" x14ac:dyDescent="0.25">
      <c r="A7036">
        <v>9</v>
      </c>
      <c r="B7036">
        <v>199</v>
      </c>
      <c r="C7036" t="str">
        <f>"53"</f>
        <v>53</v>
      </c>
      <c r="D7036">
        <v>6649</v>
      </c>
      <c r="E7036" t="str">
        <f>"00"</f>
        <v>00</v>
      </c>
      <c r="F7036" t="str">
        <f>"880"</f>
        <v>880</v>
      </c>
      <c r="G7036">
        <v>9</v>
      </c>
      <c r="H7036" t="str">
        <f>"99"</f>
        <v>99</v>
      </c>
      <c r="I7036" t="str">
        <f t="shared" ref="I7036:I7067" si="1559">"0"</f>
        <v>0</v>
      </c>
      <c r="J7036" t="str">
        <f>"80"</f>
        <v>80</v>
      </c>
      <c r="K7036">
        <v>20190621</v>
      </c>
      <c r="L7036" t="str">
        <f>"077288"</f>
        <v>077288</v>
      </c>
      <c r="M7036" t="str">
        <f>"86155"</f>
        <v>86155</v>
      </c>
      <c r="N7036" t="s">
        <v>5048</v>
      </c>
      <c r="O7036">
        <v>903.75</v>
      </c>
      <c r="P7036">
        <v>20190619</v>
      </c>
      <c r="Q7036" t="s">
        <v>5223</v>
      </c>
      <c r="R7036" t="s">
        <v>5565</v>
      </c>
      <c r="S7036" t="s">
        <v>1615</v>
      </c>
      <c r="T7036" t="s">
        <v>1866</v>
      </c>
    </row>
    <row r="7037" spans="1:20" x14ac:dyDescent="0.25">
      <c r="A7037">
        <v>9</v>
      </c>
      <c r="B7037">
        <v>199</v>
      </c>
      <c r="C7037" t="str">
        <f>"11"</f>
        <v>11</v>
      </c>
      <c r="D7037">
        <v>6399</v>
      </c>
      <c r="E7037" t="str">
        <f>"45"</f>
        <v>45</v>
      </c>
      <c r="F7037" t="str">
        <f>"041"</f>
        <v>041</v>
      </c>
      <c r="G7037">
        <v>9</v>
      </c>
      <c r="H7037" t="str">
        <f>"11"</f>
        <v>11</v>
      </c>
      <c r="I7037" t="str">
        <f t="shared" si="1559"/>
        <v>0</v>
      </c>
      <c r="J7037" t="str">
        <f>"03"</f>
        <v>03</v>
      </c>
      <c r="K7037">
        <v>20190712</v>
      </c>
      <c r="L7037" t="str">
        <f t="shared" ref="L7037:L7058" si="1560">"077327"</f>
        <v>077327</v>
      </c>
      <c r="M7037" t="str">
        <f t="shared" ref="M7037:M7058" si="1561">"03710"</f>
        <v>03710</v>
      </c>
      <c r="N7037" t="s">
        <v>1385</v>
      </c>
      <c r="O7037">
        <v>916.73</v>
      </c>
      <c r="P7037">
        <v>20190710</v>
      </c>
      <c r="Q7037" t="s">
        <v>2204</v>
      </c>
      <c r="R7037" t="s">
        <v>641</v>
      </c>
      <c r="S7037" t="s">
        <v>1615</v>
      </c>
      <c r="T7037" t="s">
        <v>106</v>
      </c>
    </row>
    <row r="7038" spans="1:20" x14ac:dyDescent="0.25">
      <c r="A7038">
        <v>9</v>
      </c>
      <c r="B7038">
        <v>199</v>
      </c>
      <c r="C7038" t="str">
        <f>"11"</f>
        <v>11</v>
      </c>
      <c r="D7038">
        <v>6399</v>
      </c>
      <c r="E7038" t="str">
        <f>"45"</f>
        <v>45</v>
      </c>
      <c r="F7038" t="str">
        <f>"041"</f>
        <v>041</v>
      </c>
      <c r="G7038">
        <v>9</v>
      </c>
      <c r="H7038" t="str">
        <f>"11"</f>
        <v>11</v>
      </c>
      <c r="I7038" t="str">
        <f t="shared" si="1559"/>
        <v>0</v>
      </c>
      <c r="J7038" t="str">
        <f>"03"</f>
        <v>03</v>
      </c>
      <c r="K7038">
        <v>20190712</v>
      </c>
      <c r="L7038" t="str">
        <f t="shared" si="1560"/>
        <v>077327</v>
      </c>
      <c r="M7038" t="str">
        <f t="shared" si="1561"/>
        <v>03710</v>
      </c>
      <c r="N7038" t="s">
        <v>1385</v>
      </c>
      <c r="O7038">
        <v>153.76</v>
      </c>
      <c r="P7038">
        <v>20190711</v>
      </c>
      <c r="Q7038" t="s">
        <v>2204</v>
      </c>
      <c r="R7038" t="s">
        <v>5566</v>
      </c>
      <c r="S7038" t="s">
        <v>1615</v>
      </c>
      <c r="T7038" t="s">
        <v>106</v>
      </c>
    </row>
    <row r="7039" spans="1:20" x14ac:dyDescent="0.25">
      <c r="A7039">
        <v>9</v>
      </c>
      <c r="B7039">
        <v>199</v>
      </c>
      <c r="C7039" t="str">
        <f>"11"</f>
        <v>11</v>
      </c>
      <c r="D7039">
        <v>6399</v>
      </c>
      <c r="E7039" t="str">
        <f>"45"</f>
        <v>45</v>
      </c>
      <c r="F7039" t="str">
        <f>"101"</f>
        <v>101</v>
      </c>
      <c r="G7039">
        <v>9</v>
      </c>
      <c r="H7039" t="str">
        <f>"11"</f>
        <v>11</v>
      </c>
      <c r="I7039" t="str">
        <f t="shared" si="1559"/>
        <v>0</v>
      </c>
      <c r="J7039" t="str">
        <f>"04"</f>
        <v>04</v>
      </c>
      <c r="K7039">
        <v>20190712</v>
      </c>
      <c r="L7039" t="str">
        <f t="shared" si="1560"/>
        <v>077327</v>
      </c>
      <c r="M7039" t="str">
        <f t="shared" si="1561"/>
        <v>03710</v>
      </c>
      <c r="N7039" t="s">
        <v>1385</v>
      </c>
      <c r="O7039">
        <v>19.16</v>
      </c>
      <c r="P7039">
        <v>20190710</v>
      </c>
      <c r="Q7039" t="s">
        <v>1859</v>
      </c>
      <c r="R7039" t="s">
        <v>643</v>
      </c>
      <c r="S7039" t="s">
        <v>1615</v>
      </c>
      <c r="T7039" t="s">
        <v>1479</v>
      </c>
    </row>
    <row r="7040" spans="1:20" x14ac:dyDescent="0.25">
      <c r="A7040">
        <v>9</v>
      </c>
      <c r="B7040">
        <v>199</v>
      </c>
      <c r="C7040" t="str">
        <f>"11"</f>
        <v>11</v>
      </c>
      <c r="D7040">
        <v>6399</v>
      </c>
      <c r="E7040" t="str">
        <f>"45"</f>
        <v>45</v>
      </c>
      <c r="F7040" t="str">
        <f>"104"</f>
        <v>104</v>
      </c>
      <c r="G7040">
        <v>9</v>
      </c>
      <c r="H7040" t="str">
        <f>"11"</f>
        <v>11</v>
      </c>
      <c r="I7040" t="str">
        <f t="shared" si="1559"/>
        <v>0</v>
      </c>
      <c r="J7040" t="str">
        <f>"05"</f>
        <v>05</v>
      </c>
      <c r="K7040">
        <v>20190712</v>
      </c>
      <c r="L7040" t="str">
        <f t="shared" si="1560"/>
        <v>077327</v>
      </c>
      <c r="M7040" t="str">
        <f t="shared" si="1561"/>
        <v>03710</v>
      </c>
      <c r="N7040" t="s">
        <v>1385</v>
      </c>
      <c r="O7040">
        <v>626.6</v>
      </c>
      <c r="P7040">
        <v>20190710</v>
      </c>
      <c r="Q7040" t="s">
        <v>2069</v>
      </c>
      <c r="R7040" t="s">
        <v>5567</v>
      </c>
      <c r="S7040" t="s">
        <v>1615</v>
      </c>
      <c r="T7040" t="s">
        <v>46</v>
      </c>
    </row>
    <row r="7041" spans="1:20" x14ac:dyDescent="0.25">
      <c r="A7041">
        <v>9</v>
      </c>
      <c r="B7041">
        <v>199</v>
      </c>
      <c r="C7041" t="str">
        <f>"12"</f>
        <v>12</v>
      </c>
      <c r="D7041">
        <v>6399</v>
      </c>
      <c r="E7041" t="str">
        <f>"7U"</f>
        <v>7U</v>
      </c>
      <c r="F7041" t="str">
        <f>"041"</f>
        <v>041</v>
      </c>
      <c r="G7041">
        <v>9</v>
      </c>
      <c r="H7041" t="str">
        <f>"11"</f>
        <v>11</v>
      </c>
      <c r="I7041" t="str">
        <f t="shared" si="1559"/>
        <v>0</v>
      </c>
      <c r="J7041" t="str">
        <f>"03"</f>
        <v>03</v>
      </c>
      <c r="K7041">
        <v>20190712</v>
      </c>
      <c r="L7041" t="str">
        <f t="shared" si="1560"/>
        <v>077327</v>
      </c>
      <c r="M7041" t="str">
        <f t="shared" si="1561"/>
        <v>03710</v>
      </c>
      <c r="N7041" t="s">
        <v>1385</v>
      </c>
      <c r="O7041">
        <v>259.02</v>
      </c>
      <c r="P7041">
        <v>20190710</v>
      </c>
      <c r="Q7041" t="s">
        <v>5568</v>
      </c>
      <c r="R7041" t="s">
        <v>1225</v>
      </c>
      <c r="S7041" t="s">
        <v>1615</v>
      </c>
      <c r="T7041" t="s">
        <v>106</v>
      </c>
    </row>
    <row r="7042" spans="1:20" x14ac:dyDescent="0.25">
      <c r="A7042">
        <v>9</v>
      </c>
      <c r="B7042">
        <v>199</v>
      </c>
      <c r="C7042" t="str">
        <f t="shared" ref="C7042:C7048" si="1562">"23"</f>
        <v>23</v>
      </c>
      <c r="D7042">
        <v>6399</v>
      </c>
      <c r="E7042" t="str">
        <f>"10"</f>
        <v>10</v>
      </c>
      <c r="F7042" t="str">
        <f>"002"</f>
        <v>002</v>
      </c>
      <c r="G7042">
        <v>9</v>
      </c>
      <c r="H7042" t="str">
        <f t="shared" ref="H7042:H7058" si="1563">"99"</f>
        <v>99</v>
      </c>
      <c r="I7042" t="str">
        <f t="shared" si="1559"/>
        <v>0</v>
      </c>
      <c r="J7042" t="str">
        <f>"02"</f>
        <v>02</v>
      </c>
      <c r="K7042">
        <v>20190712</v>
      </c>
      <c r="L7042" t="str">
        <f t="shared" si="1560"/>
        <v>077327</v>
      </c>
      <c r="M7042" t="str">
        <f t="shared" si="1561"/>
        <v>03710</v>
      </c>
      <c r="N7042" t="s">
        <v>1385</v>
      </c>
      <c r="O7042" s="1">
        <v>1101.1600000000001</v>
      </c>
      <c r="P7042">
        <v>20190710</v>
      </c>
      <c r="Q7042" t="s">
        <v>2937</v>
      </c>
      <c r="R7042" t="s">
        <v>641</v>
      </c>
      <c r="S7042" t="s">
        <v>1615</v>
      </c>
      <c r="T7042" t="s">
        <v>1485</v>
      </c>
    </row>
    <row r="7043" spans="1:20" x14ac:dyDescent="0.25">
      <c r="A7043">
        <v>9</v>
      </c>
      <c r="B7043">
        <v>199</v>
      </c>
      <c r="C7043" t="str">
        <f t="shared" si="1562"/>
        <v>23</v>
      </c>
      <c r="D7043">
        <v>6399</v>
      </c>
      <c r="E7043" t="str">
        <f>"11"</f>
        <v>11</v>
      </c>
      <c r="F7043" t="str">
        <f>"041"</f>
        <v>041</v>
      </c>
      <c r="G7043">
        <v>9</v>
      </c>
      <c r="H7043" t="str">
        <f t="shared" si="1563"/>
        <v>99</v>
      </c>
      <c r="I7043" t="str">
        <f t="shared" si="1559"/>
        <v>0</v>
      </c>
      <c r="J7043" t="str">
        <f>"03"</f>
        <v>03</v>
      </c>
      <c r="K7043">
        <v>20190712</v>
      </c>
      <c r="L7043" t="str">
        <f t="shared" si="1560"/>
        <v>077327</v>
      </c>
      <c r="M7043" t="str">
        <f t="shared" si="1561"/>
        <v>03710</v>
      </c>
      <c r="N7043" t="s">
        <v>1385</v>
      </c>
      <c r="O7043">
        <v>601.34</v>
      </c>
      <c r="P7043">
        <v>20190710</v>
      </c>
      <c r="Q7043" t="s">
        <v>1955</v>
      </c>
      <c r="R7043" t="s">
        <v>641</v>
      </c>
      <c r="S7043" t="s">
        <v>1615</v>
      </c>
      <c r="T7043" t="s">
        <v>106</v>
      </c>
    </row>
    <row r="7044" spans="1:20" x14ac:dyDescent="0.25">
      <c r="A7044">
        <v>9</v>
      </c>
      <c r="B7044">
        <v>199</v>
      </c>
      <c r="C7044" t="str">
        <f t="shared" si="1562"/>
        <v>23</v>
      </c>
      <c r="D7044">
        <v>6399</v>
      </c>
      <c r="E7044" t="str">
        <f>"11"</f>
        <v>11</v>
      </c>
      <c r="F7044" t="str">
        <f>"041"</f>
        <v>041</v>
      </c>
      <c r="G7044">
        <v>9</v>
      </c>
      <c r="H7044" t="str">
        <f t="shared" si="1563"/>
        <v>99</v>
      </c>
      <c r="I7044" t="str">
        <f t="shared" si="1559"/>
        <v>0</v>
      </c>
      <c r="J7044" t="str">
        <f>"03"</f>
        <v>03</v>
      </c>
      <c r="K7044">
        <v>20190712</v>
      </c>
      <c r="L7044" t="str">
        <f t="shared" si="1560"/>
        <v>077327</v>
      </c>
      <c r="M7044" t="str">
        <f t="shared" si="1561"/>
        <v>03710</v>
      </c>
      <c r="N7044" t="s">
        <v>1385</v>
      </c>
      <c r="O7044">
        <v>37.5</v>
      </c>
      <c r="P7044">
        <v>20190710</v>
      </c>
      <c r="Q7044" t="s">
        <v>1955</v>
      </c>
      <c r="R7044" t="s">
        <v>5569</v>
      </c>
      <c r="S7044" t="s">
        <v>1615</v>
      </c>
      <c r="T7044" t="s">
        <v>106</v>
      </c>
    </row>
    <row r="7045" spans="1:20" x14ac:dyDescent="0.25">
      <c r="A7045">
        <v>9</v>
      </c>
      <c r="B7045">
        <v>199</v>
      </c>
      <c r="C7045" t="str">
        <f t="shared" si="1562"/>
        <v>23</v>
      </c>
      <c r="D7045">
        <v>6399</v>
      </c>
      <c r="E7045" t="str">
        <f>"11"</f>
        <v>11</v>
      </c>
      <c r="F7045" t="str">
        <f>"041"</f>
        <v>041</v>
      </c>
      <c r="G7045">
        <v>9</v>
      </c>
      <c r="H7045" t="str">
        <f t="shared" si="1563"/>
        <v>99</v>
      </c>
      <c r="I7045" t="str">
        <f t="shared" si="1559"/>
        <v>0</v>
      </c>
      <c r="J7045" t="str">
        <f>"03"</f>
        <v>03</v>
      </c>
      <c r="K7045">
        <v>20190712</v>
      </c>
      <c r="L7045" t="str">
        <f t="shared" si="1560"/>
        <v>077327</v>
      </c>
      <c r="M7045" t="str">
        <f t="shared" si="1561"/>
        <v>03710</v>
      </c>
      <c r="N7045" t="s">
        <v>1385</v>
      </c>
      <c r="O7045">
        <v>187.85</v>
      </c>
      <c r="P7045">
        <v>20190710</v>
      </c>
      <c r="Q7045" t="s">
        <v>1955</v>
      </c>
      <c r="R7045" t="s">
        <v>5570</v>
      </c>
      <c r="S7045" t="s">
        <v>1615</v>
      </c>
      <c r="T7045" t="s">
        <v>106</v>
      </c>
    </row>
    <row r="7046" spans="1:20" x14ac:dyDescent="0.25">
      <c r="A7046">
        <v>9</v>
      </c>
      <c r="B7046">
        <v>199</v>
      </c>
      <c r="C7046" t="str">
        <f t="shared" si="1562"/>
        <v>23</v>
      </c>
      <c r="D7046">
        <v>6649</v>
      </c>
      <c r="E7046" t="str">
        <f>"10"</f>
        <v>10</v>
      </c>
      <c r="F7046" t="str">
        <f>"041"</f>
        <v>041</v>
      </c>
      <c r="G7046">
        <v>9</v>
      </c>
      <c r="H7046" t="str">
        <f t="shared" si="1563"/>
        <v>99</v>
      </c>
      <c r="I7046" t="str">
        <f t="shared" si="1559"/>
        <v>0</v>
      </c>
      <c r="J7046" t="str">
        <f>"03"</f>
        <v>03</v>
      </c>
      <c r="K7046">
        <v>20190712</v>
      </c>
      <c r="L7046" t="str">
        <f t="shared" si="1560"/>
        <v>077327</v>
      </c>
      <c r="M7046" t="str">
        <f t="shared" si="1561"/>
        <v>03710</v>
      </c>
      <c r="N7046" t="s">
        <v>1385</v>
      </c>
      <c r="O7046">
        <v>223.43</v>
      </c>
      <c r="P7046">
        <v>20190710</v>
      </c>
      <c r="Q7046" t="s">
        <v>4008</v>
      </c>
      <c r="R7046" t="s">
        <v>4174</v>
      </c>
      <c r="S7046" t="s">
        <v>1615</v>
      </c>
      <c r="T7046" t="s">
        <v>106</v>
      </c>
    </row>
    <row r="7047" spans="1:20" x14ac:dyDescent="0.25">
      <c r="A7047">
        <v>9</v>
      </c>
      <c r="B7047">
        <v>199</v>
      </c>
      <c r="C7047" t="str">
        <f t="shared" si="1562"/>
        <v>23</v>
      </c>
      <c r="D7047">
        <v>6649</v>
      </c>
      <c r="E7047" t="str">
        <f>"8K"</f>
        <v>8K</v>
      </c>
      <c r="F7047" t="str">
        <f>"101"</f>
        <v>101</v>
      </c>
      <c r="G7047">
        <v>9</v>
      </c>
      <c r="H7047" t="str">
        <f t="shared" si="1563"/>
        <v>99</v>
      </c>
      <c r="I7047" t="str">
        <f t="shared" si="1559"/>
        <v>0</v>
      </c>
      <c r="J7047" t="str">
        <f>"04"</f>
        <v>04</v>
      </c>
      <c r="K7047">
        <v>20190712</v>
      </c>
      <c r="L7047" t="str">
        <f t="shared" si="1560"/>
        <v>077327</v>
      </c>
      <c r="M7047" t="str">
        <f t="shared" si="1561"/>
        <v>03710</v>
      </c>
      <c r="N7047" t="s">
        <v>1385</v>
      </c>
      <c r="O7047">
        <v>618.72</v>
      </c>
      <c r="P7047">
        <v>20190710</v>
      </c>
      <c r="Q7047" t="s">
        <v>4173</v>
      </c>
      <c r="R7047" t="s">
        <v>3244</v>
      </c>
      <c r="S7047" t="s">
        <v>1615</v>
      </c>
      <c r="T7047" t="s">
        <v>1479</v>
      </c>
    </row>
    <row r="7048" spans="1:20" x14ac:dyDescent="0.25">
      <c r="A7048">
        <v>9</v>
      </c>
      <c r="B7048">
        <v>199</v>
      </c>
      <c r="C7048" t="str">
        <f t="shared" si="1562"/>
        <v>23</v>
      </c>
      <c r="D7048">
        <v>6649</v>
      </c>
      <c r="E7048" t="str">
        <f>"8K"</f>
        <v>8K</v>
      </c>
      <c r="F7048" t="str">
        <f>"101"</f>
        <v>101</v>
      </c>
      <c r="G7048">
        <v>9</v>
      </c>
      <c r="H7048" t="str">
        <f t="shared" si="1563"/>
        <v>99</v>
      </c>
      <c r="I7048" t="str">
        <f t="shared" si="1559"/>
        <v>0</v>
      </c>
      <c r="J7048" t="str">
        <f>"04"</f>
        <v>04</v>
      </c>
      <c r="K7048">
        <v>20190712</v>
      </c>
      <c r="L7048" t="str">
        <f t="shared" si="1560"/>
        <v>077327</v>
      </c>
      <c r="M7048" t="str">
        <f t="shared" si="1561"/>
        <v>03710</v>
      </c>
      <c r="N7048" t="s">
        <v>1385</v>
      </c>
      <c r="O7048">
        <v>176.84</v>
      </c>
      <c r="P7048">
        <v>20190710</v>
      </c>
      <c r="Q7048" t="s">
        <v>4173</v>
      </c>
      <c r="R7048" t="s">
        <v>5571</v>
      </c>
      <c r="S7048" t="s">
        <v>1615</v>
      </c>
      <c r="T7048" t="s">
        <v>1479</v>
      </c>
    </row>
    <row r="7049" spans="1:20" x14ac:dyDescent="0.25">
      <c r="A7049">
        <v>9</v>
      </c>
      <c r="B7049">
        <v>199</v>
      </c>
      <c r="C7049" t="str">
        <f>"31"</f>
        <v>31</v>
      </c>
      <c r="D7049">
        <v>6399</v>
      </c>
      <c r="E7049" t="str">
        <f>"7F"</f>
        <v>7F</v>
      </c>
      <c r="F7049" t="str">
        <f>"041"</f>
        <v>041</v>
      </c>
      <c r="G7049">
        <v>9</v>
      </c>
      <c r="H7049" t="str">
        <f t="shared" si="1563"/>
        <v>99</v>
      </c>
      <c r="I7049" t="str">
        <f t="shared" si="1559"/>
        <v>0</v>
      </c>
      <c r="J7049" t="str">
        <f>"03"</f>
        <v>03</v>
      </c>
      <c r="K7049">
        <v>20190712</v>
      </c>
      <c r="L7049" t="str">
        <f t="shared" si="1560"/>
        <v>077327</v>
      </c>
      <c r="M7049" t="str">
        <f t="shared" si="1561"/>
        <v>03710</v>
      </c>
      <c r="N7049" t="s">
        <v>1385</v>
      </c>
      <c r="O7049">
        <v>80.94</v>
      </c>
      <c r="P7049">
        <v>20190710</v>
      </c>
      <c r="Q7049" t="s">
        <v>4451</v>
      </c>
      <c r="R7049" t="s">
        <v>2703</v>
      </c>
      <c r="S7049" t="s">
        <v>1615</v>
      </c>
      <c r="T7049" t="s">
        <v>106</v>
      </c>
    </row>
    <row r="7050" spans="1:20" x14ac:dyDescent="0.25">
      <c r="A7050">
        <v>9</v>
      </c>
      <c r="B7050">
        <v>199</v>
      </c>
      <c r="C7050" t="str">
        <f>"31"</f>
        <v>31</v>
      </c>
      <c r="D7050">
        <v>6399</v>
      </c>
      <c r="E7050" t="str">
        <f>"7F"</f>
        <v>7F</v>
      </c>
      <c r="F7050" t="str">
        <f>"041"</f>
        <v>041</v>
      </c>
      <c r="G7050">
        <v>9</v>
      </c>
      <c r="H7050" t="str">
        <f t="shared" si="1563"/>
        <v>99</v>
      </c>
      <c r="I7050" t="str">
        <f t="shared" si="1559"/>
        <v>0</v>
      </c>
      <c r="J7050" t="str">
        <f>"03"</f>
        <v>03</v>
      </c>
      <c r="K7050">
        <v>20190712</v>
      </c>
      <c r="L7050" t="str">
        <f t="shared" si="1560"/>
        <v>077327</v>
      </c>
      <c r="M7050" t="str">
        <f t="shared" si="1561"/>
        <v>03710</v>
      </c>
      <c r="N7050" t="s">
        <v>1385</v>
      </c>
      <c r="O7050">
        <v>37.79</v>
      </c>
      <c r="P7050">
        <v>20190710</v>
      </c>
      <c r="Q7050" t="s">
        <v>4451</v>
      </c>
      <c r="R7050" t="s">
        <v>641</v>
      </c>
      <c r="S7050" t="s">
        <v>1615</v>
      </c>
      <c r="T7050" t="s">
        <v>106</v>
      </c>
    </row>
    <row r="7051" spans="1:20" x14ac:dyDescent="0.25">
      <c r="A7051">
        <v>9</v>
      </c>
      <c r="B7051">
        <v>199</v>
      </c>
      <c r="C7051" t="str">
        <f>"31"</f>
        <v>31</v>
      </c>
      <c r="D7051">
        <v>6399</v>
      </c>
      <c r="E7051" t="str">
        <f>"7F"</f>
        <v>7F</v>
      </c>
      <c r="F7051" t="str">
        <f>"041"</f>
        <v>041</v>
      </c>
      <c r="G7051">
        <v>9</v>
      </c>
      <c r="H7051" t="str">
        <f t="shared" si="1563"/>
        <v>99</v>
      </c>
      <c r="I7051" t="str">
        <f t="shared" si="1559"/>
        <v>0</v>
      </c>
      <c r="J7051" t="str">
        <f>"03"</f>
        <v>03</v>
      </c>
      <c r="K7051">
        <v>20190712</v>
      </c>
      <c r="L7051" t="str">
        <f t="shared" si="1560"/>
        <v>077327</v>
      </c>
      <c r="M7051" t="str">
        <f t="shared" si="1561"/>
        <v>03710</v>
      </c>
      <c r="N7051" t="s">
        <v>1385</v>
      </c>
      <c r="O7051">
        <v>5.99</v>
      </c>
      <c r="P7051">
        <v>20190710</v>
      </c>
      <c r="Q7051" t="s">
        <v>4451</v>
      </c>
      <c r="R7051" t="s">
        <v>5572</v>
      </c>
      <c r="S7051" t="s">
        <v>1615</v>
      </c>
      <c r="T7051" t="s">
        <v>106</v>
      </c>
    </row>
    <row r="7052" spans="1:20" x14ac:dyDescent="0.25">
      <c r="A7052">
        <v>9</v>
      </c>
      <c r="B7052">
        <v>199</v>
      </c>
      <c r="C7052" t="str">
        <f>"31"</f>
        <v>31</v>
      </c>
      <c r="D7052">
        <v>6399</v>
      </c>
      <c r="E7052" t="str">
        <f>"7F"</f>
        <v>7F</v>
      </c>
      <c r="F7052" t="str">
        <f>"041"</f>
        <v>041</v>
      </c>
      <c r="G7052">
        <v>9</v>
      </c>
      <c r="H7052" t="str">
        <f t="shared" si="1563"/>
        <v>99</v>
      </c>
      <c r="I7052" t="str">
        <f t="shared" si="1559"/>
        <v>0</v>
      </c>
      <c r="J7052" t="str">
        <f>"03"</f>
        <v>03</v>
      </c>
      <c r="K7052">
        <v>20190712</v>
      </c>
      <c r="L7052" t="str">
        <f t="shared" si="1560"/>
        <v>077327</v>
      </c>
      <c r="M7052" t="str">
        <f t="shared" si="1561"/>
        <v>03710</v>
      </c>
      <c r="N7052" t="s">
        <v>1385</v>
      </c>
      <c r="O7052">
        <v>228.53</v>
      </c>
      <c r="P7052">
        <v>20190710</v>
      </c>
      <c r="Q7052" t="s">
        <v>4451</v>
      </c>
      <c r="R7052" t="s">
        <v>641</v>
      </c>
      <c r="S7052" t="s">
        <v>1615</v>
      </c>
      <c r="T7052" t="s">
        <v>106</v>
      </c>
    </row>
    <row r="7053" spans="1:20" x14ac:dyDescent="0.25">
      <c r="A7053">
        <v>9</v>
      </c>
      <c r="B7053">
        <v>199</v>
      </c>
      <c r="C7053" t="str">
        <f>"41"</f>
        <v>41</v>
      </c>
      <c r="D7053">
        <v>6399</v>
      </c>
      <c r="E7053" t="str">
        <f>"00"</f>
        <v>00</v>
      </c>
      <c r="F7053" t="str">
        <f>"709"</f>
        <v>709</v>
      </c>
      <c r="G7053">
        <v>9</v>
      </c>
      <c r="H7053" t="str">
        <f t="shared" si="1563"/>
        <v>99</v>
      </c>
      <c r="I7053" t="str">
        <f t="shared" si="1559"/>
        <v>0</v>
      </c>
      <c r="J7053" t="str">
        <f>"83"</f>
        <v>83</v>
      </c>
      <c r="K7053">
        <v>20190712</v>
      </c>
      <c r="L7053" t="str">
        <f t="shared" si="1560"/>
        <v>077327</v>
      </c>
      <c r="M7053" t="str">
        <f t="shared" si="1561"/>
        <v>03710</v>
      </c>
      <c r="N7053" t="s">
        <v>1385</v>
      </c>
      <c r="O7053">
        <v>105.26</v>
      </c>
      <c r="P7053">
        <v>20190710</v>
      </c>
      <c r="Q7053" t="s">
        <v>5573</v>
      </c>
      <c r="R7053" t="s">
        <v>641</v>
      </c>
      <c r="S7053" t="s">
        <v>1615</v>
      </c>
      <c r="T7053" t="s">
        <v>1820</v>
      </c>
    </row>
    <row r="7054" spans="1:20" x14ac:dyDescent="0.25">
      <c r="A7054">
        <v>9</v>
      </c>
      <c r="B7054">
        <v>199</v>
      </c>
      <c r="C7054" t="str">
        <f>"41"</f>
        <v>41</v>
      </c>
      <c r="D7054">
        <v>6399</v>
      </c>
      <c r="E7054" t="str">
        <f>"00"</f>
        <v>00</v>
      </c>
      <c r="F7054" t="str">
        <f>"709"</f>
        <v>709</v>
      </c>
      <c r="G7054">
        <v>9</v>
      </c>
      <c r="H7054" t="str">
        <f t="shared" si="1563"/>
        <v>99</v>
      </c>
      <c r="I7054" t="str">
        <f t="shared" si="1559"/>
        <v>0</v>
      </c>
      <c r="J7054" t="str">
        <f>"83"</f>
        <v>83</v>
      </c>
      <c r="K7054">
        <v>20190712</v>
      </c>
      <c r="L7054" t="str">
        <f t="shared" si="1560"/>
        <v>077327</v>
      </c>
      <c r="M7054" t="str">
        <f t="shared" si="1561"/>
        <v>03710</v>
      </c>
      <c r="N7054" t="s">
        <v>1385</v>
      </c>
      <c r="O7054">
        <v>22.98</v>
      </c>
      <c r="P7054">
        <v>20190710</v>
      </c>
      <c r="Q7054" t="s">
        <v>5573</v>
      </c>
      <c r="R7054" t="s">
        <v>2227</v>
      </c>
      <c r="S7054" t="s">
        <v>1615</v>
      </c>
      <c r="T7054" t="s">
        <v>1820</v>
      </c>
    </row>
    <row r="7055" spans="1:20" x14ac:dyDescent="0.25">
      <c r="A7055">
        <v>9</v>
      </c>
      <c r="B7055">
        <v>199</v>
      </c>
      <c r="C7055" t="str">
        <f>"41"</f>
        <v>41</v>
      </c>
      <c r="D7055">
        <v>6399</v>
      </c>
      <c r="E7055" t="str">
        <f>"00"</f>
        <v>00</v>
      </c>
      <c r="F7055" t="str">
        <f>"709"</f>
        <v>709</v>
      </c>
      <c r="G7055">
        <v>9</v>
      </c>
      <c r="H7055" t="str">
        <f t="shared" si="1563"/>
        <v>99</v>
      </c>
      <c r="I7055" t="str">
        <f t="shared" si="1559"/>
        <v>0</v>
      </c>
      <c r="J7055" t="str">
        <f>"83"</f>
        <v>83</v>
      </c>
      <c r="K7055">
        <v>20190712</v>
      </c>
      <c r="L7055" t="str">
        <f t="shared" si="1560"/>
        <v>077327</v>
      </c>
      <c r="M7055" t="str">
        <f t="shared" si="1561"/>
        <v>03710</v>
      </c>
      <c r="N7055" t="s">
        <v>1385</v>
      </c>
      <c r="O7055">
        <v>24.99</v>
      </c>
      <c r="P7055">
        <v>20190710</v>
      </c>
      <c r="Q7055" t="s">
        <v>5573</v>
      </c>
      <c r="R7055" t="s">
        <v>5574</v>
      </c>
      <c r="S7055" t="s">
        <v>1615</v>
      </c>
      <c r="T7055" t="s">
        <v>1820</v>
      </c>
    </row>
    <row r="7056" spans="1:20" x14ac:dyDescent="0.25">
      <c r="A7056">
        <v>9</v>
      </c>
      <c r="B7056">
        <v>199</v>
      </c>
      <c r="C7056" t="str">
        <f>"41"</f>
        <v>41</v>
      </c>
      <c r="D7056">
        <v>6399</v>
      </c>
      <c r="E7056" t="str">
        <f>"10"</f>
        <v>10</v>
      </c>
      <c r="F7056" t="str">
        <f>"720"</f>
        <v>720</v>
      </c>
      <c r="G7056">
        <v>9</v>
      </c>
      <c r="H7056" t="str">
        <f t="shared" si="1563"/>
        <v>99</v>
      </c>
      <c r="I7056" t="str">
        <f t="shared" si="1559"/>
        <v>0</v>
      </c>
      <c r="J7056" t="str">
        <f>"91"</f>
        <v>91</v>
      </c>
      <c r="K7056">
        <v>20190712</v>
      </c>
      <c r="L7056" t="str">
        <f t="shared" si="1560"/>
        <v>077327</v>
      </c>
      <c r="M7056" t="str">
        <f t="shared" si="1561"/>
        <v>03710</v>
      </c>
      <c r="N7056" t="s">
        <v>1385</v>
      </c>
      <c r="O7056">
        <v>30.35</v>
      </c>
      <c r="P7056">
        <v>20190710</v>
      </c>
      <c r="Q7056" t="s">
        <v>2132</v>
      </c>
      <c r="R7056" t="s">
        <v>5575</v>
      </c>
      <c r="S7056" t="s">
        <v>1615</v>
      </c>
      <c r="T7056" t="s">
        <v>2045</v>
      </c>
    </row>
    <row r="7057" spans="1:20" x14ac:dyDescent="0.25">
      <c r="A7057">
        <v>9</v>
      </c>
      <c r="B7057">
        <v>199</v>
      </c>
      <c r="C7057" t="str">
        <f>"41"</f>
        <v>41</v>
      </c>
      <c r="D7057">
        <v>6399</v>
      </c>
      <c r="E7057" t="str">
        <f>"10"</f>
        <v>10</v>
      </c>
      <c r="F7057" t="str">
        <f>"726"</f>
        <v>726</v>
      </c>
      <c r="G7057">
        <v>9</v>
      </c>
      <c r="H7057" t="str">
        <f t="shared" si="1563"/>
        <v>99</v>
      </c>
      <c r="I7057" t="str">
        <f t="shared" si="1559"/>
        <v>0</v>
      </c>
      <c r="J7057" t="str">
        <f>"91"</f>
        <v>91</v>
      </c>
      <c r="K7057">
        <v>20190712</v>
      </c>
      <c r="L7057" t="str">
        <f t="shared" si="1560"/>
        <v>077327</v>
      </c>
      <c r="M7057" t="str">
        <f t="shared" si="1561"/>
        <v>03710</v>
      </c>
      <c r="N7057" t="s">
        <v>1385</v>
      </c>
      <c r="O7057">
        <v>78.8</v>
      </c>
      <c r="P7057">
        <v>20190710</v>
      </c>
      <c r="Q7057" t="s">
        <v>2702</v>
      </c>
      <c r="R7057" t="s">
        <v>5575</v>
      </c>
      <c r="S7057" t="s">
        <v>1615</v>
      </c>
      <c r="T7057" t="s">
        <v>2608</v>
      </c>
    </row>
    <row r="7058" spans="1:20" x14ac:dyDescent="0.25">
      <c r="A7058">
        <v>9</v>
      </c>
      <c r="B7058">
        <v>199</v>
      </c>
      <c r="C7058" t="str">
        <f>"53"</f>
        <v>53</v>
      </c>
      <c r="D7058">
        <v>6649</v>
      </c>
      <c r="E7058" t="str">
        <f>"00"</f>
        <v>00</v>
      </c>
      <c r="F7058" t="str">
        <f>"880"</f>
        <v>880</v>
      </c>
      <c r="G7058">
        <v>9</v>
      </c>
      <c r="H7058" t="str">
        <f t="shared" si="1563"/>
        <v>99</v>
      </c>
      <c r="I7058" t="str">
        <f t="shared" si="1559"/>
        <v>0</v>
      </c>
      <c r="J7058" t="str">
        <f>"80"</f>
        <v>80</v>
      </c>
      <c r="K7058">
        <v>20190712</v>
      </c>
      <c r="L7058" t="str">
        <f t="shared" si="1560"/>
        <v>077327</v>
      </c>
      <c r="M7058" t="str">
        <f t="shared" si="1561"/>
        <v>03710</v>
      </c>
      <c r="N7058" t="s">
        <v>1385</v>
      </c>
      <c r="O7058" s="1">
        <v>1114.28</v>
      </c>
      <c r="P7058">
        <v>20190710</v>
      </c>
      <c r="Q7058" t="s">
        <v>5223</v>
      </c>
      <c r="R7058" t="s">
        <v>5222</v>
      </c>
      <c r="S7058" t="s">
        <v>1615</v>
      </c>
      <c r="T7058" t="s">
        <v>1866</v>
      </c>
    </row>
    <row r="7059" spans="1:20" x14ac:dyDescent="0.25">
      <c r="A7059">
        <v>9</v>
      </c>
      <c r="B7059">
        <v>199</v>
      </c>
      <c r="C7059" t="str">
        <f>"11"</f>
        <v>11</v>
      </c>
      <c r="D7059">
        <v>6269</v>
      </c>
      <c r="E7059" t="str">
        <f>"V8"</f>
        <v>V8</v>
      </c>
      <c r="F7059" t="str">
        <f>"001"</f>
        <v>001</v>
      </c>
      <c r="G7059">
        <v>9</v>
      </c>
      <c r="H7059" t="str">
        <f>"22"</f>
        <v>22</v>
      </c>
      <c r="I7059" t="str">
        <f t="shared" si="1559"/>
        <v>0</v>
      </c>
      <c r="J7059" t="str">
        <f>"22"</f>
        <v>22</v>
      </c>
      <c r="K7059">
        <v>20190712</v>
      </c>
      <c r="L7059" t="str">
        <f>"077328"</f>
        <v>077328</v>
      </c>
      <c r="M7059" t="str">
        <f>"02230"</f>
        <v>02230</v>
      </c>
      <c r="N7059" t="s">
        <v>1673</v>
      </c>
      <c r="O7059">
        <v>85.82</v>
      </c>
      <c r="P7059">
        <v>20190710</v>
      </c>
      <c r="Q7059" t="s">
        <v>2154</v>
      </c>
      <c r="R7059" t="s">
        <v>5419</v>
      </c>
      <c r="S7059" t="s">
        <v>1615</v>
      </c>
      <c r="T7059" t="s">
        <v>301</v>
      </c>
    </row>
    <row r="7060" spans="1:20" x14ac:dyDescent="0.25">
      <c r="A7060">
        <v>9</v>
      </c>
      <c r="B7060">
        <v>199</v>
      </c>
      <c r="C7060" t="str">
        <f t="shared" ref="C7060:C7093" si="1564">"34"</f>
        <v>34</v>
      </c>
      <c r="D7060">
        <v>6249</v>
      </c>
      <c r="E7060" t="str">
        <f t="shared" ref="E7060:E7093" si="1565">"10"</f>
        <v>10</v>
      </c>
      <c r="F7060" t="str">
        <f t="shared" ref="F7060:F7093" si="1566">"937"</f>
        <v>937</v>
      </c>
      <c r="G7060">
        <v>9</v>
      </c>
      <c r="H7060" t="str">
        <f t="shared" ref="H7060:H7096" si="1567">"99"</f>
        <v>99</v>
      </c>
      <c r="I7060" t="str">
        <f t="shared" si="1559"/>
        <v>0</v>
      </c>
      <c r="J7060" t="str">
        <f t="shared" ref="J7060:J7093" si="1568">"82"</f>
        <v>82</v>
      </c>
      <c r="K7060">
        <v>20190712</v>
      </c>
      <c r="L7060" t="str">
        <f t="shared" ref="L7060:L7093" si="1569">"077329"</f>
        <v>077329</v>
      </c>
      <c r="M7060" t="str">
        <f t="shared" ref="M7060:M7093" si="1570">"03846"</f>
        <v>03846</v>
      </c>
      <c r="N7060" t="s">
        <v>3678</v>
      </c>
      <c r="O7060">
        <v>663.87</v>
      </c>
      <c r="P7060">
        <v>20190710</v>
      </c>
      <c r="Q7060" t="s">
        <v>2036</v>
      </c>
      <c r="R7060" t="s">
        <v>5576</v>
      </c>
      <c r="S7060" t="s">
        <v>1615</v>
      </c>
      <c r="T7060" t="s">
        <v>1810</v>
      </c>
    </row>
    <row r="7061" spans="1:20" x14ac:dyDescent="0.25">
      <c r="A7061">
        <v>9</v>
      </c>
      <c r="B7061">
        <v>199</v>
      </c>
      <c r="C7061" t="str">
        <f t="shared" si="1564"/>
        <v>34</v>
      </c>
      <c r="D7061">
        <v>6249</v>
      </c>
      <c r="E7061" t="str">
        <f t="shared" si="1565"/>
        <v>10</v>
      </c>
      <c r="F7061" t="str">
        <f t="shared" si="1566"/>
        <v>937</v>
      </c>
      <c r="G7061">
        <v>9</v>
      </c>
      <c r="H7061" t="str">
        <f t="shared" si="1567"/>
        <v>99</v>
      </c>
      <c r="I7061" t="str">
        <f t="shared" si="1559"/>
        <v>0</v>
      </c>
      <c r="J7061" t="str">
        <f t="shared" si="1568"/>
        <v>82</v>
      </c>
      <c r="K7061">
        <v>20190712</v>
      </c>
      <c r="L7061" t="str">
        <f t="shared" si="1569"/>
        <v>077329</v>
      </c>
      <c r="M7061" t="str">
        <f t="shared" si="1570"/>
        <v>03846</v>
      </c>
      <c r="N7061" t="s">
        <v>3678</v>
      </c>
      <c r="O7061">
        <v>555.46</v>
      </c>
      <c r="P7061">
        <v>20190710</v>
      </c>
      <c r="Q7061" t="s">
        <v>2036</v>
      </c>
      <c r="R7061" t="s">
        <v>3692</v>
      </c>
      <c r="S7061" t="s">
        <v>1615</v>
      </c>
      <c r="T7061" t="s">
        <v>1810</v>
      </c>
    </row>
    <row r="7062" spans="1:20" x14ac:dyDescent="0.25">
      <c r="A7062">
        <v>9</v>
      </c>
      <c r="B7062">
        <v>199</v>
      </c>
      <c r="C7062" t="str">
        <f t="shared" si="1564"/>
        <v>34</v>
      </c>
      <c r="D7062">
        <v>6249</v>
      </c>
      <c r="E7062" t="str">
        <f t="shared" si="1565"/>
        <v>10</v>
      </c>
      <c r="F7062" t="str">
        <f t="shared" si="1566"/>
        <v>937</v>
      </c>
      <c r="G7062">
        <v>9</v>
      </c>
      <c r="H7062" t="str">
        <f t="shared" si="1567"/>
        <v>99</v>
      </c>
      <c r="I7062" t="str">
        <f t="shared" si="1559"/>
        <v>0</v>
      </c>
      <c r="J7062" t="str">
        <f t="shared" si="1568"/>
        <v>82</v>
      </c>
      <c r="K7062">
        <v>20190712</v>
      </c>
      <c r="L7062" t="str">
        <f t="shared" si="1569"/>
        <v>077329</v>
      </c>
      <c r="M7062" t="str">
        <f t="shared" si="1570"/>
        <v>03846</v>
      </c>
      <c r="N7062" t="s">
        <v>3678</v>
      </c>
      <c r="O7062">
        <v>441.23</v>
      </c>
      <c r="P7062">
        <v>20190710</v>
      </c>
      <c r="Q7062" t="s">
        <v>2036</v>
      </c>
      <c r="R7062" t="s">
        <v>3701</v>
      </c>
      <c r="S7062" t="s">
        <v>1615</v>
      </c>
      <c r="T7062" t="s">
        <v>1810</v>
      </c>
    </row>
    <row r="7063" spans="1:20" x14ac:dyDescent="0.25">
      <c r="A7063">
        <v>9</v>
      </c>
      <c r="B7063">
        <v>199</v>
      </c>
      <c r="C7063" t="str">
        <f t="shared" si="1564"/>
        <v>34</v>
      </c>
      <c r="D7063">
        <v>6249</v>
      </c>
      <c r="E7063" t="str">
        <f t="shared" si="1565"/>
        <v>10</v>
      </c>
      <c r="F7063" t="str">
        <f t="shared" si="1566"/>
        <v>937</v>
      </c>
      <c r="G7063">
        <v>9</v>
      </c>
      <c r="H7063" t="str">
        <f t="shared" si="1567"/>
        <v>99</v>
      </c>
      <c r="I7063" t="str">
        <f t="shared" si="1559"/>
        <v>0</v>
      </c>
      <c r="J7063" t="str">
        <f t="shared" si="1568"/>
        <v>82</v>
      </c>
      <c r="K7063">
        <v>20190712</v>
      </c>
      <c r="L7063" t="str">
        <f t="shared" si="1569"/>
        <v>077329</v>
      </c>
      <c r="M7063" t="str">
        <f t="shared" si="1570"/>
        <v>03846</v>
      </c>
      <c r="N7063" t="s">
        <v>3678</v>
      </c>
      <c r="O7063">
        <v>441.05</v>
      </c>
      <c r="P7063">
        <v>20190710</v>
      </c>
      <c r="Q7063" t="s">
        <v>2036</v>
      </c>
      <c r="R7063" t="s">
        <v>3698</v>
      </c>
      <c r="S7063" t="s">
        <v>1615</v>
      </c>
      <c r="T7063" t="s">
        <v>1810</v>
      </c>
    </row>
    <row r="7064" spans="1:20" x14ac:dyDescent="0.25">
      <c r="A7064">
        <v>9</v>
      </c>
      <c r="B7064">
        <v>199</v>
      </c>
      <c r="C7064" t="str">
        <f t="shared" si="1564"/>
        <v>34</v>
      </c>
      <c r="D7064">
        <v>6249</v>
      </c>
      <c r="E7064" t="str">
        <f t="shared" si="1565"/>
        <v>10</v>
      </c>
      <c r="F7064" t="str">
        <f t="shared" si="1566"/>
        <v>937</v>
      </c>
      <c r="G7064">
        <v>9</v>
      </c>
      <c r="H7064" t="str">
        <f t="shared" si="1567"/>
        <v>99</v>
      </c>
      <c r="I7064" t="str">
        <f t="shared" si="1559"/>
        <v>0</v>
      </c>
      <c r="J7064" t="str">
        <f t="shared" si="1568"/>
        <v>82</v>
      </c>
      <c r="K7064">
        <v>20190712</v>
      </c>
      <c r="L7064" t="str">
        <f t="shared" si="1569"/>
        <v>077329</v>
      </c>
      <c r="M7064" t="str">
        <f t="shared" si="1570"/>
        <v>03846</v>
      </c>
      <c r="N7064" t="s">
        <v>3678</v>
      </c>
      <c r="O7064">
        <v>468.69</v>
      </c>
      <c r="P7064">
        <v>20190710</v>
      </c>
      <c r="Q7064" t="s">
        <v>2036</v>
      </c>
      <c r="R7064" t="s">
        <v>3682</v>
      </c>
      <c r="S7064" t="s">
        <v>1615</v>
      </c>
      <c r="T7064" t="s">
        <v>1810</v>
      </c>
    </row>
    <row r="7065" spans="1:20" x14ac:dyDescent="0.25">
      <c r="A7065">
        <v>9</v>
      </c>
      <c r="B7065">
        <v>199</v>
      </c>
      <c r="C7065" t="str">
        <f t="shared" si="1564"/>
        <v>34</v>
      </c>
      <c r="D7065">
        <v>6249</v>
      </c>
      <c r="E7065" t="str">
        <f t="shared" si="1565"/>
        <v>10</v>
      </c>
      <c r="F7065" t="str">
        <f t="shared" si="1566"/>
        <v>937</v>
      </c>
      <c r="G7065">
        <v>9</v>
      </c>
      <c r="H7065" t="str">
        <f t="shared" si="1567"/>
        <v>99</v>
      </c>
      <c r="I7065" t="str">
        <f t="shared" si="1559"/>
        <v>0</v>
      </c>
      <c r="J7065" t="str">
        <f t="shared" si="1568"/>
        <v>82</v>
      </c>
      <c r="K7065">
        <v>20190712</v>
      </c>
      <c r="L7065" t="str">
        <f t="shared" si="1569"/>
        <v>077329</v>
      </c>
      <c r="M7065" t="str">
        <f t="shared" si="1570"/>
        <v>03846</v>
      </c>
      <c r="N7065" t="s">
        <v>3678</v>
      </c>
      <c r="O7065">
        <v>446.16</v>
      </c>
      <c r="P7065">
        <v>20190710</v>
      </c>
      <c r="Q7065" t="s">
        <v>2036</v>
      </c>
      <c r="R7065" t="s">
        <v>3709</v>
      </c>
      <c r="S7065" t="s">
        <v>1615</v>
      </c>
      <c r="T7065" t="s">
        <v>1810</v>
      </c>
    </row>
    <row r="7066" spans="1:20" x14ac:dyDescent="0.25">
      <c r="A7066">
        <v>9</v>
      </c>
      <c r="B7066">
        <v>199</v>
      </c>
      <c r="C7066" t="str">
        <f t="shared" si="1564"/>
        <v>34</v>
      </c>
      <c r="D7066">
        <v>6249</v>
      </c>
      <c r="E7066" t="str">
        <f t="shared" si="1565"/>
        <v>10</v>
      </c>
      <c r="F7066" t="str">
        <f t="shared" si="1566"/>
        <v>937</v>
      </c>
      <c r="G7066">
        <v>9</v>
      </c>
      <c r="H7066" t="str">
        <f t="shared" si="1567"/>
        <v>99</v>
      </c>
      <c r="I7066" t="str">
        <f t="shared" si="1559"/>
        <v>0</v>
      </c>
      <c r="J7066" t="str">
        <f t="shared" si="1568"/>
        <v>82</v>
      </c>
      <c r="K7066">
        <v>20190712</v>
      </c>
      <c r="L7066" t="str">
        <f t="shared" si="1569"/>
        <v>077329</v>
      </c>
      <c r="M7066" t="str">
        <f t="shared" si="1570"/>
        <v>03846</v>
      </c>
      <c r="N7066" t="s">
        <v>3678</v>
      </c>
      <c r="O7066">
        <v>420.72</v>
      </c>
      <c r="P7066">
        <v>20190710</v>
      </c>
      <c r="Q7066" t="s">
        <v>2036</v>
      </c>
      <c r="R7066" t="s">
        <v>3706</v>
      </c>
      <c r="S7066" t="s">
        <v>1615</v>
      </c>
      <c r="T7066" t="s">
        <v>1810</v>
      </c>
    </row>
    <row r="7067" spans="1:20" x14ac:dyDescent="0.25">
      <c r="A7067">
        <v>9</v>
      </c>
      <c r="B7067">
        <v>199</v>
      </c>
      <c r="C7067" t="str">
        <f t="shared" si="1564"/>
        <v>34</v>
      </c>
      <c r="D7067">
        <v>6249</v>
      </c>
      <c r="E7067" t="str">
        <f t="shared" si="1565"/>
        <v>10</v>
      </c>
      <c r="F7067" t="str">
        <f t="shared" si="1566"/>
        <v>937</v>
      </c>
      <c r="G7067">
        <v>9</v>
      </c>
      <c r="H7067" t="str">
        <f t="shared" si="1567"/>
        <v>99</v>
      </c>
      <c r="I7067" t="str">
        <f t="shared" si="1559"/>
        <v>0</v>
      </c>
      <c r="J7067" t="str">
        <f t="shared" si="1568"/>
        <v>82</v>
      </c>
      <c r="K7067">
        <v>20190712</v>
      </c>
      <c r="L7067" t="str">
        <f t="shared" si="1569"/>
        <v>077329</v>
      </c>
      <c r="M7067" t="str">
        <f t="shared" si="1570"/>
        <v>03846</v>
      </c>
      <c r="N7067" t="s">
        <v>3678</v>
      </c>
      <c r="O7067">
        <v>495.48</v>
      </c>
      <c r="P7067">
        <v>20190710</v>
      </c>
      <c r="Q7067" t="s">
        <v>2036</v>
      </c>
      <c r="R7067" t="s">
        <v>3687</v>
      </c>
      <c r="S7067" t="s">
        <v>1615</v>
      </c>
      <c r="T7067" t="s">
        <v>1810</v>
      </c>
    </row>
    <row r="7068" spans="1:20" x14ac:dyDescent="0.25">
      <c r="A7068">
        <v>9</v>
      </c>
      <c r="B7068">
        <v>199</v>
      </c>
      <c r="C7068" t="str">
        <f t="shared" si="1564"/>
        <v>34</v>
      </c>
      <c r="D7068">
        <v>6249</v>
      </c>
      <c r="E7068" t="str">
        <f t="shared" si="1565"/>
        <v>10</v>
      </c>
      <c r="F7068" t="str">
        <f t="shared" si="1566"/>
        <v>937</v>
      </c>
      <c r="G7068">
        <v>9</v>
      </c>
      <c r="H7068" t="str">
        <f t="shared" si="1567"/>
        <v>99</v>
      </c>
      <c r="I7068" t="str">
        <f t="shared" ref="I7068:I7099" si="1571">"0"</f>
        <v>0</v>
      </c>
      <c r="J7068" t="str">
        <f t="shared" si="1568"/>
        <v>82</v>
      </c>
      <c r="K7068">
        <v>20190712</v>
      </c>
      <c r="L7068" t="str">
        <f t="shared" si="1569"/>
        <v>077329</v>
      </c>
      <c r="M7068" t="str">
        <f t="shared" si="1570"/>
        <v>03846</v>
      </c>
      <c r="N7068" t="s">
        <v>3678</v>
      </c>
      <c r="O7068">
        <v>477.81</v>
      </c>
      <c r="P7068">
        <v>20190710</v>
      </c>
      <c r="Q7068" t="s">
        <v>2036</v>
      </c>
      <c r="R7068" t="s">
        <v>3683</v>
      </c>
      <c r="S7068" t="s">
        <v>1615</v>
      </c>
      <c r="T7068" t="s">
        <v>1810</v>
      </c>
    </row>
    <row r="7069" spans="1:20" x14ac:dyDescent="0.25">
      <c r="A7069">
        <v>9</v>
      </c>
      <c r="B7069">
        <v>199</v>
      </c>
      <c r="C7069" t="str">
        <f t="shared" si="1564"/>
        <v>34</v>
      </c>
      <c r="D7069">
        <v>6249</v>
      </c>
      <c r="E7069" t="str">
        <f t="shared" si="1565"/>
        <v>10</v>
      </c>
      <c r="F7069" t="str">
        <f t="shared" si="1566"/>
        <v>937</v>
      </c>
      <c r="G7069">
        <v>9</v>
      </c>
      <c r="H7069" t="str">
        <f t="shared" si="1567"/>
        <v>99</v>
      </c>
      <c r="I7069" t="str">
        <f t="shared" si="1571"/>
        <v>0</v>
      </c>
      <c r="J7069" t="str">
        <f t="shared" si="1568"/>
        <v>82</v>
      </c>
      <c r="K7069">
        <v>20190712</v>
      </c>
      <c r="L7069" t="str">
        <f t="shared" si="1569"/>
        <v>077329</v>
      </c>
      <c r="M7069" t="str">
        <f t="shared" si="1570"/>
        <v>03846</v>
      </c>
      <c r="N7069" t="s">
        <v>3678</v>
      </c>
      <c r="O7069">
        <v>607.95000000000005</v>
      </c>
      <c r="P7069">
        <v>20190710</v>
      </c>
      <c r="Q7069" t="s">
        <v>2036</v>
      </c>
      <c r="R7069" t="s">
        <v>3679</v>
      </c>
      <c r="S7069" t="s">
        <v>1615</v>
      </c>
      <c r="T7069" t="s">
        <v>1810</v>
      </c>
    </row>
    <row r="7070" spans="1:20" x14ac:dyDescent="0.25">
      <c r="A7070">
        <v>9</v>
      </c>
      <c r="B7070">
        <v>199</v>
      </c>
      <c r="C7070" t="str">
        <f t="shared" si="1564"/>
        <v>34</v>
      </c>
      <c r="D7070">
        <v>6249</v>
      </c>
      <c r="E7070" t="str">
        <f t="shared" si="1565"/>
        <v>10</v>
      </c>
      <c r="F7070" t="str">
        <f t="shared" si="1566"/>
        <v>937</v>
      </c>
      <c r="G7070">
        <v>9</v>
      </c>
      <c r="H7070" t="str">
        <f t="shared" si="1567"/>
        <v>99</v>
      </c>
      <c r="I7070" t="str">
        <f t="shared" si="1571"/>
        <v>0</v>
      </c>
      <c r="J7070" t="str">
        <f t="shared" si="1568"/>
        <v>82</v>
      </c>
      <c r="K7070">
        <v>20190712</v>
      </c>
      <c r="L7070" t="str">
        <f t="shared" si="1569"/>
        <v>077329</v>
      </c>
      <c r="M7070" t="str">
        <f t="shared" si="1570"/>
        <v>03846</v>
      </c>
      <c r="N7070" t="s">
        <v>3678</v>
      </c>
      <c r="O7070">
        <v>608.15</v>
      </c>
      <c r="P7070">
        <v>20190710</v>
      </c>
      <c r="Q7070" t="s">
        <v>2036</v>
      </c>
      <c r="R7070" t="s">
        <v>3696</v>
      </c>
      <c r="S7070" t="s">
        <v>1615</v>
      </c>
      <c r="T7070" t="s">
        <v>1810</v>
      </c>
    </row>
    <row r="7071" spans="1:20" x14ac:dyDescent="0.25">
      <c r="A7071">
        <v>9</v>
      </c>
      <c r="B7071">
        <v>199</v>
      </c>
      <c r="C7071" t="str">
        <f t="shared" si="1564"/>
        <v>34</v>
      </c>
      <c r="D7071">
        <v>6249</v>
      </c>
      <c r="E7071" t="str">
        <f t="shared" si="1565"/>
        <v>10</v>
      </c>
      <c r="F7071" t="str">
        <f t="shared" si="1566"/>
        <v>937</v>
      </c>
      <c r="G7071">
        <v>9</v>
      </c>
      <c r="H7071" t="str">
        <f t="shared" si="1567"/>
        <v>99</v>
      </c>
      <c r="I7071" t="str">
        <f t="shared" si="1571"/>
        <v>0</v>
      </c>
      <c r="J7071" t="str">
        <f t="shared" si="1568"/>
        <v>82</v>
      </c>
      <c r="K7071">
        <v>20190712</v>
      </c>
      <c r="L7071" t="str">
        <f t="shared" si="1569"/>
        <v>077329</v>
      </c>
      <c r="M7071" t="str">
        <f t="shared" si="1570"/>
        <v>03846</v>
      </c>
      <c r="N7071" t="s">
        <v>3678</v>
      </c>
      <c r="O7071">
        <v>719.03</v>
      </c>
      <c r="P7071">
        <v>20190710</v>
      </c>
      <c r="Q7071" t="s">
        <v>2036</v>
      </c>
      <c r="R7071" t="s">
        <v>3708</v>
      </c>
      <c r="S7071" t="s">
        <v>1615</v>
      </c>
      <c r="T7071" t="s">
        <v>1810</v>
      </c>
    </row>
    <row r="7072" spans="1:20" x14ac:dyDescent="0.25">
      <c r="A7072">
        <v>9</v>
      </c>
      <c r="B7072">
        <v>199</v>
      </c>
      <c r="C7072" t="str">
        <f t="shared" si="1564"/>
        <v>34</v>
      </c>
      <c r="D7072">
        <v>6249</v>
      </c>
      <c r="E7072" t="str">
        <f t="shared" si="1565"/>
        <v>10</v>
      </c>
      <c r="F7072" t="str">
        <f t="shared" si="1566"/>
        <v>937</v>
      </c>
      <c r="G7072">
        <v>9</v>
      </c>
      <c r="H7072" t="str">
        <f t="shared" si="1567"/>
        <v>99</v>
      </c>
      <c r="I7072" t="str">
        <f t="shared" si="1571"/>
        <v>0</v>
      </c>
      <c r="J7072" t="str">
        <f t="shared" si="1568"/>
        <v>82</v>
      </c>
      <c r="K7072">
        <v>20190712</v>
      </c>
      <c r="L7072" t="str">
        <f t="shared" si="1569"/>
        <v>077329</v>
      </c>
      <c r="M7072" t="str">
        <f t="shared" si="1570"/>
        <v>03846</v>
      </c>
      <c r="N7072" t="s">
        <v>3678</v>
      </c>
      <c r="O7072">
        <v>565.05999999999995</v>
      </c>
      <c r="P7072">
        <v>20190710</v>
      </c>
      <c r="Q7072" t="s">
        <v>2036</v>
      </c>
      <c r="R7072" t="s">
        <v>5577</v>
      </c>
      <c r="S7072" t="s">
        <v>1615</v>
      </c>
      <c r="T7072" t="s">
        <v>1810</v>
      </c>
    </row>
    <row r="7073" spans="1:20" x14ac:dyDescent="0.25">
      <c r="A7073">
        <v>9</v>
      </c>
      <c r="B7073">
        <v>199</v>
      </c>
      <c r="C7073" t="str">
        <f t="shared" si="1564"/>
        <v>34</v>
      </c>
      <c r="D7073">
        <v>6249</v>
      </c>
      <c r="E7073" t="str">
        <f t="shared" si="1565"/>
        <v>10</v>
      </c>
      <c r="F7073" t="str">
        <f t="shared" si="1566"/>
        <v>937</v>
      </c>
      <c r="G7073">
        <v>9</v>
      </c>
      <c r="H7073" t="str">
        <f t="shared" si="1567"/>
        <v>99</v>
      </c>
      <c r="I7073" t="str">
        <f t="shared" si="1571"/>
        <v>0</v>
      </c>
      <c r="J7073" t="str">
        <f t="shared" si="1568"/>
        <v>82</v>
      </c>
      <c r="K7073">
        <v>20190712</v>
      </c>
      <c r="L7073" t="str">
        <f t="shared" si="1569"/>
        <v>077329</v>
      </c>
      <c r="M7073" t="str">
        <f t="shared" si="1570"/>
        <v>03846</v>
      </c>
      <c r="N7073" t="s">
        <v>3678</v>
      </c>
      <c r="O7073">
        <v>517.78</v>
      </c>
      <c r="P7073">
        <v>20190710</v>
      </c>
      <c r="Q7073" t="s">
        <v>2036</v>
      </c>
      <c r="R7073" t="s">
        <v>3705</v>
      </c>
      <c r="S7073" t="s">
        <v>1615</v>
      </c>
      <c r="T7073" t="s">
        <v>1810</v>
      </c>
    </row>
    <row r="7074" spans="1:20" x14ac:dyDescent="0.25">
      <c r="A7074">
        <v>9</v>
      </c>
      <c r="B7074">
        <v>199</v>
      </c>
      <c r="C7074" t="str">
        <f t="shared" si="1564"/>
        <v>34</v>
      </c>
      <c r="D7074">
        <v>6249</v>
      </c>
      <c r="E7074" t="str">
        <f t="shared" si="1565"/>
        <v>10</v>
      </c>
      <c r="F7074" t="str">
        <f t="shared" si="1566"/>
        <v>937</v>
      </c>
      <c r="G7074">
        <v>9</v>
      </c>
      <c r="H7074" t="str">
        <f t="shared" si="1567"/>
        <v>99</v>
      </c>
      <c r="I7074" t="str">
        <f t="shared" si="1571"/>
        <v>0</v>
      </c>
      <c r="J7074" t="str">
        <f t="shared" si="1568"/>
        <v>82</v>
      </c>
      <c r="K7074">
        <v>20190712</v>
      </c>
      <c r="L7074" t="str">
        <f t="shared" si="1569"/>
        <v>077329</v>
      </c>
      <c r="M7074" t="str">
        <f t="shared" si="1570"/>
        <v>03846</v>
      </c>
      <c r="N7074" t="s">
        <v>3678</v>
      </c>
      <c r="O7074">
        <v>541.54</v>
      </c>
      <c r="P7074">
        <v>20190710</v>
      </c>
      <c r="Q7074" t="s">
        <v>2036</v>
      </c>
      <c r="R7074" t="s">
        <v>3688</v>
      </c>
      <c r="S7074" t="s">
        <v>1615</v>
      </c>
      <c r="T7074" t="s">
        <v>1810</v>
      </c>
    </row>
    <row r="7075" spans="1:20" x14ac:dyDescent="0.25">
      <c r="A7075">
        <v>9</v>
      </c>
      <c r="B7075">
        <v>199</v>
      </c>
      <c r="C7075" t="str">
        <f t="shared" si="1564"/>
        <v>34</v>
      </c>
      <c r="D7075">
        <v>6249</v>
      </c>
      <c r="E7075" t="str">
        <f t="shared" si="1565"/>
        <v>10</v>
      </c>
      <c r="F7075" t="str">
        <f t="shared" si="1566"/>
        <v>937</v>
      </c>
      <c r="G7075">
        <v>9</v>
      </c>
      <c r="H7075" t="str">
        <f t="shared" si="1567"/>
        <v>99</v>
      </c>
      <c r="I7075" t="str">
        <f t="shared" si="1571"/>
        <v>0</v>
      </c>
      <c r="J7075" t="str">
        <f t="shared" si="1568"/>
        <v>82</v>
      </c>
      <c r="K7075">
        <v>20190712</v>
      </c>
      <c r="L7075" t="str">
        <f t="shared" si="1569"/>
        <v>077329</v>
      </c>
      <c r="M7075" t="str">
        <f t="shared" si="1570"/>
        <v>03846</v>
      </c>
      <c r="N7075" t="s">
        <v>3678</v>
      </c>
      <c r="O7075">
        <v>555.72</v>
      </c>
      <c r="P7075">
        <v>20190710</v>
      </c>
      <c r="Q7075" t="s">
        <v>2036</v>
      </c>
      <c r="R7075" t="s">
        <v>3686</v>
      </c>
      <c r="S7075" t="s">
        <v>1615</v>
      </c>
      <c r="T7075" t="s">
        <v>1810</v>
      </c>
    </row>
    <row r="7076" spans="1:20" x14ac:dyDescent="0.25">
      <c r="A7076">
        <v>9</v>
      </c>
      <c r="B7076">
        <v>199</v>
      </c>
      <c r="C7076" t="str">
        <f t="shared" si="1564"/>
        <v>34</v>
      </c>
      <c r="D7076">
        <v>6249</v>
      </c>
      <c r="E7076" t="str">
        <f t="shared" si="1565"/>
        <v>10</v>
      </c>
      <c r="F7076" t="str">
        <f t="shared" si="1566"/>
        <v>937</v>
      </c>
      <c r="G7076">
        <v>9</v>
      </c>
      <c r="H7076" t="str">
        <f t="shared" si="1567"/>
        <v>99</v>
      </c>
      <c r="I7076" t="str">
        <f t="shared" si="1571"/>
        <v>0</v>
      </c>
      <c r="J7076" t="str">
        <f t="shared" si="1568"/>
        <v>82</v>
      </c>
      <c r="K7076">
        <v>20190712</v>
      </c>
      <c r="L7076" t="str">
        <f t="shared" si="1569"/>
        <v>077329</v>
      </c>
      <c r="M7076" t="str">
        <f t="shared" si="1570"/>
        <v>03846</v>
      </c>
      <c r="N7076" t="s">
        <v>3678</v>
      </c>
      <c r="O7076">
        <v>614.04</v>
      </c>
      <c r="P7076">
        <v>20190710</v>
      </c>
      <c r="Q7076" t="s">
        <v>2036</v>
      </c>
      <c r="R7076" t="s">
        <v>3690</v>
      </c>
      <c r="S7076" t="s">
        <v>1615</v>
      </c>
      <c r="T7076" t="s">
        <v>1810</v>
      </c>
    </row>
    <row r="7077" spans="1:20" x14ac:dyDescent="0.25">
      <c r="A7077">
        <v>9</v>
      </c>
      <c r="B7077">
        <v>199</v>
      </c>
      <c r="C7077" t="str">
        <f t="shared" si="1564"/>
        <v>34</v>
      </c>
      <c r="D7077">
        <v>6249</v>
      </c>
      <c r="E7077" t="str">
        <f t="shared" si="1565"/>
        <v>10</v>
      </c>
      <c r="F7077" t="str">
        <f t="shared" si="1566"/>
        <v>937</v>
      </c>
      <c r="G7077">
        <v>9</v>
      </c>
      <c r="H7077" t="str">
        <f t="shared" si="1567"/>
        <v>99</v>
      </c>
      <c r="I7077" t="str">
        <f t="shared" si="1571"/>
        <v>0</v>
      </c>
      <c r="J7077" t="str">
        <f t="shared" si="1568"/>
        <v>82</v>
      </c>
      <c r="K7077">
        <v>20190712</v>
      </c>
      <c r="L7077" t="str">
        <f t="shared" si="1569"/>
        <v>077329</v>
      </c>
      <c r="M7077" t="str">
        <f t="shared" si="1570"/>
        <v>03846</v>
      </c>
      <c r="N7077" t="s">
        <v>3678</v>
      </c>
      <c r="O7077">
        <v>625.22</v>
      </c>
      <c r="P7077">
        <v>20190710</v>
      </c>
      <c r="Q7077" t="s">
        <v>2036</v>
      </c>
      <c r="R7077" t="s">
        <v>3700</v>
      </c>
      <c r="S7077" t="s">
        <v>1615</v>
      </c>
      <c r="T7077" t="s">
        <v>1810</v>
      </c>
    </row>
    <row r="7078" spans="1:20" x14ac:dyDescent="0.25">
      <c r="A7078">
        <v>9</v>
      </c>
      <c r="B7078">
        <v>199</v>
      </c>
      <c r="C7078" t="str">
        <f t="shared" si="1564"/>
        <v>34</v>
      </c>
      <c r="D7078">
        <v>6249</v>
      </c>
      <c r="E7078" t="str">
        <f t="shared" si="1565"/>
        <v>10</v>
      </c>
      <c r="F7078" t="str">
        <f t="shared" si="1566"/>
        <v>937</v>
      </c>
      <c r="G7078">
        <v>9</v>
      </c>
      <c r="H7078" t="str">
        <f t="shared" si="1567"/>
        <v>99</v>
      </c>
      <c r="I7078" t="str">
        <f t="shared" si="1571"/>
        <v>0</v>
      </c>
      <c r="J7078" t="str">
        <f t="shared" si="1568"/>
        <v>82</v>
      </c>
      <c r="K7078">
        <v>20190712</v>
      </c>
      <c r="L7078" t="str">
        <f t="shared" si="1569"/>
        <v>077329</v>
      </c>
      <c r="M7078" t="str">
        <f t="shared" si="1570"/>
        <v>03846</v>
      </c>
      <c r="N7078" t="s">
        <v>3678</v>
      </c>
      <c r="O7078">
        <v>608.15</v>
      </c>
      <c r="P7078">
        <v>20190710</v>
      </c>
      <c r="Q7078" t="s">
        <v>2036</v>
      </c>
      <c r="R7078" t="s">
        <v>3697</v>
      </c>
      <c r="S7078" t="s">
        <v>1615</v>
      </c>
      <c r="T7078" t="s">
        <v>1810</v>
      </c>
    </row>
    <row r="7079" spans="1:20" x14ac:dyDescent="0.25">
      <c r="A7079">
        <v>9</v>
      </c>
      <c r="B7079">
        <v>199</v>
      </c>
      <c r="C7079" t="str">
        <f t="shared" si="1564"/>
        <v>34</v>
      </c>
      <c r="D7079">
        <v>6249</v>
      </c>
      <c r="E7079" t="str">
        <f t="shared" si="1565"/>
        <v>10</v>
      </c>
      <c r="F7079" t="str">
        <f t="shared" si="1566"/>
        <v>937</v>
      </c>
      <c r="G7079">
        <v>9</v>
      </c>
      <c r="H7079" t="str">
        <f t="shared" si="1567"/>
        <v>99</v>
      </c>
      <c r="I7079" t="str">
        <f t="shared" si="1571"/>
        <v>0</v>
      </c>
      <c r="J7079" t="str">
        <f t="shared" si="1568"/>
        <v>82</v>
      </c>
      <c r="K7079">
        <v>20190712</v>
      </c>
      <c r="L7079" t="str">
        <f t="shared" si="1569"/>
        <v>077329</v>
      </c>
      <c r="M7079" t="str">
        <f t="shared" si="1570"/>
        <v>03846</v>
      </c>
      <c r="N7079" t="s">
        <v>3678</v>
      </c>
      <c r="O7079">
        <v>593.59</v>
      </c>
      <c r="P7079">
        <v>20190710</v>
      </c>
      <c r="Q7079" t="s">
        <v>2036</v>
      </c>
      <c r="R7079" t="s">
        <v>5578</v>
      </c>
      <c r="S7079" t="s">
        <v>1615</v>
      </c>
      <c r="T7079" t="s">
        <v>1810</v>
      </c>
    </row>
    <row r="7080" spans="1:20" x14ac:dyDescent="0.25">
      <c r="A7080">
        <v>9</v>
      </c>
      <c r="B7080">
        <v>199</v>
      </c>
      <c r="C7080" t="str">
        <f t="shared" si="1564"/>
        <v>34</v>
      </c>
      <c r="D7080">
        <v>6249</v>
      </c>
      <c r="E7080" t="str">
        <f t="shared" si="1565"/>
        <v>10</v>
      </c>
      <c r="F7080" t="str">
        <f t="shared" si="1566"/>
        <v>937</v>
      </c>
      <c r="G7080">
        <v>9</v>
      </c>
      <c r="H7080" t="str">
        <f t="shared" si="1567"/>
        <v>99</v>
      </c>
      <c r="I7080" t="str">
        <f t="shared" si="1571"/>
        <v>0</v>
      </c>
      <c r="J7080" t="str">
        <f t="shared" si="1568"/>
        <v>82</v>
      </c>
      <c r="K7080">
        <v>20190712</v>
      </c>
      <c r="L7080" t="str">
        <f t="shared" si="1569"/>
        <v>077329</v>
      </c>
      <c r="M7080" t="str">
        <f t="shared" si="1570"/>
        <v>03846</v>
      </c>
      <c r="N7080" t="s">
        <v>3678</v>
      </c>
      <c r="O7080">
        <v>567.95000000000005</v>
      </c>
      <c r="P7080">
        <v>20190710</v>
      </c>
      <c r="Q7080" t="s">
        <v>2036</v>
      </c>
      <c r="R7080" t="s">
        <v>5579</v>
      </c>
      <c r="S7080" t="s">
        <v>1615</v>
      </c>
      <c r="T7080" t="s">
        <v>1810</v>
      </c>
    </row>
    <row r="7081" spans="1:20" x14ac:dyDescent="0.25">
      <c r="A7081">
        <v>9</v>
      </c>
      <c r="B7081">
        <v>199</v>
      </c>
      <c r="C7081" t="str">
        <f t="shared" si="1564"/>
        <v>34</v>
      </c>
      <c r="D7081">
        <v>6249</v>
      </c>
      <c r="E7081" t="str">
        <f t="shared" si="1565"/>
        <v>10</v>
      </c>
      <c r="F7081" t="str">
        <f t="shared" si="1566"/>
        <v>937</v>
      </c>
      <c r="G7081">
        <v>9</v>
      </c>
      <c r="H7081" t="str">
        <f t="shared" si="1567"/>
        <v>99</v>
      </c>
      <c r="I7081" t="str">
        <f t="shared" si="1571"/>
        <v>0</v>
      </c>
      <c r="J7081" t="str">
        <f t="shared" si="1568"/>
        <v>82</v>
      </c>
      <c r="K7081">
        <v>20190712</v>
      </c>
      <c r="L7081" t="str">
        <f t="shared" si="1569"/>
        <v>077329</v>
      </c>
      <c r="M7081" t="str">
        <f t="shared" si="1570"/>
        <v>03846</v>
      </c>
      <c r="N7081" t="s">
        <v>3678</v>
      </c>
      <c r="O7081">
        <v>607.95000000000005</v>
      </c>
      <c r="P7081">
        <v>20190710</v>
      </c>
      <c r="Q7081" t="s">
        <v>2036</v>
      </c>
      <c r="R7081" t="s">
        <v>3680</v>
      </c>
      <c r="S7081" t="s">
        <v>1615</v>
      </c>
      <c r="T7081" t="s">
        <v>1810</v>
      </c>
    </row>
    <row r="7082" spans="1:20" x14ac:dyDescent="0.25">
      <c r="A7082">
        <v>9</v>
      </c>
      <c r="B7082">
        <v>199</v>
      </c>
      <c r="C7082" t="str">
        <f t="shared" si="1564"/>
        <v>34</v>
      </c>
      <c r="D7082">
        <v>6249</v>
      </c>
      <c r="E7082" t="str">
        <f t="shared" si="1565"/>
        <v>10</v>
      </c>
      <c r="F7082" t="str">
        <f t="shared" si="1566"/>
        <v>937</v>
      </c>
      <c r="G7082">
        <v>9</v>
      </c>
      <c r="H7082" t="str">
        <f t="shared" si="1567"/>
        <v>99</v>
      </c>
      <c r="I7082" t="str">
        <f t="shared" si="1571"/>
        <v>0</v>
      </c>
      <c r="J7082" t="str">
        <f t="shared" si="1568"/>
        <v>82</v>
      </c>
      <c r="K7082">
        <v>20190712</v>
      </c>
      <c r="L7082" t="str">
        <f t="shared" si="1569"/>
        <v>077329</v>
      </c>
      <c r="M7082" t="str">
        <f t="shared" si="1570"/>
        <v>03846</v>
      </c>
      <c r="N7082" t="s">
        <v>3678</v>
      </c>
      <c r="O7082">
        <v>635.57000000000005</v>
      </c>
      <c r="P7082">
        <v>20190710</v>
      </c>
      <c r="Q7082" t="s">
        <v>2036</v>
      </c>
      <c r="R7082" t="s">
        <v>3695</v>
      </c>
      <c r="S7082" t="s">
        <v>1615</v>
      </c>
      <c r="T7082" t="s">
        <v>1810</v>
      </c>
    </row>
    <row r="7083" spans="1:20" x14ac:dyDescent="0.25">
      <c r="A7083">
        <v>9</v>
      </c>
      <c r="B7083">
        <v>199</v>
      </c>
      <c r="C7083" t="str">
        <f t="shared" si="1564"/>
        <v>34</v>
      </c>
      <c r="D7083">
        <v>6249</v>
      </c>
      <c r="E7083" t="str">
        <f t="shared" si="1565"/>
        <v>10</v>
      </c>
      <c r="F7083" t="str">
        <f t="shared" si="1566"/>
        <v>937</v>
      </c>
      <c r="G7083">
        <v>9</v>
      </c>
      <c r="H7083" t="str">
        <f t="shared" si="1567"/>
        <v>99</v>
      </c>
      <c r="I7083" t="str">
        <f t="shared" si="1571"/>
        <v>0</v>
      </c>
      <c r="J7083" t="str">
        <f t="shared" si="1568"/>
        <v>82</v>
      </c>
      <c r="K7083">
        <v>20190712</v>
      </c>
      <c r="L7083" t="str">
        <f t="shared" si="1569"/>
        <v>077329</v>
      </c>
      <c r="M7083" t="str">
        <f t="shared" si="1570"/>
        <v>03846</v>
      </c>
      <c r="N7083" t="s">
        <v>3678</v>
      </c>
      <c r="O7083">
        <v>441.23</v>
      </c>
      <c r="P7083">
        <v>20190710</v>
      </c>
      <c r="Q7083" t="s">
        <v>2036</v>
      </c>
      <c r="R7083" t="s">
        <v>3685</v>
      </c>
      <c r="S7083" t="s">
        <v>1615</v>
      </c>
      <c r="T7083" t="s">
        <v>1810</v>
      </c>
    </row>
    <row r="7084" spans="1:20" x14ac:dyDescent="0.25">
      <c r="A7084">
        <v>9</v>
      </c>
      <c r="B7084">
        <v>199</v>
      </c>
      <c r="C7084" t="str">
        <f t="shared" si="1564"/>
        <v>34</v>
      </c>
      <c r="D7084">
        <v>6249</v>
      </c>
      <c r="E7084" t="str">
        <f t="shared" si="1565"/>
        <v>10</v>
      </c>
      <c r="F7084" t="str">
        <f t="shared" si="1566"/>
        <v>937</v>
      </c>
      <c r="G7084">
        <v>9</v>
      </c>
      <c r="H7084" t="str">
        <f t="shared" si="1567"/>
        <v>99</v>
      </c>
      <c r="I7084" t="str">
        <f t="shared" si="1571"/>
        <v>0</v>
      </c>
      <c r="J7084" t="str">
        <f t="shared" si="1568"/>
        <v>82</v>
      </c>
      <c r="K7084">
        <v>20190712</v>
      </c>
      <c r="L7084" t="str">
        <f t="shared" si="1569"/>
        <v>077329</v>
      </c>
      <c r="M7084" t="str">
        <f t="shared" si="1570"/>
        <v>03846</v>
      </c>
      <c r="N7084" t="s">
        <v>3678</v>
      </c>
      <c r="O7084">
        <v>470.65</v>
      </c>
      <c r="P7084">
        <v>20190710</v>
      </c>
      <c r="Q7084" t="s">
        <v>2036</v>
      </c>
      <c r="R7084" t="s">
        <v>3684</v>
      </c>
      <c r="S7084" t="s">
        <v>1615</v>
      </c>
      <c r="T7084" t="s">
        <v>1810</v>
      </c>
    </row>
    <row r="7085" spans="1:20" x14ac:dyDescent="0.25">
      <c r="A7085">
        <v>9</v>
      </c>
      <c r="B7085">
        <v>199</v>
      </c>
      <c r="C7085" t="str">
        <f t="shared" si="1564"/>
        <v>34</v>
      </c>
      <c r="D7085">
        <v>6249</v>
      </c>
      <c r="E7085" t="str">
        <f t="shared" si="1565"/>
        <v>10</v>
      </c>
      <c r="F7085" t="str">
        <f t="shared" si="1566"/>
        <v>937</v>
      </c>
      <c r="G7085">
        <v>9</v>
      </c>
      <c r="H7085" t="str">
        <f t="shared" si="1567"/>
        <v>99</v>
      </c>
      <c r="I7085" t="str">
        <f t="shared" si="1571"/>
        <v>0</v>
      </c>
      <c r="J7085" t="str">
        <f t="shared" si="1568"/>
        <v>82</v>
      </c>
      <c r="K7085">
        <v>20190712</v>
      </c>
      <c r="L7085" t="str">
        <f t="shared" si="1569"/>
        <v>077329</v>
      </c>
      <c r="M7085" t="str">
        <f t="shared" si="1570"/>
        <v>03846</v>
      </c>
      <c r="N7085" t="s">
        <v>3678</v>
      </c>
      <c r="O7085">
        <v>497.13</v>
      </c>
      <c r="P7085">
        <v>20190710</v>
      </c>
      <c r="Q7085" t="s">
        <v>2036</v>
      </c>
      <c r="R7085" t="s">
        <v>3689</v>
      </c>
      <c r="S7085" t="s">
        <v>1615</v>
      </c>
      <c r="T7085" t="s">
        <v>1810</v>
      </c>
    </row>
    <row r="7086" spans="1:20" x14ac:dyDescent="0.25">
      <c r="A7086">
        <v>9</v>
      </c>
      <c r="B7086">
        <v>199</v>
      </c>
      <c r="C7086" t="str">
        <f t="shared" si="1564"/>
        <v>34</v>
      </c>
      <c r="D7086">
        <v>6249</v>
      </c>
      <c r="E7086" t="str">
        <f t="shared" si="1565"/>
        <v>10</v>
      </c>
      <c r="F7086" t="str">
        <f t="shared" si="1566"/>
        <v>937</v>
      </c>
      <c r="G7086">
        <v>9</v>
      </c>
      <c r="H7086" t="str">
        <f t="shared" si="1567"/>
        <v>99</v>
      </c>
      <c r="I7086" t="str">
        <f t="shared" si="1571"/>
        <v>0</v>
      </c>
      <c r="J7086" t="str">
        <f t="shared" si="1568"/>
        <v>82</v>
      </c>
      <c r="K7086">
        <v>20190712</v>
      </c>
      <c r="L7086" t="str">
        <f t="shared" si="1569"/>
        <v>077329</v>
      </c>
      <c r="M7086" t="str">
        <f t="shared" si="1570"/>
        <v>03846</v>
      </c>
      <c r="N7086" t="s">
        <v>3678</v>
      </c>
      <c r="O7086">
        <v>525.82000000000005</v>
      </c>
      <c r="P7086">
        <v>20190710</v>
      </c>
      <c r="Q7086" t="s">
        <v>2036</v>
      </c>
      <c r="R7086" t="s">
        <v>3694</v>
      </c>
      <c r="S7086" t="s">
        <v>1615</v>
      </c>
      <c r="T7086" t="s">
        <v>1810</v>
      </c>
    </row>
    <row r="7087" spans="1:20" x14ac:dyDescent="0.25">
      <c r="A7087">
        <v>9</v>
      </c>
      <c r="B7087">
        <v>199</v>
      </c>
      <c r="C7087" t="str">
        <f t="shared" si="1564"/>
        <v>34</v>
      </c>
      <c r="D7087">
        <v>6249</v>
      </c>
      <c r="E7087" t="str">
        <f t="shared" si="1565"/>
        <v>10</v>
      </c>
      <c r="F7087" t="str">
        <f t="shared" si="1566"/>
        <v>937</v>
      </c>
      <c r="G7087">
        <v>9</v>
      </c>
      <c r="H7087" t="str">
        <f t="shared" si="1567"/>
        <v>99</v>
      </c>
      <c r="I7087" t="str">
        <f t="shared" si="1571"/>
        <v>0</v>
      </c>
      <c r="J7087" t="str">
        <f t="shared" si="1568"/>
        <v>82</v>
      </c>
      <c r="K7087">
        <v>20190712</v>
      </c>
      <c r="L7087" t="str">
        <f t="shared" si="1569"/>
        <v>077329</v>
      </c>
      <c r="M7087" t="str">
        <f t="shared" si="1570"/>
        <v>03846</v>
      </c>
      <c r="N7087" t="s">
        <v>3678</v>
      </c>
      <c r="O7087">
        <v>565.82000000000005</v>
      </c>
      <c r="P7087">
        <v>20190710</v>
      </c>
      <c r="Q7087" t="s">
        <v>2036</v>
      </c>
      <c r="R7087" t="s">
        <v>3710</v>
      </c>
      <c r="S7087" t="s">
        <v>1615</v>
      </c>
      <c r="T7087" t="s">
        <v>1810</v>
      </c>
    </row>
    <row r="7088" spans="1:20" x14ac:dyDescent="0.25">
      <c r="A7088">
        <v>9</v>
      </c>
      <c r="B7088">
        <v>199</v>
      </c>
      <c r="C7088" t="str">
        <f t="shared" si="1564"/>
        <v>34</v>
      </c>
      <c r="D7088">
        <v>6249</v>
      </c>
      <c r="E7088" t="str">
        <f t="shared" si="1565"/>
        <v>10</v>
      </c>
      <c r="F7088" t="str">
        <f t="shared" si="1566"/>
        <v>937</v>
      </c>
      <c r="G7088">
        <v>9</v>
      </c>
      <c r="H7088" t="str">
        <f t="shared" si="1567"/>
        <v>99</v>
      </c>
      <c r="I7088" t="str">
        <f t="shared" si="1571"/>
        <v>0</v>
      </c>
      <c r="J7088" t="str">
        <f t="shared" si="1568"/>
        <v>82</v>
      </c>
      <c r="K7088">
        <v>20190712</v>
      </c>
      <c r="L7088" t="str">
        <f t="shared" si="1569"/>
        <v>077329</v>
      </c>
      <c r="M7088" t="str">
        <f t="shared" si="1570"/>
        <v>03846</v>
      </c>
      <c r="N7088" t="s">
        <v>3678</v>
      </c>
      <c r="O7088">
        <v>565.82000000000005</v>
      </c>
      <c r="P7088">
        <v>20190710</v>
      </c>
      <c r="Q7088" t="s">
        <v>2036</v>
      </c>
      <c r="R7088" t="s">
        <v>3691</v>
      </c>
      <c r="S7088" t="s">
        <v>1615</v>
      </c>
      <c r="T7088" t="s">
        <v>1810</v>
      </c>
    </row>
    <row r="7089" spans="1:20" x14ac:dyDescent="0.25">
      <c r="A7089">
        <v>9</v>
      </c>
      <c r="B7089">
        <v>199</v>
      </c>
      <c r="C7089" t="str">
        <f t="shared" si="1564"/>
        <v>34</v>
      </c>
      <c r="D7089">
        <v>6249</v>
      </c>
      <c r="E7089" t="str">
        <f t="shared" si="1565"/>
        <v>10</v>
      </c>
      <c r="F7089" t="str">
        <f t="shared" si="1566"/>
        <v>937</v>
      </c>
      <c r="G7089">
        <v>9</v>
      </c>
      <c r="H7089" t="str">
        <f t="shared" si="1567"/>
        <v>99</v>
      </c>
      <c r="I7089" t="str">
        <f t="shared" si="1571"/>
        <v>0</v>
      </c>
      <c r="J7089" t="str">
        <f t="shared" si="1568"/>
        <v>82</v>
      </c>
      <c r="K7089">
        <v>20190712</v>
      </c>
      <c r="L7089" t="str">
        <f t="shared" si="1569"/>
        <v>077329</v>
      </c>
      <c r="M7089" t="str">
        <f t="shared" si="1570"/>
        <v>03846</v>
      </c>
      <c r="N7089" t="s">
        <v>3678</v>
      </c>
      <c r="O7089">
        <v>583.19000000000005</v>
      </c>
      <c r="P7089">
        <v>20190710</v>
      </c>
      <c r="Q7089" t="s">
        <v>2036</v>
      </c>
      <c r="R7089" t="s">
        <v>3693</v>
      </c>
      <c r="S7089" t="s">
        <v>1615</v>
      </c>
      <c r="T7089" t="s">
        <v>1810</v>
      </c>
    </row>
    <row r="7090" spans="1:20" x14ac:dyDescent="0.25">
      <c r="A7090">
        <v>9</v>
      </c>
      <c r="B7090">
        <v>199</v>
      </c>
      <c r="C7090" t="str">
        <f t="shared" si="1564"/>
        <v>34</v>
      </c>
      <c r="D7090">
        <v>6249</v>
      </c>
      <c r="E7090" t="str">
        <f t="shared" si="1565"/>
        <v>10</v>
      </c>
      <c r="F7090" t="str">
        <f t="shared" si="1566"/>
        <v>937</v>
      </c>
      <c r="G7090">
        <v>9</v>
      </c>
      <c r="H7090" t="str">
        <f t="shared" si="1567"/>
        <v>99</v>
      </c>
      <c r="I7090" t="str">
        <f t="shared" si="1571"/>
        <v>0</v>
      </c>
      <c r="J7090" t="str">
        <f t="shared" si="1568"/>
        <v>82</v>
      </c>
      <c r="K7090">
        <v>20190712</v>
      </c>
      <c r="L7090" t="str">
        <f t="shared" si="1569"/>
        <v>077329</v>
      </c>
      <c r="M7090" t="str">
        <f t="shared" si="1570"/>
        <v>03846</v>
      </c>
      <c r="N7090" t="s">
        <v>3678</v>
      </c>
      <c r="O7090">
        <v>741.36</v>
      </c>
      <c r="P7090">
        <v>20190710</v>
      </c>
      <c r="Q7090" t="s">
        <v>2036</v>
      </c>
      <c r="R7090" t="s">
        <v>5580</v>
      </c>
      <c r="S7090" t="s">
        <v>1615</v>
      </c>
      <c r="T7090" t="s">
        <v>1810</v>
      </c>
    </row>
    <row r="7091" spans="1:20" x14ac:dyDescent="0.25">
      <c r="A7091">
        <v>9</v>
      </c>
      <c r="B7091">
        <v>199</v>
      </c>
      <c r="C7091" t="str">
        <f t="shared" si="1564"/>
        <v>34</v>
      </c>
      <c r="D7091">
        <v>6249</v>
      </c>
      <c r="E7091" t="str">
        <f t="shared" si="1565"/>
        <v>10</v>
      </c>
      <c r="F7091" t="str">
        <f t="shared" si="1566"/>
        <v>937</v>
      </c>
      <c r="G7091">
        <v>9</v>
      </c>
      <c r="H7091" t="str">
        <f t="shared" si="1567"/>
        <v>99</v>
      </c>
      <c r="I7091" t="str">
        <f t="shared" si="1571"/>
        <v>0</v>
      </c>
      <c r="J7091" t="str">
        <f t="shared" si="1568"/>
        <v>82</v>
      </c>
      <c r="K7091">
        <v>20190712</v>
      </c>
      <c r="L7091" t="str">
        <f t="shared" si="1569"/>
        <v>077329</v>
      </c>
      <c r="M7091" t="str">
        <f t="shared" si="1570"/>
        <v>03846</v>
      </c>
      <c r="N7091" t="s">
        <v>3678</v>
      </c>
      <c r="O7091">
        <v>551.05999999999995</v>
      </c>
      <c r="P7091">
        <v>20190710</v>
      </c>
      <c r="Q7091" t="s">
        <v>2036</v>
      </c>
      <c r="R7091" t="s">
        <v>3703</v>
      </c>
      <c r="S7091" t="s">
        <v>1615</v>
      </c>
      <c r="T7091" t="s">
        <v>1810</v>
      </c>
    </row>
    <row r="7092" spans="1:20" x14ac:dyDescent="0.25">
      <c r="A7092">
        <v>9</v>
      </c>
      <c r="B7092">
        <v>199</v>
      </c>
      <c r="C7092" t="str">
        <f t="shared" si="1564"/>
        <v>34</v>
      </c>
      <c r="D7092">
        <v>6249</v>
      </c>
      <c r="E7092" t="str">
        <f t="shared" si="1565"/>
        <v>10</v>
      </c>
      <c r="F7092" t="str">
        <f t="shared" si="1566"/>
        <v>937</v>
      </c>
      <c r="G7092">
        <v>9</v>
      </c>
      <c r="H7092" t="str">
        <f t="shared" si="1567"/>
        <v>99</v>
      </c>
      <c r="I7092" t="str">
        <f t="shared" si="1571"/>
        <v>0</v>
      </c>
      <c r="J7092" t="str">
        <f t="shared" si="1568"/>
        <v>82</v>
      </c>
      <c r="K7092">
        <v>20190712</v>
      </c>
      <c r="L7092" t="str">
        <f t="shared" si="1569"/>
        <v>077329</v>
      </c>
      <c r="M7092" t="str">
        <f t="shared" si="1570"/>
        <v>03846</v>
      </c>
      <c r="N7092" t="s">
        <v>3678</v>
      </c>
      <c r="O7092">
        <v>551.05999999999995</v>
      </c>
      <c r="P7092">
        <v>20190710</v>
      </c>
      <c r="Q7092" t="s">
        <v>2036</v>
      </c>
      <c r="R7092" t="s">
        <v>3704</v>
      </c>
      <c r="S7092" t="s">
        <v>1615</v>
      </c>
      <c r="T7092" t="s">
        <v>1810</v>
      </c>
    </row>
    <row r="7093" spans="1:20" x14ac:dyDescent="0.25">
      <c r="A7093">
        <v>9</v>
      </c>
      <c r="B7093">
        <v>199</v>
      </c>
      <c r="C7093" t="str">
        <f t="shared" si="1564"/>
        <v>34</v>
      </c>
      <c r="D7093">
        <v>6249</v>
      </c>
      <c r="E7093" t="str">
        <f t="shared" si="1565"/>
        <v>10</v>
      </c>
      <c r="F7093" t="str">
        <f t="shared" si="1566"/>
        <v>937</v>
      </c>
      <c r="G7093">
        <v>9</v>
      </c>
      <c r="H7093" t="str">
        <f t="shared" si="1567"/>
        <v>99</v>
      </c>
      <c r="I7093" t="str">
        <f t="shared" si="1571"/>
        <v>0</v>
      </c>
      <c r="J7093" t="str">
        <f t="shared" si="1568"/>
        <v>82</v>
      </c>
      <c r="K7093">
        <v>20190712</v>
      </c>
      <c r="L7093" t="str">
        <f t="shared" si="1569"/>
        <v>077329</v>
      </c>
      <c r="M7093" t="str">
        <f t="shared" si="1570"/>
        <v>03846</v>
      </c>
      <c r="N7093" t="s">
        <v>3678</v>
      </c>
      <c r="O7093">
        <v>583.79999999999995</v>
      </c>
      <c r="P7093">
        <v>20190710</v>
      </c>
      <c r="Q7093" t="s">
        <v>2036</v>
      </c>
      <c r="R7093" t="s">
        <v>3699</v>
      </c>
      <c r="S7093" t="s">
        <v>1615</v>
      </c>
      <c r="T7093" t="s">
        <v>1810</v>
      </c>
    </row>
    <row r="7094" spans="1:20" x14ac:dyDescent="0.25">
      <c r="A7094">
        <v>9</v>
      </c>
      <c r="B7094">
        <v>199</v>
      </c>
      <c r="C7094" t="str">
        <f>"52"</f>
        <v>52</v>
      </c>
      <c r="D7094">
        <v>6639</v>
      </c>
      <c r="E7094" t="str">
        <f>"00"</f>
        <v>00</v>
      </c>
      <c r="F7094" t="str">
        <f>"880"</f>
        <v>880</v>
      </c>
      <c r="G7094">
        <v>9</v>
      </c>
      <c r="H7094" t="str">
        <f t="shared" si="1567"/>
        <v>99</v>
      </c>
      <c r="I7094" t="str">
        <f t="shared" si="1571"/>
        <v>0</v>
      </c>
      <c r="J7094" t="str">
        <f>"80"</f>
        <v>80</v>
      </c>
      <c r="K7094">
        <v>20190712</v>
      </c>
      <c r="L7094" t="str">
        <f>"077330"</f>
        <v>077330</v>
      </c>
      <c r="M7094" t="str">
        <f>"04240"</f>
        <v>04240</v>
      </c>
      <c r="N7094" t="s">
        <v>2565</v>
      </c>
      <c r="O7094" s="1">
        <v>10147.58</v>
      </c>
      <c r="P7094">
        <v>20190710</v>
      </c>
      <c r="Q7094" t="s">
        <v>5581</v>
      </c>
      <c r="R7094" t="s">
        <v>5582</v>
      </c>
      <c r="S7094" t="s">
        <v>1615</v>
      </c>
      <c r="T7094" t="s">
        <v>1866</v>
      </c>
    </row>
    <row r="7095" spans="1:20" x14ac:dyDescent="0.25">
      <c r="A7095">
        <v>9</v>
      </c>
      <c r="B7095">
        <v>199</v>
      </c>
      <c r="C7095" t="str">
        <f>"53"</f>
        <v>53</v>
      </c>
      <c r="D7095">
        <v>6399</v>
      </c>
      <c r="E7095" t="str">
        <f>"10"</f>
        <v>10</v>
      </c>
      <c r="F7095" t="str">
        <f>"880"</f>
        <v>880</v>
      </c>
      <c r="G7095">
        <v>9</v>
      </c>
      <c r="H7095" t="str">
        <f t="shared" si="1567"/>
        <v>99</v>
      </c>
      <c r="I7095" t="str">
        <f t="shared" si="1571"/>
        <v>0</v>
      </c>
      <c r="J7095" t="str">
        <f>"80"</f>
        <v>80</v>
      </c>
      <c r="K7095">
        <v>20190712</v>
      </c>
      <c r="L7095" t="str">
        <f>"077330"</f>
        <v>077330</v>
      </c>
      <c r="M7095" t="str">
        <f>"04240"</f>
        <v>04240</v>
      </c>
      <c r="N7095" t="s">
        <v>2565</v>
      </c>
      <c r="O7095">
        <v>524.51</v>
      </c>
      <c r="P7095">
        <v>20190710</v>
      </c>
      <c r="Q7095" t="s">
        <v>1865</v>
      </c>
      <c r="R7095" t="s">
        <v>5470</v>
      </c>
      <c r="S7095" t="s">
        <v>1615</v>
      </c>
      <c r="T7095" t="s">
        <v>1866</v>
      </c>
    </row>
    <row r="7096" spans="1:20" x14ac:dyDescent="0.25">
      <c r="A7096">
        <v>9</v>
      </c>
      <c r="B7096">
        <v>199</v>
      </c>
      <c r="C7096" t="str">
        <f>"53"</f>
        <v>53</v>
      </c>
      <c r="D7096">
        <v>6399</v>
      </c>
      <c r="E7096" t="str">
        <f>"10"</f>
        <v>10</v>
      </c>
      <c r="F7096" t="str">
        <f>"880"</f>
        <v>880</v>
      </c>
      <c r="G7096">
        <v>9</v>
      </c>
      <c r="H7096" t="str">
        <f t="shared" si="1567"/>
        <v>99</v>
      </c>
      <c r="I7096" t="str">
        <f t="shared" si="1571"/>
        <v>0</v>
      </c>
      <c r="J7096" t="str">
        <f>"80"</f>
        <v>80</v>
      </c>
      <c r="K7096">
        <v>20190712</v>
      </c>
      <c r="L7096" t="str">
        <f>"077330"</f>
        <v>077330</v>
      </c>
      <c r="M7096" t="str">
        <f>"04240"</f>
        <v>04240</v>
      </c>
      <c r="N7096" t="s">
        <v>2565</v>
      </c>
      <c r="O7096">
        <v>349.95</v>
      </c>
      <c r="P7096">
        <v>20190710</v>
      </c>
      <c r="Q7096" t="s">
        <v>1865</v>
      </c>
      <c r="R7096" t="s">
        <v>5583</v>
      </c>
      <c r="S7096" t="s">
        <v>1615</v>
      </c>
      <c r="T7096" t="s">
        <v>1866</v>
      </c>
    </row>
    <row r="7097" spans="1:20" x14ac:dyDescent="0.25">
      <c r="A7097">
        <v>9</v>
      </c>
      <c r="B7097">
        <v>199</v>
      </c>
      <c r="C7097" t="str">
        <f t="shared" ref="C7097:C7104" si="1572">"11"</f>
        <v>11</v>
      </c>
      <c r="D7097">
        <v>6399</v>
      </c>
      <c r="E7097" t="str">
        <f>"01"</f>
        <v>01</v>
      </c>
      <c r="F7097" t="str">
        <f>"041"</f>
        <v>041</v>
      </c>
      <c r="G7097">
        <v>9</v>
      </c>
      <c r="H7097" t="str">
        <f>"25"</f>
        <v>25</v>
      </c>
      <c r="I7097" t="str">
        <f t="shared" si="1571"/>
        <v>0</v>
      </c>
      <c r="J7097" t="str">
        <f>"25"</f>
        <v>25</v>
      </c>
      <c r="K7097">
        <v>20190712</v>
      </c>
      <c r="L7097" t="str">
        <f t="shared" ref="L7097:L7109" si="1573">"077331"</f>
        <v>077331</v>
      </c>
      <c r="M7097" t="str">
        <f t="shared" ref="M7097:M7109" si="1574">"04410"</f>
        <v>04410</v>
      </c>
      <c r="N7097" t="s">
        <v>410</v>
      </c>
      <c r="O7097">
        <v>383.77</v>
      </c>
      <c r="P7097">
        <v>20190710</v>
      </c>
      <c r="Q7097" t="s">
        <v>1991</v>
      </c>
      <c r="R7097" t="s">
        <v>5584</v>
      </c>
      <c r="S7097" t="s">
        <v>1615</v>
      </c>
      <c r="T7097" t="s">
        <v>106</v>
      </c>
    </row>
    <row r="7098" spans="1:20" x14ac:dyDescent="0.25">
      <c r="A7098">
        <v>9</v>
      </c>
      <c r="B7098">
        <v>199</v>
      </c>
      <c r="C7098" t="str">
        <f t="shared" si="1572"/>
        <v>11</v>
      </c>
      <c r="D7098">
        <v>6399</v>
      </c>
      <c r="E7098" t="str">
        <f>"10"</f>
        <v>10</v>
      </c>
      <c r="F7098" t="str">
        <f>"001"</f>
        <v>001</v>
      </c>
      <c r="G7098">
        <v>9</v>
      </c>
      <c r="H7098" t="str">
        <f>"11"</f>
        <v>11</v>
      </c>
      <c r="I7098" t="str">
        <f t="shared" si="1571"/>
        <v>0</v>
      </c>
      <c r="J7098" t="str">
        <f>"01"</f>
        <v>01</v>
      </c>
      <c r="K7098">
        <v>20190712</v>
      </c>
      <c r="L7098" t="str">
        <f t="shared" si="1573"/>
        <v>077331</v>
      </c>
      <c r="M7098" t="str">
        <f t="shared" si="1574"/>
        <v>04410</v>
      </c>
      <c r="N7098" t="s">
        <v>410</v>
      </c>
      <c r="O7098">
        <v>246.72</v>
      </c>
      <c r="P7098">
        <v>20190710</v>
      </c>
      <c r="Q7098" t="s">
        <v>1675</v>
      </c>
      <c r="R7098" t="s">
        <v>5585</v>
      </c>
      <c r="S7098" t="s">
        <v>1615</v>
      </c>
      <c r="T7098" t="s">
        <v>301</v>
      </c>
    </row>
    <row r="7099" spans="1:20" x14ac:dyDescent="0.25">
      <c r="A7099">
        <v>9</v>
      </c>
      <c r="B7099">
        <v>199</v>
      </c>
      <c r="C7099" t="str">
        <f t="shared" si="1572"/>
        <v>11</v>
      </c>
      <c r="D7099">
        <v>6399</v>
      </c>
      <c r="E7099" t="str">
        <f>"10"</f>
        <v>10</v>
      </c>
      <c r="F7099" t="str">
        <f>"001"</f>
        <v>001</v>
      </c>
      <c r="G7099">
        <v>9</v>
      </c>
      <c r="H7099" t="str">
        <f>"11"</f>
        <v>11</v>
      </c>
      <c r="I7099" t="str">
        <f t="shared" si="1571"/>
        <v>0</v>
      </c>
      <c r="J7099" t="str">
        <f>"01"</f>
        <v>01</v>
      </c>
      <c r="K7099">
        <v>20190712</v>
      </c>
      <c r="L7099" t="str">
        <f t="shared" si="1573"/>
        <v>077331</v>
      </c>
      <c r="M7099" t="str">
        <f t="shared" si="1574"/>
        <v>04410</v>
      </c>
      <c r="N7099" t="s">
        <v>410</v>
      </c>
      <c r="O7099">
        <v>503.86</v>
      </c>
      <c r="P7099">
        <v>20190710</v>
      </c>
      <c r="Q7099" t="s">
        <v>1675</v>
      </c>
      <c r="R7099" t="s">
        <v>2793</v>
      </c>
      <c r="S7099" t="s">
        <v>1615</v>
      </c>
      <c r="T7099" t="s">
        <v>301</v>
      </c>
    </row>
    <row r="7100" spans="1:20" x14ac:dyDescent="0.25">
      <c r="A7100">
        <v>9</v>
      </c>
      <c r="B7100">
        <v>199</v>
      </c>
      <c r="C7100" t="str">
        <f t="shared" si="1572"/>
        <v>11</v>
      </c>
      <c r="D7100">
        <v>6399</v>
      </c>
      <c r="E7100" t="str">
        <f>"10"</f>
        <v>10</v>
      </c>
      <c r="F7100" t="str">
        <f>"001"</f>
        <v>001</v>
      </c>
      <c r="G7100">
        <v>9</v>
      </c>
      <c r="H7100" t="str">
        <f>"11"</f>
        <v>11</v>
      </c>
      <c r="I7100" t="str">
        <f t="shared" ref="I7100:I7124" si="1575">"0"</f>
        <v>0</v>
      </c>
      <c r="J7100" t="str">
        <f>"80"</f>
        <v>80</v>
      </c>
      <c r="K7100">
        <v>20190712</v>
      </c>
      <c r="L7100" t="str">
        <f t="shared" si="1573"/>
        <v>077331</v>
      </c>
      <c r="M7100" t="str">
        <f t="shared" si="1574"/>
        <v>04410</v>
      </c>
      <c r="N7100" t="s">
        <v>410</v>
      </c>
      <c r="O7100">
        <v>72.58</v>
      </c>
      <c r="P7100">
        <v>20190710</v>
      </c>
      <c r="Q7100" t="s">
        <v>2958</v>
      </c>
      <c r="R7100" t="s">
        <v>5586</v>
      </c>
      <c r="S7100" t="s">
        <v>1615</v>
      </c>
      <c r="T7100" t="s">
        <v>301</v>
      </c>
    </row>
    <row r="7101" spans="1:20" x14ac:dyDescent="0.25">
      <c r="A7101">
        <v>9</v>
      </c>
      <c r="B7101">
        <v>199</v>
      </c>
      <c r="C7101" t="str">
        <f t="shared" si="1572"/>
        <v>11</v>
      </c>
      <c r="D7101">
        <v>6399</v>
      </c>
      <c r="E7101" t="str">
        <f>"10"</f>
        <v>10</v>
      </c>
      <c r="F7101" t="str">
        <f>"001"</f>
        <v>001</v>
      </c>
      <c r="G7101">
        <v>9</v>
      </c>
      <c r="H7101" t="str">
        <f>"11"</f>
        <v>11</v>
      </c>
      <c r="I7101" t="str">
        <f t="shared" si="1575"/>
        <v>0</v>
      </c>
      <c r="J7101" t="str">
        <f>"80"</f>
        <v>80</v>
      </c>
      <c r="K7101">
        <v>20190712</v>
      </c>
      <c r="L7101" t="str">
        <f t="shared" si="1573"/>
        <v>077331</v>
      </c>
      <c r="M7101" t="str">
        <f t="shared" si="1574"/>
        <v>04410</v>
      </c>
      <c r="N7101" t="s">
        <v>410</v>
      </c>
      <c r="O7101">
        <v>-140.1</v>
      </c>
      <c r="P7101">
        <v>20190608</v>
      </c>
      <c r="Q7101" t="s">
        <v>2958</v>
      </c>
      <c r="R7101" t="s">
        <v>5587</v>
      </c>
      <c r="S7101" t="s">
        <v>1615</v>
      </c>
      <c r="T7101" t="s">
        <v>301</v>
      </c>
    </row>
    <row r="7102" spans="1:20" x14ac:dyDescent="0.25">
      <c r="A7102">
        <v>9</v>
      </c>
      <c r="B7102">
        <v>199</v>
      </c>
      <c r="C7102" t="str">
        <f t="shared" si="1572"/>
        <v>11</v>
      </c>
      <c r="D7102">
        <v>6399</v>
      </c>
      <c r="E7102" t="str">
        <f>"8U"</f>
        <v>8U</v>
      </c>
      <c r="F7102" t="str">
        <f>"041"</f>
        <v>041</v>
      </c>
      <c r="G7102">
        <v>9</v>
      </c>
      <c r="H7102" t="str">
        <f>"11"</f>
        <v>11</v>
      </c>
      <c r="I7102" t="str">
        <f t="shared" si="1575"/>
        <v>0</v>
      </c>
      <c r="J7102" t="str">
        <f>"03"</f>
        <v>03</v>
      </c>
      <c r="K7102">
        <v>20190712</v>
      </c>
      <c r="L7102" t="str">
        <f t="shared" si="1573"/>
        <v>077331</v>
      </c>
      <c r="M7102" t="str">
        <f t="shared" si="1574"/>
        <v>04410</v>
      </c>
      <c r="N7102" t="s">
        <v>410</v>
      </c>
      <c r="O7102">
        <v>179.96</v>
      </c>
      <c r="P7102">
        <v>20190710</v>
      </c>
      <c r="Q7102" t="s">
        <v>2229</v>
      </c>
      <c r="R7102" t="s">
        <v>5588</v>
      </c>
      <c r="S7102" t="s">
        <v>1615</v>
      </c>
      <c r="T7102" t="s">
        <v>106</v>
      </c>
    </row>
    <row r="7103" spans="1:20" x14ac:dyDescent="0.25">
      <c r="A7103">
        <v>9</v>
      </c>
      <c r="B7103">
        <v>199</v>
      </c>
      <c r="C7103" t="str">
        <f t="shared" si="1572"/>
        <v>11</v>
      </c>
      <c r="D7103">
        <v>6399</v>
      </c>
      <c r="E7103" t="str">
        <f>"V1"</f>
        <v>V1</v>
      </c>
      <c r="F7103" t="str">
        <f>"001"</f>
        <v>001</v>
      </c>
      <c r="G7103">
        <v>9</v>
      </c>
      <c r="H7103" t="str">
        <f>"22"</f>
        <v>22</v>
      </c>
      <c r="I7103" t="str">
        <f t="shared" si="1575"/>
        <v>0</v>
      </c>
      <c r="J7103" t="str">
        <f>"22"</f>
        <v>22</v>
      </c>
      <c r="K7103">
        <v>20190712</v>
      </c>
      <c r="L7103" t="str">
        <f t="shared" si="1573"/>
        <v>077331</v>
      </c>
      <c r="M7103" t="str">
        <f t="shared" si="1574"/>
        <v>04410</v>
      </c>
      <c r="N7103" t="s">
        <v>410</v>
      </c>
      <c r="O7103">
        <v>130.88999999999999</v>
      </c>
      <c r="P7103">
        <v>20190710</v>
      </c>
      <c r="Q7103" t="s">
        <v>5437</v>
      </c>
      <c r="R7103" t="s">
        <v>5589</v>
      </c>
      <c r="S7103" t="s">
        <v>1615</v>
      </c>
      <c r="T7103" t="s">
        <v>301</v>
      </c>
    </row>
    <row r="7104" spans="1:20" x14ac:dyDescent="0.25">
      <c r="A7104">
        <v>9</v>
      </c>
      <c r="B7104">
        <v>199</v>
      </c>
      <c r="C7104" t="str">
        <f t="shared" si="1572"/>
        <v>11</v>
      </c>
      <c r="D7104">
        <v>6399</v>
      </c>
      <c r="E7104" t="str">
        <f>"VB"</f>
        <v>VB</v>
      </c>
      <c r="F7104" t="str">
        <f>"002"</f>
        <v>002</v>
      </c>
      <c r="G7104">
        <v>9</v>
      </c>
      <c r="H7104" t="str">
        <f>"22"</f>
        <v>22</v>
      </c>
      <c r="I7104" t="str">
        <f t="shared" si="1575"/>
        <v>0</v>
      </c>
      <c r="J7104" t="str">
        <f>"22"</f>
        <v>22</v>
      </c>
      <c r="K7104">
        <v>20190712</v>
      </c>
      <c r="L7104" t="str">
        <f t="shared" si="1573"/>
        <v>077331</v>
      </c>
      <c r="M7104" t="str">
        <f t="shared" si="1574"/>
        <v>04410</v>
      </c>
      <c r="N7104" t="s">
        <v>410</v>
      </c>
      <c r="O7104">
        <v>59.97</v>
      </c>
      <c r="P7104">
        <v>20190710</v>
      </c>
      <c r="Q7104" t="s">
        <v>5480</v>
      </c>
      <c r="R7104" t="s">
        <v>5482</v>
      </c>
      <c r="S7104" t="s">
        <v>1615</v>
      </c>
      <c r="T7104" t="s">
        <v>1485</v>
      </c>
    </row>
    <row r="7105" spans="1:20" x14ac:dyDescent="0.25">
      <c r="A7105">
        <v>9</v>
      </c>
      <c r="B7105">
        <v>199</v>
      </c>
      <c r="C7105" t="str">
        <f>"31"</f>
        <v>31</v>
      </c>
      <c r="D7105">
        <v>6399</v>
      </c>
      <c r="E7105" t="str">
        <f>"10"</f>
        <v>10</v>
      </c>
      <c r="F7105" t="str">
        <f>"002"</f>
        <v>002</v>
      </c>
      <c r="G7105">
        <v>9</v>
      </c>
      <c r="H7105" t="str">
        <f>"99"</f>
        <v>99</v>
      </c>
      <c r="I7105" t="str">
        <f t="shared" si="1575"/>
        <v>0</v>
      </c>
      <c r="J7105" t="str">
        <f>"02"</f>
        <v>02</v>
      </c>
      <c r="K7105">
        <v>20190712</v>
      </c>
      <c r="L7105" t="str">
        <f t="shared" si="1573"/>
        <v>077331</v>
      </c>
      <c r="M7105" t="str">
        <f t="shared" si="1574"/>
        <v>04410</v>
      </c>
      <c r="N7105" t="s">
        <v>410</v>
      </c>
      <c r="O7105">
        <v>339.76</v>
      </c>
      <c r="P7105">
        <v>20190710</v>
      </c>
      <c r="Q7105" t="s">
        <v>5590</v>
      </c>
      <c r="R7105" t="s">
        <v>5591</v>
      </c>
      <c r="S7105" t="s">
        <v>1615</v>
      </c>
      <c r="T7105" t="s">
        <v>1485</v>
      </c>
    </row>
    <row r="7106" spans="1:20" x14ac:dyDescent="0.25">
      <c r="A7106">
        <v>9</v>
      </c>
      <c r="B7106">
        <v>199</v>
      </c>
      <c r="C7106" t="str">
        <f>"33"</f>
        <v>33</v>
      </c>
      <c r="D7106">
        <v>6399</v>
      </c>
      <c r="E7106" t="str">
        <f>"8F"</f>
        <v>8F</v>
      </c>
      <c r="F7106" t="str">
        <f>"104"</f>
        <v>104</v>
      </c>
      <c r="G7106">
        <v>9</v>
      </c>
      <c r="H7106" t="str">
        <f>"99"</f>
        <v>99</v>
      </c>
      <c r="I7106" t="str">
        <f t="shared" si="1575"/>
        <v>0</v>
      </c>
      <c r="J7106" t="str">
        <f>"05"</f>
        <v>05</v>
      </c>
      <c r="K7106">
        <v>20190712</v>
      </c>
      <c r="L7106" t="str">
        <f t="shared" si="1573"/>
        <v>077331</v>
      </c>
      <c r="M7106" t="str">
        <f t="shared" si="1574"/>
        <v>04410</v>
      </c>
      <c r="N7106" t="s">
        <v>410</v>
      </c>
      <c r="O7106">
        <v>188.76</v>
      </c>
      <c r="P7106">
        <v>20190710</v>
      </c>
      <c r="Q7106" t="s">
        <v>3600</v>
      </c>
      <c r="R7106" t="s">
        <v>2323</v>
      </c>
      <c r="S7106" t="s">
        <v>1615</v>
      </c>
      <c r="T7106" t="s">
        <v>46</v>
      </c>
    </row>
    <row r="7107" spans="1:20" x14ac:dyDescent="0.25">
      <c r="A7107">
        <v>9</v>
      </c>
      <c r="B7107">
        <v>199</v>
      </c>
      <c r="C7107" t="str">
        <f>"33"</f>
        <v>33</v>
      </c>
      <c r="D7107">
        <v>6399</v>
      </c>
      <c r="E7107" t="str">
        <f>"8F"</f>
        <v>8F</v>
      </c>
      <c r="F7107" t="str">
        <f>"104"</f>
        <v>104</v>
      </c>
      <c r="G7107">
        <v>9</v>
      </c>
      <c r="H7107" t="str">
        <f>"99"</f>
        <v>99</v>
      </c>
      <c r="I7107" t="str">
        <f t="shared" si="1575"/>
        <v>0</v>
      </c>
      <c r="J7107" t="str">
        <f>"05"</f>
        <v>05</v>
      </c>
      <c r="K7107">
        <v>20190712</v>
      </c>
      <c r="L7107" t="str">
        <f t="shared" si="1573"/>
        <v>077331</v>
      </c>
      <c r="M7107" t="str">
        <f t="shared" si="1574"/>
        <v>04410</v>
      </c>
      <c r="N7107" t="s">
        <v>410</v>
      </c>
      <c r="O7107">
        <v>119.11</v>
      </c>
      <c r="P7107">
        <v>20190710</v>
      </c>
      <c r="Q7107" t="s">
        <v>3600</v>
      </c>
      <c r="R7107" t="s">
        <v>2323</v>
      </c>
      <c r="S7107" t="s">
        <v>1615</v>
      </c>
      <c r="T7107" t="s">
        <v>46</v>
      </c>
    </row>
    <row r="7108" spans="1:20" x14ac:dyDescent="0.25">
      <c r="A7108">
        <v>9</v>
      </c>
      <c r="B7108">
        <v>199</v>
      </c>
      <c r="C7108" t="str">
        <f>"33"</f>
        <v>33</v>
      </c>
      <c r="D7108">
        <v>6399</v>
      </c>
      <c r="E7108" t="str">
        <f>"8F"</f>
        <v>8F</v>
      </c>
      <c r="F7108" t="str">
        <f>"104"</f>
        <v>104</v>
      </c>
      <c r="G7108">
        <v>9</v>
      </c>
      <c r="H7108" t="str">
        <f>"99"</f>
        <v>99</v>
      </c>
      <c r="I7108" t="str">
        <f t="shared" si="1575"/>
        <v>0</v>
      </c>
      <c r="J7108" t="str">
        <f>"05"</f>
        <v>05</v>
      </c>
      <c r="K7108">
        <v>20190712</v>
      </c>
      <c r="L7108" t="str">
        <f t="shared" si="1573"/>
        <v>077331</v>
      </c>
      <c r="M7108" t="str">
        <f t="shared" si="1574"/>
        <v>04410</v>
      </c>
      <c r="N7108" t="s">
        <v>410</v>
      </c>
      <c r="O7108">
        <v>192.26</v>
      </c>
      <c r="P7108">
        <v>20190710</v>
      </c>
      <c r="Q7108" t="s">
        <v>3600</v>
      </c>
      <c r="R7108" t="s">
        <v>2323</v>
      </c>
      <c r="S7108" t="s">
        <v>1615</v>
      </c>
      <c r="T7108" t="s">
        <v>46</v>
      </c>
    </row>
    <row r="7109" spans="1:20" x14ac:dyDescent="0.25">
      <c r="A7109">
        <v>9</v>
      </c>
      <c r="B7109">
        <v>199</v>
      </c>
      <c r="C7109" t="str">
        <f>"36"</f>
        <v>36</v>
      </c>
      <c r="D7109">
        <v>6399</v>
      </c>
      <c r="E7109" t="str">
        <f>"8S"</f>
        <v>8S</v>
      </c>
      <c r="F7109" t="str">
        <f>"001"</f>
        <v>001</v>
      </c>
      <c r="G7109">
        <v>9</v>
      </c>
      <c r="H7109" t="str">
        <f>"99"</f>
        <v>99</v>
      </c>
      <c r="I7109" t="str">
        <f t="shared" si="1575"/>
        <v>0</v>
      </c>
      <c r="J7109" t="str">
        <f>"01"</f>
        <v>01</v>
      </c>
      <c r="K7109">
        <v>20190712</v>
      </c>
      <c r="L7109" t="str">
        <f t="shared" si="1573"/>
        <v>077331</v>
      </c>
      <c r="M7109" t="str">
        <f t="shared" si="1574"/>
        <v>04410</v>
      </c>
      <c r="N7109" t="s">
        <v>410</v>
      </c>
      <c r="O7109">
        <v>392.61</v>
      </c>
      <c r="P7109">
        <v>20190710</v>
      </c>
      <c r="Q7109" t="s">
        <v>1780</v>
      </c>
      <c r="R7109" t="s">
        <v>5490</v>
      </c>
      <c r="S7109" t="s">
        <v>1615</v>
      </c>
      <c r="T7109" t="s">
        <v>301</v>
      </c>
    </row>
    <row r="7110" spans="1:20" x14ac:dyDescent="0.25">
      <c r="A7110">
        <v>9</v>
      </c>
      <c r="B7110">
        <v>199</v>
      </c>
      <c r="C7110" t="str">
        <f>"11"</f>
        <v>11</v>
      </c>
      <c r="D7110">
        <v>6399</v>
      </c>
      <c r="E7110" t="str">
        <f>"AW"</f>
        <v>AW</v>
      </c>
      <c r="F7110" t="str">
        <f>"001"</f>
        <v>001</v>
      </c>
      <c r="G7110">
        <v>9</v>
      </c>
      <c r="H7110" t="str">
        <f>"31"</f>
        <v>31</v>
      </c>
      <c r="I7110" t="str">
        <f t="shared" si="1575"/>
        <v>0</v>
      </c>
      <c r="J7110" t="str">
        <f>"34"</f>
        <v>34</v>
      </c>
      <c r="K7110">
        <v>20190712</v>
      </c>
      <c r="L7110" t="str">
        <f>"077332"</f>
        <v>077332</v>
      </c>
      <c r="M7110" t="str">
        <f>"05530"</f>
        <v>05530</v>
      </c>
      <c r="N7110" t="s">
        <v>947</v>
      </c>
      <c r="O7110" s="1">
        <v>2698.3</v>
      </c>
      <c r="P7110">
        <v>20190710</v>
      </c>
      <c r="Q7110" t="s">
        <v>5551</v>
      </c>
      <c r="R7110" t="s">
        <v>5592</v>
      </c>
      <c r="S7110" t="s">
        <v>1615</v>
      </c>
      <c r="T7110" t="s">
        <v>301</v>
      </c>
    </row>
    <row r="7111" spans="1:20" x14ac:dyDescent="0.25">
      <c r="A7111">
        <v>9</v>
      </c>
      <c r="B7111">
        <v>199</v>
      </c>
      <c r="C7111" t="str">
        <f>"51"</f>
        <v>51</v>
      </c>
      <c r="D7111">
        <v>6256</v>
      </c>
      <c r="E7111" t="str">
        <f>"10"</f>
        <v>10</v>
      </c>
      <c r="F7111" t="str">
        <f>"880"</f>
        <v>880</v>
      </c>
      <c r="G7111">
        <v>9</v>
      </c>
      <c r="H7111" t="str">
        <f>"99"</f>
        <v>99</v>
      </c>
      <c r="I7111" t="str">
        <f t="shared" si="1575"/>
        <v>0</v>
      </c>
      <c r="J7111" t="str">
        <f>"80"</f>
        <v>80</v>
      </c>
      <c r="K7111">
        <v>20190712</v>
      </c>
      <c r="L7111" t="str">
        <f>"077333"</f>
        <v>077333</v>
      </c>
      <c r="M7111" t="str">
        <f>"00390"</f>
        <v>00390</v>
      </c>
      <c r="N7111" t="s">
        <v>1869</v>
      </c>
      <c r="O7111">
        <v>86.54</v>
      </c>
      <c r="P7111">
        <v>20190710</v>
      </c>
      <c r="Q7111" t="s">
        <v>1870</v>
      </c>
      <c r="R7111" t="s">
        <v>5593</v>
      </c>
      <c r="S7111" t="s">
        <v>1615</v>
      </c>
      <c r="T7111" t="s">
        <v>1866</v>
      </c>
    </row>
    <row r="7112" spans="1:20" x14ac:dyDescent="0.25">
      <c r="A7112">
        <v>9</v>
      </c>
      <c r="B7112">
        <v>199</v>
      </c>
      <c r="C7112" t="str">
        <f>"51"</f>
        <v>51</v>
      </c>
      <c r="D7112">
        <v>6256</v>
      </c>
      <c r="E7112" t="str">
        <f>"10"</f>
        <v>10</v>
      </c>
      <c r="F7112" t="str">
        <f>"880"</f>
        <v>880</v>
      </c>
      <c r="G7112">
        <v>9</v>
      </c>
      <c r="H7112" t="str">
        <f>"99"</f>
        <v>99</v>
      </c>
      <c r="I7112" t="str">
        <f t="shared" si="1575"/>
        <v>0</v>
      </c>
      <c r="J7112" t="str">
        <f>"80"</f>
        <v>80</v>
      </c>
      <c r="K7112">
        <v>20190712</v>
      </c>
      <c r="L7112" t="str">
        <f>"077333"</f>
        <v>077333</v>
      </c>
      <c r="M7112" t="str">
        <f>"00390"</f>
        <v>00390</v>
      </c>
      <c r="N7112" t="s">
        <v>1869</v>
      </c>
      <c r="O7112" s="1">
        <v>4348.95</v>
      </c>
      <c r="P7112">
        <v>20190710</v>
      </c>
      <c r="Q7112" t="s">
        <v>1870</v>
      </c>
      <c r="R7112" t="s">
        <v>5593</v>
      </c>
      <c r="S7112" t="s">
        <v>1615</v>
      </c>
      <c r="T7112" t="s">
        <v>1866</v>
      </c>
    </row>
    <row r="7113" spans="1:20" x14ac:dyDescent="0.25">
      <c r="A7113">
        <v>9</v>
      </c>
      <c r="B7113">
        <v>199</v>
      </c>
      <c r="C7113" t="str">
        <f>"51"</f>
        <v>51</v>
      </c>
      <c r="D7113">
        <v>6256</v>
      </c>
      <c r="E7113" t="str">
        <f>"11"</f>
        <v>11</v>
      </c>
      <c r="F7113" t="str">
        <f>"880"</f>
        <v>880</v>
      </c>
      <c r="G7113">
        <v>9</v>
      </c>
      <c r="H7113" t="str">
        <f>"99"</f>
        <v>99</v>
      </c>
      <c r="I7113" t="str">
        <f t="shared" si="1575"/>
        <v>0</v>
      </c>
      <c r="J7113" t="str">
        <f>"80"</f>
        <v>80</v>
      </c>
      <c r="K7113">
        <v>20190712</v>
      </c>
      <c r="L7113" t="str">
        <f>"077334"</f>
        <v>077334</v>
      </c>
      <c r="M7113" t="str">
        <f>"00392"</f>
        <v>00392</v>
      </c>
      <c r="N7113" t="s">
        <v>1869</v>
      </c>
      <c r="O7113">
        <v>47.45</v>
      </c>
      <c r="P7113">
        <v>20190710</v>
      </c>
      <c r="Q7113" t="s">
        <v>1871</v>
      </c>
      <c r="R7113" t="s">
        <v>5593</v>
      </c>
      <c r="S7113" t="s">
        <v>1615</v>
      </c>
      <c r="T7113" t="s">
        <v>1866</v>
      </c>
    </row>
    <row r="7114" spans="1:20" x14ac:dyDescent="0.25">
      <c r="A7114">
        <v>9</v>
      </c>
      <c r="B7114">
        <v>199</v>
      </c>
      <c r="C7114" t="str">
        <f>"34"</f>
        <v>34</v>
      </c>
      <c r="D7114">
        <v>6249</v>
      </c>
      <c r="E7114" t="str">
        <f>"10"</f>
        <v>10</v>
      </c>
      <c r="F7114" t="str">
        <f>"937"</f>
        <v>937</v>
      </c>
      <c r="G7114">
        <v>9</v>
      </c>
      <c r="H7114" t="str">
        <f>"99"</f>
        <v>99</v>
      </c>
      <c r="I7114" t="str">
        <f t="shared" si="1575"/>
        <v>0</v>
      </c>
      <c r="J7114" t="str">
        <f>"82"</f>
        <v>82</v>
      </c>
      <c r="K7114">
        <v>20190712</v>
      </c>
      <c r="L7114" t="str">
        <f>"077335"</f>
        <v>077335</v>
      </c>
      <c r="M7114" t="str">
        <f>"03852"</f>
        <v>03852</v>
      </c>
      <c r="N7114" t="s">
        <v>5133</v>
      </c>
      <c r="O7114">
        <v>594.29</v>
      </c>
      <c r="P7114">
        <v>20190710</v>
      </c>
      <c r="Q7114" t="s">
        <v>2036</v>
      </c>
      <c r="R7114" t="s">
        <v>5594</v>
      </c>
      <c r="S7114" t="s">
        <v>1615</v>
      </c>
      <c r="T7114" t="s">
        <v>1810</v>
      </c>
    </row>
    <row r="7115" spans="1:20" x14ac:dyDescent="0.25">
      <c r="A7115">
        <v>9</v>
      </c>
      <c r="B7115">
        <v>199</v>
      </c>
      <c r="C7115" t="str">
        <f>"34"</f>
        <v>34</v>
      </c>
      <c r="D7115">
        <v>6399</v>
      </c>
      <c r="E7115" t="str">
        <f>"11"</f>
        <v>11</v>
      </c>
      <c r="F7115" t="str">
        <f>"937"</f>
        <v>937</v>
      </c>
      <c r="G7115">
        <v>9</v>
      </c>
      <c r="H7115" t="str">
        <f>"99"</f>
        <v>99</v>
      </c>
      <c r="I7115" t="str">
        <f t="shared" si="1575"/>
        <v>0</v>
      </c>
      <c r="J7115" t="str">
        <f>"82"</f>
        <v>82</v>
      </c>
      <c r="K7115">
        <v>20190712</v>
      </c>
      <c r="L7115" t="str">
        <f>"077336"</f>
        <v>077336</v>
      </c>
      <c r="M7115" t="str">
        <f>"08196"</f>
        <v>08196</v>
      </c>
      <c r="N7115" t="s">
        <v>2185</v>
      </c>
      <c r="O7115">
        <v>75.900000000000006</v>
      </c>
      <c r="P7115">
        <v>20190710</v>
      </c>
      <c r="Q7115" t="s">
        <v>2210</v>
      </c>
      <c r="R7115" t="s">
        <v>2211</v>
      </c>
      <c r="S7115" t="s">
        <v>1615</v>
      </c>
      <c r="T7115" t="s">
        <v>1810</v>
      </c>
    </row>
    <row r="7116" spans="1:20" x14ac:dyDescent="0.25">
      <c r="A7116">
        <v>9</v>
      </c>
      <c r="B7116">
        <v>199</v>
      </c>
      <c r="C7116" t="str">
        <f>"00"</f>
        <v>00</v>
      </c>
      <c r="D7116">
        <v>1291</v>
      </c>
      <c r="E7116" t="str">
        <f>"04"</f>
        <v>04</v>
      </c>
      <c r="F7116" t="str">
        <f>"000"</f>
        <v>000</v>
      </c>
      <c r="G7116">
        <v>9</v>
      </c>
      <c r="H7116" t="str">
        <f>"00"</f>
        <v>00</v>
      </c>
      <c r="I7116" t="str">
        <f t="shared" si="1575"/>
        <v>0</v>
      </c>
      <c r="J7116" t="str">
        <f>"00"</f>
        <v>00</v>
      </c>
      <c r="K7116">
        <v>20190712</v>
      </c>
      <c r="L7116" t="str">
        <f t="shared" ref="L7116:L7134" si="1576">"077337"</f>
        <v>077337</v>
      </c>
      <c r="M7116" t="str">
        <f t="shared" ref="M7116:M7134" si="1577">"09170"</f>
        <v>09170</v>
      </c>
      <c r="N7116" t="s">
        <v>679</v>
      </c>
      <c r="O7116" s="1">
        <v>-1142.76</v>
      </c>
      <c r="P7116">
        <v>20190524</v>
      </c>
      <c r="Q7116" t="s">
        <v>5135</v>
      </c>
      <c r="R7116" t="s">
        <v>1298</v>
      </c>
      <c r="S7116" t="s">
        <v>1615</v>
      </c>
      <c r="T7116" t="s">
        <v>296</v>
      </c>
    </row>
    <row r="7117" spans="1:20" x14ac:dyDescent="0.25">
      <c r="A7117">
        <v>9</v>
      </c>
      <c r="B7117">
        <v>199</v>
      </c>
      <c r="C7117" t="str">
        <f>"11"</f>
        <v>11</v>
      </c>
      <c r="D7117">
        <v>6339</v>
      </c>
      <c r="E7117" t="str">
        <f>"NL"</f>
        <v>NL</v>
      </c>
      <c r="F7117" t="str">
        <f t="shared" ref="F7117:F7123" si="1578">"001"</f>
        <v>001</v>
      </c>
      <c r="G7117">
        <v>9</v>
      </c>
      <c r="H7117" t="str">
        <f>"22"</f>
        <v>22</v>
      </c>
      <c r="I7117" t="str">
        <f t="shared" si="1575"/>
        <v>0</v>
      </c>
      <c r="J7117" t="str">
        <f>"22"</f>
        <v>22</v>
      </c>
      <c r="K7117">
        <v>20190712</v>
      </c>
      <c r="L7117" t="str">
        <f t="shared" si="1576"/>
        <v>077337</v>
      </c>
      <c r="M7117" t="str">
        <f t="shared" si="1577"/>
        <v>09170</v>
      </c>
      <c r="N7117" t="s">
        <v>679</v>
      </c>
      <c r="O7117">
        <v>313.5</v>
      </c>
      <c r="P7117">
        <v>20190711</v>
      </c>
      <c r="Q7117" t="s">
        <v>3183</v>
      </c>
      <c r="R7117" t="s">
        <v>5140</v>
      </c>
      <c r="S7117" t="s">
        <v>1615</v>
      </c>
      <c r="T7117" t="s">
        <v>301</v>
      </c>
    </row>
    <row r="7118" spans="1:20" x14ac:dyDescent="0.25">
      <c r="A7118">
        <v>9</v>
      </c>
      <c r="B7118">
        <v>199</v>
      </c>
      <c r="C7118" t="str">
        <f>"11"</f>
        <v>11</v>
      </c>
      <c r="D7118">
        <v>6339</v>
      </c>
      <c r="E7118" t="str">
        <f>"V8"</f>
        <v>V8</v>
      </c>
      <c r="F7118" t="str">
        <f t="shared" si="1578"/>
        <v>001</v>
      </c>
      <c r="G7118">
        <v>9</v>
      </c>
      <c r="H7118" t="str">
        <f>"22"</f>
        <v>22</v>
      </c>
      <c r="I7118" t="str">
        <f t="shared" si="1575"/>
        <v>0</v>
      </c>
      <c r="J7118" t="str">
        <f>"22"</f>
        <v>22</v>
      </c>
      <c r="K7118">
        <v>20190712</v>
      </c>
      <c r="L7118" t="str">
        <f t="shared" si="1576"/>
        <v>077337</v>
      </c>
      <c r="M7118" t="str">
        <f t="shared" si="1577"/>
        <v>09170</v>
      </c>
      <c r="N7118" t="s">
        <v>679</v>
      </c>
      <c r="O7118">
        <v>174.08</v>
      </c>
      <c r="P7118">
        <v>20190711</v>
      </c>
      <c r="Q7118" t="s">
        <v>3517</v>
      </c>
      <c r="R7118" t="s">
        <v>5595</v>
      </c>
      <c r="S7118" t="s">
        <v>1615</v>
      </c>
      <c r="T7118" t="s">
        <v>301</v>
      </c>
    </row>
    <row r="7119" spans="1:20" x14ac:dyDescent="0.25">
      <c r="A7119">
        <v>9</v>
      </c>
      <c r="B7119">
        <v>199</v>
      </c>
      <c r="C7119" t="str">
        <f>"11"</f>
        <v>11</v>
      </c>
      <c r="D7119">
        <v>6399</v>
      </c>
      <c r="E7119" t="str">
        <f>"10"</f>
        <v>10</v>
      </c>
      <c r="F7119" t="str">
        <f t="shared" si="1578"/>
        <v>001</v>
      </c>
      <c r="G7119">
        <v>9</v>
      </c>
      <c r="H7119" t="str">
        <f>"11"</f>
        <v>11</v>
      </c>
      <c r="I7119" t="str">
        <f t="shared" si="1575"/>
        <v>0</v>
      </c>
      <c r="J7119" t="str">
        <f>"01"</f>
        <v>01</v>
      </c>
      <c r="K7119">
        <v>20190712</v>
      </c>
      <c r="L7119" t="str">
        <f t="shared" si="1576"/>
        <v>077337</v>
      </c>
      <c r="M7119" t="str">
        <f t="shared" si="1577"/>
        <v>09170</v>
      </c>
      <c r="N7119" t="s">
        <v>679</v>
      </c>
      <c r="O7119">
        <v>84</v>
      </c>
      <c r="P7119">
        <v>20190711</v>
      </c>
      <c r="Q7119" t="s">
        <v>1675</v>
      </c>
      <c r="R7119" t="s">
        <v>5596</v>
      </c>
      <c r="S7119" t="s">
        <v>1615</v>
      </c>
      <c r="T7119" t="s">
        <v>301</v>
      </c>
    </row>
    <row r="7120" spans="1:20" x14ac:dyDescent="0.25">
      <c r="A7120">
        <v>9</v>
      </c>
      <c r="B7120">
        <v>199</v>
      </c>
      <c r="C7120" t="str">
        <f>"11"</f>
        <v>11</v>
      </c>
      <c r="D7120">
        <v>6399</v>
      </c>
      <c r="E7120" t="str">
        <f>"H4"</f>
        <v>H4</v>
      </c>
      <c r="F7120" t="str">
        <f t="shared" si="1578"/>
        <v>001</v>
      </c>
      <c r="G7120">
        <v>9</v>
      </c>
      <c r="H7120" t="str">
        <f>"11"</f>
        <v>11</v>
      </c>
      <c r="I7120" t="str">
        <f t="shared" si="1575"/>
        <v>0</v>
      </c>
      <c r="J7120" t="str">
        <f>"01"</f>
        <v>01</v>
      </c>
      <c r="K7120">
        <v>20190712</v>
      </c>
      <c r="L7120" t="str">
        <f t="shared" si="1576"/>
        <v>077337</v>
      </c>
      <c r="M7120" t="str">
        <f t="shared" si="1577"/>
        <v>09170</v>
      </c>
      <c r="N7120" t="s">
        <v>679</v>
      </c>
      <c r="O7120">
        <v>21.64</v>
      </c>
      <c r="P7120">
        <v>20190711</v>
      </c>
      <c r="Q7120" t="s">
        <v>2856</v>
      </c>
      <c r="R7120" t="s">
        <v>5142</v>
      </c>
      <c r="S7120" t="s">
        <v>1615</v>
      </c>
      <c r="T7120" t="s">
        <v>301</v>
      </c>
    </row>
    <row r="7121" spans="1:20" x14ac:dyDescent="0.25">
      <c r="A7121">
        <v>9</v>
      </c>
      <c r="B7121">
        <v>199</v>
      </c>
      <c r="C7121" t="str">
        <f>"11"</f>
        <v>11</v>
      </c>
      <c r="D7121">
        <v>6412</v>
      </c>
      <c r="E7121" t="str">
        <f>"VD"</f>
        <v>VD</v>
      </c>
      <c r="F7121" t="str">
        <f t="shared" si="1578"/>
        <v>001</v>
      </c>
      <c r="G7121">
        <v>9</v>
      </c>
      <c r="H7121" t="str">
        <f>"22"</f>
        <v>22</v>
      </c>
      <c r="I7121" t="str">
        <f t="shared" si="1575"/>
        <v>0</v>
      </c>
      <c r="J7121" t="str">
        <f>"22"</f>
        <v>22</v>
      </c>
      <c r="K7121">
        <v>20190712</v>
      </c>
      <c r="L7121" t="str">
        <f t="shared" si="1576"/>
        <v>077337</v>
      </c>
      <c r="M7121" t="str">
        <f t="shared" si="1577"/>
        <v>09170</v>
      </c>
      <c r="N7121" t="s">
        <v>679</v>
      </c>
      <c r="O7121">
        <v>47.45</v>
      </c>
      <c r="P7121">
        <v>20190711</v>
      </c>
      <c r="Q7121" t="s">
        <v>2120</v>
      </c>
      <c r="R7121" t="s">
        <v>5148</v>
      </c>
      <c r="S7121" t="s">
        <v>1615</v>
      </c>
      <c r="T7121" t="s">
        <v>301</v>
      </c>
    </row>
    <row r="7122" spans="1:20" x14ac:dyDescent="0.25">
      <c r="A7122">
        <v>9</v>
      </c>
      <c r="B7122">
        <v>199</v>
      </c>
      <c r="C7122" t="str">
        <f>"13"</f>
        <v>13</v>
      </c>
      <c r="D7122">
        <v>6411</v>
      </c>
      <c r="E7122" t="str">
        <f>"NL"</f>
        <v>NL</v>
      </c>
      <c r="F7122" t="str">
        <f t="shared" si="1578"/>
        <v>001</v>
      </c>
      <c r="G7122">
        <v>9</v>
      </c>
      <c r="H7122" t="str">
        <f>"22"</f>
        <v>22</v>
      </c>
      <c r="I7122" t="str">
        <f t="shared" si="1575"/>
        <v>0</v>
      </c>
      <c r="J7122" t="str">
        <f>"22"</f>
        <v>22</v>
      </c>
      <c r="K7122">
        <v>20190712</v>
      </c>
      <c r="L7122" t="str">
        <f t="shared" si="1576"/>
        <v>077337</v>
      </c>
      <c r="M7122" t="str">
        <f t="shared" si="1577"/>
        <v>09170</v>
      </c>
      <c r="N7122" t="s">
        <v>679</v>
      </c>
      <c r="O7122">
        <v>211.86</v>
      </c>
      <c r="P7122">
        <v>20190711</v>
      </c>
      <c r="Q7122" t="s">
        <v>4676</v>
      </c>
      <c r="R7122" t="s">
        <v>5597</v>
      </c>
      <c r="S7122" t="s">
        <v>1615</v>
      </c>
      <c r="T7122" t="s">
        <v>301</v>
      </c>
    </row>
    <row r="7123" spans="1:20" x14ac:dyDescent="0.25">
      <c r="A7123">
        <v>9</v>
      </c>
      <c r="B7123">
        <v>199</v>
      </c>
      <c r="C7123" t="str">
        <f>"13"</f>
        <v>13</v>
      </c>
      <c r="D7123">
        <v>6411</v>
      </c>
      <c r="E7123" t="str">
        <f>"VL"</f>
        <v>VL</v>
      </c>
      <c r="F7123" t="str">
        <f t="shared" si="1578"/>
        <v>001</v>
      </c>
      <c r="G7123">
        <v>9</v>
      </c>
      <c r="H7123" t="str">
        <f>"22"</f>
        <v>22</v>
      </c>
      <c r="I7123" t="str">
        <f t="shared" si="1575"/>
        <v>0</v>
      </c>
      <c r="J7123" t="str">
        <f>"22"</f>
        <v>22</v>
      </c>
      <c r="K7123">
        <v>20190712</v>
      </c>
      <c r="L7123" t="str">
        <f t="shared" si="1576"/>
        <v>077337</v>
      </c>
      <c r="M7123" t="str">
        <f t="shared" si="1577"/>
        <v>09170</v>
      </c>
      <c r="N7123" t="s">
        <v>679</v>
      </c>
      <c r="O7123">
        <v>-7.08</v>
      </c>
      <c r="P7123">
        <v>20190515</v>
      </c>
      <c r="Q7123" t="s">
        <v>4756</v>
      </c>
      <c r="R7123" t="s">
        <v>4757</v>
      </c>
      <c r="S7123" t="s">
        <v>1615</v>
      </c>
      <c r="T7123" t="s">
        <v>301</v>
      </c>
    </row>
    <row r="7124" spans="1:20" x14ac:dyDescent="0.25">
      <c r="A7124">
        <v>9</v>
      </c>
      <c r="B7124">
        <v>199</v>
      </c>
      <c r="C7124" t="str">
        <f>"31"</f>
        <v>31</v>
      </c>
      <c r="D7124">
        <v>6411</v>
      </c>
      <c r="E7124" t="str">
        <f>"04"</f>
        <v>04</v>
      </c>
      <c r="F7124" t="str">
        <f>"101"</f>
        <v>101</v>
      </c>
      <c r="G7124">
        <v>9</v>
      </c>
      <c r="H7124" t="str">
        <f>"99"</f>
        <v>99</v>
      </c>
      <c r="I7124" t="str">
        <f t="shared" si="1575"/>
        <v>0</v>
      </c>
      <c r="J7124" t="str">
        <f>"23"</f>
        <v>23</v>
      </c>
      <c r="K7124">
        <v>20190712</v>
      </c>
      <c r="L7124" t="str">
        <f t="shared" si="1576"/>
        <v>077337</v>
      </c>
      <c r="M7124" t="str">
        <f t="shared" si="1577"/>
        <v>09170</v>
      </c>
      <c r="N7124" t="s">
        <v>679</v>
      </c>
      <c r="O7124">
        <v>190.99</v>
      </c>
      <c r="P7124">
        <v>20190711</v>
      </c>
      <c r="Q7124" t="s">
        <v>5598</v>
      </c>
      <c r="R7124" t="s">
        <v>5599</v>
      </c>
      <c r="S7124" t="s">
        <v>1615</v>
      </c>
      <c r="T7124" t="s">
        <v>1479</v>
      </c>
    </row>
    <row r="7125" spans="1:20" x14ac:dyDescent="0.25">
      <c r="A7125">
        <v>9</v>
      </c>
      <c r="B7125">
        <v>199</v>
      </c>
      <c r="C7125" t="str">
        <f>"36"</f>
        <v>36</v>
      </c>
      <c r="D7125">
        <v>6412</v>
      </c>
      <c r="E7125" t="str">
        <f>"10"</f>
        <v>10</v>
      </c>
      <c r="F7125" t="str">
        <f>"001"</f>
        <v>001</v>
      </c>
      <c r="G7125">
        <v>9</v>
      </c>
      <c r="H7125" t="str">
        <f>"99"</f>
        <v>99</v>
      </c>
      <c r="I7125" t="str">
        <f>"5"</f>
        <v>5</v>
      </c>
      <c r="J7125" t="str">
        <f>"74"</f>
        <v>74</v>
      </c>
      <c r="K7125">
        <v>20190712</v>
      </c>
      <c r="L7125" t="str">
        <f t="shared" si="1576"/>
        <v>077337</v>
      </c>
      <c r="M7125" t="str">
        <f t="shared" si="1577"/>
        <v>09170</v>
      </c>
      <c r="N7125" t="s">
        <v>679</v>
      </c>
      <c r="O7125" s="1">
        <v>1376.55</v>
      </c>
      <c r="P7125">
        <v>20190711</v>
      </c>
      <c r="Q7125" t="s">
        <v>5007</v>
      </c>
      <c r="R7125" t="s">
        <v>5006</v>
      </c>
      <c r="S7125" t="s">
        <v>1615</v>
      </c>
      <c r="T7125" t="s">
        <v>301</v>
      </c>
    </row>
    <row r="7126" spans="1:20" x14ac:dyDescent="0.25">
      <c r="A7126">
        <v>9</v>
      </c>
      <c r="B7126">
        <v>199</v>
      </c>
      <c r="C7126" t="str">
        <f>"36"</f>
        <v>36</v>
      </c>
      <c r="D7126">
        <v>6412</v>
      </c>
      <c r="E7126" t="str">
        <f>"V2"</f>
        <v>V2</v>
      </c>
      <c r="F7126" t="str">
        <f>"001"</f>
        <v>001</v>
      </c>
      <c r="G7126">
        <v>9</v>
      </c>
      <c r="H7126" t="str">
        <f>"22"</f>
        <v>22</v>
      </c>
      <c r="I7126" t="str">
        <f>"5"</f>
        <v>5</v>
      </c>
      <c r="J7126" t="str">
        <f>"74"</f>
        <v>74</v>
      </c>
      <c r="K7126">
        <v>20190712</v>
      </c>
      <c r="L7126" t="str">
        <f t="shared" si="1576"/>
        <v>077337</v>
      </c>
      <c r="M7126" t="str">
        <f t="shared" si="1577"/>
        <v>09170</v>
      </c>
      <c r="N7126" t="s">
        <v>679</v>
      </c>
      <c r="O7126">
        <v>400</v>
      </c>
      <c r="P7126">
        <v>20190711</v>
      </c>
      <c r="Q7126" t="s">
        <v>5147</v>
      </c>
      <c r="R7126" t="s">
        <v>5148</v>
      </c>
      <c r="S7126" t="s">
        <v>1615</v>
      </c>
      <c r="T7126" t="s">
        <v>301</v>
      </c>
    </row>
    <row r="7127" spans="1:20" x14ac:dyDescent="0.25">
      <c r="A7127">
        <v>9</v>
      </c>
      <c r="B7127">
        <v>199</v>
      </c>
      <c r="C7127" t="str">
        <f>"36"</f>
        <v>36</v>
      </c>
      <c r="D7127">
        <v>6412</v>
      </c>
      <c r="E7127" t="str">
        <f>"V2"</f>
        <v>V2</v>
      </c>
      <c r="F7127" t="str">
        <f>"001"</f>
        <v>001</v>
      </c>
      <c r="G7127">
        <v>9</v>
      </c>
      <c r="H7127" t="str">
        <f>"22"</f>
        <v>22</v>
      </c>
      <c r="I7127" t="str">
        <f>"5"</f>
        <v>5</v>
      </c>
      <c r="J7127" t="str">
        <f>"74"</f>
        <v>74</v>
      </c>
      <c r="K7127">
        <v>20190712</v>
      </c>
      <c r="L7127" t="str">
        <f t="shared" si="1576"/>
        <v>077337</v>
      </c>
      <c r="M7127" t="str">
        <f t="shared" si="1577"/>
        <v>09170</v>
      </c>
      <c r="N7127" t="s">
        <v>679</v>
      </c>
      <c r="O7127">
        <v>107.49</v>
      </c>
      <c r="P7127">
        <v>20190711</v>
      </c>
      <c r="Q7127" t="s">
        <v>5147</v>
      </c>
      <c r="R7127" t="s">
        <v>5148</v>
      </c>
      <c r="S7127" t="s">
        <v>1615</v>
      </c>
      <c r="T7127" t="s">
        <v>301</v>
      </c>
    </row>
    <row r="7128" spans="1:20" x14ac:dyDescent="0.25">
      <c r="A7128">
        <v>9</v>
      </c>
      <c r="B7128">
        <v>199</v>
      </c>
      <c r="C7128" t="str">
        <f>"36"</f>
        <v>36</v>
      </c>
      <c r="D7128">
        <v>6412</v>
      </c>
      <c r="E7128" t="str">
        <f>"VB"</f>
        <v>VB</v>
      </c>
      <c r="F7128" t="str">
        <f>"001"</f>
        <v>001</v>
      </c>
      <c r="G7128">
        <v>9</v>
      </c>
      <c r="H7128" t="str">
        <f>"22"</f>
        <v>22</v>
      </c>
      <c r="I7128" t="str">
        <f>"5"</f>
        <v>5</v>
      </c>
      <c r="J7128" t="str">
        <f>"74"</f>
        <v>74</v>
      </c>
      <c r="K7128">
        <v>20190712</v>
      </c>
      <c r="L7128" t="str">
        <f t="shared" si="1576"/>
        <v>077337</v>
      </c>
      <c r="M7128" t="str">
        <f t="shared" si="1577"/>
        <v>09170</v>
      </c>
      <c r="N7128" t="s">
        <v>679</v>
      </c>
      <c r="O7128">
        <v>-285</v>
      </c>
      <c r="P7128">
        <v>20190524</v>
      </c>
      <c r="Q7128" t="s">
        <v>4391</v>
      </c>
      <c r="R7128" t="s">
        <v>4392</v>
      </c>
      <c r="S7128" t="s">
        <v>1615</v>
      </c>
      <c r="T7128" t="s">
        <v>301</v>
      </c>
    </row>
    <row r="7129" spans="1:20" x14ac:dyDescent="0.25">
      <c r="A7129">
        <v>9</v>
      </c>
      <c r="B7129">
        <v>199</v>
      </c>
      <c r="C7129" t="str">
        <f t="shared" ref="C7129:C7134" si="1579">"41"</f>
        <v>41</v>
      </c>
      <c r="D7129">
        <v>6299</v>
      </c>
      <c r="E7129" t="str">
        <f t="shared" ref="E7129:E7134" si="1580">"10"</f>
        <v>10</v>
      </c>
      <c r="F7129" t="str">
        <f>"730"</f>
        <v>730</v>
      </c>
      <c r="G7129">
        <v>9</v>
      </c>
      <c r="H7129" t="str">
        <f t="shared" ref="H7129:H7137" si="1581">"99"</f>
        <v>99</v>
      </c>
      <c r="I7129" t="str">
        <f t="shared" ref="I7129:I7134" si="1582">"0"</f>
        <v>0</v>
      </c>
      <c r="J7129" t="str">
        <f>"95"</f>
        <v>95</v>
      </c>
      <c r="K7129">
        <v>20190712</v>
      </c>
      <c r="L7129" t="str">
        <f t="shared" si="1576"/>
        <v>077337</v>
      </c>
      <c r="M7129" t="str">
        <f t="shared" si="1577"/>
        <v>09170</v>
      </c>
      <c r="N7129" t="s">
        <v>679</v>
      </c>
      <c r="O7129">
        <v>295.5</v>
      </c>
      <c r="P7129">
        <v>20190711</v>
      </c>
      <c r="Q7129" t="s">
        <v>2434</v>
      </c>
      <c r="R7129" t="s">
        <v>5600</v>
      </c>
      <c r="S7129" t="s">
        <v>1615</v>
      </c>
      <c r="T7129" t="s">
        <v>1794</v>
      </c>
    </row>
    <row r="7130" spans="1:20" x14ac:dyDescent="0.25">
      <c r="A7130">
        <v>9</v>
      </c>
      <c r="B7130">
        <v>199</v>
      </c>
      <c r="C7130" t="str">
        <f t="shared" si="1579"/>
        <v>41</v>
      </c>
      <c r="D7130">
        <v>6399</v>
      </c>
      <c r="E7130" t="str">
        <f t="shared" si="1580"/>
        <v>10</v>
      </c>
      <c r="F7130" t="str">
        <f>"730"</f>
        <v>730</v>
      </c>
      <c r="G7130">
        <v>9</v>
      </c>
      <c r="H7130" t="str">
        <f t="shared" si="1581"/>
        <v>99</v>
      </c>
      <c r="I7130" t="str">
        <f t="shared" si="1582"/>
        <v>0</v>
      </c>
      <c r="J7130" t="str">
        <f>"95"</f>
        <v>95</v>
      </c>
      <c r="K7130">
        <v>20190712</v>
      </c>
      <c r="L7130" t="str">
        <f t="shared" si="1576"/>
        <v>077337</v>
      </c>
      <c r="M7130" t="str">
        <f t="shared" si="1577"/>
        <v>09170</v>
      </c>
      <c r="N7130" t="s">
        <v>679</v>
      </c>
      <c r="O7130">
        <v>44.32</v>
      </c>
      <c r="P7130">
        <v>20190711</v>
      </c>
      <c r="Q7130" t="s">
        <v>1987</v>
      </c>
      <c r="R7130" t="s">
        <v>5601</v>
      </c>
      <c r="S7130" t="s">
        <v>1615</v>
      </c>
      <c r="T7130" t="s">
        <v>1794</v>
      </c>
    </row>
    <row r="7131" spans="1:20" x14ac:dyDescent="0.25">
      <c r="A7131">
        <v>9</v>
      </c>
      <c r="B7131">
        <v>199</v>
      </c>
      <c r="C7131" t="str">
        <f t="shared" si="1579"/>
        <v>41</v>
      </c>
      <c r="D7131">
        <v>6399</v>
      </c>
      <c r="E7131" t="str">
        <f t="shared" si="1580"/>
        <v>10</v>
      </c>
      <c r="F7131" t="str">
        <f>"730"</f>
        <v>730</v>
      </c>
      <c r="G7131">
        <v>9</v>
      </c>
      <c r="H7131" t="str">
        <f t="shared" si="1581"/>
        <v>99</v>
      </c>
      <c r="I7131" t="str">
        <f t="shared" si="1582"/>
        <v>0</v>
      </c>
      <c r="J7131" t="str">
        <f>"95"</f>
        <v>95</v>
      </c>
      <c r="K7131">
        <v>20190712</v>
      </c>
      <c r="L7131" t="str">
        <f t="shared" si="1576"/>
        <v>077337</v>
      </c>
      <c r="M7131" t="str">
        <f t="shared" si="1577"/>
        <v>09170</v>
      </c>
      <c r="N7131" t="s">
        <v>679</v>
      </c>
      <c r="O7131">
        <v>99.48</v>
      </c>
      <c r="P7131">
        <v>20190711</v>
      </c>
      <c r="Q7131" t="s">
        <v>1987</v>
      </c>
      <c r="R7131" t="s">
        <v>2692</v>
      </c>
      <c r="S7131" t="s">
        <v>1615</v>
      </c>
      <c r="T7131" t="s">
        <v>1794</v>
      </c>
    </row>
    <row r="7132" spans="1:20" x14ac:dyDescent="0.25">
      <c r="A7132">
        <v>9</v>
      </c>
      <c r="B7132">
        <v>199</v>
      </c>
      <c r="C7132" t="str">
        <f t="shared" si="1579"/>
        <v>41</v>
      </c>
      <c r="D7132">
        <v>6411</v>
      </c>
      <c r="E7132" t="str">
        <f t="shared" si="1580"/>
        <v>10</v>
      </c>
      <c r="F7132" t="str">
        <f>"701"</f>
        <v>701</v>
      </c>
      <c r="G7132">
        <v>9</v>
      </c>
      <c r="H7132" t="str">
        <f t="shared" si="1581"/>
        <v>99</v>
      </c>
      <c r="I7132" t="str">
        <f t="shared" si="1582"/>
        <v>0</v>
      </c>
      <c r="J7132" t="str">
        <f>"92"</f>
        <v>92</v>
      </c>
      <c r="K7132">
        <v>20190712</v>
      </c>
      <c r="L7132" t="str">
        <f t="shared" si="1576"/>
        <v>077337</v>
      </c>
      <c r="M7132" t="str">
        <f t="shared" si="1577"/>
        <v>09170</v>
      </c>
      <c r="N7132" t="s">
        <v>679</v>
      </c>
      <c r="O7132">
        <v>207.45</v>
      </c>
      <c r="P7132">
        <v>20190711</v>
      </c>
      <c r="Q7132" t="s">
        <v>3101</v>
      </c>
      <c r="R7132" t="s">
        <v>4946</v>
      </c>
      <c r="S7132" t="s">
        <v>1615</v>
      </c>
      <c r="T7132" t="s">
        <v>1841</v>
      </c>
    </row>
    <row r="7133" spans="1:20" x14ac:dyDescent="0.25">
      <c r="A7133">
        <v>9</v>
      </c>
      <c r="B7133">
        <v>199</v>
      </c>
      <c r="C7133" t="str">
        <f t="shared" si="1579"/>
        <v>41</v>
      </c>
      <c r="D7133">
        <v>6419</v>
      </c>
      <c r="E7133" t="str">
        <f t="shared" si="1580"/>
        <v>10</v>
      </c>
      <c r="F7133" t="str">
        <f>"702"</f>
        <v>702</v>
      </c>
      <c r="G7133">
        <v>9</v>
      </c>
      <c r="H7133" t="str">
        <f t="shared" si="1581"/>
        <v>99</v>
      </c>
      <c r="I7133" t="str">
        <f t="shared" si="1582"/>
        <v>0</v>
      </c>
      <c r="J7133" t="str">
        <f>"93"</f>
        <v>93</v>
      </c>
      <c r="K7133">
        <v>20190712</v>
      </c>
      <c r="L7133" t="str">
        <f t="shared" si="1576"/>
        <v>077337</v>
      </c>
      <c r="M7133" t="str">
        <f t="shared" si="1577"/>
        <v>09170</v>
      </c>
      <c r="N7133" t="s">
        <v>679</v>
      </c>
      <c r="O7133">
        <v>829.8</v>
      </c>
      <c r="P7133">
        <v>20190711</v>
      </c>
      <c r="Q7133" t="s">
        <v>1645</v>
      </c>
      <c r="R7133" t="s">
        <v>4946</v>
      </c>
      <c r="S7133" t="s">
        <v>1615</v>
      </c>
      <c r="T7133" t="s">
        <v>1611</v>
      </c>
    </row>
    <row r="7134" spans="1:20" x14ac:dyDescent="0.25">
      <c r="A7134">
        <v>9</v>
      </c>
      <c r="B7134">
        <v>199</v>
      </c>
      <c r="C7134" t="str">
        <f t="shared" si="1579"/>
        <v>41</v>
      </c>
      <c r="D7134">
        <v>6419</v>
      </c>
      <c r="E7134" t="str">
        <f t="shared" si="1580"/>
        <v>10</v>
      </c>
      <c r="F7134" t="str">
        <f>"702"</f>
        <v>702</v>
      </c>
      <c r="G7134">
        <v>9</v>
      </c>
      <c r="H7134" t="str">
        <f t="shared" si="1581"/>
        <v>99</v>
      </c>
      <c r="I7134" t="str">
        <f t="shared" si="1582"/>
        <v>0</v>
      </c>
      <c r="J7134" t="str">
        <f>"93"</f>
        <v>93</v>
      </c>
      <c r="K7134">
        <v>20190712</v>
      </c>
      <c r="L7134" t="str">
        <f t="shared" si="1576"/>
        <v>077337</v>
      </c>
      <c r="M7134" t="str">
        <f t="shared" si="1577"/>
        <v>09170</v>
      </c>
      <c r="N7134" t="s">
        <v>679</v>
      </c>
      <c r="O7134">
        <v>-132.44999999999999</v>
      </c>
      <c r="P7134">
        <v>20190612</v>
      </c>
      <c r="Q7134" t="s">
        <v>1645</v>
      </c>
      <c r="R7134" t="s">
        <v>4946</v>
      </c>
      <c r="S7134" t="s">
        <v>1615</v>
      </c>
      <c r="T7134" t="s">
        <v>1611</v>
      </c>
    </row>
    <row r="7135" spans="1:20" x14ac:dyDescent="0.25">
      <c r="A7135">
        <v>9</v>
      </c>
      <c r="B7135">
        <v>199</v>
      </c>
      <c r="C7135" t="str">
        <f>"51"</f>
        <v>51</v>
      </c>
      <c r="D7135">
        <v>6249</v>
      </c>
      <c r="E7135" t="str">
        <f>"PM"</f>
        <v>PM</v>
      </c>
      <c r="F7135" t="str">
        <f>"936"</f>
        <v>936</v>
      </c>
      <c r="G7135">
        <v>9</v>
      </c>
      <c r="H7135" t="str">
        <f t="shared" si="1581"/>
        <v>99</v>
      </c>
      <c r="I7135" t="str">
        <f>"3"</f>
        <v>3</v>
      </c>
      <c r="J7135" t="str">
        <f>"81"</f>
        <v>81</v>
      </c>
      <c r="K7135">
        <v>20190712</v>
      </c>
      <c r="L7135" t="str">
        <f>"077338"</f>
        <v>077338</v>
      </c>
      <c r="M7135" t="str">
        <f>"10087"</f>
        <v>10087</v>
      </c>
      <c r="N7135" t="s">
        <v>5602</v>
      </c>
      <c r="O7135" s="1">
        <v>7700</v>
      </c>
      <c r="P7135">
        <v>20190710</v>
      </c>
      <c r="Q7135" t="s">
        <v>5603</v>
      </c>
      <c r="R7135" t="s">
        <v>5604</v>
      </c>
      <c r="S7135" t="s">
        <v>1615</v>
      </c>
      <c r="T7135" t="s">
        <v>1713</v>
      </c>
    </row>
    <row r="7136" spans="1:20" x14ac:dyDescent="0.25">
      <c r="A7136">
        <v>9</v>
      </c>
      <c r="B7136">
        <v>199</v>
      </c>
      <c r="C7136" t="str">
        <f>"23"</f>
        <v>23</v>
      </c>
      <c r="D7136">
        <v>6649</v>
      </c>
      <c r="E7136" t="str">
        <f>"10"</f>
        <v>10</v>
      </c>
      <c r="F7136" t="str">
        <f>"001"</f>
        <v>001</v>
      </c>
      <c r="G7136">
        <v>9</v>
      </c>
      <c r="H7136" t="str">
        <f t="shared" si="1581"/>
        <v>99</v>
      </c>
      <c r="I7136" t="str">
        <f t="shared" ref="I7136:I7142" si="1583">"0"</f>
        <v>0</v>
      </c>
      <c r="J7136" t="str">
        <f>"01"</f>
        <v>01</v>
      </c>
      <c r="K7136">
        <v>20190712</v>
      </c>
      <c r="L7136" t="str">
        <f>"077339"</f>
        <v>077339</v>
      </c>
      <c r="M7136" t="str">
        <f>"00748"</f>
        <v>00748</v>
      </c>
      <c r="N7136" t="s">
        <v>5365</v>
      </c>
      <c r="O7136" s="1">
        <v>1526.59</v>
      </c>
      <c r="P7136">
        <v>20190710</v>
      </c>
      <c r="Q7136" t="s">
        <v>5605</v>
      </c>
      <c r="R7136" t="s">
        <v>5606</v>
      </c>
      <c r="S7136" t="s">
        <v>1615</v>
      </c>
      <c r="T7136" t="s">
        <v>301</v>
      </c>
    </row>
    <row r="7137" spans="1:20" x14ac:dyDescent="0.25">
      <c r="A7137">
        <v>9</v>
      </c>
      <c r="B7137">
        <v>199</v>
      </c>
      <c r="C7137" t="str">
        <f>"34"</f>
        <v>34</v>
      </c>
      <c r="D7137">
        <v>6249</v>
      </c>
      <c r="E7137" t="str">
        <f>"10"</f>
        <v>10</v>
      </c>
      <c r="F7137" t="str">
        <f>"937"</f>
        <v>937</v>
      </c>
      <c r="G7137">
        <v>9</v>
      </c>
      <c r="H7137" t="str">
        <f t="shared" si="1581"/>
        <v>99</v>
      </c>
      <c r="I7137" t="str">
        <f t="shared" si="1583"/>
        <v>0</v>
      </c>
      <c r="J7137" t="str">
        <f>"82"</f>
        <v>82</v>
      </c>
      <c r="K7137">
        <v>20190712</v>
      </c>
      <c r="L7137" t="str">
        <f>"077339"</f>
        <v>077339</v>
      </c>
      <c r="M7137" t="str">
        <f>"00748"</f>
        <v>00748</v>
      </c>
      <c r="N7137" t="s">
        <v>5365</v>
      </c>
      <c r="O7137" s="1">
        <v>3048</v>
      </c>
      <c r="P7137">
        <v>20190710</v>
      </c>
      <c r="Q7137" t="s">
        <v>2036</v>
      </c>
      <c r="R7137" t="s">
        <v>5607</v>
      </c>
      <c r="S7137" t="s">
        <v>1615</v>
      </c>
      <c r="T7137" t="s">
        <v>1810</v>
      </c>
    </row>
    <row r="7138" spans="1:20" x14ac:dyDescent="0.25">
      <c r="A7138">
        <v>9</v>
      </c>
      <c r="B7138">
        <v>199</v>
      </c>
      <c r="C7138" t="str">
        <f>"11"</f>
        <v>11</v>
      </c>
      <c r="D7138">
        <v>6399</v>
      </c>
      <c r="E7138" t="str">
        <f>"AW"</f>
        <v>AW</v>
      </c>
      <c r="F7138" t="str">
        <f>"001"</f>
        <v>001</v>
      </c>
      <c r="G7138">
        <v>9</v>
      </c>
      <c r="H7138" t="str">
        <f>"31"</f>
        <v>31</v>
      </c>
      <c r="I7138" t="str">
        <f t="shared" si="1583"/>
        <v>0</v>
      </c>
      <c r="J7138" t="str">
        <f>"34"</f>
        <v>34</v>
      </c>
      <c r="K7138">
        <v>20190712</v>
      </c>
      <c r="L7138" t="str">
        <f>"077341"</f>
        <v>077341</v>
      </c>
      <c r="M7138" t="str">
        <f>"10418"</f>
        <v>10418</v>
      </c>
      <c r="N7138" t="s">
        <v>2360</v>
      </c>
      <c r="O7138" s="1">
        <v>1035.52</v>
      </c>
      <c r="P7138">
        <v>20190710</v>
      </c>
      <c r="Q7138" t="s">
        <v>5551</v>
      </c>
      <c r="R7138" t="s">
        <v>5608</v>
      </c>
      <c r="S7138" t="s">
        <v>1615</v>
      </c>
      <c r="T7138" t="s">
        <v>301</v>
      </c>
    </row>
    <row r="7139" spans="1:20" x14ac:dyDescent="0.25">
      <c r="A7139">
        <v>9</v>
      </c>
      <c r="B7139">
        <v>199</v>
      </c>
      <c r="C7139" t="str">
        <f>"41"</f>
        <v>41</v>
      </c>
      <c r="D7139">
        <v>6211</v>
      </c>
      <c r="E7139" t="str">
        <f>"00"</f>
        <v>00</v>
      </c>
      <c r="F7139" t="str">
        <f>"875"</f>
        <v>875</v>
      </c>
      <c r="G7139">
        <v>9</v>
      </c>
      <c r="H7139" t="str">
        <f>"23"</f>
        <v>23</v>
      </c>
      <c r="I7139" t="str">
        <f t="shared" si="1583"/>
        <v>0</v>
      </c>
      <c r="J7139" t="str">
        <f>"23"</f>
        <v>23</v>
      </c>
      <c r="K7139">
        <v>20190712</v>
      </c>
      <c r="L7139" t="str">
        <f>"077345"</f>
        <v>077345</v>
      </c>
      <c r="M7139" t="str">
        <f>"13281"</f>
        <v>13281</v>
      </c>
      <c r="N7139" t="s">
        <v>1684</v>
      </c>
      <c r="O7139" s="1">
        <v>2768.19</v>
      </c>
      <c r="P7139">
        <v>20190710</v>
      </c>
      <c r="Q7139" t="s">
        <v>5609</v>
      </c>
      <c r="R7139" t="s">
        <v>5610</v>
      </c>
      <c r="S7139" t="s">
        <v>1615</v>
      </c>
      <c r="T7139" t="s">
        <v>2041</v>
      </c>
    </row>
    <row r="7140" spans="1:20" x14ac:dyDescent="0.25">
      <c r="A7140">
        <v>9</v>
      </c>
      <c r="B7140">
        <v>199</v>
      </c>
      <c r="C7140" t="str">
        <f>"41"</f>
        <v>41</v>
      </c>
      <c r="D7140">
        <v>6211</v>
      </c>
      <c r="E7140" t="str">
        <f>"01"</f>
        <v>01</v>
      </c>
      <c r="F7140" t="str">
        <f>"702"</f>
        <v>702</v>
      </c>
      <c r="G7140">
        <v>9</v>
      </c>
      <c r="H7140" t="str">
        <f t="shared" ref="H7140:H7146" si="1584">"99"</f>
        <v>99</v>
      </c>
      <c r="I7140" t="str">
        <f t="shared" si="1583"/>
        <v>0</v>
      </c>
      <c r="J7140" t="str">
        <f>"93"</f>
        <v>93</v>
      </c>
      <c r="K7140">
        <v>20190712</v>
      </c>
      <c r="L7140" t="str">
        <f>"077345"</f>
        <v>077345</v>
      </c>
      <c r="M7140" t="str">
        <f>"13281"</f>
        <v>13281</v>
      </c>
      <c r="N7140" t="s">
        <v>1684</v>
      </c>
      <c r="O7140" s="1">
        <v>3208.33</v>
      </c>
      <c r="P7140">
        <v>20190710</v>
      </c>
      <c r="Q7140" t="s">
        <v>1685</v>
      </c>
      <c r="R7140" t="s">
        <v>5611</v>
      </c>
      <c r="S7140" t="s">
        <v>1615</v>
      </c>
      <c r="T7140" t="s">
        <v>1611</v>
      </c>
    </row>
    <row r="7141" spans="1:20" x14ac:dyDescent="0.25">
      <c r="A7141">
        <v>9</v>
      </c>
      <c r="B7141">
        <v>199</v>
      </c>
      <c r="C7141" t="str">
        <f>"41"</f>
        <v>41</v>
      </c>
      <c r="D7141">
        <v>6211</v>
      </c>
      <c r="E7141" t="str">
        <f>"02"</f>
        <v>02</v>
      </c>
      <c r="F7141" t="str">
        <f>"702"</f>
        <v>702</v>
      </c>
      <c r="G7141">
        <v>9</v>
      </c>
      <c r="H7141" t="str">
        <f t="shared" si="1584"/>
        <v>99</v>
      </c>
      <c r="I7141" t="str">
        <f t="shared" si="1583"/>
        <v>0</v>
      </c>
      <c r="J7141" t="str">
        <f>"93"</f>
        <v>93</v>
      </c>
      <c r="K7141">
        <v>20190712</v>
      </c>
      <c r="L7141" t="str">
        <f>"077345"</f>
        <v>077345</v>
      </c>
      <c r="M7141" t="str">
        <f>"13281"</f>
        <v>13281</v>
      </c>
      <c r="N7141" t="s">
        <v>1684</v>
      </c>
      <c r="O7141" s="1">
        <v>1500</v>
      </c>
      <c r="P7141">
        <v>20190710</v>
      </c>
      <c r="Q7141" t="s">
        <v>2473</v>
      </c>
      <c r="R7141" t="s">
        <v>5612</v>
      </c>
      <c r="S7141" t="s">
        <v>1615</v>
      </c>
      <c r="T7141" t="s">
        <v>1611</v>
      </c>
    </row>
    <row r="7142" spans="1:20" x14ac:dyDescent="0.25">
      <c r="A7142">
        <v>9</v>
      </c>
      <c r="B7142">
        <v>199</v>
      </c>
      <c r="C7142" t="str">
        <f>"41"</f>
        <v>41</v>
      </c>
      <c r="D7142">
        <v>6211</v>
      </c>
      <c r="E7142" t="str">
        <f>"02"</f>
        <v>02</v>
      </c>
      <c r="F7142" t="str">
        <f>"702"</f>
        <v>702</v>
      </c>
      <c r="G7142">
        <v>9</v>
      </c>
      <c r="H7142" t="str">
        <f t="shared" si="1584"/>
        <v>99</v>
      </c>
      <c r="I7142" t="str">
        <f t="shared" si="1583"/>
        <v>0</v>
      </c>
      <c r="J7142" t="str">
        <f>"93"</f>
        <v>93</v>
      </c>
      <c r="K7142">
        <v>20190712</v>
      </c>
      <c r="L7142" t="str">
        <f>"077345"</f>
        <v>077345</v>
      </c>
      <c r="M7142" t="str">
        <f>"13281"</f>
        <v>13281</v>
      </c>
      <c r="N7142" t="s">
        <v>1684</v>
      </c>
      <c r="O7142" s="1">
        <v>1844.99</v>
      </c>
      <c r="P7142">
        <v>20190710</v>
      </c>
      <c r="Q7142" t="s">
        <v>2473</v>
      </c>
      <c r="R7142" t="s">
        <v>5612</v>
      </c>
      <c r="S7142" t="s">
        <v>1615</v>
      </c>
      <c r="T7142" t="s">
        <v>1611</v>
      </c>
    </row>
    <row r="7143" spans="1:20" x14ac:dyDescent="0.25">
      <c r="A7143">
        <v>9</v>
      </c>
      <c r="B7143">
        <v>199</v>
      </c>
      <c r="C7143" t="str">
        <f>"51"</f>
        <v>51</v>
      </c>
      <c r="D7143">
        <v>6254</v>
      </c>
      <c r="E7143" t="str">
        <f>"ME"</f>
        <v>ME</v>
      </c>
      <c r="F7143" t="str">
        <f>"936"</f>
        <v>936</v>
      </c>
      <c r="G7143">
        <v>9</v>
      </c>
      <c r="H7143" t="str">
        <f t="shared" si="1584"/>
        <v>99</v>
      </c>
      <c r="I7143" t="str">
        <f>"1"</f>
        <v>1</v>
      </c>
      <c r="J7143" t="str">
        <f>"73"</f>
        <v>73</v>
      </c>
      <c r="K7143">
        <v>20190712</v>
      </c>
      <c r="L7143" t="str">
        <f>"077346"</f>
        <v>077346</v>
      </c>
      <c r="M7143" t="str">
        <f>"19310"</f>
        <v>19310</v>
      </c>
      <c r="N7143" t="s">
        <v>1689</v>
      </c>
      <c r="O7143" s="1">
        <v>3923.03</v>
      </c>
      <c r="P7143">
        <v>20190710</v>
      </c>
      <c r="Q7143" t="s">
        <v>1891</v>
      </c>
      <c r="R7143" t="s">
        <v>5613</v>
      </c>
      <c r="S7143" t="s">
        <v>1615</v>
      </c>
      <c r="T7143" t="s">
        <v>1713</v>
      </c>
    </row>
    <row r="7144" spans="1:20" x14ac:dyDescent="0.25">
      <c r="A7144">
        <v>9</v>
      </c>
      <c r="B7144">
        <v>199</v>
      </c>
      <c r="C7144" t="str">
        <f>"51"</f>
        <v>51</v>
      </c>
      <c r="D7144">
        <v>6254</v>
      </c>
      <c r="E7144" t="str">
        <f>"ME"</f>
        <v>ME</v>
      </c>
      <c r="F7144" t="str">
        <f>"936"</f>
        <v>936</v>
      </c>
      <c r="G7144">
        <v>9</v>
      </c>
      <c r="H7144" t="str">
        <f t="shared" si="1584"/>
        <v>99</v>
      </c>
      <c r="I7144" t="str">
        <f>"1"</f>
        <v>1</v>
      </c>
      <c r="J7144" t="str">
        <f>"73"</f>
        <v>73</v>
      </c>
      <c r="K7144">
        <v>20190712</v>
      </c>
      <c r="L7144" t="str">
        <f>"077346"</f>
        <v>077346</v>
      </c>
      <c r="M7144" t="str">
        <f>"19310"</f>
        <v>19310</v>
      </c>
      <c r="N7144" t="s">
        <v>1689</v>
      </c>
      <c r="O7144">
        <v>321.02999999999997</v>
      </c>
      <c r="P7144">
        <v>20190710</v>
      </c>
      <c r="Q7144" t="s">
        <v>1891</v>
      </c>
      <c r="R7144" t="s">
        <v>5614</v>
      </c>
      <c r="S7144" t="s">
        <v>1615</v>
      </c>
      <c r="T7144" t="s">
        <v>1713</v>
      </c>
    </row>
    <row r="7145" spans="1:20" x14ac:dyDescent="0.25">
      <c r="A7145">
        <v>9</v>
      </c>
      <c r="B7145">
        <v>199</v>
      </c>
      <c r="C7145" t="str">
        <f>"34"</f>
        <v>34</v>
      </c>
      <c r="D7145">
        <v>6249</v>
      </c>
      <c r="E7145" t="str">
        <f>"10"</f>
        <v>10</v>
      </c>
      <c r="F7145" t="str">
        <f>"937"</f>
        <v>937</v>
      </c>
      <c r="G7145">
        <v>9</v>
      </c>
      <c r="H7145" t="str">
        <f t="shared" si="1584"/>
        <v>99</v>
      </c>
      <c r="I7145" t="str">
        <f>"0"</f>
        <v>0</v>
      </c>
      <c r="J7145" t="str">
        <f>"82"</f>
        <v>82</v>
      </c>
      <c r="K7145">
        <v>20190712</v>
      </c>
      <c r="L7145" t="str">
        <f>"077347"</f>
        <v>077347</v>
      </c>
      <c r="M7145" t="str">
        <f>"21842"</f>
        <v>21842</v>
      </c>
      <c r="N7145" t="s">
        <v>2576</v>
      </c>
      <c r="O7145">
        <v>218.85</v>
      </c>
      <c r="P7145">
        <v>20190710</v>
      </c>
      <c r="Q7145" t="s">
        <v>2036</v>
      </c>
      <c r="R7145" t="s">
        <v>2992</v>
      </c>
      <c r="S7145" t="s">
        <v>1615</v>
      </c>
      <c r="T7145" t="s">
        <v>1810</v>
      </c>
    </row>
    <row r="7146" spans="1:20" x14ac:dyDescent="0.25">
      <c r="A7146">
        <v>9</v>
      </c>
      <c r="B7146">
        <v>199</v>
      </c>
      <c r="C7146" t="str">
        <f>"34"</f>
        <v>34</v>
      </c>
      <c r="D7146">
        <v>6249</v>
      </c>
      <c r="E7146" t="str">
        <f>"10"</f>
        <v>10</v>
      </c>
      <c r="F7146" t="str">
        <f>"937"</f>
        <v>937</v>
      </c>
      <c r="G7146">
        <v>9</v>
      </c>
      <c r="H7146" t="str">
        <f t="shared" si="1584"/>
        <v>99</v>
      </c>
      <c r="I7146" t="str">
        <f>"0"</f>
        <v>0</v>
      </c>
      <c r="J7146" t="str">
        <f>"82"</f>
        <v>82</v>
      </c>
      <c r="K7146">
        <v>20190712</v>
      </c>
      <c r="L7146" t="str">
        <f>"077347"</f>
        <v>077347</v>
      </c>
      <c r="M7146" t="str">
        <f>"21842"</f>
        <v>21842</v>
      </c>
      <c r="N7146" t="s">
        <v>2576</v>
      </c>
      <c r="O7146">
        <v>94.94</v>
      </c>
      <c r="P7146">
        <v>20190710</v>
      </c>
      <c r="Q7146" t="s">
        <v>2036</v>
      </c>
      <c r="R7146" t="s">
        <v>2578</v>
      </c>
      <c r="S7146" t="s">
        <v>1615</v>
      </c>
      <c r="T7146" t="s">
        <v>1810</v>
      </c>
    </row>
    <row r="7147" spans="1:20" x14ac:dyDescent="0.25">
      <c r="A7147">
        <v>9</v>
      </c>
      <c r="B7147">
        <v>199</v>
      </c>
      <c r="C7147" t="str">
        <f>"11"</f>
        <v>11</v>
      </c>
      <c r="D7147">
        <v>6399</v>
      </c>
      <c r="E7147" t="str">
        <f>"45"</f>
        <v>45</v>
      </c>
      <c r="F7147" t="str">
        <f>"101"</f>
        <v>101</v>
      </c>
      <c r="G7147">
        <v>9</v>
      </c>
      <c r="H7147" t="str">
        <f>"11"</f>
        <v>11</v>
      </c>
      <c r="I7147" t="str">
        <f>"0"</f>
        <v>0</v>
      </c>
      <c r="J7147" t="str">
        <f>"04"</f>
        <v>04</v>
      </c>
      <c r="K7147">
        <v>20190712</v>
      </c>
      <c r="L7147" t="str">
        <f t="shared" ref="L7147:L7160" si="1585">"077348"</f>
        <v>077348</v>
      </c>
      <c r="M7147" t="str">
        <f t="shared" ref="M7147:M7160" si="1586">"14821"</f>
        <v>14821</v>
      </c>
      <c r="N7147" t="s">
        <v>1224</v>
      </c>
      <c r="O7147" s="1">
        <v>1566.5</v>
      </c>
      <c r="P7147">
        <v>20190710</v>
      </c>
      <c r="Q7147" t="s">
        <v>1859</v>
      </c>
      <c r="R7147" t="s">
        <v>1225</v>
      </c>
      <c r="S7147" t="s">
        <v>1615</v>
      </c>
      <c r="T7147" t="s">
        <v>1479</v>
      </c>
    </row>
    <row r="7148" spans="1:20" x14ac:dyDescent="0.25">
      <c r="A7148">
        <v>9</v>
      </c>
      <c r="B7148">
        <v>199</v>
      </c>
      <c r="C7148" t="str">
        <f>"11"</f>
        <v>11</v>
      </c>
      <c r="D7148">
        <v>6399</v>
      </c>
      <c r="E7148" t="str">
        <f>"45"</f>
        <v>45</v>
      </c>
      <c r="F7148" t="str">
        <f>"101"</f>
        <v>101</v>
      </c>
      <c r="G7148">
        <v>9</v>
      </c>
      <c r="H7148" t="str">
        <f>"11"</f>
        <v>11</v>
      </c>
      <c r="I7148" t="str">
        <f>"0"</f>
        <v>0</v>
      </c>
      <c r="J7148" t="str">
        <f>"04"</f>
        <v>04</v>
      </c>
      <c r="K7148">
        <v>20190712</v>
      </c>
      <c r="L7148" t="str">
        <f t="shared" si="1585"/>
        <v>077348</v>
      </c>
      <c r="M7148" t="str">
        <f t="shared" si="1586"/>
        <v>14821</v>
      </c>
      <c r="N7148" t="s">
        <v>1224</v>
      </c>
      <c r="O7148">
        <v>93.99</v>
      </c>
      <c r="P7148">
        <v>20190710</v>
      </c>
      <c r="Q7148" t="s">
        <v>1859</v>
      </c>
      <c r="R7148" t="s">
        <v>1225</v>
      </c>
      <c r="S7148" t="s">
        <v>1615</v>
      </c>
      <c r="T7148" t="s">
        <v>1479</v>
      </c>
    </row>
    <row r="7149" spans="1:20" x14ac:dyDescent="0.25">
      <c r="A7149">
        <v>9</v>
      </c>
      <c r="B7149">
        <v>199</v>
      </c>
      <c r="C7149" t="str">
        <f>"21"</f>
        <v>21</v>
      </c>
      <c r="D7149">
        <v>6399</v>
      </c>
      <c r="E7149" t="str">
        <f>"00"</f>
        <v>00</v>
      </c>
      <c r="F7149" t="str">
        <f>"875"</f>
        <v>875</v>
      </c>
      <c r="G7149">
        <v>9</v>
      </c>
      <c r="H7149" t="str">
        <f>"23"</f>
        <v>23</v>
      </c>
      <c r="I7149" t="str">
        <f>"0"</f>
        <v>0</v>
      </c>
      <c r="J7149" t="str">
        <f>"23"</f>
        <v>23</v>
      </c>
      <c r="K7149">
        <v>20190712</v>
      </c>
      <c r="L7149" t="str">
        <f t="shared" si="1585"/>
        <v>077348</v>
      </c>
      <c r="M7149" t="str">
        <f t="shared" si="1586"/>
        <v>14821</v>
      </c>
      <c r="N7149" t="s">
        <v>1224</v>
      </c>
      <c r="O7149">
        <v>313.3</v>
      </c>
      <c r="P7149">
        <v>20190710</v>
      </c>
      <c r="Q7149" t="s">
        <v>2039</v>
      </c>
      <c r="R7149" t="s">
        <v>1225</v>
      </c>
      <c r="S7149" t="s">
        <v>1615</v>
      </c>
      <c r="T7149" t="s">
        <v>2041</v>
      </c>
    </row>
    <row r="7150" spans="1:20" x14ac:dyDescent="0.25">
      <c r="A7150">
        <v>9</v>
      </c>
      <c r="B7150">
        <v>199</v>
      </c>
      <c r="C7150" t="str">
        <f t="shared" ref="C7150:C7158" si="1587">"36"</f>
        <v>36</v>
      </c>
      <c r="D7150">
        <v>6412</v>
      </c>
      <c r="E7150" t="str">
        <f>"7B"</f>
        <v>7B</v>
      </c>
      <c r="F7150" t="str">
        <f t="shared" ref="F7150:F7158" si="1588">"001"</f>
        <v>001</v>
      </c>
      <c r="G7150">
        <v>9</v>
      </c>
      <c r="H7150" t="str">
        <f t="shared" ref="H7150:H7160" si="1589">"99"</f>
        <v>99</v>
      </c>
      <c r="I7150" t="str">
        <f>"1"</f>
        <v>1</v>
      </c>
      <c r="J7150" t="str">
        <f>"32"</f>
        <v>32</v>
      </c>
      <c r="K7150">
        <v>20190712</v>
      </c>
      <c r="L7150" t="str">
        <f t="shared" si="1585"/>
        <v>077348</v>
      </c>
      <c r="M7150" t="str">
        <f t="shared" si="1586"/>
        <v>14821</v>
      </c>
      <c r="N7150" t="s">
        <v>1224</v>
      </c>
      <c r="O7150">
        <v>267.95999999999998</v>
      </c>
      <c r="P7150">
        <v>20190710</v>
      </c>
      <c r="Q7150" t="s">
        <v>1696</v>
      </c>
      <c r="R7150" t="s">
        <v>5615</v>
      </c>
      <c r="S7150" t="s">
        <v>1615</v>
      </c>
      <c r="T7150" t="s">
        <v>301</v>
      </c>
    </row>
    <row r="7151" spans="1:20" x14ac:dyDescent="0.25">
      <c r="A7151">
        <v>9</v>
      </c>
      <c r="B7151">
        <v>199</v>
      </c>
      <c r="C7151" t="str">
        <f t="shared" si="1587"/>
        <v>36</v>
      </c>
      <c r="D7151">
        <v>6412</v>
      </c>
      <c r="E7151" t="str">
        <f>"7B"</f>
        <v>7B</v>
      </c>
      <c r="F7151" t="str">
        <f t="shared" si="1588"/>
        <v>001</v>
      </c>
      <c r="G7151">
        <v>9</v>
      </c>
      <c r="H7151" t="str">
        <f t="shared" si="1589"/>
        <v>99</v>
      </c>
      <c r="I7151" t="str">
        <f>"1"</f>
        <v>1</v>
      </c>
      <c r="J7151" t="str">
        <f>"32"</f>
        <v>32</v>
      </c>
      <c r="K7151">
        <v>20190712</v>
      </c>
      <c r="L7151" t="str">
        <f t="shared" si="1585"/>
        <v>077348</v>
      </c>
      <c r="M7151" t="str">
        <f t="shared" si="1586"/>
        <v>14821</v>
      </c>
      <c r="N7151" t="s">
        <v>1224</v>
      </c>
      <c r="O7151" s="1">
        <v>1429.75</v>
      </c>
      <c r="P7151">
        <v>20190710</v>
      </c>
      <c r="Q7151" t="s">
        <v>1696</v>
      </c>
      <c r="R7151" t="s">
        <v>5616</v>
      </c>
      <c r="S7151" t="s">
        <v>1615</v>
      </c>
      <c r="T7151" t="s">
        <v>301</v>
      </c>
    </row>
    <row r="7152" spans="1:20" x14ac:dyDescent="0.25">
      <c r="A7152">
        <v>9</v>
      </c>
      <c r="B7152">
        <v>199</v>
      </c>
      <c r="C7152" t="str">
        <f t="shared" si="1587"/>
        <v>36</v>
      </c>
      <c r="D7152">
        <v>6412</v>
      </c>
      <c r="E7152" t="str">
        <f>"7B"</f>
        <v>7B</v>
      </c>
      <c r="F7152" t="str">
        <f t="shared" si="1588"/>
        <v>001</v>
      </c>
      <c r="G7152">
        <v>9</v>
      </c>
      <c r="H7152" t="str">
        <f t="shared" si="1589"/>
        <v>99</v>
      </c>
      <c r="I7152" t="str">
        <f>"1"</f>
        <v>1</v>
      </c>
      <c r="J7152" t="str">
        <f>"32"</f>
        <v>32</v>
      </c>
      <c r="K7152">
        <v>20190712</v>
      </c>
      <c r="L7152" t="str">
        <f t="shared" si="1585"/>
        <v>077348</v>
      </c>
      <c r="M7152" t="str">
        <f t="shared" si="1586"/>
        <v>14821</v>
      </c>
      <c r="N7152" t="s">
        <v>1224</v>
      </c>
      <c r="O7152">
        <v>75.25</v>
      </c>
      <c r="P7152">
        <v>20190710</v>
      </c>
      <c r="Q7152" t="s">
        <v>1696</v>
      </c>
      <c r="R7152" t="s">
        <v>5616</v>
      </c>
      <c r="S7152" t="s">
        <v>1615</v>
      </c>
      <c r="T7152" t="s">
        <v>301</v>
      </c>
    </row>
    <row r="7153" spans="1:20" x14ac:dyDescent="0.25">
      <c r="A7153">
        <v>9</v>
      </c>
      <c r="B7153">
        <v>199</v>
      </c>
      <c r="C7153" t="str">
        <f t="shared" si="1587"/>
        <v>36</v>
      </c>
      <c r="D7153">
        <v>6412</v>
      </c>
      <c r="E7153" t="str">
        <f>"7C"</f>
        <v>7C</v>
      </c>
      <c r="F7153" t="str">
        <f t="shared" si="1588"/>
        <v>001</v>
      </c>
      <c r="G7153">
        <v>9</v>
      </c>
      <c r="H7153" t="str">
        <f t="shared" si="1589"/>
        <v>99</v>
      </c>
      <c r="I7153" t="str">
        <f>"0"</f>
        <v>0</v>
      </c>
      <c r="J7153" t="str">
        <f>"01"</f>
        <v>01</v>
      </c>
      <c r="K7153">
        <v>20190712</v>
      </c>
      <c r="L7153" t="str">
        <f t="shared" si="1585"/>
        <v>077348</v>
      </c>
      <c r="M7153" t="str">
        <f t="shared" si="1586"/>
        <v>14821</v>
      </c>
      <c r="N7153" t="s">
        <v>1224</v>
      </c>
      <c r="O7153">
        <v>267.95999999999998</v>
      </c>
      <c r="P7153">
        <v>20190710</v>
      </c>
      <c r="Q7153" t="s">
        <v>1734</v>
      </c>
      <c r="R7153" t="s">
        <v>5615</v>
      </c>
      <c r="S7153" t="s">
        <v>1615</v>
      </c>
      <c r="T7153" t="s">
        <v>301</v>
      </c>
    </row>
    <row r="7154" spans="1:20" x14ac:dyDescent="0.25">
      <c r="A7154">
        <v>9</v>
      </c>
      <c r="B7154">
        <v>199</v>
      </c>
      <c r="C7154" t="str">
        <f t="shared" si="1587"/>
        <v>36</v>
      </c>
      <c r="D7154">
        <v>6412</v>
      </c>
      <c r="E7154" t="str">
        <f>"7C"</f>
        <v>7C</v>
      </c>
      <c r="F7154" t="str">
        <f t="shared" si="1588"/>
        <v>001</v>
      </c>
      <c r="G7154">
        <v>9</v>
      </c>
      <c r="H7154" t="str">
        <f t="shared" si="1589"/>
        <v>99</v>
      </c>
      <c r="I7154" t="str">
        <f>"0"</f>
        <v>0</v>
      </c>
      <c r="J7154" t="str">
        <f>"01"</f>
        <v>01</v>
      </c>
      <c r="K7154">
        <v>20190712</v>
      </c>
      <c r="L7154" t="str">
        <f t="shared" si="1585"/>
        <v>077348</v>
      </c>
      <c r="M7154" t="str">
        <f t="shared" si="1586"/>
        <v>14821</v>
      </c>
      <c r="N7154" t="s">
        <v>1224</v>
      </c>
      <c r="O7154">
        <v>195.65</v>
      </c>
      <c r="P7154">
        <v>20190710</v>
      </c>
      <c r="Q7154" t="s">
        <v>1734</v>
      </c>
      <c r="R7154" t="s">
        <v>5616</v>
      </c>
      <c r="S7154" t="s">
        <v>1615</v>
      </c>
      <c r="T7154" t="s">
        <v>301</v>
      </c>
    </row>
    <row r="7155" spans="1:20" x14ac:dyDescent="0.25">
      <c r="A7155">
        <v>9</v>
      </c>
      <c r="B7155">
        <v>199</v>
      </c>
      <c r="C7155" t="str">
        <f t="shared" si="1587"/>
        <v>36</v>
      </c>
      <c r="D7155">
        <v>6412</v>
      </c>
      <c r="E7155" t="str">
        <f>"7E"</f>
        <v>7E</v>
      </c>
      <c r="F7155" t="str">
        <f t="shared" si="1588"/>
        <v>001</v>
      </c>
      <c r="G7155">
        <v>9</v>
      </c>
      <c r="H7155" t="str">
        <f t="shared" si="1589"/>
        <v>99</v>
      </c>
      <c r="I7155" t="str">
        <f>"1"</f>
        <v>1</v>
      </c>
      <c r="J7155" t="str">
        <f>"31"</f>
        <v>31</v>
      </c>
      <c r="K7155">
        <v>20190712</v>
      </c>
      <c r="L7155" t="str">
        <f t="shared" si="1585"/>
        <v>077348</v>
      </c>
      <c r="M7155" t="str">
        <f t="shared" si="1586"/>
        <v>14821</v>
      </c>
      <c r="N7155" t="s">
        <v>1224</v>
      </c>
      <c r="O7155">
        <v>535.91999999999996</v>
      </c>
      <c r="P7155">
        <v>20190710</v>
      </c>
      <c r="Q7155" t="s">
        <v>2312</v>
      </c>
      <c r="R7155" t="s">
        <v>5615</v>
      </c>
      <c r="S7155" t="s">
        <v>1615</v>
      </c>
      <c r="T7155" t="s">
        <v>301</v>
      </c>
    </row>
    <row r="7156" spans="1:20" x14ac:dyDescent="0.25">
      <c r="A7156">
        <v>9</v>
      </c>
      <c r="B7156">
        <v>199</v>
      </c>
      <c r="C7156" t="str">
        <f t="shared" si="1587"/>
        <v>36</v>
      </c>
      <c r="D7156">
        <v>6412</v>
      </c>
      <c r="E7156" t="str">
        <f>"7E"</f>
        <v>7E</v>
      </c>
      <c r="F7156" t="str">
        <f t="shared" si="1588"/>
        <v>001</v>
      </c>
      <c r="G7156">
        <v>9</v>
      </c>
      <c r="H7156" t="str">
        <f t="shared" si="1589"/>
        <v>99</v>
      </c>
      <c r="I7156" t="str">
        <f>"1"</f>
        <v>1</v>
      </c>
      <c r="J7156" t="str">
        <f>"31"</f>
        <v>31</v>
      </c>
      <c r="K7156">
        <v>20190712</v>
      </c>
      <c r="L7156" t="str">
        <f t="shared" si="1585"/>
        <v>077348</v>
      </c>
      <c r="M7156" t="str">
        <f t="shared" si="1586"/>
        <v>14821</v>
      </c>
      <c r="N7156" t="s">
        <v>1224</v>
      </c>
      <c r="O7156">
        <v>535.91999999999996</v>
      </c>
      <c r="P7156">
        <v>20190710</v>
      </c>
      <c r="Q7156" t="s">
        <v>2312</v>
      </c>
      <c r="R7156" t="s">
        <v>5615</v>
      </c>
      <c r="S7156" t="s">
        <v>1615</v>
      </c>
      <c r="T7156" t="s">
        <v>301</v>
      </c>
    </row>
    <row r="7157" spans="1:20" x14ac:dyDescent="0.25">
      <c r="A7157">
        <v>9</v>
      </c>
      <c r="B7157">
        <v>199</v>
      </c>
      <c r="C7157" t="str">
        <f t="shared" si="1587"/>
        <v>36</v>
      </c>
      <c r="D7157">
        <v>6412</v>
      </c>
      <c r="E7157" t="str">
        <f>"8M"</f>
        <v>8M</v>
      </c>
      <c r="F7157" t="str">
        <f t="shared" si="1588"/>
        <v>001</v>
      </c>
      <c r="G7157">
        <v>9</v>
      </c>
      <c r="H7157" t="str">
        <f t="shared" si="1589"/>
        <v>99</v>
      </c>
      <c r="I7157" t="str">
        <f>"1"</f>
        <v>1</v>
      </c>
      <c r="J7157" t="str">
        <f>"33"</f>
        <v>33</v>
      </c>
      <c r="K7157">
        <v>20190712</v>
      </c>
      <c r="L7157" t="str">
        <f t="shared" si="1585"/>
        <v>077348</v>
      </c>
      <c r="M7157" t="str">
        <f t="shared" si="1586"/>
        <v>14821</v>
      </c>
      <c r="N7157" t="s">
        <v>1224</v>
      </c>
      <c r="O7157">
        <v>948.15</v>
      </c>
      <c r="P7157">
        <v>20190710</v>
      </c>
      <c r="Q7157" t="s">
        <v>1629</v>
      </c>
      <c r="R7157" t="s">
        <v>5616</v>
      </c>
      <c r="S7157" t="s">
        <v>1615</v>
      </c>
      <c r="T7157" t="s">
        <v>301</v>
      </c>
    </row>
    <row r="7158" spans="1:20" x14ac:dyDescent="0.25">
      <c r="A7158">
        <v>9</v>
      </c>
      <c r="B7158">
        <v>199</v>
      </c>
      <c r="C7158" t="str">
        <f t="shared" si="1587"/>
        <v>36</v>
      </c>
      <c r="D7158">
        <v>6412</v>
      </c>
      <c r="E7158" t="str">
        <f>"8M"</f>
        <v>8M</v>
      </c>
      <c r="F7158" t="str">
        <f t="shared" si="1588"/>
        <v>001</v>
      </c>
      <c r="G7158">
        <v>9</v>
      </c>
      <c r="H7158" t="str">
        <f t="shared" si="1589"/>
        <v>99</v>
      </c>
      <c r="I7158" t="str">
        <f>"1"</f>
        <v>1</v>
      </c>
      <c r="J7158" t="str">
        <f>"33"</f>
        <v>33</v>
      </c>
      <c r="K7158">
        <v>20190712</v>
      </c>
      <c r="L7158" t="str">
        <f t="shared" si="1585"/>
        <v>077348</v>
      </c>
      <c r="M7158" t="str">
        <f t="shared" si="1586"/>
        <v>14821</v>
      </c>
      <c r="N7158" t="s">
        <v>1224</v>
      </c>
      <c r="O7158">
        <v>120.4</v>
      </c>
      <c r="P7158">
        <v>20190710</v>
      </c>
      <c r="Q7158" t="s">
        <v>1629</v>
      </c>
      <c r="R7158" t="s">
        <v>5616</v>
      </c>
      <c r="S7158" t="s">
        <v>1615</v>
      </c>
      <c r="T7158" t="s">
        <v>301</v>
      </c>
    </row>
    <row r="7159" spans="1:20" x14ac:dyDescent="0.25">
      <c r="A7159">
        <v>9</v>
      </c>
      <c r="B7159">
        <v>199</v>
      </c>
      <c r="C7159" t="str">
        <f>"41"</f>
        <v>41</v>
      </c>
      <c r="D7159">
        <v>6399</v>
      </c>
      <c r="E7159" t="str">
        <f>"10"</f>
        <v>10</v>
      </c>
      <c r="F7159" t="str">
        <f>"720"</f>
        <v>720</v>
      </c>
      <c r="G7159">
        <v>9</v>
      </c>
      <c r="H7159" t="str">
        <f t="shared" si="1589"/>
        <v>99</v>
      </c>
      <c r="I7159" t="str">
        <f t="shared" ref="I7159:I7197" si="1590">"0"</f>
        <v>0</v>
      </c>
      <c r="J7159" t="str">
        <f>"91"</f>
        <v>91</v>
      </c>
      <c r="K7159">
        <v>20190712</v>
      </c>
      <c r="L7159" t="str">
        <f t="shared" si="1585"/>
        <v>077348</v>
      </c>
      <c r="M7159" t="str">
        <f t="shared" si="1586"/>
        <v>14821</v>
      </c>
      <c r="N7159" t="s">
        <v>1224</v>
      </c>
      <c r="O7159">
        <v>304.5</v>
      </c>
      <c r="P7159">
        <v>20190710</v>
      </c>
      <c r="Q7159" t="s">
        <v>2132</v>
      </c>
      <c r="R7159" t="s">
        <v>1225</v>
      </c>
      <c r="S7159" t="s">
        <v>1615</v>
      </c>
      <c r="T7159" t="s">
        <v>2045</v>
      </c>
    </row>
    <row r="7160" spans="1:20" x14ac:dyDescent="0.25">
      <c r="A7160">
        <v>9</v>
      </c>
      <c r="B7160">
        <v>199</v>
      </c>
      <c r="C7160" t="str">
        <f>"41"</f>
        <v>41</v>
      </c>
      <c r="D7160">
        <v>6399</v>
      </c>
      <c r="E7160" t="str">
        <f>"10"</f>
        <v>10</v>
      </c>
      <c r="F7160" t="str">
        <f>"726"</f>
        <v>726</v>
      </c>
      <c r="G7160">
        <v>9</v>
      </c>
      <c r="H7160" t="str">
        <f t="shared" si="1589"/>
        <v>99</v>
      </c>
      <c r="I7160" t="str">
        <f t="shared" si="1590"/>
        <v>0</v>
      </c>
      <c r="J7160" t="str">
        <f>"91"</f>
        <v>91</v>
      </c>
      <c r="K7160">
        <v>20190712</v>
      </c>
      <c r="L7160" t="str">
        <f t="shared" si="1585"/>
        <v>077348</v>
      </c>
      <c r="M7160" t="str">
        <f t="shared" si="1586"/>
        <v>14821</v>
      </c>
      <c r="N7160" t="s">
        <v>1224</v>
      </c>
      <c r="O7160">
        <v>8.8000000000000007</v>
      </c>
      <c r="P7160">
        <v>20190710</v>
      </c>
      <c r="Q7160" t="s">
        <v>2702</v>
      </c>
      <c r="R7160" t="s">
        <v>1225</v>
      </c>
      <c r="S7160" t="s">
        <v>1615</v>
      </c>
      <c r="T7160" t="s">
        <v>2608</v>
      </c>
    </row>
    <row r="7161" spans="1:20" x14ac:dyDescent="0.25">
      <c r="A7161">
        <v>9</v>
      </c>
      <c r="B7161">
        <v>199</v>
      </c>
      <c r="C7161" t="str">
        <f>"11"</f>
        <v>11</v>
      </c>
      <c r="D7161">
        <v>6399</v>
      </c>
      <c r="E7161" t="str">
        <f>"8U"</f>
        <v>8U</v>
      </c>
      <c r="F7161" t="str">
        <f>"041"</f>
        <v>041</v>
      </c>
      <c r="G7161">
        <v>9</v>
      </c>
      <c r="H7161" t="str">
        <f>"11"</f>
        <v>11</v>
      </c>
      <c r="I7161" t="str">
        <f t="shared" si="1590"/>
        <v>0</v>
      </c>
      <c r="J7161" t="str">
        <f>"03"</f>
        <v>03</v>
      </c>
      <c r="K7161">
        <v>20190712</v>
      </c>
      <c r="L7161" t="str">
        <f>"077349"</f>
        <v>077349</v>
      </c>
      <c r="M7161" t="str">
        <f>"16807"</f>
        <v>16807</v>
      </c>
      <c r="N7161" t="s">
        <v>1581</v>
      </c>
      <c r="O7161" s="1">
        <v>2745</v>
      </c>
      <c r="P7161">
        <v>20190710</v>
      </c>
      <c r="Q7161" t="s">
        <v>2229</v>
      </c>
      <c r="R7161" t="s">
        <v>3625</v>
      </c>
      <c r="S7161" t="s">
        <v>1615</v>
      </c>
      <c r="T7161" t="s">
        <v>106</v>
      </c>
    </row>
    <row r="7162" spans="1:20" x14ac:dyDescent="0.25">
      <c r="A7162">
        <v>9</v>
      </c>
      <c r="B7162">
        <v>199</v>
      </c>
      <c r="C7162" t="str">
        <f>"11"</f>
        <v>11</v>
      </c>
      <c r="D7162">
        <v>6649</v>
      </c>
      <c r="E7162" t="str">
        <f t="shared" ref="E7162:E7171" si="1591">"10"</f>
        <v>10</v>
      </c>
      <c r="F7162" t="str">
        <f>"001"</f>
        <v>001</v>
      </c>
      <c r="G7162">
        <v>9</v>
      </c>
      <c r="H7162" t="str">
        <f>"11"</f>
        <v>11</v>
      </c>
      <c r="I7162" t="str">
        <f t="shared" si="1590"/>
        <v>0</v>
      </c>
      <c r="J7162" t="str">
        <f>"01"</f>
        <v>01</v>
      </c>
      <c r="K7162">
        <v>20190712</v>
      </c>
      <c r="L7162" t="str">
        <f>"077349"</f>
        <v>077349</v>
      </c>
      <c r="M7162" t="str">
        <f>"16807"</f>
        <v>16807</v>
      </c>
      <c r="N7162" t="s">
        <v>1581</v>
      </c>
      <c r="O7162" s="1">
        <v>7938.3</v>
      </c>
      <c r="P7162">
        <v>20190710</v>
      </c>
      <c r="Q7162" t="s">
        <v>5617</v>
      </c>
      <c r="R7162" t="s">
        <v>1583</v>
      </c>
      <c r="S7162" t="s">
        <v>1615</v>
      </c>
      <c r="T7162" t="s">
        <v>301</v>
      </c>
    </row>
    <row r="7163" spans="1:20" x14ac:dyDescent="0.25">
      <c r="A7163">
        <v>9</v>
      </c>
      <c r="B7163">
        <v>199</v>
      </c>
      <c r="C7163" t="str">
        <f>"11"</f>
        <v>11</v>
      </c>
      <c r="D7163">
        <v>6649</v>
      </c>
      <c r="E7163" t="str">
        <f t="shared" si="1591"/>
        <v>10</v>
      </c>
      <c r="F7163" t="str">
        <f>"001"</f>
        <v>001</v>
      </c>
      <c r="G7163">
        <v>9</v>
      </c>
      <c r="H7163" t="str">
        <f>"11"</f>
        <v>11</v>
      </c>
      <c r="I7163" t="str">
        <f t="shared" si="1590"/>
        <v>0</v>
      </c>
      <c r="J7163" t="str">
        <f>"01"</f>
        <v>01</v>
      </c>
      <c r="K7163">
        <v>20190712</v>
      </c>
      <c r="L7163" t="str">
        <f>"077349"</f>
        <v>077349</v>
      </c>
      <c r="M7163" t="str">
        <f>"16807"</f>
        <v>16807</v>
      </c>
      <c r="N7163" t="s">
        <v>1581</v>
      </c>
      <c r="O7163">
        <v>795</v>
      </c>
      <c r="P7163">
        <v>20190710</v>
      </c>
      <c r="Q7163" t="s">
        <v>5617</v>
      </c>
      <c r="R7163" t="s">
        <v>1582</v>
      </c>
      <c r="S7163" t="s">
        <v>1615</v>
      </c>
      <c r="T7163" t="s">
        <v>301</v>
      </c>
    </row>
    <row r="7164" spans="1:20" x14ac:dyDescent="0.25">
      <c r="A7164">
        <v>9</v>
      </c>
      <c r="B7164">
        <v>199</v>
      </c>
      <c r="C7164" t="str">
        <f>"11"</f>
        <v>11</v>
      </c>
      <c r="D7164">
        <v>6649</v>
      </c>
      <c r="E7164" t="str">
        <f t="shared" si="1591"/>
        <v>10</v>
      </c>
      <c r="F7164" t="str">
        <f>"001"</f>
        <v>001</v>
      </c>
      <c r="G7164">
        <v>9</v>
      </c>
      <c r="H7164" t="str">
        <f>"11"</f>
        <v>11</v>
      </c>
      <c r="I7164" t="str">
        <f t="shared" si="1590"/>
        <v>0</v>
      </c>
      <c r="J7164" t="str">
        <f>"01"</f>
        <v>01</v>
      </c>
      <c r="K7164">
        <v>20190712</v>
      </c>
      <c r="L7164" t="str">
        <f>"077349"</f>
        <v>077349</v>
      </c>
      <c r="M7164" t="str">
        <f>"16807"</f>
        <v>16807</v>
      </c>
      <c r="N7164" t="s">
        <v>1581</v>
      </c>
      <c r="O7164" s="1">
        <v>1350</v>
      </c>
      <c r="P7164">
        <v>20190710</v>
      </c>
      <c r="Q7164" t="s">
        <v>5617</v>
      </c>
      <c r="R7164" t="s">
        <v>1591</v>
      </c>
      <c r="S7164" t="s">
        <v>1615</v>
      </c>
      <c r="T7164" t="s">
        <v>301</v>
      </c>
    </row>
    <row r="7165" spans="1:20" x14ac:dyDescent="0.25">
      <c r="A7165">
        <v>9</v>
      </c>
      <c r="B7165">
        <v>199</v>
      </c>
      <c r="C7165" t="str">
        <f t="shared" ref="C7165:C7179" si="1592">"51"</f>
        <v>51</v>
      </c>
      <c r="D7165">
        <v>6255</v>
      </c>
      <c r="E7165" t="str">
        <f t="shared" si="1591"/>
        <v>10</v>
      </c>
      <c r="F7165" t="str">
        <f>"001"</f>
        <v>001</v>
      </c>
      <c r="G7165">
        <v>9</v>
      </c>
      <c r="H7165" t="str">
        <f t="shared" ref="H7165:H7191" si="1593">"99"</f>
        <v>99</v>
      </c>
      <c r="I7165" t="str">
        <f t="shared" si="1590"/>
        <v>0</v>
      </c>
      <c r="J7165" t="str">
        <f t="shared" ref="J7165:J7179" si="1594">"73"</f>
        <v>73</v>
      </c>
      <c r="K7165">
        <v>20190712</v>
      </c>
      <c r="L7165" t="str">
        <f t="shared" ref="L7165:L7179" si="1595">"077350"</f>
        <v>077350</v>
      </c>
      <c r="M7165" t="str">
        <f t="shared" ref="M7165:M7179" si="1596">"20706"</f>
        <v>20706</v>
      </c>
      <c r="N7165" t="s">
        <v>2003</v>
      </c>
      <c r="O7165" s="1">
        <v>11589.61</v>
      </c>
      <c r="P7165">
        <v>20190710</v>
      </c>
      <c r="Q7165" t="s">
        <v>2004</v>
      </c>
      <c r="R7165" t="s">
        <v>5618</v>
      </c>
      <c r="S7165" t="s">
        <v>1615</v>
      </c>
      <c r="T7165" t="s">
        <v>301</v>
      </c>
    </row>
    <row r="7166" spans="1:20" x14ac:dyDescent="0.25">
      <c r="A7166">
        <v>9</v>
      </c>
      <c r="B7166">
        <v>199</v>
      </c>
      <c r="C7166" t="str">
        <f t="shared" si="1592"/>
        <v>51</v>
      </c>
      <c r="D7166">
        <v>6255</v>
      </c>
      <c r="E7166" t="str">
        <f t="shared" si="1591"/>
        <v>10</v>
      </c>
      <c r="F7166" t="str">
        <f>"002"</f>
        <v>002</v>
      </c>
      <c r="G7166">
        <v>9</v>
      </c>
      <c r="H7166" t="str">
        <f t="shared" si="1593"/>
        <v>99</v>
      </c>
      <c r="I7166" t="str">
        <f t="shared" si="1590"/>
        <v>0</v>
      </c>
      <c r="J7166" t="str">
        <f t="shared" si="1594"/>
        <v>73</v>
      </c>
      <c r="K7166">
        <v>20190712</v>
      </c>
      <c r="L7166" t="str">
        <f t="shared" si="1595"/>
        <v>077350</v>
      </c>
      <c r="M7166" t="str">
        <f t="shared" si="1596"/>
        <v>20706</v>
      </c>
      <c r="N7166" t="s">
        <v>2003</v>
      </c>
      <c r="O7166">
        <v>38.81</v>
      </c>
      <c r="P7166">
        <v>20190710</v>
      </c>
      <c r="Q7166" t="s">
        <v>2006</v>
      </c>
      <c r="R7166" t="s">
        <v>5619</v>
      </c>
      <c r="S7166" t="s">
        <v>1615</v>
      </c>
      <c r="T7166" t="s">
        <v>1485</v>
      </c>
    </row>
    <row r="7167" spans="1:20" x14ac:dyDescent="0.25">
      <c r="A7167">
        <v>9</v>
      </c>
      <c r="B7167">
        <v>199</v>
      </c>
      <c r="C7167" t="str">
        <f t="shared" si="1592"/>
        <v>51</v>
      </c>
      <c r="D7167">
        <v>6255</v>
      </c>
      <c r="E7167" t="str">
        <f t="shared" si="1591"/>
        <v>10</v>
      </c>
      <c r="F7167" t="str">
        <f>"041"</f>
        <v>041</v>
      </c>
      <c r="G7167">
        <v>9</v>
      </c>
      <c r="H7167" t="str">
        <f t="shared" si="1593"/>
        <v>99</v>
      </c>
      <c r="I7167" t="str">
        <f t="shared" si="1590"/>
        <v>0</v>
      </c>
      <c r="J7167" t="str">
        <f t="shared" si="1594"/>
        <v>73</v>
      </c>
      <c r="K7167">
        <v>20190712</v>
      </c>
      <c r="L7167" t="str">
        <f t="shared" si="1595"/>
        <v>077350</v>
      </c>
      <c r="M7167" t="str">
        <f t="shared" si="1596"/>
        <v>20706</v>
      </c>
      <c r="N7167" t="s">
        <v>2003</v>
      </c>
      <c r="O7167">
        <v>479.65</v>
      </c>
      <c r="P7167">
        <v>20190710</v>
      </c>
      <c r="Q7167" t="s">
        <v>2008</v>
      </c>
      <c r="R7167" t="s">
        <v>5620</v>
      </c>
      <c r="S7167" t="s">
        <v>1615</v>
      </c>
      <c r="T7167" t="s">
        <v>106</v>
      </c>
    </row>
    <row r="7168" spans="1:20" x14ac:dyDescent="0.25">
      <c r="A7168">
        <v>9</v>
      </c>
      <c r="B7168">
        <v>199</v>
      </c>
      <c r="C7168" t="str">
        <f t="shared" si="1592"/>
        <v>51</v>
      </c>
      <c r="D7168">
        <v>6255</v>
      </c>
      <c r="E7168" t="str">
        <f t="shared" si="1591"/>
        <v>10</v>
      </c>
      <c r="F7168" t="str">
        <f>"101"</f>
        <v>101</v>
      </c>
      <c r="G7168">
        <v>9</v>
      </c>
      <c r="H7168" t="str">
        <f t="shared" si="1593"/>
        <v>99</v>
      </c>
      <c r="I7168" t="str">
        <f t="shared" si="1590"/>
        <v>0</v>
      </c>
      <c r="J7168" t="str">
        <f t="shared" si="1594"/>
        <v>73</v>
      </c>
      <c r="K7168">
        <v>20190712</v>
      </c>
      <c r="L7168" t="str">
        <f t="shared" si="1595"/>
        <v>077350</v>
      </c>
      <c r="M7168" t="str">
        <f t="shared" si="1596"/>
        <v>20706</v>
      </c>
      <c r="N7168" t="s">
        <v>2003</v>
      </c>
      <c r="O7168" s="1">
        <v>1685.37</v>
      </c>
      <c r="P7168">
        <v>20190710</v>
      </c>
      <c r="Q7168" t="s">
        <v>2010</v>
      </c>
      <c r="R7168" t="s">
        <v>5621</v>
      </c>
      <c r="S7168" t="s">
        <v>1615</v>
      </c>
      <c r="T7168" t="s">
        <v>1479</v>
      </c>
    </row>
    <row r="7169" spans="1:20" x14ac:dyDescent="0.25">
      <c r="A7169">
        <v>9</v>
      </c>
      <c r="B7169">
        <v>199</v>
      </c>
      <c r="C7169" t="str">
        <f t="shared" si="1592"/>
        <v>51</v>
      </c>
      <c r="D7169">
        <v>6255</v>
      </c>
      <c r="E7169" t="str">
        <f t="shared" si="1591"/>
        <v>10</v>
      </c>
      <c r="F7169" t="str">
        <f>"104"</f>
        <v>104</v>
      </c>
      <c r="G7169">
        <v>9</v>
      </c>
      <c r="H7169" t="str">
        <f t="shared" si="1593"/>
        <v>99</v>
      </c>
      <c r="I7169" t="str">
        <f t="shared" si="1590"/>
        <v>0</v>
      </c>
      <c r="J7169" t="str">
        <f t="shared" si="1594"/>
        <v>73</v>
      </c>
      <c r="K7169">
        <v>20190712</v>
      </c>
      <c r="L7169" t="str">
        <f t="shared" si="1595"/>
        <v>077350</v>
      </c>
      <c r="M7169" t="str">
        <f t="shared" si="1596"/>
        <v>20706</v>
      </c>
      <c r="N7169" t="s">
        <v>2003</v>
      </c>
      <c r="O7169">
        <v>793.43</v>
      </c>
      <c r="P7169">
        <v>20190710</v>
      </c>
      <c r="Q7169" t="s">
        <v>2012</v>
      </c>
      <c r="R7169" t="s">
        <v>5622</v>
      </c>
      <c r="S7169" t="s">
        <v>1615</v>
      </c>
      <c r="T7169" t="s">
        <v>46</v>
      </c>
    </row>
    <row r="7170" spans="1:20" x14ac:dyDescent="0.25">
      <c r="A7170">
        <v>9</v>
      </c>
      <c r="B7170">
        <v>199</v>
      </c>
      <c r="C7170" t="str">
        <f t="shared" si="1592"/>
        <v>51</v>
      </c>
      <c r="D7170">
        <v>6255</v>
      </c>
      <c r="E7170" t="str">
        <f t="shared" si="1591"/>
        <v>10</v>
      </c>
      <c r="F7170" t="str">
        <f>"935"</f>
        <v>935</v>
      </c>
      <c r="G7170">
        <v>9</v>
      </c>
      <c r="H7170" t="str">
        <f t="shared" si="1593"/>
        <v>99</v>
      </c>
      <c r="I7170" t="str">
        <f t="shared" si="1590"/>
        <v>0</v>
      </c>
      <c r="J7170" t="str">
        <f t="shared" si="1594"/>
        <v>73</v>
      </c>
      <c r="K7170">
        <v>20190712</v>
      </c>
      <c r="L7170" t="str">
        <f t="shared" si="1595"/>
        <v>077350</v>
      </c>
      <c r="M7170" t="str">
        <f t="shared" si="1596"/>
        <v>20706</v>
      </c>
      <c r="N7170" t="s">
        <v>2003</v>
      </c>
      <c r="O7170" s="1">
        <v>1384.33</v>
      </c>
      <c r="P7170">
        <v>20190710</v>
      </c>
      <c r="Q7170" t="s">
        <v>2014</v>
      </c>
      <c r="R7170" t="s">
        <v>5623</v>
      </c>
      <c r="S7170" t="s">
        <v>1615</v>
      </c>
      <c r="T7170" t="s">
        <v>1876</v>
      </c>
    </row>
    <row r="7171" spans="1:20" x14ac:dyDescent="0.25">
      <c r="A7171">
        <v>9</v>
      </c>
      <c r="B7171">
        <v>199</v>
      </c>
      <c r="C7171" t="str">
        <f t="shared" si="1592"/>
        <v>51</v>
      </c>
      <c r="D7171">
        <v>6255</v>
      </c>
      <c r="E7171" t="str">
        <f t="shared" si="1591"/>
        <v>10</v>
      </c>
      <c r="F7171" t="str">
        <f>"936"</f>
        <v>936</v>
      </c>
      <c r="G7171">
        <v>9</v>
      </c>
      <c r="H7171" t="str">
        <f t="shared" si="1593"/>
        <v>99</v>
      </c>
      <c r="I7171" t="str">
        <f t="shared" si="1590"/>
        <v>0</v>
      </c>
      <c r="J7171" t="str">
        <f t="shared" si="1594"/>
        <v>73</v>
      </c>
      <c r="K7171">
        <v>20190712</v>
      </c>
      <c r="L7171" t="str">
        <f t="shared" si="1595"/>
        <v>077350</v>
      </c>
      <c r="M7171" t="str">
        <f t="shared" si="1596"/>
        <v>20706</v>
      </c>
      <c r="N7171" t="s">
        <v>2003</v>
      </c>
      <c r="O7171">
        <v>70.98</v>
      </c>
      <c r="P7171">
        <v>20190710</v>
      </c>
      <c r="Q7171" t="s">
        <v>2016</v>
      </c>
      <c r="R7171" t="s">
        <v>5624</v>
      </c>
      <c r="S7171" t="s">
        <v>1615</v>
      </c>
      <c r="T7171" t="s">
        <v>1713</v>
      </c>
    </row>
    <row r="7172" spans="1:20" x14ac:dyDescent="0.25">
      <c r="A7172">
        <v>9</v>
      </c>
      <c r="B7172">
        <v>199</v>
      </c>
      <c r="C7172" t="str">
        <f t="shared" si="1592"/>
        <v>51</v>
      </c>
      <c r="D7172">
        <v>6255</v>
      </c>
      <c r="E7172" t="str">
        <f>"11"</f>
        <v>11</v>
      </c>
      <c r="F7172" t="str">
        <f>"001"</f>
        <v>001</v>
      </c>
      <c r="G7172">
        <v>9</v>
      </c>
      <c r="H7172" t="str">
        <f t="shared" si="1593"/>
        <v>99</v>
      </c>
      <c r="I7172" t="str">
        <f t="shared" si="1590"/>
        <v>0</v>
      </c>
      <c r="J7172" t="str">
        <f t="shared" si="1594"/>
        <v>73</v>
      </c>
      <c r="K7172">
        <v>20190712</v>
      </c>
      <c r="L7172" t="str">
        <f t="shared" si="1595"/>
        <v>077350</v>
      </c>
      <c r="M7172" t="str">
        <f t="shared" si="1596"/>
        <v>20706</v>
      </c>
      <c r="N7172" t="s">
        <v>2003</v>
      </c>
      <c r="O7172">
        <v>500.57</v>
      </c>
      <c r="P7172">
        <v>20190710</v>
      </c>
      <c r="Q7172" t="s">
        <v>2018</v>
      </c>
      <c r="R7172" t="s">
        <v>5625</v>
      </c>
      <c r="S7172" t="s">
        <v>1615</v>
      </c>
      <c r="T7172" t="s">
        <v>301</v>
      </c>
    </row>
    <row r="7173" spans="1:20" x14ac:dyDescent="0.25">
      <c r="A7173">
        <v>9</v>
      </c>
      <c r="B7173">
        <v>199</v>
      </c>
      <c r="C7173" t="str">
        <f t="shared" si="1592"/>
        <v>51</v>
      </c>
      <c r="D7173">
        <v>6255</v>
      </c>
      <c r="E7173" t="str">
        <f>"11"</f>
        <v>11</v>
      </c>
      <c r="F7173" t="str">
        <f>"104"</f>
        <v>104</v>
      </c>
      <c r="G7173">
        <v>9</v>
      </c>
      <c r="H7173" t="str">
        <f t="shared" si="1593"/>
        <v>99</v>
      </c>
      <c r="I7173" t="str">
        <f t="shared" si="1590"/>
        <v>0</v>
      </c>
      <c r="J7173" t="str">
        <f t="shared" si="1594"/>
        <v>73</v>
      </c>
      <c r="K7173">
        <v>20190712</v>
      </c>
      <c r="L7173" t="str">
        <f t="shared" si="1595"/>
        <v>077350</v>
      </c>
      <c r="M7173" t="str">
        <f t="shared" si="1596"/>
        <v>20706</v>
      </c>
      <c r="N7173" t="s">
        <v>2003</v>
      </c>
      <c r="O7173">
        <v>63.4</v>
      </c>
      <c r="P7173">
        <v>20190710</v>
      </c>
      <c r="Q7173" t="s">
        <v>2020</v>
      </c>
      <c r="R7173" t="s">
        <v>5626</v>
      </c>
      <c r="S7173" t="s">
        <v>1615</v>
      </c>
      <c r="T7173" t="s">
        <v>46</v>
      </c>
    </row>
    <row r="7174" spans="1:20" x14ac:dyDescent="0.25">
      <c r="A7174">
        <v>9</v>
      </c>
      <c r="B7174">
        <v>199</v>
      </c>
      <c r="C7174" t="str">
        <f t="shared" si="1592"/>
        <v>51</v>
      </c>
      <c r="D7174">
        <v>6255</v>
      </c>
      <c r="E7174" t="str">
        <f>"3F"</f>
        <v>3F</v>
      </c>
      <c r="F7174" t="str">
        <f>"877"</f>
        <v>877</v>
      </c>
      <c r="G7174">
        <v>9</v>
      </c>
      <c r="H7174" t="str">
        <f t="shared" si="1593"/>
        <v>99</v>
      </c>
      <c r="I7174" t="str">
        <f t="shared" si="1590"/>
        <v>0</v>
      </c>
      <c r="J7174" t="str">
        <f t="shared" si="1594"/>
        <v>73</v>
      </c>
      <c r="K7174">
        <v>20190712</v>
      </c>
      <c r="L7174" t="str">
        <f t="shared" si="1595"/>
        <v>077350</v>
      </c>
      <c r="M7174" t="str">
        <f t="shared" si="1596"/>
        <v>20706</v>
      </c>
      <c r="N7174" t="s">
        <v>2003</v>
      </c>
      <c r="O7174" s="1">
        <v>6579.4</v>
      </c>
      <c r="P7174">
        <v>20190710</v>
      </c>
      <c r="Q7174" t="s">
        <v>2022</v>
      </c>
      <c r="R7174" t="s">
        <v>5627</v>
      </c>
      <c r="S7174" t="s">
        <v>1615</v>
      </c>
      <c r="T7174" t="s">
        <v>2024</v>
      </c>
    </row>
    <row r="7175" spans="1:20" x14ac:dyDescent="0.25">
      <c r="A7175">
        <v>9</v>
      </c>
      <c r="B7175">
        <v>199</v>
      </c>
      <c r="C7175" t="str">
        <f t="shared" si="1592"/>
        <v>51</v>
      </c>
      <c r="D7175">
        <v>6258</v>
      </c>
      <c r="E7175" t="str">
        <f>"10"</f>
        <v>10</v>
      </c>
      <c r="F7175" t="str">
        <f>"001"</f>
        <v>001</v>
      </c>
      <c r="G7175">
        <v>9</v>
      </c>
      <c r="H7175" t="str">
        <f t="shared" si="1593"/>
        <v>99</v>
      </c>
      <c r="I7175" t="str">
        <f t="shared" si="1590"/>
        <v>0</v>
      </c>
      <c r="J7175" t="str">
        <f t="shared" si="1594"/>
        <v>73</v>
      </c>
      <c r="K7175">
        <v>20190712</v>
      </c>
      <c r="L7175" t="str">
        <f t="shared" si="1595"/>
        <v>077350</v>
      </c>
      <c r="M7175" t="str">
        <f t="shared" si="1596"/>
        <v>20706</v>
      </c>
      <c r="N7175" t="s">
        <v>2003</v>
      </c>
      <c r="O7175" s="1">
        <v>1098.45</v>
      </c>
      <c r="P7175">
        <v>20190710</v>
      </c>
      <c r="Q7175" t="s">
        <v>2025</v>
      </c>
      <c r="R7175" t="s">
        <v>5628</v>
      </c>
      <c r="S7175" t="s">
        <v>1615</v>
      </c>
      <c r="T7175" t="s">
        <v>301</v>
      </c>
    </row>
    <row r="7176" spans="1:20" x14ac:dyDescent="0.25">
      <c r="A7176">
        <v>9</v>
      </c>
      <c r="B7176">
        <v>199</v>
      </c>
      <c r="C7176" t="str">
        <f t="shared" si="1592"/>
        <v>51</v>
      </c>
      <c r="D7176">
        <v>6258</v>
      </c>
      <c r="E7176" t="str">
        <f>"10"</f>
        <v>10</v>
      </c>
      <c r="F7176" t="str">
        <f>"041"</f>
        <v>041</v>
      </c>
      <c r="G7176">
        <v>9</v>
      </c>
      <c r="H7176" t="str">
        <f t="shared" si="1593"/>
        <v>99</v>
      </c>
      <c r="I7176" t="str">
        <f t="shared" si="1590"/>
        <v>0</v>
      </c>
      <c r="J7176" t="str">
        <f t="shared" si="1594"/>
        <v>73</v>
      </c>
      <c r="K7176">
        <v>20190712</v>
      </c>
      <c r="L7176" t="str">
        <f t="shared" si="1595"/>
        <v>077350</v>
      </c>
      <c r="M7176" t="str">
        <f t="shared" si="1596"/>
        <v>20706</v>
      </c>
      <c r="N7176" t="s">
        <v>2003</v>
      </c>
      <c r="O7176">
        <v>282.04000000000002</v>
      </c>
      <c r="P7176">
        <v>20190710</v>
      </c>
      <c r="Q7176" t="s">
        <v>2027</v>
      </c>
      <c r="R7176" t="s">
        <v>5629</v>
      </c>
      <c r="S7176" t="s">
        <v>1615</v>
      </c>
      <c r="T7176" t="s">
        <v>106</v>
      </c>
    </row>
    <row r="7177" spans="1:20" x14ac:dyDescent="0.25">
      <c r="A7177">
        <v>9</v>
      </c>
      <c r="B7177">
        <v>199</v>
      </c>
      <c r="C7177" t="str">
        <f t="shared" si="1592"/>
        <v>51</v>
      </c>
      <c r="D7177">
        <v>6258</v>
      </c>
      <c r="E7177" t="str">
        <f>"10"</f>
        <v>10</v>
      </c>
      <c r="F7177" t="str">
        <f>"101"</f>
        <v>101</v>
      </c>
      <c r="G7177">
        <v>9</v>
      </c>
      <c r="H7177" t="str">
        <f t="shared" si="1593"/>
        <v>99</v>
      </c>
      <c r="I7177" t="str">
        <f t="shared" si="1590"/>
        <v>0</v>
      </c>
      <c r="J7177" t="str">
        <f t="shared" si="1594"/>
        <v>73</v>
      </c>
      <c r="K7177">
        <v>20190712</v>
      </c>
      <c r="L7177" t="str">
        <f t="shared" si="1595"/>
        <v>077350</v>
      </c>
      <c r="M7177" t="str">
        <f t="shared" si="1596"/>
        <v>20706</v>
      </c>
      <c r="N7177" t="s">
        <v>2003</v>
      </c>
      <c r="O7177">
        <v>148.19999999999999</v>
      </c>
      <c r="P7177">
        <v>20190710</v>
      </c>
      <c r="Q7177" t="s">
        <v>2029</v>
      </c>
      <c r="R7177" t="s">
        <v>5630</v>
      </c>
      <c r="S7177" t="s">
        <v>1615</v>
      </c>
      <c r="T7177" t="s">
        <v>1479</v>
      </c>
    </row>
    <row r="7178" spans="1:20" x14ac:dyDescent="0.25">
      <c r="A7178">
        <v>9</v>
      </c>
      <c r="B7178">
        <v>199</v>
      </c>
      <c r="C7178" t="str">
        <f t="shared" si="1592"/>
        <v>51</v>
      </c>
      <c r="D7178">
        <v>6258</v>
      </c>
      <c r="E7178" t="str">
        <f>"10"</f>
        <v>10</v>
      </c>
      <c r="F7178" t="str">
        <f>"104"</f>
        <v>104</v>
      </c>
      <c r="G7178">
        <v>9</v>
      </c>
      <c r="H7178" t="str">
        <f t="shared" si="1593"/>
        <v>99</v>
      </c>
      <c r="I7178" t="str">
        <f t="shared" si="1590"/>
        <v>0</v>
      </c>
      <c r="J7178" t="str">
        <f t="shared" si="1594"/>
        <v>73</v>
      </c>
      <c r="K7178">
        <v>20190712</v>
      </c>
      <c r="L7178" t="str">
        <f t="shared" si="1595"/>
        <v>077350</v>
      </c>
      <c r="M7178" t="str">
        <f t="shared" si="1596"/>
        <v>20706</v>
      </c>
      <c r="N7178" t="s">
        <v>2003</v>
      </c>
      <c r="O7178">
        <v>127.12</v>
      </c>
      <c r="P7178">
        <v>20190710</v>
      </c>
      <c r="Q7178" t="s">
        <v>2031</v>
      </c>
      <c r="R7178" t="s">
        <v>5631</v>
      </c>
      <c r="S7178" t="s">
        <v>1615</v>
      </c>
      <c r="T7178" t="s">
        <v>46</v>
      </c>
    </row>
    <row r="7179" spans="1:20" x14ac:dyDescent="0.25">
      <c r="A7179">
        <v>9</v>
      </c>
      <c r="B7179">
        <v>199</v>
      </c>
      <c r="C7179" t="str">
        <f t="shared" si="1592"/>
        <v>51</v>
      </c>
      <c r="D7179">
        <v>6258</v>
      </c>
      <c r="E7179" t="str">
        <f>"11"</f>
        <v>11</v>
      </c>
      <c r="F7179" t="str">
        <f>"001"</f>
        <v>001</v>
      </c>
      <c r="G7179">
        <v>9</v>
      </c>
      <c r="H7179" t="str">
        <f t="shared" si="1593"/>
        <v>99</v>
      </c>
      <c r="I7179" t="str">
        <f t="shared" si="1590"/>
        <v>0</v>
      </c>
      <c r="J7179" t="str">
        <f t="shared" si="1594"/>
        <v>73</v>
      </c>
      <c r="K7179">
        <v>20190712</v>
      </c>
      <c r="L7179" t="str">
        <f t="shared" si="1595"/>
        <v>077350</v>
      </c>
      <c r="M7179" t="str">
        <f t="shared" si="1596"/>
        <v>20706</v>
      </c>
      <c r="N7179" t="s">
        <v>2003</v>
      </c>
      <c r="O7179">
        <v>196</v>
      </c>
      <c r="P7179">
        <v>20190710</v>
      </c>
      <c r="Q7179" t="s">
        <v>2033</v>
      </c>
      <c r="R7179" t="s">
        <v>5632</v>
      </c>
      <c r="S7179" t="s">
        <v>1615</v>
      </c>
      <c r="T7179" t="s">
        <v>301</v>
      </c>
    </row>
    <row r="7180" spans="1:20" x14ac:dyDescent="0.25">
      <c r="A7180">
        <v>9</v>
      </c>
      <c r="B7180">
        <v>199</v>
      </c>
      <c r="C7180" t="str">
        <f>"34"</f>
        <v>34</v>
      </c>
      <c r="D7180">
        <v>6249</v>
      </c>
      <c r="E7180" t="str">
        <f>"10"</f>
        <v>10</v>
      </c>
      <c r="F7180" t="str">
        <f>"937"</f>
        <v>937</v>
      </c>
      <c r="G7180">
        <v>9</v>
      </c>
      <c r="H7180" t="str">
        <f t="shared" si="1593"/>
        <v>99</v>
      </c>
      <c r="I7180" t="str">
        <f t="shared" si="1590"/>
        <v>0</v>
      </c>
      <c r="J7180" t="str">
        <f>"82"</f>
        <v>82</v>
      </c>
      <c r="K7180">
        <v>20190712</v>
      </c>
      <c r="L7180" t="str">
        <f>"077352"</f>
        <v>077352</v>
      </c>
      <c r="M7180" t="str">
        <f>"21901"</f>
        <v>21901</v>
      </c>
      <c r="N7180" t="s">
        <v>2046</v>
      </c>
      <c r="O7180">
        <v>236.83</v>
      </c>
      <c r="P7180">
        <v>20190710</v>
      </c>
      <c r="Q7180" t="s">
        <v>2036</v>
      </c>
      <c r="R7180" t="s">
        <v>5633</v>
      </c>
      <c r="S7180" t="s">
        <v>1615</v>
      </c>
      <c r="T7180" t="s">
        <v>1810</v>
      </c>
    </row>
    <row r="7181" spans="1:20" x14ac:dyDescent="0.25">
      <c r="A7181">
        <v>9</v>
      </c>
      <c r="B7181">
        <v>199</v>
      </c>
      <c r="C7181" t="str">
        <f>"51"</f>
        <v>51</v>
      </c>
      <c r="D7181">
        <v>6249</v>
      </c>
      <c r="E7181" t="str">
        <f>"WF"</f>
        <v>WF</v>
      </c>
      <c r="F7181" t="str">
        <f>"936"</f>
        <v>936</v>
      </c>
      <c r="G7181">
        <v>9</v>
      </c>
      <c r="H7181" t="str">
        <f t="shared" si="1593"/>
        <v>99</v>
      </c>
      <c r="I7181" t="str">
        <f t="shared" si="1590"/>
        <v>0</v>
      </c>
      <c r="J7181" t="str">
        <f>"82"</f>
        <v>82</v>
      </c>
      <c r="K7181">
        <v>20190712</v>
      </c>
      <c r="L7181" t="str">
        <f>"077352"</f>
        <v>077352</v>
      </c>
      <c r="M7181" t="str">
        <f>"21901"</f>
        <v>21901</v>
      </c>
      <c r="N7181" t="s">
        <v>2046</v>
      </c>
      <c r="O7181">
        <v>408.14</v>
      </c>
      <c r="P7181">
        <v>20190710</v>
      </c>
      <c r="Q7181" t="s">
        <v>2127</v>
      </c>
      <c r="R7181" t="s">
        <v>5634</v>
      </c>
      <c r="S7181" t="s">
        <v>1615</v>
      </c>
      <c r="T7181" t="s">
        <v>1713</v>
      </c>
    </row>
    <row r="7182" spans="1:20" x14ac:dyDescent="0.25">
      <c r="A7182">
        <v>9</v>
      </c>
      <c r="B7182">
        <v>199</v>
      </c>
      <c r="C7182" t="str">
        <f>"51"</f>
        <v>51</v>
      </c>
      <c r="D7182">
        <v>6249</v>
      </c>
      <c r="E7182" t="str">
        <f>"M8"</f>
        <v>M8</v>
      </c>
      <c r="F7182" t="str">
        <f>"936"</f>
        <v>936</v>
      </c>
      <c r="G7182">
        <v>9</v>
      </c>
      <c r="H7182" t="str">
        <f t="shared" si="1593"/>
        <v>99</v>
      </c>
      <c r="I7182" t="str">
        <f t="shared" si="1590"/>
        <v>0</v>
      </c>
      <c r="J7182" t="str">
        <f>"81"</f>
        <v>81</v>
      </c>
      <c r="K7182">
        <v>20190712</v>
      </c>
      <c r="L7182" t="str">
        <f>"077353"</f>
        <v>077353</v>
      </c>
      <c r="M7182" t="str">
        <f>"00679"</f>
        <v>00679</v>
      </c>
      <c r="N7182" t="s">
        <v>5635</v>
      </c>
      <c r="O7182" s="1">
        <v>10111</v>
      </c>
      <c r="P7182">
        <v>20190710</v>
      </c>
      <c r="Q7182" t="s">
        <v>2096</v>
      </c>
      <c r="R7182" t="s">
        <v>5636</v>
      </c>
      <c r="S7182" t="s">
        <v>1615</v>
      </c>
      <c r="T7182" t="s">
        <v>1713</v>
      </c>
    </row>
    <row r="7183" spans="1:20" x14ac:dyDescent="0.25">
      <c r="A7183">
        <v>9</v>
      </c>
      <c r="B7183">
        <v>199</v>
      </c>
      <c r="C7183" t="str">
        <f>"51"</f>
        <v>51</v>
      </c>
      <c r="D7183">
        <v>6249</v>
      </c>
      <c r="E7183" t="str">
        <f>"M8"</f>
        <v>M8</v>
      </c>
      <c r="F7183" t="str">
        <f>"936"</f>
        <v>936</v>
      </c>
      <c r="G7183">
        <v>9</v>
      </c>
      <c r="H7183" t="str">
        <f t="shared" si="1593"/>
        <v>99</v>
      </c>
      <c r="I7183" t="str">
        <f t="shared" si="1590"/>
        <v>0</v>
      </c>
      <c r="J7183" t="str">
        <f>"81"</f>
        <v>81</v>
      </c>
      <c r="K7183">
        <v>20190712</v>
      </c>
      <c r="L7183" t="str">
        <f>"077353"</f>
        <v>077353</v>
      </c>
      <c r="M7183" t="str">
        <f>"00679"</f>
        <v>00679</v>
      </c>
      <c r="N7183" t="s">
        <v>5635</v>
      </c>
      <c r="O7183" s="1">
        <v>3042</v>
      </c>
      <c r="P7183">
        <v>20190710</v>
      </c>
      <c r="Q7183" t="s">
        <v>2096</v>
      </c>
      <c r="R7183" t="s">
        <v>5637</v>
      </c>
      <c r="S7183" t="s">
        <v>1615</v>
      </c>
      <c r="T7183" t="s">
        <v>1713</v>
      </c>
    </row>
    <row r="7184" spans="1:20" x14ac:dyDescent="0.25">
      <c r="A7184">
        <v>9</v>
      </c>
      <c r="B7184">
        <v>199</v>
      </c>
      <c r="C7184" t="str">
        <f>"51"</f>
        <v>51</v>
      </c>
      <c r="D7184">
        <v>6249</v>
      </c>
      <c r="E7184" t="str">
        <f>"M8"</f>
        <v>M8</v>
      </c>
      <c r="F7184" t="str">
        <f>"936"</f>
        <v>936</v>
      </c>
      <c r="G7184">
        <v>9</v>
      </c>
      <c r="H7184" t="str">
        <f t="shared" si="1593"/>
        <v>99</v>
      </c>
      <c r="I7184" t="str">
        <f t="shared" si="1590"/>
        <v>0</v>
      </c>
      <c r="J7184" t="str">
        <f>"81"</f>
        <v>81</v>
      </c>
      <c r="K7184">
        <v>20190712</v>
      </c>
      <c r="L7184" t="str">
        <f>"077353"</f>
        <v>077353</v>
      </c>
      <c r="M7184" t="str">
        <f>"00679"</f>
        <v>00679</v>
      </c>
      <c r="N7184" t="s">
        <v>5635</v>
      </c>
      <c r="O7184" s="1">
        <v>1962</v>
      </c>
      <c r="P7184">
        <v>20190710</v>
      </c>
      <c r="Q7184" t="s">
        <v>2096</v>
      </c>
      <c r="R7184" t="s">
        <v>5542</v>
      </c>
      <c r="S7184" t="s">
        <v>1615</v>
      </c>
      <c r="T7184" t="s">
        <v>1713</v>
      </c>
    </row>
    <row r="7185" spans="1:20" x14ac:dyDescent="0.25">
      <c r="A7185">
        <v>9</v>
      </c>
      <c r="B7185">
        <v>199</v>
      </c>
      <c r="C7185" t="str">
        <f>"23"</f>
        <v>23</v>
      </c>
      <c r="D7185">
        <v>6649</v>
      </c>
      <c r="E7185" t="str">
        <f>"11"</f>
        <v>11</v>
      </c>
      <c r="F7185" t="str">
        <f>"001"</f>
        <v>001</v>
      </c>
      <c r="G7185">
        <v>9</v>
      </c>
      <c r="H7185" t="str">
        <f t="shared" si="1593"/>
        <v>99</v>
      </c>
      <c r="I7185" t="str">
        <f t="shared" si="1590"/>
        <v>0</v>
      </c>
      <c r="J7185" t="str">
        <f>"01"</f>
        <v>01</v>
      </c>
      <c r="K7185">
        <v>20190712</v>
      </c>
      <c r="L7185" t="str">
        <f>"077355"</f>
        <v>077355</v>
      </c>
      <c r="M7185" t="str">
        <f>"25165"</f>
        <v>25165</v>
      </c>
      <c r="N7185" t="s">
        <v>2860</v>
      </c>
      <c r="O7185" s="1">
        <v>2663.08</v>
      </c>
      <c r="P7185">
        <v>20190710</v>
      </c>
      <c r="Q7185" t="s">
        <v>3018</v>
      </c>
      <c r="R7185" t="s">
        <v>3546</v>
      </c>
      <c r="S7185" t="s">
        <v>1615</v>
      </c>
      <c r="T7185" t="s">
        <v>301</v>
      </c>
    </row>
    <row r="7186" spans="1:20" x14ac:dyDescent="0.25">
      <c r="A7186">
        <v>9</v>
      </c>
      <c r="B7186">
        <v>199</v>
      </c>
      <c r="C7186" t="str">
        <f>"41"</f>
        <v>41</v>
      </c>
      <c r="D7186">
        <v>6649</v>
      </c>
      <c r="E7186" t="str">
        <f>"10"</f>
        <v>10</v>
      </c>
      <c r="F7186" t="str">
        <f>"933"</f>
        <v>933</v>
      </c>
      <c r="G7186">
        <v>9</v>
      </c>
      <c r="H7186" t="str">
        <f t="shared" si="1593"/>
        <v>99</v>
      </c>
      <c r="I7186" t="str">
        <f t="shared" si="1590"/>
        <v>0</v>
      </c>
      <c r="J7186" t="str">
        <f>"85"</f>
        <v>85</v>
      </c>
      <c r="K7186">
        <v>20190712</v>
      </c>
      <c r="L7186" t="str">
        <f>"077355"</f>
        <v>077355</v>
      </c>
      <c r="M7186" t="str">
        <f>"25165"</f>
        <v>25165</v>
      </c>
      <c r="N7186" t="s">
        <v>2860</v>
      </c>
      <c r="O7186">
        <v>219.38</v>
      </c>
      <c r="P7186">
        <v>20190710</v>
      </c>
      <c r="Q7186" t="s">
        <v>2460</v>
      </c>
      <c r="R7186" t="s">
        <v>5638</v>
      </c>
      <c r="S7186" t="s">
        <v>1615</v>
      </c>
      <c r="T7186" t="s">
        <v>1643</v>
      </c>
    </row>
    <row r="7187" spans="1:20" x14ac:dyDescent="0.25">
      <c r="A7187">
        <v>9</v>
      </c>
      <c r="B7187">
        <v>199</v>
      </c>
      <c r="C7187" t="str">
        <f>"41"</f>
        <v>41</v>
      </c>
      <c r="D7187">
        <v>6649</v>
      </c>
      <c r="E7187" t="str">
        <f>"10"</f>
        <v>10</v>
      </c>
      <c r="F7187" t="str">
        <f>"933"</f>
        <v>933</v>
      </c>
      <c r="G7187">
        <v>9</v>
      </c>
      <c r="H7187" t="str">
        <f t="shared" si="1593"/>
        <v>99</v>
      </c>
      <c r="I7187" t="str">
        <f t="shared" si="1590"/>
        <v>0</v>
      </c>
      <c r="J7187" t="str">
        <f>"85"</f>
        <v>85</v>
      </c>
      <c r="K7187">
        <v>20190712</v>
      </c>
      <c r="L7187" t="str">
        <f>"077355"</f>
        <v>077355</v>
      </c>
      <c r="M7187" t="str">
        <f>"25165"</f>
        <v>25165</v>
      </c>
      <c r="N7187" t="s">
        <v>2860</v>
      </c>
      <c r="O7187" s="1">
        <v>1232.6300000000001</v>
      </c>
      <c r="P7187">
        <v>20190710</v>
      </c>
      <c r="Q7187" t="s">
        <v>2460</v>
      </c>
      <c r="R7187" t="s">
        <v>3546</v>
      </c>
      <c r="S7187" t="s">
        <v>1615</v>
      </c>
      <c r="T7187" t="s">
        <v>1643</v>
      </c>
    </row>
    <row r="7188" spans="1:20" x14ac:dyDescent="0.25">
      <c r="A7188">
        <v>9</v>
      </c>
      <c r="B7188">
        <v>199</v>
      </c>
      <c r="C7188" t="str">
        <f>"41"</f>
        <v>41</v>
      </c>
      <c r="D7188">
        <v>6649</v>
      </c>
      <c r="E7188" t="str">
        <f>"10"</f>
        <v>10</v>
      </c>
      <c r="F7188" t="str">
        <f>"933"</f>
        <v>933</v>
      </c>
      <c r="G7188">
        <v>9</v>
      </c>
      <c r="H7188" t="str">
        <f t="shared" si="1593"/>
        <v>99</v>
      </c>
      <c r="I7188" t="str">
        <f t="shared" si="1590"/>
        <v>0</v>
      </c>
      <c r="J7188" t="str">
        <f>"85"</f>
        <v>85</v>
      </c>
      <c r="K7188">
        <v>20190712</v>
      </c>
      <c r="L7188" t="str">
        <f>"077355"</f>
        <v>077355</v>
      </c>
      <c r="M7188" t="str">
        <f>"25165"</f>
        <v>25165</v>
      </c>
      <c r="N7188" t="s">
        <v>2860</v>
      </c>
      <c r="O7188" s="1">
        <v>1992</v>
      </c>
      <c r="P7188">
        <v>20190710</v>
      </c>
      <c r="Q7188" t="s">
        <v>2460</v>
      </c>
      <c r="R7188" t="s">
        <v>5639</v>
      </c>
      <c r="S7188" t="s">
        <v>1615</v>
      </c>
      <c r="T7188" t="s">
        <v>1643</v>
      </c>
    </row>
    <row r="7189" spans="1:20" x14ac:dyDescent="0.25">
      <c r="A7189">
        <v>9</v>
      </c>
      <c r="B7189">
        <v>199</v>
      </c>
      <c r="C7189" t="str">
        <f>"53"</f>
        <v>53</v>
      </c>
      <c r="D7189">
        <v>6639</v>
      </c>
      <c r="E7189" t="str">
        <f>"00"</f>
        <v>00</v>
      </c>
      <c r="F7189" t="str">
        <f>"880"</f>
        <v>880</v>
      </c>
      <c r="G7189">
        <v>9</v>
      </c>
      <c r="H7189" t="str">
        <f t="shared" si="1593"/>
        <v>99</v>
      </c>
      <c r="I7189" t="str">
        <f t="shared" si="1590"/>
        <v>0</v>
      </c>
      <c r="J7189" t="str">
        <f>"80"</f>
        <v>80</v>
      </c>
      <c r="K7189">
        <v>20190712</v>
      </c>
      <c r="L7189" t="str">
        <f>"077355"</f>
        <v>077355</v>
      </c>
      <c r="M7189" t="str">
        <f>"25165"</f>
        <v>25165</v>
      </c>
      <c r="N7189" t="s">
        <v>2860</v>
      </c>
      <c r="O7189" s="1">
        <v>7743.78</v>
      </c>
      <c r="P7189">
        <v>20190710</v>
      </c>
      <c r="Q7189" t="s">
        <v>5517</v>
      </c>
      <c r="R7189" t="s">
        <v>5640</v>
      </c>
      <c r="S7189" t="s">
        <v>1615</v>
      </c>
      <c r="T7189" t="s">
        <v>1866</v>
      </c>
    </row>
    <row r="7190" spans="1:20" x14ac:dyDescent="0.25">
      <c r="A7190">
        <v>9</v>
      </c>
      <c r="B7190">
        <v>199</v>
      </c>
      <c r="C7190" t="str">
        <f>"51"</f>
        <v>51</v>
      </c>
      <c r="D7190">
        <v>6256</v>
      </c>
      <c r="E7190" t="str">
        <f>"15"</f>
        <v>15</v>
      </c>
      <c r="F7190" t="str">
        <f>"880"</f>
        <v>880</v>
      </c>
      <c r="G7190">
        <v>9</v>
      </c>
      <c r="H7190" t="str">
        <f t="shared" si="1593"/>
        <v>99</v>
      </c>
      <c r="I7190" t="str">
        <f t="shared" si="1590"/>
        <v>0</v>
      </c>
      <c r="J7190" t="str">
        <f>"80"</f>
        <v>80</v>
      </c>
      <c r="K7190">
        <v>20190712</v>
      </c>
      <c r="L7190" t="str">
        <f>"077356"</f>
        <v>077356</v>
      </c>
      <c r="M7190" t="str">
        <f>"77113"</f>
        <v>77113</v>
      </c>
      <c r="N7190" t="s">
        <v>1880</v>
      </c>
      <c r="O7190">
        <v>97.69</v>
      </c>
      <c r="P7190">
        <v>20190710</v>
      </c>
      <c r="Q7190" t="s">
        <v>2487</v>
      </c>
      <c r="R7190" t="s">
        <v>4844</v>
      </c>
      <c r="S7190" t="s">
        <v>1615</v>
      </c>
      <c r="T7190" t="s">
        <v>1866</v>
      </c>
    </row>
    <row r="7191" spans="1:20" x14ac:dyDescent="0.25">
      <c r="A7191">
        <v>9</v>
      </c>
      <c r="B7191">
        <v>199</v>
      </c>
      <c r="C7191" t="str">
        <f>"31"</f>
        <v>31</v>
      </c>
      <c r="D7191">
        <v>6411</v>
      </c>
      <c r="E7191" t="str">
        <f>"04"</f>
        <v>04</v>
      </c>
      <c r="F7191" t="str">
        <f>"101"</f>
        <v>101</v>
      </c>
      <c r="G7191">
        <v>9</v>
      </c>
      <c r="H7191" t="str">
        <f t="shared" si="1593"/>
        <v>99</v>
      </c>
      <c r="I7191" t="str">
        <f t="shared" si="1590"/>
        <v>0</v>
      </c>
      <c r="J7191" t="str">
        <f>"23"</f>
        <v>23</v>
      </c>
      <c r="K7191">
        <v>20190712</v>
      </c>
      <c r="L7191" t="str">
        <f>"077357"</f>
        <v>077357</v>
      </c>
      <c r="M7191" t="str">
        <f>"00847"</f>
        <v>00847</v>
      </c>
      <c r="N7191" t="s">
        <v>5641</v>
      </c>
      <c r="O7191">
        <v>24.75</v>
      </c>
      <c r="P7191">
        <v>20190711</v>
      </c>
      <c r="Q7191" t="s">
        <v>5598</v>
      </c>
      <c r="R7191" t="s">
        <v>5599</v>
      </c>
      <c r="S7191" t="s">
        <v>1615</v>
      </c>
      <c r="T7191" t="s">
        <v>1479</v>
      </c>
    </row>
    <row r="7192" spans="1:20" x14ac:dyDescent="0.25">
      <c r="A7192">
        <v>9</v>
      </c>
      <c r="B7192">
        <v>199</v>
      </c>
      <c r="C7192" t="str">
        <f>"11"</f>
        <v>11</v>
      </c>
      <c r="D7192">
        <v>6249</v>
      </c>
      <c r="E7192" t="str">
        <f>"57"</f>
        <v>57</v>
      </c>
      <c r="F7192" t="str">
        <f>"001"</f>
        <v>001</v>
      </c>
      <c r="G7192">
        <v>9</v>
      </c>
      <c r="H7192" t="str">
        <f>"11"</f>
        <v>11</v>
      </c>
      <c r="I7192" t="str">
        <f t="shared" si="1590"/>
        <v>0</v>
      </c>
      <c r="J7192" t="str">
        <f>"80"</f>
        <v>80</v>
      </c>
      <c r="K7192">
        <v>20190712</v>
      </c>
      <c r="L7192" t="str">
        <f>"077358"</f>
        <v>077358</v>
      </c>
      <c r="M7192" t="str">
        <f>"00830"</f>
        <v>00830</v>
      </c>
      <c r="N7192" t="s">
        <v>5642</v>
      </c>
      <c r="O7192" s="1">
        <v>7457.64</v>
      </c>
      <c r="P7192">
        <v>20190710</v>
      </c>
      <c r="Q7192" t="s">
        <v>1796</v>
      </c>
      <c r="R7192" t="s">
        <v>5643</v>
      </c>
      <c r="S7192" t="s">
        <v>1615</v>
      </c>
      <c r="T7192" t="s">
        <v>301</v>
      </c>
    </row>
    <row r="7193" spans="1:20" x14ac:dyDescent="0.25">
      <c r="A7193">
        <v>9</v>
      </c>
      <c r="B7193">
        <v>199</v>
      </c>
      <c r="C7193" t="str">
        <f>"11"</f>
        <v>11</v>
      </c>
      <c r="D7193">
        <v>6249</v>
      </c>
      <c r="E7193" t="str">
        <f>"57"</f>
        <v>57</v>
      </c>
      <c r="F7193" t="str">
        <f>"041"</f>
        <v>041</v>
      </c>
      <c r="G7193">
        <v>9</v>
      </c>
      <c r="H7193" t="str">
        <f>"11"</f>
        <v>11</v>
      </c>
      <c r="I7193" t="str">
        <f t="shared" si="1590"/>
        <v>0</v>
      </c>
      <c r="J7193" t="str">
        <f>"80"</f>
        <v>80</v>
      </c>
      <c r="K7193">
        <v>20190712</v>
      </c>
      <c r="L7193" t="str">
        <f>"077358"</f>
        <v>077358</v>
      </c>
      <c r="M7193" t="str">
        <f>"00830"</f>
        <v>00830</v>
      </c>
      <c r="N7193" t="s">
        <v>5642</v>
      </c>
      <c r="O7193">
        <v>869.68</v>
      </c>
      <c r="P7193">
        <v>20190710</v>
      </c>
      <c r="Q7193" t="s">
        <v>1798</v>
      </c>
      <c r="R7193" t="s">
        <v>5643</v>
      </c>
      <c r="S7193" t="s">
        <v>1615</v>
      </c>
      <c r="T7193" t="s">
        <v>106</v>
      </c>
    </row>
    <row r="7194" spans="1:20" x14ac:dyDescent="0.25">
      <c r="A7194">
        <v>9</v>
      </c>
      <c r="B7194">
        <v>199</v>
      </c>
      <c r="C7194" t="str">
        <f>"11"</f>
        <v>11</v>
      </c>
      <c r="D7194">
        <v>6249</v>
      </c>
      <c r="E7194" t="str">
        <f>"57"</f>
        <v>57</v>
      </c>
      <c r="F7194" t="str">
        <f>"101"</f>
        <v>101</v>
      </c>
      <c r="G7194">
        <v>9</v>
      </c>
      <c r="H7194" t="str">
        <f>"11"</f>
        <v>11</v>
      </c>
      <c r="I7194" t="str">
        <f t="shared" si="1590"/>
        <v>0</v>
      </c>
      <c r="J7194" t="str">
        <f>"80"</f>
        <v>80</v>
      </c>
      <c r="K7194">
        <v>20190712</v>
      </c>
      <c r="L7194" t="str">
        <f>"077358"</f>
        <v>077358</v>
      </c>
      <c r="M7194" t="str">
        <f>"00830"</f>
        <v>00830</v>
      </c>
      <c r="N7194" t="s">
        <v>5642</v>
      </c>
      <c r="O7194">
        <v>810.2</v>
      </c>
      <c r="P7194">
        <v>20190710</v>
      </c>
      <c r="Q7194" t="s">
        <v>1799</v>
      </c>
      <c r="R7194" t="s">
        <v>5643</v>
      </c>
      <c r="S7194" t="s">
        <v>1615</v>
      </c>
      <c r="T7194" t="s">
        <v>1479</v>
      </c>
    </row>
    <row r="7195" spans="1:20" x14ac:dyDescent="0.25">
      <c r="A7195">
        <v>9</v>
      </c>
      <c r="B7195">
        <v>199</v>
      </c>
      <c r="C7195" t="str">
        <f>"11"</f>
        <v>11</v>
      </c>
      <c r="D7195">
        <v>6249</v>
      </c>
      <c r="E7195" t="str">
        <f>"57"</f>
        <v>57</v>
      </c>
      <c r="F7195" t="str">
        <f>"104"</f>
        <v>104</v>
      </c>
      <c r="G7195">
        <v>9</v>
      </c>
      <c r="H7195" t="str">
        <f>"11"</f>
        <v>11</v>
      </c>
      <c r="I7195" t="str">
        <f t="shared" si="1590"/>
        <v>0</v>
      </c>
      <c r="J7195" t="str">
        <f>"80"</f>
        <v>80</v>
      </c>
      <c r="K7195">
        <v>20190712</v>
      </c>
      <c r="L7195" t="str">
        <f>"077358"</f>
        <v>077358</v>
      </c>
      <c r="M7195" t="str">
        <f>"00830"</f>
        <v>00830</v>
      </c>
      <c r="N7195" t="s">
        <v>5642</v>
      </c>
      <c r="O7195">
        <v>446.93</v>
      </c>
      <c r="P7195">
        <v>20190710</v>
      </c>
      <c r="Q7195" t="s">
        <v>1800</v>
      </c>
      <c r="R7195" t="s">
        <v>5643</v>
      </c>
      <c r="S7195" t="s">
        <v>1615</v>
      </c>
      <c r="T7195" t="s">
        <v>46</v>
      </c>
    </row>
    <row r="7196" spans="1:20" x14ac:dyDescent="0.25">
      <c r="A7196">
        <v>9</v>
      </c>
      <c r="B7196">
        <v>199</v>
      </c>
      <c r="C7196" t="str">
        <f>"36"</f>
        <v>36</v>
      </c>
      <c r="D7196">
        <v>6499</v>
      </c>
      <c r="E7196" t="str">
        <f>"H2"</f>
        <v>H2</v>
      </c>
      <c r="F7196" t="str">
        <f>"001"</f>
        <v>001</v>
      </c>
      <c r="G7196">
        <v>9</v>
      </c>
      <c r="H7196" t="str">
        <f>"99"</f>
        <v>99</v>
      </c>
      <c r="I7196" t="str">
        <f t="shared" si="1590"/>
        <v>0</v>
      </c>
      <c r="J7196" t="str">
        <f>"37"</f>
        <v>37</v>
      </c>
      <c r="K7196">
        <v>20190712</v>
      </c>
      <c r="L7196" t="str">
        <f>"077359"</f>
        <v>077359</v>
      </c>
      <c r="M7196" t="str">
        <f>"25871"</f>
        <v>25871</v>
      </c>
      <c r="N7196" t="s">
        <v>1150</v>
      </c>
      <c r="O7196">
        <v>78</v>
      </c>
      <c r="P7196">
        <v>20190710</v>
      </c>
      <c r="Q7196" t="s">
        <v>2903</v>
      </c>
      <c r="R7196" t="s">
        <v>5644</v>
      </c>
      <c r="S7196" t="s">
        <v>1615</v>
      </c>
      <c r="T7196" t="s">
        <v>301</v>
      </c>
    </row>
    <row r="7197" spans="1:20" x14ac:dyDescent="0.25">
      <c r="A7197">
        <v>9</v>
      </c>
      <c r="B7197">
        <v>199</v>
      </c>
      <c r="C7197" t="str">
        <f>"13"</f>
        <v>13</v>
      </c>
      <c r="D7197">
        <v>6411</v>
      </c>
      <c r="E7197" t="str">
        <f>"PD"</f>
        <v>PD</v>
      </c>
      <c r="F7197" t="str">
        <f>"001"</f>
        <v>001</v>
      </c>
      <c r="G7197">
        <v>9</v>
      </c>
      <c r="H7197" t="str">
        <f>"31"</f>
        <v>31</v>
      </c>
      <c r="I7197" t="str">
        <f t="shared" si="1590"/>
        <v>0</v>
      </c>
      <c r="J7197" t="str">
        <f>"34"</f>
        <v>34</v>
      </c>
      <c r="K7197">
        <v>20190712</v>
      </c>
      <c r="L7197" t="str">
        <f>"077360"</f>
        <v>077360</v>
      </c>
      <c r="M7197" t="str">
        <f>"28680"</f>
        <v>28680</v>
      </c>
      <c r="N7197" t="s">
        <v>482</v>
      </c>
      <c r="O7197">
        <v>148</v>
      </c>
      <c r="P7197">
        <v>20190710</v>
      </c>
      <c r="Q7197" t="s">
        <v>2220</v>
      </c>
      <c r="R7197" t="s">
        <v>5461</v>
      </c>
      <c r="S7197" t="s">
        <v>1615</v>
      </c>
      <c r="T7197" t="s">
        <v>301</v>
      </c>
    </row>
    <row r="7198" spans="1:20" x14ac:dyDescent="0.25">
      <c r="A7198">
        <v>9</v>
      </c>
      <c r="B7198">
        <v>199</v>
      </c>
      <c r="C7198" t="str">
        <f>"36"</f>
        <v>36</v>
      </c>
      <c r="D7198">
        <v>6412</v>
      </c>
      <c r="E7198" t="str">
        <f>"11"</f>
        <v>11</v>
      </c>
      <c r="F7198" t="str">
        <f>"001"</f>
        <v>001</v>
      </c>
      <c r="G7198">
        <v>9</v>
      </c>
      <c r="H7198" t="str">
        <f>"99"</f>
        <v>99</v>
      </c>
      <c r="I7198" t="str">
        <f>"5"</f>
        <v>5</v>
      </c>
      <c r="J7198" t="str">
        <f>"74"</f>
        <v>74</v>
      </c>
      <c r="K7198">
        <v>20190712</v>
      </c>
      <c r="L7198" t="str">
        <f>"077360"</f>
        <v>077360</v>
      </c>
      <c r="M7198" t="str">
        <f>"28680"</f>
        <v>28680</v>
      </c>
      <c r="N7198" t="s">
        <v>482</v>
      </c>
      <c r="O7198">
        <v>728.22</v>
      </c>
      <c r="P7198">
        <v>20190710</v>
      </c>
      <c r="Q7198" t="s">
        <v>5145</v>
      </c>
      <c r="R7198" t="s">
        <v>5146</v>
      </c>
      <c r="S7198" t="s">
        <v>1615</v>
      </c>
      <c r="T7198" t="s">
        <v>301</v>
      </c>
    </row>
    <row r="7199" spans="1:20" x14ac:dyDescent="0.25">
      <c r="A7199">
        <v>9</v>
      </c>
      <c r="B7199">
        <v>199</v>
      </c>
      <c r="C7199" t="str">
        <f>"36"</f>
        <v>36</v>
      </c>
      <c r="D7199">
        <v>6412</v>
      </c>
      <c r="E7199" t="str">
        <f>"NA"</f>
        <v>NA</v>
      </c>
      <c r="F7199" t="str">
        <f>"001"</f>
        <v>001</v>
      </c>
      <c r="G7199">
        <v>9</v>
      </c>
      <c r="H7199" t="str">
        <f>"99"</f>
        <v>99</v>
      </c>
      <c r="I7199" t="str">
        <f>"5"</f>
        <v>5</v>
      </c>
      <c r="J7199" t="str">
        <f>"74"</f>
        <v>74</v>
      </c>
      <c r="K7199">
        <v>20190712</v>
      </c>
      <c r="L7199" t="str">
        <f>"077360"</f>
        <v>077360</v>
      </c>
      <c r="M7199" t="str">
        <f>"28680"</f>
        <v>28680</v>
      </c>
      <c r="N7199" t="s">
        <v>482</v>
      </c>
      <c r="O7199">
        <v>835.86</v>
      </c>
      <c r="P7199">
        <v>20190710</v>
      </c>
      <c r="Q7199" t="s">
        <v>4414</v>
      </c>
      <c r="R7199" t="s">
        <v>4701</v>
      </c>
      <c r="S7199" t="s">
        <v>1615</v>
      </c>
      <c r="T7199" t="s">
        <v>301</v>
      </c>
    </row>
    <row r="7200" spans="1:20" x14ac:dyDescent="0.25">
      <c r="A7200">
        <v>9</v>
      </c>
      <c r="B7200">
        <v>199</v>
      </c>
      <c r="C7200" t="str">
        <f>"00"</f>
        <v>00</v>
      </c>
      <c r="D7200">
        <v>1312</v>
      </c>
      <c r="E7200" t="str">
        <f>"00"</f>
        <v>00</v>
      </c>
      <c r="F7200" t="str">
        <f>"000"</f>
        <v>000</v>
      </c>
      <c r="G7200">
        <v>9</v>
      </c>
      <c r="H7200" t="str">
        <f>"00"</f>
        <v>00</v>
      </c>
      <c r="I7200" t="str">
        <f t="shared" ref="I7200:I7241" si="1597">"0"</f>
        <v>0</v>
      </c>
      <c r="J7200" t="str">
        <f>"00"</f>
        <v>00</v>
      </c>
      <c r="K7200">
        <v>20190712</v>
      </c>
      <c r="L7200" t="str">
        <f>"077361"</f>
        <v>077361</v>
      </c>
      <c r="M7200" t="str">
        <f>"29610"</f>
        <v>29610</v>
      </c>
      <c r="N7200" t="s">
        <v>2067</v>
      </c>
      <c r="O7200">
        <v>641.25</v>
      </c>
      <c r="P7200">
        <v>20190710</v>
      </c>
      <c r="Q7200" t="s">
        <v>1860</v>
      </c>
      <c r="R7200" t="s">
        <v>2544</v>
      </c>
      <c r="S7200" t="s">
        <v>1615</v>
      </c>
      <c r="T7200" t="s">
        <v>296</v>
      </c>
    </row>
    <row r="7201" spans="1:20" x14ac:dyDescent="0.25">
      <c r="A7201">
        <v>9</v>
      </c>
      <c r="B7201">
        <v>199</v>
      </c>
      <c r="C7201" t="str">
        <f>"00"</f>
        <v>00</v>
      </c>
      <c r="D7201">
        <v>1312</v>
      </c>
      <c r="E7201" t="str">
        <f>"00"</f>
        <v>00</v>
      </c>
      <c r="F7201" t="str">
        <f>"000"</f>
        <v>000</v>
      </c>
      <c r="G7201">
        <v>9</v>
      </c>
      <c r="H7201" t="str">
        <f>"00"</f>
        <v>00</v>
      </c>
      <c r="I7201" t="str">
        <f t="shared" si="1597"/>
        <v>0</v>
      </c>
      <c r="J7201" t="str">
        <f>"00"</f>
        <v>00</v>
      </c>
      <c r="K7201">
        <v>20190712</v>
      </c>
      <c r="L7201" t="str">
        <f>"077361"</f>
        <v>077361</v>
      </c>
      <c r="M7201" t="str">
        <f>"29610"</f>
        <v>29610</v>
      </c>
      <c r="N7201" t="s">
        <v>2067</v>
      </c>
      <c r="O7201">
        <v>168.1</v>
      </c>
      <c r="P7201">
        <v>20190710</v>
      </c>
      <c r="Q7201" t="s">
        <v>1860</v>
      </c>
      <c r="R7201" t="s">
        <v>5645</v>
      </c>
      <c r="S7201" t="s">
        <v>1615</v>
      </c>
      <c r="T7201" t="s">
        <v>296</v>
      </c>
    </row>
    <row r="7202" spans="1:20" x14ac:dyDescent="0.25">
      <c r="A7202">
        <v>9</v>
      </c>
      <c r="B7202">
        <v>199</v>
      </c>
      <c r="C7202" t="str">
        <f>"41"</f>
        <v>41</v>
      </c>
      <c r="D7202">
        <v>6397</v>
      </c>
      <c r="E7202" t="str">
        <f>"10"</f>
        <v>10</v>
      </c>
      <c r="F7202" t="str">
        <f>"730"</f>
        <v>730</v>
      </c>
      <c r="G7202">
        <v>9</v>
      </c>
      <c r="H7202" t="str">
        <f>"99"</f>
        <v>99</v>
      </c>
      <c r="I7202" t="str">
        <f t="shared" si="1597"/>
        <v>0</v>
      </c>
      <c r="J7202" t="str">
        <f>"95"</f>
        <v>95</v>
      </c>
      <c r="K7202">
        <v>20190712</v>
      </c>
      <c r="L7202" t="str">
        <f>"077362"</f>
        <v>077362</v>
      </c>
      <c r="M7202" t="str">
        <f>"29622"</f>
        <v>29622</v>
      </c>
      <c r="N7202" t="s">
        <v>1724</v>
      </c>
      <c r="O7202">
        <v>91.71</v>
      </c>
      <c r="P7202">
        <v>20190710</v>
      </c>
      <c r="Q7202" t="s">
        <v>5646</v>
      </c>
      <c r="R7202" t="s">
        <v>1726</v>
      </c>
      <c r="S7202" t="s">
        <v>1615</v>
      </c>
      <c r="T7202" t="s">
        <v>1794</v>
      </c>
    </row>
    <row r="7203" spans="1:20" x14ac:dyDescent="0.25">
      <c r="A7203">
        <v>9</v>
      </c>
      <c r="B7203">
        <v>199</v>
      </c>
      <c r="C7203" t="str">
        <f>"34"</f>
        <v>34</v>
      </c>
      <c r="D7203">
        <v>6249</v>
      </c>
      <c r="E7203" t="str">
        <f>"10"</f>
        <v>10</v>
      </c>
      <c r="F7203" t="str">
        <f>"937"</f>
        <v>937</v>
      </c>
      <c r="G7203">
        <v>9</v>
      </c>
      <c r="H7203" t="str">
        <f>"99"</f>
        <v>99</v>
      </c>
      <c r="I7203" t="str">
        <f t="shared" si="1597"/>
        <v>0</v>
      </c>
      <c r="J7203" t="str">
        <f>"82"</f>
        <v>82</v>
      </c>
      <c r="K7203">
        <v>20190712</v>
      </c>
      <c r="L7203" t="str">
        <f>"077363"</f>
        <v>077363</v>
      </c>
      <c r="M7203" t="str">
        <f>"30130"</f>
        <v>30130</v>
      </c>
      <c r="N7203" t="s">
        <v>3025</v>
      </c>
      <c r="O7203">
        <v>490</v>
      </c>
      <c r="P7203">
        <v>20190710</v>
      </c>
      <c r="Q7203" t="s">
        <v>2036</v>
      </c>
      <c r="R7203" t="s">
        <v>5258</v>
      </c>
      <c r="S7203" t="s">
        <v>1615</v>
      </c>
      <c r="T7203" t="s">
        <v>1810</v>
      </c>
    </row>
    <row r="7204" spans="1:20" x14ac:dyDescent="0.25">
      <c r="A7204">
        <v>9</v>
      </c>
      <c r="B7204">
        <v>199</v>
      </c>
      <c r="C7204" t="str">
        <f>"34"</f>
        <v>34</v>
      </c>
      <c r="D7204">
        <v>6249</v>
      </c>
      <c r="E7204" t="str">
        <f>"10"</f>
        <v>10</v>
      </c>
      <c r="F7204" t="str">
        <f>"937"</f>
        <v>937</v>
      </c>
      <c r="G7204">
        <v>9</v>
      </c>
      <c r="H7204" t="str">
        <f>"99"</f>
        <v>99</v>
      </c>
      <c r="I7204" t="str">
        <f t="shared" si="1597"/>
        <v>0</v>
      </c>
      <c r="J7204" t="str">
        <f>"82"</f>
        <v>82</v>
      </c>
      <c r="K7204">
        <v>20190712</v>
      </c>
      <c r="L7204" t="str">
        <f>"077363"</f>
        <v>077363</v>
      </c>
      <c r="M7204" t="str">
        <f>"30130"</f>
        <v>30130</v>
      </c>
      <c r="N7204" t="s">
        <v>3025</v>
      </c>
      <c r="O7204">
        <v>343.54</v>
      </c>
      <c r="P7204">
        <v>20190710</v>
      </c>
      <c r="Q7204" t="s">
        <v>2036</v>
      </c>
      <c r="R7204" t="s">
        <v>5647</v>
      </c>
      <c r="S7204" t="s">
        <v>1615</v>
      </c>
      <c r="T7204" t="s">
        <v>1810</v>
      </c>
    </row>
    <row r="7205" spans="1:20" x14ac:dyDescent="0.25">
      <c r="A7205">
        <v>9</v>
      </c>
      <c r="B7205">
        <v>199</v>
      </c>
      <c r="C7205" t="str">
        <f>"51"</f>
        <v>51</v>
      </c>
      <c r="D7205">
        <v>6299</v>
      </c>
      <c r="E7205" t="str">
        <f>"10"</f>
        <v>10</v>
      </c>
      <c r="F7205" t="str">
        <f>"936"</f>
        <v>936</v>
      </c>
      <c r="G7205">
        <v>9</v>
      </c>
      <c r="H7205" t="str">
        <f>"99"</f>
        <v>99</v>
      </c>
      <c r="I7205" t="str">
        <f t="shared" si="1597"/>
        <v>0</v>
      </c>
      <c r="J7205" t="str">
        <f>"81"</f>
        <v>81</v>
      </c>
      <c r="K7205">
        <v>20190712</v>
      </c>
      <c r="L7205" t="str">
        <f>"077366"</f>
        <v>077366</v>
      </c>
      <c r="M7205" t="str">
        <f>"31321"</f>
        <v>31321</v>
      </c>
      <c r="N7205" t="s">
        <v>5173</v>
      </c>
      <c r="O7205" s="1">
        <v>10500</v>
      </c>
      <c r="P7205">
        <v>20190710</v>
      </c>
      <c r="Q7205" t="s">
        <v>5648</v>
      </c>
      <c r="R7205" t="s">
        <v>5649</v>
      </c>
      <c r="S7205" t="s">
        <v>1615</v>
      </c>
      <c r="T7205" t="s">
        <v>1713</v>
      </c>
    </row>
    <row r="7206" spans="1:20" x14ac:dyDescent="0.25">
      <c r="A7206">
        <v>9</v>
      </c>
      <c r="B7206">
        <v>199</v>
      </c>
      <c r="C7206" t="str">
        <f>"11"</f>
        <v>11</v>
      </c>
      <c r="D7206">
        <v>6399</v>
      </c>
      <c r="E7206" t="str">
        <f>"8U"</f>
        <v>8U</v>
      </c>
      <c r="F7206" t="str">
        <f>"041"</f>
        <v>041</v>
      </c>
      <c r="G7206">
        <v>9</v>
      </c>
      <c r="H7206" t="str">
        <f>"11"</f>
        <v>11</v>
      </c>
      <c r="I7206" t="str">
        <f t="shared" si="1597"/>
        <v>0</v>
      </c>
      <c r="J7206" t="str">
        <f>"03"</f>
        <v>03</v>
      </c>
      <c r="K7206">
        <v>20190712</v>
      </c>
      <c r="L7206" t="str">
        <f>"077374"</f>
        <v>077374</v>
      </c>
      <c r="M7206" t="str">
        <f>"34680"</f>
        <v>34680</v>
      </c>
      <c r="N7206" t="s">
        <v>2228</v>
      </c>
      <c r="O7206">
        <v>24.72</v>
      </c>
      <c r="P7206">
        <v>20190710</v>
      </c>
      <c r="Q7206" t="s">
        <v>2229</v>
      </c>
      <c r="R7206" t="s">
        <v>5650</v>
      </c>
      <c r="S7206" t="s">
        <v>1615</v>
      </c>
      <c r="T7206" t="s">
        <v>106</v>
      </c>
    </row>
    <row r="7207" spans="1:20" x14ac:dyDescent="0.25">
      <c r="A7207">
        <v>9</v>
      </c>
      <c r="B7207">
        <v>199</v>
      </c>
      <c r="C7207" t="str">
        <f>"11"</f>
        <v>11</v>
      </c>
      <c r="D7207">
        <v>6399</v>
      </c>
      <c r="E7207" t="str">
        <f>"8U"</f>
        <v>8U</v>
      </c>
      <c r="F7207" t="str">
        <f>"041"</f>
        <v>041</v>
      </c>
      <c r="G7207">
        <v>9</v>
      </c>
      <c r="H7207" t="str">
        <f>"11"</f>
        <v>11</v>
      </c>
      <c r="I7207" t="str">
        <f t="shared" si="1597"/>
        <v>0</v>
      </c>
      <c r="J7207" t="str">
        <f>"03"</f>
        <v>03</v>
      </c>
      <c r="K7207">
        <v>20190712</v>
      </c>
      <c r="L7207" t="str">
        <f>"077374"</f>
        <v>077374</v>
      </c>
      <c r="M7207" t="str">
        <f>"34680"</f>
        <v>34680</v>
      </c>
      <c r="N7207" t="s">
        <v>2228</v>
      </c>
      <c r="O7207" s="1">
        <v>1132.92</v>
      </c>
      <c r="P7207">
        <v>20190710</v>
      </c>
      <c r="Q7207" t="s">
        <v>2229</v>
      </c>
      <c r="R7207" t="s">
        <v>5651</v>
      </c>
      <c r="S7207" t="s">
        <v>1615</v>
      </c>
      <c r="T7207" t="s">
        <v>106</v>
      </c>
    </row>
    <row r="7208" spans="1:20" x14ac:dyDescent="0.25">
      <c r="A7208">
        <v>9</v>
      </c>
      <c r="B7208">
        <v>199</v>
      </c>
      <c r="C7208" t="str">
        <f>"11"</f>
        <v>11</v>
      </c>
      <c r="D7208">
        <v>6399</v>
      </c>
      <c r="E7208" t="str">
        <f>"8U"</f>
        <v>8U</v>
      </c>
      <c r="F7208" t="str">
        <f>"041"</f>
        <v>041</v>
      </c>
      <c r="G7208">
        <v>9</v>
      </c>
      <c r="H7208" t="str">
        <f>"11"</f>
        <v>11</v>
      </c>
      <c r="I7208" t="str">
        <f t="shared" si="1597"/>
        <v>0</v>
      </c>
      <c r="J7208" t="str">
        <f>"03"</f>
        <v>03</v>
      </c>
      <c r="K7208">
        <v>20190712</v>
      </c>
      <c r="L7208" t="str">
        <f>"077374"</f>
        <v>077374</v>
      </c>
      <c r="M7208" t="str">
        <f>"34680"</f>
        <v>34680</v>
      </c>
      <c r="N7208" t="s">
        <v>2228</v>
      </c>
      <c r="O7208">
        <v>671.73</v>
      </c>
      <c r="P7208">
        <v>20190710</v>
      </c>
      <c r="Q7208" t="s">
        <v>2229</v>
      </c>
      <c r="R7208" t="s">
        <v>5652</v>
      </c>
      <c r="S7208" t="s">
        <v>1615</v>
      </c>
      <c r="T7208" t="s">
        <v>106</v>
      </c>
    </row>
    <row r="7209" spans="1:20" x14ac:dyDescent="0.25">
      <c r="A7209">
        <v>9</v>
      </c>
      <c r="B7209">
        <v>199</v>
      </c>
      <c r="C7209" t="str">
        <f>"11"</f>
        <v>11</v>
      </c>
      <c r="D7209">
        <v>6399</v>
      </c>
      <c r="E7209" t="str">
        <f>"75"</f>
        <v>75</v>
      </c>
      <c r="F7209" t="str">
        <f>"041"</f>
        <v>041</v>
      </c>
      <c r="G7209">
        <v>9</v>
      </c>
      <c r="H7209" t="str">
        <f>"11"</f>
        <v>11</v>
      </c>
      <c r="I7209" t="str">
        <f t="shared" si="1597"/>
        <v>0</v>
      </c>
      <c r="J7209" t="str">
        <f>"03"</f>
        <v>03</v>
      </c>
      <c r="K7209">
        <v>20190712</v>
      </c>
      <c r="L7209" t="str">
        <f>"077375"</f>
        <v>077375</v>
      </c>
      <c r="M7209" t="str">
        <f>"37500"</f>
        <v>37500</v>
      </c>
      <c r="N7209" t="s">
        <v>2077</v>
      </c>
      <c r="O7209">
        <v>35.72</v>
      </c>
      <c r="P7209">
        <v>20190710</v>
      </c>
      <c r="Q7209" t="s">
        <v>5653</v>
      </c>
      <c r="R7209" t="s">
        <v>5654</v>
      </c>
      <c r="S7209" t="s">
        <v>1615</v>
      </c>
      <c r="T7209" t="s">
        <v>106</v>
      </c>
    </row>
    <row r="7210" spans="1:20" x14ac:dyDescent="0.25">
      <c r="A7210">
        <v>9</v>
      </c>
      <c r="B7210">
        <v>199</v>
      </c>
      <c r="C7210" t="str">
        <f>"11"</f>
        <v>11</v>
      </c>
      <c r="D7210">
        <v>6399</v>
      </c>
      <c r="E7210" t="str">
        <f>"75"</f>
        <v>75</v>
      </c>
      <c r="F7210" t="str">
        <f>"041"</f>
        <v>041</v>
      </c>
      <c r="G7210">
        <v>9</v>
      </c>
      <c r="H7210" t="str">
        <f>"11"</f>
        <v>11</v>
      </c>
      <c r="I7210" t="str">
        <f t="shared" si="1597"/>
        <v>0</v>
      </c>
      <c r="J7210" t="str">
        <f>"03"</f>
        <v>03</v>
      </c>
      <c r="K7210">
        <v>20190712</v>
      </c>
      <c r="L7210" t="str">
        <f>"077375"</f>
        <v>077375</v>
      </c>
      <c r="M7210" t="str">
        <f>"37500"</f>
        <v>37500</v>
      </c>
      <c r="N7210" t="s">
        <v>2077</v>
      </c>
      <c r="O7210">
        <v>13.96</v>
      </c>
      <c r="P7210">
        <v>20190710</v>
      </c>
      <c r="Q7210" t="s">
        <v>5653</v>
      </c>
      <c r="R7210" t="s">
        <v>5654</v>
      </c>
      <c r="S7210" t="s">
        <v>1615</v>
      </c>
      <c r="T7210" t="s">
        <v>106</v>
      </c>
    </row>
    <row r="7211" spans="1:20" x14ac:dyDescent="0.25">
      <c r="A7211">
        <v>9</v>
      </c>
      <c r="B7211">
        <v>199</v>
      </c>
      <c r="C7211" t="str">
        <f>"41"</f>
        <v>41</v>
      </c>
      <c r="D7211">
        <v>6498</v>
      </c>
      <c r="E7211" t="str">
        <f>"10"</f>
        <v>10</v>
      </c>
      <c r="F7211" t="str">
        <f>"701"</f>
        <v>701</v>
      </c>
      <c r="G7211">
        <v>9</v>
      </c>
      <c r="H7211" t="str">
        <f>"99"</f>
        <v>99</v>
      </c>
      <c r="I7211" t="str">
        <f t="shared" si="1597"/>
        <v>0</v>
      </c>
      <c r="J7211" t="str">
        <f>"92"</f>
        <v>92</v>
      </c>
      <c r="K7211">
        <v>20190712</v>
      </c>
      <c r="L7211" t="str">
        <f>"077375"</f>
        <v>077375</v>
      </c>
      <c r="M7211" t="str">
        <f>"37500"</f>
        <v>37500</v>
      </c>
      <c r="N7211" t="s">
        <v>2077</v>
      </c>
      <c r="O7211">
        <v>82.54</v>
      </c>
      <c r="P7211">
        <v>20190710</v>
      </c>
      <c r="Q7211" t="s">
        <v>2202</v>
      </c>
      <c r="R7211" t="s">
        <v>5655</v>
      </c>
      <c r="S7211" t="s">
        <v>1615</v>
      </c>
      <c r="T7211" t="s">
        <v>1841</v>
      </c>
    </row>
    <row r="7212" spans="1:20" x14ac:dyDescent="0.25">
      <c r="A7212">
        <v>9</v>
      </c>
      <c r="B7212">
        <v>199</v>
      </c>
      <c r="C7212" t="str">
        <f t="shared" ref="C7212:C7233" si="1598">"11"</f>
        <v>11</v>
      </c>
      <c r="D7212">
        <v>6399</v>
      </c>
      <c r="E7212" t="str">
        <f t="shared" ref="E7212:E7219" si="1599">"V1"</f>
        <v>V1</v>
      </c>
      <c r="F7212" t="str">
        <f t="shared" ref="F7212:F7219" si="1600">"001"</f>
        <v>001</v>
      </c>
      <c r="G7212">
        <v>9</v>
      </c>
      <c r="H7212" t="str">
        <f t="shared" ref="H7212:H7219" si="1601">"22"</f>
        <v>22</v>
      </c>
      <c r="I7212" t="str">
        <f t="shared" si="1597"/>
        <v>0</v>
      </c>
      <c r="J7212" t="str">
        <f t="shared" ref="J7212:J7219" si="1602">"22"</f>
        <v>22</v>
      </c>
      <c r="K7212">
        <v>20190712</v>
      </c>
      <c r="L7212" t="str">
        <f t="shared" ref="L7212:L7219" si="1603">"077376"</f>
        <v>077376</v>
      </c>
      <c r="M7212" t="str">
        <f t="shared" ref="M7212:M7219" si="1604">"00827"</f>
        <v>00827</v>
      </c>
      <c r="N7212" t="s">
        <v>5656</v>
      </c>
      <c r="O7212" s="1">
        <v>2155.66</v>
      </c>
      <c r="P7212">
        <v>20190710</v>
      </c>
      <c r="Q7212" t="s">
        <v>5437</v>
      </c>
      <c r="R7212" t="s">
        <v>5657</v>
      </c>
      <c r="S7212" t="s">
        <v>1615</v>
      </c>
      <c r="T7212" t="s">
        <v>301</v>
      </c>
    </row>
    <row r="7213" spans="1:20" x14ac:dyDescent="0.25">
      <c r="A7213">
        <v>9</v>
      </c>
      <c r="B7213">
        <v>199</v>
      </c>
      <c r="C7213" t="str">
        <f t="shared" si="1598"/>
        <v>11</v>
      </c>
      <c r="D7213">
        <v>6399</v>
      </c>
      <c r="E7213" t="str">
        <f t="shared" si="1599"/>
        <v>V1</v>
      </c>
      <c r="F7213" t="str">
        <f t="shared" si="1600"/>
        <v>001</v>
      </c>
      <c r="G7213">
        <v>9</v>
      </c>
      <c r="H7213" t="str">
        <f t="shared" si="1601"/>
        <v>22</v>
      </c>
      <c r="I7213" t="str">
        <f t="shared" si="1597"/>
        <v>0</v>
      </c>
      <c r="J7213" t="str">
        <f t="shared" si="1602"/>
        <v>22</v>
      </c>
      <c r="K7213">
        <v>20190712</v>
      </c>
      <c r="L7213" t="str">
        <f t="shared" si="1603"/>
        <v>077376</v>
      </c>
      <c r="M7213" t="str">
        <f t="shared" si="1604"/>
        <v>00827</v>
      </c>
      <c r="N7213" t="s">
        <v>5656</v>
      </c>
      <c r="O7213">
        <v>24.21</v>
      </c>
      <c r="P7213">
        <v>20190710</v>
      </c>
      <c r="Q7213" t="s">
        <v>5437</v>
      </c>
      <c r="R7213" t="s">
        <v>5658</v>
      </c>
      <c r="S7213" t="s">
        <v>1615</v>
      </c>
      <c r="T7213" t="s">
        <v>301</v>
      </c>
    </row>
    <row r="7214" spans="1:20" x14ac:dyDescent="0.25">
      <c r="A7214">
        <v>9</v>
      </c>
      <c r="B7214">
        <v>199</v>
      </c>
      <c r="C7214" t="str">
        <f t="shared" si="1598"/>
        <v>11</v>
      </c>
      <c r="D7214">
        <v>6399</v>
      </c>
      <c r="E7214" t="str">
        <f t="shared" si="1599"/>
        <v>V1</v>
      </c>
      <c r="F7214" t="str">
        <f t="shared" si="1600"/>
        <v>001</v>
      </c>
      <c r="G7214">
        <v>9</v>
      </c>
      <c r="H7214" t="str">
        <f t="shared" si="1601"/>
        <v>22</v>
      </c>
      <c r="I7214" t="str">
        <f t="shared" si="1597"/>
        <v>0</v>
      </c>
      <c r="J7214" t="str">
        <f t="shared" si="1602"/>
        <v>22</v>
      </c>
      <c r="K7214">
        <v>20190712</v>
      </c>
      <c r="L7214" t="str">
        <f t="shared" si="1603"/>
        <v>077376</v>
      </c>
      <c r="M7214" t="str">
        <f t="shared" si="1604"/>
        <v>00827</v>
      </c>
      <c r="N7214" t="s">
        <v>5656</v>
      </c>
      <c r="O7214">
        <v>24.63</v>
      </c>
      <c r="P7214">
        <v>20190710</v>
      </c>
      <c r="Q7214" t="s">
        <v>5437</v>
      </c>
      <c r="R7214" t="s">
        <v>5659</v>
      </c>
      <c r="S7214" t="s">
        <v>1615</v>
      </c>
      <c r="T7214" t="s">
        <v>301</v>
      </c>
    </row>
    <row r="7215" spans="1:20" x14ac:dyDescent="0.25">
      <c r="A7215">
        <v>9</v>
      </c>
      <c r="B7215">
        <v>199</v>
      </c>
      <c r="C7215" t="str">
        <f t="shared" si="1598"/>
        <v>11</v>
      </c>
      <c r="D7215">
        <v>6399</v>
      </c>
      <c r="E7215" t="str">
        <f t="shared" si="1599"/>
        <v>V1</v>
      </c>
      <c r="F7215" t="str">
        <f t="shared" si="1600"/>
        <v>001</v>
      </c>
      <c r="G7215">
        <v>9</v>
      </c>
      <c r="H7215" t="str">
        <f t="shared" si="1601"/>
        <v>22</v>
      </c>
      <c r="I7215" t="str">
        <f t="shared" si="1597"/>
        <v>0</v>
      </c>
      <c r="J7215" t="str">
        <f t="shared" si="1602"/>
        <v>22</v>
      </c>
      <c r="K7215">
        <v>20190712</v>
      </c>
      <c r="L7215" t="str">
        <f t="shared" si="1603"/>
        <v>077376</v>
      </c>
      <c r="M7215" t="str">
        <f t="shared" si="1604"/>
        <v>00827</v>
      </c>
      <c r="N7215" t="s">
        <v>5656</v>
      </c>
      <c r="O7215">
        <v>178.29</v>
      </c>
      <c r="P7215">
        <v>20190710</v>
      </c>
      <c r="Q7215" t="s">
        <v>5437</v>
      </c>
      <c r="R7215" t="s">
        <v>5660</v>
      </c>
      <c r="S7215" t="s">
        <v>1615</v>
      </c>
      <c r="T7215" t="s">
        <v>301</v>
      </c>
    </row>
    <row r="7216" spans="1:20" x14ac:dyDescent="0.25">
      <c r="A7216">
        <v>9</v>
      </c>
      <c r="B7216">
        <v>199</v>
      </c>
      <c r="C7216" t="str">
        <f t="shared" si="1598"/>
        <v>11</v>
      </c>
      <c r="D7216">
        <v>6399</v>
      </c>
      <c r="E7216" t="str">
        <f t="shared" si="1599"/>
        <v>V1</v>
      </c>
      <c r="F7216" t="str">
        <f t="shared" si="1600"/>
        <v>001</v>
      </c>
      <c r="G7216">
        <v>9</v>
      </c>
      <c r="H7216" t="str">
        <f t="shared" si="1601"/>
        <v>22</v>
      </c>
      <c r="I7216" t="str">
        <f t="shared" si="1597"/>
        <v>0</v>
      </c>
      <c r="J7216" t="str">
        <f t="shared" si="1602"/>
        <v>22</v>
      </c>
      <c r="K7216">
        <v>20190712</v>
      </c>
      <c r="L7216" t="str">
        <f t="shared" si="1603"/>
        <v>077376</v>
      </c>
      <c r="M7216" t="str">
        <f t="shared" si="1604"/>
        <v>00827</v>
      </c>
      <c r="N7216" t="s">
        <v>5656</v>
      </c>
      <c r="O7216">
        <v>93.09</v>
      </c>
      <c r="P7216">
        <v>20190710</v>
      </c>
      <c r="Q7216" t="s">
        <v>5437</v>
      </c>
      <c r="R7216" t="s">
        <v>5661</v>
      </c>
      <c r="S7216" t="s">
        <v>1615</v>
      </c>
      <c r="T7216" t="s">
        <v>301</v>
      </c>
    </row>
    <row r="7217" spans="1:20" x14ac:dyDescent="0.25">
      <c r="A7217">
        <v>9</v>
      </c>
      <c r="B7217">
        <v>199</v>
      </c>
      <c r="C7217" t="str">
        <f t="shared" si="1598"/>
        <v>11</v>
      </c>
      <c r="D7217">
        <v>6399</v>
      </c>
      <c r="E7217" t="str">
        <f t="shared" si="1599"/>
        <v>V1</v>
      </c>
      <c r="F7217" t="str">
        <f t="shared" si="1600"/>
        <v>001</v>
      </c>
      <c r="G7217">
        <v>9</v>
      </c>
      <c r="H7217" t="str">
        <f t="shared" si="1601"/>
        <v>22</v>
      </c>
      <c r="I7217" t="str">
        <f t="shared" si="1597"/>
        <v>0</v>
      </c>
      <c r="J7217" t="str">
        <f t="shared" si="1602"/>
        <v>22</v>
      </c>
      <c r="K7217">
        <v>20190712</v>
      </c>
      <c r="L7217" t="str">
        <f t="shared" si="1603"/>
        <v>077376</v>
      </c>
      <c r="M7217" t="str">
        <f t="shared" si="1604"/>
        <v>00827</v>
      </c>
      <c r="N7217" t="s">
        <v>5656</v>
      </c>
      <c r="O7217">
        <v>480.57</v>
      </c>
      <c r="P7217">
        <v>20190710</v>
      </c>
      <c r="Q7217" t="s">
        <v>5437</v>
      </c>
      <c r="R7217" t="s">
        <v>5662</v>
      </c>
      <c r="S7217" t="s">
        <v>1615</v>
      </c>
      <c r="T7217" t="s">
        <v>301</v>
      </c>
    </row>
    <row r="7218" spans="1:20" x14ac:dyDescent="0.25">
      <c r="A7218">
        <v>9</v>
      </c>
      <c r="B7218">
        <v>199</v>
      </c>
      <c r="C7218" t="str">
        <f t="shared" si="1598"/>
        <v>11</v>
      </c>
      <c r="D7218">
        <v>6399</v>
      </c>
      <c r="E7218" t="str">
        <f t="shared" si="1599"/>
        <v>V1</v>
      </c>
      <c r="F7218" t="str">
        <f t="shared" si="1600"/>
        <v>001</v>
      </c>
      <c r="G7218">
        <v>9</v>
      </c>
      <c r="H7218" t="str">
        <f t="shared" si="1601"/>
        <v>22</v>
      </c>
      <c r="I7218" t="str">
        <f t="shared" si="1597"/>
        <v>0</v>
      </c>
      <c r="J7218" t="str">
        <f t="shared" si="1602"/>
        <v>22</v>
      </c>
      <c r="K7218">
        <v>20190712</v>
      </c>
      <c r="L7218" t="str">
        <f t="shared" si="1603"/>
        <v>077376</v>
      </c>
      <c r="M7218" t="str">
        <f t="shared" si="1604"/>
        <v>00827</v>
      </c>
      <c r="N7218" t="s">
        <v>5656</v>
      </c>
      <c r="O7218">
        <v>41.33</v>
      </c>
      <c r="P7218">
        <v>20190710</v>
      </c>
      <c r="Q7218" t="s">
        <v>5437</v>
      </c>
      <c r="R7218" t="s">
        <v>5663</v>
      </c>
      <c r="S7218" t="s">
        <v>1615</v>
      </c>
      <c r="T7218" t="s">
        <v>301</v>
      </c>
    </row>
    <row r="7219" spans="1:20" x14ac:dyDescent="0.25">
      <c r="A7219">
        <v>9</v>
      </c>
      <c r="B7219">
        <v>199</v>
      </c>
      <c r="C7219" t="str">
        <f t="shared" si="1598"/>
        <v>11</v>
      </c>
      <c r="D7219">
        <v>6399</v>
      </c>
      <c r="E7219" t="str">
        <f t="shared" si="1599"/>
        <v>V1</v>
      </c>
      <c r="F7219" t="str">
        <f t="shared" si="1600"/>
        <v>001</v>
      </c>
      <c r="G7219">
        <v>9</v>
      </c>
      <c r="H7219" t="str">
        <f t="shared" si="1601"/>
        <v>22</v>
      </c>
      <c r="I7219" t="str">
        <f t="shared" si="1597"/>
        <v>0</v>
      </c>
      <c r="J7219" t="str">
        <f t="shared" si="1602"/>
        <v>22</v>
      </c>
      <c r="K7219">
        <v>20190712</v>
      </c>
      <c r="L7219" t="str">
        <f t="shared" si="1603"/>
        <v>077376</v>
      </c>
      <c r="M7219" t="str">
        <f t="shared" si="1604"/>
        <v>00827</v>
      </c>
      <c r="N7219" t="s">
        <v>5656</v>
      </c>
      <c r="O7219">
        <v>58.63</v>
      </c>
      <c r="P7219">
        <v>20190710</v>
      </c>
      <c r="Q7219" t="s">
        <v>5437</v>
      </c>
      <c r="R7219" t="s">
        <v>5664</v>
      </c>
      <c r="S7219" t="s">
        <v>1615</v>
      </c>
      <c r="T7219" t="s">
        <v>301</v>
      </c>
    </row>
    <row r="7220" spans="1:20" x14ac:dyDescent="0.25">
      <c r="A7220">
        <v>9</v>
      </c>
      <c r="B7220">
        <v>199</v>
      </c>
      <c r="C7220" t="str">
        <f t="shared" si="1598"/>
        <v>11</v>
      </c>
      <c r="D7220">
        <v>6249</v>
      </c>
      <c r="E7220" t="str">
        <f t="shared" ref="E7220:E7233" si="1605">"7B"</f>
        <v>7B</v>
      </c>
      <c r="F7220" t="str">
        <f t="shared" ref="F7220:F7233" si="1606">"041"</f>
        <v>041</v>
      </c>
      <c r="G7220">
        <v>9</v>
      </c>
      <c r="H7220" t="str">
        <f t="shared" ref="H7220:H7233" si="1607">"11"</f>
        <v>11</v>
      </c>
      <c r="I7220" t="str">
        <f t="shared" si="1597"/>
        <v>0</v>
      </c>
      <c r="J7220" t="str">
        <f t="shared" ref="J7220:J7233" si="1608">"36"</f>
        <v>36</v>
      </c>
      <c r="K7220">
        <v>20190712</v>
      </c>
      <c r="L7220" t="str">
        <f t="shared" ref="L7220:L7233" si="1609">"077377"</f>
        <v>077377</v>
      </c>
      <c r="M7220" t="str">
        <f t="shared" ref="M7220:M7233" si="1610">"39572"</f>
        <v>39572</v>
      </c>
      <c r="N7220" t="s">
        <v>2233</v>
      </c>
      <c r="O7220">
        <v>95</v>
      </c>
      <c r="P7220">
        <v>20190710</v>
      </c>
      <c r="Q7220" t="s">
        <v>2672</v>
      </c>
      <c r="R7220" t="s">
        <v>5665</v>
      </c>
      <c r="S7220" t="s">
        <v>1615</v>
      </c>
      <c r="T7220" t="s">
        <v>106</v>
      </c>
    </row>
    <row r="7221" spans="1:20" x14ac:dyDescent="0.25">
      <c r="A7221">
        <v>9</v>
      </c>
      <c r="B7221">
        <v>199</v>
      </c>
      <c r="C7221" t="str">
        <f t="shared" si="1598"/>
        <v>11</v>
      </c>
      <c r="D7221">
        <v>6249</v>
      </c>
      <c r="E7221" t="str">
        <f t="shared" si="1605"/>
        <v>7B</v>
      </c>
      <c r="F7221" t="str">
        <f t="shared" si="1606"/>
        <v>041</v>
      </c>
      <c r="G7221">
        <v>9</v>
      </c>
      <c r="H7221" t="str">
        <f t="shared" si="1607"/>
        <v>11</v>
      </c>
      <c r="I7221" t="str">
        <f t="shared" si="1597"/>
        <v>0</v>
      </c>
      <c r="J7221" t="str">
        <f t="shared" si="1608"/>
        <v>36</v>
      </c>
      <c r="K7221">
        <v>20190712</v>
      </c>
      <c r="L7221" t="str">
        <f t="shared" si="1609"/>
        <v>077377</v>
      </c>
      <c r="M7221" t="str">
        <f t="shared" si="1610"/>
        <v>39572</v>
      </c>
      <c r="N7221" t="s">
        <v>2233</v>
      </c>
      <c r="O7221">
        <v>75</v>
      </c>
      <c r="P7221">
        <v>20190710</v>
      </c>
      <c r="Q7221" t="s">
        <v>2672</v>
      </c>
      <c r="R7221" t="s">
        <v>5666</v>
      </c>
      <c r="S7221" t="s">
        <v>1615</v>
      </c>
      <c r="T7221" t="s">
        <v>106</v>
      </c>
    </row>
    <row r="7222" spans="1:20" x14ac:dyDescent="0.25">
      <c r="A7222">
        <v>9</v>
      </c>
      <c r="B7222">
        <v>199</v>
      </c>
      <c r="C7222" t="str">
        <f t="shared" si="1598"/>
        <v>11</v>
      </c>
      <c r="D7222">
        <v>6249</v>
      </c>
      <c r="E7222" t="str">
        <f t="shared" si="1605"/>
        <v>7B</v>
      </c>
      <c r="F7222" t="str">
        <f t="shared" si="1606"/>
        <v>041</v>
      </c>
      <c r="G7222">
        <v>9</v>
      </c>
      <c r="H7222" t="str">
        <f t="shared" si="1607"/>
        <v>11</v>
      </c>
      <c r="I7222" t="str">
        <f t="shared" si="1597"/>
        <v>0</v>
      </c>
      <c r="J7222" t="str">
        <f t="shared" si="1608"/>
        <v>36</v>
      </c>
      <c r="K7222">
        <v>20190712</v>
      </c>
      <c r="L7222" t="str">
        <f t="shared" si="1609"/>
        <v>077377</v>
      </c>
      <c r="M7222" t="str">
        <f t="shared" si="1610"/>
        <v>39572</v>
      </c>
      <c r="N7222" t="s">
        <v>2233</v>
      </c>
      <c r="O7222">
        <v>75</v>
      </c>
      <c r="P7222">
        <v>20190710</v>
      </c>
      <c r="Q7222" t="s">
        <v>2672</v>
      </c>
      <c r="R7222" t="s">
        <v>5667</v>
      </c>
      <c r="S7222" t="s">
        <v>1615</v>
      </c>
      <c r="T7222" t="s">
        <v>106</v>
      </c>
    </row>
    <row r="7223" spans="1:20" x14ac:dyDescent="0.25">
      <c r="A7223">
        <v>9</v>
      </c>
      <c r="B7223">
        <v>199</v>
      </c>
      <c r="C7223" t="str">
        <f t="shared" si="1598"/>
        <v>11</v>
      </c>
      <c r="D7223">
        <v>6249</v>
      </c>
      <c r="E7223" t="str">
        <f t="shared" si="1605"/>
        <v>7B</v>
      </c>
      <c r="F7223" t="str">
        <f t="shared" si="1606"/>
        <v>041</v>
      </c>
      <c r="G7223">
        <v>9</v>
      </c>
      <c r="H7223" t="str">
        <f t="shared" si="1607"/>
        <v>11</v>
      </c>
      <c r="I7223" t="str">
        <f t="shared" si="1597"/>
        <v>0</v>
      </c>
      <c r="J7223" t="str">
        <f t="shared" si="1608"/>
        <v>36</v>
      </c>
      <c r="K7223">
        <v>20190712</v>
      </c>
      <c r="L7223" t="str">
        <f t="shared" si="1609"/>
        <v>077377</v>
      </c>
      <c r="M7223" t="str">
        <f t="shared" si="1610"/>
        <v>39572</v>
      </c>
      <c r="N7223" t="s">
        <v>2233</v>
      </c>
      <c r="O7223">
        <v>75</v>
      </c>
      <c r="P7223">
        <v>20190710</v>
      </c>
      <c r="Q7223" t="s">
        <v>2672</v>
      </c>
      <c r="R7223" t="s">
        <v>5668</v>
      </c>
      <c r="S7223" t="s">
        <v>1615</v>
      </c>
      <c r="T7223" t="s">
        <v>106</v>
      </c>
    </row>
    <row r="7224" spans="1:20" x14ac:dyDescent="0.25">
      <c r="A7224">
        <v>9</v>
      </c>
      <c r="B7224">
        <v>199</v>
      </c>
      <c r="C7224" t="str">
        <f t="shared" si="1598"/>
        <v>11</v>
      </c>
      <c r="D7224">
        <v>6249</v>
      </c>
      <c r="E7224" t="str">
        <f t="shared" si="1605"/>
        <v>7B</v>
      </c>
      <c r="F7224" t="str">
        <f t="shared" si="1606"/>
        <v>041</v>
      </c>
      <c r="G7224">
        <v>9</v>
      </c>
      <c r="H7224" t="str">
        <f t="shared" si="1607"/>
        <v>11</v>
      </c>
      <c r="I7224" t="str">
        <f t="shared" si="1597"/>
        <v>0</v>
      </c>
      <c r="J7224" t="str">
        <f t="shared" si="1608"/>
        <v>36</v>
      </c>
      <c r="K7224">
        <v>20190712</v>
      </c>
      <c r="L7224" t="str">
        <f t="shared" si="1609"/>
        <v>077377</v>
      </c>
      <c r="M7224" t="str">
        <f t="shared" si="1610"/>
        <v>39572</v>
      </c>
      <c r="N7224" t="s">
        <v>2233</v>
      </c>
      <c r="O7224">
        <v>95</v>
      </c>
      <c r="P7224">
        <v>20190710</v>
      </c>
      <c r="Q7224" t="s">
        <v>2672</v>
      </c>
      <c r="R7224" t="s">
        <v>5669</v>
      </c>
      <c r="S7224" t="s">
        <v>1615</v>
      </c>
      <c r="T7224" t="s">
        <v>106</v>
      </c>
    </row>
    <row r="7225" spans="1:20" x14ac:dyDescent="0.25">
      <c r="A7225">
        <v>9</v>
      </c>
      <c r="B7225">
        <v>199</v>
      </c>
      <c r="C7225" t="str">
        <f t="shared" si="1598"/>
        <v>11</v>
      </c>
      <c r="D7225">
        <v>6249</v>
      </c>
      <c r="E7225" t="str">
        <f t="shared" si="1605"/>
        <v>7B</v>
      </c>
      <c r="F7225" t="str">
        <f t="shared" si="1606"/>
        <v>041</v>
      </c>
      <c r="G7225">
        <v>9</v>
      </c>
      <c r="H7225" t="str">
        <f t="shared" si="1607"/>
        <v>11</v>
      </c>
      <c r="I7225" t="str">
        <f t="shared" si="1597"/>
        <v>0</v>
      </c>
      <c r="J7225" t="str">
        <f t="shared" si="1608"/>
        <v>36</v>
      </c>
      <c r="K7225">
        <v>20190712</v>
      </c>
      <c r="L7225" t="str">
        <f t="shared" si="1609"/>
        <v>077377</v>
      </c>
      <c r="M7225" t="str">
        <f t="shared" si="1610"/>
        <v>39572</v>
      </c>
      <c r="N7225" t="s">
        <v>2233</v>
      </c>
      <c r="O7225">
        <v>105</v>
      </c>
      <c r="P7225">
        <v>20190710</v>
      </c>
      <c r="Q7225" t="s">
        <v>2672</v>
      </c>
      <c r="R7225" t="s">
        <v>5670</v>
      </c>
      <c r="S7225" t="s">
        <v>1615</v>
      </c>
      <c r="T7225" t="s">
        <v>106</v>
      </c>
    </row>
    <row r="7226" spans="1:20" x14ac:dyDescent="0.25">
      <c r="A7226">
        <v>9</v>
      </c>
      <c r="B7226">
        <v>199</v>
      </c>
      <c r="C7226" t="str">
        <f t="shared" si="1598"/>
        <v>11</v>
      </c>
      <c r="D7226">
        <v>6249</v>
      </c>
      <c r="E7226" t="str">
        <f t="shared" si="1605"/>
        <v>7B</v>
      </c>
      <c r="F7226" t="str">
        <f t="shared" si="1606"/>
        <v>041</v>
      </c>
      <c r="G7226">
        <v>9</v>
      </c>
      <c r="H7226" t="str">
        <f t="shared" si="1607"/>
        <v>11</v>
      </c>
      <c r="I7226" t="str">
        <f t="shared" si="1597"/>
        <v>0</v>
      </c>
      <c r="J7226" t="str">
        <f t="shared" si="1608"/>
        <v>36</v>
      </c>
      <c r="K7226">
        <v>20190712</v>
      </c>
      <c r="L7226" t="str">
        <f t="shared" si="1609"/>
        <v>077377</v>
      </c>
      <c r="M7226" t="str">
        <f t="shared" si="1610"/>
        <v>39572</v>
      </c>
      <c r="N7226" t="s">
        <v>2233</v>
      </c>
      <c r="O7226">
        <v>85</v>
      </c>
      <c r="P7226">
        <v>20190710</v>
      </c>
      <c r="Q7226" t="s">
        <v>2672</v>
      </c>
      <c r="R7226" t="s">
        <v>5671</v>
      </c>
      <c r="S7226" t="s">
        <v>1615</v>
      </c>
      <c r="T7226" t="s">
        <v>106</v>
      </c>
    </row>
    <row r="7227" spans="1:20" x14ac:dyDescent="0.25">
      <c r="A7227">
        <v>9</v>
      </c>
      <c r="B7227">
        <v>199</v>
      </c>
      <c r="C7227" t="str">
        <f t="shared" si="1598"/>
        <v>11</v>
      </c>
      <c r="D7227">
        <v>6249</v>
      </c>
      <c r="E7227" t="str">
        <f t="shared" si="1605"/>
        <v>7B</v>
      </c>
      <c r="F7227" t="str">
        <f t="shared" si="1606"/>
        <v>041</v>
      </c>
      <c r="G7227">
        <v>9</v>
      </c>
      <c r="H7227" t="str">
        <f t="shared" si="1607"/>
        <v>11</v>
      </c>
      <c r="I7227" t="str">
        <f t="shared" si="1597"/>
        <v>0</v>
      </c>
      <c r="J7227" t="str">
        <f t="shared" si="1608"/>
        <v>36</v>
      </c>
      <c r="K7227">
        <v>20190712</v>
      </c>
      <c r="L7227" t="str">
        <f t="shared" si="1609"/>
        <v>077377</v>
      </c>
      <c r="M7227" t="str">
        <f t="shared" si="1610"/>
        <v>39572</v>
      </c>
      <c r="N7227" t="s">
        <v>2233</v>
      </c>
      <c r="O7227">
        <v>115</v>
      </c>
      <c r="P7227">
        <v>20190710</v>
      </c>
      <c r="Q7227" t="s">
        <v>2672</v>
      </c>
      <c r="R7227" t="s">
        <v>5672</v>
      </c>
      <c r="S7227" t="s">
        <v>1615</v>
      </c>
      <c r="T7227" t="s">
        <v>106</v>
      </c>
    </row>
    <row r="7228" spans="1:20" x14ac:dyDescent="0.25">
      <c r="A7228">
        <v>9</v>
      </c>
      <c r="B7228">
        <v>199</v>
      </c>
      <c r="C7228" t="str">
        <f t="shared" si="1598"/>
        <v>11</v>
      </c>
      <c r="D7228">
        <v>6249</v>
      </c>
      <c r="E7228" t="str">
        <f t="shared" si="1605"/>
        <v>7B</v>
      </c>
      <c r="F7228" t="str">
        <f t="shared" si="1606"/>
        <v>041</v>
      </c>
      <c r="G7228">
        <v>9</v>
      </c>
      <c r="H7228" t="str">
        <f t="shared" si="1607"/>
        <v>11</v>
      </c>
      <c r="I7228" t="str">
        <f t="shared" si="1597"/>
        <v>0</v>
      </c>
      <c r="J7228" t="str">
        <f t="shared" si="1608"/>
        <v>36</v>
      </c>
      <c r="K7228">
        <v>20190712</v>
      </c>
      <c r="L7228" t="str">
        <f t="shared" si="1609"/>
        <v>077377</v>
      </c>
      <c r="M7228" t="str">
        <f t="shared" si="1610"/>
        <v>39572</v>
      </c>
      <c r="N7228" t="s">
        <v>2233</v>
      </c>
      <c r="O7228">
        <v>135</v>
      </c>
      <c r="P7228">
        <v>20190710</v>
      </c>
      <c r="Q7228" t="s">
        <v>2672</v>
      </c>
      <c r="R7228" t="s">
        <v>5673</v>
      </c>
      <c r="S7228" t="s">
        <v>1615</v>
      </c>
      <c r="T7228" t="s">
        <v>106</v>
      </c>
    </row>
    <row r="7229" spans="1:20" x14ac:dyDescent="0.25">
      <c r="A7229">
        <v>9</v>
      </c>
      <c r="B7229">
        <v>199</v>
      </c>
      <c r="C7229" t="str">
        <f t="shared" si="1598"/>
        <v>11</v>
      </c>
      <c r="D7229">
        <v>6249</v>
      </c>
      <c r="E7229" t="str">
        <f t="shared" si="1605"/>
        <v>7B</v>
      </c>
      <c r="F7229" t="str">
        <f t="shared" si="1606"/>
        <v>041</v>
      </c>
      <c r="G7229">
        <v>9</v>
      </c>
      <c r="H7229" t="str">
        <f t="shared" si="1607"/>
        <v>11</v>
      </c>
      <c r="I7229" t="str">
        <f t="shared" si="1597"/>
        <v>0</v>
      </c>
      <c r="J7229" t="str">
        <f t="shared" si="1608"/>
        <v>36</v>
      </c>
      <c r="K7229">
        <v>20190712</v>
      </c>
      <c r="L7229" t="str">
        <f t="shared" si="1609"/>
        <v>077377</v>
      </c>
      <c r="M7229" t="str">
        <f t="shared" si="1610"/>
        <v>39572</v>
      </c>
      <c r="N7229" t="s">
        <v>2233</v>
      </c>
      <c r="O7229">
        <v>135</v>
      </c>
      <c r="P7229">
        <v>20190710</v>
      </c>
      <c r="Q7229" t="s">
        <v>2672</v>
      </c>
      <c r="R7229" t="s">
        <v>5674</v>
      </c>
      <c r="S7229" t="s">
        <v>1615</v>
      </c>
      <c r="T7229" t="s">
        <v>106</v>
      </c>
    </row>
    <row r="7230" spans="1:20" x14ac:dyDescent="0.25">
      <c r="A7230">
        <v>9</v>
      </c>
      <c r="B7230">
        <v>199</v>
      </c>
      <c r="C7230" t="str">
        <f t="shared" si="1598"/>
        <v>11</v>
      </c>
      <c r="D7230">
        <v>6249</v>
      </c>
      <c r="E7230" t="str">
        <f t="shared" si="1605"/>
        <v>7B</v>
      </c>
      <c r="F7230" t="str">
        <f t="shared" si="1606"/>
        <v>041</v>
      </c>
      <c r="G7230">
        <v>9</v>
      </c>
      <c r="H7230" t="str">
        <f t="shared" si="1607"/>
        <v>11</v>
      </c>
      <c r="I7230" t="str">
        <f t="shared" si="1597"/>
        <v>0</v>
      </c>
      <c r="J7230" t="str">
        <f t="shared" si="1608"/>
        <v>36</v>
      </c>
      <c r="K7230">
        <v>20190712</v>
      </c>
      <c r="L7230" t="str">
        <f t="shared" si="1609"/>
        <v>077377</v>
      </c>
      <c r="M7230" t="str">
        <f t="shared" si="1610"/>
        <v>39572</v>
      </c>
      <c r="N7230" t="s">
        <v>2233</v>
      </c>
      <c r="O7230">
        <v>135</v>
      </c>
      <c r="P7230">
        <v>20190710</v>
      </c>
      <c r="Q7230" t="s">
        <v>2672</v>
      </c>
      <c r="R7230" t="s">
        <v>5674</v>
      </c>
      <c r="S7230" t="s">
        <v>1615</v>
      </c>
      <c r="T7230" t="s">
        <v>106</v>
      </c>
    </row>
    <row r="7231" spans="1:20" x14ac:dyDescent="0.25">
      <c r="A7231">
        <v>9</v>
      </c>
      <c r="B7231">
        <v>199</v>
      </c>
      <c r="C7231" t="str">
        <f t="shared" si="1598"/>
        <v>11</v>
      </c>
      <c r="D7231">
        <v>6249</v>
      </c>
      <c r="E7231" t="str">
        <f t="shared" si="1605"/>
        <v>7B</v>
      </c>
      <c r="F7231" t="str">
        <f t="shared" si="1606"/>
        <v>041</v>
      </c>
      <c r="G7231">
        <v>9</v>
      </c>
      <c r="H7231" t="str">
        <f t="shared" si="1607"/>
        <v>11</v>
      </c>
      <c r="I7231" t="str">
        <f t="shared" si="1597"/>
        <v>0</v>
      </c>
      <c r="J7231" t="str">
        <f t="shared" si="1608"/>
        <v>36</v>
      </c>
      <c r="K7231">
        <v>20190712</v>
      </c>
      <c r="L7231" t="str">
        <f t="shared" si="1609"/>
        <v>077377</v>
      </c>
      <c r="M7231" t="str">
        <f t="shared" si="1610"/>
        <v>39572</v>
      </c>
      <c r="N7231" t="s">
        <v>2233</v>
      </c>
      <c r="O7231">
        <v>145</v>
      </c>
      <c r="P7231">
        <v>20190710</v>
      </c>
      <c r="Q7231" t="s">
        <v>2672</v>
      </c>
      <c r="R7231" t="s">
        <v>5675</v>
      </c>
      <c r="S7231" t="s">
        <v>1615</v>
      </c>
      <c r="T7231" t="s">
        <v>106</v>
      </c>
    </row>
    <row r="7232" spans="1:20" x14ac:dyDescent="0.25">
      <c r="A7232">
        <v>9</v>
      </c>
      <c r="B7232">
        <v>199</v>
      </c>
      <c r="C7232" t="str">
        <f t="shared" si="1598"/>
        <v>11</v>
      </c>
      <c r="D7232">
        <v>6249</v>
      </c>
      <c r="E7232" t="str">
        <f t="shared" si="1605"/>
        <v>7B</v>
      </c>
      <c r="F7232" t="str">
        <f t="shared" si="1606"/>
        <v>041</v>
      </c>
      <c r="G7232">
        <v>9</v>
      </c>
      <c r="H7232" t="str">
        <f t="shared" si="1607"/>
        <v>11</v>
      </c>
      <c r="I7232" t="str">
        <f t="shared" si="1597"/>
        <v>0</v>
      </c>
      <c r="J7232" t="str">
        <f t="shared" si="1608"/>
        <v>36</v>
      </c>
      <c r="K7232">
        <v>20190712</v>
      </c>
      <c r="L7232" t="str">
        <f t="shared" si="1609"/>
        <v>077377</v>
      </c>
      <c r="M7232" t="str">
        <f t="shared" si="1610"/>
        <v>39572</v>
      </c>
      <c r="N7232" t="s">
        <v>2233</v>
      </c>
      <c r="O7232">
        <v>155</v>
      </c>
      <c r="P7232">
        <v>20190710</v>
      </c>
      <c r="Q7232" t="s">
        <v>2672</v>
      </c>
      <c r="R7232" t="s">
        <v>5676</v>
      </c>
      <c r="S7232" t="s">
        <v>1615</v>
      </c>
      <c r="T7232" t="s">
        <v>106</v>
      </c>
    </row>
    <row r="7233" spans="1:20" x14ac:dyDescent="0.25">
      <c r="A7233">
        <v>9</v>
      </c>
      <c r="B7233">
        <v>199</v>
      </c>
      <c r="C7233" t="str">
        <f t="shared" si="1598"/>
        <v>11</v>
      </c>
      <c r="D7233">
        <v>6249</v>
      </c>
      <c r="E7233" t="str">
        <f t="shared" si="1605"/>
        <v>7B</v>
      </c>
      <c r="F7233" t="str">
        <f t="shared" si="1606"/>
        <v>041</v>
      </c>
      <c r="G7233">
        <v>9</v>
      </c>
      <c r="H7233" t="str">
        <f t="shared" si="1607"/>
        <v>11</v>
      </c>
      <c r="I7233" t="str">
        <f t="shared" si="1597"/>
        <v>0</v>
      </c>
      <c r="J7233" t="str">
        <f t="shared" si="1608"/>
        <v>36</v>
      </c>
      <c r="K7233">
        <v>20190712</v>
      </c>
      <c r="L7233" t="str">
        <f t="shared" si="1609"/>
        <v>077377</v>
      </c>
      <c r="M7233" t="str">
        <f t="shared" si="1610"/>
        <v>39572</v>
      </c>
      <c r="N7233" t="s">
        <v>2233</v>
      </c>
      <c r="O7233">
        <v>75</v>
      </c>
      <c r="P7233">
        <v>20190710</v>
      </c>
      <c r="Q7233" t="s">
        <v>2672</v>
      </c>
      <c r="R7233" t="s">
        <v>5677</v>
      </c>
      <c r="S7233" t="s">
        <v>1615</v>
      </c>
      <c r="T7233" t="s">
        <v>106</v>
      </c>
    </row>
    <row r="7234" spans="1:20" x14ac:dyDescent="0.25">
      <c r="A7234">
        <v>9</v>
      </c>
      <c r="B7234">
        <v>199</v>
      </c>
      <c r="C7234" t="str">
        <f>"51"</f>
        <v>51</v>
      </c>
      <c r="D7234">
        <v>6319</v>
      </c>
      <c r="E7234" t="str">
        <f>"M3"</f>
        <v>M3</v>
      </c>
      <c r="F7234" t="str">
        <f>"936"</f>
        <v>936</v>
      </c>
      <c r="G7234">
        <v>9</v>
      </c>
      <c r="H7234" t="str">
        <f>"99"</f>
        <v>99</v>
      </c>
      <c r="I7234" t="str">
        <f t="shared" si="1597"/>
        <v>0</v>
      </c>
      <c r="J7234" t="str">
        <f>"81"</f>
        <v>81</v>
      </c>
      <c r="K7234">
        <v>20190712</v>
      </c>
      <c r="L7234" t="str">
        <f>"077378"</f>
        <v>077378</v>
      </c>
      <c r="M7234" t="str">
        <f>"00125"</f>
        <v>00125</v>
      </c>
      <c r="N7234" t="s">
        <v>2245</v>
      </c>
      <c r="O7234" s="1">
        <v>2746.54</v>
      </c>
      <c r="P7234">
        <v>20190710</v>
      </c>
      <c r="Q7234" t="s">
        <v>2246</v>
      </c>
      <c r="R7234" t="s">
        <v>5678</v>
      </c>
      <c r="S7234" t="s">
        <v>1615</v>
      </c>
      <c r="T7234" t="s">
        <v>1713</v>
      </c>
    </row>
    <row r="7235" spans="1:20" x14ac:dyDescent="0.25">
      <c r="A7235">
        <v>9</v>
      </c>
      <c r="B7235">
        <v>199</v>
      </c>
      <c r="C7235" t="str">
        <f>"51"</f>
        <v>51</v>
      </c>
      <c r="D7235">
        <v>6319</v>
      </c>
      <c r="E7235" t="str">
        <f>"M3"</f>
        <v>M3</v>
      </c>
      <c r="F7235" t="str">
        <f>"936"</f>
        <v>936</v>
      </c>
      <c r="G7235">
        <v>9</v>
      </c>
      <c r="H7235" t="str">
        <f>"99"</f>
        <v>99</v>
      </c>
      <c r="I7235" t="str">
        <f t="shared" si="1597"/>
        <v>0</v>
      </c>
      <c r="J7235" t="str">
        <f>"81"</f>
        <v>81</v>
      </c>
      <c r="K7235">
        <v>20190712</v>
      </c>
      <c r="L7235" t="str">
        <f>"077378"</f>
        <v>077378</v>
      </c>
      <c r="M7235" t="str">
        <f>"00125"</f>
        <v>00125</v>
      </c>
      <c r="N7235" t="s">
        <v>2245</v>
      </c>
      <c r="O7235" s="1">
        <v>4344.26</v>
      </c>
      <c r="P7235">
        <v>20190710</v>
      </c>
      <c r="Q7235" t="s">
        <v>2246</v>
      </c>
      <c r="R7235" t="s">
        <v>5678</v>
      </c>
      <c r="S7235" t="s">
        <v>1615</v>
      </c>
      <c r="T7235" t="s">
        <v>1713</v>
      </c>
    </row>
    <row r="7236" spans="1:20" x14ac:dyDescent="0.25">
      <c r="A7236">
        <v>9</v>
      </c>
      <c r="B7236">
        <v>199</v>
      </c>
      <c r="C7236" t="str">
        <f>"51"</f>
        <v>51</v>
      </c>
      <c r="D7236">
        <v>6319</v>
      </c>
      <c r="E7236" t="str">
        <f>"M3"</f>
        <v>M3</v>
      </c>
      <c r="F7236" t="str">
        <f>"936"</f>
        <v>936</v>
      </c>
      <c r="G7236">
        <v>9</v>
      </c>
      <c r="H7236" t="str">
        <f>"99"</f>
        <v>99</v>
      </c>
      <c r="I7236" t="str">
        <f t="shared" si="1597"/>
        <v>0</v>
      </c>
      <c r="J7236" t="str">
        <f>"81"</f>
        <v>81</v>
      </c>
      <c r="K7236">
        <v>20190712</v>
      </c>
      <c r="L7236" t="str">
        <f>"077378"</f>
        <v>077378</v>
      </c>
      <c r="M7236" t="str">
        <f>"00125"</f>
        <v>00125</v>
      </c>
      <c r="N7236" t="s">
        <v>2245</v>
      </c>
      <c r="O7236">
        <v>80.25</v>
      </c>
      <c r="P7236">
        <v>20190710</v>
      </c>
      <c r="Q7236" t="s">
        <v>2246</v>
      </c>
      <c r="R7236" t="s">
        <v>5679</v>
      </c>
      <c r="S7236" t="s">
        <v>1615</v>
      </c>
      <c r="T7236" t="s">
        <v>1713</v>
      </c>
    </row>
    <row r="7237" spans="1:20" x14ac:dyDescent="0.25">
      <c r="A7237">
        <v>9</v>
      </c>
      <c r="B7237">
        <v>199</v>
      </c>
      <c r="C7237" t="str">
        <f>"51"</f>
        <v>51</v>
      </c>
      <c r="D7237">
        <v>6319</v>
      </c>
      <c r="E7237" t="str">
        <f>"M3"</f>
        <v>M3</v>
      </c>
      <c r="F7237" t="str">
        <f>"936"</f>
        <v>936</v>
      </c>
      <c r="G7237">
        <v>9</v>
      </c>
      <c r="H7237" t="str">
        <f>"99"</f>
        <v>99</v>
      </c>
      <c r="I7237" t="str">
        <f t="shared" si="1597"/>
        <v>0</v>
      </c>
      <c r="J7237" t="str">
        <f>"81"</f>
        <v>81</v>
      </c>
      <c r="K7237">
        <v>20190712</v>
      </c>
      <c r="L7237" t="str">
        <f>"077378"</f>
        <v>077378</v>
      </c>
      <c r="M7237" t="str">
        <f>"00125"</f>
        <v>00125</v>
      </c>
      <c r="N7237" t="s">
        <v>2245</v>
      </c>
      <c r="O7237">
        <v>28.66</v>
      </c>
      <c r="P7237">
        <v>20190710</v>
      </c>
      <c r="Q7237" t="s">
        <v>2246</v>
      </c>
      <c r="R7237" t="s">
        <v>5680</v>
      </c>
      <c r="S7237" t="s">
        <v>1615</v>
      </c>
      <c r="T7237" t="s">
        <v>1713</v>
      </c>
    </row>
    <row r="7238" spans="1:20" x14ac:dyDescent="0.25">
      <c r="A7238">
        <v>9</v>
      </c>
      <c r="B7238">
        <v>199</v>
      </c>
      <c r="C7238" t="str">
        <f>"36"</f>
        <v>36</v>
      </c>
      <c r="D7238">
        <v>6411</v>
      </c>
      <c r="E7238" t="str">
        <f>"7E"</f>
        <v>7E</v>
      </c>
      <c r="F7238" t="str">
        <f>"041"</f>
        <v>041</v>
      </c>
      <c r="G7238">
        <v>9</v>
      </c>
      <c r="H7238" t="str">
        <f>"99"</f>
        <v>99</v>
      </c>
      <c r="I7238" t="str">
        <f t="shared" si="1597"/>
        <v>0</v>
      </c>
      <c r="J7238" t="str">
        <f>"35"</f>
        <v>35</v>
      </c>
      <c r="K7238">
        <v>20190712</v>
      </c>
      <c r="L7238" t="str">
        <f>"077379"</f>
        <v>077379</v>
      </c>
      <c r="M7238" t="str">
        <f>"39913"</f>
        <v>39913</v>
      </c>
      <c r="N7238" t="s">
        <v>5681</v>
      </c>
      <c r="O7238">
        <v>547.29</v>
      </c>
      <c r="P7238">
        <v>20190711</v>
      </c>
      <c r="Q7238" t="s">
        <v>3326</v>
      </c>
      <c r="R7238" t="s">
        <v>5522</v>
      </c>
      <c r="S7238" t="s">
        <v>1615</v>
      </c>
      <c r="T7238" t="s">
        <v>106</v>
      </c>
    </row>
    <row r="7239" spans="1:20" x14ac:dyDescent="0.25">
      <c r="A7239">
        <v>9</v>
      </c>
      <c r="B7239">
        <v>199</v>
      </c>
      <c r="C7239" t="str">
        <f>"11"</f>
        <v>11</v>
      </c>
      <c r="D7239">
        <v>6399</v>
      </c>
      <c r="E7239" t="str">
        <f>"75"</f>
        <v>75</v>
      </c>
      <c r="F7239" t="str">
        <f>"041"</f>
        <v>041</v>
      </c>
      <c r="G7239">
        <v>9</v>
      </c>
      <c r="H7239" t="str">
        <f>"11"</f>
        <v>11</v>
      </c>
      <c r="I7239" t="str">
        <f t="shared" si="1597"/>
        <v>0</v>
      </c>
      <c r="J7239" t="str">
        <f>"03"</f>
        <v>03</v>
      </c>
      <c r="K7239">
        <v>20190712</v>
      </c>
      <c r="L7239" t="str">
        <f>"077380"</f>
        <v>077380</v>
      </c>
      <c r="M7239" t="str">
        <f>"40550"</f>
        <v>40550</v>
      </c>
      <c r="N7239" t="s">
        <v>2645</v>
      </c>
      <c r="O7239">
        <v>62.68</v>
      </c>
      <c r="P7239">
        <v>20190710</v>
      </c>
      <c r="Q7239" t="s">
        <v>5653</v>
      </c>
      <c r="R7239" t="s">
        <v>5654</v>
      </c>
      <c r="S7239" t="s">
        <v>1615</v>
      </c>
      <c r="T7239" t="s">
        <v>106</v>
      </c>
    </row>
    <row r="7240" spans="1:20" x14ac:dyDescent="0.25">
      <c r="A7240">
        <v>9</v>
      </c>
      <c r="B7240">
        <v>199</v>
      </c>
      <c r="C7240" t="str">
        <f>"11"</f>
        <v>11</v>
      </c>
      <c r="D7240">
        <v>6399</v>
      </c>
      <c r="E7240" t="str">
        <f>"45"</f>
        <v>45</v>
      </c>
      <c r="F7240" t="str">
        <f>"101"</f>
        <v>101</v>
      </c>
      <c r="G7240">
        <v>9</v>
      </c>
      <c r="H7240" t="str">
        <f>"11"</f>
        <v>11</v>
      </c>
      <c r="I7240" t="str">
        <f t="shared" si="1597"/>
        <v>0</v>
      </c>
      <c r="J7240" t="str">
        <f>"04"</f>
        <v>04</v>
      </c>
      <c r="K7240">
        <v>20190712</v>
      </c>
      <c r="L7240" t="str">
        <f>"077381"</f>
        <v>077381</v>
      </c>
      <c r="M7240" t="str">
        <f>"41230"</f>
        <v>41230</v>
      </c>
      <c r="N7240" t="s">
        <v>1350</v>
      </c>
      <c r="O7240">
        <v>21.88</v>
      </c>
      <c r="P7240">
        <v>20190710</v>
      </c>
      <c r="Q7240" t="s">
        <v>1859</v>
      </c>
      <c r="R7240" t="s">
        <v>5682</v>
      </c>
      <c r="S7240" t="s">
        <v>1615</v>
      </c>
      <c r="T7240" t="s">
        <v>1479</v>
      </c>
    </row>
    <row r="7241" spans="1:20" x14ac:dyDescent="0.25">
      <c r="A7241">
        <v>9</v>
      </c>
      <c r="B7241">
        <v>199</v>
      </c>
      <c r="C7241" t="str">
        <f t="shared" ref="C7241:C7246" si="1611">"51"</f>
        <v>51</v>
      </c>
      <c r="D7241">
        <v>6319</v>
      </c>
      <c r="E7241" t="str">
        <f>"M2"</f>
        <v>M2</v>
      </c>
      <c r="F7241" t="str">
        <f t="shared" ref="F7241:F7246" si="1612">"936"</f>
        <v>936</v>
      </c>
      <c r="G7241">
        <v>9</v>
      </c>
      <c r="H7241" t="str">
        <f t="shared" ref="H7241:H7246" si="1613">"99"</f>
        <v>99</v>
      </c>
      <c r="I7241" t="str">
        <f t="shared" si="1597"/>
        <v>0</v>
      </c>
      <c r="J7241" t="str">
        <f>"81"</f>
        <v>81</v>
      </c>
      <c r="K7241">
        <v>20190712</v>
      </c>
      <c r="L7241" t="str">
        <f>"077381"</f>
        <v>077381</v>
      </c>
      <c r="M7241" t="str">
        <f>"41230"</f>
        <v>41230</v>
      </c>
      <c r="N7241" t="s">
        <v>1350</v>
      </c>
      <c r="O7241">
        <v>119</v>
      </c>
      <c r="P7241">
        <v>20190710</v>
      </c>
      <c r="Q7241" t="s">
        <v>2074</v>
      </c>
      <c r="R7241" t="s">
        <v>5683</v>
      </c>
      <c r="S7241" t="s">
        <v>1615</v>
      </c>
      <c r="T7241" t="s">
        <v>1713</v>
      </c>
    </row>
    <row r="7242" spans="1:20" x14ac:dyDescent="0.25">
      <c r="A7242">
        <v>9</v>
      </c>
      <c r="B7242">
        <v>199</v>
      </c>
      <c r="C7242" t="str">
        <f t="shared" si="1611"/>
        <v>51</v>
      </c>
      <c r="D7242">
        <v>6254</v>
      </c>
      <c r="E7242" t="str">
        <f>"ME"</f>
        <v>ME</v>
      </c>
      <c r="F7242" t="str">
        <f t="shared" si="1612"/>
        <v>936</v>
      </c>
      <c r="G7242">
        <v>9</v>
      </c>
      <c r="H7242" t="str">
        <f t="shared" si="1613"/>
        <v>99</v>
      </c>
      <c r="I7242" t="str">
        <f>"1"</f>
        <v>1</v>
      </c>
      <c r="J7242" t="str">
        <f>"73"</f>
        <v>73</v>
      </c>
      <c r="K7242">
        <v>20190712</v>
      </c>
      <c r="L7242" t="str">
        <f>"077382"</f>
        <v>077382</v>
      </c>
      <c r="M7242" t="str">
        <f>"42194"</f>
        <v>42194</v>
      </c>
      <c r="N7242" t="s">
        <v>1736</v>
      </c>
      <c r="O7242">
        <v>964.69</v>
      </c>
      <c r="P7242">
        <v>20190710</v>
      </c>
      <c r="Q7242" t="s">
        <v>1891</v>
      </c>
      <c r="R7242" t="s">
        <v>5527</v>
      </c>
      <c r="S7242" t="s">
        <v>1615</v>
      </c>
      <c r="T7242" t="s">
        <v>1713</v>
      </c>
    </row>
    <row r="7243" spans="1:20" x14ac:dyDescent="0.25">
      <c r="A7243">
        <v>9</v>
      </c>
      <c r="B7243">
        <v>199</v>
      </c>
      <c r="C7243" t="str">
        <f t="shared" si="1611"/>
        <v>51</v>
      </c>
      <c r="D7243">
        <v>6254</v>
      </c>
      <c r="E7243" t="str">
        <f>"ME"</f>
        <v>ME</v>
      </c>
      <c r="F7243" t="str">
        <f t="shared" si="1612"/>
        <v>936</v>
      </c>
      <c r="G7243">
        <v>9</v>
      </c>
      <c r="H7243" t="str">
        <f t="shared" si="1613"/>
        <v>99</v>
      </c>
      <c r="I7243" t="str">
        <f>"1"</f>
        <v>1</v>
      </c>
      <c r="J7243" t="str">
        <f>"73"</f>
        <v>73</v>
      </c>
      <c r="K7243">
        <v>20190712</v>
      </c>
      <c r="L7243" t="str">
        <f>"077382"</f>
        <v>077382</v>
      </c>
      <c r="M7243" t="str">
        <f>"42194"</f>
        <v>42194</v>
      </c>
      <c r="N7243" t="s">
        <v>1736</v>
      </c>
      <c r="O7243" s="1">
        <v>74479.8</v>
      </c>
      <c r="P7243">
        <v>20190710</v>
      </c>
      <c r="Q7243" t="s">
        <v>1891</v>
      </c>
      <c r="R7243" t="s">
        <v>5684</v>
      </c>
      <c r="S7243" t="s">
        <v>1615</v>
      </c>
      <c r="T7243" t="s">
        <v>1713</v>
      </c>
    </row>
    <row r="7244" spans="1:20" x14ac:dyDescent="0.25">
      <c r="A7244">
        <v>9</v>
      </c>
      <c r="B7244">
        <v>199</v>
      </c>
      <c r="C7244" t="str">
        <f t="shared" si="1611"/>
        <v>51</v>
      </c>
      <c r="D7244">
        <v>6254</v>
      </c>
      <c r="E7244" t="str">
        <f>"ME"</f>
        <v>ME</v>
      </c>
      <c r="F7244" t="str">
        <f t="shared" si="1612"/>
        <v>936</v>
      </c>
      <c r="G7244">
        <v>9</v>
      </c>
      <c r="H7244" t="str">
        <f t="shared" si="1613"/>
        <v>99</v>
      </c>
      <c r="I7244" t="str">
        <f>"1"</f>
        <v>1</v>
      </c>
      <c r="J7244" t="str">
        <f>"73"</f>
        <v>73</v>
      </c>
      <c r="K7244">
        <v>20190712</v>
      </c>
      <c r="L7244" t="str">
        <f>"077382"</f>
        <v>077382</v>
      </c>
      <c r="M7244" t="str">
        <f>"42194"</f>
        <v>42194</v>
      </c>
      <c r="N7244" t="s">
        <v>1736</v>
      </c>
      <c r="O7244" s="1">
        <v>74479.8</v>
      </c>
      <c r="P7244">
        <v>20190718</v>
      </c>
      <c r="Q7244" t="s">
        <v>1891</v>
      </c>
      <c r="R7244" t="s">
        <v>5684</v>
      </c>
      <c r="S7244" t="s">
        <v>1615</v>
      </c>
      <c r="T7244" t="s">
        <v>1713</v>
      </c>
    </row>
    <row r="7245" spans="1:20" x14ac:dyDescent="0.25">
      <c r="A7245">
        <v>9</v>
      </c>
      <c r="B7245">
        <v>199</v>
      </c>
      <c r="C7245" t="str">
        <f t="shared" si="1611"/>
        <v>51</v>
      </c>
      <c r="D7245">
        <v>6254</v>
      </c>
      <c r="E7245" t="str">
        <f>"ME"</f>
        <v>ME</v>
      </c>
      <c r="F7245" t="str">
        <f t="shared" si="1612"/>
        <v>936</v>
      </c>
      <c r="G7245">
        <v>9</v>
      </c>
      <c r="H7245" t="str">
        <f t="shared" si="1613"/>
        <v>99</v>
      </c>
      <c r="I7245" t="str">
        <f>"1"</f>
        <v>1</v>
      </c>
      <c r="J7245" t="str">
        <f>"73"</f>
        <v>73</v>
      </c>
      <c r="K7245">
        <v>20190718</v>
      </c>
      <c r="L7245" t="str">
        <f>"077382"</f>
        <v>077382</v>
      </c>
      <c r="M7245" t="str">
        <f>"42194"</f>
        <v>42194</v>
      </c>
      <c r="N7245" t="s">
        <v>1736</v>
      </c>
      <c r="O7245" s="1">
        <v>-74479.8</v>
      </c>
      <c r="P7245">
        <v>20190718</v>
      </c>
      <c r="Q7245" t="s">
        <v>1891</v>
      </c>
      <c r="R7245" t="s">
        <v>138</v>
      </c>
      <c r="S7245" t="s">
        <v>1615</v>
      </c>
      <c r="T7245" t="s">
        <v>1713</v>
      </c>
    </row>
    <row r="7246" spans="1:20" x14ac:dyDescent="0.25">
      <c r="A7246">
        <v>9</v>
      </c>
      <c r="B7246">
        <v>199</v>
      </c>
      <c r="C7246" t="str">
        <f t="shared" si="1611"/>
        <v>51</v>
      </c>
      <c r="D7246">
        <v>6254</v>
      </c>
      <c r="E7246" t="str">
        <f>"ME"</f>
        <v>ME</v>
      </c>
      <c r="F7246" t="str">
        <f t="shared" si="1612"/>
        <v>936</v>
      </c>
      <c r="G7246">
        <v>9</v>
      </c>
      <c r="H7246" t="str">
        <f t="shared" si="1613"/>
        <v>99</v>
      </c>
      <c r="I7246" t="str">
        <f>"1"</f>
        <v>1</v>
      </c>
      <c r="J7246" t="str">
        <f>"73"</f>
        <v>73</v>
      </c>
      <c r="K7246">
        <v>20190718</v>
      </c>
      <c r="L7246" t="str">
        <f>"077382"</f>
        <v>077382</v>
      </c>
      <c r="M7246" t="str">
        <f>"42194"</f>
        <v>42194</v>
      </c>
      <c r="N7246" t="s">
        <v>1736</v>
      </c>
      <c r="O7246">
        <v>-964.69</v>
      </c>
      <c r="P7246">
        <v>20190718</v>
      </c>
      <c r="Q7246" t="s">
        <v>1891</v>
      </c>
      <c r="R7246" t="s">
        <v>138</v>
      </c>
      <c r="S7246" t="s">
        <v>1615</v>
      </c>
      <c r="T7246" t="s">
        <v>1713</v>
      </c>
    </row>
    <row r="7247" spans="1:20" x14ac:dyDescent="0.25">
      <c r="A7247">
        <v>9</v>
      </c>
      <c r="B7247">
        <v>199</v>
      </c>
      <c r="C7247" t="str">
        <f>"11"</f>
        <v>11</v>
      </c>
      <c r="D7247">
        <v>6649</v>
      </c>
      <c r="E7247" t="str">
        <f>"00"</f>
        <v>00</v>
      </c>
      <c r="F7247" t="str">
        <f>"001"</f>
        <v>001</v>
      </c>
      <c r="G7247">
        <v>9</v>
      </c>
      <c r="H7247" t="str">
        <f>"11"</f>
        <v>11</v>
      </c>
      <c r="I7247" t="str">
        <f>"Z"</f>
        <v>Z</v>
      </c>
      <c r="J7247" t="str">
        <f>"80"</f>
        <v>80</v>
      </c>
      <c r="K7247">
        <v>20190712</v>
      </c>
      <c r="L7247" t="str">
        <f>"077383"</f>
        <v>077383</v>
      </c>
      <c r="M7247" t="str">
        <f>"00050"</f>
        <v>00050</v>
      </c>
      <c r="N7247" t="s">
        <v>4636</v>
      </c>
      <c r="O7247" s="1">
        <v>7080</v>
      </c>
      <c r="P7247">
        <v>20190710</v>
      </c>
      <c r="Q7247" t="s">
        <v>4085</v>
      </c>
      <c r="R7247" t="s">
        <v>5685</v>
      </c>
      <c r="S7247" t="s">
        <v>1615</v>
      </c>
      <c r="T7247" t="s">
        <v>301</v>
      </c>
    </row>
    <row r="7248" spans="1:20" x14ac:dyDescent="0.25">
      <c r="A7248">
        <v>9</v>
      </c>
      <c r="B7248">
        <v>199</v>
      </c>
      <c r="C7248" t="str">
        <f>"11"</f>
        <v>11</v>
      </c>
      <c r="D7248">
        <v>6649</v>
      </c>
      <c r="E7248" t="str">
        <f>"00"</f>
        <v>00</v>
      </c>
      <c r="F7248" t="str">
        <f>"001"</f>
        <v>001</v>
      </c>
      <c r="G7248">
        <v>9</v>
      </c>
      <c r="H7248" t="str">
        <f>"11"</f>
        <v>11</v>
      </c>
      <c r="I7248" t="str">
        <f>"Z"</f>
        <v>Z</v>
      </c>
      <c r="J7248" t="str">
        <f>"80"</f>
        <v>80</v>
      </c>
      <c r="K7248">
        <v>20190712</v>
      </c>
      <c r="L7248" t="str">
        <f>"077383"</f>
        <v>077383</v>
      </c>
      <c r="M7248" t="str">
        <f>"00050"</f>
        <v>00050</v>
      </c>
      <c r="N7248" t="s">
        <v>4636</v>
      </c>
      <c r="O7248" s="1">
        <v>14838</v>
      </c>
      <c r="P7248">
        <v>20190710</v>
      </c>
      <c r="Q7248" t="s">
        <v>4085</v>
      </c>
      <c r="R7248" t="s">
        <v>5685</v>
      </c>
      <c r="S7248" t="s">
        <v>1615</v>
      </c>
      <c r="T7248" t="s">
        <v>301</v>
      </c>
    </row>
    <row r="7249" spans="1:20" x14ac:dyDescent="0.25">
      <c r="A7249">
        <v>9</v>
      </c>
      <c r="B7249">
        <v>199</v>
      </c>
      <c r="C7249" t="str">
        <f>"11"</f>
        <v>11</v>
      </c>
      <c r="D7249">
        <v>6649</v>
      </c>
      <c r="E7249" t="str">
        <f>"PK"</f>
        <v>PK</v>
      </c>
      <c r="F7249" t="str">
        <f>"101"</f>
        <v>101</v>
      </c>
      <c r="G7249">
        <v>9</v>
      </c>
      <c r="H7249" t="str">
        <f>"11"</f>
        <v>11</v>
      </c>
      <c r="I7249" t="str">
        <f>"1"</f>
        <v>1</v>
      </c>
      <c r="J7249" t="str">
        <f>"04"</f>
        <v>04</v>
      </c>
      <c r="K7249">
        <v>20190712</v>
      </c>
      <c r="L7249" t="str">
        <f>"077383"</f>
        <v>077383</v>
      </c>
      <c r="M7249" t="str">
        <f>"00050"</f>
        <v>00050</v>
      </c>
      <c r="N7249" t="s">
        <v>4636</v>
      </c>
      <c r="O7249" s="1">
        <v>8832.5</v>
      </c>
      <c r="P7249">
        <v>20190710</v>
      </c>
      <c r="Q7249" t="s">
        <v>5686</v>
      </c>
      <c r="R7249" t="s">
        <v>5685</v>
      </c>
      <c r="S7249" t="s">
        <v>1615</v>
      </c>
      <c r="T7249" t="s">
        <v>1479</v>
      </c>
    </row>
    <row r="7250" spans="1:20" x14ac:dyDescent="0.25">
      <c r="A7250">
        <v>9</v>
      </c>
      <c r="B7250">
        <v>199</v>
      </c>
      <c r="C7250" t="str">
        <f>"34"</f>
        <v>34</v>
      </c>
      <c r="D7250">
        <v>6249</v>
      </c>
      <c r="E7250" t="str">
        <f>"10"</f>
        <v>10</v>
      </c>
      <c r="F7250" t="str">
        <f>"937"</f>
        <v>937</v>
      </c>
      <c r="G7250">
        <v>9</v>
      </c>
      <c r="H7250" t="str">
        <f>"99"</f>
        <v>99</v>
      </c>
      <c r="I7250" t="str">
        <f>"0"</f>
        <v>0</v>
      </c>
      <c r="J7250" t="str">
        <f>"82"</f>
        <v>82</v>
      </c>
      <c r="K7250">
        <v>20190712</v>
      </c>
      <c r="L7250" t="str">
        <f>"077385"</f>
        <v>077385</v>
      </c>
      <c r="M7250" t="str">
        <f>"64519"</f>
        <v>64519</v>
      </c>
      <c r="N7250" t="s">
        <v>5687</v>
      </c>
      <c r="O7250">
        <v>40</v>
      </c>
      <c r="P7250">
        <v>20190710</v>
      </c>
      <c r="Q7250" t="s">
        <v>2036</v>
      </c>
      <c r="R7250" t="s">
        <v>5688</v>
      </c>
      <c r="S7250" t="s">
        <v>1615</v>
      </c>
      <c r="T7250" t="s">
        <v>1810</v>
      </c>
    </row>
    <row r="7251" spans="1:20" x14ac:dyDescent="0.25">
      <c r="A7251">
        <v>9</v>
      </c>
      <c r="B7251">
        <v>199</v>
      </c>
      <c r="C7251" t="str">
        <f>"34"</f>
        <v>34</v>
      </c>
      <c r="D7251">
        <v>6249</v>
      </c>
      <c r="E7251" t="str">
        <f>"11"</f>
        <v>11</v>
      </c>
      <c r="F7251" t="str">
        <f>"937"</f>
        <v>937</v>
      </c>
      <c r="G7251">
        <v>9</v>
      </c>
      <c r="H7251" t="str">
        <f>"99"</f>
        <v>99</v>
      </c>
      <c r="I7251" t="str">
        <f>"C"</f>
        <v>C</v>
      </c>
      <c r="J7251" t="str">
        <f>"82"</f>
        <v>82</v>
      </c>
      <c r="K7251">
        <v>20190712</v>
      </c>
      <c r="L7251" t="str">
        <f>"077385"</f>
        <v>077385</v>
      </c>
      <c r="M7251" t="str">
        <f>"64519"</f>
        <v>64519</v>
      </c>
      <c r="N7251" t="s">
        <v>5687</v>
      </c>
      <c r="O7251" s="1">
        <v>35099.75</v>
      </c>
      <c r="P7251">
        <v>20190710</v>
      </c>
      <c r="Q7251" t="s">
        <v>5689</v>
      </c>
      <c r="R7251" t="s">
        <v>5690</v>
      </c>
      <c r="S7251" t="s">
        <v>1615</v>
      </c>
      <c r="T7251" t="s">
        <v>1810</v>
      </c>
    </row>
    <row r="7252" spans="1:20" x14ac:dyDescent="0.25">
      <c r="A7252">
        <v>9</v>
      </c>
      <c r="B7252">
        <v>199</v>
      </c>
      <c r="C7252" t="str">
        <f>"00"</f>
        <v>00</v>
      </c>
      <c r="D7252">
        <v>1291</v>
      </c>
      <c r="E7252" t="str">
        <f>"05"</f>
        <v>05</v>
      </c>
      <c r="F7252" t="str">
        <f>"000"</f>
        <v>000</v>
      </c>
      <c r="G7252">
        <v>9</v>
      </c>
      <c r="H7252" t="str">
        <f>"00"</f>
        <v>00</v>
      </c>
      <c r="I7252" t="str">
        <f t="shared" ref="I7252:I7283" si="1614">"0"</f>
        <v>0</v>
      </c>
      <c r="J7252" t="str">
        <f>"00"</f>
        <v>00</v>
      </c>
      <c r="K7252">
        <v>20190712</v>
      </c>
      <c r="L7252" t="str">
        <f>"077386"</f>
        <v>077386</v>
      </c>
      <c r="M7252" t="str">
        <f>"46398"</f>
        <v>46398</v>
      </c>
      <c r="N7252" t="s">
        <v>1636</v>
      </c>
      <c r="O7252">
        <v>78.180000000000007</v>
      </c>
      <c r="P7252">
        <v>20190710</v>
      </c>
      <c r="Q7252" t="s">
        <v>1637</v>
      </c>
      <c r="R7252" t="s">
        <v>5691</v>
      </c>
      <c r="S7252" t="s">
        <v>1615</v>
      </c>
      <c r="T7252" t="s">
        <v>296</v>
      </c>
    </row>
    <row r="7253" spans="1:20" x14ac:dyDescent="0.25">
      <c r="A7253">
        <v>9</v>
      </c>
      <c r="B7253">
        <v>199</v>
      </c>
      <c r="C7253" t="str">
        <f>"00"</f>
        <v>00</v>
      </c>
      <c r="D7253">
        <v>1291</v>
      </c>
      <c r="E7253" t="str">
        <f>"05"</f>
        <v>05</v>
      </c>
      <c r="F7253" t="str">
        <f>"000"</f>
        <v>000</v>
      </c>
      <c r="G7253">
        <v>9</v>
      </c>
      <c r="H7253" t="str">
        <f>"00"</f>
        <v>00</v>
      </c>
      <c r="I7253" t="str">
        <f t="shared" si="1614"/>
        <v>0</v>
      </c>
      <c r="J7253" t="str">
        <f>"00"</f>
        <v>00</v>
      </c>
      <c r="K7253">
        <v>20190712</v>
      </c>
      <c r="L7253" t="str">
        <f>"077386"</f>
        <v>077386</v>
      </c>
      <c r="M7253" t="str">
        <f>"46398"</f>
        <v>46398</v>
      </c>
      <c r="N7253" t="s">
        <v>1636</v>
      </c>
      <c r="O7253" s="1">
        <v>9569.5300000000007</v>
      </c>
      <c r="P7253">
        <v>20190710</v>
      </c>
      <c r="Q7253" t="s">
        <v>1637</v>
      </c>
      <c r="R7253" t="s">
        <v>5691</v>
      </c>
      <c r="S7253" t="s">
        <v>1615</v>
      </c>
      <c r="T7253" t="s">
        <v>296</v>
      </c>
    </row>
    <row r="7254" spans="1:20" x14ac:dyDescent="0.25">
      <c r="A7254">
        <v>9</v>
      </c>
      <c r="B7254">
        <v>199</v>
      </c>
      <c r="C7254" t="str">
        <f>"41"</f>
        <v>41</v>
      </c>
      <c r="D7254">
        <v>6245</v>
      </c>
      <c r="E7254" t="str">
        <f>"10"</f>
        <v>10</v>
      </c>
      <c r="F7254" t="str">
        <f>"933"</f>
        <v>933</v>
      </c>
      <c r="G7254">
        <v>9</v>
      </c>
      <c r="H7254" t="str">
        <f>"99"</f>
        <v>99</v>
      </c>
      <c r="I7254" t="str">
        <f t="shared" si="1614"/>
        <v>0</v>
      </c>
      <c r="J7254" t="str">
        <f>"85"</f>
        <v>85</v>
      </c>
      <c r="K7254">
        <v>20190712</v>
      </c>
      <c r="L7254" t="str">
        <f>"077386"</f>
        <v>077386</v>
      </c>
      <c r="M7254" t="str">
        <f>"46398"</f>
        <v>46398</v>
      </c>
      <c r="N7254" t="s">
        <v>1636</v>
      </c>
      <c r="O7254" s="1">
        <v>3803.07</v>
      </c>
      <c r="P7254">
        <v>20190710</v>
      </c>
      <c r="Q7254" t="s">
        <v>2516</v>
      </c>
      <c r="R7254" t="s">
        <v>5691</v>
      </c>
      <c r="S7254" t="s">
        <v>1615</v>
      </c>
      <c r="T7254" t="s">
        <v>1643</v>
      </c>
    </row>
    <row r="7255" spans="1:20" x14ac:dyDescent="0.25">
      <c r="A7255">
        <v>9</v>
      </c>
      <c r="B7255">
        <v>199</v>
      </c>
      <c r="C7255" t="str">
        <f>"00"</f>
        <v>00</v>
      </c>
      <c r="D7255">
        <v>1291</v>
      </c>
      <c r="E7255" t="str">
        <f>"05"</f>
        <v>05</v>
      </c>
      <c r="F7255" t="str">
        <f>"000"</f>
        <v>000</v>
      </c>
      <c r="G7255">
        <v>9</v>
      </c>
      <c r="H7255" t="str">
        <f>"00"</f>
        <v>00</v>
      </c>
      <c r="I7255" t="str">
        <f t="shared" si="1614"/>
        <v>0</v>
      </c>
      <c r="J7255" t="str">
        <f>"00"</f>
        <v>00</v>
      </c>
      <c r="K7255">
        <v>20190712</v>
      </c>
      <c r="L7255" t="str">
        <f>"077387"</f>
        <v>077387</v>
      </c>
      <c r="M7255" t="str">
        <f>"46351"</f>
        <v>46351</v>
      </c>
      <c r="N7255" t="s">
        <v>1639</v>
      </c>
      <c r="O7255">
        <v>633.32000000000005</v>
      </c>
      <c r="P7255">
        <v>20190710</v>
      </c>
      <c r="Q7255" t="s">
        <v>1637</v>
      </c>
      <c r="R7255" t="s">
        <v>5692</v>
      </c>
      <c r="S7255" t="s">
        <v>1615</v>
      </c>
      <c r="T7255" t="s">
        <v>296</v>
      </c>
    </row>
    <row r="7256" spans="1:20" x14ac:dyDescent="0.25">
      <c r="A7256">
        <v>9</v>
      </c>
      <c r="B7256">
        <v>199</v>
      </c>
      <c r="C7256" t="str">
        <f>"00"</f>
        <v>00</v>
      </c>
      <c r="D7256">
        <v>1291</v>
      </c>
      <c r="E7256" t="str">
        <f>"05"</f>
        <v>05</v>
      </c>
      <c r="F7256" t="str">
        <f>"000"</f>
        <v>000</v>
      </c>
      <c r="G7256">
        <v>9</v>
      </c>
      <c r="H7256" t="str">
        <f>"00"</f>
        <v>00</v>
      </c>
      <c r="I7256" t="str">
        <f t="shared" si="1614"/>
        <v>0</v>
      </c>
      <c r="J7256" t="str">
        <f>"00"</f>
        <v>00</v>
      </c>
      <c r="K7256">
        <v>20190712</v>
      </c>
      <c r="L7256" t="str">
        <f>"077387"</f>
        <v>077387</v>
      </c>
      <c r="M7256" t="str">
        <f>"46351"</f>
        <v>46351</v>
      </c>
      <c r="N7256" t="s">
        <v>1639</v>
      </c>
      <c r="O7256" s="1">
        <v>11075.67</v>
      </c>
      <c r="P7256">
        <v>20190710</v>
      </c>
      <c r="Q7256" t="s">
        <v>1637</v>
      </c>
      <c r="R7256" t="s">
        <v>5693</v>
      </c>
      <c r="S7256" t="s">
        <v>1615</v>
      </c>
      <c r="T7256" t="s">
        <v>296</v>
      </c>
    </row>
    <row r="7257" spans="1:20" x14ac:dyDescent="0.25">
      <c r="A7257">
        <v>9</v>
      </c>
      <c r="B7257">
        <v>199</v>
      </c>
      <c r="C7257" t="str">
        <f>"41"</f>
        <v>41</v>
      </c>
      <c r="D7257">
        <v>6269</v>
      </c>
      <c r="E7257" t="str">
        <f>"10"</f>
        <v>10</v>
      </c>
      <c r="F7257" t="str">
        <f>"933"</f>
        <v>933</v>
      </c>
      <c r="G7257">
        <v>9</v>
      </c>
      <c r="H7257" t="str">
        <f t="shared" ref="H7257:H7264" si="1615">"99"</f>
        <v>99</v>
      </c>
      <c r="I7257" t="str">
        <f t="shared" si="1614"/>
        <v>0</v>
      </c>
      <c r="J7257" t="str">
        <f>"85"</f>
        <v>85</v>
      </c>
      <c r="K7257">
        <v>20190712</v>
      </c>
      <c r="L7257" t="str">
        <f>"077387"</f>
        <v>077387</v>
      </c>
      <c r="M7257" t="str">
        <f>"46351"</f>
        <v>46351</v>
      </c>
      <c r="N7257" t="s">
        <v>1639</v>
      </c>
      <c r="O7257" s="1">
        <v>4248.04</v>
      </c>
      <c r="P7257">
        <v>20190710</v>
      </c>
      <c r="Q7257" t="s">
        <v>1642</v>
      </c>
      <c r="R7257" t="s">
        <v>5693</v>
      </c>
      <c r="S7257" t="s">
        <v>1615</v>
      </c>
      <c r="T7257" t="s">
        <v>1643</v>
      </c>
    </row>
    <row r="7258" spans="1:20" x14ac:dyDescent="0.25">
      <c r="A7258">
        <v>9</v>
      </c>
      <c r="B7258">
        <v>199</v>
      </c>
      <c r="C7258" t="str">
        <f>"51"</f>
        <v>51</v>
      </c>
      <c r="D7258">
        <v>6319</v>
      </c>
      <c r="E7258" t="str">
        <f>"MC"</f>
        <v>MC</v>
      </c>
      <c r="F7258" t="str">
        <f>"936"</f>
        <v>936</v>
      </c>
      <c r="G7258">
        <v>9</v>
      </c>
      <c r="H7258" t="str">
        <f t="shared" si="1615"/>
        <v>99</v>
      </c>
      <c r="I7258" t="str">
        <f t="shared" si="1614"/>
        <v>0</v>
      </c>
      <c r="J7258" t="str">
        <f>"81"</f>
        <v>81</v>
      </c>
      <c r="K7258">
        <v>20190712</v>
      </c>
      <c r="L7258" t="str">
        <f>"077388"</f>
        <v>077388</v>
      </c>
      <c r="M7258" t="str">
        <f>"47725"</f>
        <v>47725</v>
      </c>
      <c r="N7258" t="s">
        <v>2095</v>
      </c>
      <c r="O7258">
        <v>85.58</v>
      </c>
      <c r="P7258">
        <v>20190710</v>
      </c>
      <c r="Q7258" t="s">
        <v>2060</v>
      </c>
      <c r="R7258" t="s">
        <v>3191</v>
      </c>
      <c r="S7258" t="s">
        <v>1615</v>
      </c>
      <c r="T7258" t="s">
        <v>1713</v>
      </c>
    </row>
    <row r="7259" spans="1:20" x14ac:dyDescent="0.25">
      <c r="A7259">
        <v>9</v>
      </c>
      <c r="B7259">
        <v>199</v>
      </c>
      <c r="C7259" t="str">
        <f>"51"</f>
        <v>51</v>
      </c>
      <c r="D7259">
        <v>6319</v>
      </c>
      <c r="E7259" t="str">
        <f>"MC"</f>
        <v>MC</v>
      </c>
      <c r="F7259" t="str">
        <f>"936"</f>
        <v>936</v>
      </c>
      <c r="G7259">
        <v>9</v>
      </c>
      <c r="H7259" t="str">
        <f t="shared" si="1615"/>
        <v>99</v>
      </c>
      <c r="I7259" t="str">
        <f t="shared" si="1614"/>
        <v>0</v>
      </c>
      <c r="J7259" t="str">
        <f>"81"</f>
        <v>81</v>
      </c>
      <c r="K7259">
        <v>20190712</v>
      </c>
      <c r="L7259" t="str">
        <f>"077388"</f>
        <v>077388</v>
      </c>
      <c r="M7259" t="str">
        <f>"47725"</f>
        <v>47725</v>
      </c>
      <c r="N7259" t="s">
        <v>2095</v>
      </c>
      <c r="O7259">
        <v>212.88</v>
      </c>
      <c r="P7259">
        <v>20190710</v>
      </c>
      <c r="Q7259" t="s">
        <v>2060</v>
      </c>
      <c r="R7259" t="s">
        <v>5694</v>
      </c>
      <c r="S7259" t="s">
        <v>1615</v>
      </c>
      <c r="T7259" t="s">
        <v>1713</v>
      </c>
    </row>
    <row r="7260" spans="1:20" x14ac:dyDescent="0.25">
      <c r="A7260">
        <v>9</v>
      </c>
      <c r="B7260">
        <v>199</v>
      </c>
      <c r="C7260" t="str">
        <f>"41"</f>
        <v>41</v>
      </c>
      <c r="D7260">
        <v>6299</v>
      </c>
      <c r="E7260" t="str">
        <f>"00"</f>
        <v>00</v>
      </c>
      <c r="F7260" t="str">
        <f>"932"</f>
        <v>932</v>
      </c>
      <c r="G7260">
        <v>9</v>
      </c>
      <c r="H7260" t="str">
        <f t="shared" si="1615"/>
        <v>99</v>
      </c>
      <c r="I7260" t="str">
        <f t="shared" si="1614"/>
        <v>0</v>
      </c>
      <c r="J7260" t="str">
        <f>"84"</f>
        <v>84</v>
      </c>
      <c r="K7260">
        <v>20190712</v>
      </c>
      <c r="L7260" t="str">
        <f>"077390"</f>
        <v>077390</v>
      </c>
      <c r="M7260" t="str">
        <f>"48475"</f>
        <v>48475</v>
      </c>
      <c r="N7260" t="s">
        <v>5695</v>
      </c>
      <c r="O7260">
        <v>331.5</v>
      </c>
      <c r="P7260">
        <v>20190710</v>
      </c>
      <c r="Q7260" t="s">
        <v>2898</v>
      </c>
      <c r="R7260" t="s">
        <v>5696</v>
      </c>
      <c r="S7260" t="s">
        <v>1615</v>
      </c>
      <c r="T7260" t="s">
        <v>2900</v>
      </c>
    </row>
    <row r="7261" spans="1:20" x14ac:dyDescent="0.25">
      <c r="A7261">
        <v>9</v>
      </c>
      <c r="B7261">
        <v>199</v>
      </c>
      <c r="C7261" t="str">
        <f>"51"</f>
        <v>51</v>
      </c>
      <c r="D7261">
        <v>6319</v>
      </c>
      <c r="E7261" t="str">
        <f>"MC"</f>
        <v>MC</v>
      </c>
      <c r="F7261" t="str">
        <f>"936"</f>
        <v>936</v>
      </c>
      <c r="G7261">
        <v>9</v>
      </c>
      <c r="H7261" t="str">
        <f t="shared" si="1615"/>
        <v>99</v>
      </c>
      <c r="I7261" t="str">
        <f t="shared" si="1614"/>
        <v>0</v>
      </c>
      <c r="J7261" t="str">
        <f>"81"</f>
        <v>81</v>
      </c>
      <c r="K7261">
        <v>20190712</v>
      </c>
      <c r="L7261" t="str">
        <f>"077391"</f>
        <v>077391</v>
      </c>
      <c r="M7261" t="str">
        <f>"49898"</f>
        <v>49898</v>
      </c>
      <c r="N7261" t="s">
        <v>2390</v>
      </c>
      <c r="O7261">
        <v>477.4</v>
      </c>
      <c r="P7261">
        <v>20190710</v>
      </c>
      <c r="Q7261" t="s">
        <v>2060</v>
      </c>
      <c r="R7261" t="s">
        <v>5697</v>
      </c>
      <c r="S7261" t="s">
        <v>1615</v>
      </c>
      <c r="T7261" t="s">
        <v>1713</v>
      </c>
    </row>
    <row r="7262" spans="1:20" x14ac:dyDescent="0.25">
      <c r="A7262">
        <v>9</v>
      </c>
      <c r="B7262">
        <v>199</v>
      </c>
      <c r="C7262" t="str">
        <f>"51"</f>
        <v>51</v>
      </c>
      <c r="D7262">
        <v>6319</v>
      </c>
      <c r="E7262" t="str">
        <f>"MC"</f>
        <v>MC</v>
      </c>
      <c r="F7262" t="str">
        <f>"936"</f>
        <v>936</v>
      </c>
      <c r="G7262">
        <v>9</v>
      </c>
      <c r="H7262" t="str">
        <f t="shared" si="1615"/>
        <v>99</v>
      </c>
      <c r="I7262" t="str">
        <f t="shared" si="1614"/>
        <v>0</v>
      </c>
      <c r="J7262" t="str">
        <f>"81"</f>
        <v>81</v>
      </c>
      <c r="K7262">
        <v>20190712</v>
      </c>
      <c r="L7262" t="str">
        <f>"077391"</f>
        <v>077391</v>
      </c>
      <c r="M7262" t="str">
        <f>"49898"</f>
        <v>49898</v>
      </c>
      <c r="N7262" t="s">
        <v>2390</v>
      </c>
      <c r="O7262">
        <v>48.12</v>
      </c>
      <c r="P7262">
        <v>20190710</v>
      </c>
      <c r="Q7262" t="s">
        <v>2060</v>
      </c>
      <c r="R7262" t="s">
        <v>5698</v>
      </c>
      <c r="S7262" t="s">
        <v>1615</v>
      </c>
      <c r="T7262" t="s">
        <v>1713</v>
      </c>
    </row>
    <row r="7263" spans="1:20" x14ac:dyDescent="0.25">
      <c r="A7263">
        <v>9</v>
      </c>
      <c r="B7263">
        <v>199</v>
      </c>
      <c r="C7263" t="str">
        <f>"51"</f>
        <v>51</v>
      </c>
      <c r="D7263">
        <v>6319</v>
      </c>
      <c r="E7263" t="str">
        <f>"MC"</f>
        <v>MC</v>
      </c>
      <c r="F7263" t="str">
        <f>"936"</f>
        <v>936</v>
      </c>
      <c r="G7263">
        <v>9</v>
      </c>
      <c r="H7263" t="str">
        <f t="shared" si="1615"/>
        <v>99</v>
      </c>
      <c r="I7263" t="str">
        <f t="shared" si="1614"/>
        <v>0</v>
      </c>
      <c r="J7263" t="str">
        <f>"81"</f>
        <v>81</v>
      </c>
      <c r="K7263">
        <v>20190712</v>
      </c>
      <c r="L7263" t="str">
        <f>"077391"</f>
        <v>077391</v>
      </c>
      <c r="M7263" t="str">
        <f>"49898"</f>
        <v>49898</v>
      </c>
      <c r="N7263" t="s">
        <v>2390</v>
      </c>
      <c r="O7263">
        <v>165.56</v>
      </c>
      <c r="P7263">
        <v>20190710</v>
      </c>
      <c r="Q7263" t="s">
        <v>2060</v>
      </c>
      <c r="R7263" t="s">
        <v>5699</v>
      </c>
      <c r="S7263" t="s">
        <v>1615</v>
      </c>
      <c r="T7263" t="s">
        <v>1713</v>
      </c>
    </row>
    <row r="7264" spans="1:20" x14ac:dyDescent="0.25">
      <c r="A7264">
        <v>9</v>
      </c>
      <c r="B7264">
        <v>199</v>
      </c>
      <c r="C7264" t="str">
        <f>"51"</f>
        <v>51</v>
      </c>
      <c r="D7264">
        <v>6319</v>
      </c>
      <c r="E7264" t="str">
        <f>"MC"</f>
        <v>MC</v>
      </c>
      <c r="F7264" t="str">
        <f>"936"</f>
        <v>936</v>
      </c>
      <c r="G7264">
        <v>9</v>
      </c>
      <c r="H7264" t="str">
        <f t="shared" si="1615"/>
        <v>99</v>
      </c>
      <c r="I7264" t="str">
        <f t="shared" si="1614"/>
        <v>0</v>
      </c>
      <c r="J7264" t="str">
        <f>"81"</f>
        <v>81</v>
      </c>
      <c r="K7264">
        <v>20190712</v>
      </c>
      <c r="L7264" t="str">
        <f>"077391"</f>
        <v>077391</v>
      </c>
      <c r="M7264" t="str">
        <f>"49898"</f>
        <v>49898</v>
      </c>
      <c r="N7264" t="s">
        <v>2390</v>
      </c>
      <c r="O7264">
        <v>331.81</v>
      </c>
      <c r="P7264">
        <v>20190710</v>
      </c>
      <c r="Q7264" t="s">
        <v>2060</v>
      </c>
      <c r="R7264" t="s">
        <v>5700</v>
      </c>
      <c r="S7264" t="s">
        <v>1615</v>
      </c>
      <c r="T7264" t="s">
        <v>1713</v>
      </c>
    </row>
    <row r="7265" spans="1:20" x14ac:dyDescent="0.25">
      <c r="A7265">
        <v>9</v>
      </c>
      <c r="B7265">
        <v>199</v>
      </c>
      <c r="C7265" t="str">
        <f>"11"</f>
        <v>11</v>
      </c>
      <c r="D7265">
        <v>6399</v>
      </c>
      <c r="E7265" t="str">
        <f>"V1"</f>
        <v>V1</v>
      </c>
      <c r="F7265" t="str">
        <f>"001"</f>
        <v>001</v>
      </c>
      <c r="G7265">
        <v>9</v>
      </c>
      <c r="H7265" t="str">
        <f>"22"</f>
        <v>22</v>
      </c>
      <c r="I7265" t="str">
        <f t="shared" si="1614"/>
        <v>0</v>
      </c>
      <c r="J7265" t="str">
        <f>"22"</f>
        <v>22</v>
      </c>
      <c r="K7265">
        <v>20190712</v>
      </c>
      <c r="L7265" t="str">
        <f>"077392"</f>
        <v>077392</v>
      </c>
      <c r="M7265" t="str">
        <f>"50825"</f>
        <v>50825</v>
      </c>
      <c r="N7265" t="s">
        <v>5701</v>
      </c>
      <c r="O7265" s="1">
        <v>1462.8</v>
      </c>
      <c r="P7265">
        <v>20190710</v>
      </c>
      <c r="Q7265" t="s">
        <v>5437</v>
      </c>
      <c r="R7265" t="s">
        <v>5702</v>
      </c>
      <c r="S7265" t="s">
        <v>1615</v>
      </c>
      <c r="T7265" t="s">
        <v>301</v>
      </c>
    </row>
    <row r="7266" spans="1:20" x14ac:dyDescent="0.25">
      <c r="A7266">
        <v>9</v>
      </c>
      <c r="B7266">
        <v>199</v>
      </c>
      <c r="C7266" t="str">
        <f>"11"</f>
        <v>11</v>
      </c>
      <c r="D7266">
        <v>6639</v>
      </c>
      <c r="E7266" t="str">
        <f>"V1"</f>
        <v>V1</v>
      </c>
      <c r="F7266" t="str">
        <f>"001"</f>
        <v>001</v>
      </c>
      <c r="G7266">
        <v>9</v>
      </c>
      <c r="H7266" t="str">
        <f>"22"</f>
        <v>22</v>
      </c>
      <c r="I7266" t="str">
        <f t="shared" si="1614"/>
        <v>0</v>
      </c>
      <c r="J7266" t="str">
        <f>"22"</f>
        <v>22</v>
      </c>
      <c r="K7266">
        <v>20190712</v>
      </c>
      <c r="L7266" t="str">
        <f>"077393"</f>
        <v>077393</v>
      </c>
      <c r="M7266" t="str">
        <f>"00840"</f>
        <v>00840</v>
      </c>
      <c r="N7266" t="s">
        <v>5703</v>
      </c>
      <c r="O7266" s="1">
        <v>5515</v>
      </c>
      <c r="P7266">
        <v>20190710</v>
      </c>
      <c r="Q7266" t="s">
        <v>5704</v>
      </c>
      <c r="R7266" t="s">
        <v>5705</v>
      </c>
      <c r="S7266" t="s">
        <v>1615</v>
      </c>
      <c r="T7266" t="s">
        <v>301</v>
      </c>
    </row>
    <row r="7267" spans="1:20" x14ac:dyDescent="0.25">
      <c r="A7267">
        <v>9</v>
      </c>
      <c r="B7267">
        <v>199</v>
      </c>
      <c r="C7267" t="str">
        <f t="shared" ref="C7267:C7272" si="1616">"51"</f>
        <v>51</v>
      </c>
      <c r="D7267">
        <v>6249</v>
      </c>
      <c r="E7267" t="str">
        <f>"M8"</f>
        <v>M8</v>
      </c>
      <c r="F7267" t="str">
        <f>"936"</f>
        <v>936</v>
      </c>
      <c r="G7267">
        <v>9</v>
      </c>
      <c r="H7267" t="str">
        <f t="shared" ref="H7267:H7272" si="1617">"99"</f>
        <v>99</v>
      </c>
      <c r="I7267" t="str">
        <f t="shared" si="1614"/>
        <v>0</v>
      </c>
      <c r="J7267" t="str">
        <f t="shared" ref="J7267:J7272" si="1618">"81"</f>
        <v>81</v>
      </c>
      <c r="K7267">
        <v>20190712</v>
      </c>
      <c r="L7267" t="str">
        <f t="shared" ref="L7267:L7272" si="1619">"077394"</f>
        <v>077394</v>
      </c>
      <c r="M7267" t="str">
        <f t="shared" ref="M7267:M7272" si="1620">"52185"</f>
        <v>52185</v>
      </c>
      <c r="N7267" t="s">
        <v>1748</v>
      </c>
      <c r="O7267">
        <v>326.72000000000003</v>
      </c>
      <c r="P7267">
        <v>20190711</v>
      </c>
      <c r="Q7267" t="s">
        <v>2096</v>
      </c>
      <c r="R7267" t="s">
        <v>5706</v>
      </c>
      <c r="S7267" t="s">
        <v>1615</v>
      </c>
      <c r="T7267" t="s">
        <v>1713</v>
      </c>
    </row>
    <row r="7268" spans="1:20" x14ac:dyDescent="0.25">
      <c r="A7268">
        <v>9</v>
      </c>
      <c r="B7268">
        <v>199</v>
      </c>
      <c r="C7268" t="str">
        <f t="shared" si="1616"/>
        <v>51</v>
      </c>
      <c r="D7268">
        <v>6249</v>
      </c>
      <c r="E7268" t="str">
        <f>"M8"</f>
        <v>M8</v>
      </c>
      <c r="F7268" t="str">
        <f>"936"</f>
        <v>936</v>
      </c>
      <c r="G7268">
        <v>9</v>
      </c>
      <c r="H7268" t="str">
        <f t="shared" si="1617"/>
        <v>99</v>
      </c>
      <c r="I7268" t="str">
        <f t="shared" si="1614"/>
        <v>0</v>
      </c>
      <c r="J7268" t="str">
        <f t="shared" si="1618"/>
        <v>81</v>
      </c>
      <c r="K7268">
        <v>20190712</v>
      </c>
      <c r="L7268" t="str">
        <f t="shared" si="1619"/>
        <v>077394</v>
      </c>
      <c r="M7268" t="str">
        <f t="shared" si="1620"/>
        <v>52185</v>
      </c>
      <c r="N7268" t="s">
        <v>1748</v>
      </c>
      <c r="O7268" s="1">
        <v>1360</v>
      </c>
      <c r="P7268">
        <v>20190711</v>
      </c>
      <c r="Q7268" t="s">
        <v>2096</v>
      </c>
      <c r="R7268" t="s">
        <v>5707</v>
      </c>
      <c r="S7268" t="s">
        <v>1615</v>
      </c>
      <c r="T7268" t="s">
        <v>1713</v>
      </c>
    </row>
    <row r="7269" spans="1:20" x14ac:dyDescent="0.25">
      <c r="A7269">
        <v>9</v>
      </c>
      <c r="B7269">
        <v>199</v>
      </c>
      <c r="C7269" t="str">
        <f t="shared" si="1616"/>
        <v>51</v>
      </c>
      <c r="D7269">
        <v>6249</v>
      </c>
      <c r="E7269" t="str">
        <f>"M8"</f>
        <v>M8</v>
      </c>
      <c r="F7269" t="str">
        <f>"936"</f>
        <v>936</v>
      </c>
      <c r="G7269">
        <v>9</v>
      </c>
      <c r="H7269" t="str">
        <f t="shared" si="1617"/>
        <v>99</v>
      </c>
      <c r="I7269" t="str">
        <f t="shared" si="1614"/>
        <v>0</v>
      </c>
      <c r="J7269" t="str">
        <f t="shared" si="1618"/>
        <v>81</v>
      </c>
      <c r="K7269">
        <v>20190712</v>
      </c>
      <c r="L7269" t="str">
        <f t="shared" si="1619"/>
        <v>077394</v>
      </c>
      <c r="M7269" t="str">
        <f t="shared" si="1620"/>
        <v>52185</v>
      </c>
      <c r="N7269" t="s">
        <v>1748</v>
      </c>
      <c r="O7269" s="1">
        <v>2665</v>
      </c>
      <c r="P7269">
        <v>20190711</v>
      </c>
      <c r="Q7269" t="s">
        <v>2096</v>
      </c>
      <c r="R7269" t="s">
        <v>5708</v>
      </c>
      <c r="S7269" t="s">
        <v>1615</v>
      </c>
      <c r="T7269" t="s">
        <v>1713</v>
      </c>
    </row>
    <row r="7270" spans="1:20" x14ac:dyDescent="0.25">
      <c r="A7270">
        <v>9</v>
      </c>
      <c r="B7270">
        <v>199</v>
      </c>
      <c r="C7270" t="str">
        <f t="shared" si="1616"/>
        <v>51</v>
      </c>
      <c r="D7270">
        <v>6249</v>
      </c>
      <c r="E7270" t="str">
        <f>"M8"</f>
        <v>M8</v>
      </c>
      <c r="F7270" t="str">
        <f>"936"</f>
        <v>936</v>
      </c>
      <c r="G7270">
        <v>9</v>
      </c>
      <c r="H7270" t="str">
        <f t="shared" si="1617"/>
        <v>99</v>
      </c>
      <c r="I7270" t="str">
        <f t="shared" si="1614"/>
        <v>0</v>
      </c>
      <c r="J7270" t="str">
        <f t="shared" si="1618"/>
        <v>81</v>
      </c>
      <c r="K7270">
        <v>20190712</v>
      </c>
      <c r="L7270" t="str">
        <f t="shared" si="1619"/>
        <v>077394</v>
      </c>
      <c r="M7270" t="str">
        <f t="shared" si="1620"/>
        <v>52185</v>
      </c>
      <c r="N7270" t="s">
        <v>1748</v>
      </c>
      <c r="O7270" s="1">
        <v>2920</v>
      </c>
      <c r="P7270">
        <v>20190711</v>
      </c>
      <c r="Q7270" t="s">
        <v>2096</v>
      </c>
      <c r="R7270" t="s">
        <v>5709</v>
      </c>
      <c r="S7270" t="s">
        <v>1615</v>
      </c>
      <c r="T7270" t="s">
        <v>1713</v>
      </c>
    </row>
    <row r="7271" spans="1:20" x14ac:dyDescent="0.25">
      <c r="A7271">
        <v>9</v>
      </c>
      <c r="B7271">
        <v>199</v>
      </c>
      <c r="C7271" t="str">
        <f t="shared" si="1616"/>
        <v>51</v>
      </c>
      <c r="D7271">
        <v>6249</v>
      </c>
      <c r="E7271" t="str">
        <f>"MC"</f>
        <v>MC</v>
      </c>
      <c r="F7271" t="str">
        <f>"002"</f>
        <v>002</v>
      </c>
      <c r="G7271">
        <v>9</v>
      </c>
      <c r="H7271" t="str">
        <f t="shared" si="1617"/>
        <v>99</v>
      </c>
      <c r="I7271" t="str">
        <f t="shared" si="1614"/>
        <v>0</v>
      </c>
      <c r="J7271" t="str">
        <f t="shared" si="1618"/>
        <v>81</v>
      </c>
      <c r="K7271">
        <v>20190712</v>
      </c>
      <c r="L7271" t="str">
        <f t="shared" si="1619"/>
        <v>077394</v>
      </c>
      <c r="M7271" t="str">
        <f t="shared" si="1620"/>
        <v>52185</v>
      </c>
      <c r="N7271" t="s">
        <v>1748</v>
      </c>
      <c r="O7271">
        <v>586.46</v>
      </c>
      <c r="P7271">
        <v>20190711</v>
      </c>
      <c r="Q7271" t="s">
        <v>5710</v>
      </c>
      <c r="R7271" t="s">
        <v>5711</v>
      </c>
      <c r="S7271" t="s">
        <v>1615</v>
      </c>
      <c r="T7271" t="s">
        <v>1485</v>
      </c>
    </row>
    <row r="7272" spans="1:20" x14ac:dyDescent="0.25">
      <c r="A7272">
        <v>9</v>
      </c>
      <c r="B7272">
        <v>199</v>
      </c>
      <c r="C7272" t="str">
        <f t="shared" si="1616"/>
        <v>51</v>
      </c>
      <c r="D7272">
        <v>6319</v>
      </c>
      <c r="E7272" t="str">
        <f>"MC"</f>
        <v>MC</v>
      </c>
      <c r="F7272" t="str">
        <f>"936"</f>
        <v>936</v>
      </c>
      <c r="G7272">
        <v>9</v>
      </c>
      <c r="H7272" t="str">
        <f t="shared" si="1617"/>
        <v>99</v>
      </c>
      <c r="I7272" t="str">
        <f t="shared" si="1614"/>
        <v>0</v>
      </c>
      <c r="J7272" t="str">
        <f t="shared" si="1618"/>
        <v>81</v>
      </c>
      <c r="K7272">
        <v>20190712</v>
      </c>
      <c r="L7272" t="str">
        <f t="shared" si="1619"/>
        <v>077394</v>
      </c>
      <c r="M7272" t="str">
        <f t="shared" si="1620"/>
        <v>52185</v>
      </c>
      <c r="N7272" t="s">
        <v>1748</v>
      </c>
      <c r="O7272">
        <v>695</v>
      </c>
      <c r="P7272">
        <v>20190711</v>
      </c>
      <c r="Q7272" t="s">
        <v>2060</v>
      </c>
      <c r="R7272" t="s">
        <v>5712</v>
      </c>
      <c r="S7272" t="s">
        <v>1615</v>
      </c>
      <c r="T7272" t="s">
        <v>1713</v>
      </c>
    </row>
    <row r="7273" spans="1:20" x14ac:dyDescent="0.25">
      <c r="A7273">
        <v>9</v>
      </c>
      <c r="B7273">
        <v>199</v>
      </c>
      <c r="C7273" t="str">
        <f>"11"</f>
        <v>11</v>
      </c>
      <c r="D7273">
        <v>6399</v>
      </c>
      <c r="E7273" t="str">
        <f>"V1"</f>
        <v>V1</v>
      </c>
      <c r="F7273" t="str">
        <f>"001"</f>
        <v>001</v>
      </c>
      <c r="G7273">
        <v>9</v>
      </c>
      <c r="H7273" t="str">
        <f>"22"</f>
        <v>22</v>
      </c>
      <c r="I7273" t="str">
        <f t="shared" si="1614"/>
        <v>0</v>
      </c>
      <c r="J7273" t="str">
        <f>"22"</f>
        <v>22</v>
      </c>
      <c r="K7273">
        <v>20190712</v>
      </c>
      <c r="L7273" t="str">
        <f>"077395"</f>
        <v>077395</v>
      </c>
      <c r="M7273" t="str">
        <f>"52223"</f>
        <v>52223</v>
      </c>
      <c r="N7273" t="s">
        <v>5713</v>
      </c>
      <c r="O7273" s="1">
        <v>1469</v>
      </c>
      <c r="P7273">
        <v>20190710</v>
      </c>
      <c r="Q7273" t="s">
        <v>5437</v>
      </c>
      <c r="R7273" t="s">
        <v>5714</v>
      </c>
      <c r="S7273" t="s">
        <v>1615</v>
      </c>
      <c r="T7273" t="s">
        <v>301</v>
      </c>
    </row>
    <row r="7274" spans="1:20" x14ac:dyDescent="0.25">
      <c r="A7274">
        <v>9</v>
      </c>
      <c r="B7274">
        <v>199</v>
      </c>
      <c r="C7274" t="str">
        <f>"41"</f>
        <v>41</v>
      </c>
      <c r="D7274">
        <v>6299</v>
      </c>
      <c r="E7274" t="str">
        <f>"10"</f>
        <v>10</v>
      </c>
      <c r="F7274" t="str">
        <f>"735"</f>
        <v>735</v>
      </c>
      <c r="G7274">
        <v>9</v>
      </c>
      <c r="H7274" t="str">
        <f>"99"</f>
        <v>99</v>
      </c>
      <c r="I7274" t="str">
        <f t="shared" si="1614"/>
        <v>0</v>
      </c>
      <c r="J7274" t="str">
        <f>"96"</f>
        <v>96</v>
      </c>
      <c r="K7274">
        <v>20190712</v>
      </c>
      <c r="L7274" t="str">
        <f>"077397"</f>
        <v>077397</v>
      </c>
      <c r="M7274" t="str">
        <f>"00522"</f>
        <v>00522</v>
      </c>
      <c r="N7274" t="s">
        <v>1647</v>
      </c>
      <c r="O7274" s="1">
        <v>2100</v>
      </c>
      <c r="P7274">
        <v>20190710</v>
      </c>
      <c r="Q7274" t="s">
        <v>2101</v>
      </c>
      <c r="R7274" t="s">
        <v>5715</v>
      </c>
      <c r="S7274" t="s">
        <v>1615</v>
      </c>
      <c r="T7274" t="s">
        <v>151</v>
      </c>
    </row>
    <row r="7275" spans="1:20" x14ac:dyDescent="0.25">
      <c r="A7275">
        <v>9</v>
      </c>
      <c r="B7275">
        <v>199</v>
      </c>
      <c r="C7275" t="str">
        <f>"31"</f>
        <v>31</v>
      </c>
      <c r="D7275">
        <v>6411</v>
      </c>
      <c r="E7275" t="str">
        <f>"04"</f>
        <v>04</v>
      </c>
      <c r="F7275" t="str">
        <f>"101"</f>
        <v>101</v>
      </c>
      <c r="G7275">
        <v>9</v>
      </c>
      <c r="H7275" t="str">
        <f>"99"</f>
        <v>99</v>
      </c>
      <c r="I7275" t="str">
        <f t="shared" si="1614"/>
        <v>0</v>
      </c>
      <c r="J7275" t="str">
        <f>"23"</f>
        <v>23</v>
      </c>
      <c r="K7275">
        <v>20190712</v>
      </c>
      <c r="L7275" t="str">
        <f>"077398"</f>
        <v>077398</v>
      </c>
      <c r="M7275" t="str">
        <f>"54218"</f>
        <v>54218</v>
      </c>
      <c r="N7275" t="s">
        <v>5716</v>
      </c>
      <c r="O7275">
        <v>370</v>
      </c>
      <c r="P7275">
        <v>20190710</v>
      </c>
      <c r="Q7275" t="s">
        <v>5598</v>
      </c>
      <c r="R7275" t="s">
        <v>5599</v>
      </c>
      <c r="S7275" t="s">
        <v>1615</v>
      </c>
      <c r="T7275" t="s">
        <v>1479</v>
      </c>
    </row>
    <row r="7276" spans="1:20" x14ac:dyDescent="0.25">
      <c r="A7276">
        <v>9</v>
      </c>
      <c r="B7276">
        <v>199</v>
      </c>
      <c r="C7276" t="str">
        <f>"11"</f>
        <v>11</v>
      </c>
      <c r="D7276">
        <v>6399</v>
      </c>
      <c r="E7276" t="str">
        <f>"10"</f>
        <v>10</v>
      </c>
      <c r="F7276" t="str">
        <f>"001"</f>
        <v>001</v>
      </c>
      <c r="G7276">
        <v>9</v>
      </c>
      <c r="H7276" t="str">
        <f>"11"</f>
        <v>11</v>
      </c>
      <c r="I7276" t="str">
        <f t="shared" si="1614"/>
        <v>0</v>
      </c>
      <c r="J7276" t="str">
        <f>"01"</f>
        <v>01</v>
      </c>
      <c r="K7276">
        <v>20190712</v>
      </c>
      <c r="L7276" t="str">
        <f>"077400"</f>
        <v>077400</v>
      </c>
      <c r="M7276" t="str">
        <f>"55517"</f>
        <v>55517</v>
      </c>
      <c r="N7276" t="s">
        <v>5717</v>
      </c>
      <c r="O7276">
        <v>538.66999999999996</v>
      </c>
      <c r="P7276">
        <v>20190710</v>
      </c>
      <c r="Q7276" t="s">
        <v>1675</v>
      </c>
      <c r="R7276" t="s">
        <v>5718</v>
      </c>
      <c r="S7276" t="s">
        <v>1615</v>
      </c>
      <c r="T7276" t="s">
        <v>301</v>
      </c>
    </row>
    <row r="7277" spans="1:20" x14ac:dyDescent="0.25">
      <c r="A7277">
        <v>9</v>
      </c>
      <c r="B7277">
        <v>199</v>
      </c>
      <c r="C7277" t="str">
        <f>"51"</f>
        <v>51</v>
      </c>
      <c r="D7277">
        <v>6319</v>
      </c>
      <c r="E7277" t="str">
        <f>"MC"</f>
        <v>MC</v>
      </c>
      <c r="F7277" t="str">
        <f>"936"</f>
        <v>936</v>
      </c>
      <c r="G7277">
        <v>9</v>
      </c>
      <c r="H7277" t="str">
        <f>"99"</f>
        <v>99</v>
      </c>
      <c r="I7277" t="str">
        <f t="shared" si="1614"/>
        <v>0</v>
      </c>
      <c r="J7277" t="str">
        <f>"81"</f>
        <v>81</v>
      </c>
      <c r="K7277">
        <v>20190712</v>
      </c>
      <c r="L7277" t="str">
        <f>"077402"</f>
        <v>077402</v>
      </c>
      <c r="M7277" t="str">
        <f>"57412"</f>
        <v>57412</v>
      </c>
      <c r="N7277" t="s">
        <v>5719</v>
      </c>
      <c r="O7277" s="1">
        <v>9414</v>
      </c>
      <c r="P7277">
        <v>20190710</v>
      </c>
      <c r="Q7277" t="s">
        <v>2060</v>
      </c>
      <c r="R7277" t="s">
        <v>5720</v>
      </c>
      <c r="S7277" t="s">
        <v>1615</v>
      </c>
      <c r="T7277" t="s">
        <v>1713</v>
      </c>
    </row>
    <row r="7278" spans="1:20" x14ac:dyDescent="0.25">
      <c r="A7278">
        <v>9</v>
      </c>
      <c r="B7278">
        <v>199</v>
      </c>
      <c r="C7278" t="str">
        <f>"11"</f>
        <v>11</v>
      </c>
      <c r="D7278">
        <v>6249</v>
      </c>
      <c r="E7278" t="str">
        <f>"10"</f>
        <v>10</v>
      </c>
      <c r="F7278" t="str">
        <f>"041"</f>
        <v>041</v>
      </c>
      <c r="G7278">
        <v>9</v>
      </c>
      <c r="H7278" t="str">
        <f>"11"</f>
        <v>11</v>
      </c>
      <c r="I7278" t="str">
        <f t="shared" si="1614"/>
        <v>0</v>
      </c>
      <c r="J7278" t="str">
        <f>"35"</f>
        <v>35</v>
      </c>
      <c r="K7278">
        <v>20190712</v>
      </c>
      <c r="L7278" t="str">
        <f>"077403"</f>
        <v>077403</v>
      </c>
      <c r="M7278" t="str">
        <f>"57662"</f>
        <v>57662</v>
      </c>
      <c r="N7278" t="s">
        <v>2519</v>
      </c>
      <c r="O7278">
        <v>168.3</v>
      </c>
      <c r="P7278">
        <v>20190710</v>
      </c>
      <c r="Q7278" t="s">
        <v>2520</v>
      </c>
      <c r="R7278" t="s">
        <v>2521</v>
      </c>
      <c r="S7278" t="s">
        <v>1615</v>
      </c>
      <c r="T7278" t="s">
        <v>106</v>
      </c>
    </row>
    <row r="7279" spans="1:20" x14ac:dyDescent="0.25">
      <c r="A7279">
        <v>9</v>
      </c>
      <c r="B7279">
        <v>199</v>
      </c>
      <c r="C7279" t="str">
        <f>"51"</f>
        <v>51</v>
      </c>
      <c r="D7279">
        <v>6249</v>
      </c>
      <c r="E7279" t="str">
        <f>"M9"</f>
        <v>M9</v>
      </c>
      <c r="F7279" t="str">
        <f>"936"</f>
        <v>936</v>
      </c>
      <c r="G7279">
        <v>9</v>
      </c>
      <c r="H7279" t="str">
        <f>"99"</f>
        <v>99</v>
      </c>
      <c r="I7279" t="str">
        <f t="shared" si="1614"/>
        <v>0</v>
      </c>
      <c r="J7279" t="str">
        <f>"81"</f>
        <v>81</v>
      </c>
      <c r="K7279">
        <v>20190712</v>
      </c>
      <c r="L7279" t="str">
        <f>"077404"</f>
        <v>077404</v>
      </c>
      <c r="M7279" t="str">
        <f>"58173"</f>
        <v>58173</v>
      </c>
      <c r="N7279" t="s">
        <v>1764</v>
      </c>
      <c r="O7279">
        <v>525</v>
      </c>
      <c r="P7279">
        <v>20190710</v>
      </c>
      <c r="Q7279" t="s">
        <v>2289</v>
      </c>
      <c r="R7279" s="2">
        <v>43617</v>
      </c>
      <c r="S7279" t="s">
        <v>1615</v>
      </c>
      <c r="T7279" t="s">
        <v>1713</v>
      </c>
    </row>
    <row r="7280" spans="1:20" x14ac:dyDescent="0.25">
      <c r="A7280">
        <v>9</v>
      </c>
      <c r="B7280">
        <v>199</v>
      </c>
      <c r="C7280" t="str">
        <f>"51"</f>
        <v>51</v>
      </c>
      <c r="D7280">
        <v>6319</v>
      </c>
      <c r="E7280" t="str">
        <f>"M2"</f>
        <v>M2</v>
      </c>
      <c r="F7280" t="str">
        <f>"936"</f>
        <v>936</v>
      </c>
      <c r="G7280">
        <v>9</v>
      </c>
      <c r="H7280" t="str">
        <f>"99"</f>
        <v>99</v>
      </c>
      <c r="I7280" t="str">
        <f t="shared" si="1614"/>
        <v>0</v>
      </c>
      <c r="J7280" t="str">
        <f>"81"</f>
        <v>81</v>
      </c>
      <c r="K7280">
        <v>20190712</v>
      </c>
      <c r="L7280" t="str">
        <f>"077404"</f>
        <v>077404</v>
      </c>
      <c r="M7280" t="str">
        <f>"58173"</f>
        <v>58173</v>
      </c>
      <c r="N7280" t="s">
        <v>1764</v>
      </c>
      <c r="O7280">
        <v>158.75</v>
      </c>
      <c r="P7280">
        <v>20190710</v>
      </c>
      <c r="Q7280" t="s">
        <v>2074</v>
      </c>
      <c r="R7280" t="s">
        <v>5721</v>
      </c>
      <c r="S7280" t="s">
        <v>1615</v>
      </c>
      <c r="T7280" t="s">
        <v>1713</v>
      </c>
    </row>
    <row r="7281" spans="1:20" x14ac:dyDescent="0.25">
      <c r="A7281">
        <v>9</v>
      </c>
      <c r="B7281">
        <v>199</v>
      </c>
      <c r="C7281" t="str">
        <f>"11"</f>
        <v>11</v>
      </c>
      <c r="D7281">
        <v>6399</v>
      </c>
      <c r="E7281" t="str">
        <f>"00"</f>
        <v>00</v>
      </c>
      <c r="F7281" t="str">
        <f>"041"</f>
        <v>041</v>
      </c>
      <c r="G7281">
        <v>9</v>
      </c>
      <c r="H7281" t="str">
        <f>"23"</f>
        <v>23</v>
      </c>
      <c r="I7281" t="str">
        <f t="shared" si="1614"/>
        <v>0</v>
      </c>
      <c r="J7281" t="str">
        <f>"23"</f>
        <v>23</v>
      </c>
      <c r="K7281">
        <v>20190712</v>
      </c>
      <c r="L7281" t="str">
        <f>"077405"</f>
        <v>077405</v>
      </c>
      <c r="M7281" t="str">
        <f>"58210"</f>
        <v>58210</v>
      </c>
      <c r="N7281" t="s">
        <v>5722</v>
      </c>
      <c r="O7281">
        <v>40</v>
      </c>
      <c r="P7281">
        <v>20190710</v>
      </c>
      <c r="Q7281" t="s">
        <v>4116</v>
      </c>
      <c r="R7281" t="s">
        <v>5723</v>
      </c>
      <c r="S7281" t="s">
        <v>1615</v>
      </c>
      <c r="T7281" t="s">
        <v>106</v>
      </c>
    </row>
    <row r="7282" spans="1:20" x14ac:dyDescent="0.25">
      <c r="A7282">
        <v>9</v>
      </c>
      <c r="B7282">
        <v>199</v>
      </c>
      <c r="C7282" t="str">
        <f>"11"</f>
        <v>11</v>
      </c>
      <c r="D7282">
        <v>6399</v>
      </c>
      <c r="E7282" t="str">
        <f>"00"</f>
        <v>00</v>
      </c>
      <c r="F7282" t="str">
        <f>"041"</f>
        <v>041</v>
      </c>
      <c r="G7282">
        <v>9</v>
      </c>
      <c r="H7282" t="str">
        <f>"23"</f>
        <v>23</v>
      </c>
      <c r="I7282" t="str">
        <f t="shared" si="1614"/>
        <v>0</v>
      </c>
      <c r="J7282" t="str">
        <f>"23"</f>
        <v>23</v>
      </c>
      <c r="K7282">
        <v>20190712</v>
      </c>
      <c r="L7282" t="str">
        <f>"077405"</f>
        <v>077405</v>
      </c>
      <c r="M7282" t="str">
        <f>"58210"</f>
        <v>58210</v>
      </c>
      <c r="N7282" t="s">
        <v>5722</v>
      </c>
      <c r="O7282">
        <v>18.95</v>
      </c>
      <c r="P7282">
        <v>20190710</v>
      </c>
      <c r="Q7282" t="s">
        <v>4116</v>
      </c>
      <c r="R7282" t="s">
        <v>5724</v>
      </c>
      <c r="S7282" t="s">
        <v>1615</v>
      </c>
      <c r="T7282" t="s">
        <v>106</v>
      </c>
    </row>
    <row r="7283" spans="1:20" x14ac:dyDescent="0.25">
      <c r="A7283">
        <v>9</v>
      </c>
      <c r="B7283">
        <v>199</v>
      </c>
      <c r="C7283" t="str">
        <f>"11"</f>
        <v>11</v>
      </c>
      <c r="D7283">
        <v>6412</v>
      </c>
      <c r="E7283" t="str">
        <f>"00"</f>
        <v>00</v>
      </c>
      <c r="F7283" t="str">
        <f>"041"</f>
        <v>041</v>
      </c>
      <c r="G7283">
        <v>9</v>
      </c>
      <c r="H7283" t="str">
        <f>"23"</f>
        <v>23</v>
      </c>
      <c r="I7283" t="str">
        <f t="shared" si="1614"/>
        <v>0</v>
      </c>
      <c r="J7283" t="str">
        <f>"23"</f>
        <v>23</v>
      </c>
      <c r="K7283">
        <v>20190712</v>
      </c>
      <c r="L7283" t="str">
        <f>"077405"</f>
        <v>077405</v>
      </c>
      <c r="M7283" t="str">
        <f>"58210"</f>
        <v>58210</v>
      </c>
      <c r="N7283" t="s">
        <v>5722</v>
      </c>
      <c r="O7283">
        <v>80</v>
      </c>
      <c r="P7283">
        <v>20190710</v>
      </c>
      <c r="Q7283" t="s">
        <v>5725</v>
      </c>
      <c r="R7283" t="s">
        <v>5726</v>
      </c>
      <c r="S7283" t="s">
        <v>1615</v>
      </c>
      <c r="T7283" t="s">
        <v>106</v>
      </c>
    </row>
    <row r="7284" spans="1:20" x14ac:dyDescent="0.25">
      <c r="A7284">
        <v>9</v>
      </c>
      <c r="B7284">
        <v>199</v>
      </c>
      <c r="C7284" t="str">
        <f>"34"</f>
        <v>34</v>
      </c>
      <c r="D7284">
        <v>6299</v>
      </c>
      <c r="E7284" t="str">
        <f>"10"</f>
        <v>10</v>
      </c>
      <c r="F7284" t="str">
        <f>"937"</f>
        <v>937</v>
      </c>
      <c r="G7284">
        <v>9</v>
      </c>
      <c r="H7284" t="str">
        <f t="shared" ref="H7284:H7289" si="1621">"99"</f>
        <v>99</v>
      </c>
      <c r="I7284" t="str">
        <f t="shared" ref="I7284:I7315" si="1622">"0"</f>
        <v>0</v>
      </c>
      <c r="J7284" t="str">
        <f>"82"</f>
        <v>82</v>
      </c>
      <c r="K7284">
        <v>20190712</v>
      </c>
      <c r="L7284" t="str">
        <f>"077406"</f>
        <v>077406</v>
      </c>
      <c r="M7284" t="str">
        <f>"58927"</f>
        <v>58927</v>
      </c>
      <c r="N7284" t="s">
        <v>1772</v>
      </c>
      <c r="O7284">
        <v>55</v>
      </c>
      <c r="P7284">
        <v>20190710</v>
      </c>
      <c r="Q7284" t="s">
        <v>2292</v>
      </c>
      <c r="R7284" t="s">
        <v>1773</v>
      </c>
      <c r="S7284" t="s">
        <v>1615</v>
      </c>
      <c r="T7284" t="s">
        <v>1810</v>
      </c>
    </row>
    <row r="7285" spans="1:20" x14ac:dyDescent="0.25">
      <c r="A7285">
        <v>9</v>
      </c>
      <c r="B7285">
        <v>199</v>
      </c>
      <c r="C7285" t="str">
        <f>"34"</f>
        <v>34</v>
      </c>
      <c r="D7285">
        <v>6299</v>
      </c>
      <c r="E7285" t="str">
        <f>"10"</f>
        <v>10</v>
      </c>
      <c r="F7285" t="str">
        <f>"937"</f>
        <v>937</v>
      </c>
      <c r="G7285">
        <v>9</v>
      </c>
      <c r="H7285" t="str">
        <f t="shared" si="1621"/>
        <v>99</v>
      </c>
      <c r="I7285" t="str">
        <f t="shared" si="1622"/>
        <v>0</v>
      </c>
      <c r="J7285" t="str">
        <f>"82"</f>
        <v>82</v>
      </c>
      <c r="K7285">
        <v>20190712</v>
      </c>
      <c r="L7285" t="str">
        <f>"077406"</f>
        <v>077406</v>
      </c>
      <c r="M7285" t="str">
        <f>"58927"</f>
        <v>58927</v>
      </c>
      <c r="N7285" t="s">
        <v>1772</v>
      </c>
      <c r="O7285">
        <v>120</v>
      </c>
      <c r="P7285">
        <v>20190710</v>
      </c>
      <c r="Q7285" t="s">
        <v>2292</v>
      </c>
      <c r="R7285" t="s">
        <v>1774</v>
      </c>
      <c r="S7285" t="s">
        <v>1615</v>
      </c>
      <c r="T7285" t="s">
        <v>1810</v>
      </c>
    </row>
    <row r="7286" spans="1:20" x14ac:dyDescent="0.25">
      <c r="A7286">
        <v>9</v>
      </c>
      <c r="B7286">
        <v>199</v>
      </c>
      <c r="C7286" t="str">
        <f>"34"</f>
        <v>34</v>
      </c>
      <c r="D7286">
        <v>6299</v>
      </c>
      <c r="E7286" t="str">
        <f>"10"</f>
        <v>10</v>
      </c>
      <c r="F7286" t="str">
        <f>"937"</f>
        <v>937</v>
      </c>
      <c r="G7286">
        <v>9</v>
      </c>
      <c r="H7286" t="str">
        <f t="shared" si="1621"/>
        <v>99</v>
      </c>
      <c r="I7286" t="str">
        <f t="shared" si="1622"/>
        <v>0</v>
      </c>
      <c r="J7286" t="str">
        <f>"82"</f>
        <v>82</v>
      </c>
      <c r="K7286">
        <v>20190712</v>
      </c>
      <c r="L7286" t="str">
        <f>"077406"</f>
        <v>077406</v>
      </c>
      <c r="M7286" t="str">
        <f>"58927"</f>
        <v>58927</v>
      </c>
      <c r="N7286" t="s">
        <v>1772</v>
      </c>
      <c r="O7286">
        <v>55</v>
      </c>
      <c r="P7286">
        <v>20190710</v>
      </c>
      <c r="Q7286" t="s">
        <v>2292</v>
      </c>
      <c r="R7286" t="s">
        <v>1773</v>
      </c>
      <c r="S7286" t="s">
        <v>1615</v>
      </c>
      <c r="T7286" t="s">
        <v>1810</v>
      </c>
    </row>
    <row r="7287" spans="1:20" x14ac:dyDescent="0.25">
      <c r="A7287">
        <v>9</v>
      </c>
      <c r="B7287">
        <v>199</v>
      </c>
      <c r="C7287" t="str">
        <f>"34"</f>
        <v>34</v>
      </c>
      <c r="D7287">
        <v>6299</v>
      </c>
      <c r="E7287" t="str">
        <f>"10"</f>
        <v>10</v>
      </c>
      <c r="F7287" t="str">
        <f>"937"</f>
        <v>937</v>
      </c>
      <c r="G7287">
        <v>9</v>
      </c>
      <c r="H7287" t="str">
        <f t="shared" si="1621"/>
        <v>99</v>
      </c>
      <c r="I7287" t="str">
        <f t="shared" si="1622"/>
        <v>0</v>
      </c>
      <c r="J7287" t="str">
        <f>"82"</f>
        <v>82</v>
      </c>
      <c r="K7287">
        <v>20190712</v>
      </c>
      <c r="L7287" t="str">
        <f>"077406"</f>
        <v>077406</v>
      </c>
      <c r="M7287" t="str">
        <f>"58927"</f>
        <v>58927</v>
      </c>
      <c r="N7287" t="s">
        <v>1772</v>
      </c>
      <c r="O7287">
        <v>60</v>
      </c>
      <c r="P7287">
        <v>20190710</v>
      </c>
      <c r="Q7287" t="s">
        <v>2292</v>
      </c>
      <c r="R7287" t="s">
        <v>1774</v>
      </c>
      <c r="S7287" t="s">
        <v>1615</v>
      </c>
      <c r="T7287" t="s">
        <v>1810</v>
      </c>
    </row>
    <row r="7288" spans="1:20" x14ac:dyDescent="0.25">
      <c r="A7288">
        <v>9</v>
      </c>
      <c r="B7288">
        <v>199</v>
      </c>
      <c r="C7288" t="str">
        <f>"34"</f>
        <v>34</v>
      </c>
      <c r="D7288">
        <v>6299</v>
      </c>
      <c r="E7288" t="str">
        <f>"10"</f>
        <v>10</v>
      </c>
      <c r="F7288" t="str">
        <f>"937"</f>
        <v>937</v>
      </c>
      <c r="G7288">
        <v>9</v>
      </c>
      <c r="H7288" t="str">
        <f t="shared" si="1621"/>
        <v>99</v>
      </c>
      <c r="I7288" t="str">
        <f t="shared" si="1622"/>
        <v>0</v>
      </c>
      <c r="J7288" t="str">
        <f>"82"</f>
        <v>82</v>
      </c>
      <c r="K7288">
        <v>20190712</v>
      </c>
      <c r="L7288" t="str">
        <f>"077406"</f>
        <v>077406</v>
      </c>
      <c r="M7288" t="str">
        <f>"58927"</f>
        <v>58927</v>
      </c>
      <c r="N7288" t="s">
        <v>1772</v>
      </c>
      <c r="O7288">
        <v>60</v>
      </c>
      <c r="P7288">
        <v>20190710</v>
      </c>
      <c r="Q7288" t="s">
        <v>2292</v>
      </c>
      <c r="R7288" t="s">
        <v>1774</v>
      </c>
      <c r="S7288" t="s">
        <v>1615</v>
      </c>
      <c r="T7288" t="s">
        <v>1810</v>
      </c>
    </row>
    <row r="7289" spans="1:20" x14ac:dyDescent="0.25">
      <c r="A7289">
        <v>9</v>
      </c>
      <c r="B7289">
        <v>199</v>
      </c>
      <c r="C7289" t="str">
        <f>"41"</f>
        <v>41</v>
      </c>
      <c r="D7289">
        <v>6211</v>
      </c>
      <c r="E7289" t="str">
        <f>"02"</f>
        <v>02</v>
      </c>
      <c r="F7289" t="str">
        <f>"702"</f>
        <v>702</v>
      </c>
      <c r="G7289">
        <v>9</v>
      </c>
      <c r="H7289" t="str">
        <f t="shared" si="1621"/>
        <v>99</v>
      </c>
      <c r="I7289" t="str">
        <f t="shared" si="1622"/>
        <v>0</v>
      </c>
      <c r="J7289" t="str">
        <f>"93"</f>
        <v>93</v>
      </c>
      <c r="K7289">
        <v>20190712</v>
      </c>
      <c r="L7289" t="str">
        <f>"077407"</f>
        <v>077407</v>
      </c>
      <c r="M7289" t="str">
        <f>"59082"</f>
        <v>59082</v>
      </c>
      <c r="N7289" t="s">
        <v>3665</v>
      </c>
      <c r="O7289" s="1">
        <v>6139.11</v>
      </c>
      <c r="P7289">
        <v>20190710</v>
      </c>
      <c r="Q7289" t="s">
        <v>2473</v>
      </c>
      <c r="R7289" t="s">
        <v>5727</v>
      </c>
      <c r="S7289" t="s">
        <v>1615</v>
      </c>
      <c r="T7289" t="s">
        <v>1611</v>
      </c>
    </row>
    <row r="7290" spans="1:20" x14ac:dyDescent="0.25">
      <c r="A7290">
        <v>9</v>
      </c>
      <c r="B7290">
        <v>199</v>
      </c>
      <c r="C7290" t="str">
        <f>"11"</f>
        <v>11</v>
      </c>
      <c r="D7290">
        <v>6299</v>
      </c>
      <c r="E7290" t="str">
        <f>"NL"</f>
        <v>NL</v>
      </c>
      <c r="F7290" t="str">
        <f>"001"</f>
        <v>001</v>
      </c>
      <c r="G7290">
        <v>9</v>
      </c>
      <c r="H7290" t="str">
        <f>"22"</f>
        <v>22</v>
      </c>
      <c r="I7290" t="str">
        <f t="shared" si="1622"/>
        <v>0</v>
      </c>
      <c r="J7290" t="str">
        <f>"22"</f>
        <v>22</v>
      </c>
      <c r="K7290">
        <v>20190712</v>
      </c>
      <c r="L7290" t="str">
        <f>"077408"</f>
        <v>077408</v>
      </c>
      <c r="M7290" t="str">
        <f>"00779"</f>
        <v>00779</v>
      </c>
      <c r="N7290" t="s">
        <v>5430</v>
      </c>
      <c r="O7290">
        <v>328</v>
      </c>
      <c r="P7290">
        <v>20190710</v>
      </c>
      <c r="Q7290" t="s">
        <v>2290</v>
      </c>
      <c r="R7290" t="s">
        <v>5728</v>
      </c>
      <c r="S7290" t="s">
        <v>1615</v>
      </c>
      <c r="T7290" t="s">
        <v>301</v>
      </c>
    </row>
    <row r="7291" spans="1:20" x14ac:dyDescent="0.25">
      <c r="A7291">
        <v>9</v>
      </c>
      <c r="B7291">
        <v>199</v>
      </c>
      <c r="C7291" t="str">
        <f>"00"</f>
        <v>00</v>
      </c>
      <c r="D7291">
        <v>1415</v>
      </c>
      <c r="E7291" t="str">
        <f>"01"</f>
        <v>01</v>
      </c>
      <c r="F7291" t="str">
        <f>"000"</f>
        <v>000</v>
      </c>
      <c r="G7291">
        <v>9</v>
      </c>
      <c r="H7291" t="str">
        <f>"00"</f>
        <v>00</v>
      </c>
      <c r="I7291" t="str">
        <f t="shared" si="1622"/>
        <v>0</v>
      </c>
      <c r="J7291" t="str">
        <f>"00"</f>
        <v>00</v>
      </c>
      <c r="K7291">
        <v>20190712</v>
      </c>
      <c r="L7291" t="str">
        <f>"077409"</f>
        <v>077409</v>
      </c>
      <c r="M7291" t="str">
        <f>"60362"</f>
        <v>60362</v>
      </c>
      <c r="N7291" t="s">
        <v>2296</v>
      </c>
      <c r="O7291" s="1">
        <v>4040</v>
      </c>
      <c r="P7291">
        <v>20190710</v>
      </c>
      <c r="Q7291" t="s">
        <v>2297</v>
      </c>
      <c r="R7291" t="s">
        <v>5729</v>
      </c>
      <c r="S7291" t="s">
        <v>1615</v>
      </c>
      <c r="T7291" t="s">
        <v>296</v>
      </c>
    </row>
    <row r="7292" spans="1:20" x14ac:dyDescent="0.25">
      <c r="A7292">
        <v>9</v>
      </c>
      <c r="B7292">
        <v>199</v>
      </c>
      <c r="C7292" t="str">
        <f>"00"</f>
        <v>00</v>
      </c>
      <c r="D7292">
        <v>1415</v>
      </c>
      <c r="E7292" t="str">
        <f>"01"</f>
        <v>01</v>
      </c>
      <c r="F7292" t="str">
        <f>"000"</f>
        <v>000</v>
      </c>
      <c r="G7292">
        <v>9</v>
      </c>
      <c r="H7292" t="str">
        <f>"00"</f>
        <v>00</v>
      </c>
      <c r="I7292" t="str">
        <f t="shared" si="1622"/>
        <v>0</v>
      </c>
      <c r="J7292" t="str">
        <f>"00"</f>
        <v>00</v>
      </c>
      <c r="K7292">
        <v>20190712</v>
      </c>
      <c r="L7292" t="str">
        <f>"077409"</f>
        <v>077409</v>
      </c>
      <c r="M7292" t="str">
        <f>"60362"</f>
        <v>60362</v>
      </c>
      <c r="N7292" t="s">
        <v>2296</v>
      </c>
      <c r="O7292" s="1">
        <v>4040</v>
      </c>
      <c r="P7292">
        <v>20190710</v>
      </c>
      <c r="Q7292" t="s">
        <v>2297</v>
      </c>
      <c r="R7292" t="s">
        <v>5730</v>
      </c>
      <c r="S7292" t="s">
        <v>1615</v>
      </c>
      <c r="T7292" t="s">
        <v>296</v>
      </c>
    </row>
    <row r="7293" spans="1:20" x14ac:dyDescent="0.25">
      <c r="A7293">
        <v>9</v>
      </c>
      <c r="B7293">
        <v>199</v>
      </c>
      <c r="C7293" t="str">
        <f>"41"</f>
        <v>41</v>
      </c>
      <c r="D7293">
        <v>6499</v>
      </c>
      <c r="E7293" t="str">
        <f>"10"</f>
        <v>10</v>
      </c>
      <c r="F7293" t="str">
        <f>"720"</f>
        <v>720</v>
      </c>
      <c r="G7293">
        <v>9</v>
      </c>
      <c r="H7293" t="str">
        <f t="shared" ref="H7293:H7301" si="1623">"99"</f>
        <v>99</v>
      </c>
      <c r="I7293" t="str">
        <f t="shared" si="1622"/>
        <v>0</v>
      </c>
      <c r="J7293" t="str">
        <f>"91"</f>
        <v>91</v>
      </c>
      <c r="K7293">
        <v>20190712</v>
      </c>
      <c r="L7293" t="str">
        <f>"077409"</f>
        <v>077409</v>
      </c>
      <c r="M7293" t="str">
        <f>"60362"</f>
        <v>60362</v>
      </c>
      <c r="N7293" t="s">
        <v>2296</v>
      </c>
      <c r="O7293">
        <v>41</v>
      </c>
      <c r="P7293">
        <v>20190710</v>
      </c>
      <c r="Q7293" t="s">
        <v>4555</v>
      </c>
      <c r="R7293" t="s">
        <v>5729</v>
      </c>
      <c r="S7293" t="s">
        <v>1615</v>
      </c>
      <c r="T7293" t="s">
        <v>2045</v>
      </c>
    </row>
    <row r="7294" spans="1:20" x14ac:dyDescent="0.25">
      <c r="A7294">
        <v>9</v>
      </c>
      <c r="B7294">
        <v>199</v>
      </c>
      <c r="C7294" t="str">
        <f>"41"</f>
        <v>41</v>
      </c>
      <c r="D7294">
        <v>6499</v>
      </c>
      <c r="E7294" t="str">
        <f>"10"</f>
        <v>10</v>
      </c>
      <c r="F7294" t="str">
        <f>"720"</f>
        <v>720</v>
      </c>
      <c r="G7294">
        <v>9</v>
      </c>
      <c r="H7294" t="str">
        <f t="shared" si="1623"/>
        <v>99</v>
      </c>
      <c r="I7294" t="str">
        <f t="shared" si="1622"/>
        <v>0</v>
      </c>
      <c r="J7294" t="str">
        <f>"91"</f>
        <v>91</v>
      </c>
      <c r="K7294">
        <v>20190712</v>
      </c>
      <c r="L7294" t="str">
        <f>"077409"</f>
        <v>077409</v>
      </c>
      <c r="M7294" t="str">
        <f>"60362"</f>
        <v>60362</v>
      </c>
      <c r="N7294" t="s">
        <v>2296</v>
      </c>
      <c r="O7294">
        <v>41</v>
      </c>
      <c r="P7294">
        <v>20190710</v>
      </c>
      <c r="Q7294" t="s">
        <v>4555</v>
      </c>
      <c r="R7294" t="s">
        <v>5730</v>
      </c>
      <c r="S7294" t="s">
        <v>1615</v>
      </c>
      <c r="T7294" t="s">
        <v>2045</v>
      </c>
    </row>
    <row r="7295" spans="1:20" x14ac:dyDescent="0.25">
      <c r="A7295">
        <v>9</v>
      </c>
      <c r="B7295">
        <v>199</v>
      </c>
      <c r="C7295" t="str">
        <f>"51"</f>
        <v>51</v>
      </c>
      <c r="D7295">
        <v>6259</v>
      </c>
      <c r="E7295" t="str">
        <f>"10"</f>
        <v>10</v>
      </c>
      <c r="F7295" t="str">
        <f>"936"</f>
        <v>936</v>
      </c>
      <c r="G7295">
        <v>9</v>
      </c>
      <c r="H7295" t="str">
        <f t="shared" si="1623"/>
        <v>99</v>
      </c>
      <c r="I7295" t="str">
        <f t="shared" si="1622"/>
        <v>0</v>
      </c>
      <c r="J7295" t="str">
        <f>"73"</f>
        <v>73</v>
      </c>
      <c r="K7295">
        <v>20190712</v>
      </c>
      <c r="L7295" t="str">
        <f>"077410"</f>
        <v>077410</v>
      </c>
      <c r="M7295" t="str">
        <f>"62340"</f>
        <v>62340</v>
      </c>
      <c r="N7295" t="s">
        <v>1787</v>
      </c>
      <c r="O7295" s="1">
        <v>5390.72</v>
      </c>
      <c r="P7295">
        <v>20190710</v>
      </c>
      <c r="Q7295" t="s">
        <v>1789</v>
      </c>
      <c r="R7295" t="s">
        <v>5715</v>
      </c>
      <c r="S7295" t="s">
        <v>1615</v>
      </c>
      <c r="T7295" t="s">
        <v>1713</v>
      </c>
    </row>
    <row r="7296" spans="1:20" x14ac:dyDescent="0.25">
      <c r="A7296">
        <v>9</v>
      </c>
      <c r="B7296">
        <v>199</v>
      </c>
      <c r="C7296" t="str">
        <f>"51"</f>
        <v>51</v>
      </c>
      <c r="D7296">
        <v>6259</v>
      </c>
      <c r="E7296" t="str">
        <f>"10"</f>
        <v>10</v>
      </c>
      <c r="F7296" t="str">
        <f>"936"</f>
        <v>936</v>
      </c>
      <c r="G7296">
        <v>9</v>
      </c>
      <c r="H7296" t="str">
        <f t="shared" si="1623"/>
        <v>99</v>
      </c>
      <c r="I7296" t="str">
        <f t="shared" si="1622"/>
        <v>0</v>
      </c>
      <c r="J7296" t="str">
        <f>"81"</f>
        <v>81</v>
      </c>
      <c r="K7296">
        <v>20190712</v>
      </c>
      <c r="L7296" t="str">
        <f>"077410"</f>
        <v>077410</v>
      </c>
      <c r="M7296" t="str">
        <f>"62340"</f>
        <v>62340</v>
      </c>
      <c r="N7296" t="s">
        <v>1787</v>
      </c>
      <c r="O7296">
        <v>426.86</v>
      </c>
      <c r="P7296">
        <v>20190710</v>
      </c>
      <c r="Q7296" t="s">
        <v>3819</v>
      </c>
      <c r="R7296" t="s">
        <v>5731</v>
      </c>
      <c r="S7296" t="s">
        <v>1615</v>
      </c>
      <c r="T7296" t="s">
        <v>1713</v>
      </c>
    </row>
    <row r="7297" spans="1:20" x14ac:dyDescent="0.25">
      <c r="A7297">
        <v>9</v>
      </c>
      <c r="B7297">
        <v>199</v>
      </c>
      <c r="C7297" t="str">
        <f>"51"</f>
        <v>51</v>
      </c>
      <c r="D7297">
        <v>6319</v>
      </c>
      <c r="E7297" t="str">
        <f>"M2"</f>
        <v>M2</v>
      </c>
      <c r="F7297" t="str">
        <f>"936"</f>
        <v>936</v>
      </c>
      <c r="G7297">
        <v>9</v>
      </c>
      <c r="H7297" t="str">
        <f t="shared" si="1623"/>
        <v>99</v>
      </c>
      <c r="I7297" t="str">
        <f t="shared" si="1622"/>
        <v>0</v>
      </c>
      <c r="J7297" t="str">
        <f>"81"</f>
        <v>81</v>
      </c>
      <c r="K7297">
        <v>20190712</v>
      </c>
      <c r="L7297" t="str">
        <f>"077411"</f>
        <v>077411</v>
      </c>
      <c r="M7297" t="str">
        <f>"63608"</f>
        <v>63608</v>
      </c>
      <c r="N7297" t="s">
        <v>2122</v>
      </c>
      <c r="O7297">
        <v>138.28</v>
      </c>
      <c r="P7297">
        <v>20190710</v>
      </c>
      <c r="Q7297" t="s">
        <v>2074</v>
      </c>
      <c r="R7297" t="s">
        <v>5732</v>
      </c>
      <c r="S7297" t="s">
        <v>1615</v>
      </c>
      <c r="T7297" t="s">
        <v>1713</v>
      </c>
    </row>
    <row r="7298" spans="1:20" x14ac:dyDescent="0.25">
      <c r="A7298">
        <v>9</v>
      </c>
      <c r="B7298">
        <v>199</v>
      </c>
      <c r="C7298" t="str">
        <f>"31"</f>
        <v>31</v>
      </c>
      <c r="D7298">
        <v>6411</v>
      </c>
      <c r="E7298" t="str">
        <f>"04"</f>
        <v>04</v>
      </c>
      <c r="F7298" t="str">
        <f>"101"</f>
        <v>101</v>
      </c>
      <c r="G7298">
        <v>9</v>
      </c>
      <c r="H7298" t="str">
        <f t="shared" si="1623"/>
        <v>99</v>
      </c>
      <c r="I7298" t="str">
        <f t="shared" si="1622"/>
        <v>0</v>
      </c>
      <c r="J7298" t="str">
        <f>"23"</f>
        <v>23</v>
      </c>
      <c r="K7298">
        <v>20190712</v>
      </c>
      <c r="L7298" t="str">
        <f>"077412"</f>
        <v>077412</v>
      </c>
      <c r="M7298" t="str">
        <f>"63659"</f>
        <v>63659</v>
      </c>
      <c r="N7298" t="s">
        <v>5733</v>
      </c>
      <c r="O7298">
        <v>251.6</v>
      </c>
      <c r="P7298">
        <v>20190710</v>
      </c>
      <c r="Q7298" t="s">
        <v>5598</v>
      </c>
      <c r="R7298" t="s">
        <v>5599</v>
      </c>
      <c r="S7298" t="s">
        <v>1615</v>
      </c>
      <c r="T7298" t="s">
        <v>1479</v>
      </c>
    </row>
    <row r="7299" spans="1:20" x14ac:dyDescent="0.25">
      <c r="A7299">
        <v>9</v>
      </c>
      <c r="B7299">
        <v>199</v>
      </c>
      <c r="C7299" t="str">
        <f>"21"</f>
        <v>21</v>
      </c>
      <c r="D7299">
        <v>6498</v>
      </c>
      <c r="E7299" t="str">
        <f>"10"</f>
        <v>10</v>
      </c>
      <c r="F7299" t="str">
        <f>"871"</f>
        <v>871</v>
      </c>
      <c r="G7299">
        <v>9</v>
      </c>
      <c r="H7299" t="str">
        <f t="shared" si="1623"/>
        <v>99</v>
      </c>
      <c r="I7299" t="str">
        <f t="shared" si="1622"/>
        <v>0</v>
      </c>
      <c r="J7299" t="str">
        <f>"94"</f>
        <v>94</v>
      </c>
      <c r="K7299">
        <v>20190712</v>
      </c>
      <c r="L7299" t="str">
        <f>"077413"</f>
        <v>077413</v>
      </c>
      <c r="M7299" t="str">
        <f>"64610"</f>
        <v>64610</v>
      </c>
      <c r="N7299" t="s">
        <v>1062</v>
      </c>
      <c r="O7299">
        <v>37.700000000000003</v>
      </c>
      <c r="P7299">
        <v>20190711</v>
      </c>
      <c r="Q7299" t="s">
        <v>4639</v>
      </c>
      <c r="R7299" t="s">
        <v>5529</v>
      </c>
      <c r="S7299" t="s">
        <v>1615</v>
      </c>
      <c r="T7299" t="s">
        <v>1932</v>
      </c>
    </row>
    <row r="7300" spans="1:20" x14ac:dyDescent="0.25">
      <c r="A7300">
        <v>9</v>
      </c>
      <c r="B7300">
        <v>199</v>
      </c>
      <c r="C7300" t="str">
        <f>"36"</f>
        <v>36</v>
      </c>
      <c r="D7300">
        <v>6499</v>
      </c>
      <c r="E7300" t="str">
        <f>"H2"</f>
        <v>H2</v>
      </c>
      <c r="F7300" t="str">
        <f>"001"</f>
        <v>001</v>
      </c>
      <c r="G7300">
        <v>9</v>
      </c>
      <c r="H7300" t="str">
        <f t="shared" si="1623"/>
        <v>99</v>
      </c>
      <c r="I7300" t="str">
        <f t="shared" si="1622"/>
        <v>0</v>
      </c>
      <c r="J7300" t="str">
        <f>"37"</f>
        <v>37</v>
      </c>
      <c r="K7300">
        <v>20190712</v>
      </c>
      <c r="L7300" t="str">
        <f>"077413"</f>
        <v>077413</v>
      </c>
      <c r="M7300" t="str">
        <f>"64610"</f>
        <v>64610</v>
      </c>
      <c r="N7300" t="s">
        <v>1062</v>
      </c>
      <c r="O7300">
        <v>97.25</v>
      </c>
      <c r="P7300">
        <v>20190711</v>
      </c>
      <c r="Q7300" t="s">
        <v>2903</v>
      </c>
      <c r="R7300" t="s">
        <v>5734</v>
      </c>
      <c r="S7300" t="s">
        <v>1615</v>
      </c>
      <c r="T7300" t="s">
        <v>301</v>
      </c>
    </row>
    <row r="7301" spans="1:20" x14ac:dyDescent="0.25">
      <c r="A7301">
        <v>9</v>
      </c>
      <c r="B7301">
        <v>199</v>
      </c>
      <c r="C7301" t="str">
        <f>"23"</f>
        <v>23</v>
      </c>
      <c r="D7301">
        <v>6498</v>
      </c>
      <c r="E7301" t="str">
        <f>"10"</f>
        <v>10</v>
      </c>
      <c r="F7301" t="str">
        <f>"001"</f>
        <v>001</v>
      </c>
      <c r="G7301">
        <v>9</v>
      </c>
      <c r="H7301" t="str">
        <f t="shared" si="1623"/>
        <v>99</v>
      </c>
      <c r="I7301" t="str">
        <f t="shared" si="1622"/>
        <v>0</v>
      </c>
      <c r="J7301" t="str">
        <f>"01"</f>
        <v>01</v>
      </c>
      <c r="K7301">
        <v>20190712</v>
      </c>
      <c r="L7301" t="str">
        <f>"077414"</f>
        <v>077414</v>
      </c>
      <c r="M7301" t="str">
        <f>"64811"</f>
        <v>64811</v>
      </c>
      <c r="N7301" t="s">
        <v>5735</v>
      </c>
      <c r="O7301" s="1">
        <v>1193.5</v>
      </c>
      <c r="P7301">
        <v>20190711</v>
      </c>
      <c r="Q7301" t="s">
        <v>2108</v>
      </c>
      <c r="R7301" t="s">
        <v>5736</v>
      </c>
      <c r="S7301" t="s">
        <v>1615</v>
      </c>
      <c r="T7301" t="s">
        <v>301</v>
      </c>
    </row>
    <row r="7302" spans="1:20" x14ac:dyDescent="0.25">
      <c r="A7302">
        <v>9</v>
      </c>
      <c r="B7302">
        <v>199</v>
      </c>
      <c r="C7302" t="str">
        <f>"11"</f>
        <v>11</v>
      </c>
      <c r="D7302">
        <v>6399</v>
      </c>
      <c r="E7302" t="str">
        <f>"7K"</f>
        <v>7K</v>
      </c>
      <c r="F7302" t="str">
        <f>"001"</f>
        <v>001</v>
      </c>
      <c r="G7302">
        <v>9</v>
      </c>
      <c r="H7302" t="str">
        <f>"11"</f>
        <v>11</v>
      </c>
      <c r="I7302" t="str">
        <f t="shared" si="1622"/>
        <v>0</v>
      </c>
      <c r="J7302" t="str">
        <f>"01"</f>
        <v>01</v>
      </c>
      <c r="K7302">
        <v>20190712</v>
      </c>
      <c r="L7302" t="str">
        <f>"077415"</f>
        <v>077415</v>
      </c>
      <c r="M7302" t="str">
        <f>"64955"</f>
        <v>64955</v>
      </c>
      <c r="N7302" t="s">
        <v>3451</v>
      </c>
      <c r="O7302">
        <v>212.4</v>
      </c>
      <c r="P7302">
        <v>20190711</v>
      </c>
      <c r="Q7302" t="s">
        <v>1671</v>
      </c>
      <c r="R7302" t="s">
        <v>5737</v>
      </c>
      <c r="S7302" t="s">
        <v>1615</v>
      </c>
      <c r="T7302" t="s">
        <v>301</v>
      </c>
    </row>
    <row r="7303" spans="1:20" x14ac:dyDescent="0.25">
      <c r="A7303">
        <v>9</v>
      </c>
      <c r="B7303">
        <v>199</v>
      </c>
      <c r="C7303" t="str">
        <f>"11"</f>
        <v>11</v>
      </c>
      <c r="D7303">
        <v>6399</v>
      </c>
      <c r="E7303" t="str">
        <f>"45"</f>
        <v>45</v>
      </c>
      <c r="F7303" t="str">
        <f>"101"</f>
        <v>101</v>
      </c>
      <c r="G7303">
        <v>9</v>
      </c>
      <c r="H7303" t="str">
        <f>"11"</f>
        <v>11</v>
      </c>
      <c r="I7303" t="str">
        <f t="shared" si="1622"/>
        <v>0</v>
      </c>
      <c r="J7303" t="str">
        <f>"04"</f>
        <v>04</v>
      </c>
      <c r="K7303">
        <v>20190712</v>
      </c>
      <c r="L7303" t="str">
        <f>"077416"</f>
        <v>077416</v>
      </c>
      <c r="M7303" t="str">
        <f>"65826"</f>
        <v>65826</v>
      </c>
      <c r="N7303" t="s">
        <v>2787</v>
      </c>
      <c r="O7303">
        <v>476.43</v>
      </c>
      <c r="P7303">
        <v>20190711</v>
      </c>
      <c r="Q7303" t="s">
        <v>1859</v>
      </c>
      <c r="R7303" t="s">
        <v>5738</v>
      </c>
      <c r="S7303" t="s">
        <v>1615</v>
      </c>
      <c r="T7303" t="s">
        <v>1479</v>
      </c>
    </row>
    <row r="7304" spans="1:20" x14ac:dyDescent="0.25">
      <c r="A7304">
        <v>9</v>
      </c>
      <c r="B7304">
        <v>199</v>
      </c>
      <c r="C7304" t="str">
        <f>"11"</f>
        <v>11</v>
      </c>
      <c r="D7304">
        <v>6399</v>
      </c>
      <c r="E7304" t="str">
        <f>"45"</f>
        <v>45</v>
      </c>
      <c r="F7304" t="str">
        <f>"104"</f>
        <v>104</v>
      </c>
      <c r="G7304">
        <v>9</v>
      </c>
      <c r="H7304" t="str">
        <f>"11"</f>
        <v>11</v>
      </c>
      <c r="I7304" t="str">
        <f t="shared" si="1622"/>
        <v>0</v>
      </c>
      <c r="J7304" t="str">
        <f>"05"</f>
        <v>05</v>
      </c>
      <c r="K7304">
        <v>20190712</v>
      </c>
      <c r="L7304" t="str">
        <f>"077416"</f>
        <v>077416</v>
      </c>
      <c r="M7304" t="str">
        <f>"65826"</f>
        <v>65826</v>
      </c>
      <c r="N7304" t="s">
        <v>2787</v>
      </c>
      <c r="O7304">
        <v>647.91</v>
      </c>
      <c r="P7304">
        <v>20190711</v>
      </c>
      <c r="Q7304" t="s">
        <v>2069</v>
      </c>
      <c r="R7304" t="s">
        <v>5738</v>
      </c>
      <c r="S7304" t="s">
        <v>1615</v>
      </c>
      <c r="T7304" t="s">
        <v>46</v>
      </c>
    </row>
    <row r="7305" spans="1:20" x14ac:dyDescent="0.25">
      <c r="A7305">
        <v>9</v>
      </c>
      <c r="B7305">
        <v>199</v>
      </c>
      <c r="C7305" t="str">
        <f>"11"</f>
        <v>11</v>
      </c>
      <c r="D7305">
        <v>6649</v>
      </c>
      <c r="E7305" t="str">
        <f>"V1"</f>
        <v>V1</v>
      </c>
      <c r="F7305" t="str">
        <f>"001"</f>
        <v>001</v>
      </c>
      <c r="G7305">
        <v>9</v>
      </c>
      <c r="H7305" t="str">
        <f>"22"</f>
        <v>22</v>
      </c>
      <c r="I7305" t="str">
        <f t="shared" si="1622"/>
        <v>0</v>
      </c>
      <c r="J7305" t="str">
        <f>"22"</f>
        <v>22</v>
      </c>
      <c r="K7305">
        <v>20190712</v>
      </c>
      <c r="L7305" t="str">
        <f>"077416"</f>
        <v>077416</v>
      </c>
      <c r="M7305" t="str">
        <f>"65826"</f>
        <v>65826</v>
      </c>
      <c r="N7305" t="s">
        <v>2787</v>
      </c>
      <c r="O7305" s="1">
        <v>1568.4</v>
      </c>
      <c r="P7305">
        <v>20190711</v>
      </c>
      <c r="Q7305" t="s">
        <v>4724</v>
      </c>
      <c r="R7305" t="s">
        <v>5739</v>
      </c>
      <c r="S7305" t="s">
        <v>1615</v>
      </c>
      <c r="T7305" t="s">
        <v>301</v>
      </c>
    </row>
    <row r="7306" spans="1:20" x14ac:dyDescent="0.25">
      <c r="A7306">
        <v>9</v>
      </c>
      <c r="B7306">
        <v>199</v>
      </c>
      <c r="C7306" t="str">
        <f>"11"</f>
        <v>11</v>
      </c>
      <c r="D7306">
        <v>6649</v>
      </c>
      <c r="E7306" t="str">
        <f>"V1"</f>
        <v>V1</v>
      </c>
      <c r="F7306" t="str">
        <f>"001"</f>
        <v>001</v>
      </c>
      <c r="G7306">
        <v>9</v>
      </c>
      <c r="H7306" t="str">
        <f>"22"</f>
        <v>22</v>
      </c>
      <c r="I7306" t="str">
        <f t="shared" si="1622"/>
        <v>0</v>
      </c>
      <c r="J7306" t="str">
        <f>"22"</f>
        <v>22</v>
      </c>
      <c r="K7306">
        <v>20190712</v>
      </c>
      <c r="L7306" t="str">
        <f>"077416"</f>
        <v>077416</v>
      </c>
      <c r="M7306" t="str">
        <f>"65826"</f>
        <v>65826</v>
      </c>
      <c r="N7306" t="s">
        <v>2787</v>
      </c>
      <c r="O7306" s="1">
        <v>2031.04</v>
      </c>
      <c r="P7306">
        <v>20190711</v>
      </c>
      <c r="Q7306" t="s">
        <v>4724</v>
      </c>
      <c r="R7306" t="s">
        <v>5740</v>
      </c>
      <c r="S7306" t="s">
        <v>1615</v>
      </c>
      <c r="T7306" t="s">
        <v>301</v>
      </c>
    </row>
    <row r="7307" spans="1:20" x14ac:dyDescent="0.25">
      <c r="A7307">
        <v>9</v>
      </c>
      <c r="B7307">
        <v>199</v>
      </c>
      <c r="C7307" t="str">
        <f>"41"</f>
        <v>41</v>
      </c>
      <c r="D7307">
        <v>6399</v>
      </c>
      <c r="E7307" t="str">
        <f>"00"</f>
        <v>00</v>
      </c>
      <c r="F7307" t="str">
        <f>"709"</f>
        <v>709</v>
      </c>
      <c r="G7307">
        <v>9</v>
      </c>
      <c r="H7307" t="str">
        <f>"99"</f>
        <v>99</v>
      </c>
      <c r="I7307" t="str">
        <f t="shared" si="1622"/>
        <v>0</v>
      </c>
      <c r="J7307" t="str">
        <f>"83"</f>
        <v>83</v>
      </c>
      <c r="K7307">
        <v>20190712</v>
      </c>
      <c r="L7307" t="str">
        <f>"077417"</f>
        <v>077417</v>
      </c>
      <c r="M7307" t="str">
        <f>"64650"</f>
        <v>64650</v>
      </c>
      <c r="N7307" t="s">
        <v>1915</v>
      </c>
      <c r="O7307">
        <v>86.1</v>
      </c>
      <c r="P7307">
        <v>20190711</v>
      </c>
      <c r="Q7307" t="s">
        <v>5573</v>
      </c>
      <c r="R7307" t="s">
        <v>5741</v>
      </c>
      <c r="S7307" t="s">
        <v>1615</v>
      </c>
      <c r="T7307" t="s">
        <v>1820</v>
      </c>
    </row>
    <row r="7308" spans="1:20" x14ac:dyDescent="0.25">
      <c r="A7308">
        <v>9</v>
      </c>
      <c r="B7308">
        <v>199</v>
      </c>
      <c r="C7308" t="str">
        <f>"41"</f>
        <v>41</v>
      </c>
      <c r="D7308">
        <v>6498</v>
      </c>
      <c r="E7308" t="str">
        <f>"00"</f>
        <v>00</v>
      </c>
      <c r="F7308" t="str">
        <f>"709"</f>
        <v>709</v>
      </c>
      <c r="G7308">
        <v>9</v>
      </c>
      <c r="H7308" t="str">
        <f>"99"</f>
        <v>99</v>
      </c>
      <c r="I7308" t="str">
        <f t="shared" si="1622"/>
        <v>0</v>
      </c>
      <c r="J7308" t="str">
        <f>"83"</f>
        <v>83</v>
      </c>
      <c r="K7308">
        <v>20190712</v>
      </c>
      <c r="L7308" t="str">
        <f>"077417"</f>
        <v>077417</v>
      </c>
      <c r="M7308" t="str">
        <f>"64650"</f>
        <v>64650</v>
      </c>
      <c r="N7308" t="s">
        <v>1915</v>
      </c>
      <c r="O7308">
        <v>86.1</v>
      </c>
      <c r="P7308">
        <v>20190711</v>
      </c>
      <c r="Q7308" t="s">
        <v>2314</v>
      </c>
      <c r="R7308" t="s">
        <v>5741</v>
      </c>
      <c r="S7308" t="s">
        <v>1615</v>
      </c>
      <c r="T7308" t="s">
        <v>1820</v>
      </c>
    </row>
    <row r="7309" spans="1:20" x14ac:dyDescent="0.25">
      <c r="A7309">
        <v>9</v>
      </c>
      <c r="B7309">
        <v>199</v>
      </c>
      <c r="C7309" t="str">
        <f>"51"</f>
        <v>51</v>
      </c>
      <c r="D7309">
        <v>6256</v>
      </c>
      <c r="E7309" t="str">
        <f>"10"</f>
        <v>10</v>
      </c>
      <c r="F7309" t="str">
        <f>"936"</f>
        <v>936</v>
      </c>
      <c r="G7309">
        <v>9</v>
      </c>
      <c r="H7309" t="str">
        <f>"99"</f>
        <v>99</v>
      </c>
      <c r="I7309" t="str">
        <f t="shared" si="1622"/>
        <v>0</v>
      </c>
      <c r="J7309" t="str">
        <f>"81"</f>
        <v>81</v>
      </c>
      <c r="K7309">
        <v>20190712</v>
      </c>
      <c r="L7309" t="str">
        <f>"077418"</f>
        <v>077418</v>
      </c>
      <c r="M7309" t="str">
        <f>"72340"</f>
        <v>72340</v>
      </c>
      <c r="N7309" t="s">
        <v>1652</v>
      </c>
      <c r="O7309">
        <v>140.72</v>
      </c>
      <c r="P7309">
        <v>20190711</v>
      </c>
      <c r="Q7309" t="s">
        <v>2679</v>
      </c>
      <c r="R7309" t="s">
        <v>5742</v>
      </c>
      <c r="S7309" t="s">
        <v>1615</v>
      </c>
      <c r="T7309" t="s">
        <v>1713</v>
      </c>
    </row>
    <row r="7310" spans="1:20" x14ac:dyDescent="0.25">
      <c r="A7310">
        <v>9</v>
      </c>
      <c r="B7310">
        <v>199</v>
      </c>
      <c r="C7310" t="str">
        <f>"12"</f>
        <v>12</v>
      </c>
      <c r="D7310">
        <v>6411</v>
      </c>
      <c r="E7310" t="str">
        <f>"00"</f>
        <v>00</v>
      </c>
      <c r="F7310" t="str">
        <f>"001"</f>
        <v>001</v>
      </c>
      <c r="G7310">
        <v>9</v>
      </c>
      <c r="H7310" t="str">
        <f>"11"</f>
        <v>11</v>
      </c>
      <c r="I7310" t="str">
        <f t="shared" si="1622"/>
        <v>0</v>
      </c>
      <c r="J7310" t="str">
        <f>"94"</f>
        <v>94</v>
      </c>
      <c r="K7310">
        <v>20190712</v>
      </c>
      <c r="L7310" t="str">
        <f>"077419"</f>
        <v>077419</v>
      </c>
      <c r="M7310" t="str">
        <f>"73550"</f>
        <v>73550</v>
      </c>
      <c r="N7310" t="s">
        <v>3825</v>
      </c>
      <c r="O7310">
        <v>51.75</v>
      </c>
      <c r="P7310">
        <v>20190711</v>
      </c>
      <c r="Q7310" t="s">
        <v>3129</v>
      </c>
      <c r="R7310" t="s">
        <v>4034</v>
      </c>
      <c r="S7310" t="s">
        <v>1615</v>
      </c>
      <c r="T7310" t="s">
        <v>301</v>
      </c>
    </row>
    <row r="7311" spans="1:20" x14ac:dyDescent="0.25">
      <c r="A7311">
        <v>9</v>
      </c>
      <c r="B7311">
        <v>199</v>
      </c>
      <c r="C7311" t="str">
        <f>"12"</f>
        <v>12</v>
      </c>
      <c r="D7311">
        <v>6411</v>
      </c>
      <c r="E7311" t="str">
        <f>"00"</f>
        <v>00</v>
      </c>
      <c r="F7311" t="str">
        <f>"041"</f>
        <v>041</v>
      </c>
      <c r="G7311">
        <v>9</v>
      </c>
      <c r="H7311" t="str">
        <f>"11"</f>
        <v>11</v>
      </c>
      <c r="I7311" t="str">
        <f t="shared" si="1622"/>
        <v>0</v>
      </c>
      <c r="J7311" t="str">
        <f>"94"</f>
        <v>94</v>
      </c>
      <c r="K7311">
        <v>20190712</v>
      </c>
      <c r="L7311" t="str">
        <f>"077419"</f>
        <v>077419</v>
      </c>
      <c r="M7311" t="str">
        <f>"73550"</f>
        <v>73550</v>
      </c>
      <c r="N7311" t="s">
        <v>3825</v>
      </c>
      <c r="O7311">
        <v>295.60000000000002</v>
      </c>
      <c r="P7311">
        <v>20190711</v>
      </c>
      <c r="Q7311" t="s">
        <v>4035</v>
      </c>
      <c r="R7311" t="s">
        <v>4034</v>
      </c>
      <c r="S7311" t="s">
        <v>1615</v>
      </c>
      <c r="T7311" t="s">
        <v>106</v>
      </c>
    </row>
    <row r="7312" spans="1:20" x14ac:dyDescent="0.25">
      <c r="A7312">
        <v>9</v>
      </c>
      <c r="B7312">
        <v>199</v>
      </c>
      <c r="C7312" t="str">
        <f>"12"</f>
        <v>12</v>
      </c>
      <c r="D7312">
        <v>6411</v>
      </c>
      <c r="E7312" t="str">
        <f>"00"</f>
        <v>00</v>
      </c>
      <c r="F7312" t="str">
        <f>"101"</f>
        <v>101</v>
      </c>
      <c r="G7312">
        <v>9</v>
      </c>
      <c r="H7312" t="str">
        <f>"11"</f>
        <v>11</v>
      </c>
      <c r="I7312" t="str">
        <f t="shared" si="1622"/>
        <v>0</v>
      </c>
      <c r="J7312" t="str">
        <f>"94"</f>
        <v>94</v>
      </c>
      <c r="K7312">
        <v>20190712</v>
      </c>
      <c r="L7312" t="str">
        <f>"077419"</f>
        <v>077419</v>
      </c>
      <c r="M7312" t="str">
        <f>"73550"</f>
        <v>73550</v>
      </c>
      <c r="N7312" t="s">
        <v>3825</v>
      </c>
      <c r="O7312">
        <v>51.75</v>
      </c>
      <c r="P7312">
        <v>20190711</v>
      </c>
      <c r="Q7312" t="s">
        <v>4036</v>
      </c>
      <c r="R7312" t="s">
        <v>4034</v>
      </c>
      <c r="S7312" t="s">
        <v>1615</v>
      </c>
      <c r="T7312" t="s">
        <v>1479</v>
      </c>
    </row>
    <row r="7313" spans="1:20" x14ac:dyDescent="0.25">
      <c r="A7313">
        <v>9</v>
      </c>
      <c r="B7313">
        <v>199</v>
      </c>
      <c r="C7313" t="str">
        <f>"12"</f>
        <v>12</v>
      </c>
      <c r="D7313">
        <v>6411</v>
      </c>
      <c r="E7313" t="str">
        <f>"00"</f>
        <v>00</v>
      </c>
      <c r="F7313" t="str">
        <f>"104"</f>
        <v>104</v>
      </c>
      <c r="G7313">
        <v>9</v>
      </c>
      <c r="H7313" t="str">
        <f>"11"</f>
        <v>11</v>
      </c>
      <c r="I7313" t="str">
        <f t="shared" si="1622"/>
        <v>0</v>
      </c>
      <c r="J7313" t="str">
        <f>"94"</f>
        <v>94</v>
      </c>
      <c r="K7313">
        <v>20190712</v>
      </c>
      <c r="L7313" t="str">
        <f>"077419"</f>
        <v>077419</v>
      </c>
      <c r="M7313" t="str">
        <f>"73550"</f>
        <v>73550</v>
      </c>
      <c r="N7313" t="s">
        <v>3825</v>
      </c>
      <c r="O7313">
        <v>51.75</v>
      </c>
      <c r="P7313">
        <v>20190711</v>
      </c>
      <c r="Q7313" t="s">
        <v>4037</v>
      </c>
      <c r="R7313" t="s">
        <v>4034</v>
      </c>
      <c r="S7313" t="s">
        <v>1615</v>
      </c>
      <c r="T7313" t="s">
        <v>46</v>
      </c>
    </row>
    <row r="7314" spans="1:20" x14ac:dyDescent="0.25">
      <c r="A7314">
        <v>9</v>
      </c>
      <c r="B7314">
        <v>199</v>
      </c>
      <c r="C7314" t="str">
        <f>"11"</f>
        <v>11</v>
      </c>
      <c r="D7314">
        <v>6399</v>
      </c>
      <c r="E7314" t="str">
        <f>"10"</f>
        <v>10</v>
      </c>
      <c r="F7314" t="str">
        <f>"001"</f>
        <v>001</v>
      </c>
      <c r="G7314">
        <v>9</v>
      </c>
      <c r="H7314" t="str">
        <f>"11"</f>
        <v>11</v>
      </c>
      <c r="I7314" t="str">
        <f t="shared" si="1622"/>
        <v>0</v>
      </c>
      <c r="J7314" t="str">
        <f>"01"</f>
        <v>01</v>
      </c>
      <c r="K7314">
        <v>20190712</v>
      </c>
      <c r="L7314" t="str">
        <f>"077421"</f>
        <v>077421</v>
      </c>
      <c r="M7314" t="str">
        <f>"77400"</f>
        <v>77400</v>
      </c>
      <c r="N7314" t="s">
        <v>5743</v>
      </c>
      <c r="O7314">
        <v>68.319999999999993</v>
      </c>
      <c r="P7314">
        <v>20190711</v>
      </c>
      <c r="Q7314" t="s">
        <v>1675</v>
      </c>
      <c r="R7314" t="s">
        <v>5744</v>
      </c>
      <c r="S7314" t="s">
        <v>1615</v>
      </c>
      <c r="T7314" t="s">
        <v>301</v>
      </c>
    </row>
    <row r="7315" spans="1:20" x14ac:dyDescent="0.25">
      <c r="A7315">
        <v>9</v>
      </c>
      <c r="B7315">
        <v>199</v>
      </c>
      <c r="C7315" t="str">
        <f>"36"</f>
        <v>36</v>
      </c>
      <c r="D7315">
        <v>6495</v>
      </c>
      <c r="E7315" t="str">
        <f>"7E"</f>
        <v>7E</v>
      </c>
      <c r="F7315" t="str">
        <f>"001"</f>
        <v>001</v>
      </c>
      <c r="G7315">
        <v>9</v>
      </c>
      <c r="H7315" t="str">
        <f>"99"</f>
        <v>99</v>
      </c>
      <c r="I7315" t="str">
        <f t="shared" si="1622"/>
        <v>0</v>
      </c>
      <c r="J7315" t="str">
        <f>"31"</f>
        <v>31</v>
      </c>
      <c r="K7315">
        <v>20190712</v>
      </c>
      <c r="L7315" t="str">
        <f>"077422"</f>
        <v>077422</v>
      </c>
      <c r="M7315" t="str">
        <f>"78727"</f>
        <v>78727</v>
      </c>
      <c r="N7315" t="s">
        <v>1842</v>
      </c>
      <c r="O7315">
        <v>50</v>
      </c>
      <c r="P7315">
        <v>20190711</v>
      </c>
      <c r="Q7315" t="s">
        <v>5745</v>
      </c>
      <c r="R7315" t="s">
        <v>5746</v>
      </c>
      <c r="S7315" t="s">
        <v>1615</v>
      </c>
      <c r="T7315" t="s">
        <v>301</v>
      </c>
    </row>
    <row r="7316" spans="1:20" x14ac:dyDescent="0.25">
      <c r="A7316">
        <v>9</v>
      </c>
      <c r="B7316">
        <v>199</v>
      </c>
      <c r="C7316" t="str">
        <f>"36"</f>
        <v>36</v>
      </c>
      <c r="D7316">
        <v>6495</v>
      </c>
      <c r="E7316" t="str">
        <f>"7E"</f>
        <v>7E</v>
      </c>
      <c r="F7316" t="str">
        <f>"041"</f>
        <v>041</v>
      </c>
      <c r="G7316">
        <v>9</v>
      </c>
      <c r="H7316" t="str">
        <f>"99"</f>
        <v>99</v>
      </c>
      <c r="I7316" t="str">
        <f t="shared" ref="I7316:I7347" si="1624">"0"</f>
        <v>0</v>
      </c>
      <c r="J7316" t="str">
        <f>"35"</f>
        <v>35</v>
      </c>
      <c r="K7316">
        <v>20190712</v>
      </c>
      <c r="L7316" t="str">
        <f>"077422"</f>
        <v>077422</v>
      </c>
      <c r="M7316" t="str">
        <f>"78727"</f>
        <v>78727</v>
      </c>
      <c r="N7316" t="s">
        <v>1842</v>
      </c>
      <c r="O7316">
        <v>50</v>
      </c>
      <c r="P7316">
        <v>20190711</v>
      </c>
      <c r="Q7316" t="s">
        <v>2138</v>
      </c>
      <c r="R7316" t="s">
        <v>5746</v>
      </c>
      <c r="S7316" t="s">
        <v>1615</v>
      </c>
      <c r="T7316" t="s">
        <v>106</v>
      </c>
    </row>
    <row r="7317" spans="1:20" x14ac:dyDescent="0.25">
      <c r="A7317">
        <v>9</v>
      </c>
      <c r="B7317">
        <v>199</v>
      </c>
      <c r="C7317" t="str">
        <f t="shared" ref="C7317:C7322" si="1625">"11"</f>
        <v>11</v>
      </c>
      <c r="D7317">
        <v>6399</v>
      </c>
      <c r="E7317" t="str">
        <f>"V8"</f>
        <v>V8</v>
      </c>
      <c r="F7317" t="str">
        <f>"002"</f>
        <v>002</v>
      </c>
      <c r="G7317">
        <v>9</v>
      </c>
      <c r="H7317" t="str">
        <f>"22"</f>
        <v>22</v>
      </c>
      <c r="I7317" t="str">
        <f t="shared" si="1624"/>
        <v>0</v>
      </c>
      <c r="J7317" t="str">
        <f>"22"</f>
        <v>22</v>
      </c>
      <c r="K7317">
        <v>20190712</v>
      </c>
      <c r="L7317" t="str">
        <f>"077423"</f>
        <v>077423</v>
      </c>
      <c r="M7317" t="str">
        <f>"80500"</f>
        <v>80500</v>
      </c>
      <c r="N7317" t="s">
        <v>2340</v>
      </c>
      <c r="O7317">
        <v>268.27</v>
      </c>
      <c r="P7317">
        <v>20190711</v>
      </c>
      <c r="Q7317" t="s">
        <v>3210</v>
      </c>
      <c r="R7317" t="s">
        <v>5747</v>
      </c>
      <c r="S7317" t="s">
        <v>1615</v>
      </c>
      <c r="T7317" t="s">
        <v>1485</v>
      </c>
    </row>
    <row r="7318" spans="1:20" x14ac:dyDescent="0.25">
      <c r="A7318">
        <v>9</v>
      </c>
      <c r="B7318">
        <v>199</v>
      </c>
      <c r="C7318" t="str">
        <f t="shared" si="1625"/>
        <v>11</v>
      </c>
      <c r="D7318">
        <v>6399</v>
      </c>
      <c r="E7318" t="str">
        <f>"V8"</f>
        <v>V8</v>
      </c>
      <c r="F7318" t="str">
        <f>"002"</f>
        <v>002</v>
      </c>
      <c r="G7318">
        <v>9</v>
      </c>
      <c r="H7318" t="str">
        <f>"22"</f>
        <v>22</v>
      </c>
      <c r="I7318" t="str">
        <f t="shared" si="1624"/>
        <v>0</v>
      </c>
      <c r="J7318" t="str">
        <f>"22"</f>
        <v>22</v>
      </c>
      <c r="K7318">
        <v>20190712</v>
      </c>
      <c r="L7318" t="str">
        <f>"077423"</f>
        <v>077423</v>
      </c>
      <c r="M7318" t="str">
        <f>"80500"</f>
        <v>80500</v>
      </c>
      <c r="N7318" t="s">
        <v>2340</v>
      </c>
      <c r="O7318">
        <v>92.91</v>
      </c>
      <c r="P7318">
        <v>20190711</v>
      </c>
      <c r="Q7318" t="s">
        <v>3210</v>
      </c>
      <c r="R7318" t="s">
        <v>5748</v>
      </c>
      <c r="S7318" t="s">
        <v>1615</v>
      </c>
      <c r="T7318" t="s">
        <v>1485</v>
      </c>
    </row>
    <row r="7319" spans="1:20" x14ac:dyDescent="0.25">
      <c r="A7319">
        <v>9</v>
      </c>
      <c r="B7319">
        <v>199</v>
      </c>
      <c r="C7319" t="str">
        <f t="shared" si="1625"/>
        <v>11</v>
      </c>
      <c r="D7319">
        <v>6399</v>
      </c>
      <c r="E7319" t="str">
        <f>"V1"</f>
        <v>V1</v>
      </c>
      <c r="F7319" t="str">
        <f>"001"</f>
        <v>001</v>
      </c>
      <c r="G7319">
        <v>9</v>
      </c>
      <c r="H7319" t="str">
        <f>"22"</f>
        <v>22</v>
      </c>
      <c r="I7319" t="str">
        <f t="shared" si="1624"/>
        <v>0</v>
      </c>
      <c r="J7319" t="str">
        <f>"22"</f>
        <v>22</v>
      </c>
      <c r="K7319">
        <v>20190712</v>
      </c>
      <c r="L7319" t="str">
        <f>"077424"</f>
        <v>077424</v>
      </c>
      <c r="M7319" t="str">
        <f>"80755"</f>
        <v>80755</v>
      </c>
      <c r="N7319" t="s">
        <v>4181</v>
      </c>
      <c r="O7319">
        <v>686.4</v>
      </c>
      <c r="P7319">
        <v>20190711</v>
      </c>
      <c r="Q7319" t="s">
        <v>5437</v>
      </c>
      <c r="R7319" t="s">
        <v>5749</v>
      </c>
      <c r="S7319" t="s">
        <v>1615</v>
      </c>
      <c r="T7319" t="s">
        <v>301</v>
      </c>
    </row>
    <row r="7320" spans="1:20" x14ac:dyDescent="0.25">
      <c r="A7320">
        <v>9</v>
      </c>
      <c r="B7320">
        <v>199</v>
      </c>
      <c r="C7320" t="str">
        <f t="shared" si="1625"/>
        <v>11</v>
      </c>
      <c r="D7320">
        <v>6395</v>
      </c>
      <c r="E7320" t="str">
        <f>"10"</f>
        <v>10</v>
      </c>
      <c r="F7320" t="str">
        <f>"001"</f>
        <v>001</v>
      </c>
      <c r="G7320">
        <v>9</v>
      </c>
      <c r="H7320" t="str">
        <f>"11"</f>
        <v>11</v>
      </c>
      <c r="I7320" t="str">
        <f t="shared" si="1624"/>
        <v>0</v>
      </c>
      <c r="J7320" t="str">
        <f>"01"</f>
        <v>01</v>
      </c>
      <c r="K7320">
        <v>20190712</v>
      </c>
      <c r="L7320" t="str">
        <f t="shared" ref="L7320:L7331" si="1626">"077425"</f>
        <v>077425</v>
      </c>
      <c r="M7320" t="str">
        <f t="shared" ref="M7320:M7331" si="1627">"81303"</f>
        <v>81303</v>
      </c>
      <c r="N7320" t="s">
        <v>66</v>
      </c>
      <c r="O7320">
        <v>4.5</v>
      </c>
      <c r="P7320">
        <v>20190711</v>
      </c>
      <c r="Q7320" t="s">
        <v>1929</v>
      </c>
      <c r="R7320" t="s">
        <v>5750</v>
      </c>
      <c r="S7320" t="s">
        <v>1615</v>
      </c>
      <c r="T7320" t="s">
        <v>301</v>
      </c>
    </row>
    <row r="7321" spans="1:20" x14ac:dyDescent="0.25">
      <c r="A7321">
        <v>9</v>
      </c>
      <c r="B7321">
        <v>199</v>
      </c>
      <c r="C7321" t="str">
        <f t="shared" si="1625"/>
        <v>11</v>
      </c>
      <c r="D7321">
        <v>6395</v>
      </c>
      <c r="E7321" t="str">
        <f>"10"</f>
        <v>10</v>
      </c>
      <c r="F7321" t="str">
        <f>"001"</f>
        <v>001</v>
      </c>
      <c r="G7321">
        <v>9</v>
      </c>
      <c r="H7321" t="str">
        <f>"11"</f>
        <v>11</v>
      </c>
      <c r="I7321" t="str">
        <f t="shared" si="1624"/>
        <v>0</v>
      </c>
      <c r="J7321" t="str">
        <f>"01"</f>
        <v>01</v>
      </c>
      <c r="K7321">
        <v>20190712</v>
      </c>
      <c r="L7321" t="str">
        <f t="shared" si="1626"/>
        <v>077425</v>
      </c>
      <c r="M7321" t="str">
        <f t="shared" si="1627"/>
        <v>81303</v>
      </c>
      <c r="N7321" t="s">
        <v>66</v>
      </c>
      <c r="O7321">
        <v>100</v>
      </c>
      <c r="P7321">
        <v>20190711</v>
      </c>
      <c r="Q7321" t="s">
        <v>1929</v>
      </c>
      <c r="R7321" t="s">
        <v>5751</v>
      </c>
      <c r="S7321" t="s">
        <v>1615</v>
      </c>
      <c r="T7321" t="s">
        <v>301</v>
      </c>
    </row>
    <row r="7322" spans="1:20" x14ac:dyDescent="0.25">
      <c r="A7322">
        <v>9</v>
      </c>
      <c r="B7322">
        <v>199</v>
      </c>
      <c r="C7322" t="str">
        <f t="shared" si="1625"/>
        <v>11</v>
      </c>
      <c r="D7322">
        <v>6399</v>
      </c>
      <c r="E7322" t="str">
        <f>"10"</f>
        <v>10</v>
      </c>
      <c r="F7322" t="str">
        <f>"002"</f>
        <v>002</v>
      </c>
      <c r="G7322">
        <v>9</v>
      </c>
      <c r="H7322" t="str">
        <f>"11"</f>
        <v>11</v>
      </c>
      <c r="I7322" t="str">
        <f t="shared" si="1624"/>
        <v>0</v>
      </c>
      <c r="J7322" t="str">
        <f>"02"</f>
        <v>02</v>
      </c>
      <c r="K7322">
        <v>20190712</v>
      </c>
      <c r="L7322" t="str">
        <f t="shared" si="1626"/>
        <v>077425</v>
      </c>
      <c r="M7322" t="str">
        <f t="shared" si="1627"/>
        <v>81303</v>
      </c>
      <c r="N7322" t="s">
        <v>66</v>
      </c>
      <c r="O7322">
        <v>48</v>
      </c>
      <c r="P7322">
        <v>20190711</v>
      </c>
      <c r="Q7322" t="s">
        <v>3208</v>
      </c>
      <c r="R7322" t="s">
        <v>5752</v>
      </c>
      <c r="S7322" t="s">
        <v>1615</v>
      </c>
      <c r="T7322" t="s">
        <v>1485</v>
      </c>
    </row>
    <row r="7323" spans="1:20" x14ac:dyDescent="0.25">
      <c r="A7323">
        <v>9</v>
      </c>
      <c r="B7323">
        <v>199</v>
      </c>
      <c r="C7323" t="str">
        <f>"21"</f>
        <v>21</v>
      </c>
      <c r="D7323">
        <v>6394</v>
      </c>
      <c r="E7323" t="str">
        <f>"00"</f>
        <v>00</v>
      </c>
      <c r="F7323" t="str">
        <f>"875"</f>
        <v>875</v>
      </c>
      <c r="G7323">
        <v>9</v>
      </c>
      <c r="H7323" t="str">
        <f>"23"</f>
        <v>23</v>
      </c>
      <c r="I7323" t="str">
        <f t="shared" si="1624"/>
        <v>0</v>
      </c>
      <c r="J7323" t="str">
        <f>"23"</f>
        <v>23</v>
      </c>
      <c r="K7323">
        <v>20190712</v>
      </c>
      <c r="L7323" t="str">
        <f t="shared" si="1626"/>
        <v>077425</v>
      </c>
      <c r="M7323" t="str">
        <f t="shared" si="1627"/>
        <v>81303</v>
      </c>
      <c r="N7323" t="s">
        <v>66</v>
      </c>
      <c r="O7323">
        <v>35</v>
      </c>
      <c r="P7323">
        <v>20190711</v>
      </c>
      <c r="Q7323" t="s">
        <v>2933</v>
      </c>
      <c r="R7323" t="s">
        <v>5753</v>
      </c>
      <c r="S7323" t="s">
        <v>1615</v>
      </c>
      <c r="T7323" t="s">
        <v>2041</v>
      </c>
    </row>
    <row r="7324" spans="1:20" x14ac:dyDescent="0.25">
      <c r="A7324">
        <v>9</v>
      </c>
      <c r="B7324">
        <v>199</v>
      </c>
      <c r="C7324" t="str">
        <f>"21"</f>
        <v>21</v>
      </c>
      <c r="D7324">
        <v>6395</v>
      </c>
      <c r="E7324" t="str">
        <f>"10"</f>
        <v>10</v>
      </c>
      <c r="F7324" t="str">
        <f>"871"</f>
        <v>871</v>
      </c>
      <c r="G7324">
        <v>9</v>
      </c>
      <c r="H7324" t="str">
        <f>"99"</f>
        <v>99</v>
      </c>
      <c r="I7324" t="str">
        <f t="shared" si="1624"/>
        <v>0</v>
      </c>
      <c r="J7324" t="str">
        <f>"94"</f>
        <v>94</v>
      </c>
      <c r="K7324">
        <v>20190712</v>
      </c>
      <c r="L7324" t="str">
        <f t="shared" si="1626"/>
        <v>077425</v>
      </c>
      <c r="M7324" t="str">
        <f t="shared" si="1627"/>
        <v>81303</v>
      </c>
      <c r="N7324" t="s">
        <v>66</v>
      </c>
      <c r="O7324">
        <v>137.5</v>
      </c>
      <c r="P7324">
        <v>20190711</v>
      </c>
      <c r="Q7324" t="s">
        <v>1931</v>
      </c>
      <c r="R7324" t="s">
        <v>5754</v>
      </c>
      <c r="S7324" t="s">
        <v>1615</v>
      </c>
      <c r="T7324" t="s">
        <v>1932</v>
      </c>
    </row>
    <row r="7325" spans="1:20" x14ac:dyDescent="0.25">
      <c r="A7325">
        <v>9</v>
      </c>
      <c r="B7325">
        <v>199</v>
      </c>
      <c r="C7325" t="str">
        <f>"21"</f>
        <v>21</v>
      </c>
      <c r="D7325">
        <v>6397</v>
      </c>
      <c r="E7325" t="str">
        <f>"10"</f>
        <v>10</v>
      </c>
      <c r="F7325" t="str">
        <f>"871"</f>
        <v>871</v>
      </c>
      <c r="G7325">
        <v>9</v>
      </c>
      <c r="H7325" t="str">
        <f>"99"</f>
        <v>99</v>
      </c>
      <c r="I7325" t="str">
        <f t="shared" si="1624"/>
        <v>0</v>
      </c>
      <c r="J7325" t="str">
        <f>"94"</f>
        <v>94</v>
      </c>
      <c r="K7325">
        <v>20190712</v>
      </c>
      <c r="L7325" t="str">
        <f t="shared" si="1626"/>
        <v>077425</v>
      </c>
      <c r="M7325" t="str">
        <f t="shared" si="1627"/>
        <v>81303</v>
      </c>
      <c r="N7325" t="s">
        <v>66</v>
      </c>
      <c r="O7325">
        <v>23</v>
      </c>
      <c r="P7325">
        <v>20190711</v>
      </c>
      <c r="Q7325" t="s">
        <v>5755</v>
      </c>
      <c r="R7325" t="s">
        <v>5756</v>
      </c>
      <c r="S7325" t="s">
        <v>1615</v>
      </c>
      <c r="T7325" t="s">
        <v>1932</v>
      </c>
    </row>
    <row r="7326" spans="1:20" x14ac:dyDescent="0.25">
      <c r="A7326">
        <v>9</v>
      </c>
      <c r="B7326">
        <v>199</v>
      </c>
      <c r="C7326" t="str">
        <f>"36"</f>
        <v>36</v>
      </c>
      <c r="D7326">
        <v>6399</v>
      </c>
      <c r="E7326" t="str">
        <f>"H1"</f>
        <v>H1</v>
      </c>
      <c r="F7326" t="str">
        <f>"001"</f>
        <v>001</v>
      </c>
      <c r="G7326">
        <v>9</v>
      </c>
      <c r="H7326" t="str">
        <f>"31"</f>
        <v>31</v>
      </c>
      <c r="I7326" t="str">
        <f t="shared" si="1624"/>
        <v>0</v>
      </c>
      <c r="J7326" t="str">
        <f>"34"</f>
        <v>34</v>
      </c>
      <c r="K7326">
        <v>20190712</v>
      </c>
      <c r="L7326" t="str">
        <f t="shared" si="1626"/>
        <v>077425</v>
      </c>
      <c r="M7326" t="str">
        <f t="shared" si="1627"/>
        <v>81303</v>
      </c>
      <c r="N7326" t="s">
        <v>66</v>
      </c>
      <c r="O7326">
        <v>550</v>
      </c>
      <c r="P7326">
        <v>20190711</v>
      </c>
      <c r="Q7326" t="s">
        <v>4871</v>
      </c>
      <c r="R7326" t="s">
        <v>5757</v>
      </c>
      <c r="S7326" t="s">
        <v>1615</v>
      </c>
      <c r="T7326" t="s">
        <v>301</v>
      </c>
    </row>
    <row r="7327" spans="1:20" x14ac:dyDescent="0.25">
      <c r="A7327">
        <v>9</v>
      </c>
      <c r="B7327">
        <v>199</v>
      </c>
      <c r="C7327" t="str">
        <f>"41"</f>
        <v>41</v>
      </c>
      <c r="D7327">
        <v>6395</v>
      </c>
      <c r="E7327" t="str">
        <f>"10"</f>
        <v>10</v>
      </c>
      <c r="F7327" t="str">
        <f>"701"</f>
        <v>701</v>
      </c>
      <c r="G7327">
        <v>9</v>
      </c>
      <c r="H7327" t="str">
        <f>"99"</f>
        <v>99</v>
      </c>
      <c r="I7327" t="str">
        <f t="shared" si="1624"/>
        <v>0</v>
      </c>
      <c r="J7327" t="str">
        <f>"92"</f>
        <v>92</v>
      </c>
      <c r="K7327">
        <v>20190712</v>
      </c>
      <c r="L7327" t="str">
        <f t="shared" si="1626"/>
        <v>077425</v>
      </c>
      <c r="M7327" t="str">
        <f t="shared" si="1627"/>
        <v>81303</v>
      </c>
      <c r="N7327" t="s">
        <v>66</v>
      </c>
      <c r="O7327">
        <v>566.04</v>
      </c>
      <c r="P7327">
        <v>20190711</v>
      </c>
      <c r="Q7327" t="s">
        <v>3484</v>
      </c>
      <c r="R7327" t="s">
        <v>3923</v>
      </c>
      <c r="S7327" t="s">
        <v>1615</v>
      </c>
      <c r="T7327" t="s">
        <v>1841</v>
      </c>
    </row>
    <row r="7328" spans="1:20" x14ac:dyDescent="0.25">
      <c r="A7328">
        <v>9</v>
      </c>
      <c r="B7328">
        <v>199</v>
      </c>
      <c r="C7328" t="str">
        <f>"41"</f>
        <v>41</v>
      </c>
      <c r="D7328">
        <v>6395</v>
      </c>
      <c r="E7328" t="str">
        <f>"10"</f>
        <v>10</v>
      </c>
      <c r="F7328" t="str">
        <f>"730"</f>
        <v>730</v>
      </c>
      <c r="G7328">
        <v>9</v>
      </c>
      <c r="H7328" t="str">
        <f>"99"</f>
        <v>99</v>
      </c>
      <c r="I7328" t="str">
        <f t="shared" si="1624"/>
        <v>0</v>
      </c>
      <c r="J7328" t="str">
        <f>"95"</f>
        <v>95</v>
      </c>
      <c r="K7328">
        <v>20190712</v>
      </c>
      <c r="L7328" t="str">
        <f t="shared" si="1626"/>
        <v>077425</v>
      </c>
      <c r="M7328" t="str">
        <f t="shared" si="1627"/>
        <v>81303</v>
      </c>
      <c r="N7328" t="s">
        <v>66</v>
      </c>
      <c r="O7328">
        <v>60.6</v>
      </c>
      <c r="P7328">
        <v>20190711</v>
      </c>
      <c r="Q7328" t="s">
        <v>2547</v>
      </c>
      <c r="R7328" t="s">
        <v>5758</v>
      </c>
      <c r="S7328" t="s">
        <v>1615</v>
      </c>
      <c r="T7328" t="s">
        <v>1794</v>
      </c>
    </row>
    <row r="7329" spans="1:20" x14ac:dyDescent="0.25">
      <c r="A7329">
        <v>9</v>
      </c>
      <c r="B7329">
        <v>199</v>
      </c>
      <c r="C7329" t="str">
        <f>"41"</f>
        <v>41</v>
      </c>
      <c r="D7329">
        <v>6395</v>
      </c>
      <c r="E7329" t="str">
        <f>"10"</f>
        <v>10</v>
      </c>
      <c r="F7329" t="str">
        <f>"730"</f>
        <v>730</v>
      </c>
      <c r="G7329">
        <v>9</v>
      </c>
      <c r="H7329" t="str">
        <f>"99"</f>
        <v>99</v>
      </c>
      <c r="I7329" t="str">
        <f t="shared" si="1624"/>
        <v>0</v>
      </c>
      <c r="J7329" t="str">
        <f>"95"</f>
        <v>95</v>
      </c>
      <c r="K7329">
        <v>20190712</v>
      </c>
      <c r="L7329" t="str">
        <f t="shared" si="1626"/>
        <v>077425</v>
      </c>
      <c r="M7329" t="str">
        <f t="shared" si="1627"/>
        <v>81303</v>
      </c>
      <c r="N7329" t="s">
        <v>66</v>
      </c>
      <c r="O7329">
        <v>75</v>
      </c>
      <c r="P7329">
        <v>20190711</v>
      </c>
      <c r="Q7329" t="s">
        <v>2547</v>
      </c>
      <c r="R7329" t="s">
        <v>5759</v>
      </c>
      <c r="S7329" t="s">
        <v>1615</v>
      </c>
      <c r="T7329" t="s">
        <v>1794</v>
      </c>
    </row>
    <row r="7330" spans="1:20" x14ac:dyDescent="0.25">
      <c r="A7330">
        <v>9</v>
      </c>
      <c r="B7330">
        <v>199</v>
      </c>
      <c r="C7330" t="str">
        <f>"41"</f>
        <v>41</v>
      </c>
      <c r="D7330">
        <v>6395</v>
      </c>
      <c r="E7330" t="str">
        <f>"10"</f>
        <v>10</v>
      </c>
      <c r="F7330" t="str">
        <f>"730"</f>
        <v>730</v>
      </c>
      <c r="G7330">
        <v>9</v>
      </c>
      <c r="H7330" t="str">
        <f>"99"</f>
        <v>99</v>
      </c>
      <c r="I7330" t="str">
        <f t="shared" si="1624"/>
        <v>0</v>
      </c>
      <c r="J7330" t="str">
        <f>"95"</f>
        <v>95</v>
      </c>
      <c r="K7330">
        <v>20190712</v>
      </c>
      <c r="L7330" t="str">
        <f t="shared" si="1626"/>
        <v>077425</v>
      </c>
      <c r="M7330" t="str">
        <f t="shared" si="1627"/>
        <v>81303</v>
      </c>
      <c r="N7330" t="s">
        <v>66</v>
      </c>
      <c r="O7330">
        <v>160</v>
      </c>
      <c r="P7330">
        <v>20190711</v>
      </c>
      <c r="Q7330" t="s">
        <v>2547</v>
      </c>
      <c r="R7330" t="s">
        <v>5760</v>
      </c>
      <c r="S7330" t="s">
        <v>1615</v>
      </c>
      <c r="T7330" t="s">
        <v>1794</v>
      </c>
    </row>
    <row r="7331" spans="1:20" x14ac:dyDescent="0.25">
      <c r="A7331">
        <v>9</v>
      </c>
      <c r="B7331">
        <v>199</v>
      </c>
      <c r="C7331" t="str">
        <f>"41"</f>
        <v>41</v>
      </c>
      <c r="D7331">
        <v>6395</v>
      </c>
      <c r="E7331" t="str">
        <f>"10"</f>
        <v>10</v>
      </c>
      <c r="F7331" t="str">
        <f>"735"</f>
        <v>735</v>
      </c>
      <c r="G7331">
        <v>9</v>
      </c>
      <c r="H7331" t="str">
        <f>"99"</f>
        <v>99</v>
      </c>
      <c r="I7331" t="str">
        <f t="shared" si="1624"/>
        <v>0</v>
      </c>
      <c r="J7331" t="str">
        <f>"96"</f>
        <v>96</v>
      </c>
      <c r="K7331">
        <v>20190712</v>
      </c>
      <c r="L7331" t="str">
        <f t="shared" si="1626"/>
        <v>077425</v>
      </c>
      <c r="M7331" t="str">
        <f t="shared" si="1627"/>
        <v>81303</v>
      </c>
      <c r="N7331" t="s">
        <v>66</v>
      </c>
      <c r="O7331" s="1">
        <v>1705</v>
      </c>
      <c r="P7331">
        <v>20190711</v>
      </c>
      <c r="Q7331" t="s">
        <v>3488</v>
      </c>
      <c r="R7331" t="s">
        <v>3923</v>
      </c>
      <c r="S7331" t="s">
        <v>1615</v>
      </c>
      <c r="T7331" t="s">
        <v>151</v>
      </c>
    </row>
    <row r="7332" spans="1:20" x14ac:dyDescent="0.25">
      <c r="A7332">
        <v>9</v>
      </c>
      <c r="B7332">
        <v>199</v>
      </c>
      <c r="C7332" t="str">
        <f>"11"</f>
        <v>11</v>
      </c>
      <c r="D7332">
        <v>6268</v>
      </c>
      <c r="E7332" t="str">
        <f>"7Q"</f>
        <v>7Q</v>
      </c>
      <c r="F7332" t="str">
        <f>"001"</f>
        <v>001</v>
      </c>
      <c r="G7332">
        <v>9</v>
      </c>
      <c r="H7332" t="str">
        <f>"11"</f>
        <v>11</v>
      </c>
      <c r="I7332" t="str">
        <f t="shared" si="1624"/>
        <v>0</v>
      </c>
      <c r="J7332" t="str">
        <f>"01"</f>
        <v>01</v>
      </c>
      <c r="K7332">
        <v>20190712</v>
      </c>
      <c r="L7332" t="str">
        <f>"077426"</f>
        <v>077426</v>
      </c>
      <c r="M7332" t="str">
        <f>"81704"</f>
        <v>81704</v>
      </c>
      <c r="N7332" t="s">
        <v>5761</v>
      </c>
      <c r="O7332">
        <v>500</v>
      </c>
      <c r="P7332">
        <v>20190711</v>
      </c>
      <c r="Q7332" t="s">
        <v>3497</v>
      </c>
      <c r="R7332" t="s">
        <v>3498</v>
      </c>
      <c r="S7332" t="s">
        <v>1615</v>
      </c>
      <c r="T7332" t="s">
        <v>301</v>
      </c>
    </row>
    <row r="7333" spans="1:20" x14ac:dyDescent="0.25">
      <c r="A7333">
        <v>9</v>
      </c>
      <c r="B7333">
        <v>199</v>
      </c>
      <c r="C7333" t="str">
        <f>"13"</f>
        <v>13</v>
      </c>
      <c r="D7333">
        <v>6411</v>
      </c>
      <c r="E7333" t="str">
        <f>"V8"</f>
        <v>V8</v>
      </c>
      <c r="F7333" t="str">
        <f>"001"</f>
        <v>001</v>
      </c>
      <c r="G7333">
        <v>9</v>
      </c>
      <c r="H7333" t="str">
        <f>"22"</f>
        <v>22</v>
      </c>
      <c r="I7333" t="str">
        <f t="shared" si="1624"/>
        <v>0</v>
      </c>
      <c r="J7333" t="str">
        <f>"22"</f>
        <v>22</v>
      </c>
      <c r="K7333">
        <v>20190712</v>
      </c>
      <c r="L7333" t="str">
        <f>"077427"</f>
        <v>077427</v>
      </c>
      <c r="M7333" t="str">
        <f>"82382"</f>
        <v>82382</v>
      </c>
      <c r="N7333" t="s">
        <v>5762</v>
      </c>
      <c r="O7333">
        <v>445</v>
      </c>
      <c r="P7333">
        <v>20190711</v>
      </c>
      <c r="Q7333" t="s">
        <v>5763</v>
      </c>
      <c r="R7333" t="s">
        <v>5764</v>
      </c>
      <c r="S7333" t="s">
        <v>1615</v>
      </c>
      <c r="T7333" t="s">
        <v>301</v>
      </c>
    </row>
    <row r="7334" spans="1:20" x14ac:dyDescent="0.25">
      <c r="A7334">
        <v>9</v>
      </c>
      <c r="B7334">
        <v>199</v>
      </c>
      <c r="C7334" t="str">
        <f>"13"</f>
        <v>13</v>
      </c>
      <c r="D7334">
        <v>6411</v>
      </c>
      <c r="E7334" t="str">
        <f>"V8"</f>
        <v>V8</v>
      </c>
      <c r="F7334" t="str">
        <f>"001"</f>
        <v>001</v>
      </c>
      <c r="G7334">
        <v>9</v>
      </c>
      <c r="H7334" t="str">
        <f>"22"</f>
        <v>22</v>
      </c>
      <c r="I7334" t="str">
        <f t="shared" si="1624"/>
        <v>0</v>
      </c>
      <c r="J7334" t="str">
        <f>"22"</f>
        <v>22</v>
      </c>
      <c r="K7334">
        <v>20190712</v>
      </c>
      <c r="L7334" t="str">
        <f>"077427"</f>
        <v>077427</v>
      </c>
      <c r="M7334" t="str">
        <f>"82382"</f>
        <v>82382</v>
      </c>
      <c r="N7334" t="s">
        <v>5762</v>
      </c>
      <c r="O7334">
        <v>300</v>
      </c>
      <c r="P7334">
        <v>20190711</v>
      </c>
      <c r="Q7334" t="s">
        <v>5763</v>
      </c>
      <c r="R7334" t="s">
        <v>5764</v>
      </c>
      <c r="S7334" t="s">
        <v>1615</v>
      </c>
      <c r="T7334" t="s">
        <v>301</v>
      </c>
    </row>
    <row r="7335" spans="1:20" x14ac:dyDescent="0.25">
      <c r="A7335">
        <v>9</v>
      </c>
      <c r="B7335">
        <v>199</v>
      </c>
      <c r="C7335" t="str">
        <f>"13"</f>
        <v>13</v>
      </c>
      <c r="D7335">
        <v>6411</v>
      </c>
      <c r="E7335" t="str">
        <f>"V8"</f>
        <v>V8</v>
      </c>
      <c r="F7335" t="str">
        <f>"001"</f>
        <v>001</v>
      </c>
      <c r="G7335">
        <v>9</v>
      </c>
      <c r="H7335" t="str">
        <f>"22"</f>
        <v>22</v>
      </c>
      <c r="I7335" t="str">
        <f t="shared" si="1624"/>
        <v>0</v>
      </c>
      <c r="J7335" t="str">
        <f>"22"</f>
        <v>22</v>
      </c>
      <c r="K7335">
        <v>20190712</v>
      </c>
      <c r="L7335" t="str">
        <f>"077427"</f>
        <v>077427</v>
      </c>
      <c r="M7335" t="str">
        <f>"82382"</f>
        <v>82382</v>
      </c>
      <c r="N7335" t="s">
        <v>5762</v>
      </c>
      <c r="O7335">
        <v>300</v>
      </c>
      <c r="P7335">
        <v>20190711</v>
      </c>
      <c r="Q7335" t="s">
        <v>5763</v>
      </c>
      <c r="R7335" t="s">
        <v>5764</v>
      </c>
      <c r="S7335" t="s">
        <v>1615</v>
      </c>
      <c r="T7335" t="s">
        <v>301</v>
      </c>
    </row>
    <row r="7336" spans="1:20" x14ac:dyDescent="0.25">
      <c r="A7336">
        <v>9</v>
      </c>
      <c r="B7336">
        <v>199</v>
      </c>
      <c r="C7336" t="str">
        <f>"36"</f>
        <v>36</v>
      </c>
      <c r="D7336">
        <v>6411</v>
      </c>
      <c r="E7336" t="str">
        <f>"V8"</f>
        <v>V8</v>
      </c>
      <c r="F7336" t="str">
        <f>"041"</f>
        <v>041</v>
      </c>
      <c r="G7336">
        <v>9</v>
      </c>
      <c r="H7336" t="str">
        <f>"99"</f>
        <v>99</v>
      </c>
      <c r="I7336" t="str">
        <f t="shared" si="1624"/>
        <v>0</v>
      </c>
      <c r="J7336" t="str">
        <f>"03"</f>
        <v>03</v>
      </c>
      <c r="K7336">
        <v>20190712</v>
      </c>
      <c r="L7336" t="str">
        <f>"077427"</f>
        <v>077427</v>
      </c>
      <c r="M7336" t="str">
        <f>"82382"</f>
        <v>82382</v>
      </c>
      <c r="N7336" t="s">
        <v>5762</v>
      </c>
      <c r="O7336">
        <v>300</v>
      </c>
      <c r="P7336">
        <v>20190711</v>
      </c>
      <c r="Q7336" t="s">
        <v>2610</v>
      </c>
      <c r="R7336" t="s">
        <v>5764</v>
      </c>
      <c r="S7336" t="s">
        <v>1615</v>
      </c>
      <c r="T7336" t="s">
        <v>106</v>
      </c>
    </row>
    <row r="7337" spans="1:20" x14ac:dyDescent="0.25">
      <c r="A7337">
        <v>9</v>
      </c>
      <c r="B7337">
        <v>199</v>
      </c>
      <c r="C7337" t="str">
        <f>"11"</f>
        <v>11</v>
      </c>
      <c r="D7337">
        <v>6399</v>
      </c>
      <c r="E7337" t="str">
        <f>"45"</f>
        <v>45</v>
      </c>
      <c r="F7337" t="str">
        <f>"101"</f>
        <v>101</v>
      </c>
      <c r="G7337">
        <v>9</v>
      </c>
      <c r="H7337" t="str">
        <f>"11"</f>
        <v>11</v>
      </c>
      <c r="I7337" t="str">
        <f t="shared" si="1624"/>
        <v>0</v>
      </c>
      <c r="J7337" t="str">
        <f>"04"</f>
        <v>04</v>
      </c>
      <c r="K7337">
        <v>20190712</v>
      </c>
      <c r="L7337" t="str">
        <f t="shared" ref="L7337:L7344" si="1628">"077428"</f>
        <v>077428</v>
      </c>
      <c r="M7337" t="str">
        <f t="shared" ref="M7337:M7344" si="1629">"83022"</f>
        <v>83022</v>
      </c>
      <c r="N7337" t="s">
        <v>691</v>
      </c>
      <c r="O7337">
        <v>19.98</v>
      </c>
      <c r="P7337">
        <v>20190711</v>
      </c>
      <c r="Q7337" t="s">
        <v>1859</v>
      </c>
      <c r="R7337" t="s">
        <v>2133</v>
      </c>
      <c r="S7337" t="s">
        <v>1615</v>
      </c>
      <c r="T7337" t="s">
        <v>1479</v>
      </c>
    </row>
    <row r="7338" spans="1:20" x14ac:dyDescent="0.25">
      <c r="A7338">
        <v>9</v>
      </c>
      <c r="B7338">
        <v>199</v>
      </c>
      <c r="C7338" t="str">
        <f>"11"</f>
        <v>11</v>
      </c>
      <c r="D7338">
        <v>6499</v>
      </c>
      <c r="E7338" t="str">
        <f>"00"</f>
        <v>00</v>
      </c>
      <c r="F7338" t="str">
        <f>"101"</f>
        <v>101</v>
      </c>
      <c r="G7338">
        <v>9</v>
      </c>
      <c r="H7338" t="str">
        <f>"11"</f>
        <v>11</v>
      </c>
      <c r="I7338" t="str">
        <f t="shared" si="1624"/>
        <v>0</v>
      </c>
      <c r="J7338" t="str">
        <f>"04"</f>
        <v>04</v>
      </c>
      <c r="K7338">
        <v>20190712</v>
      </c>
      <c r="L7338" t="str">
        <f t="shared" si="1628"/>
        <v>077428</v>
      </c>
      <c r="M7338" t="str">
        <f t="shared" si="1629"/>
        <v>83022</v>
      </c>
      <c r="N7338" t="s">
        <v>691</v>
      </c>
      <c r="O7338">
        <v>525</v>
      </c>
      <c r="P7338">
        <v>20190711</v>
      </c>
      <c r="Q7338" t="s">
        <v>5114</v>
      </c>
      <c r="R7338" t="s">
        <v>2641</v>
      </c>
      <c r="S7338" t="s">
        <v>1615</v>
      </c>
      <c r="T7338" t="s">
        <v>1479</v>
      </c>
    </row>
    <row r="7339" spans="1:20" x14ac:dyDescent="0.25">
      <c r="A7339">
        <v>9</v>
      </c>
      <c r="B7339">
        <v>199</v>
      </c>
      <c r="C7339" t="str">
        <f>"11"</f>
        <v>11</v>
      </c>
      <c r="D7339">
        <v>6499</v>
      </c>
      <c r="E7339" t="str">
        <f>"00"</f>
        <v>00</v>
      </c>
      <c r="F7339" t="str">
        <f>"101"</f>
        <v>101</v>
      </c>
      <c r="G7339">
        <v>9</v>
      </c>
      <c r="H7339" t="str">
        <f>"11"</f>
        <v>11</v>
      </c>
      <c r="I7339" t="str">
        <f t="shared" si="1624"/>
        <v>0</v>
      </c>
      <c r="J7339" t="str">
        <f>"04"</f>
        <v>04</v>
      </c>
      <c r="K7339">
        <v>20190712</v>
      </c>
      <c r="L7339" t="str">
        <f t="shared" si="1628"/>
        <v>077428</v>
      </c>
      <c r="M7339" t="str">
        <f t="shared" si="1629"/>
        <v>83022</v>
      </c>
      <c r="N7339" t="s">
        <v>691</v>
      </c>
      <c r="O7339" s="1">
        <v>1000</v>
      </c>
      <c r="P7339">
        <v>20190711</v>
      </c>
      <c r="Q7339" t="s">
        <v>5114</v>
      </c>
      <c r="R7339" t="s">
        <v>2641</v>
      </c>
      <c r="S7339" t="s">
        <v>1615</v>
      </c>
      <c r="T7339" t="s">
        <v>1479</v>
      </c>
    </row>
    <row r="7340" spans="1:20" x14ac:dyDescent="0.25">
      <c r="A7340">
        <v>9</v>
      </c>
      <c r="B7340">
        <v>199</v>
      </c>
      <c r="C7340" t="str">
        <f>"23"</f>
        <v>23</v>
      </c>
      <c r="D7340">
        <v>6399</v>
      </c>
      <c r="E7340" t="str">
        <f>"11"</f>
        <v>11</v>
      </c>
      <c r="F7340" t="str">
        <f>"041"</f>
        <v>041</v>
      </c>
      <c r="G7340">
        <v>9</v>
      </c>
      <c r="H7340" t="str">
        <f t="shared" ref="H7340:H7353" si="1630">"99"</f>
        <v>99</v>
      </c>
      <c r="I7340" t="str">
        <f t="shared" si="1624"/>
        <v>0</v>
      </c>
      <c r="J7340" t="str">
        <f>"03"</f>
        <v>03</v>
      </c>
      <c r="K7340">
        <v>20190712</v>
      </c>
      <c r="L7340" t="str">
        <f t="shared" si="1628"/>
        <v>077428</v>
      </c>
      <c r="M7340" t="str">
        <f t="shared" si="1629"/>
        <v>83022</v>
      </c>
      <c r="N7340" t="s">
        <v>691</v>
      </c>
      <c r="O7340">
        <v>123.8</v>
      </c>
      <c r="P7340">
        <v>20190711</v>
      </c>
      <c r="Q7340" t="s">
        <v>1955</v>
      </c>
      <c r="R7340" t="s">
        <v>641</v>
      </c>
      <c r="S7340" t="s">
        <v>1615</v>
      </c>
      <c r="T7340" t="s">
        <v>106</v>
      </c>
    </row>
    <row r="7341" spans="1:20" x14ac:dyDescent="0.25">
      <c r="A7341">
        <v>9</v>
      </c>
      <c r="B7341">
        <v>199</v>
      </c>
      <c r="C7341" t="str">
        <f>"23"</f>
        <v>23</v>
      </c>
      <c r="D7341">
        <v>6498</v>
      </c>
      <c r="E7341" t="str">
        <f>"10"</f>
        <v>10</v>
      </c>
      <c r="F7341" t="str">
        <f>"101"</f>
        <v>101</v>
      </c>
      <c r="G7341">
        <v>9</v>
      </c>
      <c r="H7341" t="str">
        <f t="shared" si="1630"/>
        <v>99</v>
      </c>
      <c r="I7341" t="str">
        <f t="shared" si="1624"/>
        <v>0</v>
      </c>
      <c r="J7341" t="str">
        <f>"04"</f>
        <v>04</v>
      </c>
      <c r="K7341">
        <v>20190712</v>
      </c>
      <c r="L7341" t="str">
        <f t="shared" si="1628"/>
        <v>077428</v>
      </c>
      <c r="M7341" t="str">
        <f t="shared" si="1629"/>
        <v>83022</v>
      </c>
      <c r="N7341" t="s">
        <v>691</v>
      </c>
      <c r="O7341">
        <v>131.88</v>
      </c>
      <c r="P7341">
        <v>20190711</v>
      </c>
      <c r="Q7341" t="s">
        <v>2139</v>
      </c>
      <c r="R7341" t="s">
        <v>5162</v>
      </c>
      <c r="S7341" t="s">
        <v>1615</v>
      </c>
      <c r="T7341" t="s">
        <v>1479</v>
      </c>
    </row>
    <row r="7342" spans="1:20" x14ac:dyDescent="0.25">
      <c r="A7342">
        <v>9</v>
      </c>
      <c r="B7342">
        <v>199</v>
      </c>
      <c r="C7342" t="str">
        <f>"23"</f>
        <v>23</v>
      </c>
      <c r="D7342">
        <v>6498</v>
      </c>
      <c r="E7342" t="str">
        <f>"99"</f>
        <v>99</v>
      </c>
      <c r="F7342" t="str">
        <f>"041"</f>
        <v>041</v>
      </c>
      <c r="G7342">
        <v>9</v>
      </c>
      <c r="H7342" t="str">
        <f t="shared" si="1630"/>
        <v>99</v>
      </c>
      <c r="I7342" t="str">
        <f t="shared" si="1624"/>
        <v>0</v>
      </c>
      <c r="J7342" t="str">
        <f>"03"</f>
        <v>03</v>
      </c>
      <c r="K7342">
        <v>20190712</v>
      </c>
      <c r="L7342" t="str">
        <f t="shared" si="1628"/>
        <v>077428</v>
      </c>
      <c r="M7342" t="str">
        <f t="shared" si="1629"/>
        <v>83022</v>
      </c>
      <c r="N7342" t="s">
        <v>691</v>
      </c>
      <c r="O7342">
        <v>23.52</v>
      </c>
      <c r="P7342">
        <v>20190711</v>
      </c>
      <c r="Q7342" t="s">
        <v>2140</v>
      </c>
      <c r="R7342" t="s">
        <v>5765</v>
      </c>
      <c r="S7342" t="s">
        <v>1615</v>
      </c>
      <c r="T7342" t="s">
        <v>106</v>
      </c>
    </row>
    <row r="7343" spans="1:20" x14ac:dyDescent="0.25">
      <c r="A7343">
        <v>9</v>
      </c>
      <c r="B7343">
        <v>199</v>
      </c>
      <c r="C7343" t="str">
        <f>"32"</f>
        <v>32</v>
      </c>
      <c r="D7343">
        <v>6399</v>
      </c>
      <c r="E7343" t="str">
        <f>"00"</f>
        <v>00</v>
      </c>
      <c r="F7343" t="str">
        <f>"999"</f>
        <v>999</v>
      </c>
      <c r="G7343">
        <v>9</v>
      </c>
      <c r="H7343" t="str">
        <f t="shared" si="1630"/>
        <v>99</v>
      </c>
      <c r="I7343" t="str">
        <f t="shared" si="1624"/>
        <v>0</v>
      </c>
      <c r="J7343" t="str">
        <f>"02"</f>
        <v>02</v>
      </c>
      <c r="K7343">
        <v>20190712</v>
      </c>
      <c r="L7343" t="str">
        <f t="shared" si="1628"/>
        <v>077428</v>
      </c>
      <c r="M7343" t="str">
        <f t="shared" si="1629"/>
        <v>83022</v>
      </c>
      <c r="N7343" t="s">
        <v>691</v>
      </c>
      <c r="O7343">
        <v>700</v>
      </c>
      <c r="P7343">
        <v>20190711</v>
      </c>
      <c r="Q7343" t="s">
        <v>5303</v>
      </c>
      <c r="R7343" t="s">
        <v>5766</v>
      </c>
      <c r="S7343" t="s">
        <v>1615</v>
      </c>
      <c r="T7343" t="s">
        <v>3622</v>
      </c>
    </row>
    <row r="7344" spans="1:20" x14ac:dyDescent="0.25">
      <c r="A7344">
        <v>9</v>
      </c>
      <c r="B7344">
        <v>199</v>
      </c>
      <c r="C7344" t="str">
        <f>"41"</f>
        <v>41</v>
      </c>
      <c r="D7344">
        <v>6399</v>
      </c>
      <c r="E7344" t="str">
        <f>"10"</f>
        <v>10</v>
      </c>
      <c r="F7344" t="str">
        <f>"730"</f>
        <v>730</v>
      </c>
      <c r="G7344">
        <v>9</v>
      </c>
      <c r="H7344" t="str">
        <f t="shared" si="1630"/>
        <v>99</v>
      </c>
      <c r="I7344" t="str">
        <f t="shared" si="1624"/>
        <v>0</v>
      </c>
      <c r="J7344" t="str">
        <f>"95"</f>
        <v>95</v>
      </c>
      <c r="K7344">
        <v>20190712</v>
      </c>
      <c r="L7344" t="str">
        <f t="shared" si="1628"/>
        <v>077428</v>
      </c>
      <c r="M7344" t="str">
        <f t="shared" si="1629"/>
        <v>83022</v>
      </c>
      <c r="N7344" t="s">
        <v>691</v>
      </c>
      <c r="O7344">
        <v>132.02000000000001</v>
      </c>
      <c r="P7344">
        <v>20190711</v>
      </c>
      <c r="Q7344" t="s">
        <v>1987</v>
      </c>
      <c r="R7344" t="s">
        <v>5426</v>
      </c>
      <c r="S7344" t="s">
        <v>1615</v>
      </c>
      <c r="T7344" t="s">
        <v>1794</v>
      </c>
    </row>
    <row r="7345" spans="1:20" x14ac:dyDescent="0.25">
      <c r="A7345">
        <v>9</v>
      </c>
      <c r="B7345">
        <v>199</v>
      </c>
      <c r="C7345" t="str">
        <f>"36"</f>
        <v>36</v>
      </c>
      <c r="D7345">
        <v>6499</v>
      </c>
      <c r="E7345" t="str">
        <f>"H2"</f>
        <v>H2</v>
      </c>
      <c r="F7345" t="str">
        <f>"001"</f>
        <v>001</v>
      </c>
      <c r="G7345">
        <v>9</v>
      </c>
      <c r="H7345" t="str">
        <f t="shared" si="1630"/>
        <v>99</v>
      </c>
      <c r="I7345" t="str">
        <f t="shared" si="1624"/>
        <v>0</v>
      </c>
      <c r="J7345" t="str">
        <f>"37"</f>
        <v>37</v>
      </c>
      <c r="K7345">
        <v>20190712</v>
      </c>
      <c r="L7345" t="str">
        <f>"077431"</f>
        <v>077431</v>
      </c>
      <c r="M7345" t="str">
        <f>"84370"</f>
        <v>84370</v>
      </c>
      <c r="N7345" t="s">
        <v>395</v>
      </c>
      <c r="O7345">
        <v>205.88</v>
      </c>
      <c r="P7345">
        <v>20190711</v>
      </c>
      <c r="Q7345" t="s">
        <v>2903</v>
      </c>
      <c r="R7345" t="s">
        <v>5767</v>
      </c>
      <c r="S7345" t="s">
        <v>1615</v>
      </c>
      <c r="T7345" t="s">
        <v>301</v>
      </c>
    </row>
    <row r="7346" spans="1:20" x14ac:dyDescent="0.25">
      <c r="A7346">
        <v>9</v>
      </c>
      <c r="B7346">
        <v>199</v>
      </c>
      <c r="C7346" t="str">
        <f>"34"</f>
        <v>34</v>
      </c>
      <c r="D7346">
        <v>6311</v>
      </c>
      <c r="E7346" t="str">
        <f>"10"</f>
        <v>10</v>
      </c>
      <c r="F7346" t="str">
        <f>"937"</f>
        <v>937</v>
      </c>
      <c r="G7346">
        <v>9</v>
      </c>
      <c r="H7346" t="str">
        <f t="shared" si="1630"/>
        <v>99</v>
      </c>
      <c r="I7346" t="str">
        <f t="shared" si="1624"/>
        <v>0</v>
      </c>
      <c r="J7346" t="str">
        <f>"82"</f>
        <v>82</v>
      </c>
      <c r="K7346">
        <v>20190717</v>
      </c>
      <c r="L7346" t="str">
        <f>"077433"</f>
        <v>077433</v>
      </c>
      <c r="M7346" t="str">
        <f>"00514"</f>
        <v>00514</v>
      </c>
      <c r="N7346" t="s">
        <v>5768</v>
      </c>
      <c r="O7346">
        <v>189.55</v>
      </c>
      <c r="P7346">
        <v>20190718</v>
      </c>
      <c r="Q7346" t="s">
        <v>1914</v>
      </c>
      <c r="R7346" t="s">
        <v>5769</v>
      </c>
      <c r="S7346" t="s">
        <v>1615</v>
      </c>
      <c r="T7346" t="s">
        <v>1810</v>
      </c>
    </row>
    <row r="7347" spans="1:20" x14ac:dyDescent="0.25">
      <c r="A7347">
        <v>9</v>
      </c>
      <c r="B7347">
        <v>199</v>
      </c>
      <c r="C7347" t="str">
        <f>"51"</f>
        <v>51</v>
      </c>
      <c r="D7347">
        <v>6249</v>
      </c>
      <c r="E7347" t="str">
        <f>"MC"</f>
        <v>MC</v>
      </c>
      <c r="F7347" t="str">
        <f>"041"</f>
        <v>041</v>
      </c>
      <c r="G7347">
        <v>9</v>
      </c>
      <c r="H7347" t="str">
        <f t="shared" si="1630"/>
        <v>99</v>
      </c>
      <c r="I7347" t="str">
        <f t="shared" si="1624"/>
        <v>0</v>
      </c>
      <c r="J7347" t="str">
        <f>"81"</f>
        <v>81</v>
      </c>
      <c r="K7347">
        <v>20190719</v>
      </c>
      <c r="L7347" t="str">
        <f>"077434"</f>
        <v>077434</v>
      </c>
      <c r="M7347" t="str">
        <f>"00216"</f>
        <v>00216</v>
      </c>
      <c r="N7347" t="s">
        <v>4801</v>
      </c>
      <c r="O7347" s="1">
        <v>3500</v>
      </c>
      <c r="P7347">
        <v>20190717</v>
      </c>
      <c r="Q7347" t="s">
        <v>1707</v>
      </c>
      <c r="R7347" t="s">
        <v>5770</v>
      </c>
      <c r="S7347" t="s">
        <v>1615</v>
      </c>
      <c r="T7347" t="s">
        <v>106</v>
      </c>
    </row>
    <row r="7348" spans="1:20" x14ac:dyDescent="0.25">
      <c r="A7348">
        <v>9</v>
      </c>
      <c r="B7348">
        <v>199</v>
      </c>
      <c r="C7348" t="str">
        <f>"41"</f>
        <v>41</v>
      </c>
      <c r="D7348">
        <v>6299</v>
      </c>
      <c r="E7348" t="str">
        <f>"10"</f>
        <v>10</v>
      </c>
      <c r="F7348" t="str">
        <f>"730"</f>
        <v>730</v>
      </c>
      <c r="G7348">
        <v>9</v>
      </c>
      <c r="H7348" t="str">
        <f t="shared" si="1630"/>
        <v>99</v>
      </c>
      <c r="I7348" t="str">
        <f t="shared" ref="I7348:I7379" si="1631">"0"</f>
        <v>0</v>
      </c>
      <c r="J7348" t="str">
        <f>"95"</f>
        <v>95</v>
      </c>
      <c r="K7348">
        <v>20190719</v>
      </c>
      <c r="L7348" t="str">
        <f>"077435"</f>
        <v>077435</v>
      </c>
      <c r="M7348" t="str">
        <f>"01530"</f>
        <v>01530</v>
      </c>
      <c r="N7348" t="s">
        <v>1672</v>
      </c>
      <c r="O7348">
        <v>71</v>
      </c>
      <c r="P7348">
        <v>20190717</v>
      </c>
      <c r="Q7348" t="s">
        <v>2434</v>
      </c>
      <c r="R7348" t="s">
        <v>5771</v>
      </c>
      <c r="S7348" t="s">
        <v>1615</v>
      </c>
      <c r="T7348" t="s">
        <v>1794</v>
      </c>
    </row>
    <row r="7349" spans="1:20" x14ac:dyDescent="0.25">
      <c r="A7349">
        <v>9</v>
      </c>
      <c r="B7349">
        <v>199</v>
      </c>
      <c r="C7349" t="str">
        <f>"41"</f>
        <v>41</v>
      </c>
      <c r="D7349">
        <v>6498</v>
      </c>
      <c r="E7349" t="str">
        <f>"10"</f>
        <v>10</v>
      </c>
      <c r="F7349" t="str">
        <f>"702"</f>
        <v>702</v>
      </c>
      <c r="G7349">
        <v>9</v>
      </c>
      <c r="H7349" t="str">
        <f t="shared" si="1630"/>
        <v>99</v>
      </c>
      <c r="I7349" t="str">
        <f t="shared" si="1631"/>
        <v>0</v>
      </c>
      <c r="J7349" t="str">
        <f>"93"</f>
        <v>93</v>
      </c>
      <c r="K7349">
        <v>20190719</v>
      </c>
      <c r="L7349" t="str">
        <f>"077436"</f>
        <v>077436</v>
      </c>
      <c r="M7349" t="str">
        <f>"06465"</f>
        <v>06465</v>
      </c>
      <c r="N7349" t="s">
        <v>5772</v>
      </c>
      <c r="O7349">
        <v>90</v>
      </c>
      <c r="P7349">
        <v>20190717</v>
      </c>
      <c r="Q7349" t="s">
        <v>2458</v>
      </c>
      <c r="R7349" t="s">
        <v>5773</v>
      </c>
      <c r="S7349" t="s">
        <v>1615</v>
      </c>
      <c r="T7349" t="s">
        <v>1611</v>
      </c>
    </row>
    <row r="7350" spans="1:20" x14ac:dyDescent="0.25">
      <c r="A7350">
        <v>9</v>
      </c>
      <c r="B7350">
        <v>199</v>
      </c>
      <c r="C7350" t="str">
        <f>"34"</f>
        <v>34</v>
      </c>
      <c r="D7350">
        <v>6249</v>
      </c>
      <c r="E7350" t="str">
        <f>"10"</f>
        <v>10</v>
      </c>
      <c r="F7350" t="str">
        <f>"937"</f>
        <v>937</v>
      </c>
      <c r="G7350">
        <v>9</v>
      </c>
      <c r="H7350" t="str">
        <f t="shared" si="1630"/>
        <v>99</v>
      </c>
      <c r="I7350" t="str">
        <f t="shared" si="1631"/>
        <v>0</v>
      </c>
      <c r="J7350" t="str">
        <f>"82"</f>
        <v>82</v>
      </c>
      <c r="K7350">
        <v>20190719</v>
      </c>
      <c r="L7350" t="str">
        <f>"077437"</f>
        <v>077437</v>
      </c>
      <c r="M7350" t="str">
        <f>"24208"</f>
        <v>24208</v>
      </c>
      <c r="N7350" t="s">
        <v>2356</v>
      </c>
      <c r="O7350">
        <v>65</v>
      </c>
      <c r="P7350">
        <v>20190717</v>
      </c>
      <c r="Q7350" t="s">
        <v>2036</v>
      </c>
      <c r="R7350" t="s">
        <v>5774</v>
      </c>
      <c r="S7350" t="s">
        <v>1615</v>
      </c>
      <c r="T7350" t="s">
        <v>1810</v>
      </c>
    </row>
    <row r="7351" spans="1:20" x14ac:dyDescent="0.25">
      <c r="A7351">
        <v>9</v>
      </c>
      <c r="B7351">
        <v>199</v>
      </c>
      <c r="C7351" t="str">
        <f>"23"</f>
        <v>23</v>
      </c>
      <c r="D7351">
        <v>6649</v>
      </c>
      <c r="E7351" t="str">
        <f>"00"</f>
        <v>00</v>
      </c>
      <c r="F7351" t="str">
        <f>"101"</f>
        <v>101</v>
      </c>
      <c r="G7351">
        <v>9</v>
      </c>
      <c r="H7351" t="str">
        <f t="shared" si="1630"/>
        <v>99</v>
      </c>
      <c r="I7351" t="str">
        <f t="shared" si="1631"/>
        <v>0</v>
      </c>
      <c r="J7351" t="str">
        <f>"04"</f>
        <v>04</v>
      </c>
      <c r="K7351">
        <v>20190719</v>
      </c>
      <c r="L7351" t="str">
        <f>"077438"</f>
        <v>077438</v>
      </c>
      <c r="M7351" t="str">
        <f>"00748"</f>
        <v>00748</v>
      </c>
      <c r="N7351" t="s">
        <v>5365</v>
      </c>
      <c r="O7351">
        <v>136</v>
      </c>
      <c r="P7351">
        <v>20190717</v>
      </c>
      <c r="Q7351" t="s">
        <v>5775</v>
      </c>
      <c r="R7351" t="s">
        <v>5776</v>
      </c>
      <c r="S7351" t="s">
        <v>1615</v>
      </c>
      <c r="T7351" t="s">
        <v>1479</v>
      </c>
    </row>
    <row r="7352" spans="1:20" x14ac:dyDescent="0.25">
      <c r="A7352">
        <v>9</v>
      </c>
      <c r="B7352">
        <v>199</v>
      </c>
      <c r="C7352" t="str">
        <f>"23"</f>
        <v>23</v>
      </c>
      <c r="D7352">
        <v>6649</v>
      </c>
      <c r="E7352" t="str">
        <f>"00"</f>
        <v>00</v>
      </c>
      <c r="F7352" t="str">
        <f>"101"</f>
        <v>101</v>
      </c>
      <c r="G7352">
        <v>9</v>
      </c>
      <c r="H7352" t="str">
        <f t="shared" si="1630"/>
        <v>99</v>
      </c>
      <c r="I7352" t="str">
        <f t="shared" si="1631"/>
        <v>0</v>
      </c>
      <c r="J7352" t="str">
        <f>"04"</f>
        <v>04</v>
      </c>
      <c r="K7352">
        <v>20190719</v>
      </c>
      <c r="L7352" t="str">
        <f>"077438"</f>
        <v>077438</v>
      </c>
      <c r="M7352" t="str">
        <f>"00748"</f>
        <v>00748</v>
      </c>
      <c r="N7352" t="s">
        <v>5365</v>
      </c>
      <c r="O7352">
        <v>991.13</v>
      </c>
      <c r="P7352">
        <v>20190717</v>
      </c>
      <c r="Q7352" t="s">
        <v>5775</v>
      </c>
      <c r="R7352" t="s">
        <v>5777</v>
      </c>
      <c r="S7352" t="s">
        <v>1615</v>
      </c>
      <c r="T7352" t="s">
        <v>1479</v>
      </c>
    </row>
    <row r="7353" spans="1:20" x14ac:dyDescent="0.25">
      <c r="A7353">
        <v>9</v>
      </c>
      <c r="B7353">
        <v>199</v>
      </c>
      <c r="C7353" t="str">
        <f>"34"</f>
        <v>34</v>
      </c>
      <c r="D7353">
        <v>6249</v>
      </c>
      <c r="E7353" t="str">
        <f>"10"</f>
        <v>10</v>
      </c>
      <c r="F7353" t="str">
        <f>"937"</f>
        <v>937</v>
      </c>
      <c r="G7353">
        <v>9</v>
      </c>
      <c r="H7353" t="str">
        <f t="shared" si="1630"/>
        <v>99</v>
      </c>
      <c r="I7353" t="str">
        <f t="shared" si="1631"/>
        <v>0</v>
      </c>
      <c r="J7353" t="str">
        <f>"82"</f>
        <v>82</v>
      </c>
      <c r="K7353">
        <v>20190719</v>
      </c>
      <c r="L7353" t="str">
        <f>"077438"</f>
        <v>077438</v>
      </c>
      <c r="M7353" t="str">
        <f>"00748"</f>
        <v>00748</v>
      </c>
      <c r="N7353" t="s">
        <v>5365</v>
      </c>
      <c r="O7353" s="1">
        <v>1360</v>
      </c>
      <c r="P7353">
        <v>20190717</v>
      </c>
      <c r="Q7353" t="s">
        <v>2036</v>
      </c>
      <c r="R7353" t="s">
        <v>5778</v>
      </c>
      <c r="S7353" t="s">
        <v>1615</v>
      </c>
      <c r="T7353" t="s">
        <v>1810</v>
      </c>
    </row>
    <row r="7354" spans="1:20" x14ac:dyDescent="0.25">
      <c r="A7354">
        <v>9</v>
      </c>
      <c r="B7354">
        <v>199</v>
      </c>
      <c r="C7354" t="str">
        <f>"11"</f>
        <v>11</v>
      </c>
      <c r="D7354">
        <v>6249</v>
      </c>
      <c r="E7354" t="str">
        <f>"8M"</f>
        <v>8M</v>
      </c>
      <c r="F7354" t="str">
        <f>"001"</f>
        <v>001</v>
      </c>
      <c r="G7354">
        <v>9</v>
      </c>
      <c r="H7354" t="str">
        <f>"11"</f>
        <v>11</v>
      </c>
      <c r="I7354" t="str">
        <f t="shared" si="1631"/>
        <v>0</v>
      </c>
      <c r="J7354" t="str">
        <f>"33"</f>
        <v>33</v>
      </c>
      <c r="K7354">
        <v>20190719</v>
      </c>
      <c r="L7354" t="str">
        <f>"077442"</f>
        <v>077442</v>
      </c>
      <c r="M7354" t="str">
        <f>"00115"</f>
        <v>00115</v>
      </c>
      <c r="N7354" t="s">
        <v>5779</v>
      </c>
      <c r="O7354" s="1">
        <v>1059.5</v>
      </c>
      <c r="P7354">
        <v>20190717</v>
      </c>
      <c r="Q7354" t="s">
        <v>3206</v>
      </c>
      <c r="R7354" t="s">
        <v>5780</v>
      </c>
      <c r="S7354" t="s">
        <v>1615</v>
      </c>
      <c r="T7354" t="s">
        <v>301</v>
      </c>
    </row>
    <row r="7355" spans="1:20" x14ac:dyDescent="0.25">
      <c r="A7355">
        <v>9</v>
      </c>
      <c r="B7355">
        <v>199</v>
      </c>
      <c r="C7355" t="str">
        <f>"21"</f>
        <v>21</v>
      </c>
      <c r="D7355">
        <v>6499</v>
      </c>
      <c r="E7355" t="str">
        <f>"00"</f>
        <v>00</v>
      </c>
      <c r="F7355" t="str">
        <f>"875"</f>
        <v>875</v>
      </c>
      <c r="G7355">
        <v>9</v>
      </c>
      <c r="H7355" t="str">
        <f>"23"</f>
        <v>23</v>
      </c>
      <c r="I7355" t="str">
        <f t="shared" si="1631"/>
        <v>0</v>
      </c>
      <c r="J7355" t="str">
        <f>"23"</f>
        <v>23</v>
      </c>
      <c r="K7355">
        <v>20190719</v>
      </c>
      <c r="L7355" t="str">
        <f>"077443"</f>
        <v>077443</v>
      </c>
      <c r="M7355" t="str">
        <f>"21860"</f>
        <v>21860</v>
      </c>
      <c r="N7355" t="s">
        <v>3860</v>
      </c>
      <c r="O7355">
        <v>248.35</v>
      </c>
      <c r="P7355">
        <v>20190717</v>
      </c>
      <c r="Q7355" t="s">
        <v>5548</v>
      </c>
      <c r="R7355" t="s">
        <v>5781</v>
      </c>
      <c r="S7355" t="s">
        <v>1615</v>
      </c>
      <c r="T7355" t="s">
        <v>2041</v>
      </c>
    </row>
    <row r="7356" spans="1:20" x14ac:dyDescent="0.25">
      <c r="A7356">
        <v>9</v>
      </c>
      <c r="B7356">
        <v>199</v>
      </c>
      <c r="C7356" t="str">
        <f>"21"</f>
        <v>21</v>
      </c>
      <c r="D7356">
        <v>6499</v>
      </c>
      <c r="E7356" t="str">
        <f>"10"</f>
        <v>10</v>
      </c>
      <c r="F7356" t="str">
        <f>"871"</f>
        <v>871</v>
      </c>
      <c r="G7356">
        <v>9</v>
      </c>
      <c r="H7356" t="str">
        <f t="shared" ref="H7356:H7363" si="1632">"99"</f>
        <v>99</v>
      </c>
      <c r="I7356" t="str">
        <f t="shared" si="1631"/>
        <v>0</v>
      </c>
      <c r="J7356" t="str">
        <f>"94"</f>
        <v>94</v>
      </c>
      <c r="K7356">
        <v>20190719</v>
      </c>
      <c r="L7356" t="str">
        <f>"077443"</f>
        <v>077443</v>
      </c>
      <c r="M7356" t="str">
        <f>"21860"</f>
        <v>21860</v>
      </c>
      <c r="N7356" t="s">
        <v>3860</v>
      </c>
      <c r="O7356">
        <v>82.6</v>
      </c>
      <c r="P7356">
        <v>20190717</v>
      </c>
      <c r="Q7356" t="s">
        <v>5782</v>
      </c>
      <c r="R7356" t="s">
        <v>5783</v>
      </c>
      <c r="S7356" t="s">
        <v>1615</v>
      </c>
      <c r="T7356" t="s">
        <v>1932</v>
      </c>
    </row>
    <row r="7357" spans="1:20" x14ac:dyDescent="0.25">
      <c r="A7357">
        <v>9</v>
      </c>
      <c r="B7357">
        <v>199</v>
      </c>
      <c r="C7357" t="str">
        <f>"41"</f>
        <v>41</v>
      </c>
      <c r="D7357">
        <v>6499</v>
      </c>
      <c r="E7357" t="str">
        <f>"11"</f>
        <v>11</v>
      </c>
      <c r="F7357" t="str">
        <f>"730"</f>
        <v>730</v>
      </c>
      <c r="G7357">
        <v>9</v>
      </c>
      <c r="H7357" t="str">
        <f t="shared" si="1632"/>
        <v>99</v>
      </c>
      <c r="I7357" t="str">
        <f t="shared" si="1631"/>
        <v>0</v>
      </c>
      <c r="J7357" t="str">
        <f>"95"</f>
        <v>95</v>
      </c>
      <c r="K7357">
        <v>20190719</v>
      </c>
      <c r="L7357" t="str">
        <f>"077443"</f>
        <v>077443</v>
      </c>
      <c r="M7357" t="str">
        <f>"21860"</f>
        <v>21860</v>
      </c>
      <c r="N7357" t="s">
        <v>3860</v>
      </c>
      <c r="O7357">
        <v>248.35</v>
      </c>
      <c r="P7357">
        <v>20190717</v>
      </c>
      <c r="Q7357" t="s">
        <v>4993</v>
      </c>
      <c r="R7357" t="s">
        <v>5781</v>
      </c>
      <c r="S7357" t="s">
        <v>1615</v>
      </c>
      <c r="T7357" t="s">
        <v>1794</v>
      </c>
    </row>
    <row r="7358" spans="1:20" x14ac:dyDescent="0.25">
      <c r="A7358">
        <v>9</v>
      </c>
      <c r="B7358">
        <v>199</v>
      </c>
      <c r="C7358" t="str">
        <f t="shared" ref="C7358:C7363" si="1633">"51"</f>
        <v>51</v>
      </c>
      <c r="D7358">
        <v>6249</v>
      </c>
      <c r="E7358" t="str">
        <f>"MC"</f>
        <v>MC</v>
      </c>
      <c r="F7358" t="str">
        <f>"001"</f>
        <v>001</v>
      </c>
      <c r="G7358">
        <v>9</v>
      </c>
      <c r="H7358" t="str">
        <f t="shared" si="1632"/>
        <v>99</v>
      </c>
      <c r="I7358" t="str">
        <f t="shared" si="1631"/>
        <v>0</v>
      </c>
      <c r="J7358" t="str">
        <f t="shared" ref="J7358:J7363" si="1634">"81"</f>
        <v>81</v>
      </c>
      <c r="K7358">
        <v>20190719</v>
      </c>
      <c r="L7358" t="str">
        <f>"077444"</f>
        <v>077444</v>
      </c>
      <c r="M7358" t="str">
        <f>"24130"</f>
        <v>24130</v>
      </c>
      <c r="N7358" t="s">
        <v>567</v>
      </c>
      <c r="O7358" s="1">
        <v>2300</v>
      </c>
      <c r="P7358">
        <v>20190717</v>
      </c>
      <c r="Q7358" t="s">
        <v>2386</v>
      </c>
      <c r="R7358" t="s">
        <v>5784</v>
      </c>
      <c r="S7358" t="s">
        <v>1615</v>
      </c>
      <c r="T7358" t="s">
        <v>301</v>
      </c>
    </row>
    <row r="7359" spans="1:20" x14ac:dyDescent="0.25">
      <c r="A7359">
        <v>9</v>
      </c>
      <c r="B7359">
        <v>199</v>
      </c>
      <c r="C7359" t="str">
        <f t="shared" si="1633"/>
        <v>51</v>
      </c>
      <c r="D7359">
        <v>6249</v>
      </c>
      <c r="E7359" t="str">
        <f>"MC"</f>
        <v>MC</v>
      </c>
      <c r="F7359" t="str">
        <f>"001"</f>
        <v>001</v>
      </c>
      <c r="G7359">
        <v>9</v>
      </c>
      <c r="H7359" t="str">
        <f t="shared" si="1632"/>
        <v>99</v>
      </c>
      <c r="I7359" t="str">
        <f t="shared" si="1631"/>
        <v>0</v>
      </c>
      <c r="J7359" t="str">
        <f t="shared" si="1634"/>
        <v>81</v>
      </c>
      <c r="K7359">
        <v>20190719</v>
      </c>
      <c r="L7359" t="str">
        <f>"077444"</f>
        <v>077444</v>
      </c>
      <c r="M7359" t="str">
        <f>"24130"</f>
        <v>24130</v>
      </c>
      <c r="N7359" t="s">
        <v>567</v>
      </c>
      <c r="O7359">
        <v>798</v>
      </c>
      <c r="P7359">
        <v>20190717</v>
      </c>
      <c r="Q7359" t="s">
        <v>2386</v>
      </c>
      <c r="R7359" t="s">
        <v>5785</v>
      </c>
      <c r="S7359" t="s">
        <v>1615</v>
      </c>
      <c r="T7359" t="s">
        <v>301</v>
      </c>
    </row>
    <row r="7360" spans="1:20" x14ac:dyDescent="0.25">
      <c r="A7360">
        <v>9</v>
      </c>
      <c r="B7360">
        <v>199</v>
      </c>
      <c r="C7360" t="str">
        <f t="shared" si="1633"/>
        <v>51</v>
      </c>
      <c r="D7360">
        <v>6249</v>
      </c>
      <c r="E7360" t="str">
        <f>"MC"</f>
        <v>MC</v>
      </c>
      <c r="F7360" t="str">
        <f>"001"</f>
        <v>001</v>
      </c>
      <c r="G7360">
        <v>9</v>
      </c>
      <c r="H7360" t="str">
        <f t="shared" si="1632"/>
        <v>99</v>
      </c>
      <c r="I7360" t="str">
        <f t="shared" si="1631"/>
        <v>0</v>
      </c>
      <c r="J7360" t="str">
        <f t="shared" si="1634"/>
        <v>81</v>
      </c>
      <c r="K7360">
        <v>20190719</v>
      </c>
      <c r="L7360" t="str">
        <f>"077444"</f>
        <v>077444</v>
      </c>
      <c r="M7360" t="str">
        <f>"24130"</f>
        <v>24130</v>
      </c>
      <c r="N7360" t="s">
        <v>567</v>
      </c>
      <c r="O7360" s="1">
        <v>5709</v>
      </c>
      <c r="P7360">
        <v>20190718</v>
      </c>
      <c r="Q7360" t="s">
        <v>2386</v>
      </c>
      <c r="R7360" t="s">
        <v>5786</v>
      </c>
      <c r="S7360" t="s">
        <v>1615</v>
      </c>
      <c r="T7360" t="s">
        <v>301</v>
      </c>
    </row>
    <row r="7361" spans="1:20" x14ac:dyDescent="0.25">
      <c r="A7361">
        <v>9</v>
      </c>
      <c r="B7361">
        <v>199</v>
      </c>
      <c r="C7361" t="str">
        <f t="shared" si="1633"/>
        <v>51</v>
      </c>
      <c r="D7361">
        <v>6249</v>
      </c>
      <c r="E7361" t="str">
        <f>"MC"</f>
        <v>MC</v>
      </c>
      <c r="F7361" t="str">
        <f>"041"</f>
        <v>041</v>
      </c>
      <c r="G7361">
        <v>9</v>
      </c>
      <c r="H7361" t="str">
        <f t="shared" si="1632"/>
        <v>99</v>
      </c>
      <c r="I7361" t="str">
        <f t="shared" si="1631"/>
        <v>0</v>
      </c>
      <c r="J7361" t="str">
        <f t="shared" si="1634"/>
        <v>81</v>
      </c>
      <c r="K7361">
        <v>20190719</v>
      </c>
      <c r="L7361" t="str">
        <f>"077444"</f>
        <v>077444</v>
      </c>
      <c r="M7361" t="str">
        <f>"24130"</f>
        <v>24130</v>
      </c>
      <c r="N7361" t="s">
        <v>567</v>
      </c>
      <c r="O7361" s="1">
        <v>1549</v>
      </c>
      <c r="P7361">
        <v>20190717</v>
      </c>
      <c r="Q7361" t="s">
        <v>1707</v>
      </c>
      <c r="R7361" t="s">
        <v>5787</v>
      </c>
      <c r="S7361" t="s">
        <v>1615</v>
      </c>
      <c r="T7361" t="s">
        <v>106</v>
      </c>
    </row>
    <row r="7362" spans="1:20" x14ac:dyDescent="0.25">
      <c r="A7362">
        <v>9</v>
      </c>
      <c r="B7362">
        <v>199</v>
      </c>
      <c r="C7362" t="str">
        <f t="shared" si="1633"/>
        <v>51</v>
      </c>
      <c r="D7362">
        <v>6249</v>
      </c>
      <c r="E7362" t="str">
        <f>"MC"</f>
        <v>MC</v>
      </c>
      <c r="F7362" t="str">
        <f>"935"</f>
        <v>935</v>
      </c>
      <c r="G7362">
        <v>9</v>
      </c>
      <c r="H7362" t="str">
        <f t="shared" si="1632"/>
        <v>99</v>
      </c>
      <c r="I7362" t="str">
        <f t="shared" si="1631"/>
        <v>0</v>
      </c>
      <c r="J7362" t="str">
        <f t="shared" si="1634"/>
        <v>81</v>
      </c>
      <c r="K7362">
        <v>20190719</v>
      </c>
      <c r="L7362" t="str">
        <f>"077444"</f>
        <v>077444</v>
      </c>
      <c r="M7362" t="str">
        <f>"24130"</f>
        <v>24130</v>
      </c>
      <c r="N7362" t="s">
        <v>567</v>
      </c>
      <c r="O7362">
        <v>753.21</v>
      </c>
      <c r="P7362">
        <v>20190718</v>
      </c>
      <c r="Q7362" t="s">
        <v>1875</v>
      </c>
      <c r="R7362" t="s">
        <v>5788</v>
      </c>
      <c r="S7362" t="s">
        <v>1615</v>
      </c>
      <c r="T7362" t="s">
        <v>1876</v>
      </c>
    </row>
    <row r="7363" spans="1:20" x14ac:dyDescent="0.25">
      <c r="A7363">
        <v>9</v>
      </c>
      <c r="B7363">
        <v>199</v>
      </c>
      <c r="C7363" t="str">
        <f t="shared" si="1633"/>
        <v>51</v>
      </c>
      <c r="D7363">
        <v>6396</v>
      </c>
      <c r="E7363" t="str">
        <f>"10"</f>
        <v>10</v>
      </c>
      <c r="F7363" t="str">
        <f>"936"</f>
        <v>936</v>
      </c>
      <c r="G7363">
        <v>9</v>
      </c>
      <c r="H7363" t="str">
        <f t="shared" si="1632"/>
        <v>99</v>
      </c>
      <c r="I7363" t="str">
        <f t="shared" si="1631"/>
        <v>0</v>
      </c>
      <c r="J7363" t="str">
        <f t="shared" si="1634"/>
        <v>81</v>
      </c>
      <c r="K7363">
        <v>20190719</v>
      </c>
      <c r="L7363" t="str">
        <f>"077446"</f>
        <v>077446</v>
      </c>
      <c r="M7363" t="str">
        <f>"65807"</f>
        <v>65807</v>
      </c>
      <c r="N7363" t="s">
        <v>1710</v>
      </c>
      <c r="O7363" s="1">
        <v>5604.7</v>
      </c>
      <c r="P7363">
        <v>20190717</v>
      </c>
      <c r="Q7363" t="s">
        <v>1711</v>
      </c>
      <c r="R7363" t="s">
        <v>5789</v>
      </c>
      <c r="S7363" t="s">
        <v>1615</v>
      </c>
      <c r="T7363" t="s">
        <v>1713</v>
      </c>
    </row>
    <row r="7364" spans="1:20" x14ac:dyDescent="0.25">
      <c r="A7364">
        <v>9</v>
      </c>
      <c r="B7364">
        <v>199</v>
      </c>
      <c r="C7364" t="str">
        <f>"13"</f>
        <v>13</v>
      </c>
      <c r="D7364">
        <v>6411</v>
      </c>
      <c r="E7364" t="str">
        <f>"VJ"</f>
        <v>VJ</v>
      </c>
      <c r="F7364" t="str">
        <f>"001"</f>
        <v>001</v>
      </c>
      <c r="G7364">
        <v>9</v>
      </c>
      <c r="H7364" t="str">
        <f>"22"</f>
        <v>22</v>
      </c>
      <c r="I7364" t="str">
        <f t="shared" si="1631"/>
        <v>0</v>
      </c>
      <c r="J7364" t="str">
        <f>"22"</f>
        <v>22</v>
      </c>
      <c r="K7364">
        <v>20190719</v>
      </c>
      <c r="L7364" t="str">
        <f>"077447"</f>
        <v>077447</v>
      </c>
      <c r="M7364" t="str">
        <f>"27900"</f>
        <v>27900</v>
      </c>
      <c r="N7364" t="s">
        <v>1490</v>
      </c>
      <c r="O7364">
        <v>330</v>
      </c>
      <c r="P7364">
        <v>20190717</v>
      </c>
      <c r="Q7364" t="s">
        <v>5790</v>
      </c>
      <c r="R7364" t="s">
        <v>1592</v>
      </c>
      <c r="S7364" t="s">
        <v>1615</v>
      </c>
      <c r="T7364" t="s">
        <v>301</v>
      </c>
    </row>
    <row r="7365" spans="1:20" x14ac:dyDescent="0.25">
      <c r="A7365">
        <v>9</v>
      </c>
      <c r="B7365">
        <v>199</v>
      </c>
      <c r="C7365" t="str">
        <f>"34"</f>
        <v>34</v>
      </c>
      <c r="D7365">
        <v>6411</v>
      </c>
      <c r="E7365" t="str">
        <f>"10"</f>
        <v>10</v>
      </c>
      <c r="F7365" t="str">
        <f>"937"</f>
        <v>937</v>
      </c>
      <c r="G7365">
        <v>9</v>
      </c>
      <c r="H7365" t="str">
        <f t="shared" ref="H7365:H7391" si="1635">"99"</f>
        <v>99</v>
      </c>
      <c r="I7365" t="str">
        <f t="shared" si="1631"/>
        <v>0</v>
      </c>
      <c r="J7365" t="str">
        <f>"82"</f>
        <v>82</v>
      </c>
      <c r="K7365">
        <v>20190719</v>
      </c>
      <c r="L7365" t="str">
        <f>"077447"</f>
        <v>077447</v>
      </c>
      <c r="M7365" t="str">
        <f>"27900"</f>
        <v>27900</v>
      </c>
      <c r="N7365" t="s">
        <v>1490</v>
      </c>
      <c r="O7365">
        <v>120</v>
      </c>
      <c r="P7365">
        <v>20190717</v>
      </c>
      <c r="Q7365" t="s">
        <v>2604</v>
      </c>
      <c r="R7365" t="s">
        <v>5791</v>
      </c>
      <c r="S7365" t="s">
        <v>1615</v>
      </c>
      <c r="T7365" t="s">
        <v>1810</v>
      </c>
    </row>
    <row r="7366" spans="1:20" x14ac:dyDescent="0.25">
      <c r="A7366">
        <v>9</v>
      </c>
      <c r="B7366">
        <v>199</v>
      </c>
      <c r="C7366" t="str">
        <f>"34"</f>
        <v>34</v>
      </c>
      <c r="D7366">
        <v>6411</v>
      </c>
      <c r="E7366" t="str">
        <f>"10"</f>
        <v>10</v>
      </c>
      <c r="F7366" t="str">
        <f>"937"</f>
        <v>937</v>
      </c>
      <c r="G7366">
        <v>9</v>
      </c>
      <c r="H7366" t="str">
        <f t="shared" si="1635"/>
        <v>99</v>
      </c>
      <c r="I7366" t="str">
        <f t="shared" si="1631"/>
        <v>0</v>
      </c>
      <c r="J7366" t="str">
        <f>"82"</f>
        <v>82</v>
      </c>
      <c r="K7366">
        <v>20190719</v>
      </c>
      <c r="L7366" t="str">
        <f>"077447"</f>
        <v>077447</v>
      </c>
      <c r="M7366" t="str">
        <f>"27900"</f>
        <v>27900</v>
      </c>
      <c r="N7366" t="s">
        <v>1490</v>
      </c>
      <c r="O7366">
        <v>240</v>
      </c>
      <c r="P7366">
        <v>20190717</v>
      </c>
      <c r="Q7366" t="s">
        <v>2604</v>
      </c>
      <c r="R7366" t="s">
        <v>5792</v>
      </c>
      <c r="S7366" t="s">
        <v>1615</v>
      </c>
      <c r="T7366" t="s">
        <v>1810</v>
      </c>
    </row>
    <row r="7367" spans="1:20" x14ac:dyDescent="0.25">
      <c r="A7367">
        <v>9</v>
      </c>
      <c r="B7367">
        <v>199</v>
      </c>
      <c r="C7367" t="str">
        <f>"34"</f>
        <v>34</v>
      </c>
      <c r="D7367">
        <v>6411</v>
      </c>
      <c r="E7367" t="str">
        <f>"10"</f>
        <v>10</v>
      </c>
      <c r="F7367" t="str">
        <f>"937"</f>
        <v>937</v>
      </c>
      <c r="G7367">
        <v>9</v>
      </c>
      <c r="H7367" t="str">
        <f t="shared" si="1635"/>
        <v>99</v>
      </c>
      <c r="I7367" t="str">
        <f t="shared" si="1631"/>
        <v>0</v>
      </c>
      <c r="J7367" t="str">
        <f>"82"</f>
        <v>82</v>
      </c>
      <c r="K7367">
        <v>20190719</v>
      </c>
      <c r="L7367" t="str">
        <f>"077447"</f>
        <v>077447</v>
      </c>
      <c r="M7367" t="str">
        <f>"27900"</f>
        <v>27900</v>
      </c>
      <c r="N7367" t="s">
        <v>1490</v>
      </c>
      <c r="O7367">
        <v>120</v>
      </c>
      <c r="P7367">
        <v>20190717</v>
      </c>
      <c r="Q7367" t="s">
        <v>2604</v>
      </c>
      <c r="R7367" t="s">
        <v>5792</v>
      </c>
      <c r="S7367" t="s">
        <v>1615</v>
      </c>
      <c r="T7367" t="s">
        <v>1810</v>
      </c>
    </row>
    <row r="7368" spans="1:20" x14ac:dyDescent="0.25">
      <c r="A7368">
        <v>9</v>
      </c>
      <c r="B7368">
        <v>199</v>
      </c>
      <c r="C7368" t="str">
        <f>"41"</f>
        <v>41</v>
      </c>
      <c r="D7368">
        <v>6495</v>
      </c>
      <c r="E7368" t="str">
        <f>"11"</f>
        <v>11</v>
      </c>
      <c r="F7368" t="str">
        <f>"701"</f>
        <v>701</v>
      </c>
      <c r="G7368">
        <v>9</v>
      </c>
      <c r="H7368" t="str">
        <f t="shared" si="1635"/>
        <v>99</v>
      </c>
      <c r="I7368" t="str">
        <f t="shared" si="1631"/>
        <v>0</v>
      </c>
      <c r="J7368" t="str">
        <f>"92"</f>
        <v>92</v>
      </c>
      <c r="K7368">
        <v>20190719</v>
      </c>
      <c r="L7368" t="str">
        <f>"077447"</f>
        <v>077447</v>
      </c>
      <c r="M7368" t="str">
        <f>"27900"</f>
        <v>27900</v>
      </c>
      <c r="N7368" t="s">
        <v>1490</v>
      </c>
      <c r="O7368">
        <v>200</v>
      </c>
      <c r="P7368">
        <v>20190717</v>
      </c>
      <c r="Q7368" t="s">
        <v>1839</v>
      </c>
      <c r="R7368" t="s">
        <v>5793</v>
      </c>
      <c r="S7368" t="s">
        <v>1615</v>
      </c>
      <c r="T7368" t="s">
        <v>1841</v>
      </c>
    </row>
    <row r="7369" spans="1:20" x14ac:dyDescent="0.25">
      <c r="A7369">
        <v>9</v>
      </c>
      <c r="B7369">
        <v>199</v>
      </c>
      <c r="C7369" t="str">
        <f t="shared" ref="C7369:C7390" si="1636">"51"</f>
        <v>51</v>
      </c>
      <c r="D7369">
        <v>6249</v>
      </c>
      <c r="E7369" t="str">
        <f t="shared" ref="E7369:E7390" si="1637">"WF"</f>
        <v>WF</v>
      </c>
      <c r="F7369" t="str">
        <f t="shared" ref="F7369:F7390" si="1638">"936"</f>
        <v>936</v>
      </c>
      <c r="G7369">
        <v>9</v>
      </c>
      <c r="H7369" t="str">
        <f t="shared" si="1635"/>
        <v>99</v>
      </c>
      <c r="I7369" t="str">
        <f t="shared" si="1631"/>
        <v>0</v>
      </c>
      <c r="J7369" t="str">
        <f t="shared" ref="J7369:J7390" si="1639">"82"</f>
        <v>82</v>
      </c>
      <c r="K7369">
        <v>20190719</v>
      </c>
      <c r="L7369" t="str">
        <f t="shared" ref="L7369:L7390" si="1640">"077450"</f>
        <v>077450</v>
      </c>
      <c r="M7369" t="str">
        <f t="shared" ref="M7369:M7390" si="1641">"06470"</f>
        <v>06470</v>
      </c>
      <c r="N7369" t="s">
        <v>3144</v>
      </c>
      <c r="O7369">
        <v>117.61</v>
      </c>
      <c r="P7369">
        <v>20190718</v>
      </c>
      <c r="Q7369" t="s">
        <v>2127</v>
      </c>
      <c r="R7369" t="s">
        <v>5794</v>
      </c>
      <c r="S7369" t="s">
        <v>1615</v>
      </c>
      <c r="T7369" t="s">
        <v>1713</v>
      </c>
    </row>
    <row r="7370" spans="1:20" x14ac:dyDescent="0.25">
      <c r="A7370">
        <v>9</v>
      </c>
      <c r="B7370">
        <v>199</v>
      </c>
      <c r="C7370" t="str">
        <f t="shared" si="1636"/>
        <v>51</v>
      </c>
      <c r="D7370">
        <v>6249</v>
      </c>
      <c r="E7370" t="str">
        <f t="shared" si="1637"/>
        <v>WF</v>
      </c>
      <c r="F7370" t="str">
        <f t="shared" si="1638"/>
        <v>936</v>
      </c>
      <c r="G7370">
        <v>9</v>
      </c>
      <c r="H7370" t="str">
        <f t="shared" si="1635"/>
        <v>99</v>
      </c>
      <c r="I7370" t="str">
        <f t="shared" si="1631"/>
        <v>0</v>
      </c>
      <c r="J7370" t="str">
        <f t="shared" si="1639"/>
        <v>82</v>
      </c>
      <c r="K7370">
        <v>20190719</v>
      </c>
      <c r="L7370" t="str">
        <f t="shared" si="1640"/>
        <v>077450</v>
      </c>
      <c r="M7370" t="str">
        <f t="shared" si="1641"/>
        <v>06470</v>
      </c>
      <c r="N7370" t="s">
        <v>3144</v>
      </c>
      <c r="O7370">
        <v>63.48</v>
      </c>
      <c r="P7370">
        <v>20190718</v>
      </c>
      <c r="Q7370" t="s">
        <v>2127</v>
      </c>
      <c r="R7370" t="s">
        <v>5795</v>
      </c>
      <c r="S7370" t="s">
        <v>1615</v>
      </c>
      <c r="T7370" t="s">
        <v>1713</v>
      </c>
    </row>
    <row r="7371" spans="1:20" x14ac:dyDescent="0.25">
      <c r="A7371">
        <v>9</v>
      </c>
      <c r="B7371">
        <v>199</v>
      </c>
      <c r="C7371" t="str">
        <f t="shared" si="1636"/>
        <v>51</v>
      </c>
      <c r="D7371">
        <v>6249</v>
      </c>
      <c r="E7371" t="str">
        <f t="shared" si="1637"/>
        <v>WF</v>
      </c>
      <c r="F7371" t="str">
        <f t="shared" si="1638"/>
        <v>936</v>
      </c>
      <c r="G7371">
        <v>9</v>
      </c>
      <c r="H7371" t="str">
        <f t="shared" si="1635"/>
        <v>99</v>
      </c>
      <c r="I7371" t="str">
        <f t="shared" si="1631"/>
        <v>0</v>
      </c>
      <c r="J7371" t="str">
        <f t="shared" si="1639"/>
        <v>82</v>
      </c>
      <c r="K7371">
        <v>20190719</v>
      </c>
      <c r="L7371" t="str">
        <f t="shared" si="1640"/>
        <v>077450</v>
      </c>
      <c r="M7371" t="str">
        <f t="shared" si="1641"/>
        <v>06470</v>
      </c>
      <c r="N7371" t="s">
        <v>3144</v>
      </c>
      <c r="O7371">
        <v>85.27</v>
      </c>
      <c r="P7371">
        <v>20190718</v>
      </c>
      <c r="Q7371" t="s">
        <v>2127</v>
      </c>
      <c r="R7371" t="s">
        <v>5796</v>
      </c>
      <c r="S7371" t="s">
        <v>1615</v>
      </c>
      <c r="T7371" t="s">
        <v>1713</v>
      </c>
    </row>
    <row r="7372" spans="1:20" x14ac:dyDescent="0.25">
      <c r="A7372">
        <v>9</v>
      </c>
      <c r="B7372">
        <v>199</v>
      </c>
      <c r="C7372" t="str">
        <f t="shared" si="1636"/>
        <v>51</v>
      </c>
      <c r="D7372">
        <v>6249</v>
      </c>
      <c r="E7372" t="str">
        <f t="shared" si="1637"/>
        <v>WF</v>
      </c>
      <c r="F7372" t="str">
        <f t="shared" si="1638"/>
        <v>936</v>
      </c>
      <c r="G7372">
        <v>9</v>
      </c>
      <c r="H7372" t="str">
        <f t="shared" si="1635"/>
        <v>99</v>
      </c>
      <c r="I7372" t="str">
        <f t="shared" si="1631"/>
        <v>0</v>
      </c>
      <c r="J7372" t="str">
        <f t="shared" si="1639"/>
        <v>82</v>
      </c>
      <c r="K7372">
        <v>20190719</v>
      </c>
      <c r="L7372" t="str">
        <f t="shared" si="1640"/>
        <v>077450</v>
      </c>
      <c r="M7372" t="str">
        <f t="shared" si="1641"/>
        <v>06470</v>
      </c>
      <c r="N7372" t="s">
        <v>3144</v>
      </c>
      <c r="O7372">
        <v>65.52</v>
      </c>
      <c r="P7372">
        <v>20190718</v>
      </c>
      <c r="Q7372" t="s">
        <v>2127</v>
      </c>
      <c r="R7372" t="s">
        <v>5797</v>
      </c>
      <c r="S7372" t="s">
        <v>1615</v>
      </c>
      <c r="T7372" t="s">
        <v>1713</v>
      </c>
    </row>
    <row r="7373" spans="1:20" x14ac:dyDescent="0.25">
      <c r="A7373">
        <v>9</v>
      </c>
      <c r="B7373">
        <v>199</v>
      </c>
      <c r="C7373" t="str">
        <f t="shared" si="1636"/>
        <v>51</v>
      </c>
      <c r="D7373">
        <v>6249</v>
      </c>
      <c r="E7373" t="str">
        <f t="shared" si="1637"/>
        <v>WF</v>
      </c>
      <c r="F7373" t="str">
        <f t="shared" si="1638"/>
        <v>936</v>
      </c>
      <c r="G7373">
        <v>9</v>
      </c>
      <c r="H7373" t="str">
        <f t="shared" si="1635"/>
        <v>99</v>
      </c>
      <c r="I7373" t="str">
        <f t="shared" si="1631"/>
        <v>0</v>
      </c>
      <c r="J7373" t="str">
        <f t="shared" si="1639"/>
        <v>82</v>
      </c>
      <c r="K7373">
        <v>20190719</v>
      </c>
      <c r="L7373" t="str">
        <f t="shared" si="1640"/>
        <v>077450</v>
      </c>
      <c r="M7373" t="str">
        <f t="shared" si="1641"/>
        <v>06470</v>
      </c>
      <c r="N7373" t="s">
        <v>3144</v>
      </c>
      <c r="O7373">
        <v>48.77</v>
      </c>
      <c r="P7373">
        <v>20190718</v>
      </c>
      <c r="Q7373" t="s">
        <v>2127</v>
      </c>
      <c r="R7373" t="s">
        <v>5798</v>
      </c>
      <c r="S7373" t="s">
        <v>1615</v>
      </c>
      <c r="T7373" t="s">
        <v>1713</v>
      </c>
    </row>
    <row r="7374" spans="1:20" x14ac:dyDescent="0.25">
      <c r="A7374">
        <v>9</v>
      </c>
      <c r="B7374">
        <v>199</v>
      </c>
      <c r="C7374" t="str">
        <f t="shared" si="1636"/>
        <v>51</v>
      </c>
      <c r="D7374">
        <v>6249</v>
      </c>
      <c r="E7374" t="str">
        <f t="shared" si="1637"/>
        <v>WF</v>
      </c>
      <c r="F7374" t="str">
        <f t="shared" si="1638"/>
        <v>936</v>
      </c>
      <c r="G7374">
        <v>9</v>
      </c>
      <c r="H7374" t="str">
        <f t="shared" si="1635"/>
        <v>99</v>
      </c>
      <c r="I7374" t="str">
        <f t="shared" si="1631"/>
        <v>0</v>
      </c>
      <c r="J7374" t="str">
        <f t="shared" si="1639"/>
        <v>82</v>
      </c>
      <c r="K7374">
        <v>20190719</v>
      </c>
      <c r="L7374" t="str">
        <f t="shared" si="1640"/>
        <v>077450</v>
      </c>
      <c r="M7374" t="str">
        <f t="shared" si="1641"/>
        <v>06470</v>
      </c>
      <c r="N7374" t="s">
        <v>3144</v>
      </c>
      <c r="O7374">
        <v>62.06</v>
      </c>
      <c r="P7374">
        <v>20190718</v>
      </c>
      <c r="Q7374" t="s">
        <v>2127</v>
      </c>
      <c r="R7374" t="s">
        <v>5799</v>
      </c>
      <c r="S7374" t="s">
        <v>1615</v>
      </c>
      <c r="T7374" t="s">
        <v>1713</v>
      </c>
    </row>
    <row r="7375" spans="1:20" x14ac:dyDescent="0.25">
      <c r="A7375">
        <v>9</v>
      </c>
      <c r="B7375">
        <v>199</v>
      </c>
      <c r="C7375" t="str">
        <f t="shared" si="1636"/>
        <v>51</v>
      </c>
      <c r="D7375">
        <v>6249</v>
      </c>
      <c r="E7375" t="str">
        <f t="shared" si="1637"/>
        <v>WF</v>
      </c>
      <c r="F7375" t="str">
        <f t="shared" si="1638"/>
        <v>936</v>
      </c>
      <c r="G7375">
        <v>9</v>
      </c>
      <c r="H7375" t="str">
        <f t="shared" si="1635"/>
        <v>99</v>
      </c>
      <c r="I7375" t="str">
        <f t="shared" si="1631"/>
        <v>0</v>
      </c>
      <c r="J7375" t="str">
        <f t="shared" si="1639"/>
        <v>82</v>
      </c>
      <c r="K7375">
        <v>20190719</v>
      </c>
      <c r="L7375" t="str">
        <f t="shared" si="1640"/>
        <v>077450</v>
      </c>
      <c r="M7375" t="str">
        <f t="shared" si="1641"/>
        <v>06470</v>
      </c>
      <c r="N7375" t="s">
        <v>3144</v>
      </c>
      <c r="O7375">
        <v>59.1</v>
      </c>
      <c r="P7375">
        <v>20190718</v>
      </c>
      <c r="Q7375" t="s">
        <v>2127</v>
      </c>
      <c r="R7375" t="s">
        <v>5800</v>
      </c>
      <c r="S7375" t="s">
        <v>1615</v>
      </c>
      <c r="T7375" t="s">
        <v>1713</v>
      </c>
    </row>
    <row r="7376" spans="1:20" x14ac:dyDescent="0.25">
      <c r="A7376">
        <v>9</v>
      </c>
      <c r="B7376">
        <v>199</v>
      </c>
      <c r="C7376" t="str">
        <f t="shared" si="1636"/>
        <v>51</v>
      </c>
      <c r="D7376">
        <v>6249</v>
      </c>
      <c r="E7376" t="str">
        <f t="shared" si="1637"/>
        <v>WF</v>
      </c>
      <c r="F7376" t="str">
        <f t="shared" si="1638"/>
        <v>936</v>
      </c>
      <c r="G7376">
        <v>9</v>
      </c>
      <c r="H7376" t="str">
        <f t="shared" si="1635"/>
        <v>99</v>
      </c>
      <c r="I7376" t="str">
        <f t="shared" si="1631"/>
        <v>0</v>
      </c>
      <c r="J7376" t="str">
        <f t="shared" si="1639"/>
        <v>82</v>
      </c>
      <c r="K7376">
        <v>20190719</v>
      </c>
      <c r="L7376" t="str">
        <f t="shared" si="1640"/>
        <v>077450</v>
      </c>
      <c r="M7376" t="str">
        <f t="shared" si="1641"/>
        <v>06470</v>
      </c>
      <c r="N7376" t="s">
        <v>3144</v>
      </c>
      <c r="O7376">
        <v>55.12</v>
      </c>
      <c r="P7376">
        <v>20190718</v>
      </c>
      <c r="Q7376" t="s">
        <v>2127</v>
      </c>
      <c r="R7376" t="s">
        <v>5801</v>
      </c>
      <c r="S7376" t="s">
        <v>1615</v>
      </c>
      <c r="T7376" t="s">
        <v>1713</v>
      </c>
    </row>
    <row r="7377" spans="1:20" x14ac:dyDescent="0.25">
      <c r="A7377">
        <v>9</v>
      </c>
      <c r="B7377">
        <v>199</v>
      </c>
      <c r="C7377" t="str">
        <f t="shared" si="1636"/>
        <v>51</v>
      </c>
      <c r="D7377">
        <v>6249</v>
      </c>
      <c r="E7377" t="str">
        <f t="shared" si="1637"/>
        <v>WF</v>
      </c>
      <c r="F7377" t="str">
        <f t="shared" si="1638"/>
        <v>936</v>
      </c>
      <c r="G7377">
        <v>9</v>
      </c>
      <c r="H7377" t="str">
        <f t="shared" si="1635"/>
        <v>99</v>
      </c>
      <c r="I7377" t="str">
        <f t="shared" si="1631"/>
        <v>0</v>
      </c>
      <c r="J7377" t="str">
        <f t="shared" si="1639"/>
        <v>82</v>
      </c>
      <c r="K7377">
        <v>20190719</v>
      </c>
      <c r="L7377" t="str">
        <f t="shared" si="1640"/>
        <v>077450</v>
      </c>
      <c r="M7377" t="str">
        <f t="shared" si="1641"/>
        <v>06470</v>
      </c>
      <c r="N7377" t="s">
        <v>3144</v>
      </c>
      <c r="O7377">
        <v>152.80000000000001</v>
      </c>
      <c r="P7377">
        <v>20190718</v>
      </c>
      <c r="Q7377" t="s">
        <v>2127</v>
      </c>
      <c r="R7377" t="s">
        <v>5802</v>
      </c>
      <c r="S7377" t="s">
        <v>1615</v>
      </c>
      <c r="T7377" t="s">
        <v>1713</v>
      </c>
    </row>
    <row r="7378" spans="1:20" x14ac:dyDescent="0.25">
      <c r="A7378">
        <v>9</v>
      </c>
      <c r="B7378">
        <v>199</v>
      </c>
      <c r="C7378" t="str">
        <f t="shared" si="1636"/>
        <v>51</v>
      </c>
      <c r="D7378">
        <v>6249</v>
      </c>
      <c r="E7378" t="str">
        <f t="shared" si="1637"/>
        <v>WF</v>
      </c>
      <c r="F7378" t="str">
        <f t="shared" si="1638"/>
        <v>936</v>
      </c>
      <c r="G7378">
        <v>9</v>
      </c>
      <c r="H7378" t="str">
        <f t="shared" si="1635"/>
        <v>99</v>
      </c>
      <c r="I7378" t="str">
        <f t="shared" si="1631"/>
        <v>0</v>
      </c>
      <c r="J7378" t="str">
        <f t="shared" si="1639"/>
        <v>82</v>
      </c>
      <c r="K7378">
        <v>20190719</v>
      </c>
      <c r="L7378" t="str">
        <f t="shared" si="1640"/>
        <v>077450</v>
      </c>
      <c r="M7378" t="str">
        <f t="shared" si="1641"/>
        <v>06470</v>
      </c>
      <c r="N7378" t="s">
        <v>3144</v>
      </c>
      <c r="O7378">
        <v>70.72</v>
      </c>
      <c r="P7378">
        <v>20190718</v>
      </c>
      <c r="Q7378" t="s">
        <v>2127</v>
      </c>
      <c r="R7378" t="s">
        <v>5803</v>
      </c>
      <c r="S7378" t="s">
        <v>1615</v>
      </c>
      <c r="T7378" t="s">
        <v>1713</v>
      </c>
    </row>
    <row r="7379" spans="1:20" x14ac:dyDescent="0.25">
      <c r="A7379">
        <v>9</v>
      </c>
      <c r="B7379">
        <v>199</v>
      </c>
      <c r="C7379" t="str">
        <f t="shared" si="1636"/>
        <v>51</v>
      </c>
      <c r="D7379">
        <v>6249</v>
      </c>
      <c r="E7379" t="str">
        <f t="shared" si="1637"/>
        <v>WF</v>
      </c>
      <c r="F7379" t="str">
        <f t="shared" si="1638"/>
        <v>936</v>
      </c>
      <c r="G7379">
        <v>9</v>
      </c>
      <c r="H7379" t="str">
        <f t="shared" si="1635"/>
        <v>99</v>
      </c>
      <c r="I7379" t="str">
        <f t="shared" si="1631"/>
        <v>0</v>
      </c>
      <c r="J7379" t="str">
        <f t="shared" si="1639"/>
        <v>82</v>
      </c>
      <c r="K7379">
        <v>20190719</v>
      </c>
      <c r="L7379" t="str">
        <f t="shared" si="1640"/>
        <v>077450</v>
      </c>
      <c r="M7379" t="str">
        <f t="shared" si="1641"/>
        <v>06470</v>
      </c>
      <c r="N7379" t="s">
        <v>3144</v>
      </c>
      <c r="O7379">
        <v>56.15</v>
      </c>
      <c r="P7379">
        <v>20190718</v>
      </c>
      <c r="Q7379" t="s">
        <v>2127</v>
      </c>
      <c r="R7379" t="s">
        <v>5804</v>
      </c>
      <c r="S7379" t="s">
        <v>1615</v>
      </c>
      <c r="T7379" t="s">
        <v>1713</v>
      </c>
    </row>
    <row r="7380" spans="1:20" x14ac:dyDescent="0.25">
      <c r="A7380">
        <v>9</v>
      </c>
      <c r="B7380">
        <v>199</v>
      </c>
      <c r="C7380" t="str">
        <f t="shared" si="1636"/>
        <v>51</v>
      </c>
      <c r="D7380">
        <v>6249</v>
      </c>
      <c r="E7380" t="str">
        <f t="shared" si="1637"/>
        <v>WF</v>
      </c>
      <c r="F7380" t="str">
        <f t="shared" si="1638"/>
        <v>936</v>
      </c>
      <c r="G7380">
        <v>9</v>
      </c>
      <c r="H7380" t="str">
        <f t="shared" si="1635"/>
        <v>99</v>
      </c>
      <c r="I7380" t="str">
        <f t="shared" ref="I7380:I7411" si="1642">"0"</f>
        <v>0</v>
      </c>
      <c r="J7380" t="str">
        <f t="shared" si="1639"/>
        <v>82</v>
      </c>
      <c r="K7380">
        <v>20190719</v>
      </c>
      <c r="L7380" t="str">
        <f t="shared" si="1640"/>
        <v>077450</v>
      </c>
      <c r="M7380" t="str">
        <f t="shared" si="1641"/>
        <v>06470</v>
      </c>
      <c r="N7380" t="s">
        <v>3144</v>
      </c>
      <c r="O7380">
        <v>63.48</v>
      </c>
      <c r="P7380">
        <v>20190718</v>
      </c>
      <c r="Q7380" t="s">
        <v>2127</v>
      </c>
      <c r="R7380" t="s">
        <v>5805</v>
      </c>
      <c r="S7380" t="s">
        <v>1615</v>
      </c>
      <c r="T7380" t="s">
        <v>1713</v>
      </c>
    </row>
    <row r="7381" spans="1:20" x14ac:dyDescent="0.25">
      <c r="A7381">
        <v>9</v>
      </c>
      <c r="B7381">
        <v>199</v>
      </c>
      <c r="C7381" t="str">
        <f t="shared" si="1636"/>
        <v>51</v>
      </c>
      <c r="D7381">
        <v>6249</v>
      </c>
      <c r="E7381" t="str">
        <f t="shared" si="1637"/>
        <v>WF</v>
      </c>
      <c r="F7381" t="str">
        <f t="shared" si="1638"/>
        <v>936</v>
      </c>
      <c r="G7381">
        <v>9</v>
      </c>
      <c r="H7381" t="str">
        <f t="shared" si="1635"/>
        <v>99</v>
      </c>
      <c r="I7381" t="str">
        <f t="shared" si="1642"/>
        <v>0</v>
      </c>
      <c r="J7381" t="str">
        <f t="shared" si="1639"/>
        <v>82</v>
      </c>
      <c r="K7381">
        <v>20190719</v>
      </c>
      <c r="L7381" t="str">
        <f t="shared" si="1640"/>
        <v>077450</v>
      </c>
      <c r="M7381" t="str">
        <f t="shared" si="1641"/>
        <v>06470</v>
      </c>
      <c r="N7381" t="s">
        <v>3144</v>
      </c>
      <c r="O7381">
        <v>85.27</v>
      </c>
      <c r="P7381">
        <v>20190718</v>
      </c>
      <c r="Q7381" t="s">
        <v>2127</v>
      </c>
      <c r="R7381" t="s">
        <v>5806</v>
      </c>
      <c r="S7381" t="s">
        <v>1615</v>
      </c>
      <c r="T7381" t="s">
        <v>1713</v>
      </c>
    </row>
    <row r="7382" spans="1:20" x14ac:dyDescent="0.25">
      <c r="A7382">
        <v>9</v>
      </c>
      <c r="B7382">
        <v>199</v>
      </c>
      <c r="C7382" t="str">
        <f t="shared" si="1636"/>
        <v>51</v>
      </c>
      <c r="D7382">
        <v>6249</v>
      </c>
      <c r="E7382" t="str">
        <f t="shared" si="1637"/>
        <v>WF</v>
      </c>
      <c r="F7382" t="str">
        <f t="shared" si="1638"/>
        <v>936</v>
      </c>
      <c r="G7382">
        <v>9</v>
      </c>
      <c r="H7382" t="str">
        <f t="shared" si="1635"/>
        <v>99</v>
      </c>
      <c r="I7382" t="str">
        <f t="shared" si="1642"/>
        <v>0</v>
      </c>
      <c r="J7382" t="str">
        <f t="shared" si="1639"/>
        <v>82</v>
      </c>
      <c r="K7382">
        <v>20190719</v>
      </c>
      <c r="L7382" t="str">
        <f t="shared" si="1640"/>
        <v>077450</v>
      </c>
      <c r="M7382" t="str">
        <f t="shared" si="1641"/>
        <v>06470</v>
      </c>
      <c r="N7382" t="s">
        <v>3144</v>
      </c>
      <c r="O7382">
        <v>110.47</v>
      </c>
      <c r="P7382">
        <v>20190718</v>
      </c>
      <c r="Q7382" t="s">
        <v>2127</v>
      </c>
      <c r="R7382" t="s">
        <v>5807</v>
      </c>
      <c r="S7382" t="s">
        <v>1615</v>
      </c>
      <c r="T7382" t="s">
        <v>1713</v>
      </c>
    </row>
    <row r="7383" spans="1:20" x14ac:dyDescent="0.25">
      <c r="A7383">
        <v>9</v>
      </c>
      <c r="B7383">
        <v>199</v>
      </c>
      <c r="C7383" t="str">
        <f t="shared" si="1636"/>
        <v>51</v>
      </c>
      <c r="D7383">
        <v>6249</v>
      </c>
      <c r="E7383" t="str">
        <f t="shared" si="1637"/>
        <v>WF</v>
      </c>
      <c r="F7383" t="str">
        <f t="shared" si="1638"/>
        <v>936</v>
      </c>
      <c r="G7383">
        <v>9</v>
      </c>
      <c r="H7383" t="str">
        <f t="shared" si="1635"/>
        <v>99</v>
      </c>
      <c r="I7383" t="str">
        <f t="shared" si="1642"/>
        <v>0</v>
      </c>
      <c r="J7383" t="str">
        <f t="shared" si="1639"/>
        <v>82</v>
      </c>
      <c r="K7383">
        <v>20190719</v>
      </c>
      <c r="L7383" t="str">
        <f t="shared" si="1640"/>
        <v>077450</v>
      </c>
      <c r="M7383" t="str">
        <f t="shared" si="1641"/>
        <v>06470</v>
      </c>
      <c r="N7383" t="s">
        <v>3144</v>
      </c>
      <c r="O7383">
        <v>58.63</v>
      </c>
      <c r="P7383">
        <v>20190718</v>
      </c>
      <c r="Q7383" t="s">
        <v>2127</v>
      </c>
      <c r="R7383" t="s">
        <v>5808</v>
      </c>
      <c r="S7383" t="s">
        <v>1615</v>
      </c>
      <c r="T7383" t="s">
        <v>1713</v>
      </c>
    </row>
    <row r="7384" spans="1:20" x14ac:dyDescent="0.25">
      <c r="A7384">
        <v>9</v>
      </c>
      <c r="B7384">
        <v>199</v>
      </c>
      <c r="C7384" t="str">
        <f t="shared" si="1636"/>
        <v>51</v>
      </c>
      <c r="D7384">
        <v>6249</v>
      </c>
      <c r="E7384" t="str">
        <f t="shared" si="1637"/>
        <v>WF</v>
      </c>
      <c r="F7384" t="str">
        <f t="shared" si="1638"/>
        <v>936</v>
      </c>
      <c r="G7384">
        <v>9</v>
      </c>
      <c r="H7384" t="str">
        <f t="shared" si="1635"/>
        <v>99</v>
      </c>
      <c r="I7384" t="str">
        <f t="shared" si="1642"/>
        <v>0</v>
      </c>
      <c r="J7384" t="str">
        <f t="shared" si="1639"/>
        <v>82</v>
      </c>
      <c r="K7384">
        <v>20190719</v>
      </c>
      <c r="L7384" t="str">
        <f t="shared" si="1640"/>
        <v>077450</v>
      </c>
      <c r="M7384" t="str">
        <f t="shared" si="1641"/>
        <v>06470</v>
      </c>
      <c r="N7384" t="s">
        <v>3144</v>
      </c>
      <c r="O7384">
        <v>54.66</v>
      </c>
      <c r="P7384">
        <v>20190718</v>
      </c>
      <c r="Q7384" t="s">
        <v>2127</v>
      </c>
      <c r="R7384" t="s">
        <v>5809</v>
      </c>
      <c r="S7384" t="s">
        <v>1615</v>
      </c>
      <c r="T7384" t="s">
        <v>1713</v>
      </c>
    </row>
    <row r="7385" spans="1:20" x14ac:dyDescent="0.25">
      <c r="A7385">
        <v>9</v>
      </c>
      <c r="B7385">
        <v>199</v>
      </c>
      <c r="C7385" t="str">
        <f t="shared" si="1636"/>
        <v>51</v>
      </c>
      <c r="D7385">
        <v>6249</v>
      </c>
      <c r="E7385" t="str">
        <f t="shared" si="1637"/>
        <v>WF</v>
      </c>
      <c r="F7385" t="str">
        <f t="shared" si="1638"/>
        <v>936</v>
      </c>
      <c r="G7385">
        <v>9</v>
      </c>
      <c r="H7385" t="str">
        <f t="shared" si="1635"/>
        <v>99</v>
      </c>
      <c r="I7385" t="str">
        <f t="shared" si="1642"/>
        <v>0</v>
      </c>
      <c r="J7385" t="str">
        <f t="shared" si="1639"/>
        <v>82</v>
      </c>
      <c r="K7385">
        <v>20190719</v>
      </c>
      <c r="L7385" t="str">
        <f t="shared" si="1640"/>
        <v>077450</v>
      </c>
      <c r="M7385" t="str">
        <f t="shared" si="1641"/>
        <v>06470</v>
      </c>
      <c r="N7385" t="s">
        <v>3144</v>
      </c>
      <c r="O7385">
        <v>63.48</v>
      </c>
      <c r="P7385">
        <v>20190718</v>
      </c>
      <c r="Q7385" t="s">
        <v>2127</v>
      </c>
      <c r="R7385" t="s">
        <v>5810</v>
      </c>
      <c r="S7385" t="s">
        <v>1615</v>
      </c>
      <c r="T7385" t="s">
        <v>1713</v>
      </c>
    </row>
    <row r="7386" spans="1:20" x14ac:dyDescent="0.25">
      <c r="A7386">
        <v>9</v>
      </c>
      <c r="B7386">
        <v>199</v>
      </c>
      <c r="C7386" t="str">
        <f t="shared" si="1636"/>
        <v>51</v>
      </c>
      <c r="D7386">
        <v>6249</v>
      </c>
      <c r="E7386" t="str">
        <f t="shared" si="1637"/>
        <v>WF</v>
      </c>
      <c r="F7386" t="str">
        <f t="shared" si="1638"/>
        <v>936</v>
      </c>
      <c r="G7386">
        <v>9</v>
      </c>
      <c r="H7386" t="str">
        <f t="shared" si="1635"/>
        <v>99</v>
      </c>
      <c r="I7386" t="str">
        <f t="shared" si="1642"/>
        <v>0</v>
      </c>
      <c r="J7386" t="str">
        <f t="shared" si="1639"/>
        <v>82</v>
      </c>
      <c r="K7386">
        <v>20190719</v>
      </c>
      <c r="L7386" t="str">
        <f t="shared" si="1640"/>
        <v>077450</v>
      </c>
      <c r="M7386" t="str">
        <f t="shared" si="1641"/>
        <v>06470</v>
      </c>
      <c r="N7386" t="s">
        <v>3144</v>
      </c>
      <c r="O7386">
        <v>64.680000000000007</v>
      </c>
      <c r="P7386">
        <v>20190718</v>
      </c>
      <c r="Q7386" t="s">
        <v>2127</v>
      </c>
      <c r="R7386" t="s">
        <v>5811</v>
      </c>
      <c r="S7386" t="s">
        <v>1615</v>
      </c>
      <c r="T7386" t="s">
        <v>1713</v>
      </c>
    </row>
    <row r="7387" spans="1:20" x14ac:dyDescent="0.25">
      <c r="A7387">
        <v>9</v>
      </c>
      <c r="B7387">
        <v>199</v>
      </c>
      <c r="C7387" t="str">
        <f t="shared" si="1636"/>
        <v>51</v>
      </c>
      <c r="D7387">
        <v>6249</v>
      </c>
      <c r="E7387" t="str">
        <f t="shared" si="1637"/>
        <v>WF</v>
      </c>
      <c r="F7387" t="str">
        <f t="shared" si="1638"/>
        <v>936</v>
      </c>
      <c r="G7387">
        <v>9</v>
      </c>
      <c r="H7387" t="str">
        <f t="shared" si="1635"/>
        <v>99</v>
      </c>
      <c r="I7387" t="str">
        <f t="shared" si="1642"/>
        <v>0</v>
      </c>
      <c r="J7387" t="str">
        <f t="shared" si="1639"/>
        <v>82</v>
      </c>
      <c r="K7387">
        <v>20190719</v>
      </c>
      <c r="L7387" t="str">
        <f t="shared" si="1640"/>
        <v>077450</v>
      </c>
      <c r="M7387" t="str">
        <f t="shared" si="1641"/>
        <v>06470</v>
      </c>
      <c r="N7387" t="s">
        <v>3144</v>
      </c>
      <c r="O7387">
        <v>110.47</v>
      </c>
      <c r="P7387">
        <v>20190718</v>
      </c>
      <c r="Q7387" t="s">
        <v>2127</v>
      </c>
      <c r="R7387" t="s">
        <v>5812</v>
      </c>
      <c r="S7387" t="s">
        <v>1615</v>
      </c>
      <c r="T7387" t="s">
        <v>1713</v>
      </c>
    </row>
    <row r="7388" spans="1:20" x14ac:dyDescent="0.25">
      <c r="A7388">
        <v>9</v>
      </c>
      <c r="B7388">
        <v>199</v>
      </c>
      <c r="C7388" t="str">
        <f t="shared" si="1636"/>
        <v>51</v>
      </c>
      <c r="D7388">
        <v>6249</v>
      </c>
      <c r="E7388" t="str">
        <f t="shared" si="1637"/>
        <v>WF</v>
      </c>
      <c r="F7388" t="str">
        <f t="shared" si="1638"/>
        <v>936</v>
      </c>
      <c r="G7388">
        <v>9</v>
      </c>
      <c r="H7388" t="str">
        <f t="shared" si="1635"/>
        <v>99</v>
      </c>
      <c r="I7388" t="str">
        <f t="shared" si="1642"/>
        <v>0</v>
      </c>
      <c r="J7388" t="str">
        <f t="shared" si="1639"/>
        <v>82</v>
      </c>
      <c r="K7388">
        <v>20190719</v>
      </c>
      <c r="L7388" t="str">
        <f t="shared" si="1640"/>
        <v>077450</v>
      </c>
      <c r="M7388" t="str">
        <f t="shared" si="1641"/>
        <v>06470</v>
      </c>
      <c r="N7388" t="s">
        <v>3144</v>
      </c>
      <c r="O7388">
        <v>163.05000000000001</v>
      </c>
      <c r="P7388">
        <v>20190718</v>
      </c>
      <c r="Q7388" t="s">
        <v>2127</v>
      </c>
      <c r="R7388" t="s">
        <v>5813</v>
      </c>
      <c r="S7388" t="s">
        <v>1615</v>
      </c>
      <c r="T7388" t="s">
        <v>1713</v>
      </c>
    </row>
    <row r="7389" spans="1:20" x14ac:dyDescent="0.25">
      <c r="A7389">
        <v>9</v>
      </c>
      <c r="B7389">
        <v>199</v>
      </c>
      <c r="C7389" t="str">
        <f t="shared" si="1636"/>
        <v>51</v>
      </c>
      <c r="D7389">
        <v>6249</v>
      </c>
      <c r="E7389" t="str">
        <f t="shared" si="1637"/>
        <v>WF</v>
      </c>
      <c r="F7389" t="str">
        <f t="shared" si="1638"/>
        <v>936</v>
      </c>
      <c r="G7389">
        <v>9</v>
      </c>
      <c r="H7389" t="str">
        <f t="shared" si="1635"/>
        <v>99</v>
      </c>
      <c r="I7389" t="str">
        <f t="shared" si="1642"/>
        <v>0</v>
      </c>
      <c r="J7389" t="str">
        <f t="shared" si="1639"/>
        <v>82</v>
      </c>
      <c r="K7389">
        <v>20190719</v>
      </c>
      <c r="L7389" t="str">
        <f t="shared" si="1640"/>
        <v>077450</v>
      </c>
      <c r="M7389" t="str">
        <f t="shared" si="1641"/>
        <v>06470</v>
      </c>
      <c r="N7389" t="s">
        <v>3144</v>
      </c>
      <c r="O7389">
        <v>59.1</v>
      </c>
      <c r="P7389">
        <v>20190718</v>
      </c>
      <c r="Q7389" t="s">
        <v>2127</v>
      </c>
      <c r="R7389" t="s">
        <v>5814</v>
      </c>
      <c r="S7389" t="s">
        <v>1615</v>
      </c>
      <c r="T7389" t="s">
        <v>1713</v>
      </c>
    </row>
    <row r="7390" spans="1:20" x14ac:dyDescent="0.25">
      <c r="A7390">
        <v>9</v>
      </c>
      <c r="B7390">
        <v>199</v>
      </c>
      <c r="C7390" t="str">
        <f t="shared" si="1636"/>
        <v>51</v>
      </c>
      <c r="D7390">
        <v>6249</v>
      </c>
      <c r="E7390" t="str">
        <f t="shared" si="1637"/>
        <v>WF</v>
      </c>
      <c r="F7390" t="str">
        <f t="shared" si="1638"/>
        <v>936</v>
      </c>
      <c r="G7390">
        <v>9</v>
      </c>
      <c r="H7390" t="str">
        <f t="shared" si="1635"/>
        <v>99</v>
      </c>
      <c r="I7390" t="str">
        <f t="shared" si="1642"/>
        <v>0</v>
      </c>
      <c r="J7390" t="str">
        <f t="shared" si="1639"/>
        <v>82</v>
      </c>
      <c r="K7390">
        <v>20190719</v>
      </c>
      <c r="L7390" t="str">
        <f t="shared" si="1640"/>
        <v>077450</v>
      </c>
      <c r="M7390" t="str">
        <f t="shared" si="1641"/>
        <v>06470</v>
      </c>
      <c r="N7390" t="s">
        <v>3144</v>
      </c>
      <c r="O7390">
        <v>752.6</v>
      </c>
      <c r="P7390">
        <v>20190718</v>
      </c>
      <c r="Q7390" t="s">
        <v>2127</v>
      </c>
      <c r="R7390" t="s">
        <v>5815</v>
      </c>
      <c r="S7390" t="s">
        <v>1615</v>
      </c>
      <c r="T7390" t="s">
        <v>1713</v>
      </c>
    </row>
    <row r="7391" spans="1:20" x14ac:dyDescent="0.25">
      <c r="A7391">
        <v>9</v>
      </c>
      <c r="B7391">
        <v>199</v>
      </c>
      <c r="C7391" t="str">
        <f>"36"</f>
        <v>36</v>
      </c>
      <c r="D7391">
        <v>6499</v>
      </c>
      <c r="E7391" t="str">
        <f>"09"</f>
        <v>09</v>
      </c>
      <c r="F7391" t="str">
        <f>"001"</f>
        <v>001</v>
      </c>
      <c r="G7391">
        <v>9</v>
      </c>
      <c r="H7391" t="str">
        <f t="shared" si="1635"/>
        <v>99</v>
      </c>
      <c r="I7391" t="str">
        <f t="shared" si="1642"/>
        <v>0</v>
      </c>
      <c r="J7391" t="str">
        <f>"91"</f>
        <v>91</v>
      </c>
      <c r="K7391">
        <v>20190719</v>
      </c>
      <c r="L7391" t="str">
        <f>"077451"</f>
        <v>077451</v>
      </c>
      <c r="M7391" t="str">
        <f>"30155"</f>
        <v>30155</v>
      </c>
      <c r="N7391" t="s">
        <v>648</v>
      </c>
      <c r="O7391" s="1">
        <v>3114.91</v>
      </c>
      <c r="P7391">
        <v>20190717</v>
      </c>
      <c r="Q7391" t="s">
        <v>5816</v>
      </c>
      <c r="R7391" t="s">
        <v>5817</v>
      </c>
      <c r="S7391" t="s">
        <v>1615</v>
      </c>
      <c r="T7391" t="s">
        <v>301</v>
      </c>
    </row>
    <row r="7392" spans="1:20" x14ac:dyDescent="0.25">
      <c r="A7392">
        <v>9</v>
      </c>
      <c r="B7392">
        <v>199</v>
      </c>
      <c r="C7392" t="str">
        <f>"21"</f>
        <v>21</v>
      </c>
      <c r="D7392">
        <v>6396</v>
      </c>
      <c r="E7392" t="str">
        <f>"00"</f>
        <v>00</v>
      </c>
      <c r="F7392" t="str">
        <f>"875"</f>
        <v>875</v>
      </c>
      <c r="G7392">
        <v>9</v>
      </c>
      <c r="H7392" t="str">
        <f>"23"</f>
        <v>23</v>
      </c>
      <c r="I7392" t="str">
        <f t="shared" si="1642"/>
        <v>0</v>
      </c>
      <c r="J7392" t="str">
        <f>"23"</f>
        <v>23</v>
      </c>
      <c r="K7392">
        <v>20190719</v>
      </c>
      <c r="L7392" t="str">
        <f>"077452"</f>
        <v>077452</v>
      </c>
      <c r="M7392" t="str">
        <f>"00521"</f>
        <v>00521</v>
      </c>
      <c r="N7392" t="s">
        <v>5818</v>
      </c>
      <c r="O7392" s="1">
        <v>10750.41</v>
      </c>
      <c r="P7392">
        <v>20190718</v>
      </c>
      <c r="Q7392" t="s">
        <v>5819</v>
      </c>
      <c r="R7392" t="s">
        <v>5820</v>
      </c>
      <c r="S7392" t="s">
        <v>1615</v>
      </c>
      <c r="T7392" t="s">
        <v>2041</v>
      </c>
    </row>
    <row r="7393" spans="1:20" x14ac:dyDescent="0.25">
      <c r="A7393">
        <v>9</v>
      </c>
      <c r="B7393">
        <v>199</v>
      </c>
      <c r="C7393" t="str">
        <f>"11"</f>
        <v>11</v>
      </c>
      <c r="D7393">
        <v>6649</v>
      </c>
      <c r="E7393" t="str">
        <f>"12"</f>
        <v>12</v>
      </c>
      <c r="F7393" t="str">
        <f>"041"</f>
        <v>041</v>
      </c>
      <c r="G7393">
        <v>9</v>
      </c>
      <c r="H7393" t="str">
        <f>"11"</f>
        <v>11</v>
      </c>
      <c r="I7393" t="str">
        <f t="shared" si="1642"/>
        <v>0</v>
      </c>
      <c r="J7393" t="str">
        <f>"03"</f>
        <v>03</v>
      </c>
      <c r="K7393">
        <v>20190719</v>
      </c>
      <c r="L7393" t="str">
        <f>"077455"</f>
        <v>077455</v>
      </c>
      <c r="M7393" t="str">
        <f>"00050"</f>
        <v>00050</v>
      </c>
      <c r="N7393" t="s">
        <v>4636</v>
      </c>
      <c r="O7393" s="1">
        <v>18720</v>
      </c>
      <c r="P7393">
        <v>20190718</v>
      </c>
      <c r="Q7393" t="s">
        <v>5821</v>
      </c>
      <c r="R7393" t="s">
        <v>5822</v>
      </c>
      <c r="S7393" t="s">
        <v>1615</v>
      </c>
      <c r="T7393" t="s">
        <v>106</v>
      </c>
    </row>
    <row r="7394" spans="1:20" x14ac:dyDescent="0.25">
      <c r="A7394">
        <v>9</v>
      </c>
      <c r="B7394">
        <v>199</v>
      </c>
      <c r="C7394" t="str">
        <f>"41"</f>
        <v>41</v>
      </c>
      <c r="D7394">
        <v>6498</v>
      </c>
      <c r="E7394" t="str">
        <f>"10"</f>
        <v>10</v>
      </c>
      <c r="F7394" t="str">
        <f>"730"</f>
        <v>730</v>
      </c>
      <c r="G7394">
        <v>9</v>
      </c>
      <c r="H7394" t="str">
        <f>"99"</f>
        <v>99</v>
      </c>
      <c r="I7394" t="str">
        <f t="shared" si="1642"/>
        <v>0</v>
      </c>
      <c r="J7394" t="str">
        <f>"95"</f>
        <v>95</v>
      </c>
      <c r="K7394">
        <v>20190719</v>
      </c>
      <c r="L7394" t="str">
        <f>"077457"</f>
        <v>077457</v>
      </c>
      <c r="M7394" t="str">
        <f>"45093"</f>
        <v>45093</v>
      </c>
      <c r="N7394" t="s">
        <v>885</v>
      </c>
      <c r="O7394">
        <v>159.80000000000001</v>
      </c>
      <c r="P7394">
        <v>20190718</v>
      </c>
      <c r="Q7394" t="s">
        <v>2842</v>
      </c>
      <c r="R7394" t="s">
        <v>5823</v>
      </c>
      <c r="S7394" t="s">
        <v>1615</v>
      </c>
      <c r="T7394" t="s">
        <v>1794</v>
      </c>
    </row>
    <row r="7395" spans="1:20" x14ac:dyDescent="0.25">
      <c r="A7395">
        <v>9</v>
      </c>
      <c r="B7395">
        <v>199</v>
      </c>
      <c r="C7395" t="str">
        <f t="shared" ref="C7395:C7400" si="1643">"11"</f>
        <v>11</v>
      </c>
      <c r="D7395">
        <v>6399</v>
      </c>
      <c r="E7395" t="str">
        <f>"7E"</f>
        <v>7E</v>
      </c>
      <c r="F7395" t="str">
        <f>"001"</f>
        <v>001</v>
      </c>
      <c r="G7395">
        <v>9</v>
      </c>
      <c r="H7395" t="str">
        <f t="shared" ref="H7395:H7400" si="1644">"11"</f>
        <v>11</v>
      </c>
      <c r="I7395" t="str">
        <f t="shared" si="1642"/>
        <v>0</v>
      </c>
      <c r="J7395" t="str">
        <f>"31"</f>
        <v>31</v>
      </c>
      <c r="K7395">
        <v>20190719</v>
      </c>
      <c r="L7395" t="str">
        <f t="shared" ref="L7395:L7400" si="1645">"077458"</f>
        <v>077458</v>
      </c>
      <c r="M7395" t="str">
        <f t="shared" ref="M7395:M7400" si="1646">"57791"</f>
        <v>57791</v>
      </c>
      <c r="N7395" t="s">
        <v>2381</v>
      </c>
      <c r="O7395">
        <v>246.09</v>
      </c>
      <c r="P7395">
        <v>20190718</v>
      </c>
      <c r="Q7395" t="s">
        <v>2382</v>
      </c>
      <c r="R7395" t="s">
        <v>3036</v>
      </c>
      <c r="S7395" t="s">
        <v>1615</v>
      </c>
      <c r="T7395" t="s">
        <v>301</v>
      </c>
    </row>
    <row r="7396" spans="1:20" x14ac:dyDescent="0.25">
      <c r="A7396">
        <v>9</v>
      </c>
      <c r="B7396">
        <v>199</v>
      </c>
      <c r="C7396" t="str">
        <f t="shared" si="1643"/>
        <v>11</v>
      </c>
      <c r="D7396">
        <v>6399</v>
      </c>
      <c r="E7396" t="str">
        <f>"7E"</f>
        <v>7E</v>
      </c>
      <c r="F7396" t="str">
        <f>"001"</f>
        <v>001</v>
      </c>
      <c r="G7396">
        <v>9</v>
      </c>
      <c r="H7396" t="str">
        <f t="shared" si="1644"/>
        <v>11</v>
      </c>
      <c r="I7396" t="str">
        <f t="shared" si="1642"/>
        <v>0</v>
      </c>
      <c r="J7396" t="str">
        <f>"31"</f>
        <v>31</v>
      </c>
      <c r="K7396">
        <v>20190719</v>
      </c>
      <c r="L7396" t="str">
        <f t="shared" si="1645"/>
        <v>077458</v>
      </c>
      <c r="M7396" t="str">
        <f t="shared" si="1646"/>
        <v>57791</v>
      </c>
      <c r="N7396" t="s">
        <v>2381</v>
      </c>
      <c r="O7396">
        <v>477.45</v>
      </c>
      <c r="P7396">
        <v>20190718</v>
      </c>
      <c r="Q7396" t="s">
        <v>2382</v>
      </c>
      <c r="R7396" t="s">
        <v>3036</v>
      </c>
      <c r="S7396" t="s">
        <v>1615</v>
      </c>
      <c r="T7396" t="s">
        <v>301</v>
      </c>
    </row>
    <row r="7397" spans="1:20" x14ac:dyDescent="0.25">
      <c r="A7397">
        <v>9</v>
      </c>
      <c r="B7397">
        <v>199</v>
      </c>
      <c r="C7397" t="str">
        <f t="shared" si="1643"/>
        <v>11</v>
      </c>
      <c r="D7397">
        <v>6399</v>
      </c>
      <c r="E7397" t="str">
        <f>"7E"</f>
        <v>7E</v>
      </c>
      <c r="F7397" t="str">
        <f>"001"</f>
        <v>001</v>
      </c>
      <c r="G7397">
        <v>9</v>
      </c>
      <c r="H7397" t="str">
        <f t="shared" si="1644"/>
        <v>11</v>
      </c>
      <c r="I7397" t="str">
        <f t="shared" si="1642"/>
        <v>0</v>
      </c>
      <c r="J7397" t="str">
        <f>"31"</f>
        <v>31</v>
      </c>
      <c r="K7397">
        <v>20190719</v>
      </c>
      <c r="L7397" t="str">
        <f t="shared" si="1645"/>
        <v>077458</v>
      </c>
      <c r="M7397" t="str">
        <f t="shared" si="1646"/>
        <v>57791</v>
      </c>
      <c r="N7397" t="s">
        <v>2381</v>
      </c>
      <c r="O7397">
        <v>65</v>
      </c>
      <c r="P7397">
        <v>20190718</v>
      </c>
      <c r="Q7397" t="s">
        <v>2382</v>
      </c>
      <c r="R7397" t="s">
        <v>5824</v>
      </c>
      <c r="S7397" t="s">
        <v>1615</v>
      </c>
      <c r="T7397" t="s">
        <v>301</v>
      </c>
    </row>
    <row r="7398" spans="1:20" x14ac:dyDescent="0.25">
      <c r="A7398">
        <v>9</v>
      </c>
      <c r="B7398">
        <v>199</v>
      </c>
      <c r="C7398" t="str">
        <f t="shared" si="1643"/>
        <v>11</v>
      </c>
      <c r="D7398">
        <v>6399</v>
      </c>
      <c r="E7398" t="str">
        <f>"7E"</f>
        <v>7E</v>
      </c>
      <c r="F7398" t="str">
        <f>"001"</f>
        <v>001</v>
      </c>
      <c r="G7398">
        <v>9</v>
      </c>
      <c r="H7398" t="str">
        <f t="shared" si="1644"/>
        <v>11</v>
      </c>
      <c r="I7398" t="str">
        <f t="shared" si="1642"/>
        <v>0</v>
      </c>
      <c r="J7398" t="str">
        <f>"31"</f>
        <v>31</v>
      </c>
      <c r="K7398">
        <v>20190719</v>
      </c>
      <c r="L7398" t="str">
        <f t="shared" si="1645"/>
        <v>077458</v>
      </c>
      <c r="M7398" t="str">
        <f t="shared" si="1646"/>
        <v>57791</v>
      </c>
      <c r="N7398" t="s">
        <v>2381</v>
      </c>
      <c r="O7398">
        <v>27.95</v>
      </c>
      <c r="P7398">
        <v>20190718</v>
      </c>
      <c r="Q7398" t="s">
        <v>2382</v>
      </c>
      <c r="R7398" t="s">
        <v>5825</v>
      </c>
      <c r="S7398" t="s">
        <v>1615</v>
      </c>
      <c r="T7398" t="s">
        <v>301</v>
      </c>
    </row>
    <row r="7399" spans="1:20" x14ac:dyDescent="0.25">
      <c r="A7399">
        <v>9</v>
      </c>
      <c r="B7399">
        <v>199</v>
      </c>
      <c r="C7399" t="str">
        <f t="shared" si="1643"/>
        <v>11</v>
      </c>
      <c r="D7399">
        <v>6399</v>
      </c>
      <c r="E7399" t="str">
        <f>"7E"</f>
        <v>7E</v>
      </c>
      <c r="F7399" t="str">
        <f>"001"</f>
        <v>001</v>
      </c>
      <c r="G7399">
        <v>9</v>
      </c>
      <c r="H7399" t="str">
        <f t="shared" si="1644"/>
        <v>11</v>
      </c>
      <c r="I7399" t="str">
        <f t="shared" si="1642"/>
        <v>0</v>
      </c>
      <c r="J7399" t="str">
        <f>"31"</f>
        <v>31</v>
      </c>
      <c r="K7399">
        <v>20190719</v>
      </c>
      <c r="L7399" t="str">
        <f t="shared" si="1645"/>
        <v>077458</v>
      </c>
      <c r="M7399" t="str">
        <f t="shared" si="1646"/>
        <v>57791</v>
      </c>
      <c r="N7399" t="s">
        <v>2381</v>
      </c>
      <c r="O7399">
        <v>13.24</v>
      </c>
      <c r="P7399">
        <v>20190718</v>
      </c>
      <c r="Q7399" t="s">
        <v>2382</v>
      </c>
      <c r="R7399" t="s">
        <v>5826</v>
      </c>
      <c r="S7399" t="s">
        <v>1615</v>
      </c>
      <c r="T7399" t="s">
        <v>301</v>
      </c>
    </row>
    <row r="7400" spans="1:20" x14ac:dyDescent="0.25">
      <c r="A7400">
        <v>9</v>
      </c>
      <c r="B7400">
        <v>199</v>
      </c>
      <c r="C7400" t="str">
        <f t="shared" si="1643"/>
        <v>11</v>
      </c>
      <c r="D7400">
        <v>6399</v>
      </c>
      <c r="E7400" t="str">
        <f>"8C"</f>
        <v>8C</v>
      </c>
      <c r="F7400" t="str">
        <f>"104"</f>
        <v>104</v>
      </c>
      <c r="G7400">
        <v>9</v>
      </c>
      <c r="H7400" t="str">
        <f t="shared" si="1644"/>
        <v>11</v>
      </c>
      <c r="I7400" t="str">
        <f t="shared" si="1642"/>
        <v>0</v>
      </c>
      <c r="J7400" t="str">
        <f>"05"</f>
        <v>05</v>
      </c>
      <c r="K7400">
        <v>20190719</v>
      </c>
      <c r="L7400" t="str">
        <f t="shared" si="1645"/>
        <v>077458</v>
      </c>
      <c r="M7400" t="str">
        <f t="shared" si="1646"/>
        <v>57791</v>
      </c>
      <c r="N7400" t="s">
        <v>2381</v>
      </c>
      <c r="O7400">
        <v>134.97999999999999</v>
      </c>
      <c r="P7400">
        <v>20190718</v>
      </c>
      <c r="Q7400" t="s">
        <v>4151</v>
      </c>
      <c r="R7400" t="s">
        <v>5827</v>
      </c>
      <c r="S7400" t="s">
        <v>1615</v>
      </c>
      <c r="T7400" t="s">
        <v>46</v>
      </c>
    </row>
    <row r="7401" spans="1:20" x14ac:dyDescent="0.25">
      <c r="A7401">
        <v>9</v>
      </c>
      <c r="B7401">
        <v>199</v>
      </c>
      <c r="C7401" t="str">
        <f>"41"</f>
        <v>41</v>
      </c>
      <c r="D7401">
        <v>6219</v>
      </c>
      <c r="E7401" t="str">
        <f>"11"</f>
        <v>11</v>
      </c>
      <c r="F7401" t="str">
        <f>"730"</f>
        <v>730</v>
      </c>
      <c r="G7401">
        <v>9</v>
      </c>
      <c r="H7401" t="str">
        <f>"99"</f>
        <v>99</v>
      </c>
      <c r="I7401" t="str">
        <f t="shared" si="1642"/>
        <v>0</v>
      </c>
      <c r="J7401" t="str">
        <f>"95"</f>
        <v>95</v>
      </c>
      <c r="K7401">
        <v>20190719</v>
      </c>
      <c r="L7401" t="str">
        <f>"077459"</f>
        <v>077459</v>
      </c>
      <c r="M7401" t="str">
        <f>"46025"</f>
        <v>46025</v>
      </c>
      <c r="N7401" t="s">
        <v>1741</v>
      </c>
      <c r="O7401">
        <v>865</v>
      </c>
      <c r="P7401">
        <v>20190718</v>
      </c>
      <c r="Q7401" t="s">
        <v>2385</v>
      </c>
      <c r="R7401" s="2">
        <v>43586</v>
      </c>
      <c r="S7401" t="s">
        <v>1615</v>
      </c>
      <c r="T7401" t="s">
        <v>1794</v>
      </c>
    </row>
    <row r="7402" spans="1:20" x14ac:dyDescent="0.25">
      <c r="A7402">
        <v>9</v>
      </c>
      <c r="B7402">
        <v>199</v>
      </c>
      <c r="C7402" t="str">
        <f>"00"</f>
        <v>00</v>
      </c>
      <c r="D7402">
        <v>1291</v>
      </c>
      <c r="E7402" t="str">
        <f>"05"</f>
        <v>05</v>
      </c>
      <c r="F7402" t="str">
        <f>"000"</f>
        <v>000</v>
      </c>
      <c r="G7402">
        <v>9</v>
      </c>
      <c r="H7402" t="str">
        <f>"00"</f>
        <v>00</v>
      </c>
      <c r="I7402" t="str">
        <f t="shared" si="1642"/>
        <v>0</v>
      </c>
      <c r="J7402" t="str">
        <f>"00"</f>
        <v>00</v>
      </c>
      <c r="K7402">
        <v>20190719</v>
      </c>
      <c r="L7402" t="str">
        <f>"077460"</f>
        <v>077460</v>
      </c>
      <c r="M7402" t="str">
        <f>"46398"</f>
        <v>46398</v>
      </c>
      <c r="N7402" t="s">
        <v>1636</v>
      </c>
      <c r="O7402" s="1">
        <v>1820</v>
      </c>
      <c r="P7402">
        <v>20190718</v>
      </c>
      <c r="Q7402" t="s">
        <v>1637</v>
      </c>
      <c r="R7402" t="s">
        <v>5828</v>
      </c>
      <c r="S7402" t="s">
        <v>1615</v>
      </c>
      <c r="T7402" t="s">
        <v>296</v>
      </c>
    </row>
    <row r="7403" spans="1:20" x14ac:dyDescent="0.25">
      <c r="A7403">
        <v>9</v>
      </c>
      <c r="B7403">
        <v>199</v>
      </c>
      <c r="C7403" t="str">
        <f>"21"</f>
        <v>21</v>
      </c>
      <c r="D7403">
        <v>6495</v>
      </c>
      <c r="E7403" t="str">
        <f>"00"</f>
        <v>00</v>
      </c>
      <c r="F7403" t="str">
        <f>"875"</f>
        <v>875</v>
      </c>
      <c r="G7403">
        <v>9</v>
      </c>
      <c r="H7403" t="str">
        <f>"23"</f>
        <v>23</v>
      </c>
      <c r="I7403" t="str">
        <f t="shared" si="1642"/>
        <v>0</v>
      </c>
      <c r="J7403" t="str">
        <f>"23"</f>
        <v>23</v>
      </c>
      <c r="K7403">
        <v>20190719</v>
      </c>
      <c r="L7403" t="str">
        <f>"077461"</f>
        <v>077461</v>
      </c>
      <c r="M7403" t="str">
        <f>"49882"</f>
        <v>49882</v>
      </c>
      <c r="N7403" t="s">
        <v>5829</v>
      </c>
      <c r="O7403">
        <v>500</v>
      </c>
      <c r="P7403">
        <v>20190718</v>
      </c>
      <c r="Q7403" t="s">
        <v>4360</v>
      </c>
      <c r="R7403" t="s">
        <v>5830</v>
      </c>
      <c r="S7403" t="s">
        <v>1615</v>
      </c>
      <c r="T7403" t="s">
        <v>2041</v>
      </c>
    </row>
    <row r="7404" spans="1:20" x14ac:dyDescent="0.25">
      <c r="A7404">
        <v>9</v>
      </c>
      <c r="B7404">
        <v>199</v>
      </c>
      <c r="C7404" t="str">
        <f>"41"</f>
        <v>41</v>
      </c>
      <c r="D7404">
        <v>6213</v>
      </c>
      <c r="E7404" t="str">
        <f>"11"</f>
        <v>11</v>
      </c>
      <c r="F7404" t="str">
        <f>"703"</f>
        <v>703</v>
      </c>
      <c r="G7404">
        <v>9</v>
      </c>
      <c r="H7404" t="str">
        <f>"99"</f>
        <v>99</v>
      </c>
      <c r="I7404" t="str">
        <f t="shared" si="1642"/>
        <v>0</v>
      </c>
      <c r="J7404" t="str">
        <f>"91"</f>
        <v>91</v>
      </c>
      <c r="K7404">
        <v>20190719</v>
      </c>
      <c r="L7404" t="str">
        <f>"077463"</f>
        <v>077463</v>
      </c>
      <c r="M7404" t="str">
        <f>"61166"</f>
        <v>61166</v>
      </c>
      <c r="N7404" t="s">
        <v>2892</v>
      </c>
      <c r="O7404">
        <v>79.88</v>
      </c>
      <c r="P7404">
        <v>20190718</v>
      </c>
      <c r="Q7404" t="s">
        <v>2893</v>
      </c>
      <c r="R7404" t="s">
        <v>2894</v>
      </c>
      <c r="S7404" t="s">
        <v>1615</v>
      </c>
      <c r="T7404" t="s">
        <v>1761</v>
      </c>
    </row>
    <row r="7405" spans="1:20" x14ac:dyDescent="0.25">
      <c r="A7405">
        <v>9</v>
      </c>
      <c r="B7405">
        <v>199</v>
      </c>
      <c r="C7405" t="str">
        <f>"51"</f>
        <v>51</v>
      </c>
      <c r="D7405">
        <v>6249</v>
      </c>
      <c r="E7405" t="str">
        <f>"M1"</f>
        <v>M1</v>
      </c>
      <c r="F7405" t="str">
        <f>"936"</f>
        <v>936</v>
      </c>
      <c r="G7405">
        <v>9</v>
      </c>
      <c r="H7405" t="str">
        <f>"99"</f>
        <v>99</v>
      </c>
      <c r="I7405" t="str">
        <f t="shared" si="1642"/>
        <v>0</v>
      </c>
      <c r="J7405" t="str">
        <f>"81"</f>
        <v>81</v>
      </c>
      <c r="K7405">
        <v>20190719</v>
      </c>
      <c r="L7405" t="str">
        <f>"077464"</f>
        <v>077464</v>
      </c>
      <c r="M7405" t="str">
        <f>"00181"</f>
        <v>00181</v>
      </c>
      <c r="N7405" t="s">
        <v>1762</v>
      </c>
      <c r="O7405">
        <v>320</v>
      </c>
      <c r="P7405">
        <v>20190718</v>
      </c>
      <c r="Q7405" t="s">
        <v>1763</v>
      </c>
      <c r="R7405" s="2">
        <v>43647</v>
      </c>
      <c r="S7405" t="s">
        <v>1615</v>
      </c>
      <c r="T7405" t="s">
        <v>1713</v>
      </c>
    </row>
    <row r="7406" spans="1:20" x14ac:dyDescent="0.25">
      <c r="A7406">
        <v>9</v>
      </c>
      <c r="B7406">
        <v>199</v>
      </c>
      <c r="C7406" t="str">
        <f>"23"</f>
        <v>23</v>
      </c>
      <c r="D7406">
        <v>6498</v>
      </c>
      <c r="E7406" t="str">
        <f>"10"</f>
        <v>10</v>
      </c>
      <c r="F7406" t="str">
        <f>"002"</f>
        <v>002</v>
      </c>
      <c r="G7406">
        <v>9</v>
      </c>
      <c r="H7406" t="str">
        <f>"99"</f>
        <v>99</v>
      </c>
      <c r="I7406" t="str">
        <f t="shared" si="1642"/>
        <v>0</v>
      </c>
      <c r="J7406" t="str">
        <f>"02"</f>
        <v>02</v>
      </c>
      <c r="K7406">
        <v>20190719</v>
      </c>
      <c r="L7406" t="str">
        <f>"077465"</f>
        <v>077465</v>
      </c>
      <c r="M7406" t="str">
        <f>"57311"</f>
        <v>57311</v>
      </c>
      <c r="N7406" t="s">
        <v>3322</v>
      </c>
      <c r="O7406">
        <v>289.10000000000002</v>
      </c>
      <c r="P7406">
        <v>20190718</v>
      </c>
      <c r="Q7406" t="s">
        <v>3213</v>
      </c>
      <c r="R7406" t="s">
        <v>5831</v>
      </c>
      <c r="S7406" t="s">
        <v>1615</v>
      </c>
      <c r="T7406" t="s">
        <v>1485</v>
      </c>
    </row>
    <row r="7407" spans="1:20" x14ac:dyDescent="0.25">
      <c r="A7407">
        <v>9</v>
      </c>
      <c r="B7407">
        <v>199</v>
      </c>
      <c r="C7407" t="str">
        <f>"00"</f>
        <v>00</v>
      </c>
      <c r="D7407">
        <v>1312</v>
      </c>
      <c r="E7407" t="str">
        <f>"00"</f>
        <v>00</v>
      </c>
      <c r="F7407" t="str">
        <f>"000"</f>
        <v>000</v>
      </c>
      <c r="G7407">
        <v>9</v>
      </c>
      <c r="H7407" t="str">
        <f>"00"</f>
        <v>00</v>
      </c>
      <c r="I7407" t="str">
        <f t="shared" si="1642"/>
        <v>0</v>
      </c>
      <c r="J7407" t="str">
        <f>"00"</f>
        <v>00</v>
      </c>
      <c r="K7407">
        <v>20190719</v>
      </c>
      <c r="L7407" t="str">
        <f>"077468"</f>
        <v>077468</v>
      </c>
      <c r="M7407" t="str">
        <f>"00608"</f>
        <v>00608</v>
      </c>
      <c r="N7407" t="s">
        <v>2785</v>
      </c>
      <c r="O7407" s="1">
        <v>1562.4</v>
      </c>
      <c r="P7407">
        <v>20190718</v>
      </c>
      <c r="Q7407" t="s">
        <v>1860</v>
      </c>
      <c r="R7407" t="s">
        <v>3975</v>
      </c>
      <c r="S7407" t="s">
        <v>1615</v>
      </c>
      <c r="T7407" t="s">
        <v>296</v>
      </c>
    </row>
    <row r="7408" spans="1:20" x14ac:dyDescent="0.25">
      <c r="A7408">
        <v>9</v>
      </c>
      <c r="B7408">
        <v>199</v>
      </c>
      <c r="C7408" t="str">
        <f>"52"</f>
        <v>52</v>
      </c>
      <c r="D7408">
        <v>6219</v>
      </c>
      <c r="E7408" t="str">
        <f t="shared" ref="E7408:E7413" si="1647">"10"</f>
        <v>10</v>
      </c>
      <c r="F7408" t="str">
        <f>"936"</f>
        <v>936</v>
      </c>
      <c r="G7408">
        <v>9</v>
      </c>
      <c r="H7408" t="str">
        <f>"99"</f>
        <v>99</v>
      </c>
      <c r="I7408" t="str">
        <f t="shared" si="1642"/>
        <v>0</v>
      </c>
      <c r="J7408" t="str">
        <f>"81"</f>
        <v>81</v>
      </c>
      <c r="K7408">
        <v>20190719</v>
      </c>
      <c r="L7408" t="str">
        <f>"077469"</f>
        <v>077469</v>
      </c>
      <c r="M7408" t="str">
        <f>"64789"</f>
        <v>64789</v>
      </c>
      <c r="N7408" t="s">
        <v>5832</v>
      </c>
      <c r="O7408" s="1">
        <v>2002</v>
      </c>
      <c r="P7408">
        <v>20190718</v>
      </c>
      <c r="Q7408" t="s">
        <v>5833</v>
      </c>
      <c r="R7408" t="s">
        <v>5746</v>
      </c>
      <c r="S7408" t="s">
        <v>1615</v>
      </c>
      <c r="T7408" t="s">
        <v>1713</v>
      </c>
    </row>
    <row r="7409" spans="1:20" x14ac:dyDescent="0.25">
      <c r="A7409">
        <v>9</v>
      </c>
      <c r="B7409">
        <v>199</v>
      </c>
      <c r="C7409" t="str">
        <f>"11"</f>
        <v>11</v>
      </c>
      <c r="D7409">
        <v>6399</v>
      </c>
      <c r="E7409" t="str">
        <f t="shared" si="1647"/>
        <v>10</v>
      </c>
      <c r="F7409" t="str">
        <f t="shared" ref="F7409:F7414" si="1648">"001"</f>
        <v>001</v>
      </c>
      <c r="G7409">
        <v>9</v>
      </c>
      <c r="H7409" t="str">
        <f>"11"</f>
        <v>11</v>
      </c>
      <c r="I7409" t="str">
        <f t="shared" si="1642"/>
        <v>0</v>
      </c>
      <c r="J7409" t="str">
        <f t="shared" ref="J7409:J7414" si="1649">"01"</f>
        <v>01</v>
      </c>
      <c r="K7409">
        <v>20190719</v>
      </c>
      <c r="L7409" t="str">
        <f t="shared" ref="L7409:L7418" si="1650">"077470"</f>
        <v>077470</v>
      </c>
      <c r="M7409" t="str">
        <f t="shared" ref="M7409:M7418" si="1651">"65106"</f>
        <v>65106</v>
      </c>
      <c r="N7409" t="s">
        <v>1175</v>
      </c>
      <c r="O7409">
        <v>824.73</v>
      </c>
      <c r="P7409">
        <v>20190718</v>
      </c>
      <c r="Q7409" t="s">
        <v>1675</v>
      </c>
      <c r="R7409" t="s">
        <v>5834</v>
      </c>
      <c r="S7409" t="s">
        <v>1615</v>
      </c>
      <c r="T7409" t="s">
        <v>301</v>
      </c>
    </row>
    <row r="7410" spans="1:20" x14ac:dyDescent="0.25">
      <c r="A7410">
        <v>9</v>
      </c>
      <c r="B7410">
        <v>199</v>
      </c>
      <c r="C7410" t="str">
        <f>"11"</f>
        <v>11</v>
      </c>
      <c r="D7410">
        <v>6399</v>
      </c>
      <c r="E7410" t="str">
        <f t="shared" si="1647"/>
        <v>10</v>
      </c>
      <c r="F7410" t="str">
        <f t="shared" si="1648"/>
        <v>001</v>
      </c>
      <c r="G7410">
        <v>9</v>
      </c>
      <c r="H7410" t="str">
        <f>"11"</f>
        <v>11</v>
      </c>
      <c r="I7410" t="str">
        <f t="shared" si="1642"/>
        <v>0</v>
      </c>
      <c r="J7410" t="str">
        <f t="shared" si="1649"/>
        <v>01</v>
      </c>
      <c r="K7410">
        <v>20190719</v>
      </c>
      <c r="L7410" t="str">
        <f t="shared" si="1650"/>
        <v>077470</v>
      </c>
      <c r="M7410" t="str">
        <f t="shared" si="1651"/>
        <v>65106</v>
      </c>
      <c r="N7410" t="s">
        <v>1175</v>
      </c>
      <c r="O7410" s="1">
        <v>1375.7</v>
      </c>
      <c r="P7410">
        <v>20190718</v>
      </c>
      <c r="Q7410" t="s">
        <v>1675</v>
      </c>
      <c r="R7410" t="s">
        <v>2793</v>
      </c>
      <c r="S7410" t="s">
        <v>1615</v>
      </c>
      <c r="T7410" t="s">
        <v>301</v>
      </c>
    </row>
    <row r="7411" spans="1:20" x14ac:dyDescent="0.25">
      <c r="A7411">
        <v>9</v>
      </c>
      <c r="B7411">
        <v>199</v>
      </c>
      <c r="C7411" t="str">
        <f>"11"</f>
        <v>11</v>
      </c>
      <c r="D7411">
        <v>6649</v>
      </c>
      <c r="E7411" t="str">
        <f t="shared" si="1647"/>
        <v>10</v>
      </c>
      <c r="F7411" t="str">
        <f t="shared" si="1648"/>
        <v>001</v>
      </c>
      <c r="G7411">
        <v>9</v>
      </c>
      <c r="H7411" t="str">
        <f>"11"</f>
        <v>11</v>
      </c>
      <c r="I7411" t="str">
        <f t="shared" si="1642"/>
        <v>0</v>
      </c>
      <c r="J7411" t="str">
        <f t="shared" si="1649"/>
        <v>01</v>
      </c>
      <c r="K7411">
        <v>20190719</v>
      </c>
      <c r="L7411" t="str">
        <f t="shared" si="1650"/>
        <v>077470</v>
      </c>
      <c r="M7411" t="str">
        <f t="shared" si="1651"/>
        <v>65106</v>
      </c>
      <c r="N7411" t="s">
        <v>1175</v>
      </c>
      <c r="O7411">
        <v>988</v>
      </c>
      <c r="P7411">
        <v>20190718</v>
      </c>
      <c r="Q7411" t="s">
        <v>5617</v>
      </c>
      <c r="R7411" t="s">
        <v>5835</v>
      </c>
      <c r="S7411" t="s">
        <v>1615</v>
      </c>
      <c r="T7411" t="s">
        <v>301</v>
      </c>
    </row>
    <row r="7412" spans="1:20" x14ac:dyDescent="0.25">
      <c r="A7412">
        <v>9</v>
      </c>
      <c r="B7412">
        <v>199</v>
      </c>
      <c r="C7412" t="str">
        <f>"23"</f>
        <v>23</v>
      </c>
      <c r="D7412">
        <v>6498</v>
      </c>
      <c r="E7412" t="str">
        <f t="shared" si="1647"/>
        <v>10</v>
      </c>
      <c r="F7412" t="str">
        <f t="shared" si="1648"/>
        <v>001</v>
      </c>
      <c r="G7412">
        <v>9</v>
      </c>
      <c r="H7412" t="str">
        <f t="shared" ref="H7412:H7418" si="1652">"99"</f>
        <v>99</v>
      </c>
      <c r="I7412" t="str">
        <f t="shared" ref="I7412:I7420" si="1653">"0"</f>
        <v>0</v>
      </c>
      <c r="J7412" t="str">
        <f t="shared" si="1649"/>
        <v>01</v>
      </c>
      <c r="K7412">
        <v>20190719</v>
      </c>
      <c r="L7412" t="str">
        <f t="shared" si="1650"/>
        <v>077470</v>
      </c>
      <c r="M7412" t="str">
        <f t="shared" si="1651"/>
        <v>65106</v>
      </c>
      <c r="N7412" t="s">
        <v>1175</v>
      </c>
      <c r="O7412">
        <v>504.94</v>
      </c>
      <c r="P7412">
        <v>20190718</v>
      </c>
      <c r="Q7412" t="s">
        <v>2108</v>
      </c>
      <c r="R7412" t="s">
        <v>5836</v>
      </c>
      <c r="S7412" t="s">
        <v>1615</v>
      </c>
      <c r="T7412" t="s">
        <v>301</v>
      </c>
    </row>
    <row r="7413" spans="1:20" x14ac:dyDescent="0.25">
      <c r="A7413">
        <v>9</v>
      </c>
      <c r="B7413">
        <v>199</v>
      </c>
      <c r="C7413" t="str">
        <f>"23"</f>
        <v>23</v>
      </c>
      <c r="D7413">
        <v>6498</v>
      </c>
      <c r="E7413" t="str">
        <f t="shared" si="1647"/>
        <v>10</v>
      </c>
      <c r="F7413" t="str">
        <f t="shared" si="1648"/>
        <v>001</v>
      </c>
      <c r="G7413">
        <v>9</v>
      </c>
      <c r="H7413" t="str">
        <f t="shared" si="1652"/>
        <v>99</v>
      </c>
      <c r="I7413" t="str">
        <f t="shared" si="1653"/>
        <v>0</v>
      </c>
      <c r="J7413" t="str">
        <f t="shared" si="1649"/>
        <v>01</v>
      </c>
      <c r="K7413">
        <v>20190719</v>
      </c>
      <c r="L7413" t="str">
        <f t="shared" si="1650"/>
        <v>077470</v>
      </c>
      <c r="M7413" t="str">
        <f t="shared" si="1651"/>
        <v>65106</v>
      </c>
      <c r="N7413" t="s">
        <v>1175</v>
      </c>
      <c r="O7413">
        <v>685.22</v>
      </c>
      <c r="P7413">
        <v>20190718</v>
      </c>
      <c r="Q7413" t="s">
        <v>2108</v>
      </c>
      <c r="R7413" t="s">
        <v>5836</v>
      </c>
      <c r="S7413" t="s">
        <v>1615</v>
      </c>
      <c r="T7413" t="s">
        <v>301</v>
      </c>
    </row>
    <row r="7414" spans="1:20" x14ac:dyDescent="0.25">
      <c r="A7414">
        <v>9</v>
      </c>
      <c r="B7414">
        <v>199</v>
      </c>
      <c r="C7414" t="str">
        <f>"36"</f>
        <v>36</v>
      </c>
      <c r="D7414">
        <v>6399</v>
      </c>
      <c r="E7414" t="str">
        <f>"8S"</f>
        <v>8S</v>
      </c>
      <c r="F7414" t="str">
        <f t="shared" si="1648"/>
        <v>001</v>
      </c>
      <c r="G7414">
        <v>9</v>
      </c>
      <c r="H7414" t="str">
        <f t="shared" si="1652"/>
        <v>99</v>
      </c>
      <c r="I7414" t="str">
        <f t="shared" si="1653"/>
        <v>0</v>
      </c>
      <c r="J7414" t="str">
        <f t="shared" si="1649"/>
        <v>01</v>
      </c>
      <c r="K7414">
        <v>20190719</v>
      </c>
      <c r="L7414" t="str">
        <f t="shared" si="1650"/>
        <v>077470</v>
      </c>
      <c r="M7414" t="str">
        <f t="shared" si="1651"/>
        <v>65106</v>
      </c>
      <c r="N7414" t="s">
        <v>1175</v>
      </c>
      <c r="O7414">
        <v>501.7</v>
      </c>
      <c r="P7414">
        <v>20190718</v>
      </c>
      <c r="Q7414" t="s">
        <v>1780</v>
      </c>
      <c r="R7414" t="s">
        <v>5837</v>
      </c>
      <c r="S7414" t="s">
        <v>1615</v>
      </c>
      <c r="T7414" t="s">
        <v>301</v>
      </c>
    </row>
    <row r="7415" spans="1:20" x14ac:dyDescent="0.25">
      <c r="A7415">
        <v>9</v>
      </c>
      <c r="B7415">
        <v>199</v>
      </c>
      <c r="C7415" t="str">
        <f>"41"</f>
        <v>41</v>
      </c>
      <c r="D7415">
        <v>6399</v>
      </c>
      <c r="E7415" t="str">
        <f>"10"</f>
        <v>10</v>
      </c>
      <c r="F7415" t="str">
        <f>"730"</f>
        <v>730</v>
      </c>
      <c r="G7415">
        <v>9</v>
      </c>
      <c r="H7415" t="str">
        <f t="shared" si="1652"/>
        <v>99</v>
      </c>
      <c r="I7415" t="str">
        <f t="shared" si="1653"/>
        <v>0</v>
      </c>
      <c r="J7415" t="str">
        <f>"95"</f>
        <v>95</v>
      </c>
      <c r="K7415">
        <v>20190719</v>
      </c>
      <c r="L7415" t="str">
        <f t="shared" si="1650"/>
        <v>077470</v>
      </c>
      <c r="M7415" t="str">
        <f t="shared" si="1651"/>
        <v>65106</v>
      </c>
      <c r="N7415" t="s">
        <v>1175</v>
      </c>
      <c r="O7415">
        <v>197.16</v>
      </c>
      <c r="P7415">
        <v>20190718</v>
      </c>
      <c r="Q7415" t="s">
        <v>1987</v>
      </c>
      <c r="R7415" t="s">
        <v>641</v>
      </c>
      <c r="S7415" t="s">
        <v>1615</v>
      </c>
      <c r="T7415" t="s">
        <v>1794</v>
      </c>
    </row>
    <row r="7416" spans="1:20" x14ac:dyDescent="0.25">
      <c r="A7416">
        <v>9</v>
      </c>
      <c r="B7416">
        <v>199</v>
      </c>
      <c r="C7416" t="str">
        <f>"41"</f>
        <v>41</v>
      </c>
      <c r="D7416">
        <v>6399</v>
      </c>
      <c r="E7416" t="str">
        <f>"10"</f>
        <v>10</v>
      </c>
      <c r="F7416" t="str">
        <f>"730"</f>
        <v>730</v>
      </c>
      <c r="G7416">
        <v>9</v>
      </c>
      <c r="H7416" t="str">
        <f t="shared" si="1652"/>
        <v>99</v>
      </c>
      <c r="I7416" t="str">
        <f t="shared" si="1653"/>
        <v>0</v>
      </c>
      <c r="J7416" t="str">
        <f>"95"</f>
        <v>95</v>
      </c>
      <c r="K7416">
        <v>20190719</v>
      </c>
      <c r="L7416" t="str">
        <f t="shared" si="1650"/>
        <v>077470</v>
      </c>
      <c r="M7416" t="str">
        <f t="shared" si="1651"/>
        <v>65106</v>
      </c>
      <c r="N7416" t="s">
        <v>1175</v>
      </c>
      <c r="O7416">
        <v>153.41</v>
      </c>
      <c r="P7416">
        <v>20190718</v>
      </c>
      <c r="Q7416" t="s">
        <v>1987</v>
      </c>
      <c r="R7416" t="s">
        <v>641</v>
      </c>
      <c r="S7416" t="s">
        <v>1615</v>
      </c>
      <c r="T7416" t="s">
        <v>1794</v>
      </c>
    </row>
    <row r="7417" spans="1:20" x14ac:dyDescent="0.25">
      <c r="A7417">
        <v>9</v>
      </c>
      <c r="B7417">
        <v>199</v>
      </c>
      <c r="C7417" t="str">
        <f>"41"</f>
        <v>41</v>
      </c>
      <c r="D7417">
        <v>6498</v>
      </c>
      <c r="E7417" t="str">
        <f>"10"</f>
        <v>10</v>
      </c>
      <c r="F7417" t="str">
        <f>"702"</f>
        <v>702</v>
      </c>
      <c r="G7417">
        <v>9</v>
      </c>
      <c r="H7417" t="str">
        <f t="shared" si="1652"/>
        <v>99</v>
      </c>
      <c r="I7417" t="str">
        <f t="shared" si="1653"/>
        <v>0</v>
      </c>
      <c r="J7417" t="str">
        <f>"93"</f>
        <v>93</v>
      </c>
      <c r="K7417">
        <v>20190719</v>
      </c>
      <c r="L7417" t="str">
        <f t="shared" si="1650"/>
        <v>077470</v>
      </c>
      <c r="M7417" t="str">
        <f t="shared" si="1651"/>
        <v>65106</v>
      </c>
      <c r="N7417" t="s">
        <v>1175</v>
      </c>
      <c r="O7417">
        <v>332.68</v>
      </c>
      <c r="P7417">
        <v>20190718</v>
      </c>
      <c r="Q7417" t="s">
        <v>2458</v>
      </c>
      <c r="R7417" t="s">
        <v>5838</v>
      </c>
      <c r="S7417" t="s">
        <v>1615</v>
      </c>
      <c r="T7417" t="s">
        <v>1611</v>
      </c>
    </row>
    <row r="7418" spans="1:20" x14ac:dyDescent="0.25">
      <c r="A7418">
        <v>9</v>
      </c>
      <c r="B7418">
        <v>199</v>
      </c>
      <c r="C7418" t="str">
        <f>"41"</f>
        <v>41</v>
      </c>
      <c r="D7418">
        <v>6498</v>
      </c>
      <c r="E7418" t="str">
        <f>"10"</f>
        <v>10</v>
      </c>
      <c r="F7418" t="str">
        <f>"702"</f>
        <v>702</v>
      </c>
      <c r="G7418">
        <v>9</v>
      </c>
      <c r="H7418" t="str">
        <f t="shared" si="1652"/>
        <v>99</v>
      </c>
      <c r="I7418" t="str">
        <f t="shared" si="1653"/>
        <v>0</v>
      </c>
      <c r="J7418" t="str">
        <f>"93"</f>
        <v>93</v>
      </c>
      <c r="K7418">
        <v>20190719</v>
      </c>
      <c r="L7418" t="str">
        <f t="shared" si="1650"/>
        <v>077470</v>
      </c>
      <c r="M7418" t="str">
        <f t="shared" si="1651"/>
        <v>65106</v>
      </c>
      <c r="N7418" t="s">
        <v>1175</v>
      </c>
      <c r="O7418">
        <v>546.05999999999995</v>
      </c>
      <c r="P7418">
        <v>20190718</v>
      </c>
      <c r="Q7418" t="s">
        <v>2458</v>
      </c>
      <c r="R7418" t="s">
        <v>5838</v>
      </c>
      <c r="S7418" t="s">
        <v>1615</v>
      </c>
      <c r="T7418" t="s">
        <v>1611</v>
      </c>
    </row>
    <row r="7419" spans="1:20" x14ac:dyDescent="0.25">
      <c r="A7419">
        <v>9</v>
      </c>
      <c r="B7419">
        <v>199</v>
      </c>
      <c r="C7419" t="str">
        <f>"11"</f>
        <v>11</v>
      </c>
      <c r="D7419">
        <v>6399</v>
      </c>
      <c r="E7419" t="str">
        <f>"NL"</f>
        <v>NL</v>
      </c>
      <c r="F7419" t="str">
        <f>"001"</f>
        <v>001</v>
      </c>
      <c r="G7419">
        <v>9</v>
      </c>
      <c r="H7419" t="str">
        <f>"22"</f>
        <v>22</v>
      </c>
      <c r="I7419" t="str">
        <f t="shared" si="1653"/>
        <v>0</v>
      </c>
      <c r="J7419" t="str">
        <f>"22"</f>
        <v>22</v>
      </c>
      <c r="K7419">
        <v>20190719</v>
      </c>
      <c r="L7419" t="str">
        <f>"077471"</f>
        <v>077471</v>
      </c>
      <c r="M7419" t="str">
        <f>"65934"</f>
        <v>65934</v>
      </c>
      <c r="N7419" t="s">
        <v>5839</v>
      </c>
      <c r="O7419">
        <v>47.68</v>
      </c>
      <c r="P7419">
        <v>20190718</v>
      </c>
      <c r="Q7419" t="s">
        <v>1896</v>
      </c>
      <c r="R7419" t="s">
        <v>5840</v>
      </c>
      <c r="S7419" t="s">
        <v>1615</v>
      </c>
      <c r="T7419" t="s">
        <v>301</v>
      </c>
    </row>
    <row r="7420" spans="1:20" x14ac:dyDescent="0.25">
      <c r="A7420">
        <v>9</v>
      </c>
      <c r="B7420">
        <v>199</v>
      </c>
      <c r="C7420" t="str">
        <f>"11"</f>
        <v>11</v>
      </c>
      <c r="D7420">
        <v>6399</v>
      </c>
      <c r="E7420" t="str">
        <f>"NL"</f>
        <v>NL</v>
      </c>
      <c r="F7420" t="str">
        <f>"001"</f>
        <v>001</v>
      </c>
      <c r="G7420">
        <v>9</v>
      </c>
      <c r="H7420" t="str">
        <f>"22"</f>
        <v>22</v>
      </c>
      <c r="I7420" t="str">
        <f t="shared" si="1653"/>
        <v>0</v>
      </c>
      <c r="J7420" t="str">
        <f>"22"</f>
        <v>22</v>
      </c>
      <c r="K7420">
        <v>20190719</v>
      </c>
      <c r="L7420" t="str">
        <f>"077471"</f>
        <v>077471</v>
      </c>
      <c r="M7420" t="str">
        <f>"65934"</f>
        <v>65934</v>
      </c>
      <c r="N7420" t="s">
        <v>5839</v>
      </c>
      <c r="O7420">
        <v>47.68</v>
      </c>
      <c r="P7420">
        <v>20190718</v>
      </c>
      <c r="Q7420" t="s">
        <v>1896</v>
      </c>
      <c r="R7420" t="s">
        <v>5840</v>
      </c>
      <c r="S7420" t="s">
        <v>1615</v>
      </c>
      <c r="T7420" t="s">
        <v>301</v>
      </c>
    </row>
    <row r="7421" spans="1:20" x14ac:dyDescent="0.25">
      <c r="A7421">
        <v>9</v>
      </c>
      <c r="B7421">
        <v>199</v>
      </c>
      <c r="C7421" t="str">
        <f t="shared" ref="C7421:C7443" si="1654">"34"</f>
        <v>34</v>
      </c>
      <c r="D7421">
        <v>6411</v>
      </c>
      <c r="E7421" t="str">
        <f t="shared" ref="E7421:E7443" si="1655">"10"</f>
        <v>10</v>
      </c>
      <c r="F7421" t="str">
        <f t="shared" ref="F7421:F7443" si="1656">"937"</f>
        <v>937</v>
      </c>
      <c r="G7421">
        <v>9</v>
      </c>
      <c r="H7421" t="str">
        <f t="shared" ref="H7421:H7450" si="1657">"99"</f>
        <v>99</v>
      </c>
      <c r="I7421" t="str">
        <f>"1"</f>
        <v>1</v>
      </c>
      <c r="J7421" t="str">
        <f t="shared" ref="J7421:J7449" si="1658">"82"</f>
        <v>82</v>
      </c>
      <c r="K7421">
        <v>20190719</v>
      </c>
      <c r="L7421" t="str">
        <f>"077473"</f>
        <v>077473</v>
      </c>
      <c r="M7421" t="str">
        <f>"71149"</f>
        <v>71149</v>
      </c>
      <c r="N7421" t="s">
        <v>2530</v>
      </c>
      <c r="O7421">
        <v>23.1</v>
      </c>
      <c r="P7421">
        <v>20190718</v>
      </c>
      <c r="Q7421" t="s">
        <v>4885</v>
      </c>
      <c r="R7421" t="s">
        <v>5087</v>
      </c>
      <c r="S7421" t="s">
        <v>1615</v>
      </c>
      <c r="T7421" t="s">
        <v>1810</v>
      </c>
    </row>
    <row r="7422" spans="1:20" x14ac:dyDescent="0.25">
      <c r="A7422">
        <v>9</v>
      </c>
      <c r="B7422">
        <v>199</v>
      </c>
      <c r="C7422" t="str">
        <f t="shared" si="1654"/>
        <v>34</v>
      </c>
      <c r="D7422">
        <v>6249</v>
      </c>
      <c r="E7422" t="str">
        <f t="shared" si="1655"/>
        <v>10</v>
      </c>
      <c r="F7422" t="str">
        <f t="shared" si="1656"/>
        <v>937</v>
      </c>
      <c r="G7422">
        <v>9</v>
      </c>
      <c r="H7422" t="str">
        <f t="shared" si="1657"/>
        <v>99</v>
      </c>
      <c r="I7422" t="str">
        <f t="shared" ref="I7422:I7453" si="1659">"0"</f>
        <v>0</v>
      </c>
      <c r="J7422" t="str">
        <f t="shared" si="1658"/>
        <v>82</v>
      </c>
      <c r="K7422">
        <v>20190719</v>
      </c>
      <c r="L7422" t="str">
        <f t="shared" ref="L7422:L7449" si="1660">"077474"</f>
        <v>077474</v>
      </c>
      <c r="M7422" t="str">
        <f t="shared" ref="M7422:M7449" si="1661">"71225"</f>
        <v>71225</v>
      </c>
      <c r="N7422" t="s">
        <v>1803</v>
      </c>
      <c r="O7422">
        <v>7</v>
      </c>
      <c r="P7422">
        <v>20190718</v>
      </c>
      <c r="Q7422" t="s">
        <v>2036</v>
      </c>
      <c r="R7422" t="s">
        <v>5841</v>
      </c>
      <c r="S7422" t="s">
        <v>1615</v>
      </c>
      <c r="T7422" t="s">
        <v>1810</v>
      </c>
    </row>
    <row r="7423" spans="1:20" x14ac:dyDescent="0.25">
      <c r="A7423">
        <v>9</v>
      </c>
      <c r="B7423">
        <v>199</v>
      </c>
      <c r="C7423" t="str">
        <f t="shared" si="1654"/>
        <v>34</v>
      </c>
      <c r="D7423">
        <v>6249</v>
      </c>
      <c r="E7423" t="str">
        <f t="shared" si="1655"/>
        <v>10</v>
      </c>
      <c r="F7423" t="str">
        <f t="shared" si="1656"/>
        <v>937</v>
      </c>
      <c r="G7423">
        <v>9</v>
      </c>
      <c r="H7423" t="str">
        <f t="shared" si="1657"/>
        <v>99</v>
      </c>
      <c r="I7423" t="str">
        <f t="shared" si="1659"/>
        <v>0</v>
      </c>
      <c r="J7423" t="str">
        <f t="shared" si="1658"/>
        <v>82</v>
      </c>
      <c r="K7423">
        <v>20190719</v>
      </c>
      <c r="L7423" t="str">
        <f t="shared" si="1660"/>
        <v>077474</v>
      </c>
      <c r="M7423" t="str">
        <f t="shared" si="1661"/>
        <v>71225</v>
      </c>
      <c r="N7423" t="s">
        <v>1803</v>
      </c>
      <c r="O7423">
        <v>7</v>
      </c>
      <c r="P7423">
        <v>20190718</v>
      </c>
      <c r="Q7423" t="s">
        <v>2036</v>
      </c>
      <c r="R7423" t="s">
        <v>5842</v>
      </c>
      <c r="S7423" t="s">
        <v>1615</v>
      </c>
      <c r="T7423" t="s">
        <v>1810</v>
      </c>
    </row>
    <row r="7424" spans="1:20" x14ac:dyDescent="0.25">
      <c r="A7424">
        <v>9</v>
      </c>
      <c r="B7424">
        <v>199</v>
      </c>
      <c r="C7424" t="str">
        <f t="shared" si="1654"/>
        <v>34</v>
      </c>
      <c r="D7424">
        <v>6249</v>
      </c>
      <c r="E7424" t="str">
        <f t="shared" si="1655"/>
        <v>10</v>
      </c>
      <c r="F7424" t="str">
        <f t="shared" si="1656"/>
        <v>937</v>
      </c>
      <c r="G7424">
        <v>9</v>
      </c>
      <c r="H7424" t="str">
        <f t="shared" si="1657"/>
        <v>99</v>
      </c>
      <c r="I7424" t="str">
        <f t="shared" si="1659"/>
        <v>0</v>
      </c>
      <c r="J7424" t="str">
        <f t="shared" si="1658"/>
        <v>82</v>
      </c>
      <c r="K7424">
        <v>20190719</v>
      </c>
      <c r="L7424" t="str">
        <f t="shared" si="1660"/>
        <v>077474</v>
      </c>
      <c r="M7424" t="str">
        <f t="shared" si="1661"/>
        <v>71225</v>
      </c>
      <c r="N7424" t="s">
        <v>1803</v>
      </c>
      <c r="O7424">
        <v>7</v>
      </c>
      <c r="P7424">
        <v>20190718</v>
      </c>
      <c r="Q7424" t="s">
        <v>2036</v>
      </c>
      <c r="R7424" t="s">
        <v>5843</v>
      </c>
      <c r="S7424" t="s">
        <v>1615</v>
      </c>
      <c r="T7424" t="s">
        <v>1810</v>
      </c>
    </row>
    <row r="7425" spans="1:20" x14ac:dyDescent="0.25">
      <c r="A7425">
        <v>9</v>
      </c>
      <c r="B7425">
        <v>199</v>
      </c>
      <c r="C7425" t="str">
        <f t="shared" si="1654"/>
        <v>34</v>
      </c>
      <c r="D7425">
        <v>6249</v>
      </c>
      <c r="E7425" t="str">
        <f t="shared" si="1655"/>
        <v>10</v>
      </c>
      <c r="F7425" t="str">
        <f t="shared" si="1656"/>
        <v>937</v>
      </c>
      <c r="G7425">
        <v>9</v>
      </c>
      <c r="H7425" t="str">
        <f t="shared" si="1657"/>
        <v>99</v>
      </c>
      <c r="I7425" t="str">
        <f t="shared" si="1659"/>
        <v>0</v>
      </c>
      <c r="J7425" t="str">
        <f t="shared" si="1658"/>
        <v>82</v>
      </c>
      <c r="K7425">
        <v>20190719</v>
      </c>
      <c r="L7425" t="str">
        <f t="shared" si="1660"/>
        <v>077474</v>
      </c>
      <c r="M7425" t="str">
        <f t="shared" si="1661"/>
        <v>71225</v>
      </c>
      <c r="N7425" t="s">
        <v>1803</v>
      </c>
      <c r="O7425">
        <v>685.02</v>
      </c>
      <c r="P7425">
        <v>20190718</v>
      </c>
      <c r="Q7425" t="s">
        <v>2036</v>
      </c>
      <c r="R7425" t="s">
        <v>5844</v>
      </c>
      <c r="S7425" t="s">
        <v>1615</v>
      </c>
      <c r="T7425" t="s">
        <v>1810</v>
      </c>
    </row>
    <row r="7426" spans="1:20" x14ac:dyDescent="0.25">
      <c r="A7426">
        <v>9</v>
      </c>
      <c r="B7426">
        <v>199</v>
      </c>
      <c r="C7426" t="str">
        <f t="shared" si="1654"/>
        <v>34</v>
      </c>
      <c r="D7426">
        <v>6249</v>
      </c>
      <c r="E7426" t="str">
        <f t="shared" si="1655"/>
        <v>10</v>
      </c>
      <c r="F7426" t="str">
        <f t="shared" si="1656"/>
        <v>937</v>
      </c>
      <c r="G7426">
        <v>9</v>
      </c>
      <c r="H7426" t="str">
        <f t="shared" si="1657"/>
        <v>99</v>
      </c>
      <c r="I7426" t="str">
        <f t="shared" si="1659"/>
        <v>0</v>
      </c>
      <c r="J7426" t="str">
        <f t="shared" si="1658"/>
        <v>82</v>
      </c>
      <c r="K7426">
        <v>20190719</v>
      </c>
      <c r="L7426" t="str">
        <f t="shared" si="1660"/>
        <v>077474</v>
      </c>
      <c r="M7426" t="str">
        <f t="shared" si="1661"/>
        <v>71225</v>
      </c>
      <c r="N7426" t="s">
        <v>1803</v>
      </c>
      <c r="O7426">
        <v>40</v>
      </c>
      <c r="P7426">
        <v>20190718</v>
      </c>
      <c r="Q7426" t="s">
        <v>2036</v>
      </c>
      <c r="R7426" t="s">
        <v>5845</v>
      </c>
      <c r="S7426" t="s">
        <v>1615</v>
      </c>
      <c r="T7426" t="s">
        <v>1810</v>
      </c>
    </row>
    <row r="7427" spans="1:20" x14ac:dyDescent="0.25">
      <c r="A7427">
        <v>9</v>
      </c>
      <c r="B7427">
        <v>199</v>
      </c>
      <c r="C7427" t="str">
        <f t="shared" si="1654"/>
        <v>34</v>
      </c>
      <c r="D7427">
        <v>6249</v>
      </c>
      <c r="E7427" t="str">
        <f t="shared" si="1655"/>
        <v>10</v>
      </c>
      <c r="F7427" t="str">
        <f t="shared" si="1656"/>
        <v>937</v>
      </c>
      <c r="G7427">
        <v>9</v>
      </c>
      <c r="H7427" t="str">
        <f t="shared" si="1657"/>
        <v>99</v>
      </c>
      <c r="I7427" t="str">
        <f t="shared" si="1659"/>
        <v>0</v>
      </c>
      <c r="J7427" t="str">
        <f t="shared" si="1658"/>
        <v>82</v>
      </c>
      <c r="K7427">
        <v>20190719</v>
      </c>
      <c r="L7427" t="str">
        <f t="shared" si="1660"/>
        <v>077474</v>
      </c>
      <c r="M7427" t="str">
        <f t="shared" si="1661"/>
        <v>71225</v>
      </c>
      <c r="N7427" t="s">
        <v>1803</v>
      </c>
      <c r="O7427">
        <v>40</v>
      </c>
      <c r="P7427">
        <v>20190718</v>
      </c>
      <c r="Q7427" t="s">
        <v>2036</v>
      </c>
      <c r="R7427" t="s">
        <v>5846</v>
      </c>
      <c r="S7427" t="s">
        <v>1615</v>
      </c>
      <c r="T7427" t="s">
        <v>1810</v>
      </c>
    </row>
    <row r="7428" spans="1:20" x14ac:dyDescent="0.25">
      <c r="A7428">
        <v>9</v>
      </c>
      <c r="B7428">
        <v>199</v>
      </c>
      <c r="C7428" t="str">
        <f t="shared" si="1654"/>
        <v>34</v>
      </c>
      <c r="D7428">
        <v>6249</v>
      </c>
      <c r="E7428" t="str">
        <f t="shared" si="1655"/>
        <v>10</v>
      </c>
      <c r="F7428" t="str">
        <f t="shared" si="1656"/>
        <v>937</v>
      </c>
      <c r="G7428">
        <v>9</v>
      </c>
      <c r="H7428" t="str">
        <f t="shared" si="1657"/>
        <v>99</v>
      </c>
      <c r="I7428" t="str">
        <f t="shared" si="1659"/>
        <v>0</v>
      </c>
      <c r="J7428" t="str">
        <f t="shared" si="1658"/>
        <v>82</v>
      </c>
      <c r="K7428">
        <v>20190719</v>
      </c>
      <c r="L7428" t="str">
        <f t="shared" si="1660"/>
        <v>077474</v>
      </c>
      <c r="M7428" t="str">
        <f t="shared" si="1661"/>
        <v>71225</v>
      </c>
      <c r="N7428" t="s">
        <v>1803</v>
      </c>
      <c r="O7428">
        <v>40</v>
      </c>
      <c r="P7428">
        <v>20190718</v>
      </c>
      <c r="Q7428" t="s">
        <v>2036</v>
      </c>
      <c r="R7428" t="s">
        <v>5847</v>
      </c>
      <c r="S7428" t="s">
        <v>1615</v>
      </c>
      <c r="T7428" t="s">
        <v>1810</v>
      </c>
    </row>
    <row r="7429" spans="1:20" x14ac:dyDescent="0.25">
      <c r="A7429">
        <v>9</v>
      </c>
      <c r="B7429">
        <v>199</v>
      </c>
      <c r="C7429" t="str">
        <f t="shared" si="1654"/>
        <v>34</v>
      </c>
      <c r="D7429">
        <v>6249</v>
      </c>
      <c r="E7429" t="str">
        <f t="shared" si="1655"/>
        <v>10</v>
      </c>
      <c r="F7429" t="str">
        <f t="shared" si="1656"/>
        <v>937</v>
      </c>
      <c r="G7429">
        <v>9</v>
      </c>
      <c r="H7429" t="str">
        <f t="shared" si="1657"/>
        <v>99</v>
      </c>
      <c r="I7429" t="str">
        <f t="shared" si="1659"/>
        <v>0</v>
      </c>
      <c r="J7429" t="str">
        <f t="shared" si="1658"/>
        <v>82</v>
      </c>
      <c r="K7429">
        <v>20190719</v>
      </c>
      <c r="L7429" t="str">
        <f t="shared" si="1660"/>
        <v>077474</v>
      </c>
      <c r="M7429" t="str">
        <f t="shared" si="1661"/>
        <v>71225</v>
      </c>
      <c r="N7429" t="s">
        <v>1803</v>
      </c>
      <c r="O7429">
        <v>40</v>
      </c>
      <c r="P7429">
        <v>20190718</v>
      </c>
      <c r="Q7429" t="s">
        <v>2036</v>
      </c>
      <c r="R7429" t="s">
        <v>5848</v>
      </c>
      <c r="S7429" t="s">
        <v>1615</v>
      </c>
      <c r="T7429" t="s">
        <v>1810</v>
      </c>
    </row>
    <row r="7430" spans="1:20" x14ac:dyDescent="0.25">
      <c r="A7430">
        <v>9</v>
      </c>
      <c r="B7430">
        <v>199</v>
      </c>
      <c r="C7430" t="str">
        <f t="shared" si="1654"/>
        <v>34</v>
      </c>
      <c r="D7430">
        <v>6249</v>
      </c>
      <c r="E7430" t="str">
        <f t="shared" si="1655"/>
        <v>10</v>
      </c>
      <c r="F7430" t="str">
        <f t="shared" si="1656"/>
        <v>937</v>
      </c>
      <c r="G7430">
        <v>9</v>
      </c>
      <c r="H7430" t="str">
        <f t="shared" si="1657"/>
        <v>99</v>
      </c>
      <c r="I7430" t="str">
        <f t="shared" si="1659"/>
        <v>0</v>
      </c>
      <c r="J7430" t="str">
        <f t="shared" si="1658"/>
        <v>82</v>
      </c>
      <c r="K7430">
        <v>20190719</v>
      </c>
      <c r="L7430" t="str">
        <f t="shared" si="1660"/>
        <v>077474</v>
      </c>
      <c r="M7430" t="str">
        <f t="shared" si="1661"/>
        <v>71225</v>
      </c>
      <c r="N7430" t="s">
        <v>1803</v>
      </c>
      <c r="O7430">
        <v>40</v>
      </c>
      <c r="P7430">
        <v>20190718</v>
      </c>
      <c r="Q7430" t="s">
        <v>2036</v>
      </c>
      <c r="R7430" t="s">
        <v>5849</v>
      </c>
      <c r="S7430" t="s">
        <v>1615</v>
      </c>
      <c r="T7430" t="s">
        <v>1810</v>
      </c>
    </row>
    <row r="7431" spans="1:20" x14ac:dyDescent="0.25">
      <c r="A7431">
        <v>9</v>
      </c>
      <c r="B7431">
        <v>199</v>
      </c>
      <c r="C7431" t="str">
        <f t="shared" si="1654"/>
        <v>34</v>
      </c>
      <c r="D7431">
        <v>6249</v>
      </c>
      <c r="E7431" t="str">
        <f t="shared" si="1655"/>
        <v>10</v>
      </c>
      <c r="F7431" t="str">
        <f t="shared" si="1656"/>
        <v>937</v>
      </c>
      <c r="G7431">
        <v>9</v>
      </c>
      <c r="H7431" t="str">
        <f t="shared" si="1657"/>
        <v>99</v>
      </c>
      <c r="I7431" t="str">
        <f t="shared" si="1659"/>
        <v>0</v>
      </c>
      <c r="J7431" t="str">
        <f t="shared" si="1658"/>
        <v>82</v>
      </c>
      <c r="K7431">
        <v>20190719</v>
      </c>
      <c r="L7431" t="str">
        <f t="shared" si="1660"/>
        <v>077474</v>
      </c>
      <c r="M7431" t="str">
        <f t="shared" si="1661"/>
        <v>71225</v>
      </c>
      <c r="N7431" t="s">
        <v>1803</v>
      </c>
      <c r="O7431">
        <v>40</v>
      </c>
      <c r="P7431">
        <v>20190718</v>
      </c>
      <c r="Q7431" t="s">
        <v>2036</v>
      </c>
      <c r="R7431" t="s">
        <v>5850</v>
      </c>
      <c r="S7431" t="s">
        <v>1615</v>
      </c>
      <c r="T7431" t="s">
        <v>1810</v>
      </c>
    </row>
    <row r="7432" spans="1:20" x14ac:dyDescent="0.25">
      <c r="A7432">
        <v>9</v>
      </c>
      <c r="B7432">
        <v>199</v>
      </c>
      <c r="C7432" t="str">
        <f t="shared" si="1654"/>
        <v>34</v>
      </c>
      <c r="D7432">
        <v>6249</v>
      </c>
      <c r="E7432" t="str">
        <f t="shared" si="1655"/>
        <v>10</v>
      </c>
      <c r="F7432" t="str">
        <f t="shared" si="1656"/>
        <v>937</v>
      </c>
      <c r="G7432">
        <v>9</v>
      </c>
      <c r="H7432" t="str">
        <f t="shared" si="1657"/>
        <v>99</v>
      </c>
      <c r="I7432" t="str">
        <f t="shared" si="1659"/>
        <v>0</v>
      </c>
      <c r="J7432" t="str">
        <f t="shared" si="1658"/>
        <v>82</v>
      </c>
      <c r="K7432">
        <v>20190719</v>
      </c>
      <c r="L7432" t="str">
        <f t="shared" si="1660"/>
        <v>077474</v>
      </c>
      <c r="M7432" t="str">
        <f t="shared" si="1661"/>
        <v>71225</v>
      </c>
      <c r="N7432" t="s">
        <v>1803</v>
      </c>
      <c r="O7432">
        <v>40</v>
      </c>
      <c r="P7432">
        <v>20190718</v>
      </c>
      <c r="Q7432" t="s">
        <v>2036</v>
      </c>
      <c r="R7432" t="s">
        <v>5851</v>
      </c>
      <c r="S7432" t="s">
        <v>1615</v>
      </c>
      <c r="T7432" t="s">
        <v>1810</v>
      </c>
    </row>
    <row r="7433" spans="1:20" x14ac:dyDescent="0.25">
      <c r="A7433">
        <v>9</v>
      </c>
      <c r="B7433">
        <v>199</v>
      </c>
      <c r="C7433" t="str">
        <f t="shared" si="1654"/>
        <v>34</v>
      </c>
      <c r="D7433">
        <v>6249</v>
      </c>
      <c r="E7433" t="str">
        <f t="shared" si="1655"/>
        <v>10</v>
      </c>
      <c r="F7433" t="str">
        <f t="shared" si="1656"/>
        <v>937</v>
      </c>
      <c r="G7433">
        <v>9</v>
      </c>
      <c r="H7433" t="str">
        <f t="shared" si="1657"/>
        <v>99</v>
      </c>
      <c r="I7433" t="str">
        <f t="shared" si="1659"/>
        <v>0</v>
      </c>
      <c r="J7433" t="str">
        <f t="shared" si="1658"/>
        <v>82</v>
      </c>
      <c r="K7433">
        <v>20190719</v>
      </c>
      <c r="L7433" t="str">
        <f t="shared" si="1660"/>
        <v>077474</v>
      </c>
      <c r="M7433" t="str">
        <f t="shared" si="1661"/>
        <v>71225</v>
      </c>
      <c r="N7433" t="s">
        <v>1803</v>
      </c>
      <c r="O7433">
        <v>81.98</v>
      </c>
      <c r="P7433">
        <v>20190718</v>
      </c>
      <c r="Q7433" t="s">
        <v>2036</v>
      </c>
      <c r="R7433" t="s">
        <v>5852</v>
      </c>
      <c r="S7433" t="s">
        <v>1615</v>
      </c>
      <c r="T7433" t="s">
        <v>1810</v>
      </c>
    </row>
    <row r="7434" spans="1:20" x14ac:dyDescent="0.25">
      <c r="A7434">
        <v>9</v>
      </c>
      <c r="B7434">
        <v>199</v>
      </c>
      <c r="C7434" t="str">
        <f t="shared" si="1654"/>
        <v>34</v>
      </c>
      <c r="D7434">
        <v>6249</v>
      </c>
      <c r="E7434" t="str">
        <f t="shared" si="1655"/>
        <v>10</v>
      </c>
      <c r="F7434" t="str">
        <f t="shared" si="1656"/>
        <v>937</v>
      </c>
      <c r="G7434">
        <v>9</v>
      </c>
      <c r="H7434" t="str">
        <f t="shared" si="1657"/>
        <v>99</v>
      </c>
      <c r="I7434" t="str">
        <f t="shared" si="1659"/>
        <v>0</v>
      </c>
      <c r="J7434" t="str">
        <f t="shared" si="1658"/>
        <v>82</v>
      </c>
      <c r="K7434">
        <v>20190719</v>
      </c>
      <c r="L7434" t="str">
        <f t="shared" si="1660"/>
        <v>077474</v>
      </c>
      <c r="M7434" t="str">
        <f t="shared" si="1661"/>
        <v>71225</v>
      </c>
      <c r="N7434" t="s">
        <v>1803</v>
      </c>
      <c r="O7434">
        <v>40</v>
      </c>
      <c r="P7434">
        <v>20190718</v>
      </c>
      <c r="Q7434" t="s">
        <v>2036</v>
      </c>
      <c r="R7434" t="s">
        <v>5853</v>
      </c>
      <c r="S7434" t="s">
        <v>1615</v>
      </c>
      <c r="T7434" t="s">
        <v>1810</v>
      </c>
    </row>
    <row r="7435" spans="1:20" x14ac:dyDescent="0.25">
      <c r="A7435">
        <v>9</v>
      </c>
      <c r="B7435">
        <v>199</v>
      </c>
      <c r="C7435" t="str">
        <f t="shared" si="1654"/>
        <v>34</v>
      </c>
      <c r="D7435">
        <v>6249</v>
      </c>
      <c r="E7435" t="str">
        <f t="shared" si="1655"/>
        <v>10</v>
      </c>
      <c r="F7435" t="str">
        <f t="shared" si="1656"/>
        <v>937</v>
      </c>
      <c r="G7435">
        <v>9</v>
      </c>
      <c r="H7435" t="str">
        <f t="shared" si="1657"/>
        <v>99</v>
      </c>
      <c r="I7435" t="str">
        <f t="shared" si="1659"/>
        <v>0</v>
      </c>
      <c r="J7435" t="str">
        <f t="shared" si="1658"/>
        <v>82</v>
      </c>
      <c r="K7435">
        <v>20190719</v>
      </c>
      <c r="L7435" t="str">
        <f t="shared" si="1660"/>
        <v>077474</v>
      </c>
      <c r="M7435" t="str">
        <f t="shared" si="1661"/>
        <v>71225</v>
      </c>
      <c r="N7435" t="s">
        <v>1803</v>
      </c>
      <c r="O7435">
        <v>40</v>
      </c>
      <c r="P7435">
        <v>20190718</v>
      </c>
      <c r="Q7435" t="s">
        <v>2036</v>
      </c>
      <c r="R7435" t="s">
        <v>5854</v>
      </c>
      <c r="S7435" t="s">
        <v>1615</v>
      </c>
      <c r="T7435" t="s">
        <v>1810</v>
      </c>
    </row>
    <row r="7436" spans="1:20" x14ac:dyDescent="0.25">
      <c r="A7436">
        <v>9</v>
      </c>
      <c r="B7436">
        <v>199</v>
      </c>
      <c r="C7436" t="str">
        <f t="shared" si="1654"/>
        <v>34</v>
      </c>
      <c r="D7436">
        <v>6249</v>
      </c>
      <c r="E7436" t="str">
        <f t="shared" si="1655"/>
        <v>10</v>
      </c>
      <c r="F7436" t="str">
        <f t="shared" si="1656"/>
        <v>937</v>
      </c>
      <c r="G7436">
        <v>9</v>
      </c>
      <c r="H7436" t="str">
        <f t="shared" si="1657"/>
        <v>99</v>
      </c>
      <c r="I7436" t="str">
        <f t="shared" si="1659"/>
        <v>0</v>
      </c>
      <c r="J7436" t="str">
        <f t="shared" si="1658"/>
        <v>82</v>
      </c>
      <c r="K7436">
        <v>20190719</v>
      </c>
      <c r="L7436" t="str">
        <f t="shared" si="1660"/>
        <v>077474</v>
      </c>
      <c r="M7436" t="str">
        <f t="shared" si="1661"/>
        <v>71225</v>
      </c>
      <c r="N7436" t="s">
        <v>1803</v>
      </c>
      <c r="O7436">
        <v>40</v>
      </c>
      <c r="P7436">
        <v>20190718</v>
      </c>
      <c r="Q7436" t="s">
        <v>2036</v>
      </c>
      <c r="R7436" t="s">
        <v>5855</v>
      </c>
      <c r="S7436" t="s">
        <v>1615</v>
      </c>
      <c r="T7436" t="s">
        <v>1810</v>
      </c>
    </row>
    <row r="7437" spans="1:20" x14ac:dyDescent="0.25">
      <c r="A7437">
        <v>9</v>
      </c>
      <c r="B7437">
        <v>199</v>
      </c>
      <c r="C7437" t="str">
        <f t="shared" si="1654"/>
        <v>34</v>
      </c>
      <c r="D7437">
        <v>6249</v>
      </c>
      <c r="E7437" t="str">
        <f t="shared" si="1655"/>
        <v>10</v>
      </c>
      <c r="F7437" t="str">
        <f t="shared" si="1656"/>
        <v>937</v>
      </c>
      <c r="G7437">
        <v>9</v>
      </c>
      <c r="H7437" t="str">
        <f t="shared" si="1657"/>
        <v>99</v>
      </c>
      <c r="I7437" t="str">
        <f t="shared" si="1659"/>
        <v>0</v>
      </c>
      <c r="J7437" t="str">
        <f t="shared" si="1658"/>
        <v>82</v>
      </c>
      <c r="K7437">
        <v>20190719</v>
      </c>
      <c r="L7437" t="str">
        <f t="shared" si="1660"/>
        <v>077474</v>
      </c>
      <c r="M7437" t="str">
        <f t="shared" si="1661"/>
        <v>71225</v>
      </c>
      <c r="N7437" t="s">
        <v>1803</v>
      </c>
      <c r="O7437">
        <v>50</v>
      </c>
      <c r="P7437">
        <v>20190718</v>
      </c>
      <c r="Q7437" t="s">
        <v>2036</v>
      </c>
      <c r="R7437" t="s">
        <v>5856</v>
      </c>
      <c r="S7437" t="s">
        <v>1615</v>
      </c>
      <c r="T7437" t="s">
        <v>1810</v>
      </c>
    </row>
    <row r="7438" spans="1:20" x14ac:dyDescent="0.25">
      <c r="A7438">
        <v>9</v>
      </c>
      <c r="B7438">
        <v>199</v>
      </c>
      <c r="C7438" t="str">
        <f t="shared" si="1654"/>
        <v>34</v>
      </c>
      <c r="D7438">
        <v>6249</v>
      </c>
      <c r="E7438" t="str">
        <f t="shared" si="1655"/>
        <v>10</v>
      </c>
      <c r="F7438" t="str">
        <f t="shared" si="1656"/>
        <v>937</v>
      </c>
      <c r="G7438">
        <v>9</v>
      </c>
      <c r="H7438" t="str">
        <f t="shared" si="1657"/>
        <v>99</v>
      </c>
      <c r="I7438" t="str">
        <f t="shared" si="1659"/>
        <v>0</v>
      </c>
      <c r="J7438" t="str">
        <f t="shared" si="1658"/>
        <v>82</v>
      </c>
      <c r="K7438">
        <v>20190719</v>
      </c>
      <c r="L7438" t="str">
        <f t="shared" si="1660"/>
        <v>077474</v>
      </c>
      <c r="M7438" t="str">
        <f t="shared" si="1661"/>
        <v>71225</v>
      </c>
      <c r="N7438" t="s">
        <v>1803</v>
      </c>
      <c r="O7438">
        <v>95.35</v>
      </c>
      <c r="P7438">
        <v>20190718</v>
      </c>
      <c r="Q7438" t="s">
        <v>2036</v>
      </c>
      <c r="R7438" t="s">
        <v>5857</v>
      </c>
      <c r="S7438" t="s">
        <v>1615</v>
      </c>
      <c r="T7438" t="s">
        <v>1810</v>
      </c>
    </row>
    <row r="7439" spans="1:20" x14ac:dyDescent="0.25">
      <c r="A7439">
        <v>9</v>
      </c>
      <c r="B7439">
        <v>199</v>
      </c>
      <c r="C7439" t="str">
        <f t="shared" si="1654"/>
        <v>34</v>
      </c>
      <c r="D7439">
        <v>6249</v>
      </c>
      <c r="E7439" t="str">
        <f t="shared" si="1655"/>
        <v>10</v>
      </c>
      <c r="F7439" t="str">
        <f t="shared" si="1656"/>
        <v>937</v>
      </c>
      <c r="G7439">
        <v>9</v>
      </c>
      <c r="H7439" t="str">
        <f t="shared" si="1657"/>
        <v>99</v>
      </c>
      <c r="I7439" t="str">
        <f t="shared" si="1659"/>
        <v>0</v>
      </c>
      <c r="J7439" t="str">
        <f t="shared" si="1658"/>
        <v>82</v>
      </c>
      <c r="K7439">
        <v>20190719</v>
      </c>
      <c r="L7439" t="str">
        <f t="shared" si="1660"/>
        <v>077474</v>
      </c>
      <c r="M7439" t="str">
        <f t="shared" si="1661"/>
        <v>71225</v>
      </c>
      <c r="N7439" t="s">
        <v>1803</v>
      </c>
      <c r="O7439">
        <v>52.5</v>
      </c>
      <c r="P7439">
        <v>20190718</v>
      </c>
      <c r="Q7439" t="s">
        <v>2036</v>
      </c>
      <c r="R7439" t="s">
        <v>4168</v>
      </c>
      <c r="S7439" t="s">
        <v>1615</v>
      </c>
      <c r="T7439" t="s">
        <v>1810</v>
      </c>
    </row>
    <row r="7440" spans="1:20" x14ac:dyDescent="0.25">
      <c r="A7440">
        <v>9</v>
      </c>
      <c r="B7440">
        <v>199</v>
      </c>
      <c r="C7440" t="str">
        <f t="shared" si="1654"/>
        <v>34</v>
      </c>
      <c r="D7440">
        <v>6249</v>
      </c>
      <c r="E7440" t="str">
        <f t="shared" si="1655"/>
        <v>10</v>
      </c>
      <c r="F7440" t="str">
        <f t="shared" si="1656"/>
        <v>937</v>
      </c>
      <c r="G7440">
        <v>9</v>
      </c>
      <c r="H7440" t="str">
        <f t="shared" si="1657"/>
        <v>99</v>
      </c>
      <c r="I7440" t="str">
        <f t="shared" si="1659"/>
        <v>0</v>
      </c>
      <c r="J7440" t="str">
        <f t="shared" si="1658"/>
        <v>82</v>
      </c>
      <c r="K7440">
        <v>20190719</v>
      </c>
      <c r="L7440" t="str">
        <f t="shared" si="1660"/>
        <v>077474</v>
      </c>
      <c r="M7440" t="str">
        <f t="shared" si="1661"/>
        <v>71225</v>
      </c>
      <c r="N7440" t="s">
        <v>1803</v>
      </c>
      <c r="O7440">
        <v>879.9</v>
      </c>
      <c r="P7440">
        <v>20190718</v>
      </c>
      <c r="Q7440" t="s">
        <v>2036</v>
      </c>
      <c r="R7440" t="s">
        <v>5858</v>
      </c>
      <c r="S7440" t="s">
        <v>1615</v>
      </c>
      <c r="T7440" t="s">
        <v>1810</v>
      </c>
    </row>
    <row r="7441" spans="1:20" x14ac:dyDescent="0.25">
      <c r="A7441">
        <v>9</v>
      </c>
      <c r="B7441">
        <v>199</v>
      </c>
      <c r="C7441" t="str">
        <f t="shared" si="1654"/>
        <v>34</v>
      </c>
      <c r="D7441">
        <v>6249</v>
      </c>
      <c r="E7441" t="str">
        <f t="shared" si="1655"/>
        <v>10</v>
      </c>
      <c r="F7441" t="str">
        <f t="shared" si="1656"/>
        <v>937</v>
      </c>
      <c r="G7441">
        <v>9</v>
      </c>
      <c r="H7441" t="str">
        <f t="shared" si="1657"/>
        <v>99</v>
      </c>
      <c r="I7441" t="str">
        <f t="shared" si="1659"/>
        <v>0</v>
      </c>
      <c r="J7441" t="str">
        <f t="shared" si="1658"/>
        <v>82</v>
      </c>
      <c r="K7441">
        <v>20190719</v>
      </c>
      <c r="L7441" t="str">
        <f t="shared" si="1660"/>
        <v>077474</v>
      </c>
      <c r="M7441" t="str">
        <f t="shared" si="1661"/>
        <v>71225</v>
      </c>
      <c r="N7441" t="s">
        <v>1803</v>
      </c>
      <c r="O7441">
        <v>-7</v>
      </c>
      <c r="P7441">
        <v>20190605</v>
      </c>
      <c r="Q7441" t="s">
        <v>2036</v>
      </c>
      <c r="R7441" t="s">
        <v>5842</v>
      </c>
      <c r="S7441" t="s">
        <v>1615</v>
      </c>
      <c r="T7441" t="s">
        <v>1810</v>
      </c>
    </row>
    <row r="7442" spans="1:20" x14ac:dyDescent="0.25">
      <c r="A7442">
        <v>9</v>
      </c>
      <c r="B7442">
        <v>199</v>
      </c>
      <c r="C7442" t="str">
        <f t="shared" si="1654"/>
        <v>34</v>
      </c>
      <c r="D7442">
        <v>6249</v>
      </c>
      <c r="E7442" t="str">
        <f t="shared" si="1655"/>
        <v>10</v>
      </c>
      <c r="F7442" t="str">
        <f t="shared" si="1656"/>
        <v>937</v>
      </c>
      <c r="G7442">
        <v>9</v>
      </c>
      <c r="H7442" t="str">
        <f t="shared" si="1657"/>
        <v>99</v>
      </c>
      <c r="I7442" t="str">
        <f t="shared" si="1659"/>
        <v>0</v>
      </c>
      <c r="J7442" t="str">
        <f t="shared" si="1658"/>
        <v>82</v>
      </c>
      <c r="K7442">
        <v>20190719</v>
      </c>
      <c r="L7442" t="str">
        <f t="shared" si="1660"/>
        <v>077474</v>
      </c>
      <c r="M7442" t="str">
        <f t="shared" si="1661"/>
        <v>71225</v>
      </c>
      <c r="N7442" t="s">
        <v>1803</v>
      </c>
      <c r="O7442">
        <v>-7</v>
      </c>
      <c r="P7442">
        <v>20190605</v>
      </c>
      <c r="Q7442" t="s">
        <v>2036</v>
      </c>
      <c r="R7442" t="s">
        <v>5841</v>
      </c>
      <c r="S7442" t="s">
        <v>1615</v>
      </c>
      <c r="T7442" t="s">
        <v>1810</v>
      </c>
    </row>
    <row r="7443" spans="1:20" x14ac:dyDescent="0.25">
      <c r="A7443">
        <v>9</v>
      </c>
      <c r="B7443">
        <v>199</v>
      </c>
      <c r="C7443" t="str">
        <f t="shared" si="1654"/>
        <v>34</v>
      </c>
      <c r="D7443">
        <v>6249</v>
      </c>
      <c r="E7443" t="str">
        <f t="shared" si="1655"/>
        <v>10</v>
      </c>
      <c r="F7443" t="str">
        <f t="shared" si="1656"/>
        <v>937</v>
      </c>
      <c r="G7443">
        <v>9</v>
      </c>
      <c r="H7443" t="str">
        <f t="shared" si="1657"/>
        <v>99</v>
      </c>
      <c r="I7443" t="str">
        <f t="shared" si="1659"/>
        <v>0</v>
      </c>
      <c r="J7443" t="str">
        <f t="shared" si="1658"/>
        <v>82</v>
      </c>
      <c r="K7443">
        <v>20190719</v>
      </c>
      <c r="L7443" t="str">
        <f t="shared" si="1660"/>
        <v>077474</v>
      </c>
      <c r="M7443" t="str">
        <f t="shared" si="1661"/>
        <v>71225</v>
      </c>
      <c r="N7443" t="s">
        <v>1803</v>
      </c>
      <c r="O7443">
        <v>-7</v>
      </c>
      <c r="P7443">
        <v>20190605</v>
      </c>
      <c r="Q7443" t="s">
        <v>2036</v>
      </c>
      <c r="R7443" t="s">
        <v>5843</v>
      </c>
      <c r="S7443" t="s">
        <v>1615</v>
      </c>
      <c r="T7443" t="s">
        <v>1810</v>
      </c>
    </row>
    <row r="7444" spans="1:20" x14ac:dyDescent="0.25">
      <c r="A7444">
        <v>9</v>
      </c>
      <c r="B7444">
        <v>199</v>
      </c>
      <c r="C7444" t="str">
        <f t="shared" ref="C7444:C7449" si="1662">"51"</f>
        <v>51</v>
      </c>
      <c r="D7444">
        <v>6249</v>
      </c>
      <c r="E7444" t="str">
        <f t="shared" ref="E7444:E7449" si="1663">"WF"</f>
        <v>WF</v>
      </c>
      <c r="F7444" t="str">
        <f t="shared" ref="F7444:F7449" si="1664">"936"</f>
        <v>936</v>
      </c>
      <c r="G7444">
        <v>9</v>
      </c>
      <c r="H7444" t="str">
        <f t="shared" si="1657"/>
        <v>99</v>
      </c>
      <c r="I7444" t="str">
        <f t="shared" si="1659"/>
        <v>0</v>
      </c>
      <c r="J7444" t="str">
        <f t="shared" si="1658"/>
        <v>82</v>
      </c>
      <c r="K7444">
        <v>20190719</v>
      </c>
      <c r="L7444" t="str">
        <f t="shared" si="1660"/>
        <v>077474</v>
      </c>
      <c r="M7444" t="str">
        <f t="shared" si="1661"/>
        <v>71225</v>
      </c>
      <c r="N7444" t="s">
        <v>1803</v>
      </c>
      <c r="O7444">
        <v>247.48</v>
      </c>
      <c r="P7444">
        <v>20190718</v>
      </c>
      <c r="Q7444" t="s">
        <v>2127</v>
      </c>
      <c r="R7444" t="s">
        <v>5859</v>
      </c>
      <c r="S7444" t="s">
        <v>1615</v>
      </c>
      <c r="T7444" t="s">
        <v>1713</v>
      </c>
    </row>
    <row r="7445" spans="1:20" x14ac:dyDescent="0.25">
      <c r="A7445">
        <v>9</v>
      </c>
      <c r="B7445">
        <v>199</v>
      </c>
      <c r="C7445" t="str">
        <f t="shared" si="1662"/>
        <v>51</v>
      </c>
      <c r="D7445">
        <v>6249</v>
      </c>
      <c r="E7445" t="str">
        <f t="shared" si="1663"/>
        <v>WF</v>
      </c>
      <c r="F7445" t="str">
        <f t="shared" si="1664"/>
        <v>936</v>
      </c>
      <c r="G7445">
        <v>9</v>
      </c>
      <c r="H7445" t="str">
        <f t="shared" si="1657"/>
        <v>99</v>
      </c>
      <c r="I7445" t="str">
        <f t="shared" si="1659"/>
        <v>0</v>
      </c>
      <c r="J7445" t="str">
        <f t="shared" si="1658"/>
        <v>82</v>
      </c>
      <c r="K7445">
        <v>20190719</v>
      </c>
      <c r="L7445" t="str">
        <f t="shared" si="1660"/>
        <v>077474</v>
      </c>
      <c r="M7445" t="str">
        <f t="shared" si="1661"/>
        <v>71225</v>
      </c>
      <c r="N7445" t="s">
        <v>1803</v>
      </c>
      <c r="O7445">
        <v>394.12</v>
      </c>
      <c r="P7445">
        <v>20190718</v>
      </c>
      <c r="Q7445" t="s">
        <v>2127</v>
      </c>
      <c r="R7445" t="s">
        <v>5860</v>
      </c>
      <c r="S7445" t="s">
        <v>1615</v>
      </c>
      <c r="T7445" t="s">
        <v>1713</v>
      </c>
    </row>
    <row r="7446" spans="1:20" x14ac:dyDescent="0.25">
      <c r="A7446">
        <v>9</v>
      </c>
      <c r="B7446">
        <v>199</v>
      </c>
      <c r="C7446" t="str">
        <f t="shared" si="1662"/>
        <v>51</v>
      </c>
      <c r="D7446">
        <v>6249</v>
      </c>
      <c r="E7446" t="str">
        <f t="shared" si="1663"/>
        <v>WF</v>
      </c>
      <c r="F7446" t="str">
        <f t="shared" si="1664"/>
        <v>936</v>
      </c>
      <c r="G7446">
        <v>9</v>
      </c>
      <c r="H7446" t="str">
        <f t="shared" si="1657"/>
        <v>99</v>
      </c>
      <c r="I7446" t="str">
        <f t="shared" si="1659"/>
        <v>0</v>
      </c>
      <c r="J7446" t="str">
        <f t="shared" si="1658"/>
        <v>82</v>
      </c>
      <c r="K7446">
        <v>20190719</v>
      </c>
      <c r="L7446" t="str">
        <f t="shared" si="1660"/>
        <v>077474</v>
      </c>
      <c r="M7446" t="str">
        <f t="shared" si="1661"/>
        <v>71225</v>
      </c>
      <c r="N7446" t="s">
        <v>1803</v>
      </c>
      <c r="O7446">
        <v>368.58</v>
      </c>
      <c r="P7446">
        <v>20190718</v>
      </c>
      <c r="Q7446" t="s">
        <v>2127</v>
      </c>
      <c r="R7446" t="s">
        <v>5861</v>
      </c>
      <c r="S7446" t="s">
        <v>1615</v>
      </c>
      <c r="T7446" t="s">
        <v>1713</v>
      </c>
    </row>
    <row r="7447" spans="1:20" x14ac:dyDescent="0.25">
      <c r="A7447">
        <v>9</v>
      </c>
      <c r="B7447">
        <v>199</v>
      </c>
      <c r="C7447" t="str">
        <f t="shared" si="1662"/>
        <v>51</v>
      </c>
      <c r="D7447">
        <v>6249</v>
      </c>
      <c r="E7447" t="str">
        <f t="shared" si="1663"/>
        <v>WF</v>
      </c>
      <c r="F7447" t="str">
        <f t="shared" si="1664"/>
        <v>936</v>
      </c>
      <c r="G7447">
        <v>9</v>
      </c>
      <c r="H7447" t="str">
        <f t="shared" si="1657"/>
        <v>99</v>
      </c>
      <c r="I7447" t="str">
        <f t="shared" si="1659"/>
        <v>0</v>
      </c>
      <c r="J7447" t="str">
        <f t="shared" si="1658"/>
        <v>82</v>
      </c>
      <c r="K7447">
        <v>20190719</v>
      </c>
      <c r="L7447" t="str">
        <f t="shared" si="1660"/>
        <v>077474</v>
      </c>
      <c r="M7447" t="str">
        <f t="shared" si="1661"/>
        <v>71225</v>
      </c>
      <c r="N7447" t="s">
        <v>1803</v>
      </c>
      <c r="O7447">
        <v>740.92</v>
      </c>
      <c r="P7447">
        <v>20190718</v>
      </c>
      <c r="Q7447" t="s">
        <v>2127</v>
      </c>
      <c r="R7447" t="s">
        <v>5862</v>
      </c>
      <c r="S7447" t="s">
        <v>1615</v>
      </c>
      <c r="T7447" t="s">
        <v>1713</v>
      </c>
    </row>
    <row r="7448" spans="1:20" x14ac:dyDescent="0.25">
      <c r="A7448">
        <v>9</v>
      </c>
      <c r="B7448">
        <v>199</v>
      </c>
      <c r="C7448" t="str">
        <f t="shared" si="1662"/>
        <v>51</v>
      </c>
      <c r="D7448">
        <v>6249</v>
      </c>
      <c r="E7448" t="str">
        <f t="shared" si="1663"/>
        <v>WF</v>
      </c>
      <c r="F7448" t="str">
        <f t="shared" si="1664"/>
        <v>936</v>
      </c>
      <c r="G7448">
        <v>9</v>
      </c>
      <c r="H7448" t="str">
        <f t="shared" si="1657"/>
        <v>99</v>
      </c>
      <c r="I7448" t="str">
        <f t="shared" si="1659"/>
        <v>0</v>
      </c>
      <c r="J7448" t="str">
        <f t="shared" si="1658"/>
        <v>82</v>
      </c>
      <c r="K7448">
        <v>20190719</v>
      </c>
      <c r="L7448" t="str">
        <f t="shared" si="1660"/>
        <v>077474</v>
      </c>
      <c r="M7448" t="str">
        <f t="shared" si="1661"/>
        <v>71225</v>
      </c>
      <c r="N7448" t="s">
        <v>1803</v>
      </c>
      <c r="O7448">
        <v>516.04999999999995</v>
      </c>
      <c r="P7448">
        <v>20190718</v>
      </c>
      <c r="Q7448" t="s">
        <v>2127</v>
      </c>
      <c r="R7448" t="s">
        <v>5863</v>
      </c>
      <c r="S7448" t="s">
        <v>1615</v>
      </c>
      <c r="T7448" t="s">
        <v>1713</v>
      </c>
    </row>
    <row r="7449" spans="1:20" x14ac:dyDescent="0.25">
      <c r="A7449">
        <v>9</v>
      </c>
      <c r="B7449">
        <v>199</v>
      </c>
      <c r="C7449" t="str">
        <f t="shared" si="1662"/>
        <v>51</v>
      </c>
      <c r="D7449">
        <v>6249</v>
      </c>
      <c r="E7449" t="str">
        <f t="shared" si="1663"/>
        <v>WF</v>
      </c>
      <c r="F7449" t="str">
        <f t="shared" si="1664"/>
        <v>936</v>
      </c>
      <c r="G7449">
        <v>9</v>
      </c>
      <c r="H7449" t="str">
        <f t="shared" si="1657"/>
        <v>99</v>
      </c>
      <c r="I7449" t="str">
        <f t="shared" si="1659"/>
        <v>0</v>
      </c>
      <c r="J7449" t="str">
        <f t="shared" si="1658"/>
        <v>82</v>
      </c>
      <c r="K7449">
        <v>20190719</v>
      </c>
      <c r="L7449" t="str">
        <f t="shared" si="1660"/>
        <v>077474</v>
      </c>
      <c r="M7449" t="str">
        <f t="shared" si="1661"/>
        <v>71225</v>
      </c>
      <c r="N7449" t="s">
        <v>1803</v>
      </c>
      <c r="O7449">
        <v>292.98</v>
      </c>
      <c r="P7449">
        <v>20190718</v>
      </c>
      <c r="Q7449" t="s">
        <v>2127</v>
      </c>
      <c r="R7449" t="s">
        <v>5864</v>
      </c>
      <c r="S7449" t="s">
        <v>1615</v>
      </c>
      <c r="T7449" t="s">
        <v>1713</v>
      </c>
    </row>
    <row r="7450" spans="1:20" x14ac:dyDescent="0.25">
      <c r="A7450">
        <v>9</v>
      </c>
      <c r="B7450">
        <v>199</v>
      </c>
      <c r="C7450" t="str">
        <f>"23"</f>
        <v>23</v>
      </c>
      <c r="D7450">
        <v>6498</v>
      </c>
      <c r="E7450" t="str">
        <f>"10"</f>
        <v>10</v>
      </c>
      <c r="F7450" t="str">
        <f>"101"</f>
        <v>101</v>
      </c>
      <c r="G7450">
        <v>9</v>
      </c>
      <c r="H7450" t="str">
        <f t="shared" si="1657"/>
        <v>99</v>
      </c>
      <c r="I7450" t="str">
        <f t="shared" si="1659"/>
        <v>0</v>
      </c>
      <c r="J7450" t="str">
        <f>"04"</f>
        <v>04</v>
      </c>
      <c r="K7450">
        <v>20190719</v>
      </c>
      <c r="L7450" t="str">
        <f>"077475"</f>
        <v>077475</v>
      </c>
      <c r="M7450" t="str">
        <f>"74160"</f>
        <v>74160</v>
      </c>
      <c r="N7450" t="s">
        <v>3604</v>
      </c>
      <c r="O7450">
        <v>219.9</v>
      </c>
      <c r="P7450">
        <v>20190718</v>
      </c>
      <c r="Q7450" t="s">
        <v>2139</v>
      </c>
      <c r="R7450" t="s">
        <v>5865</v>
      </c>
      <c r="S7450" t="s">
        <v>1615</v>
      </c>
      <c r="T7450" t="s">
        <v>1479</v>
      </c>
    </row>
    <row r="7451" spans="1:20" x14ac:dyDescent="0.25">
      <c r="A7451">
        <v>9</v>
      </c>
      <c r="B7451">
        <v>199</v>
      </c>
      <c r="C7451" t="str">
        <f>"13"</f>
        <v>13</v>
      </c>
      <c r="D7451">
        <v>6411</v>
      </c>
      <c r="E7451" t="str">
        <f>"NL"</f>
        <v>NL</v>
      </c>
      <c r="F7451" t="str">
        <f>"001"</f>
        <v>001</v>
      </c>
      <c r="G7451">
        <v>9</v>
      </c>
      <c r="H7451" t="str">
        <f>"22"</f>
        <v>22</v>
      </c>
      <c r="I7451" t="str">
        <f t="shared" si="1659"/>
        <v>0</v>
      </c>
      <c r="J7451" t="str">
        <f>"22"</f>
        <v>22</v>
      </c>
      <c r="K7451">
        <v>20190719</v>
      </c>
      <c r="L7451" t="str">
        <f>"077476"</f>
        <v>077476</v>
      </c>
      <c r="M7451" t="str">
        <f>"75515"</f>
        <v>75515</v>
      </c>
      <c r="N7451" t="s">
        <v>3828</v>
      </c>
      <c r="O7451">
        <v>59.98</v>
      </c>
      <c r="P7451">
        <v>20190718</v>
      </c>
      <c r="Q7451" t="s">
        <v>4676</v>
      </c>
      <c r="R7451" t="s">
        <v>5597</v>
      </c>
      <c r="S7451" t="s">
        <v>1615</v>
      </c>
      <c r="T7451" t="s">
        <v>301</v>
      </c>
    </row>
    <row r="7452" spans="1:20" x14ac:dyDescent="0.25">
      <c r="A7452">
        <v>9</v>
      </c>
      <c r="B7452">
        <v>199</v>
      </c>
      <c r="C7452" t="str">
        <f>"41"</f>
        <v>41</v>
      </c>
      <c r="D7452">
        <v>6411</v>
      </c>
      <c r="E7452" t="str">
        <f>"10"</f>
        <v>10</v>
      </c>
      <c r="F7452" t="str">
        <f>"726"</f>
        <v>726</v>
      </c>
      <c r="G7452">
        <v>9</v>
      </c>
      <c r="H7452" t="str">
        <f>"99"</f>
        <v>99</v>
      </c>
      <c r="I7452" t="str">
        <f t="shared" si="1659"/>
        <v>0</v>
      </c>
      <c r="J7452" t="str">
        <f>"91"</f>
        <v>91</v>
      </c>
      <c r="K7452">
        <v>20190719</v>
      </c>
      <c r="L7452" t="str">
        <f>"077477"</f>
        <v>077477</v>
      </c>
      <c r="M7452" t="str">
        <f>"76548"</f>
        <v>76548</v>
      </c>
      <c r="N7452" t="s">
        <v>1817</v>
      </c>
      <c r="O7452">
        <v>150</v>
      </c>
      <c r="P7452">
        <v>20190718</v>
      </c>
      <c r="Q7452" t="s">
        <v>3313</v>
      </c>
      <c r="R7452" t="s">
        <v>5866</v>
      </c>
      <c r="S7452" t="s">
        <v>1615</v>
      </c>
      <c r="T7452" t="s">
        <v>2608</v>
      </c>
    </row>
    <row r="7453" spans="1:20" x14ac:dyDescent="0.25">
      <c r="A7453">
        <v>9</v>
      </c>
      <c r="B7453">
        <v>199</v>
      </c>
      <c r="C7453" t="str">
        <f>"41"</f>
        <v>41</v>
      </c>
      <c r="D7453">
        <v>6411</v>
      </c>
      <c r="E7453" t="str">
        <f>"10"</f>
        <v>10</v>
      </c>
      <c r="F7453" t="str">
        <f>"726"</f>
        <v>726</v>
      </c>
      <c r="G7453">
        <v>9</v>
      </c>
      <c r="H7453" t="str">
        <f>"99"</f>
        <v>99</v>
      </c>
      <c r="I7453" t="str">
        <f t="shared" si="1659"/>
        <v>0</v>
      </c>
      <c r="J7453" t="str">
        <f>"91"</f>
        <v>91</v>
      </c>
      <c r="K7453">
        <v>20190719</v>
      </c>
      <c r="L7453" t="str">
        <f>"077477"</f>
        <v>077477</v>
      </c>
      <c r="M7453" t="str">
        <f>"76548"</f>
        <v>76548</v>
      </c>
      <c r="N7453" t="s">
        <v>1817</v>
      </c>
      <c r="O7453">
        <v>150</v>
      </c>
      <c r="P7453">
        <v>20190718</v>
      </c>
      <c r="Q7453" t="s">
        <v>3313</v>
      </c>
      <c r="R7453" t="s">
        <v>5866</v>
      </c>
      <c r="S7453" t="s">
        <v>1615</v>
      </c>
      <c r="T7453" t="s">
        <v>2608</v>
      </c>
    </row>
    <row r="7454" spans="1:20" x14ac:dyDescent="0.25">
      <c r="A7454">
        <v>9</v>
      </c>
      <c r="B7454">
        <v>199</v>
      </c>
      <c r="C7454" t="str">
        <f>"41"</f>
        <v>41</v>
      </c>
      <c r="D7454">
        <v>6499</v>
      </c>
      <c r="E7454" t="str">
        <f>"10"</f>
        <v>10</v>
      </c>
      <c r="F7454" t="str">
        <f>"730"</f>
        <v>730</v>
      </c>
      <c r="G7454">
        <v>9</v>
      </c>
      <c r="H7454" t="str">
        <f>"99"</f>
        <v>99</v>
      </c>
      <c r="I7454" t="str">
        <f t="shared" ref="I7454:I7484" si="1665">"0"</f>
        <v>0</v>
      </c>
      <c r="J7454" t="str">
        <f>"95"</f>
        <v>95</v>
      </c>
      <c r="K7454">
        <v>20190719</v>
      </c>
      <c r="L7454" t="str">
        <f>"077478"</f>
        <v>077478</v>
      </c>
      <c r="M7454" t="str">
        <f>"81299"</f>
        <v>81299</v>
      </c>
      <c r="N7454" t="s">
        <v>4298</v>
      </c>
      <c r="O7454">
        <v>100</v>
      </c>
      <c r="P7454">
        <v>20190718</v>
      </c>
      <c r="Q7454" t="s">
        <v>1792</v>
      </c>
      <c r="R7454" t="s">
        <v>5759</v>
      </c>
      <c r="S7454" t="s">
        <v>1615</v>
      </c>
      <c r="T7454" t="s">
        <v>1794</v>
      </c>
    </row>
    <row r="7455" spans="1:20" x14ac:dyDescent="0.25">
      <c r="A7455">
        <v>9</v>
      </c>
      <c r="B7455">
        <v>199</v>
      </c>
      <c r="C7455" t="str">
        <f>"41"</f>
        <v>41</v>
      </c>
      <c r="D7455">
        <v>6499</v>
      </c>
      <c r="E7455" t="str">
        <f>"10"</f>
        <v>10</v>
      </c>
      <c r="F7455" t="str">
        <f>"730"</f>
        <v>730</v>
      </c>
      <c r="G7455">
        <v>9</v>
      </c>
      <c r="H7455" t="str">
        <f>"99"</f>
        <v>99</v>
      </c>
      <c r="I7455" t="str">
        <f t="shared" si="1665"/>
        <v>0</v>
      </c>
      <c r="J7455" t="str">
        <f>"95"</f>
        <v>95</v>
      </c>
      <c r="K7455">
        <v>20190719</v>
      </c>
      <c r="L7455" t="str">
        <f>"077478"</f>
        <v>077478</v>
      </c>
      <c r="M7455" t="str">
        <f>"81299"</f>
        <v>81299</v>
      </c>
      <c r="N7455" t="s">
        <v>4298</v>
      </c>
      <c r="O7455" s="1">
        <v>2863.5</v>
      </c>
      <c r="P7455">
        <v>20190718</v>
      </c>
      <c r="Q7455" t="s">
        <v>1792</v>
      </c>
      <c r="R7455" t="s">
        <v>5867</v>
      </c>
      <c r="S7455" t="s">
        <v>1615</v>
      </c>
      <c r="T7455" t="s">
        <v>1794</v>
      </c>
    </row>
    <row r="7456" spans="1:20" x14ac:dyDescent="0.25">
      <c r="A7456">
        <v>9</v>
      </c>
      <c r="B7456">
        <v>199</v>
      </c>
      <c r="C7456" t="str">
        <f>"11"</f>
        <v>11</v>
      </c>
      <c r="D7456">
        <v>6399</v>
      </c>
      <c r="E7456" t="str">
        <f>"45"</f>
        <v>45</v>
      </c>
      <c r="F7456" t="str">
        <f>"041"</f>
        <v>041</v>
      </c>
      <c r="G7456">
        <v>9</v>
      </c>
      <c r="H7456" t="str">
        <f>"11"</f>
        <v>11</v>
      </c>
      <c r="I7456" t="str">
        <f t="shared" si="1665"/>
        <v>0</v>
      </c>
      <c r="J7456" t="str">
        <f>"03"</f>
        <v>03</v>
      </c>
      <c r="K7456">
        <v>20190719</v>
      </c>
      <c r="L7456" t="str">
        <f>"077479"</f>
        <v>077479</v>
      </c>
      <c r="M7456" t="str">
        <f>"81779"</f>
        <v>81779</v>
      </c>
      <c r="N7456" t="s">
        <v>4184</v>
      </c>
      <c r="O7456">
        <v>539.70000000000005</v>
      </c>
      <c r="P7456">
        <v>20190718</v>
      </c>
      <c r="Q7456" t="s">
        <v>2204</v>
      </c>
      <c r="R7456" t="s">
        <v>5868</v>
      </c>
      <c r="S7456" t="s">
        <v>1615</v>
      </c>
      <c r="T7456" t="s">
        <v>106</v>
      </c>
    </row>
    <row r="7457" spans="1:20" x14ac:dyDescent="0.25">
      <c r="A7457">
        <v>9</v>
      </c>
      <c r="B7457">
        <v>199</v>
      </c>
      <c r="C7457" t="str">
        <f>"21"</f>
        <v>21</v>
      </c>
      <c r="D7457">
        <v>6399</v>
      </c>
      <c r="E7457" t="str">
        <f>"10"</f>
        <v>10</v>
      </c>
      <c r="F7457" t="str">
        <f>"871"</f>
        <v>871</v>
      </c>
      <c r="G7457">
        <v>9</v>
      </c>
      <c r="H7457" t="str">
        <f>"99"</f>
        <v>99</v>
      </c>
      <c r="I7457" t="str">
        <f t="shared" si="1665"/>
        <v>0</v>
      </c>
      <c r="J7457" t="str">
        <f>"94"</f>
        <v>94</v>
      </c>
      <c r="K7457">
        <v>20190726</v>
      </c>
      <c r="L7457" t="str">
        <f>"077480"</f>
        <v>077480</v>
      </c>
      <c r="M7457" t="str">
        <f>"10027"</f>
        <v>10027</v>
      </c>
      <c r="N7457" t="s">
        <v>4453</v>
      </c>
      <c r="O7457">
        <v>534.88</v>
      </c>
      <c r="P7457">
        <v>20190724</v>
      </c>
      <c r="Q7457" t="s">
        <v>3176</v>
      </c>
      <c r="R7457" t="s">
        <v>5869</v>
      </c>
      <c r="S7457" t="s">
        <v>1615</v>
      </c>
      <c r="T7457" t="s">
        <v>1932</v>
      </c>
    </row>
    <row r="7458" spans="1:20" x14ac:dyDescent="0.25">
      <c r="A7458">
        <v>9</v>
      </c>
      <c r="B7458">
        <v>199</v>
      </c>
      <c r="C7458" t="str">
        <f t="shared" ref="C7458:C7476" si="1666">"11"</f>
        <v>11</v>
      </c>
      <c r="D7458">
        <v>6399</v>
      </c>
      <c r="E7458" t="str">
        <f>"10"</f>
        <v>10</v>
      </c>
      <c r="F7458" t="str">
        <f>"001"</f>
        <v>001</v>
      </c>
      <c r="G7458">
        <v>9</v>
      </c>
      <c r="H7458" t="str">
        <f t="shared" ref="H7458:H7471" si="1667">"11"</f>
        <v>11</v>
      </c>
      <c r="I7458" t="str">
        <f t="shared" si="1665"/>
        <v>0</v>
      </c>
      <c r="J7458" t="str">
        <f>"01"</f>
        <v>01</v>
      </c>
      <c r="K7458">
        <v>20190726</v>
      </c>
      <c r="L7458" t="str">
        <f t="shared" ref="L7458:L7477" si="1668">"077481"</f>
        <v>077481</v>
      </c>
      <c r="M7458" t="str">
        <f t="shared" ref="M7458:M7477" si="1669">"04410"</f>
        <v>04410</v>
      </c>
      <c r="N7458" t="s">
        <v>410</v>
      </c>
      <c r="O7458">
        <v>51.33</v>
      </c>
      <c r="P7458">
        <v>20190724</v>
      </c>
      <c r="Q7458" t="s">
        <v>1675</v>
      </c>
      <c r="R7458" t="s">
        <v>5870</v>
      </c>
      <c r="S7458" t="s">
        <v>1615</v>
      </c>
      <c r="T7458" t="s">
        <v>301</v>
      </c>
    </row>
    <row r="7459" spans="1:20" x14ac:dyDescent="0.25">
      <c r="A7459">
        <v>9</v>
      </c>
      <c r="B7459">
        <v>199</v>
      </c>
      <c r="C7459" t="str">
        <f t="shared" si="1666"/>
        <v>11</v>
      </c>
      <c r="D7459">
        <v>6399</v>
      </c>
      <c r="E7459" t="str">
        <f>"10"</f>
        <v>10</v>
      </c>
      <c r="F7459" t="str">
        <f>"002"</f>
        <v>002</v>
      </c>
      <c r="G7459">
        <v>9</v>
      </c>
      <c r="H7459" t="str">
        <f t="shared" si="1667"/>
        <v>11</v>
      </c>
      <c r="I7459" t="str">
        <f t="shared" si="1665"/>
        <v>0</v>
      </c>
      <c r="J7459" t="str">
        <f>"02"</f>
        <v>02</v>
      </c>
      <c r="K7459">
        <v>20190726</v>
      </c>
      <c r="L7459" t="str">
        <f t="shared" si="1668"/>
        <v>077481</v>
      </c>
      <c r="M7459" t="str">
        <f t="shared" si="1669"/>
        <v>04410</v>
      </c>
      <c r="N7459" t="s">
        <v>410</v>
      </c>
      <c r="O7459">
        <v>76.95</v>
      </c>
      <c r="P7459">
        <v>20190724</v>
      </c>
      <c r="Q7459" t="s">
        <v>3208</v>
      </c>
      <c r="R7459" t="s">
        <v>5871</v>
      </c>
      <c r="S7459" t="s">
        <v>1615</v>
      </c>
      <c r="T7459" t="s">
        <v>1485</v>
      </c>
    </row>
    <row r="7460" spans="1:20" x14ac:dyDescent="0.25">
      <c r="A7460">
        <v>9</v>
      </c>
      <c r="B7460">
        <v>199</v>
      </c>
      <c r="C7460" t="str">
        <f t="shared" si="1666"/>
        <v>11</v>
      </c>
      <c r="D7460">
        <v>6399</v>
      </c>
      <c r="E7460" t="str">
        <f>"10"</f>
        <v>10</v>
      </c>
      <c r="F7460" t="str">
        <f>"002"</f>
        <v>002</v>
      </c>
      <c r="G7460">
        <v>9</v>
      </c>
      <c r="H7460" t="str">
        <f t="shared" si="1667"/>
        <v>11</v>
      </c>
      <c r="I7460" t="str">
        <f t="shared" si="1665"/>
        <v>0</v>
      </c>
      <c r="J7460" t="str">
        <f>"02"</f>
        <v>02</v>
      </c>
      <c r="K7460">
        <v>20190726</v>
      </c>
      <c r="L7460" t="str">
        <f t="shared" si="1668"/>
        <v>077481</v>
      </c>
      <c r="M7460" t="str">
        <f t="shared" si="1669"/>
        <v>04410</v>
      </c>
      <c r="N7460" t="s">
        <v>410</v>
      </c>
      <c r="O7460">
        <v>32.979999999999997</v>
      </c>
      <c r="P7460">
        <v>20190724</v>
      </c>
      <c r="Q7460" t="s">
        <v>3208</v>
      </c>
      <c r="R7460" t="s">
        <v>5871</v>
      </c>
      <c r="S7460" t="s">
        <v>1615</v>
      </c>
      <c r="T7460" t="s">
        <v>1485</v>
      </c>
    </row>
    <row r="7461" spans="1:20" x14ac:dyDescent="0.25">
      <c r="A7461">
        <v>9</v>
      </c>
      <c r="B7461">
        <v>199</v>
      </c>
      <c r="C7461" t="str">
        <f t="shared" si="1666"/>
        <v>11</v>
      </c>
      <c r="D7461">
        <v>6399</v>
      </c>
      <c r="E7461" t="str">
        <f>"PK"</f>
        <v>PK</v>
      </c>
      <c r="F7461" t="str">
        <f>"101"</f>
        <v>101</v>
      </c>
      <c r="G7461">
        <v>9</v>
      </c>
      <c r="H7461" t="str">
        <f t="shared" si="1667"/>
        <v>11</v>
      </c>
      <c r="I7461" t="str">
        <f t="shared" si="1665"/>
        <v>0</v>
      </c>
      <c r="J7461" t="str">
        <f>"04"</f>
        <v>04</v>
      </c>
      <c r="K7461">
        <v>20190726</v>
      </c>
      <c r="L7461" t="str">
        <f t="shared" si="1668"/>
        <v>077481</v>
      </c>
      <c r="M7461" t="str">
        <f t="shared" si="1669"/>
        <v>04410</v>
      </c>
      <c r="N7461" t="s">
        <v>410</v>
      </c>
      <c r="O7461">
        <v>93.09</v>
      </c>
      <c r="P7461">
        <v>20190724</v>
      </c>
      <c r="Q7461" t="s">
        <v>2823</v>
      </c>
      <c r="R7461" t="s">
        <v>2793</v>
      </c>
      <c r="S7461" t="s">
        <v>1615</v>
      </c>
      <c r="T7461" t="s">
        <v>1479</v>
      </c>
    </row>
    <row r="7462" spans="1:20" x14ac:dyDescent="0.25">
      <c r="A7462">
        <v>9</v>
      </c>
      <c r="B7462">
        <v>199</v>
      </c>
      <c r="C7462" t="str">
        <f t="shared" si="1666"/>
        <v>11</v>
      </c>
      <c r="D7462">
        <v>6399</v>
      </c>
      <c r="E7462" t="str">
        <f>"PK"</f>
        <v>PK</v>
      </c>
      <c r="F7462" t="str">
        <f>"101"</f>
        <v>101</v>
      </c>
      <c r="G7462">
        <v>9</v>
      </c>
      <c r="H7462" t="str">
        <f t="shared" si="1667"/>
        <v>11</v>
      </c>
      <c r="I7462" t="str">
        <f t="shared" si="1665"/>
        <v>0</v>
      </c>
      <c r="J7462" t="str">
        <f>"04"</f>
        <v>04</v>
      </c>
      <c r="K7462">
        <v>20190726</v>
      </c>
      <c r="L7462" t="str">
        <f t="shared" si="1668"/>
        <v>077481</v>
      </c>
      <c r="M7462" t="str">
        <f t="shared" si="1669"/>
        <v>04410</v>
      </c>
      <c r="N7462" t="s">
        <v>410</v>
      </c>
      <c r="O7462">
        <v>917.19</v>
      </c>
      <c r="P7462">
        <v>20190724</v>
      </c>
      <c r="Q7462" t="s">
        <v>2823</v>
      </c>
      <c r="R7462" t="s">
        <v>2793</v>
      </c>
      <c r="S7462" t="s">
        <v>1615</v>
      </c>
      <c r="T7462" t="s">
        <v>1479</v>
      </c>
    </row>
    <row r="7463" spans="1:20" x14ac:dyDescent="0.25">
      <c r="A7463">
        <v>9</v>
      </c>
      <c r="B7463">
        <v>199</v>
      </c>
      <c r="C7463" t="str">
        <f t="shared" si="1666"/>
        <v>11</v>
      </c>
      <c r="D7463">
        <v>6399</v>
      </c>
      <c r="E7463" t="str">
        <f>"PK"</f>
        <v>PK</v>
      </c>
      <c r="F7463" t="str">
        <f>"101"</f>
        <v>101</v>
      </c>
      <c r="G7463">
        <v>9</v>
      </c>
      <c r="H7463" t="str">
        <f t="shared" si="1667"/>
        <v>11</v>
      </c>
      <c r="I7463" t="str">
        <f t="shared" si="1665"/>
        <v>0</v>
      </c>
      <c r="J7463" t="str">
        <f>"04"</f>
        <v>04</v>
      </c>
      <c r="K7463">
        <v>20190726</v>
      </c>
      <c r="L7463" t="str">
        <f t="shared" si="1668"/>
        <v>077481</v>
      </c>
      <c r="M7463" t="str">
        <f t="shared" si="1669"/>
        <v>04410</v>
      </c>
      <c r="N7463" t="s">
        <v>410</v>
      </c>
      <c r="O7463">
        <v>-17.510000000000002</v>
      </c>
      <c r="P7463">
        <v>20190715</v>
      </c>
      <c r="Q7463" t="s">
        <v>2823</v>
      </c>
      <c r="R7463" t="s">
        <v>5872</v>
      </c>
      <c r="S7463" t="s">
        <v>1615</v>
      </c>
      <c r="T7463" t="s">
        <v>1479</v>
      </c>
    </row>
    <row r="7464" spans="1:20" x14ac:dyDescent="0.25">
      <c r="A7464">
        <v>9</v>
      </c>
      <c r="B7464">
        <v>199</v>
      </c>
      <c r="C7464" t="str">
        <f t="shared" si="1666"/>
        <v>11</v>
      </c>
      <c r="D7464">
        <v>6399</v>
      </c>
      <c r="E7464" t="str">
        <f t="shared" ref="E7464:E7471" si="1670">"R1"</f>
        <v>R1</v>
      </c>
      <c r="F7464" t="str">
        <f t="shared" ref="F7464:F7476" si="1671">"001"</f>
        <v>001</v>
      </c>
      <c r="G7464">
        <v>9</v>
      </c>
      <c r="H7464" t="str">
        <f t="shared" si="1667"/>
        <v>11</v>
      </c>
      <c r="I7464" t="str">
        <f t="shared" si="1665"/>
        <v>0</v>
      </c>
      <c r="J7464" t="str">
        <f t="shared" ref="J7464:J7471" si="1672">"01"</f>
        <v>01</v>
      </c>
      <c r="K7464">
        <v>20190726</v>
      </c>
      <c r="L7464" t="str">
        <f t="shared" si="1668"/>
        <v>077481</v>
      </c>
      <c r="M7464" t="str">
        <f t="shared" si="1669"/>
        <v>04410</v>
      </c>
      <c r="N7464" t="s">
        <v>410</v>
      </c>
      <c r="O7464">
        <v>594.08000000000004</v>
      </c>
      <c r="P7464">
        <v>20190724</v>
      </c>
      <c r="Q7464" t="s">
        <v>2441</v>
      </c>
      <c r="R7464" t="s">
        <v>5873</v>
      </c>
      <c r="S7464" t="s">
        <v>1615</v>
      </c>
      <c r="T7464" t="s">
        <v>301</v>
      </c>
    </row>
    <row r="7465" spans="1:20" x14ac:dyDescent="0.25">
      <c r="A7465">
        <v>9</v>
      </c>
      <c r="B7465">
        <v>199</v>
      </c>
      <c r="C7465" t="str">
        <f t="shared" si="1666"/>
        <v>11</v>
      </c>
      <c r="D7465">
        <v>6399</v>
      </c>
      <c r="E7465" t="str">
        <f t="shared" si="1670"/>
        <v>R1</v>
      </c>
      <c r="F7465" t="str">
        <f t="shared" si="1671"/>
        <v>001</v>
      </c>
      <c r="G7465">
        <v>9</v>
      </c>
      <c r="H7465" t="str">
        <f t="shared" si="1667"/>
        <v>11</v>
      </c>
      <c r="I7465" t="str">
        <f t="shared" si="1665"/>
        <v>0</v>
      </c>
      <c r="J7465" t="str">
        <f t="shared" si="1672"/>
        <v>01</v>
      </c>
      <c r="K7465">
        <v>20190726</v>
      </c>
      <c r="L7465" t="str">
        <f t="shared" si="1668"/>
        <v>077481</v>
      </c>
      <c r="M7465" t="str">
        <f t="shared" si="1669"/>
        <v>04410</v>
      </c>
      <c r="N7465" t="s">
        <v>410</v>
      </c>
      <c r="O7465">
        <v>-59.23</v>
      </c>
      <c r="P7465">
        <v>20190724</v>
      </c>
      <c r="Q7465" t="s">
        <v>2441</v>
      </c>
      <c r="R7465" t="s">
        <v>5874</v>
      </c>
      <c r="S7465" t="s">
        <v>1615</v>
      </c>
      <c r="T7465" t="s">
        <v>301</v>
      </c>
    </row>
    <row r="7466" spans="1:20" x14ac:dyDescent="0.25">
      <c r="A7466">
        <v>9</v>
      </c>
      <c r="B7466">
        <v>199</v>
      </c>
      <c r="C7466" t="str">
        <f t="shared" si="1666"/>
        <v>11</v>
      </c>
      <c r="D7466">
        <v>6399</v>
      </c>
      <c r="E7466" t="str">
        <f t="shared" si="1670"/>
        <v>R1</v>
      </c>
      <c r="F7466" t="str">
        <f t="shared" si="1671"/>
        <v>001</v>
      </c>
      <c r="G7466">
        <v>9</v>
      </c>
      <c r="H7466" t="str">
        <f t="shared" si="1667"/>
        <v>11</v>
      </c>
      <c r="I7466" t="str">
        <f t="shared" si="1665"/>
        <v>0</v>
      </c>
      <c r="J7466" t="str">
        <f t="shared" si="1672"/>
        <v>01</v>
      </c>
      <c r="K7466">
        <v>20190726</v>
      </c>
      <c r="L7466" t="str">
        <f t="shared" si="1668"/>
        <v>077481</v>
      </c>
      <c r="M7466" t="str">
        <f t="shared" si="1669"/>
        <v>04410</v>
      </c>
      <c r="N7466" t="s">
        <v>410</v>
      </c>
      <c r="O7466">
        <v>-59.23</v>
      </c>
      <c r="P7466">
        <v>20190722</v>
      </c>
      <c r="Q7466" t="s">
        <v>2441</v>
      </c>
      <c r="R7466" t="s">
        <v>5874</v>
      </c>
      <c r="S7466" t="s">
        <v>1615</v>
      </c>
      <c r="T7466" t="s">
        <v>301</v>
      </c>
    </row>
    <row r="7467" spans="1:20" x14ac:dyDescent="0.25">
      <c r="A7467">
        <v>9</v>
      </c>
      <c r="B7467">
        <v>199</v>
      </c>
      <c r="C7467" t="str">
        <f t="shared" si="1666"/>
        <v>11</v>
      </c>
      <c r="D7467">
        <v>6399</v>
      </c>
      <c r="E7467" t="str">
        <f t="shared" si="1670"/>
        <v>R1</v>
      </c>
      <c r="F7467" t="str">
        <f t="shared" si="1671"/>
        <v>001</v>
      </c>
      <c r="G7467">
        <v>9</v>
      </c>
      <c r="H7467" t="str">
        <f t="shared" si="1667"/>
        <v>11</v>
      </c>
      <c r="I7467" t="str">
        <f t="shared" si="1665"/>
        <v>0</v>
      </c>
      <c r="J7467" t="str">
        <f t="shared" si="1672"/>
        <v>01</v>
      </c>
      <c r="K7467">
        <v>20190726</v>
      </c>
      <c r="L7467" t="str">
        <f t="shared" si="1668"/>
        <v>077481</v>
      </c>
      <c r="M7467" t="str">
        <f t="shared" si="1669"/>
        <v>04410</v>
      </c>
      <c r="N7467" t="s">
        <v>410</v>
      </c>
      <c r="O7467">
        <v>-59.23</v>
      </c>
      <c r="P7467">
        <v>20190722</v>
      </c>
      <c r="Q7467" t="s">
        <v>2441</v>
      </c>
      <c r="R7467" t="s">
        <v>5874</v>
      </c>
      <c r="S7467" t="s">
        <v>1615</v>
      </c>
      <c r="T7467" t="s">
        <v>301</v>
      </c>
    </row>
    <row r="7468" spans="1:20" x14ac:dyDescent="0.25">
      <c r="A7468">
        <v>9</v>
      </c>
      <c r="B7468">
        <v>199</v>
      </c>
      <c r="C7468" t="str">
        <f t="shared" si="1666"/>
        <v>11</v>
      </c>
      <c r="D7468">
        <v>6399</v>
      </c>
      <c r="E7468" t="str">
        <f t="shared" si="1670"/>
        <v>R1</v>
      </c>
      <c r="F7468" t="str">
        <f t="shared" si="1671"/>
        <v>001</v>
      </c>
      <c r="G7468">
        <v>9</v>
      </c>
      <c r="H7468" t="str">
        <f t="shared" si="1667"/>
        <v>11</v>
      </c>
      <c r="I7468" t="str">
        <f t="shared" si="1665"/>
        <v>0</v>
      </c>
      <c r="J7468" t="str">
        <f t="shared" si="1672"/>
        <v>01</v>
      </c>
      <c r="K7468">
        <v>20190726</v>
      </c>
      <c r="L7468" t="str">
        <f t="shared" si="1668"/>
        <v>077481</v>
      </c>
      <c r="M7468" t="str">
        <f t="shared" si="1669"/>
        <v>04410</v>
      </c>
      <c r="N7468" t="s">
        <v>410</v>
      </c>
      <c r="O7468">
        <v>-59.23</v>
      </c>
      <c r="P7468">
        <v>20190722</v>
      </c>
      <c r="Q7468" t="s">
        <v>2441</v>
      </c>
      <c r="R7468" t="s">
        <v>5874</v>
      </c>
      <c r="S7468" t="s">
        <v>1615</v>
      </c>
      <c r="T7468" t="s">
        <v>301</v>
      </c>
    </row>
    <row r="7469" spans="1:20" x14ac:dyDescent="0.25">
      <c r="A7469">
        <v>9</v>
      </c>
      <c r="B7469">
        <v>199</v>
      </c>
      <c r="C7469" t="str">
        <f t="shared" si="1666"/>
        <v>11</v>
      </c>
      <c r="D7469">
        <v>6399</v>
      </c>
      <c r="E7469" t="str">
        <f t="shared" si="1670"/>
        <v>R1</v>
      </c>
      <c r="F7469" t="str">
        <f t="shared" si="1671"/>
        <v>001</v>
      </c>
      <c r="G7469">
        <v>9</v>
      </c>
      <c r="H7469" t="str">
        <f t="shared" si="1667"/>
        <v>11</v>
      </c>
      <c r="I7469" t="str">
        <f t="shared" si="1665"/>
        <v>0</v>
      </c>
      <c r="J7469" t="str">
        <f t="shared" si="1672"/>
        <v>01</v>
      </c>
      <c r="K7469">
        <v>20190726</v>
      </c>
      <c r="L7469" t="str">
        <f t="shared" si="1668"/>
        <v>077481</v>
      </c>
      <c r="M7469" t="str">
        <f t="shared" si="1669"/>
        <v>04410</v>
      </c>
      <c r="N7469" t="s">
        <v>410</v>
      </c>
      <c r="O7469">
        <v>-59.23</v>
      </c>
      <c r="P7469">
        <v>20190722</v>
      </c>
      <c r="Q7469" t="s">
        <v>2441</v>
      </c>
      <c r="R7469" t="s">
        <v>5874</v>
      </c>
      <c r="S7469" t="s">
        <v>1615</v>
      </c>
      <c r="T7469" t="s">
        <v>301</v>
      </c>
    </row>
    <row r="7470" spans="1:20" x14ac:dyDescent="0.25">
      <c r="A7470">
        <v>9</v>
      </c>
      <c r="B7470">
        <v>199</v>
      </c>
      <c r="C7470" t="str">
        <f t="shared" si="1666"/>
        <v>11</v>
      </c>
      <c r="D7470">
        <v>6399</v>
      </c>
      <c r="E7470" t="str">
        <f t="shared" si="1670"/>
        <v>R1</v>
      </c>
      <c r="F7470" t="str">
        <f t="shared" si="1671"/>
        <v>001</v>
      </c>
      <c r="G7470">
        <v>9</v>
      </c>
      <c r="H7470" t="str">
        <f t="shared" si="1667"/>
        <v>11</v>
      </c>
      <c r="I7470" t="str">
        <f t="shared" si="1665"/>
        <v>0</v>
      </c>
      <c r="J7470" t="str">
        <f t="shared" si="1672"/>
        <v>01</v>
      </c>
      <c r="K7470">
        <v>20190726</v>
      </c>
      <c r="L7470" t="str">
        <f t="shared" si="1668"/>
        <v>077481</v>
      </c>
      <c r="M7470" t="str">
        <f t="shared" si="1669"/>
        <v>04410</v>
      </c>
      <c r="N7470" t="s">
        <v>410</v>
      </c>
      <c r="O7470">
        <v>-59.23</v>
      </c>
      <c r="P7470">
        <v>20190722</v>
      </c>
      <c r="Q7470" t="s">
        <v>2441</v>
      </c>
      <c r="R7470" t="s">
        <v>5874</v>
      </c>
      <c r="S7470" t="s">
        <v>1615</v>
      </c>
      <c r="T7470" t="s">
        <v>301</v>
      </c>
    </row>
    <row r="7471" spans="1:20" x14ac:dyDescent="0.25">
      <c r="A7471">
        <v>9</v>
      </c>
      <c r="B7471">
        <v>199</v>
      </c>
      <c r="C7471" t="str">
        <f t="shared" si="1666"/>
        <v>11</v>
      </c>
      <c r="D7471">
        <v>6399</v>
      </c>
      <c r="E7471" t="str">
        <f t="shared" si="1670"/>
        <v>R1</v>
      </c>
      <c r="F7471" t="str">
        <f t="shared" si="1671"/>
        <v>001</v>
      </c>
      <c r="G7471">
        <v>9</v>
      </c>
      <c r="H7471" t="str">
        <f t="shared" si="1667"/>
        <v>11</v>
      </c>
      <c r="I7471" t="str">
        <f t="shared" si="1665"/>
        <v>0</v>
      </c>
      <c r="J7471" t="str">
        <f t="shared" si="1672"/>
        <v>01</v>
      </c>
      <c r="K7471">
        <v>20190726</v>
      </c>
      <c r="L7471" t="str">
        <f t="shared" si="1668"/>
        <v>077481</v>
      </c>
      <c r="M7471" t="str">
        <f t="shared" si="1669"/>
        <v>04410</v>
      </c>
      <c r="N7471" t="s">
        <v>410</v>
      </c>
      <c r="O7471">
        <v>-59.23</v>
      </c>
      <c r="P7471">
        <v>20190722</v>
      </c>
      <c r="Q7471" t="s">
        <v>2441</v>
      </c>
      <c r="R7471" t="s">
        <v>5874</v>
      </c>
      <c r="S7471" t="s">
        <v>1615</v>
      </c>
      <c r="T7471" t="s">
        <v>301</v>
      </c>
    </row>
    <row r="7472" spans="1:20" x14ac:dyDescent="0.25">
      <c r="A7472">
        <v>9</v>
      </c>
      <c r="B7472">
        <v>199</v>
      </c>
      <c r="C7472" t="str">
        <f t="shared" si="1666"/>
        <v>11</v>
      </c>
      <c r="D7472">
        <v>6399</v>
      </c>
      <c r="E7472" t="str">
        <f>"V1"</f>
        <v>V1</v>
      </c>
      <c r="F7472" t="str">
        <f t="shared" si="1671"/>
        <v>001</v>
      </c>
      <c r="G7472">
        <v>9</v>
      </c>
      <c r="H7472" t="str">
        <f>"22"</f>
        <v>22</v>
      </c>
      <c r="I7472" t="str">
        <f t="shared" si="1665"/>
        <v>0</v>
      </c>
      <c r="J7472" t="str">
        <f>"22"</f>
        <v>22</v>
      </c>
      <c r="K7472">
        <v>20190726</v>
      </c>
      <c r="L7472" t="str">
        <f t="shared" si="1668"/>
        <v>077481</v>
      </c>
      <c r="M7472" t="str">
        <f t="shared" si="1669"/>
        <v>04410</v>
      </c>
      <c r="N7472" t="s">
        <v>410</v>
      </c>
      <c r="O7472">
        <v>186.51</v>
      </c>
      <c r="P7472">
        <v>20190724</v>
      </c>
      <c r="Q7472" t="s">
        <v>5437</v>
      </c>
      <c r="R7472" t="s">
        <v>2793</v>
      </c>
      <c r="S7472" t="s">
        <v>1615</v>
      </c>
      <c r="T7472" t="s">
        <v>301</v>
      </c>
    </row>
    <row r="7473" spans="1:20" x14ac:dyDescent="0.25">
      <c r="A7473">
        <v>9</v>
      </c>
      <c r="B7473">
        <v>199</v>
      </c>
      <c r="C7473" t="str">
        <f t="shared" si="1666"/>
        <v>11</v>
      </c>
      <c r="D7473">
        <v>6399</v>
      </c>
      <c r="E7473" t="str">
        <f>"V1"</f>
        <v>V1</v>
      </c>
      <c r="F7473" t="str">
        <f t="shared" si="1671"/>
        <v>001</v>
      </c>
      <c r="G7473">
        <v>9</v>
      </c>
      <c r="H7473" t="str">
        <f>"22"</f>
        <v>22</v>
      </c>
      <c r="I7473" t="str">
        <f t="shared" si="1665"/>
        <v>0</v>
      </c>
      <c r="J7473" t="str">
        <f>"22"</f>
        <v>22</v>
      </c>
      <c r="K7473">
        <v>20190726</v>
      </c>
      <c r="L7473" t="str">
        <f t="shared" si="1668"/>
        <v>077481</v>
      </c>
      <c r="M7473" t="str">
        <f t="shared" si="1669"/>
        <v>04410</v>
      </c>
      <c r="N7473" t="s">
        <v>410</v>
      </c>
      <c r="O7473">
        <v>3.79</v>
      </c>
      <c r="P7473">
        <v>20190724</v>
      </c>
      <c r="Q7473" t="s">
        <v>5437</v>
      </c>
      <c r="R7473" t="s">
        <v>5872</v>
      </c>
      <c r="S7473" t="s">
        <v>1615</v>
      </c>
      <c r="T7473" t="s">
        <v>301</v>
      </c>
    </row>
    <row r="7474" spans="1:20" x14ac:dyDescent="0.25">
      <c r="A7474">
        <v>9</v>
      </c>
      <c r="B7474">
        <v>199</v>
      </c>
      <c r="C7474" t="str">
        <f t="shared" si="1666"/>
        <v>11</v>
      </c>
      <c r="D7474">
        <v>6399</v>
      </c>
      <c r="E7474" t="str">
        <f>"V1"</f>
        <v>V1</v>
      </c>
      <c r="F7474" t="str">
        <f t="shared" si="1671"/>
        <v>001</v>
      </c>
      <c r="G7474">
        <v>9</v>
      </c>
      <c r="H7474" t="str">
        <f>"22"</f>
        <v>22</v>
      </c>
      <c r="I7474" t="str">
        <f t="shared" si="1665"/>
        <v>0</v>
      </c>
      <c r="J7474" t="str">
        <f>"22"</f>
        <v>22</v>
      </c>
      <c r="K7474">
        <v>20190726</v>
      </c>
      <c r="L7474" t="str">
        <f t="shared" si="1668"/>
        <v>077481</v>
      </c>
      <c r="M7474" t="str">
        <f t="shared" si="1669"/>
        <v>04410</v>
      </c>
      <c r="N7474" t="s">
        <v>410</v>
      </c>
      <c r="O7474">
        <v>62.95</v>
      </c>
      <c r="P7474">
        <v>20190724</v>
      </c>
      <c r="Q7474" t="s">
        <v>5437</v>
      </c>
      <c r="R7474" t="s">
        <v>2793</v>
      </c>
      <c r="S7474" t="s">
        <v>1615</v>
      </c>
      <c r="T7474" t="s">
        <v>301</v>
      </c>
    </row>
    <row r="7475" spans="1:20" x14ac:dyDescent="0.25">
      <c r="A7475">
        <v>9</v>
      </c>
      <c r="B7475">
        <v>199</v>
      </c>
      <c r="C7475" t="str">
        <f t="shared" si="1666"/>
        <v>11</v>
      </c>
      <c r="D7475">
        <v>6399</v>
      </c>
      <c r="E7475" t="str">
        <f>"V1"</f>
        <v>V1</v>
      </c>
      <c r="F7475" t="str">
        <f t="shared" si="1671"/>
        <v>001</v>
      </c>
      <c r="G7475">
        <v>9</v>
      </c>
      <c r="H7475" t="str">
        <f>"22"</f>
        <v>22</v>
      </c>
      <c r="I7475" t="str">
        <f t="shared" si="1665"/>
        <v>0</v>
      </c>
      <c r="J7475" t="str">
        <f>"22"</f>
        <v>22</v>
      </c>
      <c r="K7475">
        <v>20190726</v>
      </c>
      <c r="L7475" t="str">
        <f t="shared" si="1668"/>
        <v>077481</v>
      </c>
      <c r="M7475" t="str">
        <f t="shared" si="1669"/>
        <v>04410</v>
      </c>
      <c r="N7475" t="s">
        <v>410</v>
      </c>
      <c r="O7475">
        <v>6.48</v>
      </c>
      <c r="P7475">
        <v>20190724</v>
      </c>
      <c r="Q7475" t="s">
        <v>5437</v>
      </c>
      <c r="R7475" t="s">
        <v>5875</v>
      </c>
      <c r="S7475" t="s">
        <v>1615</v>
      </c>
      <c r="T7475" t="s">
        <v>301</v>
      </c>
    </row>
    <row r="7476" spans="1:20" x14ac:dyDescent="0.25">
      <c r="A7476">
        <v>9</v>
      </c>
      <c r="B7476">
        <v>199</v>
      </c>
      <c r="C7476" t="str">
        <f t="shared" si="1666"/>
        <v>11</v>
      </c>
      <c r="D7476">
        <v>6399</v>
      </c>
      <c r="E7476" t="str">
        <f>"V1"</f>
        <v>V1</v>
      </c>
      <c r="F7476" t="str">
        <f t="shared" si="1671"/>
        <v>001</v>
      </c>
      <c r="G7476">
        <v>9</v>
      </c>
      <c r="H7476" t="str">
        <f>"22"</f>
        <v>22</v>
      </c>
      <c r="I7476" t="str">
        <f t="shared" si="1665"/>
        <v>0</v>
      </c>
      <c r="J7476" t="str">
        <f>"22"</f>
        <v>22</v>
      </c>
      <c r="K7476">
        <v>20190726</v>
      </c>
      <c r="L7476" t="str">
        <f t="shared" si="1668"/>
        <v>077481</v>
      </c>
      <c r="M7476" t="str">
        <f t="shared" si="1669"/>
        <v>04410</v>
      </c>
      <c r="N7476" t="s">
        <v>410</v>
      </c>
      <c r="O7476">
        <v>48.08</v>
      </c>
      <c r="P7476">
        <v>20190724</v>
      </c>
      <c r="Q7476" t="s">
        <v>5437</v>
      </c>
      <c r="R7476" t="s">
        <v>5876</v>
      </c>
      <c r="S7476" t="s">
        <v>1615</v>
      </c>
      <c r="T7476" t="s">
        <v>301</v>
      </c>
    </row>
    <row r="7477" spans="1:20" x14ac:dyDescent="0.25">
      <c r="A7477">
        <v>9</v>
      </c>
      <c r="B7477">
        <v>199</v>
      </c>
      <c r="C7477" t="str">
        <f>"23"</f>
        <v>23</v>
      </c>
      <c r="D7477">
        <v>6649</v>
      </c>
      <c r="E7477" t="str">
        <f>"10"</f>
        <v>10</v>
      </c>
      <c r="F7477" t="str">
        <f>"041"</f>
        <v>041</v>
      </c>
      <c r="G7477">
        <v>9</v>
      </c>
      <c r="H7477" t="str">
        <f>"99"</f>
        <v>99</v>
      </c>
      <c r="I7477" t="str">
        <f t="shared" si="1665"/>
        <v>0</v>
      </c>
      <c r="J7477" t="str">
        <f>"03"</f>
        <v>03</v>
      </c>
      <c r="K7477">
        <v>20190726</v>
      </c>
      <c r="L7477" t="str">
        <f t="shared" si="1668"/>
        <v>077481</v>
      </c>
      <c r="M7477" t="str">
        <f t="shared" si="1669"/>
        <v>04410</v>
      </c>
      <c r="N7477" t="s">
        <v>410</v>
      </c>
      <c r="O7477">
        <v>609.95000000000005</v>
      </c>
      <c r="P7477">
        <v>20190724</v>
      </c>
      <c r="Q7477" t="s">
        <v>4008</v>
      </c>
      <c r="R7477" t="s">
        <v>5877</v>
      </c>
      <c r="S7477" t="s">
        <v>1615</v>
      </c>
      <c r="T7477" t="s">
        <v>106</v>
      </c>
    </row>
    <row r="7478" spans="1:20" x14ac:dyDescent="0.25">
      <c r="A7478">
        <v>9</v>
      </c>
      <c r="B7478">
        <v>199</v>
      </c>
      <c r="C7478" t="str">
        <f>"00"</f>
        <v>00</v>
      </c>
      <c r="D7478">
        <v>5749</v>
      </c>
      <c r="E7478" t="str">
        <f>"00"</f>
        <v>00</v>
      </c>
      <c r="F7478" t="str">
        <f>"000"</f>
        <v>000</v>
      </c>
      <c r="G7478">
        <v>9</v>
      </c>
      <c r="H7478" t="str">
        <f>"00"</f>
        <v>00</v>
      </c>
      <c r="I7478" t="str">
        <f t="shared" si="1665"/>
        <v>0</v>
      </c>
      <c r="J7478" t="str">
        <f>"00"</f>
        <v>00</v>
      </c>
      <c r="K7478">
        <v>20190726</v>
      </c>
      <c r="L7478" t="str">
        <f t="shared" ref="L7478:L7501" si="1673">"077482"</f>
        <v>077482</v>
      </c>
      <c r="M7478" t="str">
        <f t="shared" ref="M7478:M7501" si="1674">"09170"</f>
        <v>09170</v>
      </c>
      <c r="N7478" t="s">
        <v>679</v>
      </c>
      <c r="O7478">
        <v>-11.14</v>
      </c>
      <c r="P7478">
        <v>20190614</v>
      </c>
      <c r="Q7478" t="s">
        <v>4850</v>
      </c>
      <c r="R7478" t="s">
        <v>5878</v>
      </c>
      <c r="S7478" t="s">
        <v>1615</v>
      </c>
      <c r="T7478" t="s">
        <v>296</v>
      </c>
    </row>
    <row r="7479" spans="1:20" x14ac:dyDescent="0.25">
      <c r="A7479">
        <v>9</v>
      </c>
      <c r="B7479">
        <v>199</v>
      </c>
      <c r="C7479" t="str">
        <f t="shared" ref="C7479:C7485" si="1675">"11"</f>
        <v>11</v>
      </c>
      <c r="D7479">
        <v>6249</v>
      </c>
      <c r="E7479" t="str">
        <f>"57"</f>
        <v>57</v>
      </c>
      <c r="F7479" t="str">
        <f>"001"</f>
        <v>001</v>
      </c>
      <c r="G7479">
        <v>9</v>
      </c>
      <c r="H7479" t="str">
        <f>"11"</f>
        <v>11</v>
      </c>
      <c r="I7479" t="str">
        <f t="shared" si="1665"/>
        <v>0</v>
      </c>
      <c r="J7479" t="str">
        <f>"80"</f>
        <v>80</v>
      </c>
      <c r="K7479">
        <v>20190726</v>
      </c>
      <c r="L7479" t="str">
        <f t="shared" si="1673"/>
        <v>077482</v>
      </c>
      <c r="M7479" t="str">
        <f t="shared" si="1674"/>
        <v>09170</v>
      </c>
      <c r="N7479" t="s">
        <v>679</v>
      </c>
      <c r="O7479">
        <v>8.74</v>
      </c>
      <c r="P7479">
        <v>20190724</v>
      </c>
      <c r="Q7479" t="s">
        <v>1796</v>
      </c>
      <c r="R7479" t="s">
        <v>5879</v>
      </c>
      <c r="S7479" t="s">
        <v>1615</v>
      </c>
      <c r="T7479" t="s">
        <v>301</v>
      </c>
    </row>
    <row r="7480" spans="1:20" x14ac:dyDescent="0.25">
      <c r="A7480">
        <v>9</v>
      </c>
      <c r="B7480">
        <v>199</v>
      </c>
      <c r="C7480" t="str">
        <f t="shared" si="1675"/>
        <v>11</v>
      </c>
      <c r="D7480">
        <v>6249</v>
      </c>
      <c r="E7480" t="str">
        <f>"57"</f>
        <v>57</v>
      </c>
      <c r="F7480" t="str">
        <f>"041"</f>
        <v>041</v>
      </c>
      <c r="G7480">
        <v>9</v>
      </c>
      <c r="H7480" t="str">
        <f>"11"</f>
        <v>11</v>
      </c>
      <c r="I7480" t="str">
        <f t="shared" si="1665"/>
        <v>0</v>
      </c>
      <c r="J7480" t="str">
        <f>"80"</f>
        <v>80</v>
      </c>
      <c r="K7480">
        <v>20190726</v>
      </c>
      <c r="L7480" t="str">
        <f t="shared" si="1673"/>
        <v>077482</v>
      </c>
      <c r="M7480" t="str">
        <f t="shared" si="1674"/>
        <v>09170</v>
      </c>
      <c r="N7480" t="s">
        <v>679</v>
      </c>
      <c r="O7480">
        <v>8.74</v>
      </c>
      <c r="P7480">
        <v>20190724</v>
      </c>
      <c r="Q7480" t="s">
        <v>1798</v>
      </c>
      <c r="R7480" t="s">
        <v>5879</v>
      </c>
      <c r="S7480" t="s">
        <v>1615</v>
      </c>
      <c r="T7480" t="s">
        <v>106</v>
      </c>
    </row>
    <row r="7481" spans="1:20" x14ac:dyDescent="0.25">
      <c r="A7481">
        <v>9</v>
      </c>
      <c r="B7481">
        <v>199</v>
      </c>
      <c r="C7481" t="str">
        <f t="shared" si="1675"/>
        <v>11</v>
      </c>
      <c r="D7481">
        <v>6249</v>
      </c>
      <c r="E7481" t="str">
        <f>"57"</f>
        <v>57</v>
      </c>
      <c r="F7481" t="str">
        <f>"101"</f>
        <v>101</v>
      </c>
      <c r="G7481">
        <v>9</v>
      </c>
      <c r="H7481" t="str">
        <f>"11"</f>
        <v>11</v>
      </c>
      <c r="I7481" t="str">
        <f t="shared" si="1665"/>
        <v>0</v>
      </c>
      <c r="J7481" t="str">
        <f>"80"</f>
        <v>80</v>
      </c>
      <c r="K7481">
        <v>20190726</v>
      </c>
      <c r="L7481" t="str">
        <f t="shared" si="1673"/>
        <v>077482</v>
      </c>
      <c r="M7481" t="str">
        <f t="shared" si="1674"/>
        <v>09170</v>
      </c>
      <c r="N7481" t="s">
        <v>679</v>
      </c>
      <c r="O7481">
        <v>8.74</v>
      </c>
      <c r="P7481">
        <v>20190724</v>
      </c>
      <c r="Q7481" t="s">
        <v>1799</v>
      </c>
      <c r="R7481" t="s">
        <v>5879</v>
      </c>
      <c r="S7481" t="s">
        <v>1615</v>
      </c>
      <c r="T7481" t="s">
        <v>1479</v>
      </c>
    </row>
    <row r="7482" spans="1:20" x14ac:dyDescent="0.25">
      <c r="A7482">
        <v>9</v>
      </c>
      <c r="B7482">
        <v>199</v>
      </c>
      <c r="C7482" t="str">
        <f t="shared" si="1675"/>
        <v>11</v>
      </c>
      <c r="D7482">
        <v>6249</v>
      </c>
      <c r="E7482" t="str">
        <f>"57"</f>
        <v>57</v>
      </c>
      <c r="F7482" t="str">
        <f>"104"</f>
        <v>104</v>
      </c>
      <c r="G7482">
        <v>9</v>
      </c>
      <c r="H7482" t="str">
        <f>"11"</f>
        <v>11</v>
      </c>
      <c r="I7482" t="str">
        <f t="shared" si="1665"/>
        <v>0</v>
      </c>
      <c r="J7482" t="str">
        <f>"80"</f>
        <v>80</v>
      </c>
      <c r="K7482">
        <v>20190726</v>
      </c>
      <c r="L7482" t="str">
        <f t="shared" si="1673"/>
        <v>077482</v>
      </c>
      <c r="M7482" t="str">
        <f t="shared" si="1674"/>
        <v>09170</v>
      </c>
      <c r="N7482" t="s">
        <v>679</v>
      </c>
      <c r="O7482">
        <v>8.73</v>
      </c>
      <c r="P7482">
        <v>20190724</v>
      </c>
      <c r="Q7482" t="s">
        <v>1800</v>
      </c>
      <c r="R7482" t="s">
        <v>5879</v>
      </c>
      <c r="S7482" t="s">
        <v>1615</v>
      </c>
      <c r="T7482" t="s">
        <v>46</v>
      </c>
    </row>
    <row r="7483" spans="1:20" x14ac:dyDescent="0.25">
      <c r="A7483">
        <v>9</v>
      </c>
      <c r="B7483">
        <v>199</v>
      </c>
      <c r="C7483" t="str">
        <f t="shared" si="1675"/>
        <v>11</v>
      </c>
      <c r="D7483">
        <v>6399</v>
      </c>
      <c r="E7483" t="str">
        <f>"H4"</f>
        <v>H4</v>
      </c>
      <c r="F7483" t="str">
        <f>"001"</f>
        <v>001</v>
      </c>
      <c r="G7483">
        <v>9</v>
      </c>
      <c r="H7483" t="str">
        <f>"11"</f>
        <v>11</v>
      </c>
      <c r="I7483" t="str">
        <f t="shared" si="1665"/>
        <v>0</v>
      </c>
      <c r="J7483" t="str">
        <f>"01"</f>
        <v>01</v>
      </c>
      <c r="K7483">
        <v>20190726</v>
      </c>
      <c r="L7483" t="str">
        <f t="shared" si="1673"/>
        <v>077482</v>
      </c>
      <c r="M7483" t="str">
        <f t="shared" si="1674"/>
        <v>09170</v>
      </c>
      <c r="N7483" t="s">
        <v>679</v>
      </c>
      <c r="O7483">
        <v>21.64</v>
      </c>
      <c r="P7483">
        <v>20190724</v>
      </c>
      <c r="Q7483" t="s">
        <v>2856</v>
      </c>
      <c r="R7483" t="s">
        <v>5142</v>
      </c>
      <c r="S7483" t="s">
        <v>1615</v>
      </c>
      <c r="T7483" t="s">
        <v>301</v>
      </c>
    </row>
    <row r="7484" spans="1:20" x14ac:dyDescent="0.25">
      <c r="A7484">
        <v>9</v>
      </c>
      <c r="B7484">
        <v>199</v>
      </c>
      <c r="C7484" t="str">
        <f t="shared" si="1675"/>
        <v>11</v>
      </c>
      <c r="D7484">
        <v>6399</v>
      </c>
      <c r="E7484" t="str">
        <f>"VH"</f>
        <v>VH</v>
      </c>
      <c r="F7484" t="str">
        <f>"001"</f>
        <v>001</v>
      </c>
      <c r="G7484">
        <v>9</v>
      </c>
      <c r="H7484" t="str">
        <f>"22"</f>
        <v>22</v>
      </c>
      <c r="I7484" t="str">
        <f t="shared" si="1665"/>
        <v>0</v>
      </c>
      <c r="J7484" t="str">
        <f>"22"</f>
        <v>22</v>
      </c>
      <c r="K7484">
        <v>20190726</v>
      </c>
      <c r="L7484" t="str">
        <f t="shared" si="1673"/>
        <v>077482</v>
      </c>
      <c r="M7484" t="str">
        <f t="shared" si="1674"/>
        <v>09170</v>
      </c>
      <c r="N7484" t="s">
        <v>679</v>
      </c>
      <c r="O7484">
        <v>477.73</v>
      </c>
      <c r="P7484">
        <v>20190724</v>
      </c>
      <c r="Q7484" t="s">
        <v>2206</v>
      </c>
      <c r="R7484" t="s">
        <v>5880</v>
      </c>
      <c r="S7484" t="s">
        <v>1615</v>
      </c>
      <c r="T7484" t="s">
        <v>301</v>
      </c>
    </row>
    <row r="7485" spans="1:20" x14ac:dyDescent="0.25">
      <c r="A7485">
        <v>9</v>
      </c>
      <c r="B7485">
        <v>199</v>
      </c>
      <c r="C7485" t="str">
        <f t="shared" si="1675"/>
        <v>11</v>
      </c>
      <c r="D7485">
        <v>6639</v>
      </c>
      <c r="E7485" t="str">
        <f>"NL"</f>
        <v>NL</v>
      </c>
      <c r="F7485" t="str">
        <f>"001"</f>
        <v>001</v>
      </c>
      <c r="G7485">
        <v>9</v>
      </c>
      <c r="H7485" t="str">
        <f>"22"</f>
        <v>22</v>
      </c>
      <c r="I7485" t="str">
        <f>"1"</f>
        <v>1</v>
      </c>
      <c r="J7485" t="str">
        <f>"22"</f>
        <v>22</v>
      </c>
      <c r="K7485">
        <v>20190726</v>
      </c>
      <c r="L7485" t="str">
        <f t="shared" si="1673"/>
        <v>077482</v>
      </c>
      <c r="M7485" t="str">
        <f t="shared" si="1674"/>
        <v>09170</v>
      </c>
      <c r="N7485" t="s">
        <v>679</v>
      </c>
      <c r="O7485" s="1">
        <v>6216</v>
      </c>
      <c r="P7485">
        <v>20190724</v>
      </c>
      <c r="Q7485" t="s">
        <v>5881</v>
      </c>
      <c r="R7485" t="s">
        <v>5882</v>
      </c>
      <c r="S7485" t="s">
        <v>1615</v>
      </c>
      <c r="T7485" t="s">
        <v>301</v>
      </c>
    </row>
    <row r="7486" spans="1:20" x14ac:dyDescent="0.25">
      <c r="A7486">
        <v>9</v>
      </c>
      <c r="B7486">
        <v>199</v>
      </c>
      <c r="C7486" t="str">
        <f>"21"</f>
        <v>21</v>
      </c>
      <c r="D7486">
        <v>6399</v>
      </c>
      <c r="E7486" t="str">
        <f>"10"</f>
        <v>10</v>
      </c>
      <c r="F7486" t="str">
        <f>"871"</f>
        <v>871</v>
      </c>
      <c r="G7486">
        <v>9</v>
      </c>
      <c r="H7486" t="str">
        <f t="shared" ref="H7486:H7492" si="1676">"99"</f>
        <v>99</v>
      </c>
      <c r="I7486" t="str">
        <f t="shared" ref="I7486:I7491" si="1677">"0"</f>
        <v>0</v>
      </c>
      <c r="J7486" t="str">
        <f>"94"</f>
        <v>94</v>
      </c>
      <c r="K7486">
        <v>20190726</v>
      </c>
      <c r="L7486" t="str">
        <f t="shared" si="1673"/>
        <v>077482</v>
      </c>
      <c r="M7486" t="str">
        <f t="shared" si="1674"/>
        <v>09170</v>
      </c>
      <c r="N7486" t="s">
        <v>679</v>
      </c>
      <c r="O7486">
        <v>58</v>
      </c>
      <c r="P7486">
        <v>20190724</v>
      </c>
      <c r="Q7486" t="s">
        <v>3176</v>
      </c>
      <c r="R7486" t="s">
        <v>5883</v>
      </c>
      <c r="S7486" t="s">
        <v>1615</v>
      </c>
      <c r="T7486" t="s">
        <v>1932</v>
      </c>
    </row>
    <row r="7487" spans="1:20" x14ac:dyDescent="0.25">
      <c r="A7487">
        <v>9</v>
      </c>
      <c r="B7487">
        <v>199</v>
      </c>
      <c r="C7487" t="str">
        <f>"34"</f>
        <v>34</v>
      </c>
      <c r="D7487">
        <v>6399</v>
      </c>
      <c r="E7487" t="str">
        <f>"11"</f>
        <v>11</v>
      </c>
      <c r="F7487" t="str">
        <f>"937"</f>
        <v>937</v>
      </c>
      <c r="G7487">
        <v>9</v>
      </c>
      <c r="H7487" t="str">
        <f t="shared" si="1676"/>
        <v>99</v>
      </c>
      <c r="I7487" t="str">
        <f t="shared" si="1677"/>
        <v>0</v>
      </c>
      <c r="J7487" t="str">
        <f>"82"</f>
        <v>82</v>
      </c>
      <c r="K7487">
        <v>20190726</v>
      </c>
      <c r="L7487" t="str">
        <f t="shared" si="1673"/>
        <v>077482</v>
      </c>
      <c r="M7487" t="str">
        <f t="shared" si="1674"/>
        <v>09170</v>
      </c>
      <c r="N7487" t="s">
        <v>679</v>
      </c>
      <c r="O7487">
        <v>562.91999999999996</v>
      </c>
      <c r="P7487">
        <v>20190724</v>
      </c>
      <c r="Q7487" t="s">
        <v>2210</v>
      </c>
      <c r="R7487" t="s">
        <v>5884</v>
      </c>
      <c r="S7487" t="s">
        <v>1615</v>
      </c>
      <c r="T7487" t="s">
        <v>1810</v>
      </c>
    </row>
    <row r="7488" spans="1:20" x14ac:dyDescent="0.25">
      <c r="A7488">
        <v>9</v>
      </c>
      <c r="B7488">
        <v>199</v>
      </c>
      <c r="C7488" t="str">
        <f>"34"</f>
        <v>34</v>
      </c>
      <c r="D7488">
        <v>6399</v>
      </c>
      <c r="E7488" t="str">
        <f>"11"</f>
        <v>11</v>
      </c>
      <c r="F7488" t="str">
        <f>"937"</f>
        <v>937</v>
      </c>
      <c r="G7488">
        <v>9</v>
      </c>
      <c r="H7488" t="str">
        <f t="shared" si="1676"/>
        <v>99</v>
      </c>
      <c r="I7488" t="str">
        <f t="shared" si="1677"/>
        <v>0</v>
      </c>
      <c r="J7488" t="str">
        <f>"82"</f>
        <v>82</v>
      </c>
      <c r="K7488">
        <v>20190726</v>
      </c>
      <c r="L7488" t="str">
        <f t="shared" si="1673"/>
        <v>077482</v>
      </c>
      <c r="M7488" t="str">
        <f t="shared" si="1674"/>
        <v>09170</v>
      </c>
      <c r="N7488" t="s">
        <v>679</v>
      </c>
      <c r="O7488">
        <v>153.52000000000001</v>
      </c>
      <c r="P7488">
        <v>20190724</v>
      </c>
      <c r="Q7488" t="s">
        <v>2210</v>
      </c>
      <c r="R7488" t="s">
        <v>5884</v>
      </c>
      <c r="S7488" t="s">
        <v>1615</v>
      </c>
      <c r="T7488" t="s">
        <v>1810</v>
      </c>
    </row>
    <row r="7489" spans="1:20" x14ac:dyDescent="0.25">
      <c r="A7489">
        <v>9</v>
      </c>
      <c r="B7489">
        <v>199</v>
      </c>
      <c r="C7489" t="str">
        <f>"34"</f>
        <v>34</v>
      </c>
      <c r="D7489">
        <v>6399</v>
      </c>
      <c r="E7489" t="str">
        <f>"11"</f>
        <v>11</v>
      </c>
      <c r="F7489" t="str">
        <f>"937"</f>
        <v>937</v>
      </c>
      <c r="G7489">
        <v>9</v>
      </c>
      <c r="H7489" t="str">
        <f t="shared" si="1676"/>
        <v>99</v>
      </c>
      <c r="I7489" t="str">
        <f t="shared" si="1677"/>
        <v>0</v>
      </c>
      <c r="J7489" t="str">
        <f>"82"</f>
        <v>82</v>
      </c>
      <c r="K7489">
        <v>20190726</v>
      </c>
      <c r="L7489" t="str">
        <f t="shared" si="1673"/>
        <v>077482</v>
      </c>
      <c r="M7489" t="str">
        <f t="shared" si="1674"/>
        <v>09170</v>
      </c>
      <c r="N7489" t="s">
        <v>679</v>
      </c>
      <c r="O7489">
        <v>157.62</v>
      </c>
      <c r="P7489">
        <v>20190724</v>
      </c>
      <c r="Q7489" t="s">
        <v>2210</v>
      </c>
      <c r="R7489" t="s">
        <v>5884</v>
      </c>
      <c r="S7489" t="s">
        <v>1615</v>
      </c>
      <c r="T7489" t="s">
        <v>1810</v>
      </c>
    </row>
    <row r="7490" spans="1:20" x14ac:dyDescent="0.25">
      <c r="A7490">
        <v>9</v>
      </c>
      <c r="B7490">
        <v>199</v>
      </c>
      <c r="C7490" t="str">
        <f>"34"</f>
        <v>34</v>
      </c>
      <c r="D7490">
        <v>6399</v>
      </c>
      <c r="E7490" t="str">
        <f>"11"</f>
        <v>11</v>
      </c>
      <c r="F7490" t="str">
        <f>"937"</f>
        <v>937</v>
      </c>
      <c r="G7490">
        <v>9</v>
      </c>
      <c r="H7490" t="str">
        <f t="shared" si="1676"/>
        <v>99</v>
      </c>
      <c r="I7490" t="str">
        <f t="shared" si="1677"/>
        <v>0</v>
      </c>
      <c r="J7490" t="str">
        <f>"82"</f>
        <v>82</v>
      </c>
      <c r="K7490">
        <v>20190726</v>
      </c>
      <c r="L7490" t="str">
        <f t="shared" si="1673"/>
        <v>077482</v>
      </c>
      <c r="M7490" t="str">
        <f t="shared" si="1674"/>
        <v>09170</v>
      </c>
      <c r="N7490" t="s">
        <v>679</v>
      </c>
      <c r="O7490">
        <v>25</v>
      </c>
      <c r="P7490">
        <v>20190724</v>
      </c>
      <c r="Q7490" t="s">
        <v>2210</v>
      </c>
      <c r="R7490" t="s">
        <v>5884</v>
      </c>
      <c r="S7490" t="s">
        <v>1615</v>
      </c>
      <c r="T7490" t="s">
        <v>1810</v>
      </c>
    </row>
    <row r="7491" spans="1:20" x14ac:dyDescent="0.25">
      <c r="A7491">
        <v>9</v>
      </c>
      <c r="B7491">
        <v>199</v>
      </c>
      <c r="C7491" t="str">
        <f>"36"</f>
        <v>36</v>
      </c>
      <c r="D7491">
        <v>6411</v>
      </c>
      <c r="E7491" t="str">
        <f>"7E"</f>
        <v>7E</v>
      </c>
      <c r="F7491" t="str">
        <f>"041"</f>
        <v>041</v>
      </c>
      <c r="G7491">
        <v>9</v>
      </c>
      <c r="H7491" t="str">
        <f t="shared" si="1676"/>
        <v>99</v>
      </c>
      <c r="I7491" t="str">
        <f t="shared" si="1677"/>
        <v>0</v>
      </c>
      <c r="J7491" t="str">
        <f>"35"</f>
        <v>35</v>
      </c>
      <c r="K7491">
        <v>20190726</v>
      </c>
      <c r="L7491" t="str">
        <f t="shared" si="1673"/>
        <v>077482</v>
      </c>
      <c r="M7491" t="str">
        <f t="shared" si="1674"/>
        <v>09170</v>
      </c>
      <c r="N7491" t="s">
        <v>679</v>
      </c>
      <c r="O7491">
        <v>191.5</v>
      </c>
      <c r="P7491">
        <v>20190724</v>
      </c>
      <c r="Q7491" t="s">
        <v>3326</v>
      </c>
      <c r="R7491" t="s">
        <v>5522</v>
      </c>
      <c r="S7491" t="s">
        <v>1615</v>
      </c>
      <c r="T7491" t="s">
        <v>106</v>
      </c>
    </row>
    <row r="7492" spans="1:20" x14ac:dyDescent="0.25">
      <c r="A7492">
        <v>9</v>
      </c>
      <c r="B7492">
        <v>199</v>
      </c>
      <c r="C7492" t="str">
        <f>"36"</f>
        <v>36</v>
      </c>
      <c r="D7492">
        <v>6412</v>
      </c>
      <c r="E7492" t="str">
        <f>"11"</f>
        <v>11</v>
      </c>
      <c r="F7492" t="str">
        <f>"001"</f>
        <v>001</v>
      </c>
      <c r="G7492">
        <v>9</v>
      </c>
      <c r="H7492" t="str">
        <f t="shared" si="1676"/>
        <v>99</v>
      </c>
      <c r="I7492" t="str">
        <f>"5"</f>
        <v>5</v>
      </c>
      <c r="J7492" t="str">
        <f>"74"</f>
        <v>74</v>
      </c>
      <c r="K7492">
        <v>20190726</v>
      </c>
      <c r="L7492" t="str">
        <f t="shared" si="1673"/>
        <v>077482</v>
      </c>
      <c r="M7492" t="str">
        <f t="shared" si="1674"/>
        <v>09170</v>
      </c>
      <c r="N7492" t="s">
        <v>679</v>
      </c>
      <c r="O7492" s="1">
        <v>3415.02</v>
      </c>
      <c r="P7492">
        <v>20190724</v>
      </c>
      <c r="Q7492" t="s">
        <v>5145</v>
      </c>
      <c r="R7492" t="s">
        <v>5146</v>
      </c>
      <c r="S7492" t="s">
        <v>1615</v>
      </c>
      <c r="T7492" t="s">
        <v>301</v>
      </c>
    </row>
    <row r="7493" spans="1:20" x14ac:dyDescent="0.25">
      <c r="A7493">
        <v>9</v>
      </c>
      <c r="B7493">
        <v>199</v>
      </c>
      <c r="C7493" t="str">
        <f>"36"</f>
        <v>36</v>
      </c>
      <c r="D7493">
        <v>6412</v>
      </c>
      <c r="E7493" t="str">
        <f>"V2"</f>
        <v>V2</v>
      </c>
      <c r="F7493" t="str">
        <f>"001"</f>
        <v>001</v>
      </c>
      <c r="G7493">
        <v>9</v>
      </c>
      <c r="H7493" t="str">
        <f>"22"</f>
        <v>22</v>
      </c>
      <c r="I7493" t="str">
        <f>"5"</f>
        <v>5</v>
      </c>
      <c r="J7493" t="str">
        <f>"74"</f>
        <v>74</v>
      </c>
      <c r="K7493">
        <v>20190726</v>
      </c>
      <c r="L7493" t="str">
        <f t="shared" si="1673"/>
        <v>077482</v>
      </c>
      <c r="M7493" t="str">
        <f t="shared" si="1674"/>
        <v>09170</v>
      </c>
      <c r="N7493" t="s">
        <v>679</v>
      </c>
      <c r="O7493" s="1">
        <v>2702.2</v>
      </c>
      <c r="P7493">
        <v>20190724</v>
      </c>
      <c r="Q7493" t="s">
        <v>5147</v>
      </c>
      <c r="R7493" t="s">
        <v>5148</v>
      </c>
      <c r="S7493" t="s">
        <v>1615</v>
      </c>
      <c r="T7493" t="s">
        <v>301</v>
      </c>
    </row>
    <row r="7494" spans="1:20" x14ac:dyDescent="0.25">
      <c r="A7494">
        <v>9</v>
      </c>
      <c r="B7494">
        <v>199</v>
      </c>
      <c r="C7494" t="str">
        <f>"36"</f>
        <v>36</v>
      </c>
      <c r="D7494">
        <v>6412</v>
      </c>
      <c r="E7494" t="str">
        <f>"V2"</f>
        <v>V2</v>
      </c>
      <c r="F7494" t="str">
        <f>"001"</f>
        <v>001</v>
      </c>
      <c r="G7494">
        <v>9</v>
      </c>
      <c r="H7494" t="str">
        <f>"22"</f>
        <v>22</v>
      </c>
      <c r="I7494" t="str">
        <f>"5"</f>
        <v>5</v>
      </c>
      <c r="J7494" t="str">
        <f>"74"</f>
        <v>74</v>
      </c>
      <c r="K7494">
        <v>20190726</v>
      </c>
      <c r="L7494" t="str">
        <f t="shared" si="1673"/>
        <v>077482</v>
      </c>
      <c r="M7494" t="str">
        <f t="shared" si="1674"/>
        <v>09170</v>
      </c>
      <c r="N7494" t="s">
        <v>679</v>
      </c>
      <c r="O7494">
        <v>-68.17</v>
      </c>
      <c r="P7494">
        <v>20190629</v>
      </c>
      <c r="Q7494" t="s">
        <v>5147</v>
      </c>
      <c r="R7494" t="s">
        <v>5148</v>
      </c>
      <c r="S7494" t="s">
        <v>1615</v>
      </c>
      <c r="T7494" t="s">
        <v>301</v>
      </c>
    </row>
    <row r="7495" spans="1:20" x14ac:dyDescent="0.25">
      <c r="A7495">
        <v>9</v>
      </c>
      <c r="B7495">
        <v>199</v>
      </c>
      <c r="C7495" t="str">
        <f>"36"</f>
        <v>36</v>
      </c>
      <c r="D7495">
        <v>6495</v>
      </c>
      <c r="E7495" t="str">
        <f>"7K"</f>
        <v>7K</v>
      </c>
      <c r="F7495" t="str">
        <f>"001"</f>
        <v>001</v>
      </c>
      <c r="G7495">
        <v>9</v>
      </c>
      <c r="H7495" t="str">
        <f t="shared" ref="H7495:H7501" si="1678">"99"</f>
        <v>99</v>
      </c>
      <c r="I7495" t="str">
        <f t="shared" ref="I7495:I7504" si="1679">"0"</f>
        <v>0</v>
      </c>
      <c r="J7495" t="str">
        <f>"01"</f>
        <v>01</v>
      </c>
      <c r="K7495">
        <v>20190726</v>
      </c>
      <c r="L7495" t="str">
        <f t="shared" si="1673"/>
        <v>077482</v>
      </c>
      <c r="M7495" t="str">
        <f t="shared" si="1674"/>
        <v>09170</v>
      </c>
      <c r="N7495" t="s">
        <v>679</v>
      </c>
      <c r="O7495">
        <v>600</v>
      </c>
      <c r="P7495">
        <v>20190724</v>
      </c>
      <c r="Q7495" t="s">
        <v>1650</v>
      </c>
      <c r="R7495" t="s">
        <v>5556</v>
      </c>
      <c r="S7495" t="s">
        <v>1615</v>
      </c>
      <c r="T7495" t="s">
        <v>301</v>
      </c>
    </row>
    <row r="7496" spans="1:20" x14ac:dyDescent="0.25">
      <c r="A7496">
        <v>9</v>
      </c>
      <c r="B7496">
        <v>199</v>
      </c>
      <c r="C7496" t="str">
        <f>"41"</f>
        <v>41</v>
      </c>
      <c r="D7496">
        <v>6299</v>
      </c>
      <c r="E7496" t="str">
        <f>"10"</f>
        <v>10</v>
      </c>
      <c r="F7496" t="str">
        <f>"730"</f>
        <v>730</v>
      </c>
      <c r="G7496">
        <v>9</v>
      </c>
      <c r="H7496" t="str">
        <f t="shared" si="1678"/>
        <v>99</v>
      </c>
      <c r="I7496" t="str">
        <f t="shared" si="1679"/>
        <v>0</v>
      </c>
      <c r="J7496" t="str">
        <f>"95"</f>
        <v>95</v>
      </c>
      <c r="K7496">
        <v>20190726</v>
      </c>
      <c r="L7496" t="str">
        <f t="shared" si="1673"/>
        <v>077482</v>
      </c>
      <c r="M7496" t="str">
        <f t="shared" si="1674"/>
        <v>09170</v>
      </c>
      <c r="N7496" t="s">
        <v>679</v>
      </c>
      <c r="O7496">
        <v>49.25</v>
      </c>
      <c r="P7496">
        <v>20190724</v>
      </c>
      <c r="Q7496" t="s">
        <v>2434</v>
      </c>
      <c r="R7496" s="3">
        <v>43649</v>
      </c>
      <c r="S7496" t="s">
        <v>1615</v>
      </c>
      <c r="T7496" t="s">
        <v>1794</v>
      </c>
    </row>
    <row r="7497" spans="1:20" x14ac:dyDescent="0.25">
      <c r="A7497">
        <v>9</v>
      </c>
      <c r="B7497">
        <v>199</v>
      </c>
      <c r="C7497" t="str">
        <f>"41"</f>
        <v>41</v>
      </c>
      <c r="D7497">
        <v>6299</v>
      </c>
      <c r="E7497" t="str">
        <f>"10"</f>
        <v>10</v>
      </c>
      <c r="F7497" t="str">
        <f>"730"</f>
        <v>730</v>
      </c>
      <c r="G7497">
        <v>9</v>
      </c>
      <c r="H7497" t="str">
        <f t="shared" si="1678"/>
        <v>99</v>
      </c>
      <c r="I7497" t="str">
        <f t="shared" si="1679"/>
        <v>0</v>
      </c>
      <c r="J7497" t="str">
        <f>"95"</f>
        <v>95</v>
      </c>
      <c r="K7497">
        <v>20190726</v>
      </c>
      <c r="L7497" t="str">
        <f t="shared" si="1673"/>
        <v>077482</v>
      </c>
      <c r="M7497" t="str">
        <f t="shared" si="1674"/>
        <v>09170</v>
      </c>
      <c r="N7497" t="s">
        <v>679</v>
      </c>
      <c r="O7497">
        <v>49.25</v>
      </c>
      <c r="P7497">
        <v>20190724</v>
      </c>
      <c r="Q7497" t="s">
        <v>2434</v>
      </c>
      <c r="R7497" s="3">
        <v>43657</v>
      </c>
      <c r="S7497" t="s">
        <v>1615</v>
      </c>
      <c r="T7497" t="s">
        <v>1794</v>
      </c>
    </row>
    <row r="7498" spans="1:20" x14ac:dyDescent="0.25">
      <c r="A7498">
        <v>9</v>
      </c>
      <c r="B7498">
        <v>199</v>
      </c>
      <c r="C7498" t="str">
        <f>"41"</f>
        <v>41</v>
      </c>
      <c r="D7498">
        <v>6411</v>
      </c>
      <c r="E7498" t="str">
        <f>"10"</f>
        <v>10</v>
      </c>
      <c r="F7498" t="str">
        <f>"701"</f>
        <v>701</v>
      </c>
      <c r="G7498">
        <v>9</v>
      </c>
      <c r="H7498" t="str">
        <f t="shared" si="1678"/>
        <v>99</v>
      </c>
      <c r="I7498" t="str">
        <f t="shared" si="1679"/>
        <v>0</v>
      </c>
      <c r="J7498" t="str">
        <f>"92"</f>
        <v>92</v>
      </c>
      <c r="K7498">
        <v>20190726</v>
      </c>
      <c r="L7498" t="str">
        <f t="shared" si="1673"/>
        <v>077482</v>
      </c>
      <c r="M7498" t="str">
        <f t="shared" si="1674"/>
        <v>09170</v>
      </c>
      <c r="N7498" t="s">
        <v>679</v>
      </c>
      <c r="O7498">
        <v>413.55</v>
      </c>
      <c r="P7498">
        <v>20190724</v>
      </c>
      <c r="Q7498" t="s">
        <v>3101</v>
      </c>
      <c r="R7498" t="s">
        <v>4946</v>
      </c>
      <c r="S7498" t="s">
        <v>1615</v>
      </c>
      <c r="T7498" t="s">
        <v>1841</v>
      </c>
    </row>
    <row r="7499" spans="1:20" x14ac:dyDescent="0.25">
      <c r="A7499">
        <v>9</v>
      </c>
      <c r="B7499">
        <v>199</v>
      </c>
      <c r="C7499" t="str">
        <f>"41"</f>
        <v>41</v>
      </c>
      <c r="D7499">
        <v>6419</v>
      </c>
      <c r="E7499" t="str">
        <f>"10"</f>
        <v>10</v>
      </c>
      <c r="F7499" t="str">
        <f>"702"</f>
        <v>702</v>
      </c>
      <c r="G7499">
        <v>9</v>
      </c>
      <c r="H7499" t="str">
        <f t="shared" si="1678"/>
        <v>99</v>
      </c>
      <c r="I7499" t="str">
        <f t="shared" si="1679"/>
        <v>0</v>
      </c>
      <c r="J7499" t="str">
        <f>"93"</f>
        <v>93</v>
      </c>
      <c r="K7499">
        <v>20190726</v>
      </c>
      <c r="L7499" t="str">
        <f t="shared" si="1673"/>
        <v>077482</v>
      </c>
      <c r="M7499" t="str">
        <f t="shared" si="1674"/>
        <v>09170</v>
      </c>
      <c r="N7499" t="s">
        <v>679</v>
      </c>
      <c r="O7499" s="1">
        <v>2150.6</v>
      </c>
      <c r="P7499">
        <v>20190724</v>
      </c>
      <c r="Q7499" t="s">
        <v>1645</v>
      </c>
      <c r="R7499" t="s">
        <v>4946</v>
      </c>
      <c r="S7499" t="s">
        <v>1615</v>
      </c>
      <c r="T7499" t="s">
        <v>1611</v>
      </c>
    </row>
    <row r="7500" spans="1:20" x14ac:dyDescent="0.25">
      <c r="A7500">
        <v>9</v>
      </c>
      <c r="B7500">
        <v>199</v>
      </c>
      <c r="C7500" t="str">
        <f>"41"</f>
        <v>41</v>
      </c>
      <c r="D7500">
        <v>6499</v>
      </c>
      <c r="E7500" t="str">
        <f>"18"</f>
        <v>18</v>
      </c>
      <c r="F7500" t="str">
        <f>"730"</f>
        <v>730</v>
      </c>
      <c r="G7500">
        <v>9</v>
      </c>
      <c r="H7500" t="str">
        <f t="shared" si="1678"/>
        <v>99</v>
      </c>
      <c r="I7500" t="str">
        <f t="shared" si="1679"/>
        <v>0</v>
      </c>
      <c r="J7500" t="str">
        <f>"95"</f>
        <v>95</v>
      </c>
      <c r="K7500">
        <v>20190726</v>
      </c>
      <c r="L7500" t="str">
        <f t="shared" si="1673"/>
        <v>077482</v>
      </c>
      <c r="M7500" t="str">
        <f t="shared" si="1674"/>
        <v>09170</v>
      </c>
      <c r="N7500" t="s">
        <v>679</v>
      </c>
      <c r="O7500">
        <v>114</v>
      </c>
      <c r="P7500">
        <v>20190724</v>
      </c>
      <c r="Q7500" t="s">
        <v>5885</v>
      </c>
      <c r="R7500" t="s">
        <v>5886</v>
      </c>
      <c r="S7500" t="s">
        <v>1615</v>
      </c>
      <c r="T7500" t="s">
        <v>1794</v>
      </c>
    </row>
    <row r="7501" spans="1:20" x14ac:dyDescent="0.25">
      <c r="A7501">
        <v>9</v>
      </c>
      <c r="B7501">
        <v>199</v>
      </c>
      <c r="C7501" t="str">
        <f>"51"</f>
        <v>51</v>
      </c>
      <c r="D7501">
        <v>6319</v>
      </c>
      <c r="E7501" t="str">
        <f>"MC"</f>
        <v>MC</v>
      </c>
      <c r="F7501" t="str">
        <f>"936"</f>
        <v>936</v>
      </c>
      <c r="G7501">
        <v>9</v>
      </c>
      <c r="H7501" t="str">
        <f t="shared" si="1678"/>
        <v>99</v>
      </c>
      <c r="I7501" t="str">
        <f t="shared" si="1679"/>
        <v>0</v>
      </c>
      <c r="J7501" t="str">
        <f>"81"</f>
        <v>81</v>
      </c>
      <c r="K7501">
        <v>20190726</v>
      </c>
      <c r="L7501" t="str">
        <f t="shared" si="1673"/>
        <v>077482</v>
      </c>
      <c r="M7501" t="str">
        <f t="shared" si="1674"/>
        <v>09170</v>
      </c>
      <c r="N7501" t="s">
        <v>679</v>
      </c>
      <c r="O7501">
        <v>85.31</v>
      </c>
      <c r="P7501">
        <v>20190724</v>
      </c>
      <c r="Q7501" t="s">
        <v>2060</v>
      </c>
      <c r="R7501" t="s">
        <v>5887</v>
      </c>
      <c r="S7501" t="s">
        <v>1615</v>
      </c>
      <c r="T7501" t="s">
        <v>1713</v>
      </c>
    </row>
    <row r="7502" spans="1:20" x14ac:dyDescent="0.25">
      <c r="A7502">
        <v>9</v>
      </c>
      <c r="B7502">
        <v>199</v>
      </c>
      <c r="C7502" t="str">
        <f>"11"</f>
        <v>11</v>
      </c>
      <c r="D7502">
        <v>6499</v>
      </c>
      <c r="E7502" t="str">
        <f>"AP"</f>
        <v>AP</v>
      </c>
      <c r="F7502" t="str">
        <f>"001"</f>
        <v>001</v>
      </c>
      <c r="G7502">
        <v>9</v>
      </c>
      <c r="H7502" t="str">
        <f>"31"</f>
        <v>31</v>
      </c>
      <c r="I7502" t="str">
        <f t="shared" si="1679"/>
        <v>0</v>
      </c>
      <c r="J7502" t="str">
        <f>"34"</f>
        <v>34</v>
      </c>
      <c r="K7502">
        <v>20190726</v>
      </c>
      <c r="L7502" t="str">
        <f>"077483"</f>
        <v>077483</v>
      </c>
      <c r="M7502" t="str">
        <f>"10063"</f>
        <v>10063</v>
      </c>
      <c r="N7502" t="s">
        <v>1767</v>
      </c>
      <c r="O7502" s="1">
        <v>1893</v>
      </c>
      <c r="P7502">
        <v>20190724</v>
      </c>
      <c r="Q7502" t="s">
        <v>5888</v>
      </c>
      <c r="R7502" t="s">
        <v>5889</v>
      </c>
      <c r="S7502" t="s">
        <v>1615</v>
      </c>
      <c r="T7502" t="s">
        <v>301</v>
      </c>
    </row>
    <row r="7503" spans="1:20" x14ac:dyDescent="0.25">
      <c r="A7503">
        <v>9</v>
      </c>
      <c r="B7503">
        <v>199</v>
      </c>
      <c r="C7503" t="str">
        <f>"51"</f>
        <v>51</v>
      </c>
      <c r="D7503">
        <v>6249</v>
      </c>
      <c r="E7503" t="str">
        <f>"M8"</f>
        <v>M8</v>
      </c>
      <c r="F7503" t="str">
        <f>"936"</f>
        <v>936</v>
      </c>
      <c r="G7503">
        <v>9</v>
      </c>
      <c r="H7503" t="str">
        <f>"99"</f>
        <v>99</v>
      </c>
      <c r="I7503" t="str">
        <f t="shared" si="1679"/>
        <v>0</v>
      </c>
      <c r="J7503" t="str">
        <f>"81"</f>
        <v>81</v>
      </c>
      <c r="K7503">
        <v>20190726</v>
      </c>
      <c r="L7503" t="str">
        <f>"077486"</f>
        <v>077486</v>
      </c>
      <c r="M7503" t="str">
        <f>"19188"</f>
        <v>19188</v>
      </c>
      <c r="N7503" t="s">
        <v>2851</v>
      </c>
      <c r="O7503" s="1">
        <v>1675</v>
      </c>
      <c r="P7503">
        <v>20190724</v>
      </c>
      <c r="Q7503" t="s">
        <v>2096</v>
      </c>
      <c r="R7503" t="s">
        <v>5890</v>
      </c>
      <c r="S7503" t="s">
        <v>1615</v>
      </c>
      <c r="T7503" t="s">
        <v>1713</v>
      </c>
    </row>
    <row r="7504" spans="1:20" x14ac:dyDescent="0.25">
      <c r="A7504">
        <v>9</v>
      </c>
      <c r="B7504">
        <v>199</v>
      </c>
      <c r="C7504" t="str">
        <f>"41"</f>
        <v>41</v>
      </c>
      <c r="D7504">
        <v>6411</v>
      </c>
      <c r="E7504" t="str">
        <f>"00"</f>
        <v>00</v>
      </c>
      <c r="F7504" t="str">
        <f>"939"</f>
        <v>939</v>
      </c>
      <c r="G7504">
        <v>9</v>
      </c>
      <c r="H7504" t="str">
        <f>"99"</f>
        <v>99</v>
      </c>
      <c r="I7504" t="str">
        <f t="shared" si="1679"/>
        <v>0</v>
      </c>
      <c r="J7504" t="str">
        <f>"87"</f>
        <v>87</v>
      </c>
      <c r="K7504">
        <v>20190726</v>
      </c>
      <c r="L7504" t="str">
        <f>"077487"</f>
        <v>077487</v>
      </c>
      <c r="M7504" t="str">
        <f>"00531"</f>
        <v>00531</v>
      </c>
      <c r="N7504" t="s">
        <v>2982</v>
      </c>
      <c r="O7504">
        <v>153.4</v>
      </c>
      <c r="P7504">
        <v>20190725</v>
      </c>
      <c r="Q7504" t="s">
        <v>2983</v>
      </c>
      <c r="R7504" t="s">
        <v>5891</v>
      </c>
      <c r="S7504" t="s">
        <v>1615</v>
      </c>
      <c r="T7504" t="s">
        <v>2985</v>
      </c>
    </row>
    <row r="7505" spans="1:20" x14ac:dyDescent="0.25">
      <c r="A7505">
        <v>9</v>
      </c>
      <c r="B7505">
        <v>199</v>
      </c>
      <c r="C7505" t="str">
        <f>"11"</f>
        <v>11</v>
      </c>
      <c r="D7505">
        <v>6649</v>
      </c>
      <c r="E7505" t="str">
        <f>"PK"</f>
        <v>PK</v>
      </c>
      <c r="F7505" t="str">
        <f>"101"</f>
        <v>101</v>
      </c>
      <c r="G7505">
        <v>9</v>
      </c>
      <c r="H7505" t="str">
        <f>"11"</f>
        <v>11</v>
      </c>
      <c r="I7505" t="str">
        <f>"2"</f>
        <v>2</v>
      </c>
      <c r="J7505" t="str">
        <f>"04"</f>
        <v>04</v>
      </c>
      <c r="K7505">
        <v>20190726</v>
      </c>
      <c r="L7505" t="str">
        <f>"077488"</f>
        <v>077488</v>
      </c>
      <c r="M7505" t="str">
        <f>"16807"</f>
        <v>16807</v>
      </c>
      <c r="N7505" t="s">
        <v>1581</v>
      </c>
      <c r="O7505" s="1">
        <v>5050</v>
      </c>
      <c r="P7505">
        <v>20190724</v>
      </c>
      <c r="Q7505" t="s">
        <v>5892</v>
      </c>
      <c r="R7505" t="s">
        <v>5893</v>
      </c>
      <c r="S7505" t="s">
        <v>1615</v>
      </c>
      <c r="T7505" t="s">
        <v>1479</v>
      </c>
    </row>
    <row r="7506" spans="1:20" x14ac:dyDescent="0.25">
      <c r="A7506">
        <v>9</v>
      </c>
      <c r="B7506">
        <v>199</v>
      </c>
      <c r="C7506" t="str">
        <f>"11"</f>
        <v>11</v>
      </c>
      <c r="D7506">
        <v>6649</v>
      </c>
      <c r="E7506" t="str">
        <f>"PK"</f>
        <v>PK</v>
      </c>
      <c r="F7506" t="str">
        <f>"101"</f>
        <v>101</v>
      </c>
      <c r="G7506">
        <v>9</v>
      </c>
      <c r="H7506" t="str">
        <f>"11"</f>
        <v>11</v>
      </c>
      <c r="I7506" t="str">
        <f>"2"</f>
        <v>2</v>
      </c>
      <c r="J7506" t="str">
        <f>"04"</f>
        <v>04</v>
      </c>
      <c r="K7506">
        <v>20190726</v>
      </c>
      <c r="L7506" t="str">
        <f>"077488"</f>
        <v>077488</v>
      </c>
      <c r="M7506" t="str">
        <f>"16807"</f>
        <v>16807</v>
      </c>
      <c r="N7506" t="s">
        <v>1581</v>
      </c>
      <c r="O7506" s="1">
        <v>1590</v>
      </c>
      <c r="P7506">
        <v>20190724</v>
      </c>
      <c r="Q7506" t="s">
        <v>5892</v>
      </c>
      <c r="R7506" t="s">
        <v>5894</v>
      </c>
      <c r="S7506" t="s">
        <v>1615</v>
      </c>
      <c r="T7506" t="s">
        <v>1479</v>
      </c>
    </row>
    <row r="7507" spans="1:20" x14ac:dyDescent="0.25">
      <c r="A7507">
        <v>9</v>
      </c>
      <c r="B7507">
        <v>199</v>
      </c>
      <c r="C7507" t="str">
        <f>"34"</f>
        <v>34</v>
      </c>
      <c r="D7507">
        <v>6399</v>
      </c>
      <c r="E7507" t="str">
        <f>"11"</f>
        <v>11</v>
      </c>
      <c r="F7507" t="str">
        <f>"937"</f>
        <v>937</v>
      </c>
      <c r="G7507">
        <v>9</v>
      </c>
      <c r="H7507" t="str">
        <f t="shared" ref="H7507:H7513" si="1680">"99"</f>
        <v>99</v>
      </c>
      <c r="I7507" t="str">
        <f t="shared" ref="I7507:I7515" si="1681">"0"</f>
        <v>0</v>
      </c>
      <c r="J7507" t="str">
        <f>"82"</f>
        <v>82</v>
      </c>
      <c r="K7507">
        <v>20190726</v>
      </c>
      <c r="L7507" t="str">
        <f>"077489"</f>
        <v>077489</v>
      </c>
      <c r="M7507" t="str">
        <f>"19425"</f>
        <v>19425</v>
      </c>
      <c r="N7507" t="s">
        <v>2209</v>
      </c>
      <c r="O7507">
        <v>134.24</v>
      </c>
      <c r="P7507">
        <v>20190724</v>
      </c>
      <c r="Q7507" t="s">
        <v>2210</v>
      </c>
      <c r="R7507" t="s">
        <v>5895</v>
      </c>
      <c r="S7507" t="s">
        <v>1615</v>
      </c>
      <c r="T7507" t="s">
        <v>1810</v>
      </c>
    </row>
    <row r="7508" spans="1:20" x14ac:dyDescent="0.25">
      <c r="A7508">
        <v>9</v>
      </c>
      <c r="B7508">
        <v>199</v>
      </c>
      <c r="C7508" t="str">
        <f>"34"</f>
        <v>34</v>
      </c>
      <c r="D7508">
        <v>6399</v>
      </c>
      <c r="E7508" t="str">
        <f>"11"</f>
        <v>11</v>
      </c>
      <c r="F7508" t="str">
        <f>"937"</f>
        <v>937</v>
      </c>
      <c r="G7508">
        <v>9</v>
      </c>
      <c r="H7508" t="str">
        <f t="shared" si="1680"/>
        <v>99</v>
      </c>
      <c r="I7508" t="str">
        <f t="shared" si="1681"/>
        <v>0</v>
      </c>
      <c r="J7508" t="str">
        <f>"82"</f>
        <v>82</v>
      </c>
      <c r="K7508">
        <v>20190726</v>
      </c>
      <c r="L7508" t="str">
        <f>"077489"</f>
        <v>077489</v>
      </c>
      <c r="M7508" t="str">
        <f>"19425"</f>
        <v>19425</v>
      </c>
      <c r="N7508" t="s">
        <v>2209</v>
      </c>
      <c r="O7508">
        <v>508.03</v>
      </c>
      <c r="P7508">
        <v>20190724</v>
      </c>
      <c r="Q7508" t="s">
        <v>2210</v>
      </c>
      <c r="R7508" t="s">
        <v>2211</v>
      </c>
      <c r="S7508" t="s">
        <v>1615</v>
      </c>
      <c r="T7508" t="s">
        <v>1810</v>
      </c>
    </row>
    <row r="7509" spans="1:20" x14ac:dyDescent="0.25">
      <c r="A7509">
        <v>9</v>
      </c>
      <c r="B7509">
        <v>199</v>
      </c>
      <c r="C7509" t="str">
        <f>"34"</f>
        <v>34</v>
      </c>
      <c r="D7509">
        <v>6399</v>
      </c>
      <c r="E7509" t="str">
        <f>"11"</f>
        <v>11</v>
      </c>
      <c r="F7509" t="str">
        <f>"937"</f>
        <v>937</v>
      </c>
      <c r="G7509">
        <v>9</v>
      </c>
      <c r="H7509" t="str">
        <f t="shared" si="1680"/>
        <v>99</v>
      </c>
      <c r="I7509" t="str">
        <f t="shared" si="1681"/>
        <v>0</v>
      </c>
      <c r="J7509" t="str">
        <f>"82"</f>
        <v>82</v>
      </c>
      <c r="K7509">
        <v>20190726</v>
      </c>
      <c r="L7509" t="str">
        <f>"077489"</f>
        <v>077489</v>
      </c>
      <c r="M7509" t="str">
        <f>"19425"</f>
        <v>19425</v>
      </c>
      <c r="N7509" t="s">
        <v>2209</v>
      </c>
      <c r="O7509">
        <v>4.92</v>
      </c>
      <c r="P7509">
        <v>20190724</v>
      </c>
      <c r="Q7509" t="s">
        <v>2210</v>
      </c>
      <c r="R7509" t="s">
        <v>5896</v>
      </c>
      <c r="S7509" t="s">
        <v>1615</v>
      </c>
      <c r="T7509" t="s">
        <v>1810</v>
      </c>
    </row>
    <row r="7510" spans="1:20" x14ac:dyDescent="0.25">
      <c r="A7510">
        <v>9</v>
      </c>
      <c r="B7510">
        <v>199</v>
      </c>
      <c r="C7510" t="str">
        <f>"53"</f>
        <v>53</v>
      </c>
      <c r="D7510">
        <v>6639</v>
      </c>
      <c r="E7510" t="str">
        <f>"00"</f>
        <v>00</v>
      </c>
      <c r="F7510" t="str">
        <f>"880"</f>
        <v>880</v>
      </c>
      <c r="G7510">
        <v>9</v>
      </c>
      <c r="H7510" t="str">
        <f t="shared" si="1680"/>
        <v>99</v>
      </c>
      <c r="I7510" t="str">
        <f t="shared" si="1681"/>
        <v>0</v>
      </c>
      <c r="J7510" t="str">
        <f>"80"</f>
        <v>80</v>
      </c>
      <c r="K7510">
        <v>20190726</v>
      </c>
      <c r="L7510" t="str">
        <f>"077491"</f>
        <v>077491</v>
      </c>
      <c r="M7510" t="str">
        <f>"21468"</f>
        <v>21468</v>
      </c>
      <c r="N7510" t="s">
        <v>2369</v>
      </c>
      <c r="O7510" s="1">
        <v>15260.6</v>
      </c>
      <c r="P7510">
        <v>20190724</v>
      </c>
      <c r="Q7510" t="s">
        <v>5517</v>
      </c>
      <c r="R7510" t="s">
        <v>5897</v>
      </c>
      <c r="S7510" t="s">
        <v>1615</v>
      </c>
      <c r="T7510" t="s">
        <v>1866</v>
      </c>
    </row>
    <row r="7511" spans="1:20" x14ac:dyDescent="0.25">
      <c r="A7511">
        <v>9</v>
      </c>
      <c r="B7511">
        <v>199</v>
      </c>
      <c r="C7511" t="str">
        <f>"81"</f>
        <v>81</v>
      </c>
      <c r="D7511">
        <v>6629</v>
      </c>
      <c r="E7511" t="str">
        <f>"00"</f>
        <v>00</v>
      </c>
      <c r="F7511" t="str">
        <f>"104"</f>
        <v>104</v>
      </c>
      <c r="G7511">
        <v>9</v>
      </c>
      <c r="H7511" t="str">
        <f t="shared" si="1680"/>
        <v>99</v>
      </c>
      <c r="I7511" t="str">
        <f t="shared" si="1681"/>
        <v>0</v>
      </c>
      <c r="J7511" t="str">
        <f>"80"</f>
        <v>80</v>
      </c>
      <c r="K7511">
        <v>20190726</v>
      </c>
      <c r="L7511" t="str">
        <f>"077491"</f>
        <v>077491</v>
      </c>
      <c r="M7511" t="str">
        <f>"21468"</f>
        <v>21468</v>
      </c>
      <c r="N7511" t="s">
        <v>2369</v>
      </c>
      <c r="O7511" s="1">
        <v>45089.760000000002</v>
      </c>
      <c r="P7511">
        <v>20190724</v>
      </c>
      <c r="Q7511" t="s">
        <v>5898</v>
      </c>
      <c r="R7511" t="s">
        <v>5899</v>
      </c>
      <c r="S7511" t="s">
        <v>1615</v>
      </c>
      <c r="T7511" t="s">
        <v>46</v>
      </c>
    </row>
    <row r="7512" spans="1:20" x14ac:dyDescent="0.25">
      <c r="A7512">
        <v>9</v>
      </c>
      <c r="B7512">
        <v>199</v>
      </c>
      <c r="C7512" t="str">
        <f>"23"</f>
        <v>23</v>
      </c>
      <c r="D7512">
        <v>6399</v>
      </c>
      <c r="E7512" t="str">
        <f>"10"</f>
        <v>10</v>
      </c>
      <c r="F7512" t="str">
        <f>"002"</f>
        <v>002</v>
      </c>
      <c r="G7512">
        <v>9</v>
      </c>
      <c r="H7512" t="str">
        <f t="shared" si="1680"/>
        <v>99</v>
      </c>
      <c r="I7512" t="str">
        <f t="shared" si="1681"/>
        <v>0</v>
      </c>
      <c r="J7512" t="str">
        <f>"02"</f>
        <v>02</v>
      </c>
      <c r="K7512">
        <v>20190726</v>
      </c>
      <c r="L7512" t="str">
        <f>"077492"</f>
        <v>077492</v>
      </c>
      <c r="M7512" t="str">
        <f>"22226"</f>
        <v>22226</v>
      </c>
      <c r="N7512" t="s">
        <v>1874</v>
      </c>
      <c r="O7512">
        <v>123.25</v>
      </c>
      <c r="P7512">
        <v>20190724</v>
      </c>
      <c r="Q7512" t="s">
        <v>2937</v>
      </c>
      <c r="R7512" t="s">
        <v>5900</v>
      </c>
      <c r="S7512" t="s">
        <v>1615</v>
      </c>
      <c r="T7512" t="s">
        <v>1485</v>
      </c>
    </row>
    <row r="7513" spans="1:20" x14ac:dyDescent="0.25">
      <c r="A7513">
        <v>9</v>
      </c>
      <c r="B7513">
        <v>199</v>
      </c>
      <c r="C7513" t="str">
        <f>"51"</f>
        <v>51</v>
      </c>
      <c r="D7513">
        <v>6256</v>
      </c>
      <c r="E7513" t="str">
        <f>"15"</f>
        <v>15</v>
      </c>
      <c r="F7513" t="str">
        <f>"880"</f>
        <v>880</v>
      </c>
      <c r="G7513">
        <v>9</v>
      </c>
      <c r="H7513" t="str">
        <f t="shared" si="1680"/>
        <v>99</v>
      </c>
      <c r="I7513" t="str">
        <f t="shared" si="1681"/>
        <v>0</v>
      </c>
      <c r="J7513" t="str">
        <f>"80"</f>
        <v>80</v>
      </c>
      <c r="K7513">
        <v>20190726</v>
      </c>
      <c r="L7513" t="str">
        <f>"077493"</f>
        <v>077493</v>
      </c>
      <c r="M7513" t="str">
        <f>"77113"</f>
        <v>77113</v>
      </c>
      <c r="N7513" t="s">
        <v>1880</v>
      </c>
      <c r="O7513">
        <v>49.84</v>
      </c>
      <c r="P7513">
        <v>20190725</v>
      </c>
      <c r="Q7513" t="s">
        <v>2487</v>
      </c>
      <c r="R7513" t="s">
        <v>5419</v>
      </c>
      <c r="S7513" t="s">
        <v>1615</v>
      </c>
      <c r="T7513" t="s">
        <v>1866</v>
      </c>
    </row>
    <row r="7514" spans="1:20" x14ac:dyDescent="0.25">
      <c r="A7514">
        <v>9</v>
      </c>
      <c r="B7514">
        <v>199</v>
      </c>
      <c r="C7514" t="str">
        <f>"11"</f>
        <v>11</v>
      </c>
      <c r="D7514">
        <v>6399</v>
      </c>
      <c r="E7514" t="str">
        <f>"AW"</f>
        <v>AW</v>
      </c>
      <c r="F7514" t="str">
        <f>"001"</f>
        <v>001</v>
      </c>
      <c r="G7514">
        <v>9</v>
      </c>
      <c r="H7514" t="str">
        <f>"31"</f>
        <v>31</v>
      </c>
      <c r="I7514" t="str">
        <f t="shared" si="1681"/>
        <v>0</v>
      </c>
      <c r="J7514" t="str">
        <f>"34"</f>
        <v>34</v>
      </c>
      <c r="K7514">
        <v>20190726</v>
      </c>
      <c r="L7514" t="str">
        <f>"077494"</f>
        <v>077494</v>
      </c>
      <c r="M7514" t="str">
        <f>"25871"</f>
        <v>25871</v>
      </c>
      <c r="N7514" t="s">
        <v>1150</v>
      </c>
      <c r="O7514">
        <v>679.87</v>
      </c>
      <c r="P7514">
        <v>20190725</v>
      </c>
      <c r="Q7514" t="s">
        <v>5551</v>
      </c>
      <c r="R7514" t="s">
        <v>5552</v>
      </c>
      <c r="S7514" t="s">
        <v>1615</v>
      </c>
      <c r="T7514" t="s">
        <v>301</v>
      </c>
    </row>
    <row r="7515" spans="1:20" x14ac:dyDescent="0.25">
      <c r="A7515">
        <v>9</v>
      </c>
      <c r="B7515">
        <v>199</v>
      </c>
      <c r="C7515" t="str">
        <f>"51"</f>
        <v>51</v>
      </c>
      <c r="D7515">
        <v>6319</v>
      </c>
      <c r="E7515" t="str">
        <f>"MC"</f>
        <v>MC</v>
      </c>
      <c r="F7515" t="str">
        <f>"936"</f>
        <v>936</v>
      </c>
      <c r="G7515">
        <v>9</v>
      </c>
      <c r="H7515" t="str">
        <f>"99"</f>
        <v>99</v>
      </c>
      <c r="I7515" t="str">
        <f t="shared" si="1681"/>
        <v>0</v>
      </c>
      <c r="J7515" t="str">
        <f>"81"</f>
        <v>81</v>
      </c>
      <c r="K7515">
        <v>20190726</v>
      </c>
      <c r="L7515" t="str">
        <f>"077496"</f>
        <v>077496</v>
      </c>
      <c r="M7515" t="str">
        <f>"29609"</f>
        <v>29609</v>
      </c>
      <c r="N7515" t="s">
        <v>2491</v>
      </c>
      <c r="O7515">
        <v>95.69</v>
      </c>
      <c r="P7515">
        <v>20190725</v>
      </c>
      <c r="Q7515" t="s">
        <v>2060</v>
      </c>
      <c r="R7515" t="s">
        <v>2188</v>
      </c>
      <c r="S7515" t="s">
        <v>1615</v>
      </c>
      <c r="T7515" t="s">
        <v>1713</v>
      </c>
    </row>
    <row r="7516" spans="1:20" x14ac:dyDescent="0.25">
      <c r="A7516">
        <v>9</v>
      </c>
      <c r="B7516">
        <v>199</v>
      </c>
      <c r="C7516" t="str">
        <f>"36"</f>
        <v>36</v>
      </c>
      <c r="D7516">
        <v>6412</v>
      </c>
      <c r="E7516" t="str">
        <f>"V2"</f>
        <v>V2</v>
      </c>
      <c r="F7516" t="str">
        <f>"001"</f>
        <v>001</v>
      </c>
      <c r="G7516">
        <v>9</v>
      </c>
      <c r="H7516" t="str">
        <f>"22"</f>
        <v>22</v>
      </c>
      <c r="I7516" t="str">
        <f>"5"</f>
        <v>5</v>
      </c>
      <c r="J7516" t="str">
        <f>"74"</f>
        <v>74</v>
      </c>
      <c r="K7516">
        <v>20190726</v>
      </c>
      <c r="L7516" t="str">
        <f>"077497"</f>
        <v>077497</v>
      </c>
      <c r="M7516" t="str">
        <f>"13359"</f>
        <v>13359</v>
      </c>
      <c r="N7516" t="s">
        <v>4516</v>
      </c>
      <c r="O7516">
        <v>40.21</v>
      </c>
      <c r="P7516">
        <v>20190725</v>
      </c>
      <c r="Q7516" t="s">
        <v>5147</v>
      </c>
      <c r="R7516" t="s">
        <v>5148</v>
      </c>
      <c r="S7516" t="s">
        <v>1615</v>
      </c>
      <c r="T7516" t="s">
        <v>301</v>
      </c>
    </row>
    <row r="7517" spans="1:20" x14ac:dyDescent="0.25">
      <c r="A7517">
        <v>9</v>
      </c>
      <c r="B7517">
        <v>199</v>
      </c>
      <c r="C7517" t="str">
        <f>"23"</f>
        <v>23</v>
      </c>
      <c r="D7517">
        <v>6649</v>
      </c>
      <c r="E7517" t="str">
        <f>"1T"</f>
        <v>1T</v>
      </c>
      <c r="F7517" t="str">
        <f>"041"</f>
        <v>041</v>
      </c>
      <c r="G7517">
        <v>9</v>
      </c>
      <c r="H7517" t="str">
        <f>"99"</f>
        <v>99</v>
      </c>
      <c r="I7517" t="str">
        <f>"0"</f>
        <v>0</v>
      </c>
      <c r="J7517" t="str">
        <f>"03"</f>
        <v>03</v>
      </c>
      <c r="K7517">
        <v>20190726</v>
      </c>
      <c r="L7517" t="str">
        <f>"077499"</f>
        <v>077499</v>
      </c>
      <c r="M7517" t="str">
        <f>"43503"</f>
        <v>43503</v>
      </c>
      <c r="N7517" t="s">
        <v>3402</v>
      </c>
      <c r="O7517" s="1">
        <v>1346.4</v>
      </c>
      <c r="P7517">
        <v>20190725</v>
      </c>
      <c r="Q7517" t="s">
        <v>4634</v>
      </c>
      <c r="R7517" t="s">
        <v>5901</v>
      </c>
      <c r="S7517" t="s">
        <v>1615</v>
      </c>
      <c r="T7517" t="s">
        <v>106</v>
      </c>
    </row>
    <row r="7518" spans="1:20" x14ac:dyDescent="0.25">
      <c r="A7518">
        <v>9</v>
      </c>
      <c r="B7518">
        <v>199</v>
      </c>
      <c r="C7518" t="str">
        <f>"13"</f>
        <v>13</v>
      </c>
      <c r="D7518">
        <v>6411</v>
      </c>
      <c r="E7518" t="str">
        <f>"VB"</f>
        <v>VB</v>
      </c>
      <c r="F7518" t="str">
        <f>"001"</f>
        <v>001</v>
      </c>
      <c r="G7518">
        <v>9</v>
      </c>
      <c r="H7518" t="str">
        <f>"22"</f>
        <v>22</v>
      </c>
      <c r="I7518" t="str">
        <f>"0"</f>
        <v>0</v>
      </c>
      <c r="J7518" t="str">
        <f>"22"</f>
        <v>22</v>
      </c>
      <c r="K7518">
        <v>20190726</v>
      </c>
      <c r="L7518" t="str">
        <f>"077501"</f>
        <v>077501</v>
      </c>
      <c r="M7518" t="str">
        <f>"45179"</f>
        <v>45179</v>
      </c>
      <c r="N7518" t="s">
        <v>5902</v>
      </c>
      <c r="O7518">
        <v>272.83</v>
      </c>
      <c r="P7518">
        <v>20190725</v>
      </c>
      <c r="Q7518" t="s">
        <v>3135</v>
      </c>
      <c r="R7518" t="s">
        <v>5406</v>
      </c>
      <c r="S7518" t="s">
        <v>1615</v>
      </c>
      <c r="T7518" t="s">
        <v>301</v>
      </c>
    </row>
    <row r="7519" spans="1:20" x14ac:dyDescent="0.25">
      <c r="A7519">
        <v>9</v>
      </c>
      <c r="B7519">
        <v>199</v>
      </c>
      <c r="C7519" t="str">
        <f>"36"</f>
        <v>36</v>
      </c>
      <c r="D7519">
        <v>6412</v>
      </c>
      <c r="E7519" t="str">
        <f>"11"</f>
        <v>11</v>
      </c>
      <c r="F7519" t="str">
        <f>"001"</f>
        <v>001</v>
      </c>
      <c r="G7519">
        <v>9</v>
      </c>
      <c r="H7519" t="str">
        <f>"99"</f>
        <v>99</v>
      </c>
      <c r="I7519" t="str">
        <f>"5"</f>
        <v>5</v>
      </c>
      <c r="J7519" t="str">
        <f>"74"</f>
        <v>74</v>
      </c>
      <c r="K7519">
        <v>20190726</v>
      </c>
      <c r="L7519" t="str">
        <f>"077502"</f>
        <v>077502</v>
      </c>
      <c r="M7519" t="str">
        <f>"46348"</f>
        <v>46348</v>
      </c>
      <c r="N7519" t="s">
        <v>1631</v>
      </c>
      <c r="O7519">
        <v>412.83</v>
      </c>
      <c r="P7519">
        <v>20190725</v>
      </c>
      <c r="Q7519" t="s">
        <v>5145</v>
      </c>
      <c r="R7519" t="s">
        <v>5146</v>
      </c>
      <c r="S7519" t="s">
        <v>1615</v>
      </c>
      <c r="T7519" t="s">
        <v>301</v>
      </c>
    </row>
    <row r="7520" spans="1:20" x14ac:dyDescent="0.25">
      <c r="A7520">
        <v>9</v>
      </c>
      <c r="B7520">
        <v>199</v>
      </c>
      <c r="C7520" t="str">
        <f>"00"</f>
        <v>00</v>
      </c>
      <c r="D7520">
        <v>1291</v>
      </c>
      <c r="E7520" t="str">
        <f>"05"</f>
        <v>05</v>
      </c>
      <c r="F7520" t="str">
        <f>"000"</f>
        <v>000</v>
      </c>
      <c r="G7520">
        <v>9</v>
      </c>
      <c r="H7520" t="str">
        <f>"00"</f>
        <v>00</v>
      </c>
      <c r="I7520" t="str">
        <f t="shared" ref="I7520:I7538" si="1682">"0"</f>
        <v>0</v>
      </c>
      <c r="J7520" t="str">
        <f>"00"</f>
        <v>00</v>
      </c>
      <c r="K7520">
        <v>20190726</v>
      </c>
      <c r="L7520" t="str">
        <f>"077503"</f>
        <v>077503</v>
      </c>
      <c r="M7520" t="str">
        <f>"46398"</f>
        <v>46398</v>
      </c>
      <c r="N7520" t="s">
        <v>1636</v>
      </c>
      <c r="O7520" s="1">
        <v>2239.54</v>
      </c>
      <c r="P7520">
        <v>20190725</v>
      </c>
      <c r="Q7520" t="s">
        <v>1637</v>
      </c>
      <c r="R7520" t="s">
        <v>5903</v>
      </c>
      <c r="S7520" t="s">
        <v>1615</v>
      </c>
      <c r="T7520" t="s">
        <v>296</v>
      </c>
    </row>
    <row r="7521" spans="1:20" x14ac:dyDescent="0.25">
      <c r="A7521">
        <v>9</v>
      </c>
      <c r="B7521">
        <v>199</v>
      </c>
      <c r="C7521" t="str">
        <f>"00"</f>
        <v>00</v>
      </c>
      <c r="D7521">
        <v>1291</v>
      </c>
      <c r="E7521" t="str">
        <f>"05"</f>
        <v>05</v>
      </c>
      <c r="F7521" t="str">
        <f>"000"</f>
        <v>000</v>
      </c>
      <c r="G7521">
        <v>9</v>
      </c>
      <c r="H7521" t="str">
        <f>"00"</f>
        <v>00</v>
      </c>
      <c r="I7521" t="str">
        <f t="shared" si="1682"/>
        <v>0</v>
      </c>
      <c r="J7521" t="str">
        <f>"00"</f>
        <v>00</v>
      </c>
      <c r="K7521">
        <v>20190726</v>
      </c>
      <c r="L7521" t="str">
        <f>"077503"</f>
        <v>077503</v>
      </c>
      <c r="M7521" t="str">
        <f>"46398"</f>
        <v>46398</v>
      </c>
      <c r="N7521" t="s">
        <v>1636</v>
      </c>
      <c r="O7521">
        <v>0.72</v>
      </c>
      <c r="P7521">
        <v>20190725</v>
      </c>
      <c r="Q7521" t="s">
        <v>1637</v>
      </c>
      <c r="R7521" t="s">
        <v>5903</v>
      </c>
      <c r="S7521" t="s">
        <v>1615</v>
      </c>
      <c r="T7521" t="s">
        <v>296</v>
      </c>
    </row>
    <row r="7522" spans="1:20" x14ac:dyDescent="0.25">
      <c r="A7522">
        <v>9</v>
      </c>
      <c r="B7522">
        <v>199</v>
      </c>
      <c r="C7522" t="str">
        <f>"41"</f>
        <v>41</v>
      </c>
      <c r="D7522">
        <v>6245</v>
      </c>
      <c r="E7522" t="str">
        <f>"10"</f>
        <v>10</v>
      </c>
      <c r="F7522" t="str">
        <f>"933"</f>
        <v>933</v>
      </c>
      <c r="G7522">
        <v>9</v>
      </c>
      <c r="H7522" t="str">
        <f>"99"</f>
        <v>99</v>
      </c>
      <c r="I7522" t="str">
        <f t="shared" si="1682"/>
        <v>0</v>
      </c>
      <c r="J7522" t="str">
        <f>"85"</f>
        <v>85</v>
      </c>
      <c r="K7522">
        <v>20190726</v>
      </c>
      <c r="L7522" t="str">
        <f>"077503"</f>
        <v>077503</v>
      </c>
      <c r="M7522" t="str">
        <f>"46398"</f>
        <v>46398</v>
      </c>
      <c r="N7522" t="s">
        <v>1636</v>
      </c>
      <c r="O7522">
        <v>928.88</v>
      </c>
      <c r="P7522">
        <v>20190725</v>
      </c>
      <c r="Q7522" t="s">
        <v>2516</v>
      </c>
      <c r="R7522" t="s">
        <v>5903</v>
      </c>
      <c r="S7522" t="s">
        <v>1615</v>
      </c>
      <c r="T7522" t="s">
        <v>1643</v>
      </c>
    </row>
    <row r="7523" spans="1:20" x14ac:dyDescent="0.25">
      <c r="A7523">
        <v>9</v>
      </c>
      <c r="B7523">
        <v>199</v>
      </c>
      <c r="C7523" t="str">
        <f>"00"</f>
        <v>00</v>
      </c>
      <c r="D7523">
        <v>1291</v>
      </c>
      <c r="E7523" t="str">
        <f>"05"</f>
        <v>05</v>
      </c>
      <c r="F7523" t="str">
        <f>"000"</f>
        <v>000</v>
      </c>
      <c r="G7523">
        <v>9</v>
      </c>
      <c r="H7523" t="str">
        <f>"00"</f>
        <v>00</v>
      </c>
      <c r="I7523" t="str">
        <f t="shared" si="1682"/>
        <v>0</v>
      </c>
      <c r="J7523" t="str">
        <f>"00"</f>
        <v>00</v>
      </c>
      <c r="K7523">
        <v>20190726</v>
      </c>
      <c r="L7523" t="str">
        <f>"077504"</f>
        <v>077504</v>
      </c>
      <c r="M7523" t="str">
        <f>"46351"</f>
        <v>46351</v>
      </c>
      <c r="N7523" t="s">
        <v>1639</v>
      </c>
      <c r="O7523">
        <v>633.32000000000005</v>
      </c>
      <c r="P7523">
        <v>20190725</v>
      </c>
      <c r="Q7523" t="s">
        <v>1637</v>
      </c>
      <c r="R7523" t="s">
        <v>5904</v>
      </c>
      <c r="S7523" t="s">
        <v>1615</v>
      </c>
      <c r="T7523" t="s">
        <v>296</v>
      </c>
    </row>
    <row r="7524" spans="1:20" x14ac:dyDescent="0.25">
      <c r="A7524">
        <v>9</v>
      </c>
      <c r="B7524">
        <v>199</v>
      </c>
      <c r="C7524" t="str">
        <f>"23"</f>
        <v>23</v>
      </c>
      <c r="D7524">
        <v>6498</v>
      </c>
      <c r="E7524" t="str">
        <f>"10"</f>
        <v>10</v>
      </c>
      <c r="F7524" t="str">
        <f>"002"</f>
        <v>002</v>
      </c>
      <c r="G7524">
        <v>9</v>
      </c>
      <c r="H7524" t="str">
        <f>"99"</f>
        <v>99</v>
      </c>
      <c r="I7524" t="str">
        <f t="shared" si="1682"/>
        <v>0</v>
      </c>
      <c r="J7524" t="str">
        <f>"02"</f>
        <v>02</v>
      </c>
      <c r="K7524">
        <v>20190726</v>
      </c>
      <c r="L7524" t="str">
        <f>"077507"</f>
        <v>077507</v>
      </c>
      <c r="M7524" t="str">
        <f>"50453"</f>
        <v>50453</v>
      </c>
      <c r="N7524" t="s">
        <v>1472</v>
      </c>
      <c r="O7524">
        <v>24</v>
      </c>
      <c r="P7524">
        <v>20190725</v>
      </c>
      <c r="Q7524" t="s">
        <v>3213</v>
      </c>
      <c r="R7524" t="s">
        <v>5905</v>
      </c>
      <c r="S7524" t="s">
        <v>1615</v>
      </c>
      <c r="T7524" t="s">
        <v>1485</v>
      </c>
    </row>
    <row r="7525" spans="1:20" x14ac:dyDescent="0.25">
      <c r="A7525">
        <v>9</v>
      </c>
      <c r="B7525">
        <v>199</v>
      </c>
      <c r="C7525" t="str">
        <f>"23"</f>
        <v>23</v>
      </c>
      <c r="D7525">
        <v>6498</v>
      </c>
      <c r="E7525" t="str">
        <f>"10"</f>
        <v>10</v>
      </c>
      <c r="F7525" t="str">
        <f>"002"</f>
        <v>002</v>
      </c>
      <c r="G7525">
        <v>9</v>
      </c>
      <c r="H7525" t="str">
        <f>"99"</f>
        <v>99</v>
      </c>
      <c r="I7525" t="str">
        <f t="shared" si="1682"/>
        <v>0</v>
      </c>
      <c r="J7525" t="str">
        <f>"02"</f>
        <v>02</v>
      </c>
      <c r="K7525">
        <v>20190726</v>
      </c>
      <c r="L7525" t="str">
        <f>"077507"</f>
        <v>077507</v>
      </c>
      <c r="M7525" t="str">
        <f>"50453"</f>
        <v>50453</v>
      </c>
      <c r="N7525" t="s">
        <v>1472</v>
      </c>
      <c r="O7525">
        <v>34.119999999999997</v>
      </c>
      <c r="P7525">
        <v>20190725</v>
      </c>
      <c r="Q7525" t="s">
        <v>3213</v>
      </c>
      <c r="R7525" t="s">
        <v>5906</v>
      </c>
      <c r="S7525" t="s">
        <v>1615</v>
      </c>
      <c r="T7525" t="s">
        <v>1485</v>
      </c>
    </row>
    <row r="7526" spans="1:20" x14ac:dyDescent="0.25">
      <c r="A7526">
        <v>9</v>
      </c>
      <c r="B7526">
        <v>199</v>
      </c>
      <c r="C7526" t="str">
        <f>"23"</f>
        <v>23</v>
      </c>
      <c r="D7526">
        <v>6498</v>
      </c>
      <c r="E7526" t="str">
        <f>"10"</f>
        <v>10</v>
      </c>
      <c r="F7526" t="str">
        <f>"002"</f>
        <v>002</v>
      </c>
      <c r="G7526">
        <v>9</v>
      </c>
      <c r="H7526" t="str">
        <f>"99"</f>
        <v>99</v>
      </c>
      <c r="I7526" t="str">
        <f t="shared" si="1682"/>
        <v>0</v>
      </c>
      <c r="J7526" t="str">
        <f>"02"</f>
        <v>02</v>
      </c>
      <c r="K7526">
        <v>20190726</v>
      </c>
      <c r="L7526" t="str">
        <f>"077507"</f>
        <v>077507</v>
      </c>
      <c r="M7526" t="str">
        <f>"50453"</f>
        <v>50453</v>
      </c>
      <c r="N7526" t="s">
        <v>1472</v>
      </c>
      <c r="O7526">
        <v>57.98</v>
      </c>
      <c r="P7526">
        <v>20190725</v>
      </c>
      <c r="Q7526" t="s">
        <v>3213</v>
      </c>
      <c r="R7526" t="s">
        <v>5907</v>
      </c>
      <c r="S7526" t="s">
        <v>1615</v>
      </c>
      <c r="T7526" t="s">
        <v>1485</v>
      </c>
    </row>
    <row r="7527" spans="1:20" x14ac:dyDescent="0.25">
      <c r="A7527">
        <v>9</v>
      </c>
      <c r="B7527">
        <v>199</v>
      </c>
      <c r="C7527" t="str">
        <f>"23"</f>
        <v>23</v>
      </c>
      <c r="D7527">
        <v>6498</v>
      </c>
      <c r="E7527" t="str">
        <f>"10"</f>
        <v>10</v>
      </c>
      <c r="F7527" t="str">
        <f>"002"</f>
        <v>002</v>
      </c>
      <c r="G7527">
        <v>9</v>
      </c>
      <c r="H7527" t="str">
        <f>"99"</f>
        <v>99</v>
      </c>
      <c r="I7527" t="str">
        <f t="shared" si="1682"/>
        <v>0</v>
      </c>
      <c r="J7527" t="str">
        <f>"02"</f>
        <v>02</v>
      </c>
      <c r="K7527">
        <v>20190726</v>
      </c>
      <c r="L7527" t="str">
        <f>"077507"</f>
        <v>077507</v>
      </c>
      <c r="M7527" t="str">
        <f>"50453"</f>
        <v>50453</v>
      </c>
      <c r="N7527" t="s">
        <v>1472</v>
      </c>
      <c r="O7527">
        <v>245.28</v>
      </c>
      <c r="P7527">
        <v>20190725</v>
      </c>
      <c r="Q7527" t="s">
        <v>3213</v>
      </c>
      <c r="R7527" t="s">
        <v>5908</v>
      </c>
      <c r="S7527" t="s">
        <v>1615</v>
      </c>
      <c r="T7527" t="s">
        <v>1485</v>
      </c>
    </row>
    <row r="7528" spans="1:20" x14ac:dyDescent="0.25">
      <c r="A7528">
        <v>9</v>
      </c>
      <c r="B7528">
        <v>199</v>
      </c>
      <c r="C7528" t="str">
        <f>"21"</f>
        <v>21</v>
      </c>
      <c r="D7528">
        <v>6216</v>
      </c>
      <c r="E7528" t="str">
        <f>"00"</f>
        <v>00</v>
      </c>
      <c r="F7528" t="str">
        <f>"875"</f>
        <v>875</v>
      </c>
      <c r="G7528">
        <v>9</v>
      </c>
      <c r="H7528" t="str">
        <f>"23"</f>
        <v>23</v>
      </c>
      <c r="I7528" t="str">
        <f t="shared" si="1682"/>
        <v>0</v>
      </c>
      <c r="J7528" t="str">
        <f>"23"</f>
        <v>23</v>
      </c>
      <c r="K7528">
        <v>20190726</v>
      </c>
      <c r="L7528" t="str">
        <f>"077508"</f>
        <v>077508</v>
      </c>
      <c r="M7528" t="str">
        <f>"51475"</f>
        <v>51475</v>
      </c>
      <c r="N7528" t="s">
        <v>3195</v>
      </c>
      <c r="O7528">
        <v>115.1</v>
      </c>
      <c r="P7528">
        <v>20190725</v>
      </c>
      <c r="Q7528" t="s">
        <v>3196</v>
      </c>
      <c r="R7528" t="s">
        <v>5909</v>
      </c>
      <c r="S7528" t="s">
        <v>1615</v>
      </c>
      <c r="T7528" t="s">
        <v>2041</v>
      </c>
    </row>
    <row r="7529" spans="1:20" x14ac:dyDescent="0.25">
      <c r="A7529">
        <v>9</v>
      </c>
      <c r="B7529">
        <v>199</v>
      </c>
      <c r="C7529" t="str">
        <f>"21"</f>
        <v>21</v>
      </c>
      <c r="D7529">
        <v>6216</v>
      </c>
      <c r="E7529" t="str">
        <f>"00"</f>
        <v>00</v>
      </c>
      <c r="F7529" t="str">
        <f>"875"</f>
        <v>875</v>
      </c>
      <c r="G7529">
        <v>9</v>
      </c>
      <c r="H7529" t="str">
        <f>"23"</f>
        <v>23</v>
      </c>
      <c r="I7529" t="str">
        <f t="shared" si="1682"/>
        <v>0</v>
      </c>
      <c r="J7529" t="str">
        <f>"23"</f>
        <v>23</v>
      </c>
      <c r="K7529">
        <v>20190726</v>
      </c>
      <c r="L7529" t="str">
        <f>"077508"</f>
        <v>077508</v>
      </c>
      <c r="M7529" t="str">
        <f>"51475"</f>
        <v>51475</v>
      </c>
      <c r="N7529" t="s">
        <v>3195</v>
      </c>
      <c r="O7529">
        <v>5.14</v>
      </c>
      <c r="P7529">
        <v>20190725</v>
      </c>
      <c r="Q7529" t="s">
        <v>3196</v>
      </c>
      <c r="R7529" t="s">
        <v>5910</v>
      </c>
      <c r="S7529" t="s">
        <v>1615</v>
      </c>
      <c r="T7529" t="s">
        <v>2041</v>
      </c>
    </row>
    <row r="7530" spans="1:20" x14ac:dyDescent="0.25">
      <c r="A7530">
        <v>9</v>
      </c>
      <c r="B7530">
        <v>199</v>
      </c>
      <c r="C7530" t="str">
        <f>"52"</f>
        <v>52</v>
      </c>
      <c r="D7530">
        <v>6219</v>
      </c>
      <c r="E7530" t="str">
        <f>"00"</f>
        <v>00</v>
      </c>
      <c r="F7530" t="str">
        <f>"101"</f>
        <v>101</v>
      </c>
      <c r="G7530">
        <v>9</v>
      </c>
      <c r="H7530" t="str">
        <f t="shared" ref="H7530:H7539" si="1683">"99"</f>
        <v>99</v>
      </c>
      <c r="I7530" t="str">
        <f t="shared" si="1682"/>
        <v>0</v>
      </c>
      <c r="J7530" t="str">
        <f>"00"</f>
        <v>00</v>
      </c>
      <c r="K7530">
        <v>20190726</v>
      </c>
      <c r="L7530" t="str">
        <f>"077509"</f>
        <v>077509</v>
      </c>
      <c r="M7530" t="str">
        <f>"00755"</f>
        <v>00755</v>
      </c>
      <c r="N7530" t="s">
        <v>4268</v>
      </c>
      <c r="O7530">
        <v>240</v>
      </c>
      <c r="P7530">
        <v>20190725</v>
      </c>
      <c r="Q7530" t="s">
        <v>1854</v>
      </c>
      <c r="R7530" t="s">
        <v>5911</v>
      </c>
      <c r="S7530" t="s">
        <v>1615</v>
      </c>
      <c r="T7530" t="s">
        <v>1479</v>
      </c>
    </row>
    <row r="7531" spans="1:20" x14ac:dyDescent="0.25">
      <c r="A7531">
        <v>9</v>
      </c>
      <c r="B7531">
        <v>199</v>
      </c>
      <c r="C7531" t="str">
        <f>"51"</f>
        <v>51</v>
      </c>
      <c r="D7531">
        <v>6249</v>
      </c>
      <c r="E7531" t="str">
        <f>"M1"</f>
        <v>M1</v>
      </c>
      <c r="F7531" t="str">
        <f>"936"</f>
        <v>936</v>
      </c>
      <c r="G7531">
        <v>9</v>
      </c>
      <c r="H7531" t="str">
        <f t="shared" si="1683"/>
        <v>99</v>
      </c>
      <c r="I7531" t="str">
        <f t="shared" si="1682"/>
        <v>0</v>
      </c>
      <c r="J7531" t="str">
        <f>"81"</f>
        <v>81</v>
      </c>
      <c r="K7531">
        <v>20190726</v>
      </c>
      <c r="L7531" t="str">
        <f>"077510"</f>
        <v>077510</v>
      </c>
      <c r="M7531" t="str">
        <f>"00181"</f>
        <v>00181</v>
      </c>
      <c r="N7531" t="s">
        <v>1762</v>
      </c>
      <c r="O7531">
        <v>320</v>
      </c>
      <c r="P7531">
        <v>20190725</v>
      </c>
      <c r="Q7531" t="s">
        <v>1763</v>
      </c>
      <c r="R7531" s="2">
        <v>43678</v>
      </c>
      <c r="S7531" t="s">
        <v>1615</v>
      </c>
      <c r="T7531" t="s">
        <v>1713</v>
      </c>
    </row>
    <row r="7532" spans="1:20" x14ac:dyDescent="0.25">
      <c r="A7532">
        <v>9</v>
      </c>
      <c r="B7532">
        <v>199</v>
      </c>
      <c r="C7532" t="str">
        <f t="shared" ref="C7532:C7538" si="1684">"41"</f>
        <v>41</v>
      </c>
      <c r="D7532">
        <v>6395</v>
      </c>
      <c r="E7532" t="str">
        <f t="shared" ref="E7532:E7537" si="1685">"10"</f>
        <v>10</v>
      </c>
      <c r="F7532" t="str">
        <f>"701"</f>
        <v>701</v>
      </c>
      <c r="G7532">
        <v>9</v>
      </c>
      <c r="H7532" t="str">
        <f t="shared" si="1683"/>
        <v>99</v>
      </c>
      <c r="I7532" t="str">
        <f t="shared" si="1682"/>
        <v>0</v>
      </c>
      <c r="J7532" t="str">
        <f>"92"</f>
        <v>92</v>
      </c>
      <c r="K7532">
        <v>20190726</v>
      </c>
      <c r="L7532" t="str">
        <f t="shared" ref="L7532:L7537" si="1686">"077511"</f>
        <v>077511</v>
      </c>
      <c r="M7532" t="str">
        <f t="shared" ref="M7532:M7537" si="1687">"58200"</f>
        <v>58200</v>
      </c>
      <c r="N7532" t="s">
        <v>1765</v>
      </c>
      <c r="O7532">
        <v>21.16</v>
      </c>
      <c r="P7532">
        <v>20190725</v>
      </c>
      <c r="Q7532" t="s">
        <v>3484</v>
      </c>
      <c r="R7532" t="s">
        <v>5912</v>
      </c>
      <c r="S7532" t="s">
        <v>1615</v>
      </c>
      <c r="T7532" t="s">
        <v>1841</v>
      </c>
    </row>
    <row r="7533" spans="1:20" x14ac:dyDescent="0.25">
      <c r="A7533">
        <v>9</v>
      </c>
      <c r="B7533">
        <v>199</v>
      </c>
      <c r="C7533" t="str">
        <f t="shared" si="1684"/>
        <v>41</v>
      </c>
      <c r="D7533">
        <v>6399</v>
      </c>
      <c r="E7533" t="str">
        <f t="shared" si="1685"/>
        <v>10</v>
      </c>
      <c r="F7533" t="str">
        <f>"730"</f>
        <v>730</v>
      </c>
      <c r="G7533">
        <v>9</v>
      </c>
      <c r="H7533" t="str">
        <f t="shared" si="1683"/>
        <v>99</v>
      </c>
      <c r="I7533" t="str">
        <f t="shared" si="1682"/>
        <v>0</v>
      </c>
      <c r="J7533" t="str">
        <f>"95"</f>
        <v>95</v>
      </c>
      <c r="K7533">
        <v>20190726</v>
      </c>
      <c r="L7533" t="str">
        <f t="shared" si="1686"/>
        <v>077511</v>
      </c>
      <c r="M7533" t="str">
        <f t="shared" si="1687"/>
        <v>58200</v>
      </c>
      <c r="N7533" t="s">
        <v>1765</v>
      </c>
      <c r="O7533">
        <v>24</v>
      </c>
      <c r="P7533">
        <v>20190725</v>
      </c>
      <c r="Q7533" t="s">
        <v>1987</v>
      </c>
      <c r="R7533" t="s">
        <v>5913</v>
      </c>
      <c r="S7533" t="s">
        <v>1615</v>
      </c>
      <c r="T7533" t="s">
        <v>1794</v>
      </c>
    </row>
    <row r="7534" spans="1:20" x14ac:dyDescent="0.25">
      <c r="A7534">
        <v>9</v>
      </c>
      <c r="B7534">
        <v>199</v>
      </c>
      <c r="C7534" t="str">
        <f t="shared" si="1684"/>
        <v>41</v>
      </c>
      <c r="D7534">
        <v>6399</v>
      </c>
      <c r="E7534" t="str">
        <f t="shared" si="1685"/>
        <v>10</v>
      </c>
      <c r="F7534" t="str">
        <f>"730"</f>
        <v>730</v>
      </c>
      <c r="G7534">
        <v>9</v>
      </c>
      <c r="H7534" t="str">
        <f t="shared" si="1683"/>
        <v>99</v>
      </c>
      <c r="I7534" t="str">
        <f t="shared" si="1682"/>
        <v>0</v>
      </c>
      <c r="J7534" t="str">
        <f>"95"</f>
        <v>95</v>
      </c>
      <c r="K7534">
        <v>20190726</v>
      </c>
      <c r="L7534" t="str">
        <f t="shared" si="1686"/>
        <v>077511</v>
      </c>
      <c r="M7534" t="str">
        <f t="shared" si="1687"/>
        <v>58200</v>
      </c>
      <c r="N7534" t="s">
        <v>1765</v>
      </c>
      <c r="O7534">
        <v>70</v>
      </c>
      <c r="P7534">
        <v>20190725</v>
      </c>
      <c r="Q7534" t="s">
        <v>1987</v>
      </c>
      <c r="R7534" t="s">
        <v>5914</v>
      </c>
      <c r="S7534" t="s">
        <v>1615</v>
      </c>
      <c r="T7534" t="s">
        <v>1794</v>
      </c>
    </row>
    <row r="7535" spans="1:20" x14ac:dyDescent="0.25">
      <c r="A7535">
        <v>9</v>
      </c>
      <c r="B7535">
        <v>199</v>
      </c>
      <c r="C7535" t="str">
        <f t="shared" si="1684"/>
        <v>41</v>
      </c>
      <c r="D7535">
        <v>6399</v>
      </c>
      <c r="E7535" t="str">
        <f t="shared" si="1685"/>
        <v>10</v>
      </c>
      <c r="F7535" t="str">
        <f>"730"</f>
        <v>730</v>
      </c>
      <c r="G7535">
        <v>9</v>
      </c>
      <c r="H7535" t="str">
        <f t="shared" si="1683"/>
        <v>99</v>
      </c>
      <c r="I7535" t="str">
        <f t="shared" si="1682"/>
        <v>0</v>
      </c>
      <c r="J7535" t="str">
        <f>"95"</f>
        <v>95</v>
      </c>
      <c r="K7535">
        <v>20190726</v>
      </c>
      <c r="L7535" t="str">
        <f t="shared" si="1686"/>
        <v>077511</v>
      </c>
      <c r="M7535" t="str">
        <f t="shared" si="1687"/>
        <v>58200</v>
      </c>
      <c r="N7535" t="s">
        <v>1765</v>
      </c>
      <c r="O7535">
        <v>14.98</v>
      </c>
      <c r="P7535">
        <v>20190725</v>
      </c>
      <c r="Q7535" t="s">
        <v>1987</v>
      </c>
      <c r="R7535" t="s">
        <v>641</v>
      </c>
      <c r="S7535" t="s">
        <v>1615</v>
      </c>
      <c r="T7535" t="s">
        <v>1794</v>
      </c>
    </row>
    <row r="7536" spans="1:20" x14ac:dyDescent="0.25">
      <c r="A7536">
        <v>9</v>
      </c>
      <c r="B7536">
        <v>199</v>
      </c>
      <c r="C7536" t="str">
        <f t="shared" si="1684"/>
        <v>41</v>
      </c>
      <c r="D7536">
        <v>6498</v>
      </c>
      <c r="E7536" t="str">
        <f t="shared" si="1685"/>
        <v>10</v>
      </c>
      <c r="F7536" t="str">
        <f>"701"</f>
        <v>701</v>
      </c>
      <c r="G7536">
        <v>9</v>
      </c>
      <c r="H7536" t="str">
        <f t="shared" si="1683"/>
        <v>99</v>
      </c>
      <c r="I7536" t="str">
        <f t="shared" si="1682"/>
        <v>0</v>
      </c>
      <c r="J7536" t="str">
        <f>"92"</f>
        <v>92</v>
      </c>
      <c r="K7536">
        <v>20190726</v>
      </c>
      <c r="L7536" t="str">
        <f t="shared" si="1686"/>
        <v>077511</v>
      </c>
      <c r="M7536" t="str">
        <f t="shared" si="1687"/>
        <v>58200</v>
      </c>
      <c r="N7536" t="s">
        <v>1765</v>
      </c>
      <c r="O7536">
        <v>47.3</v>
      </c>
      <c r="P7536">
        <v>20190725</v>
      </c>
      <c r="Q7536" t="s">
        <v>2202</v>
      </c>
      <c r="R7536" t="s">
        <v>5915</v>
      </c>
      <c r="S7536" t="s">
        <v>1615</v>
      </c>
      <c r="T7536" t="s">
        <v>1841</v>
      </c>
    </row>
    <row r="7537" spans="1:20" x14ac:dyDescent="0.25">
      <c r="A7537">
        <v>9</v>
      </c>
      <c r="B7537">
        <v>199</v>
      </c>
      <c r="C7537" t="str">
        <f t="shared" si="1684"/>
        <v>41</v>
      </c>
      <c r="D7537">
        <v>6498</v>
      </c>
      <c r="E7537" t="str">
        <f t="shared" si="1685"/>
        <v>10</v>
      </c>
      <c r="F7537" t="str">
        <f>"701"</f>
        <v>701</v>
      </c>
      <c r="G7537">
        <v>9</v>
      </c>
      <c r="H7537" t="str">
        <f t="shared" si="1683"/>
        <v>99</v>
      </c>
      <c r="I7537" t="str">
        <f t="shared" si="1682"/>
        <v>0</v>
      </c>
      <c r="J7537" t="str">
        <f>"92"</f>
        <v>92</v>
      </c>
      <c r="K7537">
        <v>20190726</v>
      </c>
      <c r="L7537" t="str">
        <f t="shared" si="1686"/>
        <v>077511</v>
      </c>
      <c r="M7537" t="str">
        <f t="shared" si="1687"/>
        <v>58200</v>
      </c>
      <c r="N7537" t="s">
        <v>1765</v>
      </c>
      <c r="O7537">
        <v>20.99</v>
      </c>
      <c r="P7537">
        <v>20190725</v>
      </c>
      <c r="Q7537" t="s">
        <v>2202</v>
      </c>
      <c r="R7537" t="s">
        <v>4249</v>
      </c>
      <c r="S7537" t="s">
        <v>1615</v>
      </c>
      <c r="T7537" t="s">
        <v>1841</v>
      </c>
    </row>
    <row r="7538" spans="1:20" x14ac:dyDescent="0.25">
      <c r="A7538">
        <v>9</v>
      </c>
      <c r="B7538">
        <v>199</v>
      </c>
      <c r="C7538" t="str">
        <f t="shared" si="1684"/>
        <v>41</v>
      </c>
      <c r="D7538">
        <v>6211</v>
      </c>
      <c r="E7538" t="str">
        <f>"02"</f>
        <v>02</v>
      </c>
      <c r="F7538" t="str">
        <f>"702"</f>
        <v>702</v>
      </c>
      <c r="G7538">
        <v>9</v>
      </c>
      <c r="H7538" t="str">
        <f t="shared" si="1683"/>
        <v>99</v>
      </c>
      <c r="I7538" t="str">
        <f t="shared" si="1682"/>
        <v>0</v>
      </c>
      <c r="J7538" t="str">
        <f>"93"</f>
        <v>93</v>
      </c>
      <c r="K7538">
        <v>20190726</v>
      </c>
      <c r="L7538" t="str">
        <f>"077512"</f>
        <v>077512</v>
      </c>
      <c r="M7538" t="str">
        <f>"59082"</f>
        <v>59082</v>
      </c>
      <c r="N7538" t="s">
        <v>3665</v>
      </c>
      <c r="O7538">
        <v>499</v>
      </c>
      <c r="P7538">
        <v>20190725</v>
      </c>
      <c r="Q7538" t="s">
        <v>2473</v>
      </c>
      <c r="R7538" t="s">
        <v>5916</v>
      </c>
      <c r="S7538" t="s">
        <v>1615</v>
      </c>
      <c r="T7538" t="s">
        <v>1611</v>
      </c>
    </row>
    <row r="7539" spans="1:20" x14ac:dyDescent="0.25">
      <c r="A7539">
        <v>9</v>
      </c>
      <c r="B7539">
        <v>199</v>
      </c>
      <c r="C7539" t="str">
        <f>"36"</f>
        <v>36</v>
      </c>
      <c r="D7539">
        <v>6412</v>
      </c>
      <c r="E7539" t="str">
        <f>"NA"</f>
        <v>NA</v>
      </c>
      <c r="F7539" t="str">
        <f>"001"</f>
        <v>001</v>
      </c>
      <c r="G7539">
        <v>9</v>
      </c>
      <c r="H7539" t="str">
        <f t="shared" si="1683"/>
        <v>99</v>
      </c>
      <c r="I7539" t="str">
        <f>"5"</f>
        <v>5</v>
      </c>
      <c r="J7539" t="str">
        <f>"74"</f>
        <v>74</v>
      </c>
      <c r="K7539">
        <v>20190726</v>
      </c>
      <c r="L7539" t="str">
        <f>"077513"</f>
        <v>077513</v>
      </c>
      <c r="M7539" t="str">
        <f>"59097"</f>
        <v>59097</v>
      </c>
      <c r="N7539" t="s">
        <v>2294</v>
      </c>
      <c r="O7539">
        <v>125.61</v>
      </c>
      <c r="P7539">
        <v>20190725</v>
      </c>
      <c r="Q7539" t="s">
        <v>4414</v>
      </c>
      <c r="R7539" t="s">
        <v>4701</v>
      </c>
      <c r="S7539" t="s">
        <v>1615</v>
      </c>
      <c r="T7539" t="s">
        <v>301</v>
      </c>
    </row>
    <row r="7540" spans="1:20" x14ac:dyDescent="0.25">
      <c r="A7540">
        <v>9</v>
      </c>
      <c r="B7540">
        <v>199</v>
      </c>
      <c r="C7540" t="str">
        <f>"11"</f>
        <v>11</v>
      </c>
      <c r="D7540">
        <v>6249</v>
      </c>
      <c r="E7540" t="str">
        <f>"8M"</f>
        <v>8M</v>
      </c>
      <c r="F7540" t="str">
        <f>"001"</f>
        <v>001</v>
      </c>
      <c r="G7540">
        <v>9</v>
      </c>
      <c r="H7540" t="str">
        <f>"11"</f>
        <v>11</v>
      </c>
      <c r="I7540" t="str">
        <f t="shared" ref="I7540:I7585" si="1688">"0"</f>
        <v>0</v>
      </c>
      <c r="J7540" t="str">
        <f>"33"</f>
        <v>33</v>
      </c>
      <c r="K7540">
        <v>20190726</v>
      </c>
      <c r="L7540" t="str">
        <f>"077514"</f>
        <v>077514</v>
      </c>
      <c r="M7540" t="str">
        <f>"00849"</f>
        <v>00849</v>
      </c>
      <c r="N7540" t="s">
        <v>5917</v>
      </c>
      <c r="O7540">
        <v>300</v>
      </c>
      <c r="P7540">
        <v>20190725</v>
      </c>
      <c r="Q7540" t="s">
        <v>3206</v>
      </c>
      <c r="R7540" t="s">
        <v>5918</v>
      </c>
      <c r="S7540" t="s">
        <v>1615</v>
      </c>
      <c r="T7540" t="s">
        <v>301</v>
      </c>
    </row>
    <row r="7541" spans="1:20" x14ac:dyDescent="0.25">
      <c r="A7541">
        <v>9</v>
      </c>
      <c r="B7541">
        <v>199</v>
      </c>
      <c r="C7541" t="str">
        <f>"23"</f>
        <v>23</v>
      </c>
      <c r="D7541">
        <v>6498</v>
      </c>
      <c r="E7541" t="str">
        <f>"10"</f>
        <v>10</v>
      </c>
      <c r="F7541" t="str">
        <f>"101"</f>
        <v>101</v>
      </c>
      <c r="G7541">
        <v>9</v>
      </c>
      <c r="H7541" t="str">
        <f>"99"</f>
        <v>99</v>
      </c>
      <c r="I7541" t="str">
        <f t="shared" si="1688"/>
        <v>0</v>
      </c>
      <c r="J7541" t="str">
        <f>"04"</f>
        <v>04</v>
      </c>
      <c r="K7541">
        <v>20190726</v>
      </c>
      <c r="L7541" t="str">
        <f>"077516"</f>
        <v>077516</v>
      </c>
      <c r="M7541" t="str">
        <f>"64610"</f>
        <v>64610</v>
      </c>
      <c r="N7541" t="s">
        <v>1062</v>
      </c>
      <c r="O7541">
        <v>98</v>
      </c>
      <c r="P7541">
        <v>20190725</v>
      </c>
      <c r="Q7541" t="s">
        <v>2139</v>
      </c>
      <c r="R7541" t="s">
        <v>5919</v>
      </c>
      <c r="S7541" t="s">
        <v>1615</v>
      </c>
      <c r="T7541" t="s">
        <v>1479</v>
      </c>
    </row>
    <row r="7542" spans="1:20" x14ac:dyDescent="0.25">
      <c r="A7542">
        <v>9</v>
      </c>
      <c r="B7542">
        <v>199</v>
      </c>
      <c r="C7542" t="str">
        <f>"23"</f>
        <v>23</v>
      </c>
      <c r="D7542">
        <v>6498</v>
      </c>
      <c r="E7542" t="str">
        <f>"99"</f>
        <v>99</v>
      </c>
      <c r="F7542" t="str">
        <f>"041"</f>
        <v>041</v>
      </c>
      <c r="G7542">
        <v>9</v>
      </c>
      <c r="H7542" t="str">
        <f>"99"</f>
        <v>99</v>
      </c>
      <c r="I7542" t="str">
        <f t="shared" si="1688"/>
        <v>0</v>
      </c>
      <c r="J7542" t="str">
        <f>"03"</f>
        <v>03</v>
      </c>
      <c r="K7542">
        <v>20190726</v>
      </c>
      <c r="L7542" t="str">
        <f>"077516"</f>
        <v>077516</v>
      </c>
      <c r="M7542" t="str">
        <f>"64610"</f>
        <v>64610</v>
      </c>
      <c r="N7542" t="s">
        <v>1062</v>
      </c>
      <c r="O7542">
        <v>181.5</v>
      </c>
      <c r="P7542">
        <v>20190725</v>
      </c>
      <c r="Q7542" t="s">
        <v>2140</v>
      </c>
      <c r="R7542" t="s">
        <v>5920</v>
      </c>
      <c r="S7542" t="s">
        <v>1615</v>
      </c>
      <c r="T7542" t="s">
        <v>106</v>
      </c>
    </row>
    <row r="7543" spans="1:20" x14ac:dyDescent="0.25">
      <c r="A7543">
        <v>9</v>
      </c>
      <c r="B7543">
        <v>199</v>
      </c>
      <c r="C7543" t="str">
        <f>"36"</f>
        <v>36</v>
      </c>
      <c r="D7543">
        <v>6499</v>
      </c>
      <c r="E7543" t="str">
        <f>"H2"</f>
        <v>H2</v>
      </c>
      <c r="F7543" t="str">
        <f>"001"</f>
        <v>001</v>
      </c>
      <c r="G7543">
        <v>9</v>
      </c>
      <c r="H7543" t="str">
        <f>"99"</f>
        <v>99</v>
      </c>
      <c r="I7543" t="str">
        <f t="shared" si="1688"/>
        <v>0</v>
      </c>
      <c r="J7543" t="str">
        <f>"37"</f>
        <v>37</v>
      </c>
      <c r="K7543">
        <v>20190726</v>
      </c>
      <c r="L7543" t="str">
        <f>"077516"</f>
        <v>077516</v>
      </c>
      <c r="M7543" t="str">
        <f>"64610"</f>
        <v>64610</v>
      </c>
      <c r="N7543" t="s">
        <v>1062</v>
      </c>
      <c r="O7543">
        <v>106</v>
      </c>
      <c r="P7543">
        <v>20190725</v>
      </c>
      <c r="Q7543" t="s">
        <v>2903</v>
      </c>
      <c r="R7543" t="s">
        <v>5921</v>
      </c>
      <c r="S7543" t="s">
        <v>1615</v>
      </c>
      <c r="T7543" t="s">
        <v>301</v>
      </c>
    </row>
    <row r="7544" spans="1:20" x14ac:dyDescent="0.25">
      <c r="A7544">
        <v>9</v>
      </c>
      <c r="B7544">
        <v>199</v>
      </c>
      <c r="C7544" t="str">
        <f>"41"</f>
        <v>41</v>
      </c>
      <c r="D7544">
        <v>6499</v>
      </c>
      <c r="E7544" t="str">
        <f>"10"</f>
        <v>10</v>
      </c>
      <c r="F7544" t="str">
        <f>"730"</f>
        <v>730</v>
      </c>
      <c r="G7544">
        <v>9</v>
      </c>
      <c r="H7544" t="str">
        <f>"99"</f>
        <v>99</v>
      </c>
      <c r="I7544" t="str">
        <f t="shared" si="1688"/>
        <v>0</v>
      </c>
      <c r="J7544" t="str">
        <f>"95"</f>
        <v>95</v>
      </c>
      <c r="K7544">
        <v>20190726</v>
      </c>
      <c r="L7544" t="str">
        <f>"077516"</f>
        <v>077516</v>
      </c>
      <c r="M7544" t="str">
        <f>"64610"</f>
        <v>64610</v>
      </c>
      <c r="N7544" t="s">
        <v>1062</v>
      </c>
      <c r="O7544">
        <v>99</v>
      </c>
      <c r="P7544">
        <v>20190725</v>
      </c>
      <c r="Q7544" t="s">
        <v>1792</v>
      </c>
      <c r="R7544" t="s">
        <v>5759</v>
      </c>
      <c r="S7544" t="s">
        <v>1615</v>
      </c>
      <c r="T7544" t="s">
        <v>1794</v>
      </c>
    </row>
    <row r="7545" spans="1:20" x14ac:dyDescent="0.25">
      <c r="A7545">
        <v>9</v>
      </c>
      <c r="B7545">
        <v>199</v>
      </c>
      <c r="C7545" t="str">
        <f>"51"</f>
        <v>51</v>
      </c>
      <c r="D7545">
        <v>6249</v>
      </c>
      <c r="E7545" t="str">
        <f>"10"</f>
        <v>10</v>
      </c>
      <c r="F7545" t="str">
        <f>"001"</f>
        <v>001</v>
      </c>
      <c r="G7545">
        <v>9</v>
      </c>
      <c r="H7545" t="str">
        <f>"99"</f>
        <v>99</v>
      </c>
      <c r="I7545" t="str">
        <f t="shared" si="1688"/>
        <v>0</v>
      </c>
      <c r="J7545" t="str">
        <f>"81"</f>
        <v>81</v>
      </c>
      <c r="K7545">
        <v>20190726</v>
      </c>
      <c r="L7545" t="str">
        <f>"077518"</f>
        <v>077518</v>
      </c>
      <c r="M7545" t="str">
        <f>"00471"</f>
        <v>00471</v>
      </c>
      <c r="N7545" t="s">
        <v>5922</v>
      </c>
      <c r="O7545" s="1">
        <v>47251.5</v>
      </c>
      <c r="P7545">
        <v>20190725</v>
      </c>
      <c r="Q7545" t="s">
        <v>5923</v>
      </c>
      <c r="R7545" t="s">
        <v>5924</v>
      </c>
      <c r="S7545" t="s">
        <v>1615</v>
      </c>
      <c r="T7545" t="s">
        <v>301</v>
      </c>
    </row>
    <row r="7546" spans="1:20" x14ac:dyDescent="0.25">
      <c r="A7546">
        <v>9</v>
      </c>
      <c r="B7546">
        <v>199</v>
      </c>
      <c r="C7546" t="str">
        <f>"11"</f>
        <v>11</v>
      </c>
      <c r="D7546">
        <v>6399</v>
      </c>
      <c r="E7546" t="str">
        <f>"45"</f>
        <v>45</v>
      </c>
      <c r="F7546" t="str">
        <f>"101"</f>
        <v>101</v>
      </c>
      <c r="G7546">
        <v>9</v>
      </c>
      <c r="H7546" t="str">
        <f>"11"</f>
        <v>11</v>
      </c>
      <c r="I7546" t="str">
        <f t="shared" si="1688"/>
        <v>0</v>
      </c>
      <c r="J7546" t="str">
        <f>"04"</f>
        <v>04</v>
      </c>
      <c r="K7546">
        <v>20190726</v>
      </c>
      <c r="L7546" t="str">
        <f>"077519"</f>
        <v>077519</v>
      </c>
      <c r="M7546" t="str">
        <f>"72730"</f>
        <v>72730</v>
      </c>
      <c r="N7546" t="s">
        <v>639</v>
      </c>
      <c r="O7546">
        <v>57.88</v>
      </c>
      <c r="P7546">
        <v>20190725</v>
      </c>
      <c r="Q7546" t="s">
        <v>1859</v>
      </c>
      <c r="R7546" t="s">
        <v>5925</v>
      </c>
      <c r="S7546" t="s">
        <v>1615</v>
      </c>
      <c r="T7546" t="s">
        <v>1479</v>
      </c>
    </row>
    <row r="7547" spans="1:20" x14ac:dyDescent="0.25">
      <c r="A7547">
        <v>9</v>
      </c>
      <c r="B7547">
        <v>199</v>
      </c>
      <c r="C7547" t="str">
        <f>"23"</f>
        <v>23</v>
      </c>
      <c r="D7547">
        <v>6399</v>
      </c>
      <c r="E7547" t="str">
        <f>"8K"</f>
        <v>8K</v>
      </c>
      <c r="F7547" t="str">
        <f>"101"</f>
        <v>101</v>
      </c>
      <c r="G7547">
        <v>9</v>
      </c>
      <c r="H7547" t="str">
        <f t="shared" ref="H7547:H7552" si="1689">"99"</f>
        <v>99</v>
      </c>
      <c r="I7547" t="str">
        <f t="shared" si="1688"/>
        <v>0</v>
      </c>
      <c r="J7547" t="str">
        <f>"04"</f>
        <v>04</v>
      </c>
      <c r="K7547">
        <v>20190726</v>
      </c>
      <c r="L7547" t="str">
        <f>"077519"</f>
        <v>077519</v>
      </c>
      <c r="M7547" t="str">
        <f>"72730"</f>
        <v>72730</v>
      </c>
      <c r="N7547" t="s">
        <v>639</v>
      </c>
      <c r="O7547">
        <v>15.92</v>
      </c>
      <c r="P7547">
        <v>20190725</v>
      </c>
      <c r="Q7547" t="s">
        <v>1998</v>
      </c>
      <c r="R7547" t="s">
        <v>5925</v>
      </c>
      <c r="S7547" t="s">
        <v>1615</v>
      </c>
      <c r="T7547" t="s">
        <v>1479</v>
      </c>
    </row>
    <row r="7548" spans="1:20" x14ac:dyDescent="0.25">
      <c r="A7548">
        <v>9</v>
      </c>
      <c r="B7548">
        <v>199</v>
      </c>
      <c r="C7548" t="str">
        <f>"34"</f>
        <v>34</v>
      </c>
      <c r="D7548">
        <v>6399</v>
      </c>
      <c r="E7548" t="str">
        <f>"10"</f>
        <v>10</v>
      </c>
      <c r="F7548" t="str">
        <f>"937"</f>
        <v>937</v>
      </c>
      <c r="G7548">
        <v>9</v>
      </c>
      <c r="H7548" t="str">
        <f t="shared" si="1689"/>
        <v>99</v>
      </c>
      <c r="I7548" t="str">
        <f t="shared" si="1688"/>
        <v>0</v>
      </c>
      <c r="J7548" t="str">
        <f>"82"</f>
        <v>82</v>
      </c>
      <c r="K7548">
        <v>20190726</v>
      </c>
      <c r="L7548" t="str">
        <f>"077519"</f>
        <v>077519</v>
      </c>
      <c r="M7548" t="str">
        <f>"72730"</f>
        <v>72730</v>
      </c>
      <c r="N7548" t="s">
        <v>639</v>
      </c>
      <c r="O7548">
        <v>344.07</v>
      </c>
      <c r="P7548">
        <v>20190725</v>
      </c>
      <c r="Q7548" t="s">
        <v>4075</v>
      </c>
      <c r="R7548" t="s">
        <v>641</v>
      </c>
      <c r="S7548" t="s">
        <v>1615</v>
      </c>
      <c r="T7548" t="s">
        <v>1810</v>
      </c>
    </row>
    <row r="7549" spans="1:20" x14ac:dyDescent="0.25">
      <c r="A7549">
        <v>9</v>
      </c>
      <c r="B7549">
        <v>199</v>
      </c>
      <c r="C7549" t="str">
        <f>"51"</f>
        <v>51</v>
      </c>
      <c r="D7549">
        <v>6399</v>
      </c>
      <c r="E7549" t="str">
        <f>"10"</f>
        <v>10</v>
      </c>
      <c r="F7549" t="str">
        <f>"936"</f>
        <v>936</v>
      </c>
      <c r="G7549">
        <v>9</v>
      </c>
      <c r="H7549" t="str">
        <f t="shared" si="1689"/>
        <v>99</v>
      </c>
      <c r="I7549" t="str">
        <f t="shared" si="1688"/>
        <v>0</v>
      </c>
      <c r="J7549" t="str">
        <f>"81"</f>
        <v>81</v>
      </c>
      <c r="K7549">
        <v>20190726</v>
      </c>
      <c r="L7549" t="str">
        <f>"077519"</f>
        <v>077519</v>
      </c>
      <c r="M7549" t="str">
        <f>"72730"</f>
        <v>72730</v>
      </c>
      <c r="N7549" t="s">
        <v>639</v>
      </c>
      <c r="O7549">
        <v>9.4</v>
      </c>
      <c r="P7549">
        <v>20190725</v>
      </c>
      <c r="Q7549" t="s">
        <v>3264</v>
      </c>
      <c r="R7549" t="s">
        <v>5926</v>
      </c>
      <c r="S7549" t="s">
        <v>1615</v>
      </c>
      <c r="T7549" t="s">
        <v>1713</v>
      </c>
    </row>
    <row r="7550" spans="1:20" x14ac:dyDescent="0.25">
      <c r="A7550">
        <v>9</v>
      </c>
      <c r="B7550">
        <v>199</v>
      </c>
      <c r="C7550" t="str">
        <f>"51"</f>
        <v>51</v>
      </c>
      <c r="D7550">
        <v>6399</v>
      </c>
      <c r="E7550" t="str">
        <f>"10"</f>
        <v>10</v>
      </c>
      <c r="F7550" t="str">
        <f>"936"</f>
        <v>936</v>
      </c>
      <c r="G7550">
        <v>9</v>
      </c>
      <c r="H7550" t="str">
        <f t="shared" si="1689"/>
        <v>99</v>
      </c>
      <c r="I7550" t="str">
        <f t="shared" si="1688"/>
        <v>0</v>
      </c>
      <c r="J7550" t="str">
        <f>"81"</f>
        <v>81</v>
      </c>
      <c r="K7550">
        <v>20190726</v>
      </c>
      <c r="L7550" t="str">
        <f>"077519"</f>
        <v>077519</v>
      </c>
      <c r="M7550" t="str">
        <f>"72730"</f>
        <v>72730</v>
      </c>
      <c r="N7550" t="s">
        <v>639</v>
      </c>
      <c r="O7550">
        <v>47.69</v>
      </c>
      <c r="P7550">
        <v>20190725</v>
      </c>
      <c r="Q7550" t="s">
        <v>3264</v>
      </c>
      <c r="R7550" t="s">
        <v>5927</v>
      </c>
      <c r="S7550" t="s">
        <v>1615</v>
      </c>
      <c r="T7550" t="s">
        <v>1713</v>
      </c>
    </row>
    <row r="7551" spans="1:20" x14ac:dyDescent="0.25">
      <c r="A7551">
        <v>9</v>
      </c>
      <c r="B7551">
        <v>199</v>
      </c>
      <c r="C7551" t="str">
        <f>"41"</f>
        <v>41</v>
      </c>
      <c r="D7551">
        <v>6495</v>
      </c>
      <c r="E7551" t="str">
        <f>"11"</f>
        <v>11</v>
      </c>
      <c r="F7551" t="str">
        <f>"701"</f>
        <v>701</v>
      </c>
      <c r="G7551">
        <v>9</v>
      </c>
      <c r="H7551" t="str">
        <f t="shared" si="1689"/>
        <v>99</v>
      </c>
      <c r="I7551" t="str">
        <f t="shared" si="1688"/>
        <v>0</v>
      </c>
      <c r="J7551" t="str">
        <f>"92"</f>
        <v>92</v>
      </c>
      <c r="K7551">
        <v>20190726</v>
      </c>
      <c r="L7551" t="str">
        <f>"077520"</f>
        <v>077520</v>
      </c>
      <c r="M7551" t="str">
        <f>"74385"</f>
        <v>74385</v>
      </c>
      <c r="N7551" t="s">
        <v>1812</v>
      </c>
      <c r="O7551">
        <v>625.04</v>
      </c>
      <c r="P7551">
        <v>20190725</v>
      </c>
      <c r="Q7551" t="s">
        <v>1839</v>
      </c>
      <c r="R7551" t="s">
        <v>5928</v>
      </c>
      <c r="S7551" t="s">
        <v>1615</v>
      </c>
      <c r="T7551" t="s">
        <v>1841</v>
      </c>
    </row>
    <row r="7552" spans="1:20" x14ac:dyDescent="0.25">
      <c r="A7552">
        <v>9</v>
      </c>
      <c r="B7552">
        <v>199</v>
      </c>
      <c r="C7552" t="str">
        <f>"41"</f>
        <v>41</v>
      </c>
      <c r="D7552">
        <v>6495</v>
      </c>
      <c r="E7552" t="str">
        <f>"11"</f>
        <v>11</v>
      </c>
      <c r="F7552" t="str">
        <f>"701"</f>
        <v>701</v>
      </c>
      <c r="G7552">
        <v>9</v>
      </c>
      <c r="H7552" t="str">
        <f t="shared" si="1689"/>
        <v>99</v>
      </c>
      <c r="I7552" t="str">
        <f t="shared" si="1688"/>
        <v>0</v>
      </c>
      <c r="J7552" t="str">
        <f>"92"</f>
        <v>92</v>
      </c>
      <c r="K7552">
        <v>20190726</v>
      </c>
      <c r="L7552" t="str">
        <f>"077520"</f>
        <v>077520</v>
      </c>
      <c r="M7552" t="str">
        <f>"74385"</f>
        <v>74385</v>
      </c>
      <c r="N7552" t="s">
        <v>1812</v>
      </c>
      <c r="O7552">
        <v>327.96</v>
      </c>
      <c r="P7552">
        <v>20190725</v>
      </c>
      <c r="Q7552" t="s">
        <v>1839</v>
      </c>
      <c r="R7552" t="s">
        <v>5348</v>
      </c>
      <c r="S7552" t="s">
        <v>1615</v>
      </c>
      <c r="T7552" t="s">
        <v>1841</v>
      </c>
    </row>
    <row r="7553" spans="1:20" x14ac:dyDescent="0.25">
      <c r="A7553">
        <v>9</v>
      </c>
      <c r="B7553">
        <v>199</v>
      </c>
      <c r="C7553" t="str">
        <f>"31"</f>
        <v>31</v>
      </c>
      <c r="D7553">
        <v>6498</v>
      </c>
      <c r="E7553" t="str">
        <f>"00"</f>
        <v>00</v>
      </c>
      <c r="F7553" t="str">
        <f>"875"</f>
        <v>875</v>
      </c>
      <c r="G7553">
        <v>9</v>
      </c>
      <c r="H7553" t="str">
        <f>"23"</f>
        <v>23</v>
      </c>
      <c r="I7553" t="str">
        <f t="shared" si="1688"/>
        <v>0</v>
      </c>
      <c r="J7553" t="str">
        <f>"23"</f>
        <v>23</v>
      </c>
      <c r="K7553">
        <v>20190726</v>
      </c>
      <c r="L7553" t="str">
        <f>"077521"</f>
        <v>077521</v>
      </c>
      <c r="M7553" t="str">
        <f>"77069"</f>
        <v>77069</v>
      </c>
      <c r="N7553" t="s">
        <v>5929</v>
      </c>
      <c r="O7553">
        <v>320</v>
      </c>
      <c r="P7553">
        <v>20190725</v>
      </c>
      <c r="Q7553" t="s">
        <v>4045</v>
      </c>
      <c r="R7553" t="s">
        <v>5820</v>
      </c>
      <c r="S7553" t="s">
        <v>1615</v>
      </c>
      <c r="T7553" t="s">
        <v>2041</v>
      </c>
    </row>
    <row r="7554" spans="1:20" x14ac:dyDescent="0.25">
      <c r="A7554">
        <v>9</v>
      </c>
      <c r="B7554">
        <v>199</v>
      </c>
      <c r="C7554" t="str">
        <f t="shared" ref="C7554:C7568" si="1690">"11"</f>
        <v>11</v>
      </c>
      <c r="D7554">
        <v>6395</v>
      </c>
      <c r="E7554" t="str">
        <f t="shared" ref="E7554:E7567" si="1691">"10"</f>
        <v>10</v>
      </c>
      <c r="F7554" t="str">
        <f t="shared" ref="F7554:F7565" si="1692">"001"</f>
        <v>001</v>
      </c>
      <c r="G7554">
        <v>9</v>
      </c>
      <c r="H7554" t="str">
        <f t="shared" ref="H7554:H7568" si="1693">"11"</f>
        <v>11</v>
      </c>
      <c r="I7554" t="str">
        <f t="shared" si="1688"/>
        <v>0</v>
      </c>
      <c r="J7554" t="str">
        <f t="shared" ref="J7554:J7565" si="1694">"01"</f>
        <v>01</v>
      </c>
      <c r="K7554">
        <v>20190726</v>
      </c>
      <c r="L7554" t="str">
        <f t="shared" ref="L7554:L7574" si="1695">"077522"</f>
        <v>077522</v>
      </c>
      <c r="M7554" t="str">
        <f t="shared" ref="M7554:M7574" si="1696">"81303"</f>
        <v>81303</v>
      </c>
      <c r="N7554" t="s">
        <v>66</v>
      </c>
      <c r="O7554">
        <v>82.5</v>
      </c>
      <c r="P7554">
        <v>20190725</v>
      </c>
      <c r="Q7554" t="s">
        <v>1929</v>
      </c>
      <c r="R7554" t="s">
        <v>5930</v>
      </c>
      <c r="S7554" t="s">
        <v>1615</v>
      </c>
      <c r="T7554" t="s">
        <v>301</v>
      </c>
    </row>
    <row r="7555" spans="1:20" x14ac:dyDescent="0.25">
      <c r="A7555">
        <v>9</v>
      </c>
      <c r="B7555">
        <v>199</v>
      </c>
      <c r="C7555" t="str">
        <f t="shared" si="1690"/>
        <v>11</v>
      </c>
      <c r="D7555">
        <v>6395</v>
      </c>
      <c r="E7555" t="str">
        <f t="shared" si="1691"/>
        <v>10</v>
      </c>
      <c r="F7555" t="str">
        <f t="shared" si="1692"/>
        <v>001</v>
      </c>
      <c r="G7555">
        <v>9</v>
      </c>
      <c r="H7555" t="str">
        <f t="shared" si="1693"/>
        <v>11</v>
      </c>
      <c r="I7555" t="str">
        <f t="shared" si="1688"/>
        <v>0</v>
      </c>
      <c r="J7555" t="str">
        <f t="shared" si="1694"/>
        <v>01</v>
      </c>
      <c r="K7555">
        <v>20190726</v>
      </c>
      <c r="L7555" t="str">
        <f t="shared" si="1695"/>
        <v>077522</v>
      </c>
      <c r="M7555" t="str">
        <f t="shared" si="1696"/>
        <v>81303</v>
      </c>
      <c r="N7555" t="s">
        <v>66</v>
      </c>
      <c r="O7555" s="1">
        <v>1891.5</v>
      </c>
      <c r="P7555">
        <v>20190725</v>
      </c>
      <c r="Q7555" t="s">
        <v>1929</v>
      </c>
      <c r="R7555" t="s">
        <v>5044</v>
      </c>
      <c r="S7555" t="s">
        <v>1615</v>
      </c>
      <c r="T7555" t="s">
        <v>301</v>
      </c>
    </row>
    <row r="7556" spans="1:20" x14ac:dyDescent="0.25">
      <c r="A7556">
        <v>9</v>
      </c>
      <c r="B7556">
        <v>199</v>
      </c>
      <c r="C7556" t="str">
        <f t="shared" si="1690"/>
        <v>11</v>
      </c>
      <c r="D7556">
        <v>6395</v>
      </c>
      <c r="E7556" t="str">
        <f t="shared" si="1691"/>
        <v>10</v>
      </c>
      <c r="F7556" t="str">
        <f t="shared" si="1692"/>
        <v>001</v>
      </c>
      <c r="G7556">
        <v>9</v>
      </c>
      <c r="H7556" t="str">
        <f t="shared" si="1693"/>
        <v>11</v>
      </c>
      <c r="I7556" t="str">
        <f t="shared" si="1688"/>
        <v>0</v>
      </c>
      <c r="J7556" t="str">
        <f t="shared" si="1694"/>
        <v>01</v>
      </c>
      <c r="K7556">
        <v>20190726</v>
      </c>
      <c r="L7556" t="str">
        <f t="shared" si="1695"/>
        <v>077522</v>
      </c>
      <c r="M7556" t="str">
        <f t="shared" si="1696"/>
        <v>81303</v>
      </c>
      <c r="N7556" t="s">
        <v>66</v>
      </c>
      <c r="O7556">
        <v>246</v>
      </c>
      <c r="P7556">
        <v>20190725</v>
      </c>
      <c r="Q7556" t="s">
        <v>1929</v>
      </c>
      <c r="R7556" t="s">
        <v>5931</v>
      </c>
      <c r="S7556" t="s">
        <v>1615</v>
      </c>
      <c r="T7556" t="s">
        <v>301</v>
      </c>
    </row>
    <row r="7557" spans="1:20" x14ac:dyDescent="0.25">
      <c r="A7557">
        <v>9</v>
      </c>
      <c r="B7557">
        <v>199</v>
      </c>
      <c r="C7557" t="str">
        <f t="shared" si="1690"/>
        <v>11</v>
      </c>
      <c r="D7557">
        <v>6395</v>
      </c>
      <c r="E7557" t="str">
        <f t="shared" si="1691"/>
        <v>10</v>
      </c>
      <c r="F7557" t="str">
        <f t="shared" si="1692"/>
        <v>001</v>
      </c>
      <c r="G7557">
        <v>9</v>
      </c>
      <c r="H7557" t="str">
        <f t="shared" si="1693"/>
        <v>11</v>
      </c>
      <c r="I7557" t="str">
        <f t="shared" si="1688"/>
        <v>0</v>
      </c>
      <c r="J7557" t="str">
        <f t="shared" si="1694"/>
        <v>01</v>
      </c>
      <c r="K7557">
        <v>20190726</v>
      </c>
      <c r="L7557" t="str">
        <f t="shared" si="1695"/>
        <v>077522</v>
      </c>
      <c r="M7557" t="str">
        <f t="shared" si="1696"/>
        <v>81303</v>
      </c>
      <c r="N7557" t="s">
        <v>66</v>
      </c>
      <c r="O7557" s="1">
        <v>1100</v>
      </c>
      <c r="P7557">
        <v>20190725</v>
      </c>
      <c r="Q7557" t="s">
        <v>1929</v>
      </c>
      <c r="R7557" t="s">
        <v>5932</v>
      </c>
      <c r="S7557" t="s">
        <v>1615</v>
      </c>
      <c r="T7557" t="s">
        <v>301</v>
      </c>
    </row>
    <row r="7558" spans="1:20" x14ac:dyDescent="0.25">
      <c r="A7558">
        <v>9</v>
      </c>
      <c r="B7558">
        <v>199</v>
      </c>
      <c r="C7558" t="str">
        <f t="shared" si="1690"/>
        <v>11</v>
      </c>
      <c r="D7558">
        <v>6395</v>
      </c>
      <c r="E7558" t="str">
        <f t="shared" si="1691"/>
        <v>10</v>
      </c>
      <c r="F7558" t="str">
        <f t="shared" si="1692"/>
        <v>001</v>
      </c>
      <c r="G7558">
        <v>9</v>
      </c>
      <c r="H7558" t="str">
        <f t="shared" si="1693"/>
        <v>11</v>
      </c>
      <c r="I7558" t="str">
        <f t="shared" si="1688"/>
        <v>0</v>
      </c>
      <c r="J7558" t="str">
        <f t="shared" si="1694"/>
        <v>01</v>
      </c>
      <c r="K7558">
        <v>20190726</v>
      </c>
      <c r="L7558" t="str">
        <f t="shared" si="1695"/>
        <v>077522</v>
      </c>
      <c r="M7558" t="str">
        <f t="shared" si="1696"/>
        <v>81303</v>
      </c>
      <c r="N7558" t="s">
        <v>66</v>
      </c>
      <c r="O7558">
        <v>78</v>
      </c>
      <c r="P7558">
        <v>20190725</v>
      </c>
      <c r="Q7558" t="s">
        <v>1929</v>
      </c>
      <c r="R7558" t="s">
        <v>5933</v>
      </c>
      <c r="S7558" t="s">
        <v>1615</v>
      </c>
      <c r="T7558" t="s">
        <v>301</v>
      </c>
    </row>
    <row r="7559" spans="1:20" x14ac:dyDescent="0.25">
      <c r="A7559">
        <v>9</v>
      </c>
      <c r="B7559">
        <v>199</v>
      </c>
      <c r="C7559" t="str">
        <f t="shared" si="1690"/>
        <v>11</v>
      </c>
      <c r="D7559">
        <v>6395</v>
      </c>
      <c r="E7559" t="str">
        <f t="shared" si="1691"/>
        <v>10</v>
      </c>
      <c r="F7559" t="str">
        <f t="shared" si="1692"/>
        <v>001</v>
      </c>
      <c r="G7559">
        <v>9</v>
      </c>
      <c r="H7559" t="str">
        <f t="shared" si="1693"/>
        <v>11</v>
      </c>
      <c r="I7559" t="str">
        <f t="shared" si="1688"/>
        <v>0</v>
      </c>
      <c r="J7559" t="str">
        <f t="shared" si="1694"/>
        <v>01</v>
      </c>
      <c r="K7559">
        <v>20190726</v>
      </c>
      <c r="L7559" t="str">
        <f t="shared" si="1695"/>
        <v>077522</v>
      </c>
      <c r="M7559" t="str">
        <f t="shared" si="1696"/>
        <v>81303</v>
      </c>
      <c r="N7559" t="s">
        <v>66</v>
      </c>
      <c r="O7559">
        <v>19.5</v>
      </c>
      <c r="P7559">
        <v>20190725</v>
      </c>
      <c r="Q7559" t="s">
        <v>1929</v>
      </c>
      <c r="R7559" t="s">
        <v>5934</v>
      </c>
      <c r="S7559" t="s">
        <v>1615</v>
      </c>
      <c r="T7559" t="s">
        <v>301</v>
      </c>
    </row>
    <row r="7560" spans="1:20" x14ac:dyDescent="0.25">
      <c r="A7560">
        <v>9</v>
      </c>
      <c r="B7560">
        <v>199</v>
      </c>
      <c r="C7560" t="str">
        <f t="shared" si="1690"/>
        <v>11</v>
      </c>
      <c r="D7560">
        <v>6395</v>
      </c>
      <c r="E7560" t="str">
        <f t="shared" si="1691"/>
        <v>10</v>
      </c>
      <c r="F7560" t="str">
        <f t="shared" si="1692"/>
        <v>001</v>
      </c>
      <c r="G7560">
        <v>9</v>
      </c>
      <c r="H7560" t="str">
        <f t="shared" si="1693"/>
        <v>11</v>
      </c>
      <c r="I7560" t="str">
        <f t="shared" si="1688"/>
        <v>0</v>
      </c>
      <c r="J7560" t="str">
        <f t="shared" si="1694"/>
        <v>01</v>
      </c>
      <c r="K7560">
        <v>20190726</v>
      </c>
      <c r="L7560" t="str">
        <f t="shared" si="1695"/>
        <v>077522</v>
      </c>
      <c r="M7560" t="str">
        <f t="shared" si="1696"/>
        <v>81303</v>
      </c>
      <c r="N7560" t="s">
        <v>66</v>
      </c>
      <c r="O7560">
        <v>234</v>
      </c>
      <c r="P7560">
        <v>20190725</v>
      </c>
      <c r="Q7560" t="s">
        <v>1929</v>
      </c>
      <c r="R7560" t="s">
        <v>5935</v>
      </c>
      <c r="S7560" t="s">
        <v>1615</v>
      </c>
      <c r="T7560" t="s">
        <v>301</v>
      </c>
    </row>
    <row r="7561" spans="1:20" x14ac:dyDescent="0.25">
      <c r="A7561">
        <v>9</v>
      </c>
      <c r="B7561">
        <v>199</v>
      </c>
      <c r="C7561" t="str">
        <f t="shared" si="1690"/>
        <v>11</v>
      </c>
      <c r="D7561">
        <v>6395</v>
      </c>
      <c r="E7561" t="str">
        <f t="shared" si="1691"/>
        <v>10</v>
      </c>
      <c r="F7561" t="str">
        <f t="shared" si="1692"/>
        <v>001</v>
      </c>
      <c r="G7561">
        <v>9</v>
      </c>
      <c r="H7561" t="str">
        <f t="shared" si="1693"/>
        <v>11</v>
      </c>
      <c r="I7561" t="str">
        <f t="shared" si="1688"/>
        <v>0</v>
      </c>
      <c r="J7561" t="str">
        <f t="shared" si="1694"/>
        <v>01</v>
      </c>
      <c r="K7561">
        <v>20190726</v>
      </c>
      <c r="L7561" t="str">
        <f t="shared" si="1695"/>
        <v>077522</v>
      </c>
      <c r="M7561" t="str">
        <f t="shared" si="1696"/>
        <v>81303</v>
      </c>
      <c r="N7561" t="s">
        <v>66</v>
      </c>
      <c r="O7561">
        <v>125</v>
      </c>
      <c r="P7561">
        <v>20190725</v>
      </c>
      <c r="Q7561" t="s">
        <v>1929</v>
      </c>
      <c r="R7561" t="s">
        <v>5936</v>
      </c>
      <c r="S7561" t="s">
        <v>1615</v>
      </c>
      <c r="T7561" t="s">
        <v>301</v>
      </c>
    </row>
    <row r="7562" spans="1:20" x14ac:dyDescent="0.25">
      <c r="A7562">
        <v>9</v>
      </c>
      <c r="B7562">
        <v>199</v>
      </c>
      <c r="C7562" t="str">
        <f t="shared" si="1690"/>
        <v>11</v>
      </c>
      <c r="D7562">
        <v>6395</v>
      </c>
      <c r="E7562" t="str">
        <f t="shared" si="1691"/>
        <v>10</v>
      </c>
      <c r="F7562" t="str">
        <f t="shared" si="1692"/>
        <v>001</v>
      </c>
      <c r="G7562">
        <v>9</v>
      </c>
      <c r="H7562" t="str">
        <f t="shared" si="1693"/>
        <v>11</v>
      </c>
      <c r="I7562" t="str">
        <f t="shared" si="1688"/>
        <v>0</v>
      </c>
      <c r="J7562" t="str">
        <f t="shared" si="1694"/>
        <v>01</v>
      </c>
      <c r="K7562">
        <v>20190726</v>
      </c>
      <c r="L7562" t="str">
        <f t="shared" si="1695"/>
        <v>077522</v>
      </c>
      <c r="M7562" t="str">
        <f t="shared" si="1696"/>
        <v>81303</v>
      </c>
      <c r="N7562" t="s">
        <v>66</v>
      </c>
      <c r="O7562">
        <v>540</v>
      </c>
      <c r="P7562">
        <v>20190725</v>
      </c>
      <c r="Q7562" t="s">
        <v>1929</v>
      </c>
      <c r="R7562" t="s">
        <v>5937</v>
      </c>
      <c r="S7562" t="s">
        <v>1615</v>
      </c>
      <c r="T7562" t="s">
        <v>301</v>
      </c>
    </row>
    <row r="7563" spans="1:20" x14ac:dyDescent="0.25">
      <c r="A7563">
        <v>9</v>
      </c>
      <c r="B7563">
        <v>199</v>
      </c>
      <c r="C7563" t="str">
        <f t="shared" si="1690"/>
        <v>11</v>
      </c>
      <c r="D7563">
        <v>6395</v>
      </c>
      <c r="E7563" t="str">
        <f t="shared" si="1691"/>
        <v>10</v>
      </c>
      <c r="F7563" t="str">
        <f t="shared" si="1692"/>
        <v>001</v>
      </c>
      <c r="G7563">
        <v>9</v>
      </c>
      <c r="H7563" t="str">
        <f t="shared" si="1693"/>
        <v>11</v>
      </c>
      <c r="I7563" t="str">
        <f t="shared" si="1688"/>
        <v>0</v>
      </c>
      <c r="J7563" t="str">
        <f t="shared" si="1694"/>
        <v>01</v>
      </c>
      <c r="K7563">
        <v>20190726</v>
      </c>
      <c r="L7563" t="str">
        <f t="shared" si="1695"/>
        <v>077522</v>
      </c>
      <c r="M7563" t="str">
        <f t="shared" si="1696"/>
        <v>81303</v>
      </c>
      <c r="N7563" t="s">
        <v>66</v>
      </c>
      <c r="O7563">
        <v>286</v>
      </c>
      <c r="P7563">
        <v>20190725</v>
      </c>
      <c r="Q7563" t="s">
        <v>1929</v>
      </c>
      <c r="R7563" t="s">
        <v>5938</v>
      </c>
      <c r="S7563" t="s">
        <v>1615</v>
      </c>
      <c r="T7563" t="s">
        <v>301</v>
      </c>
    </row>
    <row r="7564" spans="1:20" x14ac:dyDescent="0.25">
      <c r="A7564">
        <v>9</v>
      </c>
      <c r="B7564">
        <v>199</v>
      </c>
      <c r="C7564" t="str">
        <f t="shared" si="1690"/>
        <v>11</v>
      </c>
      <c r="D7564">
        <v>6395</v>
      </c>
      <c r="E7564" t="str">
        <f t="shared" si="1691"/>
        <v>10</v>
      </c>
      <c r="F7564" t="str">
        <f t="shared" si="1692"/>
        <v>001</v>
      </c>
      <c r="G7564">
        <v>9</v>
      </c>
      <c r="H7564" t="str">
        <f t="shared" si="1693"/>
        <v>11</v>
      </c>
      <c r="I7564" t="str">
        <f t="shared" si="1688"/>
        <v>0</v>
      </c>
      <c r="J7564" t="str">
        <f t="shared" si="1694"/>
        <v>01</v>
      </c>
      <c r="K7564">
        <v>20190726</v>
      </c>
      <c r="L7564" t="str">
        <f t="shared" si="1695"/>
        <v>077522</v>
      </c>
      <c r="M7564" t="str">
        <f t="shared" si="1696"/>
        <v>81303</v>
      </c>
      <c r="N7564" t="s">
        <v>66</v>
      </c>
      <c r="O7564">
        <v>44</v>
      </c>
      <c r="P7564">
        <v>20190725</v>
      </c>
      <c r="Q7564" t="s">
        <v>1929</v>
      </c>
      <c r="R7564" t="s">
        <v>4302</v>
      </c>
      <c r="S7564" t="s">
        <v>1615</v>
      </c>
      <c r="T7564" t="s">
        <v>301</v>
      </c>
    </row>
    <row r="7565" spans="1:20" x14ac:dyDescent="0.25">
      <c r="A7565">
        <v>9</v>
      </c>
      <c r="B7565">
        <v>199</v>
      </c>
      <c r="C7565" t="str">
        <f t="shared" si="1690"/>
        <v>11</v>
      </c>
      <c r="D7565">
        <v>6395</v>
      </c>
      <c r="E7565" t="str">
        <f t="shared" si="1691"/>
        <v>10</v>
      </c>
      <c r="F7565" t="str">
        <f t="shared" si="1692"/>
        <v>001</v>
      </c>
      <c r="G7565">
        <v>9</v>
      </c>
      <c r="H7565" t="str">
        <f t="shared" si="1693"/>
        <v>11</v>
      </c>
      <c r="I7565" t="str">
        <f t="shared" si="1688"/>
        <v>0</v>
      </c>
      <c r="J7565" t="str">
        <f t="shared" si="1694"/>
        <v>01</v>
      </c>
      <c r="K7565">
        <v>20190726</v>
      </c>
      <c r="L7565" t="str">
        <f t="shared" si="1695"/>
        <v>077522</v>
      </c>
      <c r="M7565" t="str">
        <f t="shared" si="1696"/>
        <v>81303</v>
      </c>
      <c r="N7565" t="s">
        <v>66</v>
      </c>
      <c r="O7565">
        <v>35.5</v>
      </c>
      <c r="P7565">
        <v>20190725</v>
      </c>
      <c r="Q7565" t="s">
        <v>1929</v>
      </c>
      <c r="R7565" t="s">
        <v>5939</v>
      </c>
      <c r="S7565" t="s">
        <v>1615</v>
      </c>
      <c r="T7565" t="s">
        <v>301</v>
      </c>
    </row>
    <row r="7566" spans="1:20" x14ac:dyDescent="0.25">
      <c r="A7566">
        <v>9</v>
      </c>
      <c r="B7566">
        <v>199</v>
      </c>
      <c r="C7566" t="str">
        <f t="shared" si="1690"/>
        <v>11</v>
      </c>
      <c r="D7566">
        <v>6395</v>
      </c>
      <c r="E7566" t="str">
        <f t="shared" si="1691"/>
        <v>10</v>
      </c>
      <c r="F7566" t="str">
        <f>"041"</f>
        <v>041</v>
      </c>
      <c r="G7566">
        <v>9</v>
      </c>
      <c r="H7566" t="str">
        <f t="shared" si="1693"/>
        <v>11</v>
      </c>
      <c r="I7566" t="str">
        <f t="shared" si="1688"/>
        <v>0</v>
      </c>
      <c r="J7566" t="str">
        <f>"03"</f>
        <v>03</v>
      </c>
      <c r="K7566">
        <v>20190726</v>
      </c>
      <c r="L7566" t="str">
        <f t="shared" si="1695"/>
        <v>077522</v>
      </c>
      <c r="M7566" t="str">
        <f t="shared" si="1696"/>
        <v>81303</v>
      </c>
      <c r="N7566" t="s">
        <v>66</v>
      </c>
      <c r="O7566" s="1">
        <v>1131</v>
      </c>
      <c r="P7566">
        <v>20190725</v>
      </c>
      <c r="Q7566" t="s">
        <v>2927</v>
      </c>
      <c r="R7566" t="s">
        <v>3923</v>
      </c>
      <c r="S7566" t="s">
        <v>1615</v>
      </c>
      <c r="T7566" t="s">
        <v>106</v>
      </c>
    </row>
    <row r="7567" spans="1:20" x14ac:dyDescent="0.25">
      <c r="A7567">
        <v>9</v>
      </c>
      <c r="B7567">
        <v>199</v>
      </c>
      <c r="C7567" t="str">
        <f t="shared" si="1690"/>
        <v>11</v>
      </c>
      <c r="D7567">
        <v>6395</v>
      </c>
      <c r="E7567" t="str">
        <f t="shared" si="1691"/>
        <v>10</v>
      </c>
      <c r="F7567" t="str">
        <f>"041"</f>
        <v>041</v>
      </c>
      <c r="G7567">
        <v>9</v>
      </c>
      <c r="H7567" t="str">
        <f t="shared" si="1693"/>
        <v>11</v>
      </c>
      <c r="I7567" t="str">
        <f t="shared" si="1688"/>
        <v>0</v>
      </c>
      <c r="J7567" t="str">
        <f>"03"</f>
        <v>03</v>
      </c>
      <c r="K7567">
        <v>20190726</v>
      </c>
      <c r="L7567" t="str">
        <f t="shared" si="1695"/>
        <v>077522</v>
      </c>
      <c r="M7567" t="str">
        <f t="shared" si="1696"/>
        <v>81303</v>
      </c>
      <c r="N7567" t="s">
        <v>66</v>
      </c>
      <c r="O7567">
        <v>217</v>
      </c>
      <c r="P7567">
        <v>20190725</v>
      </c>
      <c r="Q7567" t="s">
        <v>2927</v>
      </c>
      <c r="R7567" t="s">
        <v>3923</v>
      </c>
      <c r="S7567" t="s">
        <v>1615</v>
      </c>
      <c r="T7567" t="s">
        <v>106</v>
      </c>
    </row>
    <row r="7568" spans="1:20" x14ac:dyDescent="0.25">
      <c r="A7568">
        <v>9</v>
      </c>
      <c r="B7568">
        <v>199</v>
      </c>
      <c r="C7568" t="str">
        <f t="shared" si="1690"/>
        <v>11</v>
      </c>
      <c r="D7568">
        <v>6395</v>
      </c>
      <c r="E7568" t="str">
        <f>"45"</f>
        <v>45</v>
      </c>
      <c r="F7568" t="str">
        <f>"104"</f>
        <v>104</v>
      </c>
      <c r="G7568">
        <v>9</v>
      </c>
      <c r="H7568" t="str">
        <f t="shared" si="1693"/>
        <v>11</v>
      </c>
      <c r="I7568" t="str">
        <f t="shared" si="1688"/>
        <v>0</v>
      </c>
      <c r="J7568" t="str">
        <f>"05"</f>
        <v>05</v>
      </c>
      <c r="K7568">
        <v>20190726</v>
      </c>
      <c r="L7568" t="str">
        <f t="shared" si="1695"/>
        <v>077522</v>
      </c>
      <c r="M7568" t="str">
        <f t="shared" si="1696"/>
        <v>81303</v>
      </c>
      <c r="N7568" t="s">
        <v>66</v>
      </c>
      <c r="O7568">
        <v>166.5</v>
      </c>
      <c r="P7568">
        <v>20190725</v>
      </c>
      <c r="Q7568" t="s">
        <v>3480</v>
      </c>
      <c r="R7568" t="s">
        <v>5940</v>
      </c>
      <c r="S7568" t="s">
        <v>1615</v>
      </c>
      <c r="T7568" t="s">
        <v>46</v>
      </c>
    </row>
    <row r="7569" spans="1:20" x14ac:dyDescent="0.25">
      <c r="A7569">
        <v>9</v>
      </c>
      <c r="B7569">
        <v>199</v>
      </c>
      <c r="C7569" t="str">
        <f>"41"</f>
        <v>41</v>
      </c>
      <c r="D7569">
        <v>6395</v>
      </c>
      <c r="E7569" t="str">
        <f t="shared" ref="E7569:E7574" si="1697">"10"</f>
        <v>10</v>
      </c>
      <c r="F7569" t="str">
        <f>"701"</f>
        <v>701</v>
      </c>
      <c r="G7569">
        <v>9</v>
      </c>
      <c r="H7569" t="str">
        <f t="shared" ref="H7569:H7574" si="1698">"99"</f>
        <v>99</v>
      </c>
      <c r="I7569" t="str">
        <f t="shared" si="1688"/>
        <v>0</v>
      </c>
      <c r="J7569" t="str">
        <f>"92"</f>
        <v>92</v>
      </c>
      <c r="K7569">
        <v>20190726</v>
      </c>
      <c r="L7569" t="str">
        <f t="shared" si="1695"/>
        <v>077522</v>
      </c>
      <c r="M7569" t="str">
        <f t="shared" si="1696"/>
        <v>81303</v>
      </c>
      <c r="N7569" t="s">
        <v>66</v>
      </c>
      <c r="O7569">
        <v>41.4</v>
      </c>
      <c r="P7569">
        <v>20190725</v>
      </c>
      <c r="Q7569" t="s">
        <v>3484</v>
      </c>
      <c r="R7569" t="s">
        <v>5941</v>
      </c>
      <c r="S7569" t="s">
        <v>1615</v>
      </c>
      <c r="T7569" t="s">
        <v>1841</v>
      </c>
    </row>
    <row r="7570" spans="1:20" x14ac:dyDescent="0.25">
      <c r="A7570">
        <v>9</v>
      </c>
      <c r="B7570">
        <v>199</v>
      </c>
      <c r="C7570" t="str">
        <f>"41"</f>
        <v>41</v>
      </c>
      <c r="D7570">
        <v>6395</v>
      </c>
      <c r="E7570" t="str">
        <f t="shared" si="1697"/>
        <v>10</v>
      </c>
      <c r="F7570" t="str">
        <f>"701"</f>
        <v>701</v>
      </c>
      <c r="G7570">
        <v>9</v>
      </c>
      <c r="H7570" t="str">
        <f t="shared" si="1698"/>
        <v>99</v>
      </c>
      <c r="I7570" t="str">
        <f t="shared" si="1688"/>
        <v>0</v>
      </c>
      <c r="J7570" t="str">
        <f>"92"</f>
        <v>92</v>
      </c>
      <c r="K7570">
        <v>20190726</v>
      </c>
      <c r="L7570" t="str">
        <f t="shared" si="1695"/>
        <v>077522</v>
      </c>
      <c r="M7570" t="str">
        <f t="shared" si="1696"/>
        <v>81303</v>
      </c>
      <c r="N7570" t="s">
        <v>66</v>
      </c>
      <c r="O7570">
        <v>135</v>
      </c>
      <c r="P7570">
        <v>20190725</v>
      </c>
      <c r="Q7570" t="s">
        <v>3484</v>
      </c>
      <c r="R7570" t="s">
        <v>5942</v>
      </c>
      <c r="S7570" t="s">
        <v>1615</v>
      </c>
      <c r="T7570" t="s">
        <v>1841</v>
      </c>
    </row>
    <row r="7571" spans="1:20" x14ac:dyDescent="0.25">
      <c r="A7571">
        <v>9</v>
      </c>
      <c r="B7571">
        <v>199</v>
      </c>
      <c r="C7571" t="str">
        <f>"41"</f>
        <v>41</v>
      </c>
      <c r="D7571">
        <v>6395</v>
      </c>
      <c r="E7571" t="str">
        <f t="shared" si="1697"/>
        <v>10</v>
      </c>
      <c r="F7571" t="str">
        <f>"701"</f>
        <v>701</v>
      </c>
      <c r="G7571">
        <v>9</v>
      </c>
      <c r="H7571" t="str">
        <f t="shared" si="1698"/>
        <v>99</v>
      </c>
      <c r="I7571" t="str">
        <f t="shared" si="1688"/>
        <v>0</v>
      </c>
      <c r="J7571" t="str">
        <f>"92"</f>
        <v>92</v>
      </c>
      <c r="K7571">
        <v>20190726</v>
      </c>
      <c r="L7571" t="str">
        <f t="shared" si="1695"/>
        <v>077522</v>
      </c>
      <c r="M7571" t="str">
        <f t="shared" si="1696"/>
        <v>81303</v>
      </c>
      <c r="N7571" t="s">
        <v>66</v>
      </c>
      <c r="O7571">
        <v>70</v>
      </c>
      <c r="P7571">
        <v>20190725</v>
      </c>
      <c r="Q7571" t="s">
        <v>3484</v>
      </c>
      <c r="R7571" t="s">
        <v>5943</v>
      </c>
      <c r="S7571" t="s">
        <v>1615</v>
      </c>
      <c r="T7571" t="s">
        <v>1841</v>
      </c>
    </row>
    <row r="7572" spans="1:20" x14ac:dyDescent="0.25">
      <c r="A7572">
        <v>9</v>
      </c>
      <c r="B7572">
        <v>199</v>
      </c>
      <c r="C7572" t="str">
        <f>"41"</f>
        <v>41</v>
      </c>
      <c r="D7572">
        <v>6395</v>
      </c>
      <c r="E7572" t="str">
        <f t="shared" si="1697"/>
        <v>10</v>
      </c>
      <c r="F7572" t="str">
        <f>"702"</f>
        <v>702</v>
      </c>
      <c r="G7572">
        <v>9</v>
      </c>
      <c r="H7572" t="str">
        <f t="shared" si="1698"/>
        <v>99</v>
      </c>
      <c r="I7572" t="str">
        <f t="shared" si="1688"/>
        <v>0</v>
      </c>
      <c r="J7572" t="str">
        <f>"93"</f>
        <v>93</v>
      </c>
      <c r="K7572">
        <v>20190726</v>
      </c>
      <c r="L7572" t="str">
        <f t="shared" si="1695"/>
        <v>077522</v>
      </c>
      <c r="M7572" t="str">
        <f t="shared" si="1696"/>
        <v>81303</v>
      </c>
      <c r="N7572" t="s">
        <v>66</v>
      </c>
      <c r="O7572">
        <v>137.5</v>
      </c>
      <c r="P7572">
        <v>20190725</v>
      </c>
      <c r="Q7572" t="s">
        <v>5944</v>
      </c>
      <c r="R7572" t="s">
        <v>5943</v>
      </c>
      <c r="S7572" t="s">
        <v>1615</v>
      </c>
      <c r="T7572" t="s">
        <v>1611</v>
      </c>
    </row>
    <row r="7573" spans="1:20" x14ac:dyDescent="0.25">
      <c r="A7573">
        <v>9</v>
      </c>
      <c r="B7573">
        <v>199</v>
      </c>
      <c r="C7573" t="str">
        <f>"41"</f>
        <v>41</v>
      </c>
      <c r="D7573">
        <v>6395</v>
      </c>
      <c r="E7573" t="str">
        <f t="shared" si="1697"/>
        <v>10</v>
      </c>
      <c r="F7573" t="str">
        <f>"730"</f>
        <v>730</v>
      </c>
      <c r="G7573">
        <v>9</v>
      </c>
      <c r="H7573" t="str">
        <f t="shared" si="1698"/>
        <v>99</v>
      </c>
      <c r="I7573" t="str">
        <f t="shared" si="1688"/>
        <v>0</v>
      </c>
      <c r="J7573" t="str">
        <f>"95"</f>
        <v>95</v>
      </c>
      <c r="K7573">
        <v>20190726</v>
      </c>
      <c r="L7573" t="str">
        <f t="shared" si="1695"/>
        <v>077522</v>
      </c>
      <c r="M7573" t="str">
        <f t="shared" si="1696"/>
        <v>81303</v>
      </c>
      <c r="N7573" t="s">
        <v>66</v>
      </c>
      <c r="O7573">
        <v>126.6</v>
      </c>
      <c r="P7573">
        <v>20190725</v>
      </c>
      <c r="Q7573" t="s">
        <v>2547</v>
      </c>
      <c r="R7573" t="s">
        <v>5945</v>
      </c>
      <c r="S7573" t="s">
        <v>1615</v>
      </c>
      <c r="T7573" t="s">
        <v>1794</v>
      </c>
    </row>
    <row r="7574" spans="1:20" x14ac:dyDescent="0.25">
      <c r="A7574">
        <v>9</v>
      </c>
      <c r="B7574">
        <v>199</v>
      </c>
      <c r="C7574" t="str">
        <f>"53"</f>
        <v>53</v>
      </c>
      <c r="D7574">
        <v>6498</v>
      </c>
      <c r="E7574" t="str">
        <f t="shared" si="1697"/>
        <v>10</v>
      </c>
      <c r="F7574" t="str">
        <f>"880"</f>
        <v>880</v>
      </c>
      <c r="G7574">
        <v>9</v>
      </c>
      <c r="H7574" t="str">
        <f t="shared" si="1698"/>
        <v>99</v>
      </c>
      <c r="I7574" t="str">
        <f t="shared" si="1688"/>
        <v>0</v>
      </c>
      <c r="J7574" t="str">
        <f>"80"</f>
        <v>80</v>
      </c>
      <c r="K7574">
        <v>20190726</v>
      </c>
      <c r="L7574" t="str">
        <f t="shared" si="1695"/>
        <v>077522</v>
      </c>
      <c r="M7574" t="str">
        <f t="shared" si="1696"/>
        <v>81303</v>
      </c>
      <c r="N7574" t="s">
        <v>66</v>
      </c>
      <c r="O7574">
        <v>45</v>
      </c>
      <c r="P7574">
        <v>20190725</v>
      </c>
      <c r="Q7574" t="s">
        <v>2082</v>
      </c>
      <c r="R7574" t="s">
        <v>5946</v>
      </c>
      <c r="S7574" t="s">
        <v>1615</v>
      </c>
      <c r="T7574" t="s">
        <v>1866</v>
      </c>
    </row>
    <row r="7575" spans="1:20" x14ac:dyDescent="0.25">
      <c r="A7575">
        <v>9</v>
      </c>
      <c r="B7575">
        <v>199</v>
      </c>
      <c r="C7575" t="str">
        <f>"11"</f>
        <v>11</v>
      </c>
      <c r="D7575">
        <v>6399</v>
      </c>
      <c r="E7575" t="str">
        <f>"11"</f>
        <v>11</v>
      </c>
      <c r="F7575" t="str">
        <f>"041"</f>
        <v>041</v>
      </c>
      <c r="G7575">
        <v>9</v>
      </c>
      <c r="H7575" t="str">
        <f>"11"</f>
        <v>11</v>
      </c>
      <c r="I7575" t="str">
        <f t="shared" si="1688"/>
        <v>0</v>
      </c>
      <c r="J7575" t="str">
        <f>"03"</f>
        <v>03</v>
      </c>
      <c r="K7575">
        <v>20190726</v>
      </c>
      <c r="L7575" t="str">
        <f>"077524"</f>
        <v>077524</v>
      </c>
      <c r="M7575" t="str">
        <f>"83022"</f>
        <v>83022</v>
      </c>
      <c r="N7575" t="s">
        <v>691</v>
      </c>
      <c r="O7575">
        <v>17.88</v>
      </c>
      <c r="P7575">
        <v>20190725</v>
      </c>
      <c r="Q7575" t="s">
        <v>2941</v>
      </c>
      <c r="R7575" t="s">
        <v>2992</v>
      </c>
      <c r="S7575" t="s">
        <v>1615</v>
      </c>
      <c r="T7575" t="s">
        <v>106</v>
      </c>
    </row>
    <row r="7576" spans="1:20" x14ac:dyDescent="0.25">
      <c r="A7576">
        <v>9</v>
      </c>
      <c r="B7576">
        <v>199</v>
      </c>
      <c r="C7576" t="str">
        <f>"23"</f>
        <v>23</v>
      </c>
      <c r="D7576">
        <v>6498</v>
      </c>
      <c r="E7576" t="str">
        <f>"99"</f>
        <v>99</v>
      </c>
      <c r="F7576" t="str">
        <f>"041"</f>
        <v>041</v>
      </c>
      <c r="G7576">
        <v>9</v>
      </c>
      <c r="H7576" t="str">
        <f>"99"</f>
        <v>99</v>
      </c>
      <c r="I7576" t="str">
        <f t="shared" si="1688"/>
        <v>0</v>
      </c>
      <c r="J7576" t="str">
        <f>"03"</f>
        <v>03</v>
      </c>
      <c r="K7576">
        <v>20190726</v>
      </c>
      <c r="L7576" t="str">
        <f>"077524"</f>
        <v>077524</v>
      </c>
      <c r="M7576" t="str">
        <f>"83022"</f>
        <v>83022</v>
      </c>
      <c r="N7576" t="s">
        <v>691</v>
      </c>
      <c r="O7576">
        <v>204.29</v>
      </c>
      <c r="P7576">
        <v>20190725</v>
      </c>
      <c r="Q7576" t="s">
        <v>2140</v>
      </c>
      <c r="R7576" t="s">
        <v>2793</v>
      </c>
      <c r="S7576" t="s">
        <v>1615</v>
      </c>
      <c r="T7576" t="s">
        <v>106</v>
      </c>
    </row>
    <row r="7577" spans="1:20" x14ac:dyDescent="0.25">
      <c r="A7577">
        <v>9</v>
      </c>
      <c r="B7577">
        <v>199</v>
      </c>
      <c r="C7577" t="str">
        <f>"23"</f>
        <v>23</v>
      </c>
      <c r="D7577">
        <v>6498</v>
      </c>
      <c r="E7577" t="str">
        <f>"99"</f>
        <v>99</v>
      </c>
      <c r="F7577" t="str">
        <f>"041"</f>
        <v>041</v>
      </c>
      <c r="G7577">
        <v>9</v>
      </c>
      <c r="H7577" t="str">
        <f>"99"</f>
        <v>99</v>
      </c>
      <c r="I7577" t="str">
        <f t="shared" si="1688"/>
        <v>0</v>
      </c>
      <c r="J7577" t="str">
        <f>"03"</f>
        <v>03</v>
      </c>
      <c r="K7577">
        <v>20190726</v>
      </c>
      <c r="L7577" t="str">
        <f>"077524"</f>
        <v>077524</v>
      </c>
      <c r="M7577" t="str">
        <f>"83022"</f>
        <v>83022</v>
      </c>
      <c r="N7577" t="s">
        <v>691</v>
      </c>
      <c r="O7577">
        <v>90.7</v>
      </c>
      <c r="P7577">
        <v>20190725</v>
      </c>
      <c r="Q7577" t="s">
        <v>2140</v>
      </c>
      <c r="R7577" t="s">
        <v>2902</v>
      </c>
      <c r="S7577" t="s">
        <v>1615</v>
      </c>
      <c r="T7577" t="s">
        <v>106</v>
      </c>
    </row>
    <row r="7578" spans="1:20" x14ac:dyDescent="0.25">
      <c r="A7578">
        <v>9</v>
      </c>
      <c r="B7578">
        <v>199</v>
      </c>
      <c r="C7578" t="str">
        <f>"11"</f>
        <v>11</v>
      </c>
      <c r="D7578">
        <v>6399</v>
      </c>
      <c r="E7578" t="str">
        <f>"10"</f>
        <v>10</v>
      </c>
      <c r="F7578" t="str">
        <f>"001"</f>
        <v>001</v>
      </c>
      <c r="G7578">
        <v>9</v>
      </c>
      <c r="H7578" t="str">
        <f>"11"</f>
        <v>11</v>
      </c>
      <c r="I7578" t="str">
        <f t="shared" si="1688"/>
        <v>0</v>
      </c>
      <c r="J7578" t="str">
        <f>"01"</f>
        <v>01</v>
      </c>
      <c r="K7578">
        <v>20190802</v>
      </c>
      <c r="L7578" t="str">
        <f>"077526"</f>
        <v>077526</v>
      </c>
      <c r="M7578" t="str">
        <f>"06509"</f>
        <v>06509</v>
      </c>
      <c r="N7578" t="s">
        <v>1545</v>
      </c>
      <c r="O7578">
        <v>772</v>
      </c>
      <c r="P7578">
        <v>20190801</v>
      </c>
      <c r="Q7578" t="s">
        <v>1675</v>
      </c>
      <c r="R7578" t="s">
        <v>5947</v>
      </c>
      <c r="S7578" t="s">
        <v>1615</v>
      </c>
      <c r="T7578" t="s">
        <v>301</v>
      </c>
    </row>
    <row r="7579" spans="1:20" x14ac:dyDescent="0.25">
      <c r="A7579">
        <v>9</v>
      </c>
      <c r="B7579">
        <v>199</v>
      </c>
      <c r="C7579" t="str">
        <f>"11"</f>
        <v>11</v>
      </c>
      <c r="D7579">
        <v>6399</v>
      </c>
      <c r="E7579" t="str">
        <f>"V1"</f>
        <v>V1</v>
      </c>
      <c r="F7579" t="str">
        <f>"001"</f>
        <v>001</v>
      </c>
      <c r="G7579">
        <v>9</v>
      </c>
      <c r="H7579" t="str">
        <f>"22"</f>
        <v>22</v>
      </c>
      <c r="I7579" t="str">
        <f t="shared" si="1688"/>
        <v>0</v>
      </c>
      <c r="J7579" t="str">
        <f>"22"</f>
        <v>22</v>
      </c>
      <c r="K7579">
        <v>20190802</v>
      </c>
      <c r="L7579" t="str">
        <f>"077526"</f>
        <v>077526</v>
      </c>
      <c r="M7579" t="str">
        <f>"06509"</f>
        <v>06509</v>
      </c>
      <c r="N7579" t="s">
        <v>1545</v>
      </c>
      <c r="O7579">
        <v>350</v>
      </c>
      <c r="P7579">
        <v>20190801</v>
      </c>
      <c r="Q7579" t="s">
        <v>5437</v>
      </c>
      <c r="R7579" t="s">
        <v>5948</v>
      </c>
      <c r="S7579" t="s">
        <v>1615</v>
      </c>
      <c r="T7579" t="s">
        <v>301</v>
      </c>
    </row>
    <row r="7580" spans="1:20" x14ac:dyDescent="0.25">
      <c r="A7580">
        <v>9</v>
      </c>
      <c r="B7580">
        <v>199</v>
      </c>
      <c r="C7580" t="str">
        <f>"11"</f>
        <v>11</v>
      </c>
      <c r="D7580">
        <v>6399</v>
      </c>
      <c r="E7580" t="str">
        <f>"V1"</f>
        <v>V1</v>
      </c>
      <c r="F7580" t="str">
        <f>"001"</f>
        <v>001</v>
      </c>
      <c r="G7580">
        <v>9</v>
      </c>
      <c r="H7580" t="str">
        <f>"22"</f>
        <v>22</v>
      </c>
      <c r="I7580" t="str">
        <f t="shared" si="1688"/>
        <v>0</v>
      </c>
      <c r="J7580" t="str">
        <f>"22"</f>
        <v>22</v>
      </c>
      <c r="K7580">
        <v>20190802</v>
      </c>
      <c r="L7580" t="str">
        <f>"077526"</f>
        <v>077526</v>
      </c>
      <c r="M7580" t="str">
        <f>"06509"</f>
        <v>06509</v>
      </c>
      <c r="N7580" t="s">
        <v>1545</v>
      </c>
      <c r="O7580">
        <v>386</v>
      </c>
      <c r="P7580">
        <v>20190801</v>
      </c>
      <c r="Q7580" t="s">
        <v>5437</v>
      </c>
      <c r="R7580" t="s">
        <v>5947</v>
      </c>
      <c r="S7580" t="s">
        <v>1615</v>
      </c>
      <c r="T7580" t="s">
        <v>301</v>
      </c>
    </row>
    <row r="7581" spans="1:20" x14ac:dyDescent="0.25">
      <c r="A7581">
        <v>9</v>
      </c>
      <c r="B7581">
        <v>199</v>
      </c>
      <c r="C7581" t="str">
        <f>"11"</f>
        <v>11</v>
      </c>
      <c r="D7581">
        <v>6399</v>
      </c>
      <c r="E7581" t="str">
        <f>"V1"</f>
        <v>V1</v>
      </c>
      <c r="F7581" t="str">
        <f>"001"</f>
        <v>001</v>
      </c>
      <c r="G7581">
        <v>9</v>
      </c>
      <c r="H7581" t="str">
        <f>"22"</f>
        <v>22</v>
      </c>
      <c r="I7581" t="str">
        <f t="shared" si="1688"/>
        <v>0</v>
      </c>
      <c r="J7581" t="str">
        <f>"22"</f>
        <v>22</v>
      </c>
      <c r="K7581">
        <v>20190802</v>
      </c>
      <c r="L7581" t="str">
        <f>"077526"</f>
        <v>077526</v>
      </c>
      <c r="M7581" t="str">
        <f>"06509"</f>
        <v>06509</v>
      </c>
      <c r="N7581" t="s">
        <v>1545</v>
      </c>
      <c r="O7581">
        <v>193</v>
      </c>
      <c r="P7581">
        <v>20190801</v>
      </c>
      <c r="Q7581" t="s">
        <v>5437</v>
      </c>
      <c r="R7581" t="s">
        <v>5947</v>
      </c>
      <c r="S7581" t="s">
        <v>1615</v>
      </c>
      <c r="T7581" t="s">
        <v>301</v>
      </c>
    </row>
    <row r="7582" spans="1:20" x14ac:dyDescent="0.25">
      <c r="A7582">
        <v>9</v>
      </c>
      <c r="B7582">
        <v>199</v>
      </c>
      <c r="C7582" t="str">
        <f>"11"</f>
        <v>11</v>
      </c>
      <c r="D7582">
        <v>6649</v>
      </c>
      <c r="E7582" t="str">
        <f>"10"</f>
        <v>10</v>
      </c>
      <c r="F7582" t="str">
        <f>"041"</f>
        <v>041</v>
      </c>
      <c r="G7582">
        <v>9</v>
      </c>
      <c r="H7582" t="str">
        <f>"11"</f>
        <v>11</v>
      </c>
      <c r="I7582" t="str">
        <f t="shared" si="1688"/>
        <v>0</v>
      </c>
      <c r="J7582" t="str">
        <f>"80"</f>
        <v>80</v>
      </c>
      <c r="K7582">
        <v>20190802</v>
      </c>
      <c r="L7582" t="str">
        <f>"077526"</f>
        <v>077526</v>
      </c>
      <c r="M7582" t="str">
        <f>"06509"</f>
        <v>06509</v>
      </c>
      <c r="N7582" t="s">
        <v>1545</v>
      </c>
      <c r="O7582">
        <v>735</v>
      </c>
      <c r="P7582">
        <v>20190801</v>
      </c>
      <c r="Q7582" t="s">
        <v>4237</v>
      </c>
      <c r="R7582" t="s">
        <v>5949</v>
      </c>
      <c r="S7582" t="s">
        <v>1615</v>
      </c>
      <c r="T7582" t="s">
        <v>106</v>
      </c>
    </row>
    <row r="7583" spans="1:20" x14ac:dyDescent="0.25">
      <c r="A7583">
        <v>9</v>
      </c>
      <c r="B7583">
        <v>199</v>
      </c>
      <c r="C7583" t="str">
        <f>"51"</f>
        <v>51</v>
      </c>
      <c r="D7583">
        <v>6256</v>
      </c>
      <c r="E7583" t="str">
        <f>"10"</f>
        <v>10</v>
      </c>
      <c r="F7583" t="str">
        <f>"880"</f>
        <v>880</v>
      </c>
      <c r="G7583">
        <v>9</v>
      </c>
      <c r="H7583" t="str">
        <f>"99"</f>
        <v>99</v>
      </c>
      <c r="I7583" t="str">
        <f t="shared" si="1688"/>
        <v>0</v>
      </c>
      <c r="J7583" t="str">
        <f>"80"</f>
        <v>80</v>
      </c>
      <c r="K7583">
        <v>20190802</v>
      </c>
      <c r="L7583" t="str">
        <f>"077527"</f>
        <v>077527</v>
      </c>
      <c r="M7583" t="str">
        <f>"00390"</f>
        <v>00390</v>
      </c>
      <c r="N7583" t="s">
        <v>1869</v>
      </c>
      <c r="O7583">
        <v>88.38</v>
      </c>
      <c r="P7583">
        <v>20190801</v>
      </c>
      <c r="Q7583" t="s">
        <v>1870</v>
      </c>
      <c r="R7583" t="s">
        <v>5950</v>
      </c>
      <c r="S7583" t="s">
        <v>1615</v>
      </c>
      <c r="T7583" t="s">
        <v>1866</v>
      </c>
    </row>
    <row r="7584" spans="1:20" x14ac:dyDescent="0.25">
      <c r="A7584">
        <v>9</v>
      </c>
      <c r="B7584">
        <v>199</v>
      </c>
      <c r="C7584" t="str">
        <f>"51"</f>
        <v>51</v>
      </c>
      <c r="D7584">
        <v>6256</v>
      </c>
      <c r="E7584" t="str">
        <f>"10"</f>
        <v>10</v>
      </c>
      <c r="F7584" t="str">
        <f>"880"</f>
        <v>880</v>
      </c>
      <c r="G7584">
        <v>9</v>
      </c>
      <c r="H7584" t="str">
        <f>"99"</f>
        <v>99</v>
      </c>
      <c r="I7584" t="str">
        <f t="shared" si="1688"/>
        <v>0</v>
      </c>
      <c r="J7584" t="str">
        <f>"80"</f>
        <v>80</v>
      </c>
      <c r="K7584">
        <v>20190802</v>
      </c>
      <c r="L7584" t="str">
        <f>"077527"</f>
        <v>077527</v>
      </c>
      <c r="M7584" t="str">
        <f>"00390"</f>
        <v>00390</v>
      </c>
      <c r="N7584" t="s">
        <v>1869</v>
      </c>
      <c r="O7584" s="1">
        <v>4427.97</v>
      </c>
      <c r="P7584">
        <v>20190801</v>
      </c>
      <c r="Q7584" t="s">
        <v>1870</v>
      </c>
      <c r="R7584" t="s">
        <v>5950</v>
      </c>
      <c r="S7584" t="s">
        <v>1615</v>
      </c>
      <c r="T7584" t="s">
        <v>1866</v>
      </c>
    </row>
    <row r="7585" spans="1:20" x14ac:dyDescent="0.25">
      <c r="A7585">
        <v>9</v>
      </c>
      <c r="B7585">
        <v>199</v>
      </c>
      <c r="C7585" t="str">
        <f>"51"</f>
        <v>51</v>
      </c>
      <c r="D7585">
        <v>6256</v>
      </c>
      <c r="E7585" t="str">
        <f>"11"</f>
        <v>11</v>
      </c>
      <c r="F7585" t="str">
        <f>"880"</f>
        <v>880</v>
      </c>
      <c r="G7585">
        <v>9</v>
      </c>
      <c r="H7585" t="str">
        <f>"99"</f>
        <v>99</v>
      </c>
      <c r="I7585" t="str">
        <f t="shared" si="1688"/>
        <v>0</v>
      </c>
      <c r="J7585" t="str">
        <f>"80"</f>
        <v>80</v>
      </c>
      <c r="K7585">
        <v>20190802</v>
      </c>
      <c r="L7585" t="str">
        <f>"077528"</f>
        <v>077528</v>
      </c>
      <c r="M7585" t="str">
        <f>"00392"</f>
        <v>00392</v>
      </c>
      <c r="N7585" t="s">
        <v>1869</v>
      </c>
      <c r="O7585">
        <v>48.54</v>
      </c>
      <c r="P7585">
        <v>20190801</v>
      </c>
      <c r="Q7585" t="s">
        <v>1871</v>
      </c>
      <c r="R7585" t="s">
        <v>5950</v>
      </c>
      <c r="S7585" t="s">
        <v>1615</v>
      </c>
      <c r="T7585" t="s">
        <v>1866</v>
      </c>
    </row>
    <row r="7586" spans="1:20" x14ac:dyDescent="0.25">
      <c r="A7586">
        <v>9</v>
      </c>
      <c r="B7586">
        <v>199</v>
      </c>
      <c r="C7586" t="str">
        <f>"11"</f>
        <v>11</v>
      </c>
      <c r="D7586">
        <v>6639</v>
      </c>
      <c r="E7586" t="str">
        <f>"NL"</f>
        <v>NL</v>
      </c>
      <c r="F7586" t="str">
        <f>"001"</f>
        <v>001</v>
      </c>
      <c r="G7586">
        <v>9</v>
      </c>
      <c r="H7586" t="str">
        <f>"22"</f>
        <v>22</v>
      </c>
      <c r="I7586" t="str">
        <f>"1"</f>
        <v>1</v>
      </c>
      <c r="J7586" t="str">
        <f>"22"</f>
        <v>22</v>
      </c>
      <c r="K7586">
        <v>20190802</v>
      </c>
      <c r="L7586" t="str">
        <f>"077529"</f>
        <v>077529</v>
      </c>
      <c r="M7586" t="str">
        <f>"10024"</f>
        <v>10024</v>
      </c>
      <c r="N7586" t="s">
        <v>5951</v>
      </c>
      <c r="O7586" s="1">
        <v>21070</v>
      </c>
      <c r="P7586">
        <v>20190801</v>
      </c>
      <c r="Q7586" t="s">
        <v>5881</v>
      </c>
      <c r="R7586" t="s">
        <v>5952</v>
      </c>
      <c r="S7586" t="s">
        <v>1615</v>
      </c>
      <c r="T7586" t="s">
        <v>301</v>
      </c>
    </row>
    <row r="7587" spans="1:20" x14ac:dyDescent="0.25">
      <c r="A7587">
        <v>9</v>
      </c>
      <c r="B7587">
        <v>199</v>
      </c>
      <c r="C7587" t="str">
        <f>"71"</f>
        <v>71</v>
      </c>
      <c r="D7587">
        <v>6523</v>
      </c>
      <c r="E7587" t="str">
        <f>"14"</f>
        <v>14</v>
      </c>
      <c r="F7587" t="str">
        <f>"999"</f>
        <v>999</v>
      </c>
      <c r="G7587">
        <v>9</v>
      </c>
      <c r="H7587" t="str">
        <f>"99"</f>
        <v>99</v>
      </c>
      <c r="I7587" t="str">
        <f t="shared" ref="I7587:I7605" si="1699">"0"</f>
        <v>0</v>
      </c>
      <c r="J7587" t="str">
        <f>"75"</f>
        <v>75</v>
      </c>
      <c r="K7587">
        <v>20190802</v>
      </c>
      <c r="L7587" t="str">
        <f>"077530"</f>
        <v>077530</v>
      </c>
      <c r="M7587" t="str">
        <f>"12348"</f>
        <v>12348</v>
      </c>
      <c r="N7587" t="s">
        <v>3619</v>
      </c>
      <c r="O7587" s="1">
        <v>14333.55</v>
      </c>
      <c r="P7587">
        <v>20190801</v>
      </c>
      <c r="Q7587" t="s">
        <v>3623</v>
      </c>
      <c r="R7587" t="s">
        <v>3621</v>
      </c>
      <c r="S7587" t="s">
        <v>1615</v>
      </c>
      <c r="T7587" t="s">
        <v>3622</v>
      </c>
    </row>
    <row r="7588" spans="1:20" x14ac:dyDescent="0.25">
      <c r="A7588">
        <v>9</v>
      </c>
      <c r="B7588">
        <v>199</v>
      </c>
      <c r="C7588" t="str">
        <f>"11"</f>
        <v>11</v>
      </c>
      <c r="D7588">
        <v>6249</v>
      </c>
      <c r="E7588" t="str">
        <f>"VH"</f>
        <v>VH</v>
      </c>
      <c r="F7588" t="str">
        <f>"001"</f>
        <v>001</v>
      </c>
      <c r="G7588">
        <v>9</v>
      </c>
      <c r="H7588" t="str">
        <f>"22"</f>
        <v>22</v>
      </c>
      <c r="I7588" t="str">
        <f t="shared" si="1699"/>
        <v>0</v>
      </c>
      <c r="J7588" t="str">
        <f>"22"</f>
        <v>22</v>
      </c>
      <c r="K7588">
        <v>20190802</v>
      </c>
      <c r="L7588" t="str">
        <f>"077532"</f>
        <v>077532</v>
      </c>
      <c r="M7588" t="str">
        <f>"11774"</f>
        <v>11774</v>
      </c>
      <c r="N7588" t="s">
        <v>4877</v>
      </c>
      <c r="O7588" s="1">
        <v>1304.9000000000001</v>
      </c>
      <c r="P7588">
        <v>20190801</v>
      </c>
      <c r="Q7588" t="s">
        <v>5953</v>
      </c>
      <c r="R7588" t="s">
        <v>5954</v>
      </c>
      <c r="S7588" t="s">
        <v>1615</v>
      </c>
      <c r="T7588" t="s">
        <v>301</v>
      </c>
    </row>
    <row r="7589" spans="1:20" x14ac:dyDescent="0.25">
      <c r="A7589">
        <v>9</v>
      </c>
      <c r="B7589">
        <v>199</v>
      </c>
      <c r="C7589" t="str">
        <f>"13"</f>
        <v>13</v>
      </c>
      <c r="D7589">
        <v>6411</v>
      </c>
      <c r="E7589" t="str">
        <f>"PD"</f>
        <v>PD</v>
      </c>
      <c r="F7589" t="str">
        <f>"001"</f>
        <v>001</v>
      </c>
      <c r="G7589">
        <v>9</v>
      </c>
      <c r="H7589" t="str">
        <f>"31"</f>
        <v>31</v>
      </c>
      <c r="I7589" t="str">
        <f t="shared" si="1699"/>
        <v>0</v>
      </c>
      <c r="J7589" t="str">
        <f>"34"</f>
        <v>34</v>
      </c>
      <c r="K7589">
        <v>20190802</v>
      </c>
      <c r="L7589" t="str">
        <f>"077533"</f>
        <v>077533</v>
      </c>
      <c r="M7589" t="str">
        <f>"00612"</f>
        <v>00612</v>
      </c>
      <c r="N7589" t="s">
        <v>2573</v>
      </c>
      <c r="O7589">
        <v>374.51</v>
      </c>
      <c r="P7589">
        <v>20190801</v>
      </c>
      <c r="Q7589" t="s">
        <v>2220</v>
      </c>
      <c r="R7589" t="s">
        <v>4187</v>
      </c>
      <c r="S7589" t="s">
        <v>1615</v>
      </c>
      <c r="T7589" t="s">
        <v>301</v>
      </c>
    </row>
    <row r="7590" spans="1:20" x14ac:dyDescent="0.25">
      <c r="A7590">
        <v>9</v>
      </c>
      <c r="B7590">
        <v>199</v>
      </c>
      <c r="C7590" t="str">
        <f>"41"</f>
        <v>41</v>
      </c>
      <c r="D7590">
        <v>6411</v>
      </c>
      <c r="E7590" t="str">
        <f t="shared" ref="E7590:E7597" si="1700">"10"</f>
        <v>10</v>
      </c>
      <c r="F7590" t="str">
        <f>"701"</f>
        <v>701</v>
      </c>
      <c r="G7590">
        <v>9</v>
      </c>
      <c r="H7590" t="str">
        <f t="shared" ref="H7590:H7607" si="1701">"99"</f>
        <v>99</v>
      </c>
      <c r="I7590" t="str">
        <f t="shared" si="1699"/>
        <v>0</v>
      </c>
      <c r="J7590" t="str">
        <f>"92"</f>
        <v>92</v>
      </c>
      <c r="K7590">
        <v>20190802</v>
      </c>
      <c r="L7590" t="str">
        <f>"077534"</f>
        <v>077534</v>
      </c>
      <c r="M7590" t="str">
        <f>"00667"</f>
        <v>00667</v>
      </c>
      <c r="N7590" t="s">
        <v>3100</v>
      </c>
      <c r="O7590">
        <v>201.75</v>
      </c>
      <c r="P7590">
        <v>20190801</v>
      </c>
      <c r="Q7590" t="s">
        <v>3101</v>
      </c>
      <c r="R7590" t="s">
        <v>5955</v>
      </c>
      <c r="S7590" t="s">
        <v>1615</v>
      </c>
      <c r="T7590" t="s">
        <v>1841</v>
      </c>
    </row>
    <row r="7591" spans="1:20" x14ac:dyDescent="0.25">
      <c r="A7591">
        <v>9</v>
      </c>
      <c r="B7591">
        <v>199</v>
      </c>
      <c r="C7591" t="str">
        <f t="shared" ref="C7591:C7605" si="1702">"51"</f>
        <v>51</v>
      </c>
      <c r="D7591">
        <v>6255</v>
      </c>
      <c r="E7591" t="str">
        <f t="shared" si="1700"/>
        <v>10</v>
      </c>
      <c r="F7591" t="str">
        <f>"001"</f>
        <v>001</v>
      </c>
      <c r="G7591">
        <v>9</v>
      </c>
      <c r="H7591" t="str">
        <f t="shared" si="1701"/>
        <v>99</v>
      </c>
      <c r="I7591" t="str">
        <f t="shared" si="1699"/>
        <v>0</v>
      </c>
      <c r="J7591" t="str">
        <f t="shared" ref="J7591:J7605" si="1703">"73"</f>
        <v>73</v>
      </c>
      <c r="K7591">
        <v>20190802</v>
      </c>
      <c r="L7591" t="str">
        <f t="shared" ref="L7591:L7605" si="1704">"077535"</f>
        <v>077535</v>
      </c>
      <c r="M7591" t="str">
        <f t="shared" ref="M7591:M7605" si="1705">"20706"</f>
        <v>20706</v>
      </c>
      <c r="N7591" t="s">
        <v>2003</v>
      </c>
      <c r="O7591" s="1">
        <v>11527.25</v>
      </c>
      <c r="P7591">
        <v>20190801</v>
      </c>
      <c r="Q7591" t="s">
        <v>2004</v>
      </c>
      <c r="R7591" t="s">
        <v>5956</v>
      </c>
      <c r="S7591" t="s">
        <v>1615</v>
      </c>
      <c r="T7591" t="s">
        <v>301</v>
      </c>
    </row>
    <row r="7592" spans="1:20" x14ac:dyDescent="0.25">
      <c r="A7592">
        <v>9</v>
      </c>
      <c r="B7592">
        <v>199</v>
      </c>
      <c r="C7592" t="str">
        <f t="shared" si="1702"/>
        <v>51</v>
      </c>
      <c r="D7592">
        <v>6255</v>
      </c>
      <c r="E7592" t="str">
        <f t="shared" si="1700"/>
        <v>10</v>
      </c>
      <c r="F7592" t="str">
        <f>"002"</f>
        <v>002</v>
      </c>
      <c r="G7592">
        <v>9</v>
      </c>
      <c r="H7592" t="str">
        <f t="shared" si="1701"/>
        <v>99</v>
      </c>
      <c r="I7592" t="str">
        <f t="shared" si="1699"/>
        <v>0</v>
      </c>
      <c r="J7592" t="str">
        <f t="shared" si="1703"/>
        <v>73</v>
      </c>
      <c r="K7592">
        <v>20190802</v>
      </c>
      <c r="L7592" t="str">
        <f t="shared" si="1704"/>
        <v>077535</v>
      </c>
      <c r="M7592" t="str">
        <f t="shared" si="1705"/>
        <v>20706</v>
      </c>
      <c r="N7592" t="s">
        <v>2003</v>
      </c>
      <c r="O7592">
        <v>22.73</v>
      </c>
      <c r="P7592">
        <v>20190801</v>
      </c>
      <c r="Q7592" t="s">
        <v>2006</v>
      </c>
      <c r="R7592" t="s">
        <v>5957</v>
      </c>
      <c r="S7592" t="s">
        <v>1615</v>
      </c>
      <c r="T7592" t="s">
        <v>1485</v>
      </c>
    </row>
    <row r="7593" spans="1:20" x14ac:dyDescent="0.25">
      <c r="A7593">
        <v>9</v>
      </c>
      <c r="B7593">
        <v>199</v>
      </c>
      <c r="C7593" t="str">
        <f t="shared" si="1702"/>
        <v>51</v>
      </c>
      <c r="D7593">
        <v>6255</v>
      </c>
      <c r="E7593" t="str">
        <f t="shared" si="1700"/>
        <v>10</v>
      </c>
      <c r="F7593" t="str">
        <f>"041"</f>
        <v>041</v>
      </c>
      <c r="G7593">
        <v>9</v>
      </c>
      <c r="H7593" t="str">
        <f t="shared" si="1701"/>
        <v>99</v>
      </c>
      <c r="I7593" t="str">
        <f t="shared" si="1699"/>
        <v>0</v>
      </c>
      <c r="J7593" t="str">
        <f t="shared" si="1703"/>
        <v>73</v>
      </c>
      <c r="K7593">
        <v>20190802</v>
      </c>
      <c r="L7593" t="str">
        <f t="shared" si="1704"/>
        <v>077535</v>
      </c>
      <c r="M7593" t="str">
        <f t="shared" si="1705"/>
        <v>20706</v>
      </c>
      <c r="N7593" t="s">
        <v>2003</v>
      </c>
      <c r="O7593">
        <v>199.33</v>
      </c>
      <c r="P7593">
        <v>20190801</v>
      </c>
      <c r="Q7593" t="s">
        <v>2008</v>
      </c>
      <c r="R7593" t="s">
        <v>5958</v>
      </c>
      <c r="S7593" t="s">
        <v>1615</v>
      </c>
      <c r="T7593" t="s">
        <v>106</v>
      </c>
    </row>
    <row r="7594" spans="1:20" x14ac:dyDescent="0.25">
      <c r="A7594">
        <v>9</v>
      </c>
      <c r="B7594">
        <v>199</v>
      </c>
      <c r="C7594" t="str">
        <f t="shared" si="1702"/>
        <v>51</v>
      </c>
      <c r="D7594">
        <v>6255</v>
      </c>
      <c r="E7594" t="str">
        <f t="shared" si="1700"/>
        <v>10</v>
      </c>
      <c r="F7594" t="str">
        <f>"101"</f>
        <v>101</v>
      </c>
      <c r="G7594">
        <v>9</v>
      </c>
      <c r="H7594" t="str">
        <f t="shared" si="1701"/>
        <v>99</v>
      </c>
      <c r="I7594" t="str">
        <f t="shared" si="1699"/>
        <v>0</v>
      </c>
      <c r="J7594" t="str">
        <f t="shared" si="1703"/>
        <v>73</v>
      </c>
      <c r="K7594">
        <v>20190802</v>
      </c>
      <c r="L7594" t="str">
        <f t="shared" si="1704"/>
        <v>077535</v>
      </c>
      <c r="M7594" t="str">
        <f t="shared" si="1705"/>
        <v>20706</v>
      </c>
      <c r="N7594" t="s">
        <v>2003</v>
      </c>
      <c r="O7594">
        <v>370.96</v>
      </c>
      <c r="P7594">
        <v>20190801</v>
      </c>
      <c r="Q7594" t="s">
        <v>2010</v>
      </c>
      <c r="R7594" t="s">
        <v>5959</v>
      </c>
      <c r="S7594" t="s">
        <v>1615</v>
      </c>
      <c r="T7594" t="s">
        <v>1479</v>
      </c>
    </row>
    <row r="7595" spans="1:20" x14ac:dyDescent="0.25">
      <c r="A7595">
        <v>9</v>
      </c>
      <c r="B7595">
        <v>199</v>
      </c>
      <c r="C7595" t="str">
        <f t="shared" si="1702"/>
        <v>51</v>
      </c>
      <c r="D7595">
        <v>6255</v>
      </c>
      <c r="E7595" t="str">
        <f t="shared" si="1700"/>
        <v>10</v>
      </c>
      <c r="F7595" t="str">
        <f>"104"</f>
        <v>104</v>
      </c>
      <c r="G7595">
        <v>9</v>
      </c>
      <c r="H7595" t="str">
        <f t="shared" si="1701"/>
        <v>99</v>
      </c>
      <c r="I7595" t="str">
        <f t="shared" si="1699"/>
        <v>0</v>
      </c>
      <c r="J7595" t="str">
        <f t="shared" si="1703"/>
        <v>73</v>
      </c>
      <c r="K7595">
        <v>20190802</v>
      </c>
      <c r="L7595" t="str">
        <f t="shared" si="1704"/>
        <v>077535</v>
      </c>
      <c r="M7595" t="str">
        <f t="shared" si="1705"/>
        <v>20706</v>
      </c>
      <c r="N7595" t="s">
        <v>2003</v>
      </c>
      <c r="O7595">
        <v>372.94</v>
      </c>
      <c r="P7595">
        <v>20190801</v>
      </c>
      <c r="Q7595" t="s">
        <v>2012</v>
      </c>
      <c r="R7595" t="s">
        <v>5960</v>
      </c>
      <c r="S7595" t="s">
        <v>1615</v>
      </c>
      <c r="T7595" t="s">
        <v>46</v>
      </c>
    </row>
    <row r="7596" spans="1:20" x14ac:dyDescent="0.25">
      <c r="A7596">
        <v>9</v>
      </c>
      <c r="B7596">
        <v>199</v>
      </c>
      <c r="C7596" t="str">
        <f t="shared" si="1702"/>
        <v>51</v>
      </c>
      <c r="D7596">
        <v>6255</v>
      </c>
      <c r="E7596" t="str">
        <f t="shared" si="1700"/>
        <v>10</v>
      </c>
      <c r="F7596" t="str">
        <f>"935"</f>
        <v>935</v>
      </c>
      <c r="G7596">
        <v>9</v>
      </c>
      <c r="H7596" t="str">
        <f t="shared" si="1701"/>
        <v>99</v>
      </c>
      <c r="I7596" t="str">
        <f t="shared" si="1699"/>
        <v>0</v>
      </c>
      <c r="J7596" t="str">
        <f t="shared" si="1703"/>
        <v>73</v>
      </c>
      <c r="K7596">
        <v>20190802</v>
      </c>
      <c r="L7596" t="str">
        <f t="shared" si="1704"/>
        <v>077535</v>
      </c>
      <c r="M7596" t="str">
        <f t="shared" si="1705"/>
        <v>20706</v>
      </c>
      <c r="N7596" t="s">
        <v>2003</v>
      </c>
      <c r="O7596">
        <v>186.59</v>
      </c>
      <c r="P7596">
        <v>20190801</v>
      </c>
      <c r="Q7596" t="s">
        <v>2014</v>
      </c>
      <c r="R7596" t="s">
        <v>5961</v>
      </c>
      <c r="S7596" t="s">
        <v>1615</v>
      </c>
      <c r="T7596" t="s">
        <v>1876</v>
      </c>
    </row>
    <row r="7597" spans="1:20" x14ac:dyDescent="0.25">
      <c r="A7597">
        <v>9</v>
      </c>
      <c r="B7597">
        <v>199</v>
      </c>
      <c r="C7597" t="str">
        <f t="shared" si="1702"/>
        <v>51</v>
      </c>
      <c r="D7597">
        <v>6255</v>
      </c>
      <c r="E7597" t="str">
        <f t="shared" si="1700"/>
        <v>10</v>
      </c>
      <c r="F7597" t="str">
        <f>"936"</f>
        <v>936</v>
      </c>
      <c r="G7597">
        <v>9</v>
      </c>
      <c r="H7597" t="str">
        <f t="shared" si="1701"/>
        <v>99</v>
      </c>
      <c r="I7597" t="str">
        <f t="shared" si="1699"/>
        <v>0</v>
      </c>
      <c r="J7597" t="str">
        <f t="shared" si="1703"/>
        <v>73</v>
      </c>
      <c r="K7597">
        <v>20190802</v>
      </c>
      <c r="L7597" t="str">
        <f t="shared" si="1704"/>
        <v>077535</v>
      </c>
      <c r="M7597" t="str">
        <f t="shared" si="1705"/>
        <v>20706</v>
      </c>
      <c r="N7597" t="s">
        <v>2003</v>
      </c>
      <c r="O7597">
        <v>143.36000000000001</v>
      </c>
      <c r="P7597">
        <v>20190801</v>
      </c>
      <c r="Q7597" t="s">
        <v>2016</v>
      </c>
      <c r="R7597" t="s">
        <v>5962</v>
      </c>
      <c r="S7597" t="s">
        <v>1615</v>
      </c>
      <c r="T7597" t="s">
        <v>1713</v>
      </c>
    </row>
    <row r="7598" spans="1:20" x14ac:dyDescent="0.25">
      <c r="A7598">
        <v>9</v>
      </c>
      <c r="B7598">
        <v>199</v>
      </c>
      <c r="C7598" t="str">
        <f t="shared" si="1702"/>
        <v>51</v>
      </c>
      <c r="D7598">
        <v>6255</v>
      </c>
      <c r="E7598" t="str">
        <f>"11"</f>
        <v>11</v>
      </c>
      <c r="F7598" t="str">
        <f>"001"</f>
        <v>001</v>
      </c>
      <c r="G7598">
        <v>9</v>
      </c>
      <c r="H7598" t="str">
        <f t="shared" si="1701"/>
        <v>99</v>
      </c>
      <c r="I7598" t="str">
        <f t="shared" si="1699"/>
        <v>0</v>
      </c>
      <c r="J7598" t="str">
        <f t="shared" si="1703"/>
        <v>73</v>
      </c>
      <c r="K7598">
        <v>20190802</v>
      </c>
      <c r="L7598" t="str">
        <f t="shared" si="1704"/>
        <v>077535</v>
      </c>
      <c r="M7598" t="str">
        <f t="shared" si="1705"/>
        <v>20706</v>
      </c>
      <c r="N7598" t="s">
        <v>2003</v>
      </c>
      <c r="O7598">
        <v>152.32</v>
      </c>
      <c r="P7598">
        <v>20190801</v>
      </c>
      <c r="Q7598" t="s">
        <v>2018</v>
      </c>
      <c r="R7598" t="s">
        <v>5963</v>
      </c>
      <c r="S7598" t="s">
        <v>1615</v>
      </c>
      <c r="T7598" t="s">
        <v>301</v>
      </c>
    </row>
    <row r="7599" spans="1:20" x14ac:dyDescent="0.25">
      <c r="A7599">
        <v>9</v>
      </c>
      <c r="B7599">
        <v>199</v>
      </c>
      <c r="C7599" t="str">
        <f t="shared" si="1702"/>
        <v>51</v>
      </c>
      <c r="D7599">
        <v>6255</v>
      </c>
      <c r="E7599" t="str">
        <f>"11"</f>
        <v>11</v>
      </c>
      <c r="F7599" t="str">
        <f>"104"</f>
        <v>104</v>
      </c>
      <c r="G7599">
        <v>9</v>
      </c>
      <c r="H7599" t="str">
        <f t="shared" si="1701"/>
        <v>99</v>
      </c>
      <c r="I7599" t="str">
        <f t="shared" si="1699"/>
        <v>0</v>
      </c>
      <c r="J7599" t="str">
        <f t="shared" si="1703"/>
        <v>73</v>
      </c>
      <c r="K7599">
        <v>20190802</v>
      </c>
      <c r="L7599" t="str">
        <f t="shared" si="1704"/>
        <v>077535</v>
      </c>
      <c r="M7599" t="str">
        <f t="shared" si="1705"/>
        <v>20706</v>
      </c>
      <c r="N7599" t="s">
        <v>2003</v>
      </c>
      <c r="O7599">
        <v>81.47</v>
      </c>
      <c r="P7599">
        <v>20190801</v>
      </c>
      <c r="Q7599" t="s">
        <v>2020</v>
      </c>
      <c r="R7599" t="s">
        <v>5964</v>
      </c>
      <c r="S7599" t="s">
        <v>1615</v>
      </c>
      <c r="T7599" t="s">
        <v>46</v>
      </c>
    </row>
    <row r="7600" spans="1:20" x14ac:dyDescent="0.25">
      <c r="A7600">
        <v>9</v>
      </c>
      <c r="B7600">
        <v>199</v>
      </c>
      <c r="C7600" t="str">
        <f t="shared" si="1702"/>
        <v>51</v>
      </c>
      <c r="D7600">
        <v>6255</v>
      </c>
      <c r="E7600" t="str">
        <f>"3F"</f>
        <v>3F</v>
      </c>
      <c r="F7600" t="str">
        <f>"877"</f>
        <v>877</v>
      </c>
      <c r="G7600">
        <v>9</v>
      </c>
      <c r="H7600" t="str">
        <f t="shared" si="1701"/>
        <v>99</v>
      </c>
      <c r="I7600" t="str">
        <f t="shared" si="1699"/>
        <v>0</v>
      </c>
      <c r="J7600" t="str">
        <f t="shared" si="1703"/>
        <v>73</v>
      </c>
      <c r="K7600">
        <v>20190802</v>
      </c>
      <c r="L7600" t="str">
        <f t="shared" si="1704"/>
        <v>077535</v>
      </c>
      <c r="M7600" t="str">
        <f t="shared" si="1705"/>
        <v>20706</v>
      </c>
      <c r="N7600" t="s">
        <v>2003</v>
      </c>
      <c r="O7600" s="1">
        <v>9128.7199999999993</v>
      </c>
      <c r="P7600">
        <v>20190801</v>
      </c>
      <c r="Q7600" t="s">
        <v>2022</v>
      </c>
      <c r="R7600" t="s">
        <v>5965</v>
      </c>
      <c r="S7600" t="s">
        <v>1615</v>
      </c>
      <c r="T7600" t="s">
        <v>2024</v>
      </c>
    </row>
    <row r="7601" spans="1:20" x14ac:dyDescent="0.25">
      <c r="A7601">
        <v>9</v>
      </c>
      <c r="B7601">
        <v>199</v>
      </c>
      <c r="C7601" t="str">
        <f t="shared" si="1702"/>
        <v>51</v>
      </c>
      <c r="D7601">
        <v>6258</v>
      </c>
      <c r="E7601" t="str">
        <f>"10"</f>
        <v>10</v>
      </c>
      <c r="F7601" t="str">
        <f>"001"</f>
        <v>001</v>
      </c>
      <c r="G7601">
        <v>9</v>
      </c>
      <c r="H7601" t="str">
        <f t="shared" si="1701"/>
        <v>99</v>
      </c>
      <c r="I7601" t="str">
        <f t="shared" si="1699"/>
        <v>0</v>
      </c>
      <c r="J7601" t="str">
        <f t="shared" si="1703"/>
        <v>73</v>
      </c>
      <c r="K7601">
        <v>20190802</v>
      </c>
      <c r="L7601" t="str">
        <f t="shared" si="1704"/>
        <v>077535</v>
      </c>
      <c r="M7601" t="str">
        <f t="shared" si="1705"/>
        <v>20706</v>
      </c>
      <c r="N7601" t="s">
        <v>2003</v>
      </c>
      <c r="O7601">
        <v>787.78</v>
      </c>
      <c r="P7601">
        <v>20190801</v>
      </c>
      <c r="Q7601" t="s">
        <v>2025</v>
      </c>
      <c r="R7601" t="s">
        <v>5966</v>
      </c>
      <c r="S7601" t="s">
        <v>1615</v>
      </c>
      <c r="T7601" t="s">
        <v>301</v>
      </c>
    </row>
    <row r="7602" spans="1:20" x14ac:dyDescent="0.25">
      <c r="A7602">
        <v>9</v>
      </c>
      <c r="B7602">
        <v>199</v>
      </c>
      <c r="C7602" t="str">
        <f t="shared" si="1702"/>
        <v>51</v>
      </c>
      <c r="D7602">
        <v>6258</v>
      </c>
      <c r="E7602" t="str">
        <f>"10"</f>
        <v>10</v>
      </c>
      <c r="F7602" t="str">
        <f>"041"</f>
        <v>041</v>
      </c>
      <c r="G7602">
        <v>9</v>
      </c>
      <c r="H7602" t="str">
        <f t="shared" si="1701"/>
        <v>99</v>
      </c>
      <c r="I7602" t="str">
        <f t="shared" si="1699"/>
        <v>0</v>
      </c>
      <c r="J7602" t="str">
        <f t="shared" si="1703"/>
        <v>73</v>
      </c>
      <c r="K7602">
        <v>20190802</v>
      </c>
      <c r="L7602" t="str">
        <f t="shared" si="1704"/>
        <v>077535</v>
      </c>
      <c r="M7602" t="str">
        <f t="shared" si="1705"/>
        <v>20706</v>
      </c>
      <c r="N7602" t="s">
        <v>2003</v>
      </c>
      <c r="O7602">
        <v>108.23</v>
      </c>
      <c r="P7602">
        <v>20190801</v>
      </c>
      <c r="Q7602" t="s">
        <v>2027</v>
      </c>
      <c r="R7602" t="s">
        <v>5967</v>
      </c>
      <c r="S7602" t="s">
        <v>1615</v>
      </c>
      <c r="T7602" t="s">
        <v>106</v>
      </c>
    </row>
    <row r="7603" spans="1:20" x14ac:dyDescent="0.25">
      <c r="A7603">
        <v>9</v>
      </c>
      <c r="B7603">
        <v>199</v>
      </c>
      <c r="C7603" t="str">
        <f t="shared" si="1702"/>
        <v>51</v>
      </c>
      <c r="D7603">
        <v>6258</v>
      </c>
      <c r="E7603" t="str">
        <f>"10"</f>
        <v>10</v>
      </c>
      <c r="F7603" t="str">
        <f>"101"</f>
        <v>101</v>
      </c>
      <c r="G7603">
        <v>9</v>
      </c>
      <c r="H7603" t="str">
        <f t="shared" si="1701"/>
        <v>99</v>
      </c>
      <c r="I7603" t="str">
        <f t="shared" si="1699"/>
        <v>0</v>
      </c>
      <c r="J7603" t="str">
        <f t="shared" si="1703"/>
        <v>73</v>
      </c>
      <c r="K7603">
        <v>20190802</v>
      </c>
      <c r="L7603" t="str">
        <f t="shared" si="1704"/>
        <v>077535</v>
      </c>
      <c r="M7603" t="str">
        <f t="shared" si="1705"/>
        <v>20706</v>
      </c>
      <c r="N7603" t="s">
        <v>2003</v>
      </c>
      <c r="O7603">
        <v>70.180000000000007</v>
      </c>
      <c r="P7603">
        <v>20190801</v>
      </c>
      <c r="Q7603" t="s">
        <v>2029</v>
      </c>
      <c r="R7603" t="s">
        <v>5968</v>
      </c>
      <c r="S7603" t="s">
        <v>1615</v>
      </c>
      <c r="T7603" t="s">
        <v>1479</v>
      </c>
    </row>
    <row r="7604" spans="1:20" x14ac:dyDescent="0.25">
      <c r="A7604">
        <v>9</v>
      </c>
      <c r="B7604">
        <v>199</v>
      </c>
      <c r="C7604" t="str">
        <f t="shared" si="1702"/>
        <v>51</v>
      </c>
      <c r="D7604">
        <v>6258</v>
      </c>
      <c r="E7604" t="str">
        <f>"10"</f>
        <v>10</v>
      </c>
      <c r="F7604" t="str">
        <f>"104"</f>
        <v>104</v>
      </c>
      <c r="G7604">
        <v>9</v>
      </c>
      <c r="H7604" t="str">
        <f t="shared" si="1701"/>
        <v>99</v>
      </c>
      <c r="I7604" t="str">
        <f t="shared" si="1699"/>
        <v>0</v>
      </c>
      <c r="J7604" t="str">
        <f t="shared" si="1703"/>
        <v>73</v>
      </c>
      <c r="K7604">
        <v>20190802</v>
      </c>
      <c r="L7604" t="str">
        <f t="shared" si="1704"/>
        <v>077535</v>
      </c>
      <c r="M7604" t="str">
        <f t="shared" si="1705"/>
        <v>20706</v>
      </c>
      <c r="N7604" t="s">
        <v>2003</v>
      </c>
      <c r="O7604">
        <v>88.87</v>
      </c>
      <c r="P7604">
        <v>20190801</v>
      </c>
      <c r="Q7604" t="s">
        <v>2031</v>
      </c>
      <c r="R7604" t="s">
        <v>5969</v>
      </c>
      <c r="S7604" t="s">
        <v>1615</v>
      </c>
      <c r="T7604" t="s">
        <v>46</v>
      </c>
    </row>
    <row r="7605" spans="1:20" x14ac:dyDescent="0.25">
      <c r="A7605">
        <v>9</v>
      </c>
      <c r="B7605">
        <v>199</v>
      </c>
      <c r="C7605" t="str">
        <f t="shared" si="1702"/>
        <v>51</v>
      </c>
      <c r="D7605">
        <v>6258</v>
      </c>
      <c r="E7605" t="str">
        <f>"11"</f>
        <v>11</v>
      </c>
      <c r="F7605" t="str">
        <f>"001"</f>
        <v>001</v>
      </c>
      <c r="G7605">
        <v>9</v>
      </c>
      <c r="H7605" t="str">
        <f t="shared" si="1701"/>
        <v>99</v>
      </c>
      <c r="I7605" t="str">
        <f t="shared" si="1699"/>
        <v>0</v>
      </c>
      <c r="J7605" t="str">
        <f t="shared" si="1703"/>
        <v>73</v>
      </c>
      <c r="K7605">
        <v>20190802</v>
      </c>
      <c r="L7605" t="str">
        <f t="shared" si="1704"/>
        <v>077535</v>
      </c>
      <c r="M7605" t="str">
        <f t="shared" si="1705"/>
        <v>20706</v>
      </c>
      <c r="N7605" t="s">
        <v>2003</v>
      </c>
      <c r="O7605">
        <v>145.86000000000001</v>
      </c>
      <c r="P7605">
        <v>20190801</v>
      </c>
      <c r="Q7605" t="s">
        <v>2033</v>
      </c>
      <c r="R7605" t="s">
        <v>5970</v>
      </c>
      <c r="S7605" t="s">
        <v>1615</v>
      </c>
      <c r="T7605" t="s">
        <v>301</v>
      </c>
    </row>
    <row r="7606" spans="1:20" x14ac:dyDescent="0.25">
      <c r="A7606">
        <v>9</v>
      </c>
      <c r="B7606">
        <v>199</v>
      </c>
      <c r="C7606" t="str">
        <f>"23"</f>
        <v>23</v>
      </c>
      <c r="D7606">
        <v>6411</v>
      </c>
      <c r="E7606" t="str">
        <f>"10"</f>
        <v>10</v>
      </c>
      <c r="F7606" t="str">
        <f>"101"</f>
        <v>101</v>
      </c>
      <c r="G7606">
        <v>9</v>
      </c>
      <c r="H7606" t="str">
        <f t="shared" si="1701"/>
        <v>99</v>
      </c>
      <c r="I7606" t="str">
        <f>"1"</f>
        <v>1</v>
      </c>
      <c r="J7606" t="str">
        <f>"04"</f>
        <v>04</v>
      </c>
      <c r="K7606">
        <v>20190802</v>
      </c>
      <c r="L7606" t="str">
        <f>"077536"</f>
        <v>077536</v>
      </c>
      <c r="M7606" t="str">
        <f>"00605"</f>
        <v>00605</v>
      </c>
      <c r="N7606" t="s">
        <v>2483</v>
      </c>
      <c r="O7606">
        <v>59</v>
      </c>
      <c r="P7606">
        <v>20190801</v>
      </c>
      <c r="Q7606" t="s">
        <v>5971</v>
      </c>
      <c r="R7606" t="s">
        <v>5972</v>
      </c>
      <c r="S7606" t="s">
        <v>1615</v>
      </c>
      <c r="T7606" t="s">
        <v>1479</v>
      </c>
    </row>
    <row r="7607" spans="1:20" x14ac:dyDescent="0.25">
      <c r="A7607">
        <v>9</v>
      </c>
      <c r="B7607">
        <v>199</v>
      </c>
      <c r="C7607" t="str">
        <f>"36"</f>
        <v>36</v>
      </c>
      <c r="D7607">
        <v>6411</v>
      </c>
      <c r="E7607" t="str">
        <f t="shared" ref="E7607:E7613" si="1706">"V8"</f>
        <v>V8</v>
      </c>
      <c r="F7607" t="str">
        <f>"041"</f>
        <v>041</v>
      </c>
      <c r="G7607">
        <v>9</v>
      </c>
      <c r="H7607" t="str">
        <f t="shared" si="1701"/>
        <v>99</v>
      </c>
      <c r="I7607" t="str">
        <f t="shared" ref="I7607:I7613" si="1707">"0"</f>
        <v>0</v>
      </c>
      <c r="J7607" t="str">
        <f>"03"</f>
        <v>03</v>
      </c>
      <c r="K7607">
        <v>20190802</v>
      </c>
      <c r="L7607" t="str">
        <f>"077540"</f>
        <v>077540</v>
      </c>
      <c r="M7607" t="str">
        <f>"00058"</f>
        <v>00058</v>
      </c>
      <c r="N7607" t="s">
        <v>2609</v>
      </c>
      <c r="O7607">
        <v>125</v>
      </c>
      <c r="P7607">
        <v>20190801</v>
      </c>
      <c r="Q7607" t="s">
        <v>2610</v>
      </c>
      <c r="R7607" t="s">
        <v>5351</v>
      </c>
      <c r="S7607" t="s">
        <v>1615</v>
      </c>
      <c r="T7607" t="s">
        <v>106</v>
      </c>
    </row>
    <row r="7608" spans="1:20" x14ac:dyDescent="0.25">
      <c r="A7608">
        <v>9</v>
      </c>
      <c r="B7608">
        <v>199</v>
      </c>
      <c r="C7608" t="str">
        <f t="shared" ref="C7608:C7613" si="1708">"11"</f>
        <v>11</v>
      </c>
      <c r="D7608">
        <v>6412</v>
      </c>
      <c r="E7608" t="str">
        <f t="shared" si="1706"/>
        <v>V8</v>
      </c>
      <c r="F7608" t="str">
        <f t="shared" ref="F7608:F7614" si="1709">"001"</f>
        <v>001</v>
      </c>
      <c r="G7608">
        <v>9</v>
      </c>
      <c r="H7608" t="str">
        <f t="shared" ref="H7608:H7614" si="1710">"22"</f>
        <v>22</v>
      </c>
      <c r="I7608" t="str">
        <f t="shared" si="1707"/>
        <v>0</v>
      </c>
      <c r="J7608" t="str">
        <f t="shared" ref="J7608:J7613" si="1711">"22"</f>
        <v>22</v>
      </c>
      <c r="K7608">
        <v>20190802</v>
      </c>
      <c r="L7608" t="str">
        <f t="shared" ref="L7608:L7613" si="1712">"077541"</f>
        <v>077541</v>
      </c>
      <c r="M7608" t="str">
        <f t="shared" ref="M7608:M7613" si="1713">"30744"</f>
        <v>30744</v>
      </c>
      <c r="N7608" t="s">
        <v>422</v>
      </c>
      <c r="O7608">
        <v>22.01</v>
      </c>
      <c r="P7608">
        <v>20190801</v>
      </c>
      <c r="Q7608" t="s">
        <v>1884</v>
      </c>
      <c r="R7608" t="s">
        <v>5351</v>
      </c>
      <c r="S7608" t="s">
        <v>1615</v>
      </c>
      <c r="T7608" t="s">
        <v>301</v>
      </c>
    </row>
    <row r="7609" spans="1:20" x14ac:dyDescent="0.25">
      <c r="A7609">
        <v>9</v>
      </c>
      <c r="B7609">
        <v>199</v>
      </c>
      <c r="C7609" t="str">
        <f t="shared" si="1708"/>
        <v>11</v>
      </c>
      <c r="D7609">
        <v>6412</v>
      </c>
      <c r="E7609" t="str">
        <f t="shared" si="1706"/>
        <v>V8</v>
      </c>
      <c r="F7609" t="str">
        <f t="shared" si="1709"/>
        <v>001</v>
      </c>
      <c r="G7609">
        <v>9</v>
      </c>
      <c r="H7609" t="str">
        <f t="shared" si="1710"/>
        <v>22</v>
      </c>
      <c r="I7609" t="str">
        <f t="shared" si="1707"/>
        <v>0</v>
      </c>
      <c r="J7609" t="str">
        <f t="shared" si="1711"/>
        <v>22</v>
      </c>
      <c r="K7609">
        <v>20190802</v>
      </c>
      <c r="L7609" t="str">
        <f t="shared" si="1712"/>
        <v>077541</v>
      </c>
      <c r="M7609" t="str">
        <f t="shared" si="1713"/>
        <v>30744</v>
      </c>
      <c r="N7609" t="s">
        <v>422</v>
      </c>
      <c r="O7609">
        <v>41.29</v>
      </c>
      <c r="P7609">
        <v>20190801</v>
      </c>
      <c r="Q7609" t="s">
        <v>1884</v>
      </c>
      <c r="R7609" t="s">
        <v>5351</v>
      </c>
      <c r="S7609" t="s">
        <v>1615</v>
      </c>
      <c r="T7609" t="s">
        <v>301</v>
      </c>
    </row>
    <row r="7610" spans="1:20" x14ac:dyDescent="0.25">
      <c r="A7610">
        <v>9</v>
      </c>
      <c r="B7610">
        <v>199</v>
      </c>
      <c r="C7610" t="str">
        <f t="shared" si="1708"/>
        <v>11</v>
      </c>
      <c r="D7610">
        <v>6412</v>
      </c>
      <c r="E7610" t="str">
        <f t="shared" si="1706"/>
        <v>V8</v>
      </c>
      <c r="F7610" t="str">
        <f t="shared" si="1709"/>
        <v>001</v>
      </c>
      <c r="G7610">
        <v>9</v>
      </c>
      <c r="H7610" t="str">
        <f t="shared" si="1710"/>
        <v>22</v>
      </c>
      <c r="I7610" t="str">
        <f t="shared" si="1707"/>
        <v>0</v>
      </c>
      <c r="J7610" t="str">
        <f t="shared" si="1711"/>
        <v>22</v>
      </c>
      <c r="K7610">
        <v>20190802</v>
      </c>
      <c r="L7610" t="str">
        <f t="shared" si="1712"/>
        <v>077541</v>
      </c>
      <c r="M7610" t="str">
        <f t="shared" si="1713"/>
        <v>30744</v>
      </c>
      <c r="N7610" t="s">
        <v>422</v>
      </c>
      <c r="O7610">
        <v>29.75</v>
      </c>
      <c r="P7610">
        <v>20190801</v>
      </c>
      <c r="Q7610" t="s">
        <v>1884</v>
      </c>
      <c r="R7610" t="s">
        <v>5351</v>
      </c>
      <c r="S7610" t="s">
        <v>1615</v>
      </c>
      <c r="T7610" t="s">
        <v>301</v>
      </c>
    </row>
    <row r="7611" spans="1:20" x14ac:dyDescent="0.25">
      <c r="A7611">
        <v>9</v>
      </c>
      <c r="B7611">
        <v>199</v>
      </c>
      <c r="C7611" t="str">
        <f t="shared" si="1708"/>
        <v>11</v>
      </c>
      <c r="D7611">
        <v>6412</v>
      </c>
      <c r="E7611" t="str">
        <f t="shared" si="1706"/>
        <v>V8</v>
      </c>
      <c r="F7611" t="str">
        <f t="shared" si="1709"/>
        <v>001</v>
      </c>
      <c r="G7611">
        <v>9</v>
      </c>
      <c r="H7611" t="str">
        <f t="shared" si="1710"/>
        <v>22</v>
      </c>
      <c r="I7611" t="str">
        <f t="shared" si="1707"/>
        <v>0</v>
      </c>
      <c r="J7611" t="str">
        <f t="shared" si="1711"/>
        <v>22</v>
      </c>
      <c r="K7611">
        <v>20190802</v>
      </c>
      <c r="L7611" t="str">
        <f t="shared" si="1712"/>
        <v>077541</v>
      </c>
      <c r="M7611" t="str">
        <f t="shared" si="1713"/>
        <v>30744</v>
      </c>
      <c r="N7611" t="s">
        <v>422</v>
      </c>
      <c r="O7611">
        <v>26.32</v>
      </c>
      <c r="P7611">
        <v>20190801</v>
      </c>
      <c r="Q7611" t="s">
        <v>1884</v>
      </c>
      <c r="R7611" t="s">
        <v>5351</v>
      </c>
      <c r="S7611" t="s">
        <v>1615</v>
      </c>
      <c r="T7611" t="s">
        <v>301</v>
      </c>
    </row>
    <row r="7612" spans="1:20" x14ac:dyDescent="0.25">
      <c r="A7612">
        <v>9</v>
      </c>
      <c r="B7612">
        <v>199</v>
      </c>
      <c r="C7612" t="str">
        <f t="shared" si="1708"/>
        <v>11</v>
      </c>
      <c r="D7612">
        <v>6412</v>
      </c>
      <c r="E7612" t="str">
        <f t="shared" si="1706"/>
        <v>V8</v>
      </c>
      <c r="F7612" t="str">
        <f t="shared" si="1709"/>
        <v>001</v>
      </c>
      <c r="G7612">
        <v>9</v>
      </c>
      <c r="H7612" t="str">
        <f t="shared" si="1710"/>
        <v>22</v>
      </c>
      <c r="I7612" t="str">
        <f t="shared" si="1707"/>
        <v>0</v>
      </c>
      <c r="J7612" t="str">
        <f t="shared" si="1711"/>
        <v>22</v>
      </c>
      <c r="K7612">
        <v>20190802</v>
      </c>
      <c r="L7612" t="str">
        <f t="shared" si="1712"/>
        <v>077541</v>
      </c>
      <c r="M7612" t="str">
        <f t="shared" si="1713"/>
        <v>30744</v>
      </c>
      <c r="N7612" t="s">
        <v>422</v>
      </c>
      <c r="O7612">
        <v>45.18</v>
      </c>
      <c r="P7612">
        <v>20190801</v>
      </c>
      <c r="Q7612" t="s">
        <v>1884</v>
      </c>
      <c r="R7612" t="s">
        <v>5351</v>
      </c>
      <c r="S7612" t="s">
        <v>1615</v>
      </c>
      <c r="T7612" t="s">
        <v>301</v>
      </c>
    </row>
    <row r="7613" spans="1:20" x14ac:dyDescent="0.25">
      <c r="A7613">
        <v>9</v>
      </c>
      <c r="B7613">
        <v>199</v>
      </c>
      <c r="C7613" t="str">
        <f t="shared" si="1708"/>
        <v>11</v>
      </c>
      <c r="D7613">
        <v>6412</v>
      </c>
      <c r="E7613" t="str">
        <f t="shared" si="1706"/>
        <v>V8</v>
      </c>
      <c r="F7613" t="str">
        <f t="shared" si="1709"/>
        <v>001</v>
      </c>
      <c r="G7613">
        <v>9</v>
      </c>
      <c r="H7613" t="str">
        <f t="shared" si="1710"/>
        <v>22</v>
      </c>
      <c r="I7613" t="str">
        <f t="shared" si="1707"/>
        <v>0</v>
      </c>
      <c r="J7613" t="str">
        <f t="shared" si="1711"/>
        <v>22</v>
      </c>
      <c r="K7613">
        <v>20190802</v>
      </c>
      <c r="L7613" t="str">
        <f t="shared" si="1712"/>
        <v>077541</v>
      </c>
      <c r="M7613" t="str">
        <f t="shared" si="1713"/>
        <v>30744</v>
      </c>
      <c r="N7613" t="s">
        <v>422</v>
      </c>
      <c r="O7613">
        <v>33.31</v>
      </c>
      <c r="P7613">
        <v>20190801</v>
      </c>
      <c r="Q7613" t="s">
        <v>1884</v>
      </c>
      <c r="R7613" t="s">
        <v>5351</v>
      </c>
      <c r="S7613" t="s">
        <v>1615</v>
      </c>
      <c r="T7613" t="s">
        <v>301</v>
      </c>
    </row>
    <row r="7614" spans="1:20" x14ac:dyDescent="0.25">
      <c r="A7614">
        <v>9</v>
      </c>
      <c r="B7614">
        <v>199</v>
      </c>
      <c r="C7614" t="str">
        <f>"36"</f>
        <v>36</v>
      </c>
      <c r="D7614">
        <v>6412</v>
      </c>
      <c r="E7614" t="str">
        <f>"V2"</f>
        <v>V2</v>
      </c>
      <c r="F7614" t="str">
        <f t="shared" si="1709"/>
        <v>001</v>
      </c>
      <c r="G7614">
        <v>9</v>
      </c>
      <c r="H7614" t="str">
        <f t="shared" si="1710"/>
        <v>22</v>
      </c>
      <c r="I7614" t="str">
        <f>"5"</f>
        <v>5</v>
      </c>
      <c r="J7614" t="str">
        <f>"74"</f>
        <v>74</v>
      </c>
      <c r="K7614">
        <v>20190802</v>
      </c>
      <c r="L7614" t="str">
        <f>"077542"</f>
        <v>077542</v>
      </c>
      <c r="M7614" t="str">
        <f>"13359"</f>
        <v>13359</v>
      </c>
      <c r="N7614" t="s">
        <v>4516</v>
      </c>
      <c r="O7614">
        <v>49</v>
      </c>
      <c r="P7614">
        <v>20190801</v>
      </c>
      <c r="Q7614" t="s">
        <v>5147</v>
      </c>
      <c r="R7614" t="s">
        <v>5148</v>
      </c>
      <c r="S7614" t="s">
        <v>1615</v>
      </c>
      <c r="T7614" t="s">
        <v>301</v>
      </c>
    </row>
    <row r="7615" spans="1:20" x14ac:dyDescent="0.25">
      <c r="A7615">
        <v>9</v>
      </c>
      <c r="B7615">
        <v>199</v>
      </c>
      <c r="C7615" t="str">
        <f>"23"</f>
        <v>23</v>
      </c>
      <c r="D7615">
        <v>6411</v>
      </c>
      <c r="E7615" t="str">
        <f>"10"</f>
        <v>10</v>
      </c>
      <c r="F7615" t="str">
        <f>"101"</f>
        <v>101</v>
      </c>
      <c r="G7615">
        <v>9</v>
      </c>
      <c r="H7615" t="str">
        <f t="shared" ref="H7615:H7620" si="1714">"99"</f>
        <v>99</v>
      </c>
      <c r="I7615" t="str">
        <f>"1"</f>
        <v>1</v>
      </c>
      <c r="J7615" t="str">
        <f>"04"</f>
        <v>04</v>
      </c>
      <c r="K7615">
        <v>20190802</v>
      </c>
      <c r="L7615" t="str">
        <f>"077543"</f>
        <v>077543</v>
      </c>
      <c r="M7615" t="str">
        <f>"00854"</f>
        <v>00854</v>
      </c>
      <c r="N7615" t="s">
        <v>5973</v>
      </c>
      <c r="O7615">
        <v>103.9</v>
      </c>
      <c r="P7615">
        <v>20190801</v>
      </c>
      <c r="Q7615" t="s">
        <v>5971</v>
      </c>
      <c r="R7615" t="s">
        <v>5974</v>
      </c>
      <c r="S7615" t="s">
        <v>1615</v>
      </c>
      <c r="T7615" t="s">
        <v>1479</v>
      </c>
    </row>
    <row r="7616" spans="1:20" x14ac:dyDescent="0.25">
      <c r="A7616">
        <v>9</v>
      </c>
      <c r="B7616">
        <v>199</v>
      </c>
      <c r="C7616" t="str">
        <f>"34"</f>
        <v>34</v>
      </c>
      <c r="D7616">
        <v>6411</v>
      </c>
      <c r="E7616" t="str">
        <f>"11"</f>
        <v>11</v>
      </c>
      <c r="F7616" t="str">
        <f>"937"</f>
        <v>937</v>
      </c>
      <c r="G7616">
        <v>9</v>
      </c>
      <c r="H7616" t="str">
        <f t="shared" si="1714"/>
        <v>99</v>
      </c>
      <c r="I7616" t="str">
        <f>"1"</f>
        <v>1</v>
      </c>
      <c r="J7616" t="str">
        <f>"82"</f>
        <v>82</v>
      </c>
      <c r="K7616">
        <v>20190802</v>
      </c>
      <c r="L7616" t="str">
        <f>"077546"</f>
        <v>077546</v>
      </c>
      <c r="M7616" t="str">
        <f>"39425"</f>
        <v>39425</v>
      </c>
      <c r="N7616" t="s">
        <v>2495</v>
      </c>
      <c r="O7616">
        <v>118.15</v>
      </c>
      <c r="P7616">
        <v>20190801</v>
      </c>
      <c r="Q7616" t="s">
        <v>2531</v>
      </c>
      <c r="R7616" t="s">
        <v>5975</v>
      </c>
      <c r="S7616" t="s">
        <v>1615</v>
      </c>
      <c r="T7616" t="s">
        <v>1810</v>
      </c>
    </row>
    <row r="7617" spans="1:20" x14ac:dyDescent="0.25">
      <c r="A7617">
        <v>9</v>
      </c>
      <c r="B7617">
        <v>199</v>
      </c>
      <c r="C7617" t="str">
        <f>"34"</f>
        <v>34</v>
      </c>
      <c r="D7617">
        <v>6411</v>
      </c>
      <c r="E7617" t="str">
        <f>"11"</f>
        <v>11</v>
      </c>
      <c r="F7617" t="str">
        <f>"937"</f>
        <v>937</v>
      </c>
      <c r="G7617">
        <v>9</v>
      </c>
      <c r="H7617" t="str">
        <f t="shared" si="1714"/>
        <v>99</v>
      </c>
      <c r="I7617" t="str">
        <f>"1"</f>
        <v>1</v>
      </c>
      <c r="J7617" t="str">
        <f>"82"</f>
        <v>82</v>
      </c>
      <c r="K7617">
        <v>20190802</v>
      </c>
      <c r="L7617" t="str">
        <f>"077546"</f>
        <v>077546</v>
      </c>
      <c r="M7617" t="str">
        <f>"39425"</f>
        <v>39425</v>
      </c>
      <c r="N7617" t="s">
        <v>2495</v>
      </c>
      <c r="O7617">
        <v>68.63</v>
      </c>
      <c r="P7617">
        <v>20190801</v>
      </c>
      <c r="Q7617" t="s">
        <v>2531</v>
      </c>
      <c r="R7617" t="s">
        <v>5769</v>
      </c>
      <c r="S7617" t="s">
        <v>1615</v>
      </c>
      <c r="T7617" t="s">
        <v>1810</v>
      </c>
    </row>
    <row r="7618" spans="1:20" x14ac:dyDescent="0.25">
      <c r="A7618">
        <v>9</v>
      </c>
      <c r="B7618">
        <v>199</v>
      </c>
      <c r="C7618" t="str">
        <f>"34"</f>
        <v>34</v>
      </c>
      <c r="D7618">
        <v>6411</v>
      </c>
      <c r="E7618" t="str">
        <f>"11"</f>
        <v>11</v>
      </c>
      <c r="F7618" t="str">
        <f>"937"</f>
        <v>937</v>
      </c>
      <c r="G7618">
        <v>9</v>
      </c>
      <c r="H7618" t="str">
        <f t="shared" si="1714"/>
        <v>99</v>
      </c>
      <c r="I7618" t="str">
        <f>"1"</f>
        <v>1</v>
      </c>
      <c r="J7618" t="str">
        <f>"82"</f>
        <v>82</v>
      </c>
      <c r="K7618">
        <v>20190802</v>
      </c>
      <c r="L7618" t="str">
        <f>"077546"</f>
        <v>077546</v>
      </c>
      <c r="M7618" t="str">
        <f>"39425"</f>
        <v>39425</v>
      </c>
      <c r="N7618" t="s">
        <v>2495</v>
      </c>
      <c r="O7618">
        <v>12.98</v>
      </c>
      <c r="P7618">
        <v>20190801</v>
      </c>
      <c r="Q7618" t="s">
        <v>2531</v>
      </c>
      <c r="R7618" t="s">
        <v>5976</v>
      </c>
      <c r="S7618" t="s">
        <v>1615</v>
      </c>
      <c r="T7618" t="s">
        <v>1810</v>
      </c>
    </row>
    <row r="7619" spans="1:20" x14ac:dyDescent="0.25">
      <c r="A7619">
        <v>9</v>
      </c>
      <c r="B7619">
        <v>199</v>
      </c>
      <c r="C7619" t="str">
        <f>"41"</f>
        <v>41</v>
      </c>
      <c r="D7619">
        <v>6219</v>
      </c>
      <c r="E7619" t="str">
        <f>"12"</f>
        <v>12</v>
      </c>
      <c r="F7619" t="str">
        <f>"730"</f>
        <v>730</v>
      </c>
      <c r="G7619">
        <v>9</v>
      </c>
      <c r="H7619" t="str">
        <f t="shared" si="1714"/>
        <v>99</v>
      </c>
      <c r="I7619" t="str">
        <f>"0"</f>
        <v>0</v>
      </c>
      <c r="J7619" t="str">
        <f>"95"</f>
        <v>95</v>
      </c>
      <c r="K7619">
        <v>20190802</v>
      </c>
      <c r="L7619" t="str">
        <f>"077547"</f>
        <v>077547</v>
      </c>
      <c r="M7619" t="str">
        <f>"00859"</f>
        <v>00859</v>
      </c>
      <c r="N7619" t="s">
        <v>5977</v>
      </c>
      <c r="O7619">
        <v>300</v>
      </c>
      <c r="P7619">
        <v>20190801</v>
      </c>
      <c r="Q7619" t="s">
        <v>5978</v>
      </c>
      <c r="R7619" t="s">
        <v>5979</v>
      </c>
      <c r="S7619" t="s">
        <v>1615</v>
      </c>
      <c r="T7619" t="s">
        <v>1794</v>
      </c>
    </row>
    <row r="7620" spans="1:20" x14ac:dyDescent="0.25">
      <c r="A7620">
        <v>9</v>
      </c>
      <c r="B7620">
        <v>199</v>
      </c>
      <c r="C7620" t="str">
        <f>"41"</f>
        <v>41</v>
      </c>
      <c r="D7620">
        <v>6417</v>
      </c>
      <c r="E7620" t="str">
        <f>"10"</f>
        <v>10</v>
      </c>
      <c r="F7620" t="str">
        <f>"702"</f>
        <v>702</v>
      </c>
      <c r="G7620">
        <v>9</v>
      </c>
      <c r="H7620" t="str">
        <f t="shared" si="1714"/>
        <v>99</v>
      </c>
      <c r="I7620" t="str">
        <f>"0"</f>
        <v>0</v>
      </c>
      <c r="J7620" t="str">
        <f>"93"</f>
        <v>93</v>
      </c>
      <c r="K7620">
        <v>20190802</v>
      </c>
      <c r="L7620" t="str">
        <f>"077548"</f>
        <v>077548</v>
      </c>
      <c r="M7620" t="str">
        <f>"46929"</f>
        <v>46929</v>
      </c>
      <c r="N7620" t="s">
        <v>5980</v>
      </c>
      <c r="O7620">
        <v>133</v>
      </c>
      <c r="P7620">
        <v>20190801</v>
      </c>
      <c r="Q7620" t="s">
        <v>2682</v>
      </c>
      <c r="R7620" t="s">
        <v>4946</v>
      </c>
      <c r="S7620" t="s">
        <v>1615</v>
      </c>
      <c r="T7620" t="s">
        <v>1611</v>
      </c>
    </row>
    <row r="7621" spans="1:20" x14ac:dyDescent="0.25">
      <c r="A7621">
        <v>9</v>
      </c>
      <c r="B7621">
        <v>199</v>
      </c>
      <c r="C7621" t="str">
        <f>"13"</f>
        <v>13</v>
      </c>
      <c r="D7621">
        <v>6411</v>
      </c>
      <c r="E7621" t="str">
        <f>"P1"</f>
        <v>P1</v>
      </c>
      <c r="F7621" t="str">
        <f>"001"</f>
        <v>001</v>
      </c>
      <c r="G7621">
        <v>9</v>
      </c>
      <c r="H7621" t="str">
        <f>"11"</f>
        <v>11</v>
      </c>
      <c r="I7621" t="str">
        <f>"1"</f>
        <v>1</v>
      </c>
      <c r="J7621" t="str">
        <f>"01"</f>
        <v>01</v>
      </c>
      <c r="K7621">
        <v>20190802</v>
      </c>
      <c r="L7621" t="str">
        <f>"077549"</f>
        <v>077549</v>
      </c>
      <c r="M7621" t="str">
        <f>"00045"</f>
        <v>00045</v>
      </c>
      <c r="N7621" t="s">
        <v>5981</v>
      </c>
      <c r="O7621">
        <v>414.13</v>
      </c>
      <c r="P7621">
        <v>20190801</v>
      </c>
      <c r="Q7621" t="s">
        <v>5982</v>
      </c>
      <c r="R7621" t="s">
        <v>4692</v>
      </c>
      <c r="S7621" t="s">
        <v>1615</v>
      </c>
      <c r="T7621" t="s">
        <v>301</v>
      </c>
    </row>
    <row r="7622" spans="1:20" x14ac:dyDescent="0.25">
      <c r="A7622">
        <v>9</v>
      </c>
      <c r="B7622">
        <v>199</v>
      </c>
      <c r="C7622" t="str">
        <f>"52"</f>
        <v>52</v>
      </c>
      <c r="D7622">
        <v>6219</v>
      </c>
      <c r="E7622" t="str">
        <f>"00"</f>
        <v>00</v>
      </c>
      <c r="F7622" t="str">
        <f>"101"</f>
        <v>101</v>
      </c>
      <c r="G7622">
        <v>9</v>
      </c>
      <c r="H7622" t="str">
        <f>"99"</f>
        <v>99</v>
      </c>
      <c r="I7622" t="str">
        <f t="shared" ref="I7622:I7628" si="1715">"0"</f>
        <v>0</v>
      </c>
      <c r="J7622" t="str">
        <f>"00"</f>
        <v>00</v>
      </c>
      <c r="K7622">
        <v>20190802</v>
      </c>
      <c r="L7622" t="str">
        <f>"077551"</f>
        <v>077551</v>
      </c>
      <c r="M7622" t="str">
        <f>"00755"</f>
        <v>00755</v>
      </c>
      <c r="N7622" t="s">
        <v>4268</v>
      </c>
      <c r="O7622">
        <v>300</v>
      </c>
      <c r="P7622">
        <v>20190801</v>
      </c>
      <c r="Q7622" t="s">
        <v>1854</v>
      </c>
      <c r="R7622" t="s">
        <v>5983</v>
      </c>
      <c r="S7622" t="s">
        <v>1615</v>
      </c>
      <c r="T7622" t="s">
        <v>1479</v>
      </c>
    </row>
    <row r="7623" spans="1:20" x14ac:dyDescent="0.25">
      <c r="A7623">
        <v>9</v>
      </c>
      <c r="B7623">
        <v>199</v>
      </c>
      <c r="C7623" t="str">
        <f>"41"</f>
        <v>41</v>
      </c>
      <c r="D7623">
        <v>6419</v>
      </c>
      <c r="E7623" t="str">
        <f>"10"</f>
        <v>10</v>
      </c>
      <c r="F7623" t="str">
        <f>"702"</f>
        <v>702</v>
      </c>
      <c r="G7623">
        <v>9</v>
      </c>
      <c r="H7623" t="str">
        <f>"99"</f>
        <v>99</v>
      </c>
      <c r="I7623" t="str">
        <f t="shared" si="1715"/>
        <v>0</v>
      </c>
      <c r="J7623" t="str">
        <f>"93"</f>
        <v>93</v>
      </c>
      <c r="K7623">
        <v>20190802</v>
      </c>
      <c r="L7623" t="str">
        <f>"077552"</f>
        <v>077552</v>
      </c>
      <c r="M7623" t="str">
        <f>"53990"</f>
        <v>53990</v>
      </c>
      <c r="N7623" t="s">
        <v>5984</v>
      </c>
      <c r="O7623">
        <v>208.27</v>
      </c>
      <c r="P7623">
        <v>20190801</v>
      </c>
      <c r="Q7623" t="s">
        <v>1645</v>
      </c>
      <c r="R7623" t="s">
        <v>4946</v>
      </c>
      <c r="S7623" t="s">
        <v>1615</v>
      </c>
      <c r="T7623" t="s">
        <v>1611</v>
      </c>
    </row>
    <row r="7624" spans="1:20" x14ac:dyDescent="0.25">
      <c r="A7624">
        <v>9</v>
      </c>
      <c r="B7624">
        <v>199</v>
      </c>
      <c r="C7624" t="str">
        <f>"13"</f>
        <v>13</v>
      </c>
      <c r="D7624">
        <v>6411</v>
      </c>
      <c r="E7624" t="str">
        <f>"SL"</f>
        <v>SL</v>
      </c>
      <c r="F7624" t="str">
        <f>"001"</f>
        <v>001</v>
      </c>
      <c r="G7624">
        <v>9</v>
      </c>
      <c r="H7624" t="str">
        <f>"11"</f>
        <v>11</v>
      </c>
      <c r="I7624" t="str">
        <f t="shared" si="1715"/>
        <v>0</v>
      </c>
      <c r="J7624" t="str">
        <f>"01"</f>
        <v>01</v>
      </c>
      <c r="K7624">
        <v>20190802</v>
      </c>
      <c r="L7624" t="str">
        <f>"077553"</f>
        <v>077553</v>
      </c>
      <c r="M7624" t="str">
        <f>"00857"</f>
        <v>00857</v>
      </c>
      <c r="N7624" t="s">
        <v>5985</v>
      </c>
      <c r="O7624">
        <v>248.73</v>
      </c>
      <c r="P7624">
        <v>20190801</v>
      </c>
      <c r="Q7624" t="s">
        <v>5986</v>
      </c>
      <c r="R7624" t="s">
        <v>5111</v>
      </c>
      <c r="S7624" t="s">
        <v>1615</v>
      </c>
      <c r="T7624" t="s">
        <v>301</v>
      </c>
    </row>
    <row r="7625" spans="1:20" x14ac:dyDescent="0.25">
      <c r="A7625">
        <v>9</v>
      </c>
      <c r="B7625">
        <v>199</v>
      </c>
      <c r="C7625" t="str">
        <f>"11"</f>
        <v>11</v>
      </c>
      <c r="D7625">
        <v>6399</v>
      </c>
      <c r="E7625" t="str">
        <f>"10"</f>
        <v>10</v>
      </c>
      <c r="F7625" t="str">
        <f>"001"</f>
        <v>001</v>
      </c>
      <c r="G7625">
        <v>9</v>
      </c>
      <c r="H7625" t="str">
        <f>"11"</f>
        <v>11</v>
      </c>
      <c r="I7625" t="str">
        <f t="shared" si="1715"/>
        <v>0</v>
      </c>
      <c r="J7625" t="str">
        <f>"01"</f>
        <v>01</v>
      </c>
      <c r="K7625">
        <v>20190802</v>
      </c>
      <c r="L7625" t="str">
        <f>"077556"</f>
        <v>077556</v>
      </c>
      <c r="M7625" t="str">
        <f>"58204"</f>
        <v>58204</v>
      </c>
      <c r="N7625" t="s">
        <v>1767</v>
      </c>
      <c r="O7625">
        <v>396.53</v>
      </c>
      <c r="P7625">
        <v>20190801</v>
      </c>
      <c r="Q7625" t="s">
        <v>1675</v>
      </c>
      <c r="R7625" t="s">
        <v>641</v>
      </c>
      <c r="S7625" t="s">
        <v>1615</v>
      </c>
      <c r="T7625" t="s">
        <v>301</v>
      </c>
    </row>
    <row r="7626" spans="1:20" x14ac:dyDescent="0.25">
      <c r="A7626">
        <v>9</v>
      </c>
      <c r="B7626">
        <v>199</v>
      </c>
      <c r="C7626" t="str">
        <f>"51"</f>
        <v>51</v>
      </c>
      <c r="D7626">
        <v>6249</v>
      </c>
      <c r="E7626" t="str">
        <f>"MC"</f>
        <v>MC</v>
      </c>
      <c r="F7626" t="str">
        <f>"002"</f>
        <v>002</v>
      </c>
      <c r="G7626">
        <v>9</v>
      </c>
      <c r="H7626" t="str">
        <f t="shared" ref="H7626:H7634" si="1716">"99"</f>
        <v>99</v>
      </c>
      <c r="I7626" t="str">
        <f t="shared" si="1715"/>
        <v>0</v>
      </c>
      <c r="J7626" t="str">
        <f>"81"</f>
        <v>81</v>
      </c>
      <c r="K7626">
        <v>20190802</v>
      </c>
      <c r="L7626" t="str">
        <f>"077558"</f>
        <v>077558</v>
      </c>
      <c r="M7626" t="str">
        <f>"00266"</f>
        <v>00266</v>
      </c>
      <c r="N7626" t="s">
        <v>5987</v>
      </c>
      <c r="O7626">
        <v>600</v>
      </c>
      <c r="P7626">
        <v>20190801</v>
      </c>
      <c r="Q7626" t="s">
        <v>5710</v>
      </c>
      <c r="R7626" t="s">
        <v>5988</v>
      </c>
      <c r="S7626" t="s">
        <v>1615</v>
      </c>
      <c r="T7626" t="s">
        <v>1485</v>
      </c>
    </row>
    <row r="7627" spans="1:20" x14ac:dyDescent="0.25">
      <c r="A7627">
        <v>9</v>
      </c>
      <c r="B7627">
        <v>199</v>
      </c>
      <c r="C7627" t="str">
        <f>"41"</f>
        <v>41</v>
      </c>
      <c r="D7627">
        <v>6411</v>
      </c>
      <c r="E7627" t="str">
        <f>"10"</f>
        <v>10</v>
      </c>
      <c r="F7627" t="str">
        <f>"701"</f>
        <v>701</v>
      </c>
      <c r="G7627">
        <v>9</v>
      </c>
      <c r="H7627" t="str">
        <f t="shared" si="1716"/>
        <v>99</v>
      </c>
      <c r="I7627" t="str">
        <f t="shared" si="1715"/>
        <v>0</v>
      </c>
      <c r="J7627" t="str">
        <f>"92"</f>
        <v>92</v>
      </c>
      <c r="K7627">
        <v>20190802</v>
      </c>
      <c r="L7627" t="str">
        <f>"077559"</f>
        <v>077559</v>
      </c>
      <c r="M7627" t="str">
        <f>"74060"</f>
        <v>74060</v>
      </c>
      <c r="N7627" t="s">
        <v>3265</v>
      </c>
      <c r="O7627">
        <v>160.6</v>
      </c>
      <c r="P7627">
        <v>20190801</v>
      </c>
      <c r="Q7627" t="s">
        <v>3101</v>
      </c>
      <c r="R7627" t="s">
        <v>4946</v>
      </c>
      <c r="S7627" t="s">
        <v>1615</v>
      </c>
      <c r="T7627" t="s">
        <v>1841</v>
      </c>
    </row>
    <row r="7628" spans="1:20" x14ac:dyDescent="0.25">
      <c r="A7628">
        <v>9</v>
      </c>
      <c r="B7628">
        <v>199</v>
      </c>
      <c r="C7628" t="str">
        <f>"41"</f>
        <v>41</v>
      </c>
      <c r="D7628">
        <v>6411</v>
      </c>
      <c r="E7628" t="str">
        <f>"10"</f>
        <v>10</v>
      </c>
      <c r="F7628" t="str">
        <f>"701"</f>
        <v>701</v>
      </c>
      <c r="G7628">
        <v>9</v>
      </c>
      <c r="H7628" t="str">
        <f t="shared" si="1716"/>
        <v>99</v>
      </c>
      <c r="I7628" t="str">
        <f t="shared" si="1715"/>
        <v>0</v>
      </c>
      <c r="J7628" t="str">
        <f>"92"</f>
        <v>92</v>
      </c>
      <c r="K7628">
        <v>20190802</v>
      </c>
      <c r="L7628" t="str">
        <f>"077559"</f>
        <v>077559</v>
      </c>
      <c r="M7628" t="str">
        <f>"74060"</f>
        <v>74060</v>
      </c>
      <c r="N7628" t="s">
        <v>3265</v>
      </c>
      <c r="O7628">
        <v>221.8</v>
      </c>
      <c r="P7628">
        <v>20190801</v>
      </c>
      <c r="Q7628" t="s">
        <v>3101</v>
      </c>
      <c r="R7628" t="s">
        <v>5989</v>
      </c>
      <c r="S7628" t="s">
        <v>1615</v>
      </c>
      <c r="T7628" t="s">
        <v>1841</v>
      </c>
    </row>
    <row r="7629" spans="1:20" x14ac:dyDescent="0.25">
      <c r="A7629">
        <v>9</v>
      </c>
      <c r="B7629">
        <v>199</v>
      </c>
      <c r="C7629" t="str">
        <f>"23"</f>
        <v>23</v>
      </c>
      <c r="D7629">
        <v>6411</v>
      </c>
      <c r="E7629" t="str">
        <f>"10"</f>
        <v>10</v>
      </c>
      <c r="F7629" t="str">
        <f>"101"</f>
        <v>101</v>
      </c>
      <c r="G7629">
        <v>9</v>
      </c>
      <c r="H7629" t="str">
        <f t="shared" si="1716"/>
        <v>99</v>
      </c>
      <c r="I7629" t="str">
        <f>"1"</f>
        <v>1</v>
      </c>
      <c r="J7629" t="str">
        <f>"04"</f>
        <v>04</v>
      </c>
      <c r="K7629">
        <v>20190802</v>
      </c>
      <c r="L7629" t="str">
        <f>"077560"</f>
        <v>077560</v>
      </c>
      <c r="M7629" t="str">
        <f>"80561"</f>
        <v>80561</v>
      </c>
      <c r="N7629" t="s">
        <v>5990</v>
      </c>
      <c r="O7629">
        <v>80.95</v>
      </c>
      <c r="P7629">
        <v>20190801</v>
      </c>
      <c r="Q7629" t="s">
        <v>5971</v>
      </c>
      <c r="R7629" t="s">
        <v>5991</v>
      </c>
      <c r="S7629" t="s">
        <v>1615</v>
      </c>
      <c r="T7629" t="s">
        <v>1479</v>
      </c>
    </row>
    <row r="7630" spans="1:20" x14ac:dyDescent="0.25">
      <c r="A7630">
        <v>9</v>
      </c>
      <c r="B7630">
        <v>199</v>
      </c>
      <c r="C7630" t="str">
        <f>"41"</f>
        <v>41</v>
      </c>
      <c r="D7630">
        <v>6399</v>
      </c>
      <c r="E7630" t="str">
        <f>"00"</f>
        <v>00</v>
      </c>
      <c r="F7630" t="str">
        <f>"939"</f>
        <v>939</v>
      </c>
      <c r="G7630">
        <v>9</v>
      </c>
      <c r="H7630" t="str">
        <f t="shared" si="1716"/>
        <v>99</v>
      </c>
      <c r="I7630" t="str">
        <f t="shared" ref="I7630:I7635" si="1717">"0"</f>
        <v>0</v>
      </c>
      <c r="J7630" t="str">
        <f>"87"</f>
        <v>87</v>
      </c>
      <c r="K7630">
        <v>20190809</v>
      </c>
      <c r="L7630" t="str">
        <f>"077562"</f>
        <v>077562</v>
      </c>
      <c r="M7630" t="str">
        <f>"03710"</f>
        <v>03710</v>
      </c>
      <c r="N7630" t="s">
        <v>1385</v>
      </c>
      <c r="O7630">
        <v>107.8</v>
      </c>
      <c r="P7630">
        <v>20190806</v>
      </c>
      <c r="Q7630" t="s">
        <v>4926</v>
      </c>
      <c r="R7630" t="s">
        <v>641</v>
      </c>
      <c r="S7630" t="s">
        <v>1615</v>
      </c>
      <c r="T7630" t="s">
        <v>2985</v>
      </c>
    </row>
    <row r="7631" spans="1:20" x14ac:dyDescent="0.25">
      <c r="A7631">
        <v>9</v>
      </c>
      <c r="B7631">
        <v>199</v>
      </c>
      <c r="C7631" t="str">
        <f>"41"</f>
        <v>41</v>
      </c>
      <c r="D7631">
        <v>6399</v>
      </c>
      <c r="E7631" t="str">
        <f>"10"</f>
        <v>10</v>
      </c>
      <c r="F7631" t="str">
        <f>"730"</f>
        <v>730</v>
      </c>
      <c r="G7631">
        <v>9</v>
      </c>
      <c r="H7631" t="str">
        <f t="shared" si="1716"/>
        <v>99</v>
      </c>
      <c r="I7631" t="str">
        <f t="shared" si="1717"/>
        <v>0</v>
      </c>
      <c r="J7631" t="str">
        <f>"95"</f>
        <v>95</v>
      </c>
      <c r="K7631">
        <v>20190809</v>
      </c>
      <c r="L7631" t="str">
        <f>"077562"</f>
        <v>077562</v>
      </c>
      <c r="M7631" t="str">
        <f>"03710"</f>
        <v>03710</v>
      </c>
      <c r="N7631" t="s">
        <v>1385</v>
      </c>
      <c r="O7631" s="1">
        <v>1423.9</v>
      </c>
      <c r="P7631">
        <v>20190806</v>
      </c>
      <c r="Q7631" t="s">
        <v>1987</v>
      </c>
      <c r="R7631" t="s">
        <v>641</v>
      </c>
      <c r="S7631" t="s">
        <v>1615</v>
      </c>
      <c r="T7631" t="s">
        <v>1794</v>
      </c>
    </row>
    <row r="7632" spans="1:20" x14ac:dyDescent="0.25">
      <c r="A7632">
        <v>9</v>
      </c>
      <c r="B7632">
        <v>199</v>
      </c>
      <c r="C7632" t="str">
        <f>"41"</f>
        <v>41</v>
      </c>
      <c r="D7632">
        <v>6399</v>
      </c>
      <c r="E7632" t="str">
        <f>"10"</f>
        <v>10</v>
      </c>
      <c r="F7632" t="str">
        <f>"730"</f>
        <v>730</v>
      </c>
      <c r="G7632">
        <v>9</v>
      </c>
      <c r="H7632" t="str">
        <f t="shared" si="1716"/>
        <v>99</v>
      </c>
      <c r="I7632" t="str">
        <f t="shared" si="1717"/>
        <v>0</v>
      </c>
      <c r="J7632" t="str">
        <f>"95"</f>
        <v>95</v>
      </c>
      <c r="K7632">
        <v>20190809</v>
      </c>
      <c r="L7632" t="str">
        <f>"077562"</f>
        <v>077562</v>
      </c>
      <c r="M7632" t="str">
        <f>"03710"</f>
        <v>03710</v>
      </c>
      <c r="N7632" t="s">
        <v>1385</v>
      </c>
      <c r="O7632">
        <v>11.85</v>
      </c>
      <c r="P7632">
        <v>20190806</v>
      </c>
      <c r="Q7632" t="s">
        <v>1987</v>
      </c>
      <c r="R7632" t="s">
        <v>5992</v>
      </c>
      <c r="S7632" t="s">
        <v>1615</v>
      </c>
      <c r="T7632" t="s">
        <v>1794</v>
      </c>
    </row>
    <row r="7633" spans="1:20" x14ac:dyDescent="0.25">
      <c r="A7633">
        <v>9</v>
      </c>
      <c r="B7633">
        <v>199</v>
      </c>
      <c r="C7633" t="str">
        <f>"41"</f>
        <v>41</v>
      </c>
      <c r="D7633">
        <v>6498</v>
      </c>
      <c r="E7633" t="str">
        <f>"00"</f>
        <v>00</v>
      </c>
      <c r="F7633" t="str">
        <f>"939"</f>
        <v>939</v>
      </c>
      <c r="G7633">
        <v>9</v>
      </c>
      <c r="H7633" t="str">
        <f t="shared" si="1716"/>
        <v>99</v>
      </c>
      <c r="I7633" t="str">
        <f t="shared" si="1717"/>
        <v>0</v>
      </c>
      <c r="J7633" t="str">
        <f>"87"</f>
        <v>87</v>
      </c>
      <c r="K7633">
        <v>20190809</v>
      </c>
      <c r="L7633" t="str">
        <f>"077562"</f>
        <v>077562</v>
      </c>
      <c r="M7633" t="str">
        <f>"03710"</f>
        <v>03710</v>
      </c>
      <c r="N7633" t="s">
        <v>1385</v>
      </c>
      <c r="O7633">
        <v>260.02</v>
      </c>
      <c r="P7633">
        <v>20190806</v>
      </c>
      <c r="Q7633" t="s">
        <v>5201</v>
      </c>
      <c r="R7633" t="s">
        <v>641</v>
      </c>
      <c r="S7633" t="s">
        <v>1615</v>
      </c>
      <c r="T7633" t="s">
        <v>2985</v>
      </c>
    </row>
    <row r="7634" spans="1:20" x14ac:dyDescent="0.25">
      <c r="A7634">
        <v>9</v>
      </c>
      <c r="B7634">
        <v>199</v>
      </c>
      <c r="C7634" t="str">
        <f>"41"</f>
        <v>41</v>
      </c>
      <c r="D7634">
        <v>6498</v>
      </c>
      <c r="E7634" t="str">
        <f>"00"</f>
        <v>00</v>
      </c>
      <c r="F7634" t="str">
        <f>"939"</f>
        <v>939</v>
      </c>
      <c r="G7634">
        <v>9</v>
      </c>
      <c r="H7634" t="str">
        <f t="shared" si="1716"/>
        <v>99</v>
      </c>
      <c r="I7634" t="str">
        <f t="shared" si="1717"/>
        <v>0</v>
      </c>
      <c r="J7634" t="str">
        <f>"87"</f>
        <v>87</v>
      </c>
      <c r="K7634">
        <v>20190809</v>
      </c>
      <c r="L7634" t="str">
        <f>"077562"</f>
        <v>077562</v>
      </c>
      <c r="M7634" t="str">
        <f>"03710"</f>
        <v>03710</v>
      </c>
      <c r="N7634" t="s">
        <v>1385</v>
      </c>
      <c r="O7634">
        <v>22.17</v>
      </c>
      <c r="P7634">
        <v>20190806</v>
      </c>
      <c r="Q7634" t="s">
        <v>5201</v>
      </c>
      <c r="R7634" t="s">
        <v>5993</v>
      </c>
      <c r="S7634" t="s">
        <v>1615</v>
      </c>
      <c r="T7634" t="s">
        <v>2985</v>
      </c>
    </row>
    <row r="7635" spans="1:20" x14ac:dyDescent="0.25">
      <c r="A7635">
        <v>9</v>
      </c>
      <c r="B7635">
        <v>199</v>
      </c>
      <c r="C7635" t="str">
        <f>"11"</f>
        <v>11</v>
      </c>
      <c r="D7635">
        <v>6399</v>
      </c>
      <c r="E7635" t="str">
        <f>"V1"</f>
        <v>V1</v>
      </c>
      <c r="F7635" t="str">
        <f>"001"</f>
        <v>001</v>
      </c>
      <c r="G7635">
        <v>9</v>
      </c>
      <c r="H7635" t="str">
        <f>"22"</f>
        <v>22</v>
      </c>
      <c r="I7635" t="str">
        <f t="shared" si="1717"/>
        <v>0</v>
      </c>
      <c r="J7635" t="str">
        <f>"22"</f>
        <v>22</v>
      </c>
      <c r="K7635">
        <v>20190809</v>
      </c>
      <c r="L7635" t="str">
        <f>"077563"</f>
        <v>077563</v>
      </c>
      <c r="M7635" t="str">
        <f>"00844"</f>
        <v>00844</v>
      </c>
      <c r="N7635" t="s">
        <v>5994</v>
      </c>
      <c r="O7635" s="1">
        <v>1185</v>
      </c>
      <c r="P7635">
        <v>20190806</v>
      </c>
      <c r="Q7635" t="s">
        <v>5437</v>
      </c>
      <c r="R7635" t="s">
        <v>5995</v>
      </c>
      <c r="S7635" t="s">
        <v>1615</v>
      </c>
      <c r="T7635" t="s">
        <v>301</v>
      </c>
    </row>
    <row r="7636" spans="1:20" x14ac:dyDescent="0.25">
      <c r="A7636">
        <v>9</v>
      </c>
      <c r="B7636">
        <v>199</v>
      </c>
      <c r="C7636" t="str">
        <f>"51"</f>
        <v>51</v>
      </c>
      <c r="D7636">
        <v>6249</v>
      </c>
      <c r="E7636" t="str">
        <f>"PM"</f>
        <v>PM</v>
      </c>
      <c r="F7636" t="str">
        <f>"936"</f>
        <v>936</v>
      </c>
      <c r="G7636">
        <v>9</v>
      </c>
      <c r="H7636" t="str">
        <f t="shared" ref="H7636:H7642" si="1718">"99"</f>
        <v>99</v>
      </c>
      <c r="I7636" t="str">
        <f>"1"</f>
        <v>1</v>
      </c>
      <c r="J7636" t="str">
        <f>"81"</f>
        <v>81</v>
      </c>
      <c r="K7636">
        <v>20190809</v>
      </c>
      <c r="L7636" t="str">
        <f>"077564"</f>
        <v>077564</v>
      </c>
      <c r="M7636" t="str">
        <f>"00306"</f>
        <v>00306</v>
      </c>
      <c r="N7636" t="s">
        <v>2810</v>
      </c>
      <c r="O7636">
        <v>90.78</v>
      </c>
      <c r="P7636">
        <v>20190806</v>
      </c>
      <c r="Q7636" t="s">
        <v>2811</v>
      </c>
      <c r="R7636" t="s">
        <v>5996</v>
      </c>
      <c r="S7636" t="s">
        <v>1615</v>
      </c>
      <c r="T7636" t="s">
        <v>1713</v>
      </c>
    </row>
    <row r="7637" spans="1:20" x14ac:dyDescent="0.25">
      <c r="A7637">
        <v>9</v>
      </c>
      <c r="B7637">
        <v>199</v>
      </c>
      <c r="C7637" t="str">
        <f>"51"</f>
        <v>51</v>
      </c>
      <c r="D7637">
        <v>6249</v>
      </c>
      <c r="E7637" t="str">
        <f>"PM"</f>
        <v>PM</v>
      </c>
      <c r="F7637" t="str">
        <f>"936"</f>
        <v>936</v>
      </c>
      <c r="G7637">
        <v>9</v>
      </c>
      <c r="H7637" t="str">
        <f t="shared" si="1718"/>
        <v>99</v>
      </c>
      <c r="I7637" t="str">
        <f>"1"</f>
        <v>1</v>
      </c>
      <c r="J7637" t="str">
        <f>"81"</f>
        <v>81</v>
      </c>
      <c r="K7637">
        <v>20190809</v>
      </c>
      <c r="L7637" t="str">
        <f>"077564"</f>
        <v>077564</v>
      </c>
      <c r="M7637" t="str">
        <f>"00306"</f>
        <v>00306</v>
      </c>
      <c r="N7637" t="s">
        <v>2810</v>
      </c>
      <c r="O7637">
        <v>83.03</v>
      </c>
      <c r="P7637">
        <v>20190806</v>
      </c>
      <c r="Q7637" t="s">
        <v>2811</v>
      </c>
      <c r="R7637" t="s">
        <v>5997</v>
      </c>
      <c r="S7637" t="s">
        <v>1615</v>
      </c>
      <c r="T7637" t="s">
        <v>1713</v>
      </c>
    </row>
    <row r="7638" spans="1:20" x14ac:dyDescent="0.25">
      <c r="A7638">
        <v>9</v>
      </c>
      <c r="B7638">
        <v>199</v>
      </c>
      <c r="C7638" t="str">
        <f>"51"</f>
        <v>51</v>
      </c>
      <c r="D7638">
        <v>6249</v>
      </c>
      <c r="E7638" t="str">
        <f>"PM"</f>
        <v>PM</v>
      </c>
      <c r="F7638" t="str">
        <f>"936"</f>
        <v>936</v>
      </c>
      <c r="G7638">
        <v>9</v>
      </c>
      <c r="H7638" t="str">
        <f t="shared" si="1718"/>
        <v>99</v>
      </c>
      <c r="I7638" t="str">
        <f>"1"</f>
        <v>1</v>
      </c>
      <c r="J7638" t="str">
        <f>"81"</f>
        <v>81</v>
      </c>
      <c r="K7638">
        <v>20190809</v>
      </c>
      <c r="L7638" t="str">
        <f>"077564"</f>
        <v>077564</v>
      </c>
      <c r="M7638" t="str">
        <f>"00306"</f>
        <v>00306</v>
      </c>
      <c r="N7638" t="s">
        <v>2810</v>
      </c>
      <c r="O7638">
        <v>160.29</v>
      </c>
      <c r="P7638">
        <v>20190806</v>
      </c>
      <c r="Q7638" t="s">
        <v>2811</v>
      </c>
      <c r="R7638" t="s">
        <v>5998</v>
      </c>
      <c r="S7638" t="s">
        <v>1615</v>
      </c>
      <c r="T7638" t="s">
        <v>1713</v>
      </c>
    </row>
    <row r="7639" spans="1:20" x14ac:dyDescent="0.25">
      <c r="A7639">
        <v>9</v>
      </c>
      <c r="B7639">
        <v>199</v>
      </c>
      <c r="C7639" t="str">
        <f>"41"</f>
        <v>41</v>
      </c>
      <c r="D7639">
        <v>6299</v>
      </c>
      <c r="E7639" t="str">
        <f>"10"</f>
        <v>10</v>
      </c>
      <c r="F7639" t="str">
        <f>"730"</f>
        <v>730</v>
      </c>
      <c r="G7639">
        <v>9</v>
      </c>
      <c r="H7639" t="str">
        <f t="shared" si="1718"/>
        <v>99</v>
      </c>
      <c r="I7639" t="str">
        <f t="shared" ref="I7639:I7670" si="1719">"0"</f>
        <v>0</v>
      </c>
      <c r="J7639" t="str">
        <f>"95"</f>
        <v>95</v>
      </c>
      <c r="K7639">
        <v>20190809</v>
      </c>
      <c r="L7639" t="str">
        <f>"077565"</f>
        <v>077565</v>
      </c>
      <c r="M7639" t="str">
        <f>"01530"</f>
        <v>01530</v>
      </c>
      <c r="N7639" t="s">
        <v>1672</v>
      </c>
      <c r="O7639">
        <v>47</v>
      </c>
      <c r="P7639">
        <v>20190806</v>
      </c>
      <c r="Q7639" t="s">
        <v>2434</v>
      </c>
      <c r="R7639" t="s">
        <v>5999</v>
      </c>
      <c r="S7639" t="s">
        <v>1615</v>
      </c>
      <c r="T7639" t="s">
        <v>1794</v>
      </c>
    </row>
    <row r="7640" spans="1:20" x14ac:dyDescent="0.25">
      <c r="A7640">
        <v>9</v>
      </c>
      <c r="B7640">
        <v>199</v>
      </c>
      <c r="C7640" t="str">
        <f>"34"</f>
        <v>34</v>
      </c>
      <c r="D7640">
        <v>6249</v>
      </c>
      <c r="E7640" t="str">
        <f>"10"</f>
        <v>10</v>
      </c>
      <c r="F7640" t="str">
        <f>"937"</f>
        <v>937</v>
      </c>
      <c r="G7640">
        <v>9</v>
      </c>
      <c r="H7640" t="str">
        <f t="shared" si="1718"/>
        <v>99</v>
      </c>
      <c r="I7640" t="str">
        <f t="shared" si="1719"/>
        <v>0</v>
      </c>
      <c r="J7640" t="str">
        <f>"82"</f>
        <v>82</v>
      </c>
      <c r="K7640">
        <v>20190809</v>
      </c>
      <c r="L7640" t="str">
        <f>"077566"</f>
        <v>077566</v>
      </c>
      <c r="M7640" t="str">
        <f>"03846"</f>
        <v>03846</v>
      </c>
      <c r="N7640" t="s">
        <v>3678</v>
      </c>
      <c r="O7640">
        <v>618.74</v>
      </c>
      <c r="P7640">
        <v>20190806</v>
      </c>
      <c r="Q7640" t="s">
        <v>2036</v>
      </c>
      <c r="R7640" t="s">
        <v>6000</v>
      </c>
      <c r="S7640" t="s">
        <v>1615</v>
      </c>
      <c r="T7640" t="s">
        <v>1810</v>
      </c>
    </row>
    <row r="7641" spans="1:20" x14ac:dyDescent="0.25">
      <c r="A7641">
        <v>9</v>
      </c>
      <c r="B7641">
        <v>199</v>
      </c>
      <c r="C7641" t="str">
        <f>"34"</f>
        <v>34</v>
      </c>
      <c r="D7641">
        <v>6249</v>
      </c>
      <c r="E7641" t="str">
        <f>"10"</f>
        <v>10</v>
      </c>
      <c r="F7641" t="str">
        <f>"937"</f>
        <v>937</v>
      </c>
      <c r="G7641">
        <v>9</v>
      </c>
      <c r="H7641" t="str">
        <f t="shared" si="1718"/>
        <v>99</v>
      </c>
      <c r="I7641" t="str">
        <f t="shared" si="1719"/>
        <v>0</v>
      </c>
      <c r="J7641" t="str">
        <f>"82"</f>
        <v>82</v>
      </c>
      <c r="K7641">
        <v>20190809</v>
      </c>
      <c r="L7641" t="str">
        <f>"077566"</f>
        <v>077566</v>
      </c>
      <c r="M7641" t="str">
        <f>"03846"</f>
        <v>03846</v>
      </c>
      <c r="N7641" t="s">
        <v>3678</v>
      </c>
      <c r="O7641">
        <v>618.74</v>
      </c>
      <c r="P7641">
        <v>20190806</v>
      </c>
      <c r="Q7641" t="s">
        <v>2036</v>
      </c>
      <c r="R7641" t="s">
        <v>6001</v>
      </c>
      <c r="S7641" t="s">
        <v>1615</v>
      </c>
      <c r="T7641" t="s">
        <v>1810</v>
      </c>
    </row>
    <row r="7642" spans="1:20" x14ac:dyDescent="0.25">
      <c r="A7642">
        <v>9</v>
      </c>
      <c r="B7642">
        <v>199</v>
      </c>
      <c r="C7642" t="str">
        <f>"34"</f>
        <v>34</v>
      </c>
      <c r="D7642">
        <v>6249</v>
      </c>
      <c r="E7642" t="str">
        <f>"10"</f>
        <v>10</v>
      </c>
      <c r="F7642" t="str">
        <f>"937"</f>
        <v>937</v>
      </c>
      <c r="G7642">
        <v>9</v>
      </c>
      <c r="H7642" t="str">
        <f t="shared" si="1718"/>
        <v>99</v>
      </c>
      <c r="I7642" t="str">
        <f t="shared" si="1719"/>
        <v>0</v>
      </c>
      <c r="J7642" t="str">
        <f>"82"</f>
        <v>82</v>
      </c>
      <c r="K7642">
        <v>20190809</v>
      </c>
      <c r="L7642" t="str">
        <f>"077566"</f>
        <v>077566</v>
      </c>
      <c r="M7642" t="str">
        <f>"03846"</f>
        <v>03846</v>
      </c>
      <c r="N7642" t="s">
        <v>3678</v>
      </c>
      <c r="O7642">
        <v>614.67999999999995</v>
      </c>
      <c r="P7642">
        <v>20190806</v>
      </c>
      <c r="Q7642" t="s">
        <v>2036</v>
      </c>
      <c r="R7642" t="s">
        <v>6002</v>
      </c>
      <c r="S7642" t="s">
        <v>1615</v>
      </c>
      <c r="T7642" t="s">
        <v>1810</v>
      </c>
    </row>
    <row r="7643" spans="1:20" x14ac:dyDescent="0.25">
      <c r="A7643">
        <v>9</v>
      </c>
      <c r="B7643">
        <v>199</v>
      </c>
      <c r="C7643" t="str">
        <f>"11"</f>
        <v>11</v>
      </c>
      <c r="D7643">
        <v>6399</v>
      </c>
      <c r="E7643" t="str">
        <f>"V1"</f>
        <v>V1</v>
      </c>
      <c r="F7643" t="str">
        <f>"001"</f>
        <v>001</v>
      </c>
      <c r="G7643">
        <v>9</v>
      </c>
      <c r="H7643" t="str">
        <f>"22"</f>
        <v>22</v>
      </c>
      <c r="I7643" t="str">
        <f t="shared" si="1719"/>
        <v>0</v>
      </c>
      <c r="J7643" t="str">
        <f>"22"</f>
        <v>22</v>
      </c>
      <c r="K7643">
        <v>20190809</v>
      </c>
      <c r="L7643" t="str">
        <f t="shared" ref="L7643:L7666" si="1720">"077568"</f>
        <v>077568</v>
      </c>
      <c r="M7643" t="str">
        <f t="shared" ref="M7643:M7666" si="1721">"04410"</f>
        <v>04410</v>
      </c>
      <c r="N7643" t="s">
        <v>410</v>
      </c>
      <c r="O7643">
        <v>47.97</v>
      </c>
      <c r="P7643">
        <v>20190806</v>
      </c>
      <c r="Q7643" t="s">
        <v>5437</v>
      </c>
      <c r="R7643" t="s">
        <v>6003</v>
      </c>
      <c r="S7643" t="s">
        <v>1615</v>
      </c>
      <c r="T7643" t="s">
        <v>301</v>
      </c>
    </row>
    <row r="7644" spans="1:20" x14ac:dyDescent="0.25">
      <c r="A7644">
        <v>9</v>
      </c>
      <c r="B7644">
        <v>199</v>
      </c>
      <c r="C7644" t="str">
        <f>"11"</f>
        <v>11</v>
      </c>
      <c r="D7644">
        <v>6399</v>
      </c>
      <c r="E7644" t="str">
        <f>"V1"</f>
        <v>V1</v>
      </c>
      <c r="F7644" t="str">
        <f>"001"</f>
        <v>001</v>
      </c>
      <c r="G7644">
        <v>9</v>
      </c>
      <c r="H7644" t="str">
        <f>"22"</f>
        <v>22</v>
      </c>
      <c r="I7644" t="str">
        <f t="shared" si="1719"/>
        <v>0</v>
      </c>
      <c r="J7644" t="str">
        <f>"22"</f>
        <v>22</v>
      </c>
      <c r="K7644">
        <v>20190809</v>
      </c>
      <c r="L7644" t="str">
        <f t="shared" si="1720"/>
        <v>077568</v>
      </c>
      <c r="M7644" t="str">
        <f t="shared" si="1721"/>
        <v>04410</v>
      </c>
      <c r="N7644" t="s">
        <v>410</v>
      </c>
      <c r="O7644">
        <v>232.69</v>
      </c>
      <c r="P7644">
        <v>20190806</v>
      </c>
      <c r="Q7644" t="s">
        <v>5437</v>
      </c>
      <c r="R7644" t="s">
        <v>2443</v>
      </c>
      <c r="S7644" t="s">
        <v>1615</v>
      </c>
      <c r="T7644" t="s">
        <v>301</v>
      </c>
    </row>
    <row r="7645" spans="1:20" x14ac:dyDescent="0.25">
      <c r="A7645">
        <v>9</v>
      </c>
      <c r="B7645">
        <v>199</v>
      </c>
      <c r="C7645" t="str">
        <f>"11"</f>
        <v>11</v>
      </c>
      <c r="D7645">
        <v>6399</v>
      </c>
      <c r="E7645" t="str">
        <f>"V1"</f>
        <v>V1</v>
      </c>
      <c r="F7645" t="str">
        <f>"001"</f>
        <v>001</v>
      </c>
      <c r="G7645">
        <v>9</v>
      </c>
      <c r="H7645" t="str">
        <f>"22"</f>
        <v>22</v>
      </c>
      <c r="I7645" t="str">
        <f t="shared" si="1719"/>
        <v>0</v>
      </c>
      <c r="J7645" t="str">
        <f>"22"</f>
        <v>22</v>
      </c>
      <c r="K7645">
        <v>20190809</v>
      </c>
      <c r="L7645" t="str">
        <f t="shared" si="1720"/>
        <v>077568</v>
      </c>
      <c r="M7645" t="str">
        <f t="shared" si="1721"/>
        <v>04410</v>
      </c>
      <c r="N7645" t="s">
        <v>410</v>
      </c>
      <c r="O7645">
        <v>324.39999999999998</v>
      </c>
      <c r="P7645">
        <v>20190806</v>
      </c>
      <c r="Q7645" t="s">
        <v>5437</v>
      </c>
      <c r="R7645" t="s">
        <v>2443</v>
      </c>
      <c r="S7645" t="s">
        <v>1615</v>
      </c>
      <c r="T7645" t="s">
        <v>301</v>
      </c>
    </row>
    <row r="7646" spans="1:20" x14ac:dyDescent="0.25">
      <c r="A7646">
        <v>9</v>
      </c>
      <c r="B7646">
        <v>199</v>
      </c>
      <c r="C7646" t="str">
        <f>"11"</f>
        <v>11</v>
      </c>
      <c r="D7646">
        <v>6499</v>
      </c>
      <c r="E7646" t="str">
        <f>"11"</f>
        <v>11</v>
      </c>
      <c r="F7646" t="str">
        <f>"002"</f>
        <v>002</v>
      </c>
      <c r="G7646">
        <v>9</v>
      </c>
      <c r="H7646" t="str">
        <f>"11"</f>
        <v>11</v>
      </c>
      <c r="I7646" t="str">
        <f t="shared" si="1719"/>
        <v>0</v>
      </c>
      <c r="J7646" t="str">
        <f>"02"</f>
        <v>02</v>
      </c>
      <c r="K7646">
        <v>20190809</v>
      </c>
      <c r="L7646" t="str">
        <f t="shared" si="1720"/>
        <v>077568</v>
      </c>
      <c r="M7646" t="str">
        <f t="shared" si="1721"/>
        <v>04410</v>
      </c>
      <c r="N7646" t="s">
        <v>410</v>
      </c>
      <c r="O7646">
        <v>216.32</v>
      </c>
      <c r="P7646">
        <v>20190808</v>
      </c>
      <c r="Q7646" t="s">
        <v>5483</v>
      </c>
      <c r="R7646" t="s">
        <v>6004</v>
      </c>
      <c r="S7646" t="s">
        <v>1615</v>
      </c>
      <c r="T7646" t="s">
        <v>1485</v>
      </c>
    </row>
    <row r="7647" spans="1:20" x14ac:dyDescent="0.25">
      <c r="A7647">
        <v>9</v>
      </c>
      <c r="B7647">
        <v>199</v>
      </c>
      <c r="C7647" t="str">
        <f>"11"</f>
        <v>11</v>
      </c>
      <c r="D7647">
        <v>6499</v>
      </c>
      <c r="E7647" t="str">
        <f>"11"</f>
        <v>11</v>
      </c>
      <c r="F7647" t="str">
        <f>"002"</f>
        <v>002</v>
      </c>
      <c r="G7647">
        <v>9</v>
      </c>
      <c r="H7647" t="str">
        <f>"11"</f>
        <v>11</v>
      </c>
      <c r="I7647" t="str">
        <f t="shared" si="1719"/>
        <v>0</v>
      </c>
      <c r="J7647" t="str">
        <f>"02"</f>
        <v>02</v>
      </c>
      <c r="K7647">
        <v>20190809</v>
      </c>
      <c r="L7647" t="str">
        <f t="shared" si="1720"/>
        <v>077568</v>
      </c>
      <c r="M7647" t="str">
        <f t="shared" si="1721"/>
        <v>04410</v>
      </c>
      <c r="N7647" t="s">
        <v>410</v>
      </c>
      <c r="O7647">
        <v>-8.48</v>
      </c>
      <c r="P7647">
        <v>20190807</v>
      </c>
      <c r="Q7647" t="s">
        <v>5483</v>
      </c>
      <c r="R7647" t="s">
        <v>4700</v>
      </c>
      <c r="S7647" t="s">
        <v>1615</v>
      </c>
      <c r="T7647" t="s">
        <v>1485</v>
      </c>
    </row>
    <row r="7648" spans="1:20" x14ac:dyDescent="0.25">
      <c r="A7648">
        <v>9</v>
      </c>
      <c r="B7648">
        <v>199</v>
      </c>
      <c r="C7648" t="str">
        <f>"31"</f>
        <v>31</v>
      </c>
      <c r="D7648">
        <v>6399</v>
      </c>
      <c r="E7648" t="str">
        <f>"7F"</f>
        <v>7F</v>
      </c>
      <c r="F7648" t="str">
        <f>"101"</f>
        <v>101</v>
      </c>
      <c r="G7648">
        <v>9</v>
      </c>
      <c r="H7648" t="str">
        <f t="shared" ref="H7648:H7669" si="1722">"99"</f>
        <v>99</v>
      </c>
      <c r="I7648" t="str">
        <f t="shared" si="1719"/>
        <v>0</v>
      </c>
      <c r="J7648" t="str">
        <f>"04"</f>
        <v>04</v>
      </c>
      <c r="K7648">
        <v>20190809</v>
      </c>
      <c r="L7648" t="str">
        <f t="shared" si="1720"/>
        <v>077568</v>
      </c>
      <c r="M7648" t="str">
        <f t="shared" si="1721"/>
        <v>04410</v>
      </c>
      <c r="N7648" t="s">
        <v>410</v>
      </c>
      <c r="O7648">
        <v>28.08</v>
      </c>
      <c r="P7648">
        <v>20190806</v>
      </c>
      <c r="Q7648" t="s">
        <v>5186</v>
      </c>
      <c r="R7648" t="s">
        <v>6005</v>
      </c>
      <c r="S7648" t="s">
        <v>1615</v>
      </c>
      <c r="T7648" t="s">
        <v>1479</v>
      </c>
    </row>
    <row r="7649" spans="1:20" x14ac:dyDescent="0.25">
      <c r="A7649">
        <v>9</v>
      </c>
      <c r="B7649">
        <v>199</v>
      </c>
      <c r="C7649" t="str">
        <f t="shared" ref="C7649:C7669" si="1723">"41"</f>
        <v>41</v>
      </c>
      <c r="D7649">
        <v>6399</v>
      </c>
      <c r="E7649" t="str">
        <f>"00"</f>
        <v>00</v>
      </c>
      <c r="F7649" t="str">
        <f>"932"</f>
        <v>932</v>
      </c>
      <c r="G7649">
        <v>9</v>
      </c>
      <c r="H7649" t="str">
        <f t="shared" si="1722"/>
        <v>99</v>
      </c>
      <c r="I7649" t="str">
        <f t="shared" si="1719"/>
        <v>0</v>
      </c>
      <c r="J7649" t="str">
        <f>"84"</f>
        <v>84</v>
      </c>
      <c r="K7649">
        <v>20190809</v>
      </c>
      <c r="L7649" t="str">
        <f t="shared" si="1720"/>
        <v>077568</v>
      </c>
      <c r="M7649" t="str">
        <f t="shared" si="1721"/>
        <v>04410</v>
      </c>
      <c r="N7649" t="s">
        <v>410</v>
      </c>
      <c r="O7649">
        <v>64.95</v>
      </c>
      <c r="P7649">
        <v>20190806</v>
      </c>
      <c r="Q7649" t="s">
        <v>5531</v>
      </c>
      <c r="R7649" t="s">
        <v>5013</v>
      </c>
      <c r="S7649" t="s">
        <v>1615</v>
      </c>
      <c r="T7649" t="s">
        <v>2900</v>
      </c>
    </row>
    <row r="7650" spans="1:20" x14ac:dyDescent="0.25">
      <c r="A7650">
        <v>9</v>
      </c>
      <c r="B7650">
        <v>199</v>
      </c>
      <c r="C7650" t="str">
        <f t="shared" si="1723"/>
        <v>41</v>
      </c>
      <c r="D7650">
        <v>6399</v>
      </c>
      <c r="E7650" t="str">
        <f>"00"</f>
        <v>00</v>
      </c>
      <c r="F7650" t="str">
        <f>"932"</f>
        <v>932</v>
      </c>
      <c r="G7650">
        <v>9</v>
      </c>
      <c r="H7650" t="str">
        <f t="shared" si="1722"/>
        <v>99</v>
      </c>
      <c r="I7650" t="str">
        <f t="shared" si="1719"/>
        <v>0</v>
      </c>
      <c r="J7650" t="str">
        <f>"84"</f>
        <v>84</v>
      </c>
      <c r="K7650">
        <v>20190809</v>
      </c>
      <c r="L7650" t="str">
        <f t="shared" si="1720"/>
        <v>077568</v>
      </c>
      <c r="M7650" t="str">
        <f t="shared" si="1721"/>
        <v>04410</v>
      </c>
      <c r="N7650" t="s">
        <v>410</v>
      </c>
      <c r="O7650">
        <v>46.62</v>
      </c>
      <c r="P7650">
        <v>20190806</v>
      </c>
      <c r="Q7650" t="s">
        <v>5531</v>
      </c>
      <c r="R7650" t="s">
        <v>6006</v>
      </c>
      <c r="S7650" t="s">
        <v>1615</v>
      </c>
      <c r="T7650" t="s">
        <v>2900</v>
      </c>
    </row>
    <row r="7651" spans="1:20" x14ac:dyDescent="0.25">
      <c r="A7651">
        <v>9</v>
      </c>
      <c r="B7651">
        <v>199</v>
      </c>
      <c r="C7651" t="str">
        <f t="shared" si="1723"/>
        <v>41</v>
      </c>
      <c r="D7651">
        <v>6399</v>
      </c>
      <c r="E7651" t="str">
        <f>"00"</f>
        <v>00</v>
      </c>
      <c r="F7651" t="str">
        <f>"932"</f>
        <v>932</v>
      </c>
      <c r="G7651">
        <v>9</v>
      </c>
      <c r="H7651" t="str">
        <f t="shared" si="1722"/>
        <v>99</v>
      </c>
      <c r="I7651" t="str">
        <f t="shared" si="1719"/>
        <v>0</v>
      </c>
      <c r="J7651" t="str">
        <f>"84"</f>
        <v>84</v>
      </c>
      <c r="K7651">
        <v>20190809</v>
      </c>
      <c r="L7651" t="str">
        <f t="shared" si="1720"/>
        <v>077568</v>
      </c>
      <c r="M7651" t="str">
        <f t="shared" si="1721"/>
        <v>04410</v>
      </c>
      <c r="N7651" t="s">
        <v>410</v>
      </c>
      <c r="O7651">
        <v>221.13</v>
      </c>
      <c r="P7651">
        <v>20190806</v>
      </c>
      <c r="Q7651" t="s">
        <v>5531</v>
      </c>
      <c r="R7651" t="s">
        <v>641</v>
      </c>
      <c r="S7651" t="s">
        <v>1615</v>
      </c>
      <c r="T7651" t="s">
        <v>2900</v>
      </c>
    </row>
    <row r="7652" spans="1:20" x14ac:dyDescent="0.25">
      <c r="A7652">
        <v>9</v>
      </c>
      <c r="B7652">
        <v>199</v>
      </c>
      <c r="C7652" t="str">
        <f t="shared" si="1723"/>
        <v>41</v>
      </c>
      <c r="D7652">
        <v>6399</v>
      </c>
      <c r="E7652" t="str">
        <f>"00"</f>
        <v>00</v>
      </c>
      <c r="F7652" t="str">
        <f>"932"</f>
        <v>932</v>
      </c>
      <c r="G7652">
        <v>9</v>
      </c>
      <c r="H7652" t="str">
        <f t="shared" si="1722"/>
        <v>99</v>
      </c>
      <c r="I7652" t="str">
        <f t="shared" si="1719"/>
        <v>0</v>
      </c>
      <c r="J7652" t="str">
        <f>"84"</f>
        <v>84</v>
      </c>
      <c r="K7652">
        <v>20190809</v>
      </c>
      <c r="L7652" t="str">
        <f t="shared" si="1720"/>
        <v>077568</v>
      </c>
      <c r="M7652" t="str">
        <f t="shared" si="1721"/>
        <v>04410</v>
      </c>
      <c r="N7652" t="s">
        <v>410</v>
      </c>
      <c r="O7652">
        <v>71.12</v>
      </c>
      <c r="P7652">
        <v>20190806</v>
      </c>
      <c r="Q7652" t="s">
        <v>5531</v>
      </c>
      <c r="R7652" t="s">
        <v>641</v>
      </c>
      <c r="S7652" t="s">
        <v>1615</v>
      </c>
      <c r="T7652" t="s">
        <v>2900</v>
      </c>
    </row>
    <row r="7653" spans="1:20" x14ac:dyDescent="0.25">
      <c r="A7653">
        <v>9</v>
      </c>
      <c r="B7653">
        <v>199</v>
      </c>
      <c r="C7653" t="str">
        <f t="shared" si="1723"/>
        <v>41</v>
      </c>
      <c r="D7653">
        <v>6399</v>
      </c>
      <c r="E7653" t="str">
        <f t="shared" ref="E7653:E7669" si="1724">"10"</f>
        <v>10</v>
      </c>
      <c r="F7653" t="str">
        <f>"726"</f>
        <v>726</v>
      </c>
      <c r="G7653">
        <v>9</v>
      </c>
      <c r="H7653" t="str">
        <f t="shared" si="1722"/>
        <v>99</v>
      </c>
      <c r="I7653" t="str">
        <f t="shared" si="1719"/>
        <v>0</v>
      </c>
      <c r="J7653" t="str">
        <f>"91"</f>
        <v>91</v>
      </c>
      <c r="K7653">
        <v>20190809</v>
      </c>
      <c r="L7653" t="str">
        <f t="shared" si="1720"/>
        <v>077568</v>
      </c>
      <c r="M7653" t="str">
        <f t="shared" si="1721"/>
        <v>04410</v>
      </c>
      <c r="N7653" t="s">
        <v>410</v>
      </c>
      <c r="O7653">
        <v>69.98</v>
      </c>
      <c r="P7653">
        <v>20190806</v>
      </c>
      <c r="Q7653" t="s">
        <v>2702</v>
      </c>
      <c r="R7653" t="s">
        <v>6007</v>
      </c>
      <c r="S7653" t="s">
        <v>1615</v>
      </c>
      <c r="T7653" t="s">
        <v>2608</v>
      </c>
    </row>
    <row r="7654" spans="1:20" x14ac:dyDescent="0.25">
      <c r="A7654">
        <v>9</v>
      </c>
      <c r="B7654">
        <v>199</v>
      </c>
      <c r="C7654" t="str">
        <f t="shared" si="1723"/>
        <v>41</v>
      </c>
      <c r="D7654">
        <v>6399</v>
      </c>
      <c r="E7654" t="str">
        <f t="shared" si="1724"/>
        <v>10</v>
      </c>
      <c r="F7654" t="str">
        <f t="shared" ref="F7654:F7666" si="1725">"933"</f>
        <v>933</v>
      </c>
      <c r="G7654">
        <v>9</v>
      </c>
      <c r="H7654" t="str">
        <f t="shared" si="1722"/>
        <v>99</v>
      </c>
      <c r="I7654" t="str">
        <f t="shared" si="1719"/>
        <v>0</v>
      </c>
      <c r="J7654" t="str">
        <f t="shared" ref="J7654:J7666" si="1726">"85"</f>
        <v>85</v>
      </c>
      <c r="K7654">
        <v>20190809</v>
      </c>
      <c r="L7654" t="str">
        <f t="shared" si="1720"/>
        <v>077568</v>
      </c>
      <c r="M7654" t="str">
        <f t="shared" si="1721"/>
        <v>04410</v>
      </c>
      <c r="N7654" t="s">
        <v>410</v>
      </c>
      <c r="O7654">
        <v>14.99</v>
      </c>
      <c r="P7654">
        <v>20190806</v>
      </c>
      <c r="Q7654" t="s">
        <v>2179</v>
      </c>
      <c r="R7654" t="s">
        <v>6008</v>
      </c>
      <c r="S7654" t="s">
        <v>1615</v>
      </c>
      <c r="T7654" t="s">
        <v>1643</v>
      </c>
    </row>
    <row r="7655" spans="1:20" x14ac:dyDescent="0.25">
      <c r="A7655">
        <v>9</v>
      </c>
      <c r="B7655">
        <v>199</v>
      </c>
      <c r="C7655" t="str">
        <f t="shared" si="1723"/>
        <v>41</v>
      </c>
      <c r="D7655">
        <v>6399</v>
      </c>
      <c r="E7655" t="str">
        <f t="shared" si="1724"/>
        <v>10</v>
      </c>
      <c r="F7655" t="str">
        <f t="shared" si="1725"/>
        <v>933</v>
      </c>
      <c r="G7655">
        <v>9</v>
      </c>
      <c r="H7655" t="str">
        <f t="shared" si="1722"/>
        <v>99</v>
      </c>
      <c r="I7655" t="str">
        <f t="shared" si="1719"/>
        <v>0</v>
      </c>
      <c r="J7655" t="str">
        <f t="shared" si="1726"/>
        <v>85</v>
      </c>
      <c r="K7655">
        <v>20190809</v>
      </c>
      <c r="L7655" t="str">
        <f t="shared" si="1720"/>
        <v>077568</v>
      </c>
      <c r="M7655" t="str">
        <f t="shared" si="1721"/>
        <v>04410</v>
      </c>
      <c r="N7655" t="s">
        <v>410</v>
      </c>
      <c r="O7655">
        <v>5.95</v>
      </c>
      <c r="P7655">
        <v>20190806</v>
      </c>
      <c r="Q7655" t="s">
        <v>2179</v>
      </c>
      <c r="R7655" t="s">
        <v>6009</v>
      </c>
      <c r="S7655" t="s">
        <v>1615</v>
      </c>
      <c r="T7655" t="s">
        <v>1643</v>
      </c>
    </row>
    <row r="7656" spans="1:20" x14ac:dyDescent="0.25">
      <c r="A7656">
        <v>9</v>
      </c>
      <c r="B7656">
        <v>199</v>
      </c>
      <c r="C7656" t="str">
        <f t="shared" si="1723"/>
        <v>41</v>
      </c>
      <c r="D7656">
        <v>6399</v>
      </c>
      <c r="E7656" t="str">
        <f t="shared" si="1724"/>
        <v>10</v>
      </c>
      <c r="F7656" t="str">
        <f t="shared" si="1725"/>
        <v>933</v>
      </c>
      <c r="G7656">
        <v>9</v>
      </c>
      <c r="H7656" t="str">
        <f t="shared" si="1722"/>
        <v>99</v>
      </c>
      <c r="I7656" t="str">
        <f t="shared" si="1719"/>
        <v>0</v>
      </c>
      <c r="J7656" t="str">
        <f t="shared" si="1726"/>
        <v>85</v>
      </c>
      <c r="K7656">
        <v>20190809</v>
      </c>
      <c r="L7656" t="str">
        <f t="shared" si="1720"/>
        <v>077568</v>
      </c>
      <c r="M7656" t="str">
        <f t="shared" si="1721"/>
        <v>04410</v>
      </c>
      <c r="N7656" t="s">
        <v>410</v>
      </c>
      <c r="O7656">
        <v>7.8</v>
      </c>
      <c r="P7656">
        <v>20190806</v>
      </c>
      <c r="Q7656" t="s">
        <v>2179</v>
      </c>
      <c r="R7656" t="s">
        <v>6010</v>
      </c>
      <c r="S7656" t="s">
        <v>1615</v>
      </c>
      <c r="T7656" t="s">
        <v>1643</v>
      </c>
    </row>
    <row r="7657" spans="1:20" x14ac:dyDescent="0.25">
      <c r="A7657">
        <v>9</v>
      </c>
      <c r="B7657">
        <v>199</v>
      </c>
      <c r="C7657" t="str">
        <f t="shared" si="1723"/>
        <v>41</v>
      </c>
      <c r="D7657">
        <v>6399</v>
      </c>
      <c r="E7657" t="str">
        <f t="shared" si="1724"/>
        <v>10</v>
      </c>
      <c r="F7657" t="str">
        <f t="shared" si="1725"/>
        <v>933</v>
      </c>
      <c r="G7657">
        <v>9</v>
      </c>
      <c r="H7657" t="str">
        <f t="shared" si="1722"/>
        <v>99</v>
      </c>
      <c r="I7657" t="str">
        <f t="shared" si="1719"/>
        <v>0</v>
      </c>
      <c r="J7657" t="str">
        <f t="shared" si="1726"/>
        <v>85</v>
      </c>
      <c r="K7657">
        <v>20190809</v>
      </c>
      <c r="L7657" t="str">
        <f t="shared" si="1720"/>
        <v>077568</v>
      </c>
      <c r="M7657" t="str">
        <f t="shared" si="1721"/>
        <v>04410</v>
      </c>
      <c r="N7657" t="s">
        <v>410</v>
      </c>
      <c r="O7657">
        <v>158</v>
      </c>
      <c r="P7657">
        <v>20190806</v>
      </c>
      <c r="Q7657" t="s">
        <v>2179</v>
      </c>
      <c r="R7657" t="s">
        <v>6011</v>
      </c>
      <c r="S7657" t="s">
        <v>1615</v>
      </c>
      <c r="T7657" t="s">
        <v>1643</v>
      </c>
    </row>
    <row r="7658" spans="1:20" x14ac:dyDescent="0.25">
      <c r="A7658">
        <v>9</v>
      </c>
      <c r="B7658">
        <v>199</v>
      </c>
      <c r="C7658" t="str">
        <f t="shared" si="1723"/>
        <v>41</v>
      </c>
      <c r="D7658">
        <v>6399</v>
      </c>
      <c r="E7658" t="str">
        <f t="shared" si="1724"/>
        <v>10</v>
      </c>
      <c r="F7658" t="str">
        <f t="shared" si="1725"/>
        <v>933</v>
      </c>
      <c r="G7658">
        <v>9</v>
      </c>
      <c r="H7658" t="str">
        <f t="shared" si="1722"/>
        <v>99</v>
      </c>
      <c r="I7658" t="str">
        <f t="shared" si="1719"/>
        <v>0</v>
      </c>
      <c r="J7658" t="str">
        <f t="shared" si="1726"/>
        <v>85</v>
      </c>
      <c r="K7658">
        <v>20190809</v>
      </c>
      <c r="L7658" t="str">
        <f t="shared" si="1720"/>
        <v>077568</v>
      </c>
      <c r="M7658" t="str">
        <f t="shared" si="1721"/>
        <v>04410</v>
      </c>
      <c r="N7658" t="s">
        <v>410</v>
      </c>
      <c r="O7658">
        <v>55.08</v>
      </c>
      <c r="P7658">
        <v>20190806</v>
      </c>
      <c r="Q7658" t="s">
        <v>2179</v>
      </c>
      <c r="R7658" t="s">
        <v>6012</v>
      </c>
      <c r="S7658" t="s">
        <v>1615</v>
      </c>
      <c r="T7658" t="s">
        <v>1643</v>
      </c>
    </row>
    <row r="7659" spans="1:20" x14ac:dyDescent="0.25">
      <c r="A7659">
        <v>9</v>
      </c>
      <c r="B7659">
        <v>199</v>
      </c>
      <c r="C7659" t="str">
        <f t="shared" si="1723"/>
        <v>41</v>
      </c>
      <c r="D7659">
        <v>6399</v>
      </c>
      <c r="E7659" t="str">
        <f t="shared" si="1724"/>
        <v>10</v>
      </c>
      <c r="F7659" t="str">
        <f t="shared" si="1725"/>
        <v>933</v>
      </c>
      <c r="G7659">
        <v>9</v>
      </c>
      <c r="H7659" t="str">
        <f t="shared" si="1722"/>
        <v>99</v>
      </c>
      <c r="I7659" t="str">
        <f t="shared" si="1719"/>
        <v>0</v>
      </c>
      <c r="J7659" t="str">
        <f t="shared" si="1726"/>
        <v>85</v>
      </c>
      <c r="K7659">
        <v>20190809</v>
      </c>
      <c r="L7659" t="str">
        <f t="shared" si="1720"/>
        <v>077568</v>
      </c>
      <c r="M7659" t="str">
        <f t="shared" si="1721"/>
        <v>04410</v>
      </c>
      <c r="N7659" t="s">
        <v>410</v>
      </c>
      <c r="O7659">
        <v>7.52</v>
      </c>
      <c r="P7659">
        <v>20190806</v>
      </c>
      <c r="Q7659" t="s">
        <v>2179</v>
      </c>
      <c r="R7659" t="s">
        <v>6013</v>
      </c>
      <c r="S7659" t="s">
        <v>1615</v>
      </c>
      <c r="T7659" t="s">
        <v>1643</v>
      </c>
    </row>
    <row r="7660" spans="1:20" x14ac:dyDescent="0.25">
      <c r="A7660">
        <v>9</v>
      </c>
      <c r="B7660">
        <v>199</v>
      </c>
      <c r="C7660" t="str">
        <f t="shared" si="1723"/>
        <v>41</v>
      </c>
      <c r="D7660">
        <v>6399</v>
      </c>
      <c r="E7660" t="str">
        <f t="shared" si="1724"/>
        <v>10</v>
      </c>
      <c r="F7660" t="str">
        <f t="shared" si="1725"/>
        <v>933</v>
      </c>
      <c r="G7660">
        <v>9</v>
      </c>
      <c r="H7660" t="str">
        <f t="shared" si="1722"/>
        <v>99</v>
      </c>
      <c r="I7660" t="str">
        <f t="shared" si="1719"/>
        <v>0</v>
      </c>
      <c r="J7660" t="str">
        <f t="shared" si="1726"/>
        <v>85</v>
      </c>
      <c r="K7660">
        <v>20190809</v>
      </c>
      <c r="L7660" t="str">
        <f t="shared" si="1720"/>
        <v>077568</v>
      </c>
      <c r="M7660" t="str">
        <f t="shared" si="1721"/>
        <v>04410</v>
      </c>
      <c r="N7660" t="s">
        <v>410</v>
      </c>
      <c r="O7660">
        <v>28.45</v>
      </c>
      <c r="P7660">
        <v>20190806</v>
      </c>
      <c r="Q7660" t="s">
        <v>2179</v>
      </c>
      <c r="R7660" t="s">
        <v>6014</v>
      </c>
      <c r="S7660" t="s">
        <v>1615</v>
      </c>
      <c r="T7660" t="s">
        <v>1643</v>
      </c>
    </row>
    <row r="7661" spans="1:20" x14ac:dyDescent="0.25">
      <c r="A7661">
        <v>9</v>
      </c>
      <c r="B7661">
        <v>199</v>
      </c>
      <c r="C7661" t="str">
        <f t="shared" si="1723"/>
        <v>41</v>
      </c>
      <c r="D7661">
        <v>6399</v>
      </c>
      <c r="E7661" t="str">
        <f t="shared" si="1724"/>
        <v>10</v>
      </c>
      <c r="F7661" t="str">
        <f t="shared" si="1725"/>
        <v>933</v>
      </c>
      <c r="G7661">
        <v>9</v>
      </c>
      <c r="H7661" t="str">
        <f t="shared" si="1722"/>
        <v>99</v>
      </c>
      <c r="I7661" t="str">
        <f t="shared" si="1719"/>
        <v>0</v>
      </c>
      <c r="J7661" t="str">
        <f t="shared" si="1726"/>
        <v>85</v>
      </c>
      <c r="K7661">
        <v>20190809</v>
      </c>
      <c r="L7661" t="str">
        <f t="shared" si="1720"/>
        <v>077568</v>
      </c>
      <c r="M7661" t="str">
        <f t="shared" si="1721"/>
        <v>04410</v>
      </c>
      <c r="N7661" t="s">
        <v>410</v>
      </c>
      <c r="O7661">
        <v>22.32</v>
      </c>
      <c r="P7661">
        <v>20190806</v>
      </c>
      <c r="Q7661" t="s">
        <v>2179</v>
      </c>
      <c r="R7661" t="s">
        <v>2692</v>
      </c>
      <c r="S7661" t="s">
        <v>1615</v>
      </c>
      <c r="T7661" t="s">
        <v>1643</v>
      </c>
    </row>
    <row r="7662" spans="1:20" x14ac:dyDescent="0.25">
      <c r="A7662">
        <v>9</v>
      </c>
      <c r="B7662">
        <v>199</v>
      </c>
      <c r="C7662" t="str">
        <f t="shared" si="1723"/>
        <v>41</v>
      </c>
      <c r="D7662">
        <v>6399</v>
      </c>
      <c r="E7662" t="str">
        <f t="shared" si="1724"/>
        <v>10</v>
      </c>
      <c r="F7662" t="str">
        <f t="shared" si="1725"/>
        <v>933</v>
      </c>
      <c r="G7662">
        <v>9</v>
      </c>
      <c r="H7662" t="str">
        <f t="shared" si="1722"/>
        <v>99</v>
      </c>
      <c r="I7662" t="str">
        <f t="shared" si="1719"/>
        <v>0</v>
      </c>
      <c r="J7662" t="str">
        <f t="shared" si="1726"/>
        <v>85</v>
      </c>
      <c r="K7662">
        <v>20190809</v>
      </c>
      <c r="L7662" t="str">
        <f t="shared" si="1720"/>
        <v>077568</v>
      </c>
      <c r="M7662" t="str">
        <f t="shared" si="1721"/>
        <v>04410</v>
      </c>
      <c r="N7662" t="s">
        <v>410</v>
      </c>
      <c r="O7662">
        <v>34.659999999999997</v>
      </c>
      <c r="P7662">
        <v>20190806</v>
      </c>
      <c r="Q7662" t="s">
        <v>2179</v>
      </c>
      <c r="R7662" t="s">
        <v>6015</v>
      </c>
      <c r="S7662" t="s">
        <v>1615</v>
      </c>
      <c r="T7662" t="s">
        <v>1643</v>
      </c>
    </row>
    <row r="7663" spans="1:20" x14ac:dyDescent="0.25">
      <c r="A7663">
        <v>9</v>
      </c>
      <c r="B7663">
        <v>199</v>
      </c>
      <c r="C7663" t="str">
        <f t="shared" si="1723"/>
        <v>41</v>
      </c>
      <c r="D7663">
        <v>6399</v>
      </c>
      <c r="E7663" t="str">
        <f t="shared" si="1724"/>
        <v>10</v>
      </c>
      <c r="F7663" t="str">
        <f t="shared" si="1725"/>
        <v>933</v>
      </c>
      <c r="G7663">
        <v>9</v>
      </c>
      <c r="H7663" t="str">
        <f t="shared" si="1722"/>
        <v>99</v>
      </c>
      <c r="I7663" t="str">
        <f t="shared" si="1719"/>
        <v>0</v>
      </c>
      <c r="J7663" t="str">
        <f t="shared" si="1726"/>
        <v>85</v>
      </c>
      <c r="K7663">
        <v>20190809</v>
      </c>
      <c r="L7663" t="str">
        <f t="shared" si="1720"/>
        <v>077568</v>
      </c>
      <c r="M7663" t="str">
        <f t="shared" si="1721"/>
        <v>04410</v>
      </c>
      <c r="N7663" t="s">
        <v>410</v>
      </c>
      <c r="O7663">
        <v>101.25</v>
      </c>
      <c r="P7663">
        <v>20190806</v>
      </c>
      <c r="Q7663" t="s">
        <v>2179</v>
      </c>
      <c r="R7663" t="s">
        <v>6016</v>
      </c>
      <c r="S7663" t="s">
        <v>1615</v>
      </c>
      <c r="T7663" t="s">
        <v>1643</v>
      </c>
    </row>
    <row r="7664" spans="1:20" x14ac:dyDescent="0.25">
      <c r="A7664">
        <v>9</v>
      </c>
      <c r="B7664">
        <v>199</v>
      </c>
      <c r="C7664" t="str">
        <f t="shared" si="1723"/>
        <v>41</v>
      </c>
      <c r="D7664">
        <v>6399</v>
      </c>
      <c r="E7664" t="str">
        <f t="shared" si="1724"/>
        <v>10</v>
      </c>
      <c r="F7664" t="str">
        <f t="shared" si="1725"/>
        <v>933</v>
      </c>
      <c r="G7664">
        <v>9</v>
      </c>
      <c r="H7664" t="str">
        <f t="shared" si="1722"/>
        <v>99</v>
      </c>
      <c r="I7664" t="str">
        <f t="shared" si="1719"/>
        <v>0</v>
      </c>
      <c r="J7664" t="str">
        <f t="shared" si="1726"/>
        <v>85</v>
      </c>
      <c r="K7664">
        <v>20190809</v>
      </c>
      <c r="L7664" t="str">
        <f t="shared" si="1720"/>
        <v>077568</v>
      </c>
      <c r="M7664" t="str">
        <f t="shared" si="1721"/>
        <v>04410</v>
      </c>
      <c r="N7664" t="s">
        <v>410</v>
      </c>
      <c r="O7664">
        <v>25.76</v>
      </c>
      <c r="P7664">
        <v>20190806</v>
      </c>
      <c r="Q7664" t="s">
        <v>2179</v>
      </c>
      <c r="R7664" t="s">
        <v>6017</v>
      </c>
      <c r="S7664" t="s">
        <v>1615</v>
      </c>
      <c r="T7664" t="s">
        <v>1643</v>
      </c>
    </row>
    <row r="7665" spans="1:20" x14ac:dyDescent="0.25">
      <c r="A7665">
        <v>9</v>
      </c>
      <c r="B7665">
        <v>199</v>
      </c>
      <c r="C7665" t="str">
        <f t="shared" si="1723"/>
        <v>41</v>
      </c>
      <c r="D7665">
        <v>6399</v>
      </c>
      <c r="E7665" t="str">
        <f t="shared" si="1724"/>
        <v>10</v>
      </c>
      <c r="F7665" t="str">
        <f t="shared" si="1725"/>
        <v>933</v>
      </c>
      <c r="G7665">
        <v>9</v>
      </c>
      <c r="H7665" t="str">
        <f t="shared" si="1722"/>
        <v>99</v>
      </c>
      <c r="I7665" t="str">
        <f t="shared" si="1719"/>
        <v>0</v>
      </c>
      <c r="J7665" t="str">
        <f t="shared" si="1726"/>
        <v>85</v>
      </c>
      <c r="K7665">
        <v>20190809</v>
      </c>
      <c r="L7665" t="str">
        <f t="shared" si="1720"/>
        <v>077568</v>
      </c>
      <c r="M7665" t="str">
        <f t="shared" si="1721"/>
        <v>04410</v>
      </c>
      <c r="N7665" t="s">
        <v>410</v>
      </c>
      <c r="O7665">
        <v>477.06</v>
      </c>
      <c r="P7665">
        <v>20190808</v>
      </c>
      <c r="Q7665" t="s">
        <v>2179</v>
      </c>
      <c r="R7665" t="s">
        <v>641</v>
      </c>
      <c r="S7665" t="s">
        <v>1615</v>
      </c>
      <c r="T7665" t="s">
        <v>1643</v>
      </c>
    </row>
    <row r="7666" spans="1:20" x14ac:dyDescent="0.25">
      <c r="A7666">
        <v>9</v>
      </c>
      <c r="B7666">
        <v>199</v>
      </c>
      <c r="C7666" t="str">
        <f t="shared" si="1723"/>
        <v>41</v>
      </c>
      <c r="D7666">
        <v>6399</v>
      </c>
      <c r="E7666" t="str">
        <f t="shared" si="1724"/>
        <v>10</v>
      </c>
      <c r="F7666" t="str">
        <f t="shared" si="1725"/>
        <v>933</v>
      </c>
      <c r="G7666">
        <v>9</v>
      </c>
      <c r="H7666" t="str">
        <f t="shared" si="1722"/>
        <v>99</v>
      </c>
      <c r="I7666" t="str">
        <f t="shared" si="1719"/>
        <v>0</v>
      </c>
      <c r="J7666" t="str">
        <f t="shared" si="1726"/>
        <v>85</v>
      </c>
      <c r="K7666">
        <v>20190809</v>
      </c>
      <c r="L7666" t="str">
        <f t="shared" si="1720"/>
        <v>077568</v>
      </c>
      <c r="M7666" t="str">
        <f t="shared" si="1721"/>
        <v>04410</v>
      </c>
      <c r="N7666" t="s">
        <v>410</v>
      </c>
      <c r="O7666">
        <v>-0.91</v>
      </c>
      <c r="P7666">
        <v>20190807</v>
      </c>
      <c r="Q7666" t="s">
        <v>2179</v>
      </c>
      <c r="R7666" t="s">
        <v>4700</v>
      </c>
      <c r="S7666" t="s">
        <v>1615</v>
      </c>
      <c r="T7666" t="s">
        <v>1643</v>
      </c>
    </row>
    <row r="7667" spans="1:20" x14ac:dyDescent="0.25">
      <c r="A7667">
        <v>9</v>
      </c>
      <c r="B7667">
        <v>199</v>
      </c>
      <c r="C7667" t="str">
        <f t="shared" si="1723"/>
        <v>41</v>
      </c>
      <c r="D7667">
        <v>6299</v>
      </c>
      <c r="E7667" t="str">
        <f t="shared" si="1724"/>
        <v>10</v>
      </c>
      <c r="F7667" t="str">
        <f>"730"</f>
        <v>730</v>
      </c>
      <c r="G7667">
        <v>9</v>
      </c>
      <c r="H7667" t="str">
        <f t="shared" si="1722"/>
        <v>99</v>
      </c>
      <c r="I7667" t="str">
        <f t="shared" si="1719"/>
        <v>0</v>
      </c>
      <c r="J7667" t="str">
        <f>"95"</f>
        <v>95</v>
      </c>
      <c r="K7667">
        <v>20190809</v>
      </c>
      <c r="L7667" t="str">
        <f>"077570"</f>
        <v>077570</v>
      </c>
      <c r="M7667" t="str">
        <f>"00381"</f>
        <v>00381</v>
      </c>
      <c r="N7667" t="s">
        <v>6018</v>
      </c>
      <c r="O7667">
        <v>29.55</v>
      </c>
      <c r="P7667">
        <v>20190807</v>
      </c>
      <c r="Q7667" t="s">
        <v>2434</v>
      </c>
      <c r="R7667" t="s">
        <v>6019</v>
      </c>
      <c r="S7667" t="s">
        <v>1615</v>
      </c>
      <c r="T7667" t="s">
        <v>1794</v>
      </c>
    </row>
    <row r="7668" spans="1:20" x14ac:dyDescent="0.25">
      <c r="A7668">
        <v>9</v>
      </c>
      <c r="B7668">
        <v>199</v>
      </c>
      <c r="C7668" t="str">
        <f t="shared" si="1723"/>
        <v>41</v>
      </c>
      <c r="D7668">
        <v>6299</v>
      </c>
      <c r="E7668" t="str">
        <f t="shared" si="1724"/>
        <v>10</v>
      </c>
      <c r="F7668" t="str">
        <f>"730"</f>
        <v>730</v>
      </c>
      <c r="G7668">
        <v>9</v>
      </c>
      <c r="H7668" t="str">
        <f t="shared" si="1722"/>
        <v>99</v>
      </c>
      <c r="I7668" t="str">
        <f t="shared" si="1719"/>
        <v>0</v>
      </c>
      <c r="J7668" t="str">
        <f>"95"</f>
        <v>95</v>
      </c>
      <c r="K7668">
        <v>20190809</v>
      </c>
      <c r="L7668" t="str">
        <f>"077570"</f>
        <v>077570</v>
      </c>
      <c r="M7668" t="str">
        <f>"00381"</f>
        <v>00381</v>
      </c>
      <c r="N7668" t="s">
        <v>6018</v>
      </c>
      <c r="O7668">
        <v>29.55</v>
      </c>
      <c r="P7668">
        <v>20190807</v>
      </c>
      <c r="Q7668" t="s">
        <v>2434</v>
      </c>
      <c r="R7668" t="s">
        <v>6019</v>
      </c>
      <c r="S7668" t="s">
        <v>1615</v>
      </c>
      <c r="T7668" t="s">
        <v>1794</v>
      </c>
    </row>
    <row r="7669" spans="1:20" x14ac:dyDescent="0.25">
      <c r="A7669">
        <v>9</v>
      </c>
      <c r="B7669">
        <v>199</v>
      </c>
      <c r="C7669" t="str">
        <f t="shared" si="1723"/>
        <v>41</v>
      </c>
      <c r="D7669">
        <v>6299</v>
      </c>
      <c r="E7669" t="str">
        <f t="shared" si="1724"/>
        <v>10</v>
      </c>
      <c r="F7669" t="str">
        <f>"730"</f>
        <v>730</v>
      </c>
      <c r="G7669">
        <v>9</v>
      </c>
      <c r="H7669" t="str">
        <f t="shared" si="1722"/>
        <v>99</v>
      </c>
      <c r="I7669" t="str">
        <f t="shared" si="1719"/>
        <v>0</v>
      </c>
      <c r="J7669" t="str">
        <f>"95"</f>
        <v>95</v>
      </c>
      <c r="K7669">
        <v>20190809</v>
      </c>
      <c r="L7669" t="str">
        <f>"077570"</f>
        <v>077570</v>
      </c>
      <c r="M7669" t="str">
        <f>"00381"</f>
        <v>00381</v>
      </c>
      <c r="N7669" t="s">
        <v>6018</v>
      </c>
      <c r="O7669">
        <v>228.36</v>
      </c>
      <c r="P7669">
        <v>20190807</v>
      </c>
      <c r="Q7669" t="s">
        <v>2434</v>
      </c>
      <c r="R7669" t="s">
        <v>6019</v>
      </c>
      <c r="S7669" t="s">
        <v>1615</v>
      </c>
      <c r="T7669" t="s">
        <v>1794</v>
      </c>
    </row>
    <row r="7670" spans="1:20" x14ac:dyDescent="0.25">
      <c r="A7670">
        <v>9</v>
      </c>
      <c r="B7670">
        <v>199</v>
      </c>
      <c r="C7670" t="str">
        <f>"11"</f>
        <v>11</v>
      </c>
      <c r="D7670">
        <v>6249</v>
      </c>
      <c r="E7670" t="str">
        <f>"57"</f>
        <v>57</v>
      </c>
      <c r="F7670" t="str">
        <f>"001"</f>
        <v>001</v>
      </c>
      <c r="G7670">
        <v>9</v>
      </c>
      <c r="H7670" t="str">
        <f>"11"</f>
        <v>11</v>
      </c>
      <c r="I7670" t="str">
        <f t="shared" si="1719"/>
        <v>0</v>
      </c>
      <c r="J7670" t="str">
        <f>"80"</f>
        <v>80</v>
      </c>
      <c r="K7670">
        <v>20190809</v>
      </c>
      <c r="L7670" t="str">
        <f>"077571"</f>
        <v>077571</v>
      </c>
      <c r="M7670" t="str">
        <f>"00359"</f>
        <v>00359</v>
      </c>
      <c r="N7670" t="s">
        <v>3514</v>
      </c>
      <c r="O7670" s="1">
        <v>4499</v>
      </c>
      <c r="P7670">
        <v>20190807</v>
      </c>
      <c r="Q7670" t="s">
        <v>1796</v>
      </c>
      <c r="R7670" t="s">
        <v>6020</v>
      </c>
      <c r="S7670" t="s">
        <v>1615</v>
      </c>
      <c r="T7670" t="s">
        <v>301</v>
      </c>
    </row>
    <row r="7671" spans="1:20" x14ac:dyDescent="0.25">
      <c r="A7671">
        <v>9</v>
      </c>
      <c r="B7671">
        <v>199</v>
      </c>
      <c r="C7671" t="str">
        <f>"11"</f>
        <v>11</v>
      </c>
      <c r="D7671">
        <v>6249</v>
      </c>
      <c r="E7671" t="str">
        <f>"57"</f>
        <v>57</v>
      </c>
      <c r="F7671" t="str">
        <f>"104"</f>
        <v>104</v>
      </c>
      <c r="G7671">
        <v>9</v>
      </c>
      <c r="H7671" t="str">
        <f>"11"</f>
        <v>11</v>
      </c>
      <c r="I7671" t="str">
        <f t="shared" ref="I7671:I7702" si="1727">"0"</f>
        <v>0</v>
      </c>
      <c r="J7671" t="str">
        <f>"80"</f>
        <v>80</v>
      </c>
      <c r="K7671">
        <v>20190809</v>
      </c>
      <c r="L7671" t="str">
        <f>"077571"</f>
        <v>077571</v>
      </c>
      <c r="M7671" t="str">
        <f>"00359"</f>
        <v>00359</v>
      </c>
      <c r="N7671" t="s">
        <v>3514</v>
      </c>
      <c r="O7671">
        <v>1</v>
      </c>
      <c r="P7671">
        <v>20190807</v>
      </c>
      <c r="Q7671" t="s">
        <v>1800</v>
      </c>
      <c r="R7671" t="s">
        <v>6020</v>
      </c>
      <c r="S7671" t="s">
        <v>1615</v>
      </c>
      <c r="T7671" t="s">
        <v>46</v>
      </c>
    </row>
    <row r="7672" spans="1:20" x14ac:dyDescent="0.25">
      <c r="A7672">
        <v>9</v>
      </c>
      <c r="B7672">
        <v>199</v>
      </c>
      <c r="C7672" t="str">
        <f t="shared" ref="C7672:C7681" si="1728">"34"</f>
        <v>34</v>
      </c>
      <c r="D7672">
        <v>6249</v>
      </c>
      <c r="E7672" t="str">
        <f t="shared" ref="E7672:E7681" si="1729">"10"</f>
        <v>10</v>
      </c>
      <c r="F7672" t="str">
        <f t="shared" ref="F7672:F7681" si="1730">"937"</f>
        <v>937</v>
      </c>
      <c r="G7672">
        <v>9</v>
      </c>
      <c r="H7672" t="str">
        <f t="shared" ref="H7672:H7685" si="1731">"99"</f>
        <v>99</v>
      </c>
      <c r="I7672" t="str">
        <f t="shared" si="1727"/>
        <v>0</v>
      </c>
      <c r="J7672" t="str">
        <f t="shared" ref="J7672:J7683" si="1732">"82"</f>
        <v>82</v>
      </c>
      <c r="K7672">
        <v>20190809</v>
      </c>
      <c r="L7672" t="str">
        <f t="shared" ref="L7672:L7681" si="1733">"077572"</f>
        <v>077572</v>
      </c>
      <c r="M7672" t="str">
        <f t="shared" ref="M7672:M7681" si="1734">"06267"</f>
        <v>06267</v>
      </c>
      <c r="N7672" t="s">
        <v>1867</v>
      </c>
      <c r="O7672">
        <v>940.54</v>
      </c>
      <c r="P7672">
        <v>20190808</v>
      </c>
      <c r="Q7672" t="s">
        <v>2036</v>
      </c>
      <c r="R7672" t="s">
        <v>6021</v>
      </c>
      <c r="S7672" t="s">
        <v>1615</v>
      </c>
      <c r="T7672" t="s">
        <v>1810</v>
      </c>
    </row>
    <row r="7673" spans="1:20" x14ac:dyDescent="0.25">
      <c r="A7673">
        <v>9</v>
      </c>
      <c r="B7673">
        <v>199</v>
      </c>
      <c r="C7673" t="str">
        <f t="shared" si="1728"/>
        <v>34</v>
      </c>
      <c r="D7673">
        <v>6249</v>
      </c>
      <c r="E7673" t="str">
        <f t="shared" si="1729"/>
        <v>10</v>
      </c>
      <c r="F7673" t="str">
        <f t="shared" si="1730"/>
        <v>937</v>
      </c>
      <c r="G7673">
        <v>9</v>
      </c>
      <c r="H7673" t="str">
        <f t="shared" si="1731"/>
        <v>99</v>
      </c>
      <c r="I7673" t="str">
        <f t="shared" si="1727"/>
        <v>0</v>
      </c>
      <c r="J7673" t="str">
        <f t="shared" si="1732"/>
        <v>82</v>
      </c>
      <c r="K7673">
        <v>20190809</v>
      </c>
      <c r="L7673" t="str">
        <f t="shared" si="1733"/>
        <v>077572</v>
      </c>
      <c r="M7673" t="str">
        <f t="shared" si="1734"/>
        <v>06267</v>
      </c>
      <c r="N7673" t="s">
        <v>1867</v>
      </c>
      <c r="O7673" s="1">
        <v>1614.95</v>
      </c>
      <c r="P7673">
        <v>20190808</v>
      </c>
      <c r="Q7673" t="s">
        <v>2036</v>
      </c>
      <c r="R7673" t="s">
        <v>6022</v>
      </c>
      <c r="S7673" t="s">
        <v>1615</v>
      </c>
      <c r="T7673" t="s">
        <v>1810</v>
      </c>
    </row>
    <row r="7674" spans="1:20" x14ac:dyDescent="0.25">
      <c r="A7674">
        <v>9</v>
      </c>
      <c r="B7674">
        <v>199</v>
      </c>
      <c r="C7674" t="str">
        <f t="shared" si="1728"/>
        <v>34</v>
      </c>
      <c r="D7674">
        <v>6249</v>
      </c>
      <c r="E7674" t="str">
        <f t="shared" si="1729"/>
        <v>10</v>
      </c>
      <c r="F7674" t="str">
        <f t="shared" si="1730"/>
        <v>937</v>
      </c>
      <c r="G7674">
        <v>9</v>
      </c>
      <c r="H7674" t="str">
        <f t="shared" si="1731"/>
        <v>99</v>
      </c>
      <c r="I7674" t="str">
        <f t="shared" si="1727"/>
        <v>0</v>
      </c>
      <c r="J7674" t="str">
        <f t="shared" si="1732"/>
        <v>82</v>
      </c>
      <c r="K7674">
        <v>20190809</v>
      </c>
      <c r="L7674" t="str">
        <f t="shared" si="1733"/>
        <v>077572</v>
      </c>
      <c r="M7674" t="str">
        <f t="shared" si="1734"/>
        <v>06267</v>
      </c>
      <c r="N7674" t="s">
        <v>1867</v>
      </c>
      <c r="O7674">
        <v>935.3</v>
      </c>
      <c r="P7674">
        <v>20190808</v>
      </c>
      <c r="Q7674" t="s">
        <v>2036</v>
      </c>
      <c r="R7674" t="s">
        <v>6023</v>
      </c>
      <c r="S7674" t="s">
        <v>1615</v>
      </c>
      <c r="T7674" t="s">
        <v>1810</v>
      </c>
    </row>
    <row r="7675" spans="1:20" x14ac:dyDescent="0.25">
      <c r="A7675">
        <v>9</v>
      </c>
      <c r="B7675">
        <v>199</v>
      </c>
      <c r="C7675" t="str">
        <f t="shared" si="1728"/>
        <v>34</v>
      </c>
      <c r="D7675">
        <v>6249</v>
      </c>
      <c r="E7675" t="str">
        <f t="shared" si="1729"/>
        <v>10</v>
      </c>
      <c r="F7675" t="str">
        <f t="shared" si="1730"/>
        <v>937</v>
      </c>
      <c r="G7675">
        <v>9</v>
      </c>
      <c r="H7675" t="str">
        <f t="shared" si="1731"/>
        <v>99</v>
      </c>
      <c r="I7675" t="str">
        <f t="shared" si="1727"/>
        <v>0</v>
      </c>
      <c r="J7675" t="str">
        <f t="shared" si="1732"/>
        <v>82</v>
      </c>
      <c r="K7675">
        <v>20190809</v>
      </c>
      <c r="L7675" t="str">
        <f t="shared" si="1733"/>
        <v>077572</v>
      </c>
      <c r="M7675" t="str">
        <f t="shared" si="1734"/>
        <v>06267</v>
      </c>
      <c r="N7675" t="s">
        <v>1867</v>
      </c>
      <c r="O7675">
        <v>884.66</v>
      </c>
      <c r="P7675">
        <v>20190808</v>
      </c>
      <c r="Q7675" t="s">
        <v>2036</v>
      </c>
      <c r="R7675" t="s">
        <v>6024</v>
      </c>
      <c r="S7675" t="s">
        <v>1615</v>
      </c>
      <c r="T7675" t="s">
        <v>1810</v>
      </c>
    </row>
    <row r="7676" spans="1:20" x14ac:dyDescent="0.25">
      <c r="A7676">
        <v>9</v>
      </c>
      <c r="B7676">
        <v>199</v>
      </c>
      <c r="C7676" t="str">
        <f t="shared" si="1728"/>
        <v>34</v>
      </c>
      <c r="D7676">
        <v>6249</v>
      </c>
      <c r="E7676" t="str">
        <f t="shared" si="1729"/>
        <v>10</v>
      </c>
      <c r="F7676" t="str">
        <f t="shared" si="1730"/>
        <v>937</v>
      </c>
      <c r="G7676">
        <v>9</v>
      </c>
      <c r="H7676" t="str">
        <f t="shared" si="1731"/>
        <v>99</v>
      </c>
      <c r="I7676" t="str">
        <f t="shared" si="1727"/>
        <v>0</v>
      </c>
      <c r="J7676" t="str">
        <f t="shared" si="1732"/>
        <v>82</v>
      </c>
      <c r="K7676">
        <v>20190809</v>
      </c>
      <c r="L7676" t="str">
        <f t="shared" si="1733"/>
        <v>077572</v>
      </c>
      <c r="M7676" t="str">
        <f t="shared" si="1734"/>
        <v>06267</v>
      </c>
      <c r="N7676" t="s">
        <v>1867</v>
      </c>
      <c r="O7676">
        <v>872.88</v>
      </c>
      <c r="P7676">
        <v>20190808</v>
      </c>
      <c r="Q7676" t="s">
        <v>2036</v>
      </c>
      <c r="R7676" t="s">
        <v>6025</v>
      </c>
      <c r="S7676" t="s">
        <v>1615</v>
      </c>
      <c r="T7676" t="s">
        <v>1810</v>
      </c>
    </row>
    <row r="7677" spans="1:20" x14ac:dyDescent="0.25">
      <c r="A7677">
        <v>9</v>
      </c>
      <c r="B7677">
        <v>199</v>
      </c>
      <c r="C7677" t="str">
        <f t="shared" si="1728"/>
        <v>34</v>
      </c>
      <c r="D7677">
        <v>6249</v>
      </c>
      <c r="E7677" t="str">
        <f t="shared" si="1729"/>
        <v>10</v>
      </c>
      <c r="F7677" t="str">
        <f t="shared" si="1730"/>
        <v>937</v>
      </c>
      <c r="G7677">
        <v>9</v>
      </c>
      <c r="H7677" t="str">
        <f t="shared" si="1731"/>
        <v>99</v>
      </c>
      <c r="I7677" t="str">
        <f t="shared" si="1727"/>
        <v>0</v>
      </c>
      <c r="J7677" t="str">
        <f t="shared" si="1732"/>
        <v>82</v>
      </c>
      <c r="K7677">
        <v>20190809</v>
      </c>
      <c r="L7677" t="str">
        <f t="shared" si="1733"/>
        <v>077572</v>
      </c>
      <c r="M7677" t="str">
        <f t="shared" si="1734"/>
        <v>06267</v>
      </c>
      <c r="N7677" t="s">
        <v>1867</v>
      </c>
      <c r="O7677" s="1">
        <v>2615.36</v>
      </c>
      <c r="P7677">
        <v>20190808</v>
      </c>
      <c r="Q7677" t="s">
        <v>2036</v>
      </c>
      <c r="R7677" t="s">
        <v>6026</v>
      </c>
      <c r="S7677" t="s">
        <v>1615</v>
      </c>
      <c r="T7677" t="s">
        <v>1810</v>
      </c>
    </row>
    <row r="7678" spans="1:20" x14ac:dyDescent="0.25">
      <c r="A7678">
        <v>9</v>
      </c>
      <c r="B7678">
        <v>199</v>
      </c>
      <c r="C7678" t="str">
        <f t="shared" si="1728"/>
        <v>34</v>
      </c>
      <c r="D7678">
        <v>6249</v>
      </c>
      <c r="E7678" t="str">
        <f t="shared" si="1729"/>
        <v>10</v>
      </c>
      <c r="F7678" t="str">
        <f t="shared" si="1730"/>
        <v>937</v>
      </c>
      <c r="G7678">
        <v>9</v>
      </c>
      <c r="H7678" t="str">
        <f t="shared" si="1731"/>
        <v>99</v>
      </c>
      <c r="I7678" t="str">
        <f t="shared" si="1727"/>
        <v>0</v>
      </c>
      <c r="J7678" t="str">
        <f t="shared" si="1732"/>
        <v>82</v>
      </c>
      <c r="K7678">
        <v>20190809</v>
      </c>
      <c r="L7678" t="str">
        <f t="shared" si="1733"/>
        <v>077572</v>
      </c>
      <c r="M7678" t="str">
        <f t="shared" si="1734"/>
        <v>06267</v>
      </c>
      <c r="N7678" t="s">
        <v>1867</v>
      </c>
      <c r="O7678" s="1">
        <v>2024.96</v>
      </c>
      <c r="P7678">
        <v>20190808</v>
      </c>
      <c r="Q7678" t="s">
        <v>2036</v>
      </c>
      <c r="R7678" t="s">
        <v>6027</v>
      </c>
      <c r="S7678" t="s">
        <v>1615</v>
      </c>
      <c r="T7678" t="s">
        <v>1810</v>
      </c>
    </row>
    <row r="7679" spans="1:20" x14ac:dyDescent="0.25">
      <c r="A7679">
        <v>9</v>
      </c>
      <c r="B7679">
        <v>199</v>
      </c>
      <c r="C7679" t="str">
        <f t="shared" si="1728"/>
        <v>34</v>
      </c>
      <c r="D7679">
        <v>6249</v>
      </c>
      <c r="E7679" t="str">
        <f t="shared" si="1729"/>
        <v>10</v>
      </c>
      <c r="F7679" t="str">
        <f t="shared" si="1730"/>
        <v>937</v>
      </c>
      <c r="G7679">
        <v>9</v>
      </c>
      <c r="H7679" t="str">
        <f t="shared" si="1731"/>
        <v>99</v>
      </c>
      <c r="I7679" t="str">
        <f t="shared" si="1727"/>
        <v>0</v>
      </c>
      <c r="J7679" t="str">
        <f t="shared" si="1732"/>
        <v>82</v>
      </c>
      <c r="K7679">
        <v>20190809</v>
      </c>
      <c r="L7679" t="str">
        <f t="shared" si="1733"/>
        <v>077572</v>
      </c>
      <c r="M7679" t="str">
        <f t="shared" si="1734"/>
        <v>06267</v>
      </c>
      <c r="N7679" t="s">
        <v>1867</v>
      </c>
      <c r="O7679" s="1">
        <v>2226.85</v>
      </c>
      <c r="P7679">
        <v>20190808</v>
      </c>
      <c r="Q7679" t="s">
        <v>2036</v>
      </c>
      <c r="R7679" t="s">
        <v>6028</v>
      </c>
      <c r="S7679" t="s">
        <v>1615</v>
      </c>
      <c r="T7679" t="s">
        <v>1810</v>
      </c>
    </row>
    <row r="7680" spans="1:20" x14ac:dyDescent="0.25">
      <c r="A7680">
        <v>9</v>
      </c>
      <c r="B7680">
        <v>199</v>
      </c>
      <c r="C7680" t="str">
        <f t="shared" si="1728"/>
        <v>34</v>
      </c>
      <c r="D7680">
        <v>6249</v>
      </c>
      <c r="E7680" t="str">
        <f t="shared" si="1729"/>
        <v>10</v>
      </c>
      <c r="F7680" t="str">
        <f t="shared" si="1730"/>
        <v>937</v>
      </c>
      <c r="G7680">
        <v>9</v>
      </c>
      <c r="H7680" t="str">
        <f t="shared" si="1731"/>
        <v>99</v>
      </c>
      <c r="I7680" t="str">
        <f t="shared" si="1727"/>
        <v>0</v>
      </c>
      <c r="J7680" t="str">
        <f t="shared" si="1732"/>
        <v>82</v>
      </c>
      <c r="K7680">
        <v>20190809</v>
      </c>
      <c r="L7680" t="str">
        <f t="shared" si="1733"/>
        <v>077572</v>
      </c>
      <c r="M7680" t="str">
        <f t="shared" si="1734"/>
        <v>06267</v>
      </c>
      <c r="N7680" t="s">
        <v>1867</v>
      </c>
      <c r="O7680">
        <v>943.39</v>
      </c>
      <c r="P7680">
        <v>20190808</v>
      </c>
      <c r="Q7680" t="s">
        <v>2036</v>
      </c>
      <c r="R7680" t="s">
        <v>6029</v>
      </c>
      <c r="S7680" t="s">
        <v>1615</v>
      </c>
      <c r="T7680" t="s">
        <v>1810</v>
      </c>
    </row>
    <row r="7681" spans="1:20" x14ac:dyDescent="0.25">
      <c r="A7681">
        <v>9</v>
      </c>
      <c r="B7681">
        <v>199</v>
      </c>
      <c r="C7681" t="str">
        <f t="shared" si="1728"/>
        <v>34</v>
      </c>
      <c r="D7681">
        <v>6249</v>
      </c>
      <c r="E7681" t="str">
        <f t="shared" si="1729"/>
        <v>10</v>
      </c>
      <c r="F7681" t="str">
        <f t="shared" si="1730"/>
        <v>937</v>
      </c>
      <c r="G7681">
        <v>9</v>
      </c>
      <c r="H7681" t="str">
        <f t="shared" si="1731"/>
        <v>99</v>
      </c>
      <c r="I7681" t="str">
        <f t="shared" si="1727"/>
        <v>0</v>
      </c>
      <c r="J7681" t="str">
        <f t="shared" si="1732"/>
        <v>82</v>
      </c>
      <c r="K7681">
        <v>20190809</v>
      </c>
      <c r="L7681" t="str">
        <f t="shared" si="1733"/>
        <v>077572</v>
      </c>
      <c r="M7681" t="str">
        <f t="shared" si="1734"/>
        <v>06267</v>
      </c>
      <c r="N7681" t="s">
        <v>1867</v>
      </c>
      <c r="O7681" s="1">
        <v>1786.76</v>
      </c>
      <c r="P7681">
        <v>20190808</v>
      </c>
      <c r="Q7681" t="s">
        <v>2036</v>
      </c>
      <c r="R7681" t="s">
        <v>6030</v>
      </c>
      <c r="S7681" t="s">
        <v>1615</v>
      </c>
      <c r="T7681" t="s">
        <v>1810</v>
      </c>
    </row>
    <row r="7682" spans="1:20" x14ac:dyDescent="0.25">
      <c r="A7682">
        <v>9</v>
      </c>
      <c r="B7682">
        <v>199</v>
      </c>
      <c r="C7682" t="str">
        <f>"51"</f>
        <v>51</v>
      </c>
      <c r="D7682">
        <v>6249</v>
      </c>
      <c r="E7682" t="str">
        <f>"WF"</f>
        <v>WF</v>
      </c>
      <c r="F7682" t="str">
        <f>"936"</f>
        <v>936</v>
      </c>
      <c r="G7682">
        <v>9</v>
      </c>
      <c r="H7682" t="str">
        <f t="shared" si="1731"/>
        <v>99</v>
      </c>
      <c r="I7682" t="str">
        <f t="shared" si="1727"/>
        <v>0</v>
      </c>
      <c r="J7682" t="str">
        <f t="shared" si="1732"/>
        <v>82</v>
      </c>
      <c r="K7682">
        <v>20190809</v>
      </c>
      <c r="L7682" t="str">
        <f>"077574"</f>
        <v>077574</v>
      </c>
      <c r="M7682" t="str">
        <f>"03852"</f>
        <v>03852</v>
      </c>
      <c r="N7682" t="s">
        <v>5133</v>
      </c>
      <c r="O7682" s="1">
        <v>1192.9000000000001</v>
      </c>
      <c r="P7682">
        <v>20190808</v>
      </c>
      <c r="Q7682" t="s">
        <v>2127</v>
      </c>
      <c r="R7682" t="s">
        <v>6031</v>
      </c>
      <c r="S7682" t="s">
        <v>1615</v>
      </c>
      <c r="T7682" t="s">
        <v>1713</v>
      </c>
    </row>
    <row r="7683" spans="1:20" x14ac:dyDescent="0.25">
      <c r="A7683">
        <v>9</v>
      </c>
      <c r="B7683">
        <v>199</v>
      </c>
      <c r="C7683" t="str">
        <f>"34"</f>
        <v>34</v>
      </c>
      <c r="D7683">
        <v>6399</v>
      </c>
      <c r="E7683" t="str">
        <f>"11"</f>
        <v>11</v>
      </c>
      <c r="F7683" t="str">
        <f>"937"</f>
        <v>937</v>
      </c>
      <c r="G7683">
        <v>9</v>
      </c>
      <c r="H7683" t="str">
        <f t="shared" si="1731"/>
        <v>99</v>
      </c>
      <c r="I7683" t="str">
        <f t="shared" si="1727"/>
        <v>0</v>
      </c>
      <c r="J7683" t="str">
        <f t="shared" si="1732"/>
        <v>82</v>
      </c>
      <c r="K7683">
        <v>20190809</v>
      </c>
      <c r="L7683" t="str">
        <f>"077575"</f>
        <v>077575</v>
      </c>
      <c r="M7683" t="str">
        <f>"08196"</f>
        <v>08196</v>
      </c>
      <c r="N7683" t="s">
        <v>2185</v>
      </c>
      <c r="O7683">
        <v>370.32</v>
      </c>
      <c r="P7683">
        <v>20190807</v>
      </c>
      <c r="Q7683" t="s">
        <v>2210</v>
      </c>
      <c r="R7683" t="s">
        <v>2211</v>
      </c>
      <c r="S7683" t="s">
        <v>1615</v>
      </c>
      <c r="T7683" t="s">
        <v>1810</v>
      </c>
    </row>
    <row r="7684" spans="1:20" x14ac:dyDescent="0.25">
      <c r="A7684">
        <v>9</v>
      </c>
      <c r="B7684">
        <v>199</v>
      </c>
      <c r="C7684" t="str">
        <f>"51"</f>
        <v>51</v>
      </c>
      <c r="D7684">
        <v>6249</v>
      </c>
      <c r="E7684" t="str">
        <f>"MC"</f>
        <v>MC</v>
      </c>
      <c r="F7684" t="str">
        <f>"001"</f>
        <v>001</v>
      </c>
      <c r="G7684">
        <v>9</v>
      </c>
      <c r="H7684" t="str">
        <f t="shared" si="1731"/>
        <v>99</v>
      </c>
      <c r="I7684" t="str">
        <f t="shared" si="1727"/>
        <v>0</v>
      </c>
      <c r="J7684" t="str">
        <f>"81"</f>
        <v>81</v>
      </c>
      <c r="K7684">
        <v>20190809</v>
      </c>
      <c r="L7684" t="str">
        <f>"077576"</f>
        <v>077576</v>
      </c>
      <c r="M7684" t="str">
        <f>"10024"</f>
        <v>10024</v>
      </c>
      <c r="N7684" t="s">
        <v>5951</v>
      </c>
      <c r="O7684" s="1">
        <v>11683</v>
      </c>
      <c r="P7684">
        <v>20190807</v>
      </c>
      <c r="Q7684" t="s">
        <v>2386</v>
      </c>
      <c r="R7684" t="s">
        <v>6032</v>
      </c>
      <c r="S7684" t="s">
        <v>1615</v>
      </c>
      <c r="T7684" t="s">
        <v>301</v>
      </c>
    </row>
    <row r="7685" spans="1:20" x14ac:dyDescent="0.25">
      <c r="A7685">
        <v>9</v>
      </c>
      <c r="B7685">
        <v>199</v>
      </c>
      <c r="C7685" t="str">
        <f>"34"</f>
        <v>34</v>
      </c>
      <c r="D7685">
        <v>6249</v>
      </c>
      <c r="E7685" t="str">
        <f>"10"</f>
        <v>10</v>
      </c>
      <c r="F7685" t="str">
        <f>"937"</f>
        <v>937</v>
      </c>
      <c r="G7685">
        <v>9</v>
      </c>
      <c r="H7685" t="str">
        <f t="shared" si="1731"/>
        <v>99</v>
      </c>
      <c r="I7685" t="str">
        <f t="shared" si="1727"/>
        <v>0</v>
      </c>
      <c r="J7685" t="str">
        <f>"82"</f>
        <v>82</v>
      </c>
      <c r="K7685">
        <v>20190809</v>
      </c>
      <c r="L7685" t="str">
        <f>"077577"</f>
        <v>077577</v>
      </c>
      <c r="M7685" t="str">
        <f>"00748"</f>
        <v>00748</v>
      </c>
      <c r="N7685" t="s">
        <v>5365</v>
      </c>
      <c r="O7685">
        <v>475</v>
      </c>
      <c r="P7685">
        <v>20190807</v>
      </c>
      <c r="Q7685" t="s">
        <v>2036</v>
      </c>
      <c r="R7685" t="s">
        <v>6033</v>
      </c>
      <c r="S7685" t="s">
        <v>1615</v>
      </c>
      <c r="T7685" t="s">
        <v>1810</v>
      </c>
    </row>
    <row r="7686" spans="1:20" x14ac:dyDescent="0.25">
      <c r="A7686">
        <v>9</v>
      </c>
      <c r="B7686">
        <v>199</v>
      </c>
      <c r="C7686" t="str">
        <f>"11"</f>
        <v>11</v>
      </c>
      <c r="D7686">
        <v>6429</v>
      </c>
      <c r="E7686" t="str">
        <f>"NL"</f>
        <v>NL</v>
      </c>
      <c r="F7686" t="str">
        <f>"001"</f>
        <v>001</v>
      </c>
      <c r="G7686">
        <v>9</v>
      </c>
      <c r="H7686" t="str">
        <f>"22"</f>
        <v>22</v>
      </c>
      <c r="I7686" t="str">
        <f t="shared" si="1727"/>
        <v>0</v>
      </c>
      <c r="J7686" t="str">
        <f>"22"</f>
        <v>22</v>
      </c>
      <c r="K7686">
        <v>20190809</v>
      </c>
      <c r="L7686" t="str">
        <f>"077580"</f>
        <v>077580</v>
      </c>
      <c r="M7686" t="str">
        <f>"11081"</f>
        <v>11081</v>
      </c>
      <c r="N7686" t="s">
        <v>6034</v>
      </c>
      <c r="O7686">
        <v>790</v>
      </c>
      <c r="P7686">
        <v>20190807</v>
      </c>
      <c r="Q7686" t="s">
        <v>6035</v>
      </c>
      <c r="R7686" t="s">
        <v>6036</v>
      </c>
      <c r="S7686" t="s">
        <v>1615</v>
      </c>
      <c r="T7686" t="s">
        <v>301</v>
      </c>
    </row>
    <row r="7687" spans="1:20" x14ac:dyDescent="0.25">
      <c r="A7687">
        <v>9</v>
      </c>
      <c r="B7687">
        <v>199</v>
      </c>
      <c r="C7687" t="str">
        <f>"41"</f>
        <v>41</v>
      </c>
      <c r="D7687">
        <v>6211</v>
      </c>
      <c r="E7687" t="str">
        <f>"01"</f>
        <v>01</v>
      </c>
      <c r="F7687" t="str">
        <f>"702"</f>
        <v>702</v>
      </c>
      <c r="G7687">
        <v>9</v>
      </c>
      <c r="H7687" t="str">
        <f>"99"</f>
        <v>99</v>
      </c>
      <c r="I7687" t="str">
        <f t="shared" si="1727"/>
        <v>0</v>
      </c>
      <c r="J7687" t="str">
        <f>"93"</f>
        <v>93</v>
      </c>
      <c r="K7687">
        <v>20190809</v>
      </c>
      <c r="L7687" t="str">
        <f>"077582"</f>
        <v>077582</v>
      </c>
      <c r="M7687" t="str">
        <f>"13281"</f>
        <v>13281</v>
      </c>
      <c r="N7687" t="s">
        <v>1684</v>
      </c>
      <c r="O7687" s="1">
        <v>3208.33</v>
      </c>
      <c r="P7687">
        <v>20190807</v>
      </c>
      <c r="Q7687" t="s">
        <v>1685</v>
      </c>
      <c r="R7687" t="s">
        <v>6037</v>
      </c>
      <c r="S7687" t="s">
        <v>1615</v>
      </c>
      <c r="T7687" t="s">
        <v>1611</v>
      </c>
    </row>
    <row r="7688" spans="1:20" x14ac:dyDescent="0.25">
      <c r="A7688">
        <v>9</v>
      </c>
      <c r="B7688">
        <v>199</v>
      </c>
      <c r="C7688" t="str">
        <f>"41"</f>
        <v>41</v>
      </c>
      <c r="D7688">
        <v>6211</v>
      </c>
      <c r="E7688" t="str">
        <f>"02"</f>
        <v>02</v>
      </c>
      <c r="F7688" t="str">
        <f>"702"</f>
        <v>702</v>
      </c>
      <c r="G7688">
        <v>9</v>
      </c>
      <c r="H7688" t="str">
        <f>"99"</f>
        <v>99</v>
      </c>
      <c r="I7688" t="str">
        <f t="shared" si="1727"/>
        <v>0</v>
      </c>
      <c r="J7688" t="str">
        <f>"93"</f>
        <v>93</v>
      </c>
      <c r="K7688">
        <v>20190809</v>
      </c>
      <c r="L7688" t="str">
        <f>"077582"</f>
        <v>077582</v>
      </c>
      <c r="M7688" t="str">
        <f>"13281"</f>
        <v>13281</v>
      </c>
      <c r="N7688" t="s">
        <v>1684</v>
      </c>
      <c r="O7688">
        <v>44.9</v>
      </c>
      <c r="P7688">
        <v>20190807</v>
      </c>
      <c r="Q7688" t="s">
        <v>2473</v>
      </c>
      <c r="R7688" t="s">
        <v>6038</v>
      </c>
      <c r="S7688" t="s">
        <v>1615</v>
      </c>
      <c r="T7688" t="s">
        <v>1611</v>
      </c>
    </row>
    <row r="7689" spans="1:20" x14ac:dyDescent="0.25">
      <c r="A7689">
        <v>9</v>
      </c>
      <c r="B7689">
        <v>199</v>
      </c>
      <c r="C7689" t="str">
        <f>"53"</f>
        <v>53</v>
      </c>
      <c r="D7689">
        <v>6411</v>
      </c>
      <c r="E7689" t="str">
        <f>"10"</f>
        <v>10</v>
      </c>
      <c r="F7689" t="str">
        <f>"880"</f>
        <v>880</v>
      </c>
      <c r="G7689">
        <v>9</v>
      </c>
      <c r="H7689" t="str">
        <f>"99"</f>
        <v>99</v>
      </c>
      <c r="I7689" t="str">
        <f t="shared" si="1727"/>
        <v>0</v>
      </c>
      <c r="J7689" t="str">
        <f>"80"</f>
        <v>80</v>
      </c>
      <c r="K7689">
        <v>20190809</v>
      </c>
      <c r="L7689" t="str">
        <f>"077583"</f>
        <v>077583</v>
      </c>
      <c r="M7689" t="str">
        <f>"13880"</f>
        <v>13880</v>
      </c>
      <c r="N7689" t="s">
        <v>4050</v>
      </c>
      <c r="O7689">
        <v>172</v>
      </c>
      <c r="P7689">
        <v>20190807</v>
      </c>
      <c r="Q7689" t="s">
        <v>1901</v>
      </c>
      <c r="R7689" t="s">
        <v>6039</v>
      </c>
      <c r="S7689" t="s">
        <v>1615</v>
      </c>
      <c r="T7689" t="s">
        <v>1866</v>
      </c>
    </row>
    <row r="7690" spans="1:20" x14ac:dyDescent="0.25">
      <c r="A7690">
        <v>9</v>
      </c>
      <c r="B7690">
        <v>199</v>
      </c>
      <c r="C7690" t="str">
        <f>"34"</f>
        <v>34</v>
      </c>
      <c r="D7690">
        <v>6249</v>
      </c>
      <c r="E7690" t="str">
        <f>"10"</f>
        <v>10</v>
      </c>
      <c r="F7690" t="str">
        <f>"937"</f>
        <v>937</v>
      </c>
      <c r="G7690">
        <v>9</v>
      </c>
      <c r="H7690" t="str">
        <f>"99"</f>
        <v>99</v>
      </c>
      <c r="I7690" t="str">
        <f t="shared" si="1727"/>
        <v>0</v>
      </c>
      <c r="J7690" t="str">
        <f>"82"</f>
        <v>82</v>
      </c>
      <c r="K7690">
        <v>20190809</v>
      </c>
      <c r="L7690" t="str">
        <f>"077585"</f>
        <v>077585</v>
      </c>
      <c r="M7690" t="str">
        <f>"21842"</f>
        <v>21842</v>
      </c>
      <c r="N7690" t="s">
        <v>2576</v>
      </c>
      <c r="O7690">
        <v>365</v>
      </c>
      <c r="P7690">
        <v>20190807</v>
      </c>
      <c r="Q7690" t="s">
        <v>2036</v>
      </c>
      <c r="R7690" t="s">
        <v>6040</v>
      </c>
      <c r="S7690" t="s">
        <v>1615</v>
      </c>
      <c r="T7690" t="s">
        <v>1810</v>
      </c>
    </row>
    <row r="7691" spans="1:20" x14ac:dyDescent="0.25">
      <c r="A7691">
        <v>9</v>
      </c>
      <c r="B7691">
        <v>199</v>
      </c>
      <c r="C7691" t="str">
        <f>"00"</f>
        <v>00</v>
      </c>
      <c r="D7691">
        <v>1312</v>
      </c>
      <c r="E7691" t="str">
        <f>"00"</f>
        <v>00</v>
      </c>
      <c r="F7691" t="str">
        <f>"000"</f>
        <v>000</v>
      </c>
      <c r="G7691">
        <v>9</v>
      </c>
      <c r="H7691" t="str">
        <f>"00"</f>
        <v>00</v>
      </c>
      <c r="I7691" t="str">
        <f t="shared" si="1727"/>
        <v>0</v>
      </c>
      <c r="J7691" t="str">
        <f>"00"</f>
        <v>00</v>
      </c>
      <c r="K7691">
        <v>20190809</v>
      </c>
      <c r="L7691" t="str">
        <f>"077586"</f>
        <v>077586</v>
      </c>
      <c r="M7691" t="str">
        <f>"14821"</f>
        <v>14821</v>
      </c>
      <c r="N7691" t="s">
        <v>1224</v>
      </c>
      <c r="O7691">
        <v>383</v>
      </c>
      <c r="P7691">
        <v>20190807</v>
      </c>
      <c r="Q7691" t="s">
        <v>1860</v>
      </c>
      <c r="R7691" t="s">
        <v>1225</v>
      </c>
      <c r="S7691" t="s">
        <v>1615</v>
      </c>
      <c r="T7691" t="s">
        <v>296</v>
      </c>
    </row>
    <row r="7692" spans="1:20" x14ac:dyDescent="0.25">
      <c r="A7692">
        <v>9</v>
      </c>
      <c r="B7692">
        <v>199</v>
      </c>
      <c r="C7692" t="str">
        <f>"11"</f>
        <v>11</v>
      </c>
      <c r="D7692">
        <v>6399</v>
      </c>
      <c r="E7692" t="str">
        <f>"8U"</f>
        <v>8U</v>
      </c>
      <c r="F7692" t="str">
        <f>"001"</f>
        <v>001</v>
      </c>
      <c r="G7692">
        <v>9</v>
      </c>
      <c r="H7692" t="str">
        <f>"11"</f>
        <v>11</v>
      </c>
      <c r="I7692" t="str">
        <f t="shared" si="1727"/>
        <v>0</v>
      </c>
      <c r="J7692" t="str">
        <f>"01"</f>
        <v>01</v>
      </c>
      <c r="K7692">
        <v>20190809</v>
      </c>
      <c r="L7692" t="str">
        <f>"077586"</f>
        <v>077586</v>
      </c>
      <c r="M7692" t="str">
        <f>"14821"</f>
        <v>14821</v>
      </c>
      <c r="N7692" t="s">
        <v>1224</v>
      </c>
      <c r="O7692" s="1">
        <v>1723.21</v>
      </c>
      <c r="P7692">
        <v>20190807</v>
      </c>
      <c r="Q7692" t="s">
        <v>2205</v>
      </c>
      <c r="R7692" t="s">
        <v>1225</v>
      </c>
      <c r="S7692" t="s">
        <v>1615</v>
      </c>
      <c r="T7692" t="s">
        <v>301</v>
      </c>
    </row>
    <row r="7693" spans="1:20" x14ac:dyDescent="0.25">
      <c r="A7693">
        <v>9</v>
      </c>
      <c r="B7693">
        <v>199</v>
      </c>
      <c r="C7693" t="str">
        <f>"11"</f>
        <v>11</v>
      </c>
      <c r="D7693">
        <v>6399</v>
      </c>
      <c r="E7693" t="str">
        <f>"8U"</f>
        <v>8U</v>
      </c>
      <c r="F7693" t="str">
        <f>"001"</f>
        <v>001</v>
      </c>
      <c r="G7693">
        <v>9</v>
      </c>
      <c r="H7693" t="str">
        <f>"11"</f>
        <v>11</v>
      </c>
      <c r="I7693" t="str">
        <f t="shared" si="1727"/>
        <v>0</v>
      </c>
      <c r="J7693" t="str">
        <f>"01"</f>
        <v>01</v>
      </c>
      <c r="K7693">
        <v>20190809</v>
      </c>
      <c r="L7693" t="str">
        <f>"077586"</f>
        <v>077586</v>
      </c>
      <c r="M7693" t="str">
        <f>"14821"</f>
        <v>14821</v>
      </c>
      <c r="N7693" t="s">
        <v>1224</v>
      </c>
      <c r="O7693" s="1">
        <v>2719.3</v>
      </c>
      <c r="P7693">
        <v>20190807</v>
      </c>
      <c r="Q7693" t="s">
        <v>2205</v>
      </c>
      <c r="R7693" t="s">
        <v>1225</v>
      </c>
      <c r="S7693" t="s">
        <v>1615</v>
      </c>
      <c r="T7693" t="s">
        <v>301</v>
      </c>
    </row>
    <row r="7694" spans="1:20" x14ac:dyDescent="0.25">
      <c r="A7694">
        <v>9</v>
      </c>
      <c r="B7694">
        <v>199</v>
      </c>
      <c r="C7694" t="str">
        <f>"41"</f>
        <v>41</v>
      </c>
      <c r="D7694">
        <v>6399</v>
      </c>
      <c r="E7694" t="str">
        <f>"00"</f>
        <v>00</v>
      </c>
      <c r="F7694" t="str">
        <f>"932"</f>
        <v>932</v>
      </c>
      <c r="G7694">
        <v>9</v>
      </c>
      <c r="H7694" t="str">
        <f>"99"</f>
        <v>99</v>
      </c>
      <c r="I7694" t="str">
        <f t="shared" si="1727"/>
        <v>0</v>
      </c>
      <c r="J7694" t="str">
        <f>"84"</f>
        <v>84</v>
      </c>
      <c r="K7694">
        <v>20190809</v>
      </c>
      <c r="L7694" t="str">
        <f>"077586"</f>
        <v>077586</v>
      </c>
      <c r="M7694" t="str">
        <f>"14821"</f>
        <v>14821</v>
      </c>
      <c r="N7694" t="s">
        <v>1224</v>
      </c>
      <c r="O7694">
        <v>191.5</v>
      </c>
      <c r="P7694">
        <v>20190807</v>
      </c>
      <c r="Q7694" t="s">
        <v>5531</v>
      </c>
      <c r="R7694" t="s">
        <v>1225</v>
      </c>
      <c r="S7694" t="s">
        <v>1615</v>
      </c>
      <c r="T7694" t="s">
        <v>2900</v>
      </c>
    </row>
    <row r="7695" spans="1:20" x14ac:dyDescent="0.25">
      <c r="A7695">
        <v>9</v>
      </c>
      <c r="B7695">
        <v>199</v>
      </c>
      <c r="C7695" t="str">
        <f>"53"</f>
        <v>53</v>
      </c>
      <c r="D7695">
        <v>6411</v>
      </c>
      <c r="E7695" t="str">
        <f>"10"</f>
        <v>10</v>
      </c>
      <c r="F7695" t="str">
        <f>"880"</f>
        <v>880</v>
      </c>
      <c r="G7695">
        <v>9</v>
      </c>
      <c r="H7695" t="str">
        <f>"99"</f>
        <v>99</v>
      </c>
      <c r="I7695" t="str">
        <f t="shared" si="1727"/>
        <v>0</v>
      </c>
      <c r="J7695" t="str">
        <f>"80"</f>
        <v>80</v>
      </c>
      <c r="K7695">
        <v>20190809</v>
      </c>
      <c r="L7695" t="str">
        <f>"077587"</f>
        <v>077587</v>
      </c>
      <c r="M7695" t="str">
        <f>"19419"</f>
        <v>19419</v>
      </c>
      <c r="N7695" t="s">
        <v>278</v>
      </c>
      <c r="O7695">
        <v>251.5</v>
      </c>
      <c r="P7695">
        <v>20190807</v>
      </c>
      <c r="Q7695" t="s">
        <v>1901</v>
      </c>
      <c r="R7695" t="s">
        <v>6041</v>
      </c>
      <c r="S7695" t="s">
        <v>1615</v>
      </c>
      <c r="T7695" t="s">
        <v>1866</v>
      </c>
    </row>
    <row r="7696" spans="1:20" x14ac:dyDescent="0.25">
      <c r="A7696">
        <v>9</v>
      </c>
      <c r="B7696">
        <v>199</v>
      </c>
      <c r="C7696" t="str">
        <f>"23"</f>
        <v>23</v>
      </c>
      <c r="D7696">
        <v>6498</v>
      </c>
      <c r="E7696" t="str">
        <f>"99"</f>
        <v>99</v>
      </c>
      <c r="F7696" t="str">
        <f>"041"</f>
        <v>041</v>
      </c>
      <c r="G7696">
        <v>9</v>
      </c>
      <c r="H7696" t="str">
        <f>"99"</f>
        <v>99</v>
      </c>
      <c r="I7696" t="str">
        <f t="shared" si="1727"/>
        <v>0</v>
      </c>
      <c r="J7696" t="str">
        <f>"03"</f>
        <v>03</v>
      </c>
      <c r="K7696">
        <v>20190809</v>
      </c>
      <c r="L7696" t="str">
        <f>"077590"</f>
        <v>077590</v>
      </c>
      <c r="M7696" t="str">
        <f>"51346"</f>
        <v>51346</v>
      </c>
      <c r="N7696" t="s">
        <v>418</v>
      </c>
      <c r="O7696">
        <v>78</v>
      </c>
      <c r="P7696">
        <v>20190807</v>
      </c>
      <c r="Q7696" t="s">
        <v>2140</v>
      </c>
      <c r="R7696" t="s">
        <v>6042</v>
      </c>
      <c r="S7696" t="s">
        <v>1615</v>
      </c>
      <c r="T7696" t="s">
        <v>106</v>
      </c>
    </row>
    <row r="7697" spans="1:20" x14ac:dyDescent="0.25">
      <c r="A7697">
        <v>9</v>
      </c>
      <c r="B7697">
        <v>199</v>
      </c>
      <c r="C7697" t="str">
        <f>"23"</f>
        <v>23</v>
      </c>
      <c r="D7697">
        <v>6498</v>
      </c>
      <c r="E7697" t="str">
        <f>"99"</f>
        <v>99</v>
      </c>
      <c r="F7697" t="str">
        <f>"041"</f>
        <v>041</v>
      </c>
      <c r="G7697">
        <v>9</v>
      </c>
      <c r="H7697" t="str">
        <f>"99"</f>
        <v>99</v>
      </c>
      <c r="I7697" t="str">
        <f t="shared" si="1727"/>
        <v>0</v>
      </c>
      <c r="J7697" t="str">
        <f>"03"</f>
        <v>03</v>
      </c>
      <c r="K7697">
        <v>20190809</v>
      </c>
      <c r="L7697" t="str">
        <f>"077590"</f>
        <v>077590</v>
      </c>
      <c r="M7697" t="str">
        <f>"51346"</f>
        <v>51346</v>
      </c>
      <c r="N7697" t="s">
        <v>418</v>
      </c>
      <c r="O7697">
        <v>130</v>
      </c>
      <c r="P7697">
        <v>20190807</v>
      </c>
      <c r="Q7697" t="s">
        <v>2140</v>
      </c>
      <c r="R7697" t="s">
        <v>6043</v>
      </c>
      <c r="S7697" t="s">
        <v>1615</v>
      </c>
      <c r="T7697" t="s">
        <v>106</v>
      </c>
    </row>
    <row r="7698" spans="1:20" x14ac:dyDescent="0.25">
      <c r="A7698">
        <v>9</v>
      </c>
      <c r="B7698">
        <v>199</v>
      </c>
      <c r="C7698" t="str">
        <f t="shared" ref="C7698:C7703" si="1735">"11"</f>
        <v>11</v>
      </c>
      <c r="D7698">
        <v>6269</v>
      </c>
      <c r="E7698" t="str">
        <f>"VA"</f>
        <v>VA</v>
      </c>
      <c r="F7698" t="str">
        <f t="shared" ref="F7698:F7703" si="1736">"001"</f>
        <v>001</v>
      </c>
      <c r="G7698">
        <v>9</v>
      </c>
      <c r="H7698" t="str">
        <f t="shared" ref="H7698:H7703" si="1737">"22"</f>
        <v>22</v>
      </c>
      <c r="I7698" t="str">
        <f t="shared" si="1727"/>
        <v>0</v>
      </c>
      <c r="J7698" t="str">
        <f t="shared" ref="J7698:J7703" si="1738">"22"</f>
        <v>22</v>
      </c>
      <c r="K7698">
        <v>20190809</v>
      </c>
      <c r="L7698" t="str">
        <f t="shared" ref="L7698:L7703" si="1739">"077591"</f>
        <v>077591</v>
      </c>
      <c r="M7698" t="str">
        <f t="shared" ref="M7698:M7703" si="1740">"20683"</f>
        <v>20683</v>
      </c>
      <c r="N7698" t="s">
        <v>1697</v>
      </c>
      <c r="O7698">
        <v>98.74</v>
      </c>
      <c r="P7698">
        <v>20190808</v>
      </c>
      <c r="Q7698" t="s">
        <v>2213</v>
      </c>
      <c r="R7698" t="s">
        <v>6044</v>
      </c>
      <c r="S7698" t="s">
        <v>1615</v>
      </c>
      <c r="T7698" t="s">
        <v>301</v>
      </c>
    </row>
    <row r="7699" spans="1:20" x14ac:dyDescent="0.25">
      <c r="A7699">
        <v>9</v>
      </c>
      <c r="B7699">
        <v>199</v>
      </c>
      <c r="C7699" t="str">
        <f t="shared" si="1735"/>
        <v>11</v>
      </c>
      <c r="D7699">
        <v>6269</v>
      </c>
      <c r="E7699" t="str">
        <f>"VA"</f>
        <v>VA</v>
      </c>
      <c r="F7699" t="str">
        <f t="shared" si="1736"/>
        <v>001</v>
      </c>
      <c r="G7699">
        <v>9</v>
      </c>
      <c r="H7699" t="str">
        <f t="shared" si="1737"/>
        <v>22</v>
      </c>
      <c r="I7699" t="str">
        <f t="shared" si="1727"/>
        <v>0</v>
      </c>
      <c r="J7699" t="str">
        <f t="shared" si="1738"/>
        <v>22</v>
      </c>
      <c r="K7699">
        <v>20190809</v>
      </c>
      <c r="L7699" t="str">
        <f t="shared" si="1739"/>
        <v>077591</v>
      </c>
      <c r="M7699" t="str">
        <f t="shared" si="1740"/>
        <v>20683</v>
      </c>
      <c r="N7699" t="s">
        <v>1697</v>
      </c>
      <c r="O7699">
        <v>60.69</v>
      </c>
      <c r="P7699">
        <v>20190808</v>
      </c>
      <c r="Q7699" t="s">
        <v>2213</v>
      </c>
      <c r="R7699" t="s">
        <v>6045</v>
      </c>
      <c r="S7699" t="s">
        <v>1615</v>
      </c>
      <c r="T7699" t="s">
        <v>301</v>
      </c>
    </row>
    <row r="7700" spans="1:20" x14ac:dyDescent="0.25">
      <c r="A7700">
        <v>9</v>
      </c>
      <c r="B7700">
        <v>199</v>
      </c>
      <c r="C7700" t="str">
        <f t="shared" si="1735"/>
        <v>11</v>
      </c>
      <c r="D7700">
        <v>6269</v>
      </c>
      <c r="E7700" t="str">
        <f>"VA"</f>
        <v>VA</v>
      </c>
      <c r="F7700" t="str">
        <f t="shared" si="1736"/>
        <v>001</v>
      </c>
      <c r="G7700">
        <v>9</v>
      </c>
      <c r="H7700" t="str">
        <f t="shared" si="1737"/>
        <v>22</v>
      </c>
      <c r="I7700" t="str">
        <f t="shared" si="1727"/>
        <v>0</v>
      </c>
      <c r="J7700" t="str">
        <f t="shared" si="1738"/>
        <v>22</v>
      </c>
      <c r="K7700">
        <v>20190809</v>
      </c>
      <c r="L7700" t="str">
        <f t="shared" si="1739"/>
        <v>077591</v>
      </c>
      <c r="M7700" t="str">
        <f t="shared" si="1740"/>
        <v>20683</v>
      </c>
      <c r="N7700" t="s">
        <v>1697</v>
      </c>
      <c r="O7700">
        <v>59.42</v>
      </c>
      <c r="P7700">
        <v>20190808</v>
      </c>
      <c r="Q7700" t="s">
        <v>2213</v>
      </c>
      <c r="R7700" t="s">
        <v>6046</v>
      </c>
      <c r="S7700" t="s">
        <v>1615</v>
      </c>
      <c r="T7700" t="s">
        <v>301</v>
      </c>
    </row>
    <row r="7701" spans="1:20" x14ac:dyDescent="0.25">
      <c r="A7701">
        <v>9</v>
      </c>
      <c r="B7701">
        <v>199</v>
      </c>
      <c r="C7701" t="str">
        <f t="shared" si="1735"/>
        <v>11</v>
      </c>
      <c r="D7701">
        <v>6399</v>
      </c>
      <c r="E7701" t="str">
        <f>"V8"</f>
        <v>V8</v>
      </c>
      <c r="F7701" t="str">
        <f t="shared" si="1736"/>
        <v>001</v>
      </c>
      <c r="G7701">
        <v>9</v>
      </c>
      <c r="H7701" t="str">
        <f t="shared" si="1737"/>
        <v>22</v>
      </c>
      <c r="I7701" t="str">
        <f t="shared" si="1727"/>
        <v>0</v>
      </c>
      <c r="J7701" t="str">
        <f t="shared" si="1738"/>
        <v>22</v>
      </c>
      <c r="K7701">
        <v>20190809</v>
      </c>
      <c r="L7701" t="str">
        <f t="shared" si="1739"/>
        <v>077591</v>
      </c>
      <c r="M7701" t="str">
        <f t="shared" si="1740"/>
        <v>20683</v>
      </c>
      <c r="N7701" t="s">
        <v>1697</v>
      </c>
      <c r="O7701">
        <v>27.38</v>
      </c>
      <c r="P7701">
        <v>20190808</v>
      </c>
      <c r="Q7701" t="s">
        <v>2001</v>
      </c>
      <c r="R7701" t="s">
        <v>6044</v>
      </c>
      <c r="S7701" t="s">
        <v>1615</v>
      </c>
      <c r="T7701" t="s">
        <v>301</v>
      </c>
    </row>
    <row r="7702" spans="1:20" x14ac:dyDescent="0.25">
      <c r="A7702">
        <v>9</v>
      </c>
      <c r="B7702">
        <v>199</v>
      </c>
      <c r="C7702" t="str">
        <f t="shared" si="1735"/>
        <v>11</v>
      </c>
      <c r="D7702">
        <v>6399</v>
      </c>
      <c r="E7702" t="str">
        <f>"V8"</f>
        <v>V8</v>
      </c>
      <c r="F7702" t="str">
        <f t="shared" si="1736"/>
        <v>001</v>
      </c>
      <c r="G7702">
        <v>9</v>
      </c>
      <c r="H7702" t="str">
        <f t="shared" si="1737"/>
        <v>22</v>
      </c>
      <c r="I7702" t="str">
        <f t="shared" si="1727"/>
        <v>0</v>
      </c>
      <c r="J7702" t="str">
        <f t="shared" si="1738"/>
        <v>22</v>
      </c>
      <c r="K7702">
        <v>20190809</v>
      </c>
      <c r="L7702" t="str">
        <f t="shared" si="1739"/>
        <v>077591</v>
      </c>
      <c r="M7702" t="str">
        <f t="shared" si="1740"/>
        <v>20683</v>
      </c>
      <c r="N7702" t="s">
        <v>1697</v>
      </c>
      <c r="O7702">
        <v>13.69</v>
      </c>
      <c r="P7702">
        <v>20190808</v>
      </c>
      <c r="Q7702" t="s">
        <v>2001</v>
      </c>
      <c r="R7702" t="s">
        <v>6045</v>
      </c>
      <c r="S7702" t="s">
        <v>1615</v>
      </c>
      <c r="T7702" t="s">
        <v>301</v>
      </c>
    </row>
    <row r="7703" spans="1:20" x14ac:dyDescent="0.25">
      <c r="A7703">
        <v>9</v>
      </c>
      <c r="B7703">
        <v>199</v>
      </c>
      <c r="C7703" t="str">
        <f t="shared" si="1735"/>
        <v>11</v>
      </c>
      <c r="D7703">
        <v>6399</v>
      </c>
      <c r="E7703" t="str">
        <f>"V8"</f>
        <v>V8</v>
      </c>
      <c r="F7703" t="str">
        <f t="shared" si="1736"/>
        <v>001</v>
      </c>
      <c r="G7703">
        <v>9</v>
      </c>
      <c r="H7703" t="str">
        <f t="shared" si="1737"/>
        <v>22</v>
      </c>
      <c r="I7703" t="str">
        <f t="shared" ref="I7703:I7734" si="1741">"0"</f>
        <v>0</v>
      </c>
      <c r="J7703" t="str">
        <f t="shared" si="1738"/>
        <v>22</v>
      </c>
      <c r="K7703">
        <v>20190809</v>
      </c>
      <c r="L7703" t="str">
        <f t="shared" si="1739"/>
        <v>077591</v>
      </c>
      <c r="M7703" t="str">
        <f t="shared" si="1740"/>
        <v>20683</v>
      </c>
      <c r="N7703" t="s">
        <v>1697</v>
      </c>
      <c r="O7703">
        <v>13.69</v>
      </c>
      <c r="P7703">
        <v>20190808</v>
      </c>
      <c r="Q7703" t="s">
        <v>2001</v>
      </c>
      <c r="R7703" t="s">
        <v>6046</v>
      </c>
      <c r="S7703" t="s">
        <v>1615</v>
      </c>
      <c r="T7703" t="s">
        <v>301</v>
      </c>
    </row>
    <row r="7704" spans="1:20" x14ac:dyDescent="0.25">
      <c r="A7704">
        <v>9</v>
      </c>
      <c r="B7704">
        <v>199</v>
      </c>
      <c r="C7704" t="str">
        <f>"31"</f>
        <v>31</v>
      </c>
      <c r="D7704">
        <v>6219</v>
      </c>
      <c r="E7704" t="str">
        <f>"00"</f>
        <v>00</v>
      </c>
      <c r="F7704" t="str">
        <f>"875"</f>
        <v>875</v>
      </c>
      <c r="G7704">
        <v>9</v>
      </c>
      <c r="H7704" t="str">
        <f>"23"</f>
        <v>23</v>
      </c>
      <c r="I7704" t="str">
        <f t="shared" si="1741"/>
        <v>0</v>
      </c>
      <c r="J7704" t="str">
        <f>"23"</f>
        <v>23</v>
      </c>
      <c r="K7704">
        <v>20190809</v>
      </c>
      <c r="L7704" t="str">
        <f>"077593"</f>
        <v>077593</v>
      </c>
      <c r="M7704" t="str">
        <f>"21769"</f>
        <v>21769</v>
      </c>
      <c r="N7704" t="s">
        <v>1701</v>
      </c>
      <c r="O7704" s="1">
        <v>2910</v>
      </c>
      <c r="P7704">
        <v>20190807</v>
      </c>
      <c r="Q7704" t="s">
        <v>2207</v>
      </c>
      <c r="R7704" t="s">
        <v>6047</v>
      </c>
      <c r="S7704" t="s">
        <v>1615</v>
      </c>
      <c r="T7704" t="s">
        <v>2041</v>
      </c>
    </row>
    <row r="7705" spans="1:20" x14ac:dyDescent="0.25">
      <c r="A7705">
        <v>9</v>
      </c>
      <c r="B7705">
        <v>199</v>
      </c>
      <c r="C7705" t="str">
        <f>"34"</f>
        <v>34</v>
      </c>
      <c r="D7705">
        <v>6399</v>
      </c>
      <c r="E7705" t="str">
        <f>"11"</f>
        <v>11</v>
      </c>
      <c r="F7705" t="str">
        <f>"937"</f>
        <v>937</v>
      </c>
      <c r="G7705">
        <v>9</v>
      </c>
      <c r="H7705" t="str">
        <f t="shared" ref="H7705:H7710" si="1742">"99"</f>
        <v>99</v>
      </c>
      <c r="I7705" t="str">
        <f t="shared" si="1741"/>
        <v>0</v>
      </c>
      <c r="J7705" t="str">
        <f>"82"</f>
        <v>82</v>
      </c>
      <c r="K7705">
        <v>20190809</v>
      </c>
      <c r="L7705" t="str">
        <f>"077594"</f>
        <v>077594</v>
      </c>
      <c r="M7705" t="str">
        <f>"21901"</f>
        <v>21901</v>
      </c>
      <c r="N7705" t="s">
        <v>2046</v>
      </c>
      <c r="O7705">
        <v>13.9</v>
      </c>
      <c r="P7705">
        <v>20190807</v>
      </c>
      <c r="Q7705" t="s">
        <v>2210</v>
      </c>
      <c r="R7705" t="s">
        <v>6048</v>
      </c>
      <c r="S7705" t="s">
        <v>1615</v>
      </c>
      <c r="T7705" t="s">
        <v>1810</v>
      </c>
    </row>
    <row r="7706" spans="1:20" x14ac:dyDescent="0.25">
      <c r="A7706">
        <v>9</v>
      </c>
      <c r="B7706">
        <v>199</v>
      </c>
      <c r="C7706" t="str">
        <f>"51"</f>
        <v>51</v>
      </c>
      <c r="D7706">
        <v>6219</v>
      </c>
      <c r="E7706" t="str">
        <f>"M7"</f>
        <v>M7</v>
      </c>
      <c r="F7706" t="str">
        <f>"936"</f>
        <v>936</v>
      </c>
      <c r="G7706">
        <v>9</v>
      </c>
      <c r="H7706" t="str">
        <f t="shared" si="1742"/>
        <v>99</v>
      </c>
      <c r="I7706" t="str">
        <f t="shared" si="1741"/>
        <v>0</v>
      </c>
      <c r="J7706" t="str">
        <f>"81"</f>
        <v>81</v>
      </c>
      <c r="K7706">
        <v>20190809</v>
      </c>
      <c r="L7706" t="str">
        <f>"077596"</f>
        <v>077596</v>
      </c>
      <c r="M7706" t="str">
        <f>"24130"</f>
        <v>24130</v>
      </c>
      <c r="N7706" t="s">
        <v>567</v>
      </c>
      <c r="O7706" s="1">
        <v>1714</v>
      </c>
      <c r="P7706">
        <v>20190807</v>
      </c>
      <c r="Q7706" t="s">
        <v>2259</v>
      </c>
      <c r="R7706" t="s">
        <v>6049</v>
      </c>
      <c r="S7706" t="s">
        <v>1615</v>
      </c>
      <c r="T7706" t="s">
        <v>1713</v>
      </c>
    </row>
    <row r="7707" spans="1:20" x14ac:dyDescent="0.25">
      <c r="A7707">
        <v>9</v>
      </c>
      <c r="B7707">
        <v>199</v>
      </c>
      <c r="C7707" t="str">
        <f>"51"</f>
        <v>51</v>
      </c>
      <c r="D7707">
        <v>6249</v>
      </c>
      <c r="E7707" t="str">
        <f>"MC"</f>
        <v>MC</v>
      </c>
      <c r="F7707" t="str">
        <f>"001"</f>
        <v>001</v>
      </c>
      <c r="G7707">
        <v>9</v>
      </c>
      <c r="H7707" t="str">
        <f t="shared" si="1742"/>
        <v>99</v>
      </c>
      <c r="I7707" t="str">
        <f t="shared" si="1741"/>
        <v>0</v>
      </c>
      <c r="J7707" t="str">
        <f>"81"</f>
        <v>81</v>
      </c>
      <c r="K7707">
        <v>20190809</v>
      </c>
      <c r="L7707" t="str">
        <f>"077596"</f>
        <v>077596</v>
      </c>
      <c r="M7707" t="str">
        <f>"24130"</f>
        <v>24130</v>
      </c>
      <c r="N7707" t="s">
        <v>567</v>
      </c>
      <c r="O7707" s="1">
        <v>5310</v>
      </c>
      <c r="P7707">
        <v>20190807</v>
      </c>
      <c r="Q7707" t="s">
        <v>2386</v>
      </c>
      <c r="R7707" t="s">
        <v>6050</v>
      </c>
      <c r="S7707" t="s">
        <v>1615</v>
      </c>
      <c r="T7707" t="s">
        <v>301</v>
      </c>
    </row>
    <row r="7708" spans="1:20" x14ac:dyDescent="0.25">
      <c r="A7708">
        <v>9</v>
      </c>
      <c r="B7708">
        <v>199</v>
      </c>
      <c r="C7708" t="str">
        <f>"51"</f>
        <v>51</v>
      </c>
      <c r="D7708">
        <v>6249</v>
      </c>
      <c r="E7708" t="str">
        <f>"MC"</f>
        <v>MC</v>
      </c>
      <c r="F7708" t="str">
        <f>"001"</f>
        <v>001</v>
      </c>
      <c r="G7708">
        <v>9</v>
      </c>
      <c r="H7708" t="str">
        <f t="shared" si="1742"/>
        <v>99</v>
      </c>
      <c r="I7708" t="str">
        <f t="shared" si="1741"/>
        <v>0</v>
      </c>
      <c r="J7708" t="str">
        <f>"81"</f>
        <v>81</v>
      </c>
      <c r="K7708">
        <v>20190809</v>
      </c>
      <c r="L7708" t="str">
        <f>"077596"</f>
        <v>077596</v>
      </c>
      <c r="M7708" t="str">
        <f>"24130"</f>
        <v>24130</v>
      </c>
      <c r="N7708" t="s">
        <v>567</v>
      </c>
      <c r="O7708">
        <v>574.58000000000004</v>
      </c>
      <c r="P7708">
        <v>20190807</v>
      </c>
      <c r="Q7708" t="s">
        <v>2386</v>
      </c>
      <c r="R7708" t="s">
        <v>6051</v>
      </c>
      <c r="S7708" t="s">
        <v>1615</v>
      </c>
      <c r="T7708" t="s">
        <v>301</v>
      </c>
    </row>
    <row r="7709" spans="1:20" x14ac:dyDescent="0.25">
      <c r="A7709">
        <v>9</v>
      </c>
      <c r="B7709">
        <v>199</v>
      </c>
      <c r="C7709" t="str">
        <f>"51"</f>
        <v>51</v>
      </c>
      <c r="D7709">
        <v>6249</v>
      </c>
      <c r="E7709" t="str">
        <f>"MC"</f>
        <v>MC</v>
      </c>
      <c r="F7709" t="str">
        <f>"041"</f>
        <v>041</v>
      </c>
      <c r="G7709">
        <v>9</v>
      </c>
      <c r="H7709" t="str">
        <f t="shared" si="1742"/>
        <v>99</v>
      </c>
      <c r="I7709" t="str">
        <f t="shared" si="1741"/>
        <v>0</v>
      </c>
      <c r="J7709" t="str">
        <f>"81"</f>
        <v>81</v>
      </c>
      <c r="K7709">
        <v>20190809</v>
      </c>
      <c r="L7709" t="str">
        <f>"077596"</f>
        <v>077596</v>
      </c>
      <c r="M7709" t="str">
        <f>"24130"</f>
        <v>24130</v>
      </c>
      <c r="N7709" t="s">
        <v>567</v>
      </c>
      <c r="O7709" s="1">
        <v>9630</v>
      </c>
      <c r="P7709">
        <v>20190808</v>
      </c>
      <c r="Q7709" t="s">
        <v>1707</v>
      </c>
      <c r="R7709" t="s">
        <v>6052</v>
      </c>
      <c r="S7709" t="s">
        <v>1615</v>
      </c>
      <c r="T7709" t="s">
        <v>106</v>
      </c>
    </row>
    <row r="7710" spans="1:20" x14ac:dyDescent="0.25">
      <c r="A7710">
        <v>9</v>
      </c>
      <c r="B7710">
        <v>199</v>
      </c>
      <c r="C7710" t="str">
        <f>"51"</f>
        <v>51</v>
      </c>
      <c r="D7710">
        <v>6249</v>
      </c>
      <c r="E7710" t="str">
        <f>"MC"</f>
        <v>MC</v>
      </c>
      <c r="F7710" t="str">
        <f>"104"</f>
        <v>104</v>
      </c>
      <c r="G7710">
        <v>9</v>
      </c>
      <c r="H7710" t="str">
        <f t="shared" si="1742"/>
        <v>99</v>
      </c>
      <c r="I7710" t="str">
        <f t="shared" si="1741"/>
        <v>0</v>
      </c>
      <c r="J7710" t="str">
        <f>"81"</f>
        <v>81</v>
      </c>
      <c r="K7710">
        <v>20190809</v>
      </c>
      <c r="L7710" t="str">
        <f>"077596"</f>
        <v>077596</v>
      </c>
      <c r="M7710" t="str">
        <f>"24130"</f>
        <v>24130</v>
      </c>
      <c r="N7710" t="s">
        <v>567</v>
      </c>
      <c r="O7710">
        <v>650</v>
      </c>
      <c r="P7710">
        <v>20190807</v>
      </c>
      <c r="Q7710" t="s">
        <v>1744</v>
      </c>
      <c r="R7710" t="s">
        <v>6053</v>
      </c>
      <c r="S7710" t="s">
        <v>1615</v>
      </c>
      <c r="T7710" t="s">
        <v>46</v>
      </c>
    </row>
    <row r="7711" spans="1:20" x14ac:dyDescent="0.25">
      <c r="A7711">
        <v>9</v>
      </c>
      <c r="B7711">
        <v>199</v>
      </c>
      <c r="C7711" t="str">
        <f>"11"</f>
        <v>11</v>
      </c>
      <c r="D7711">
        <v>6649</v>
      </c>
      <c r="E7711" t="str">
        <f>"V1"</f>
        <v>V1</v>
      </c>
      <c r="F7711" t="str">
        <f>"001"</f>
        <v>001</v>
      </c>
      <c r="G7711">
        <v>9</v>
      </c>
      <c r="H7711" t="str">
        <f>"22"</f>
        <v>22</v>
      </c>
      <c r="I7711" t="str">
        <f t="shared" si="1741"/>
        <v>0</v>
      </c>
      <c r="J7711" t="str">
        <f>"22"</f>
        <v>22</v>
      </c>
      <c r="K7711">
        <v>20190809</v>
      </c>
      <c r="L7711" t="str">
        <f>"077599"</f>
        <v>077599</v>
      </c>
      <c r="M7711" t="str">
        <f>"25165"</f>
        <v>25165</v>
      </c>
      <c r="N7711" t="s">
        <v>2860</v>
      </c>
      <c r="O7711">
        <v>989.43</v>
      </c>
      <c r="P7711">
        <v>20190807</v>
      </c>
      <c r="Q7711" t="s">
        <v>4724</v>
      </c>
      <c r="R7711" t="s">
        <v>6054</v>
      </c>
      <c r="S7711" t="s">
        <v>1615</v>
      </c>
      <c r="T7711" t="s">
        <v>301</v>
      </c>
    </row>
    <row r="7712" spans="1:20" x14ac:dyDescent="0.25">
      <c r="A7712">
        <v>9</v>
      </c>
      <c r="B7712">
        <v>199</v>
      </c>
      <c r="C7712" t="str">
        <f>"41"</f>
        <v>41</v>
      </c>
      <c r="D7712">
        <v>6649</v>
      </c>
      <c r="E7712" t="str">
        <f>"00"</f>
        <v>00</v>
      </c>
      <c r="F7712" t="str">
        <f>"726"</f>
        <v>726</v>
      </c>
      <c r="G7712">
        <v>9</v>
      </c>
      <c r="H7712" t="str">
        <f>"99"</f>
        <v>99</v>
      </c>
      <c r="I7712" t="str">
        <f t="shared" si="1741"/>
        <v>0</v>
      </c>
      <c r="J7712" t="str">
        <f>"91"</f>
        <v>91</v>
      </c>
      <c r="K7712">
        <v>20190809</v>
      </c>
      <c r="L7712" t="str">
        <f>"077599"</f>
        <v>077599</v>
      </c>
      <c r="M7712" t="str">
        <f>"25165"</f>
        <v>25165</v>
      </c>
      <c r="N7712" t="s">
        <v>2860</v>
      </c>
      <c r="O7712" s="1">
        <v>2444.21</v>
      </c>
      <c r="P7712">
        <v>20190807</v>
      </c>
      <c r="Q7712" t="s">
        <v>3568</v>
      </c>
      <c r="R7712" t="s">
        <v>6055</v>
      </c>
      <c r="S7712" t="s">
        <v>1615</v>
      </c>
      <c r="T7712" t="s">
        <v>2608</v>
      </c>
    </row>
    <row r="7713" spans="1:20" x14ac:dyDescent="0.25">
      <c r="A7713">
        <v>9</v>
      </c>
      <c r="B7713">
        <v>199</v>
      </c>
      <c r="C7713" t="str">
        <f>"11"</f>
        <v>11</v>
      </c>
      <c r="D7713">
        <v>6412</v>
      </c>
      <c r="E7713" t="str">
        <f>"V8"</f>
        <v>V8</v>
      </c>
      <c r="F7713" t="str">
        <f>"001"</f>
        <v>001</v>
      </c>
      <c r="G7713">
        <v>9</v>
      </c>
      <c r="H7713" t="str">
        <f>"22"</f>
        <v>22</v>
      </c>
      <c r="I7713" t="str">
        <f t="shared" si="1741"/>
        <v>0</v>
      </c>
      <c r="J7713" t="str">
        <f>"22"</f>
        <v>22</v>
      </c>
      <c r="K7713">
        <v>20190809</v>
      </c>
      <c r="L7713" t="str">
        <f>"077603"</f>
        <v>077603</v>
      </c>
      <c r="M7713" t="str">
        <f>"28680"</f>
        <v>28680</v>
      </c>
      <c r="N7713" t="s">
        <v>482</v>
      </c>
      <c r="O7713">
        <v>130.63999999999999</v>
      </c>
      <c r="P7713">
        <v>20190807</v>
      </c>
      <c r="Q7713" t="s">
        <v>1884</v>
      </c>
      <c r="R7713" t="s">
        <v>5351</v>
      </c>
      <c r="S7713" t="s">
        <v>1615</v>
      </c>
      <c r="T7713" t="s">
        <v>301</v>
      </c>
    </row>
    <row r="7714" spans="1:20" x14ac:dyDescent="0.25">
      <c r="A7714">
        <v>9</v>
      </c>
      <c r="B7714">
        <v>199</v>
      </c>
      <c r="C7714" t="str">
        <f>"13"</f>
        <v>13</v>
      </c>
      <c r="D7714">
        <v>6411</v>
      </c>
      <c r="E7714" t="str">
        <f>"7E"</f>
        <v>7E</v>
      </c>
      <c r="F7714" t="str">
        <f>"001"</f>
        <v>001</v>
      </c>
      <c r="G7714">
        <v>9</v>
      </c>
      <c r="H7714" t="str">
        <f>"11"</f>
        <v>11</v>
      </c>
      <c r="I7714" t="str">
        <f t="shared" si="1741"/>
        <v>0</v>
      </c>
      <c r="J7714" t="str">
        <f>"31"</f>
        <v>31</v>
      </c>
      <c r="K7714">
        <v>20190809</v>
      </c>
      <c r="L7714" t="str">
        <f>"077603"</f>
        <v>077603</v>
      </c>
      <c r="M7714" t="str">
        <f>"28680"</f>
        <v>28680</v>
      </c>
      <c r="N7714" t="s">
        <v>482</v>
      </c>
      <c r="O7714">
        <v>239.16</v>
      </c>
      <c r="P7714">
        <v>20190807</v>
      </c>
      <c r="Q7714" t="s">
        <v>5521</v>
      </c>
      <c r="R7714" t="s">
        <v>5522</v>
      </c>
      <c r="S7714" t="s">
        <v>1615</v>
      </c>
      <c r="T7714" t="s">
        <v>301</v>
      </c>
    </row>
    <row r="7715" spans="1:20" x14ac:dyDescent="0.25">
      <c r="A7715">
        <v>9</v>
      </c>
      <c r="B7715">
        <v>199</v>
      </c>
      <c r="C7715" t="str">
        <f>"13"</f>
        <v>13</v>
      </c>
      <c r="D7715">
        <v>6411</v>
      </c>
      <c r="E7715" t="str">
        <f>"R1"</f>
        <v>R1</v>
      </c>
      <c r="F7715" t="str">
        <f>"001"</f>
        <v>001</v>
      </c>
      <c r="G7715">
        <v>9</v>
      </c>
      <c r="H7715" t="str">
        <f>"11"</f>
        <v>11</v>
      </c>
      <c r="I7715" t="str">
        <f t="shared" si="1741"/>
        <v>0</v>
      </c>
      <c r="J7715" t="str">
        <f>"01"</f>
        <v>01</v>
      </c>
      <c r="K7715">
        <v>20190809</v>
      </c>
      <c r="L7715" t="str">
        <f>"077603"</f>
        <v>077603</v>
      </c>
      <c r="M7715" t="str">
        <f>"28680"</f>
        <v>28680</v>
      </c>
      <c r="N7715" t="s">
        <v>482</v>
      </c>
      <c r="O7715">
        <v>111</v>
      </c>
      <c r="P7715">
        <v>20190807</v>
      </c>
      <c r="Q7715" t="s">
        <v>6056</v>
      </c>
      <c r="R7715" t="s">
        <v>6057</v>
      </c>
      <c r="S7715" t="s">
        <v>1615</v>
      </c>
      <c r="T7715" t="s">
        <v>301</v>
      </c>
    </row>
    <row r="7716" spans="1:20" x14ac:dyDescent="0.25">
      <c r="A7716">
        <v>9</v>
      </c>
      <c r="B7716">
        <v>199</v>
      </c>
      <c r="C7716" t="str">
        <f>"36"</f>
        <v>36</v>
      </c>
      <c r="D7716">
        <v>6411</v>
      </c>
      <c r="E7716" t="str">
        <f>"V8"</f>
        <v>V8</v>
      </c>
      <c r="F7716" t="str">
        <f>"001"</f>
        <v>001</v>
      </c>
      <c r="G7716">
        <v>9</v>
      </c>
      <c r="H7716" t="str">
        <f>"22"</f>
        <v>22</v>
      </c>
      <c r="I7716" t="str">
        <f t="shared" si="1741"/>
        <v>0</v>
      </c>
      <c r="J7716" t="str">
        <f>"22"</f>
        <v>22</v>
      </c>
      <c r="K7716">
        <v>20190809</v>
      </c>
      <c r="L7716" t="str">
        <f>"077603"</f>
        <v>077603</v>
      </c>
      <c r="M7716" t="str">
        <f>"28680"</f>
        <v>28680</v>
      </c>
      <c r="N7716" t="s">
        <v>482</v>
      </c>
      <c r="O7716">
        <v>180.75</v>
      </c>
      <c r="P7716">
        <v>20190807</v>
      </c>
      <c r="Q7716" t="s">
        <v>2602</v>
      </c>
      <c r="R7716" t="s">
        <v>5351</v>
      </c>
      <c r="S7716" t="s">
        <v>1615</v>
      </c>
      <c r="T7716" t="s">
        <v>301</v>
      </c>
    </row>
    <row r="7717" spans="1:20" x14ac:dyDescent="0.25">
      <c r="A7717">
        <v>9</v>
      </c>
      <c r="B7717">
        <v>199</v>
      </c>
      <c r="C7717" t="str">
        <f>"41"</f>
        <v>41</v>
      </c>
      <c r="D7717">
        <v>6411</v>
      </c>
      <c r="E7717" t="str">
        <f>"10"</f>
        <v>10</v>
      </c>
      <c r="F7717" t="str">
        <f>"726"</f>
        <v>726</v>
      </c>
      <c r="G7717">
        <v>9</v>
      </c>
      <c r="H7717" t="str">
        <f t="shared" ref="H7717:H7726" si="1743">"99"</f>
        <v>99</v>
      </c>
      <c r="I7717" t="str">
        <f t="shared" si="1741"/>
        <v>0</v>
      </c>
      <c r="J7717" t="str">
        <f>"91"</f>
        <v>91</v>
      </c>
      <c r="K7717">
        <v>20190809</v>
      </c>
      <c r="L7717" t="str">
        <f>"077603"</f>
        <v>077603</v>
      </c>
      <c r="M7717" t="str">
        <f>"28680"</f>
        <v>28680</v>
      </c>
      <c r="N7717" t="s">
        <v>482</v>
      </c>
      <c r="O7717">
        <v>78</v>
      </c>
      <c r="P7717">
        <v>20190807</v>
      </c>
      <c r="Q7717" t="s">
        <v>3313</v>
      </c>
      <c r="R7717" t="s">
        <v>5866</v>
      </c>
      <c r="S7717" t="s">
        <v>1615</v>
      </c>
      <c r="T7717" t="s">
        <v>2608</v>
      </c>
    </row>
    <row r="7718" spans="1:20" x14ac:dyDescent="0.25">
      <c r="A7718">
        <v>9</v>
      </c>
      <c r="B7718">
        <v>199</v>
      </c>
      <c r="C7718" t="str">
        <f>"41"</f>
        <v>41</v>
      </c>
      <c r="D7718">
        <v>6499</v>
      </c>
      <c r="E7718" t="str">
        <f>"12"</f>
        <v>12</v>
      </c>
      <c r="F7718" t="str">
        <f>"720"</f>
        <v>720</v>
      </c>
      <c r="G7718">
        <v>9</v>
      </c>
      <c r="H7718" t="str">
        <f t="shared" si="1743"/>
        <v>99</v>
      </c>
      <c r="I7718" t="str">
        <f t="shared" si="1741"/>
        <v>0</v>
      </c>
      <c r="J7718" t="str">
        <f>"91"</f>
        <v>91</v>
      </c>
      <c r="K7718">
        <v>20190809</v>
      </c>
      <c r="L7718" t="str">
        <f>"077604"</f>
        <v>077604</v>
      </c>
      <c r="M7718" t="str">
        <f>"28820"</f>
        <v>28820</v>
      </c>
      <c r="N7718" t="s">
        <v>2224</v>
      </c>
      <c r="O7718">
        <v>56.2</v>
      </c>
      <c r="P7718">
        <v>20190807</v>
      </c>
      <c r="Q7718" t="s">
        <v>2225</v>
      </c>
      <c r="R7718" t="s">
        <v>3139</v>
      </c>
      <c r="S7718" t="s">
        <v>1615</v>
      </c>
      <c r="T7718" t="s">
        <v>2045</v>
      </c>
    </row>
    <row r="7719" spans="1:20" x14ac:dyDescent="0.25">
      <c r="A7719">
        <v>9</v>
      </c>
      <c r="B7719">
        <v>199</v>
      </c>
      <c r="C7719" t="str">
        <f>"41"</f>
        <v>41</v>
      </c>
      <c r="D7719">
        <v>6499</v>
      </c>
      <c r="E7719" t="str">
        <f>"12"</f>
        <v>12</v>
      </c>
      <c r="F7719" t="str">
        <f>"720"</f>
        <v>720</v>
      </c>
      <c r="G7719">
        <v>9</v>
      </c>
      <c r="H7719" t="str">
        <f t="shared" si="1743"/>
        <v>99</v>
      </c>
      <c r="I7719" t="str">
        <f t="shared" si="1741"/>
        <v>0</v>
      </c>
      <c r="J7719" t="str">
        <f>"91"</f>
        <v>91</v>
      </c>
      <c r="K7719">
        <v>20190809</v>
      </c>
      <c r="L7719" t="str">
        <f>"077604"</f>
        <v>077604</v>
      </c>
      <c r="M7719" t="str">
        <f>"28820"</f>
        <v>28820</v>
      </c>
      <c r="N7719" t="s">
        <v>2224</v>
      </c>
      <c r="O7719">
        <v>22.05</v>
      </c>
      <c r="P7719">
        <v>20190807</v>
      </c>
      <c r="Q7719" t="s">
        <v>2225</v>
      </c>
      <c r="R7719" t="s">
        <v>2227</v>
      </c>
      <c r="S7719" t="s">
        <v>1615</v>
      </c>
      <c r="T7719" t="s">
        <v>2045</v>
      </c>
    </row>
    <row r="7720" spans="1:20" x14ac:dyDescent="0.25">
      <c r="A7720">
        <v>9</v>
      </c>
      <c r="B7720">
        <v>199</v>
      </c>
      <c r="C7720" t="str">
        <f>"34"</f>
        <v>34</v>
      </c>
      <c r="D7720">
        <v>6249</v>
      </c>
      <c r="E7720" t="str">
        <f>"10"</f>
        <v>10</v>
      </c>
      <c r="F7720" t="str">
        <f>"937"</f>
        <v>937</v>
      </c>
      <c r="G7720">
        <v>9</v>
      </c>
      <c r="H7720" t="str">
        <f t="shared" si="1743"/>
        <v>99</v>
      </c>
      <c r="I7720" t="str">
        <f t="shared" si="1741"/>
        <v>0</v>
      </c>
      <c r="J7720" t="str">
        <f>"82"</f>
        <v>82</v>
      </c>
      <c r="K7720">
        <v>20190809</v>
      </c>
      <c r="L7720" t="str">
        <f>"077605"</f>
        <v>077605</v>
      </c>
      <c r="M7720" t="str">
        <f>"28825"</f>
        <v>28825</v>
      </c>
      <c r="N7720" t="s">
        <v>1722</v>
      </c>
      <c r="O7720">
        <v>507.01</v>
      </c>
      <c r="P7720">
        <v>20190807</v>
      </c>
      <c r="Q7720" t="s">
        <v>2036</v>
      </c>
      <c r="R7720" t="s">
        <v>6058</v>
      </c>
      <c r="S7720" t="s">
        <v>1615</v>
      </c>
      <c r="T7720" t="s">
        <v>1810</v>
      </c>
    </row>
    <row r="7721" spans="1:20" x14ac:dyDescent="0.25">
      <c r="A7721">
        <v>9</v>
      </c>
      <c r="B7721">
        <v>199</v>
      </c>
      <c r="C7721" t="str">
        <f>"34"</f>
        <v>34</v>
      </c>
      <c r="D7721">
        <v>6249</v>
      </c>
      <c r="E7721" t="str">
        <f>"10"</f>
        <v>10</v>
      </c>
      <c r="F7721" t="str">
        <f>"937"</f>
        <v>937</v>
      </c>
      <c r="G7721">
        <v>9</v>
      </c>
      <c r="H7721" t="str">
        <f t="shared" si="1743"/>
        <v>99</v>
      </c>
      <c r="I7721" t="str">
        <f t="shared" si="1741"/>
        <v>0</v>
      </c>
      <c r="J7721" t="str">
        <f>"82"</f>
        <v>82</v>
      </c>
      <c r="K7721">
        <v>20190809</v>
      </c>
      <c r="L7721" t="str">
        <f>"077605"</f>
        <v>077605</v>
      </c>
      <c r="M7721" t="str">
        <f>"28825"</f>
        <v>28825</v>
      </c>
      <c r="N7721" t="s">
        <v>1722</v>
      </c>
      <c r="O7721">
        <v>194.6</v>
      </c>
      <c r="P7721">
        <v>20190807</v>
      </c>
      <c r="Q7721" t="s">
        <v>2036</v>
      </c>
      <c r="R7721" t="s">
        <v>6059</v>
      </c>
      <c r="S7721" t="s">
        <v>1615</v>
      </c>
      <c r="T7721" t="s">
        <v>1810</v>
      </c>
    </row>
    <row r="7722" spans="1:20" x14ac:dyDescent="0.25">
      <c r="A7722">
        <v>9</v>
      </c>
      <c r="B7722">
        <v>199</v>
      </c>
      <c r="C7722" t="str">
        <f>"51"</f>
        <v>51</v>
      </c>
      <c r="D7722">
        <v>6249</v>
      </c>
      <c r="E7722" t="str">
        <f>"MC"</f>
        <v>MC</v>
      </c>
      <c r="F7722" t="str">
        <f>"104"</f>
        <v>104</v>
      </c>
      <c r="G7722">
        <v>9</v>
      </c>
      <c r="H7722" t="str">
        <f t="shared" si="1743"/>
        <v>99</v>
      </c>
      <c r="I7722" t="str">
        <f t="shared" si="1741"/>
        <v>0</v>
      </c>
      <c r="J7722" t="str">
        <f>"81"</f>
        <v>81</v>
      </c>
      <c r="K7722">
        <v>20190809</v>
      </c>
      <c r="L7722" t="str">
        <f>"077605"</f>
        <v>077605</v>
      </c>
      <c r="M7722" t="str">
        <f>"28825"</f>
        <v>28825</v>
      </c>
      <c r="N7722" t="s">
        <v>1722</v>
      </c>
      <c r="O7722">
        <v>215</v>
      </c>
      <c r="P7722">
        <v>20190807</v>
      </c>
      <c r="Q7722" t="s">
        <v>1744</v>
      </c>
      <c r="R7722" t="s">
        <v>6060</v>
      </c>
      <c r="S7722" t="s">
        <v>1615</v>
      </c>
      <c r="T7722" t="s">
        <v>46</v>
      </c>
    </row>
    <row r="7723" spans="1:20" x14ac:dyDescent="0.25">
      <c r="A7723">
        <v>9</v>
      </c>
      <c r="B7723">
        <v>199</v>
      </c>
      <c r="C7723" t="str">
        <f>"51"</f>
        <v>51</v>
      </c>
      <c r="D7723">
        <v>6249</v>
      </c>
      <c r="E7723" t="str">
        <f>"WF"</f>
        <v>WF</v>
      </c>
      <c r="F7723" t="str">
        <f>"936"</f>
        <v>936</v>
      </c>
      <c r="G7723">
        <v>9</v>
      </c>
      <c r="H7723" t="str">
        <f t="shared" si="1743"/>
        <v>99</v>
      </c>
      <c r="I7723" t="str">
        <f t="shared" si="1741"/>
        <v>0</v>
      </c>
      <c r="J7723" t="str">
        <f>"82"</f>
        <v>82</v>
      </c>
      <c r="K7723">
        <v>20190809</v>
      </c>
      <c r="L7723" t="str">
        <f>"077605"</f>
        <v>077605</v>
      </c>
      <c r="M7723" t="str">
        <f>"28825"</f>
        <v>28825</v>
      </c>
      <c r="N7723" t="s">
        <v>1722</v>
      </c>
      <c r="O7723">
        <v>49.95</v>
      </c>
      <c r="P7723">
        <v>20190807</v>
      </c>
      <c r="Q7723" t="s">
        <v>2127</v>
      </c>
      <c r="R7723" t="s">
        <v>6061</v>
      </c>
      <c r="S7723" t="s">
        <v>1615</v>
      </c>
      <c r="T7723" t="s">
        <v>1713</v>
      </c>
    </row>
    <row r="7724" spans="1:20" x14ac:dyDescent="0.25">
      <c r="A7724">
        <v>9</v>
      </c>
      <c r="B7724">
        <v>199</v>
      </c>
      <c r="C7724" t="str">
        <f>"51"</f>
        <v>51</v>
      </c>
      <c r="D7724">
        <v>6319</v>
      </c>
      <c r="E7724" t="str">
        <f>"M2"</f>
        <v>M2</v>
      </c>
      <c r="F7724" t="str">
        <f>"936"</f>
        <v>936</v>
      </c>
      <c r="G7724">
        <v>9</v>
      </c>
      <c r="H7724" t="str">
        <f t="shared" si="1743"/>
        <v>99</v>
      </c>
      <c r="I7724" t="str">
        <f t="shared" si="1741"/>
        <v>0</v>
      </c>
      <c r="J7724" t="str">
        <f>"81"</f>
        <v>81</v>
      </c>
      <c r="K7724">
        <v>20190809</v>
      </c>
      <c r="L7724" t="str">
        <f>"077606"</f>
        <v>077606</v>
      </c>
      <c r="M7724" t="str">
        <f>"29089"</f>
        <v>29089</v>
      </c>
      <c r="N7724" t="s">
        <v>2617</v>
      </c>
      <c r="O7724">
        <v>263.27999999999997</v>
      </c>
      <c r="P7724">
        <v>20190807</v>
      </c>
      <c r="Q7724" t="s">
        <v>2074</v>
      </c>
      <c r="R7724" t="s">
        <v>6062</v>
      </c>
      <c r="S7724" t="s">
        <v>1615</v>
      </c>
      <c r="T7724" t="s">
        <v>1713</v>
      </c>
    </row>
    <row r="7725" spans="1:20" x14ac:dyDescent="0.25">
      <c r="A7725">
        <v>9</v>
      </c>
      <c r="B7725">
        <v>199</v>
      </c>
      <c r="C7725" t="str">
        <f>"51"</f>
        <v>51</v>
      </c>
      <c r="D7725">
        <v>6319</v>
      </c>
      <c r="E7725" t="str">
        <f>"M3"</f>
        <v>M3</v>
      </c>
      <c r="F7725" t="str">
        <f>"936"</f>
        <v>936</v>
      </c>
      <c r="G7725">
        <v>9</v>
      </c>
      <c r="H7725" t="str">
        <f t="shared" si="1743"/>
        <v>99</v>
      </c>
      <c r="I7725" t="str">
        <f t="shared" si="1741"/>
        <v>0</v>
      </c>
      <c r="J7725" t="str">
        <f>"81"</f>
        <v>81</v>
      </c>
      <c r="K7725">
        <v>20190809</v>
      </c>
      <c r="L7725" t="str">
        <f>"077608"</f>
        <v>077608</v>
      </c>
      <c r="M7725" t="str">
        <f>"29633"</f>
        <v>29633</v>
      </c>
      <c r="N7725" t="s">
        <v>6063</v>
      </c>
      <c r="O7725" s="1">
        <v>1720.35</v>
      </c>
      <c r="P7725">
        <v>20190807</v>
      </c>
      <c r="Q7725" t="s">
        <v>2246</v>
      </c>
      <c r="R7725" t="s">
        <v>3427</v>
      </c>
      <c r="S7725" t="s">
        <v>1615</v>
      </c>
      <c r="T7725" t="s">
        <v>1713</v>
      </c>
    </row>
    <row r="7726" spans="1:20" x14ac:dyDescent="0.25">
      <c r="A7726">
        <v>9</v>
      </c>
      <c r="B7726">
        <v>199</v>
      </c>
      <c r="C7726" t="str">
        <f>"34"</f>
        <v>34</v>
      </c>
      <c r="D7726">
        <v>6249</v>
      </c>
      <c r="E7726" t="str">
        <f>"10"</f>
        <v>10</v>
      </c>
      <c r="F7726" t="str">
        <f>"937"</f>
        <v>937</v>
      </c>
      <c r="G7726">
        <v>9</v>
      </c>
      <c r="H7726" t="str">
        <f t="shared" si="1743"/>
        <v>99</v>
      </c>
      <c r="I7726" t="str">
        <f t="shared" si="1741"/>
        <v>0</v>
      </c>
      <c r="J7726" t="str">
        <f>"82"</f>
        <v>82</v>
      </c>
      <c r="K7726">
        <v>20190809</v>
      </c>
      <c r="L7726" t="str">
        <f>"077609"</f>
        <v>077609</v>
      </c>
      <c r="M7726" t="str">
        <f>"30130"</f>
        <v>30130</v>
      </c>
      <c r="N7726" t="s">
        <v>3025</v>
      </c>
      <c r="O7726">
        <v>280</v>
      </c>
      <c r="P7726">
        <v>20190807</v>
      </c>
      <c r="Q7726" t="s">
        <v>2036</v>
      </c>
      <c r="R7726" t="s">
        <v>6064</v>
      </c>
      <c r="S7726" t="s">
        <v>1615</v>
      </c>
      <c r="T7726" t="s">
        <v>1810</v>
      </c>
    </row>
    <row r="7727" spans="1:20" x14ac:dyDescent="0.25">
      <c r="A7727">
        <v>9</v>
      </c>
      <c r="B7727">
        <v>199</v>
      </c>
      <c r="C7727" t="str">
        <f t="shared" ref="C7727:C7732" si="1744">"11"</f>
        <v>11</v>
      </c>
      <c r="D7727">
        <v>6399</v>
      </c>
      <c r="E7727" t="str">
        <f>"V1"</f>
        <v>V1</v>
      </c>
      <c r="F7727" t="str">
        <f t="shared" ref="F7727:F7744" si="1745">"001"</f>
        <v>001</v>
      </c>
      <c r="G7727">
        <v>9</v>
      </c>
      <c r="H7727" t="str">
        <f t="shared" ref="H7727:H7734" si="1746">"22"</f>
        <v>22</v>
      </c>
      <c r="I7727" t="str">
        <f t="shared" si="1741"/>
        <v>0</v>
      </c>
      <c r="J7727" t="str">
        <f t="shared" ref="J7727:J7734" si="1747">"22"</f>
        <v>22</v>
      </c>
      <c r="K7727">
        <v>20190809</v>
      </c>
      <c r="L7727" t="str">
        <f>"077610"</f>
        <v>077610</v>
      </c>
      <c r="M7727" t="str">
        <f>"00544"</f>
        <v>00544</v>
      </c>
      <c r="N7727" t="s">
        <v>2758</v>
      </c>
      <c r="O7727">
        <v>197.46</v>
      </c>
      <c r="P7727">
        <v>20190807</v>
      </c>
      <c r="Q7727" t="s">
        <v>5437</v>
      </c>
      <c r="R7727" t="s">
        <v>6065</v>
      </c>
      <c r="S7727" t="s">
        <v>1615</v>
      </c>
      <c r="T7727" t="s">
        <v>301</v>
      </c>
    </row>
    <row r="7728" spans="1:20" x14ac:dyDescent="0.25">
      <c r="A7728">
        <v>9</v>
      </c>
      <c r="B7728">
        <v>199</v>
      </c>
      <c r="C7728" t="str">
        <f t="shared" si="1744"/>
        <v>11</v>
      </c>
      <c r="D7728">
        <v>6399</v>
      </c>
      <c r="E7728" t="str">
        <f>"V1"</f>
        <v>V1</v>
      </c>
      <c r="F7728" t="str">
        <f t="shared" si="1745"/>
        <v>001</v>
      </c>
      <c r="G7728">
        <v>9</v>
      </c>
      <c r="H7728" t="str">
        <f t="shared" si="1746"/>
        <v>22</v>
      </c>
      <c r="I7728" t="str">
        <f t="shared" si="1741"/>
        <v>0</v>
      </c>
      <c r="J7728" t="str">
        <f t="shared" si="1747"/>
        <v>22</v>
      </c>
      <c r="K7728">
        <v>20190809</v>
      </c>
      <c r="L7728" t="str">
        <f>"077610"</f>
        <v>077610</v>
      </c>
      <c r="M7728" t="str">
        <f>"00544"</f>
        <v>00544</v>
      </c>
      <c r="N7728" t="s">
        <v>2758</v>
      </c>
      <c r="O7728">
        <v>219.79</v>
      </c>
      <c r="P7728">
        <v>20190807</v>
      </c>
      <c r="Q7728" t="s">
        <v>5437</v>
      </c>
      <c r="R7728" t="s">
        <v>6066</v>
      </c>
      <c r="S7728" t="s">
        <v>1615</v>
      </c>
      <c r="T7728" t="s">
        <v>301</v>
      </c>
    </row>
    <row r="7729" spans="1:20" x14ac:dyDescent="0.25">
      <c r="A7729">
        <v>9</v>
      </c>
      <c r="B7729">
        <v>199</v>
      </c>
      <c r="C7729" t="str">
        <f t="shared" si="1744"/>
        <v>11</v>
      </c>
      <c r="D7729">
        <v>6399</v>
      </c>
      <c r="E7729" t="str">
        <f>"V1"</f>
        <v>V1</v>
      </c>
      <c r="F7729" t="str">
        <f t="shared" si="1745"/>
        <v>001</v>
      </c>
      <c r="G7729">
        <v>9</v>
      </c>
      <c r="H7729" t="str">
        <f t="shared" si="1746"/>
        <v>22</v>
      </c>
      <c r="I7729" t="str">
        <f t="shared" si="1741"/>
        <v>0</v>
      </c>
      <c r="J7729" t="str">
        <f t="shared" si="1747"/>
        <v>22</v>
      </c>
      <c r="K7729">
        <v>20190809</v>
      </c>
      <c r="L7729" t="str">
        <f>"077610"</f>
        <v>077610</v>
      </c>
      <c r="M7729" t="str">
        <f>"00544"</f>
        <v>00544</v>
      </c>
      <c r="N7729" t="s">
        <v>2758</v>
      </c>
      <c r="O7729">
        <v>44.45</v>
      </c>
      <c r="P7729">
        <v>20190807</v>
      </c>
      <c r="Q7729" t="s">
        <v>5437</v>
      </c>
      <c r="R7729" t="s">
        <v>6067</v>
      </c>
      <c r="S7729" t="s">
        <v>1615</v>
      </c>
      <c r="T7729" t="s">
        <v>301</v>
      </c>
    </row>
    <row r="7730" spans="1:20" x14ac:dyDescent="0.25">
      <c r="A7730">
        <v>9</v>
      </c>
      <c r="B7730">
        <v>199</v>
      </c>
      <c r="C7730" t="str">
        <f t="shared" si="1744"/>
        <v>11</v>
      </c>
      <c r="D7730">
        <v>6399</v>
      </c>
      <c r="E7730" t="str">
        <f>"V1"</f>
        <v>V1</v>
      </c>
      <c r="F7730" t="str">
        <f t="shared" si="1745"/>
        <v>001</v>
      </c>
      <c r="G7730">
        <v>9</v>
      </c>
      <c r="H7730" t="str">
        <f t="shared" si="1746"/>
        <v>22</v>
      </c>
      <c r="I7730" t="str">
        <f t="shared" si="1741"/>
        <v>0</v>
      </c>
      <c r="J7730" t="str">
        <f t="shared" si="1747"/>
        <v>22</v>
      </c>
      <c r="K7730">
        <v>20190809</v>
      </c>
      <c r="L7730" t="str">
        <f>"077610"</f>
        <v>077610</v>
      </c>
      <c r="M7730" t="str">
        <f>"00544"</f>
        <v>00544</v>
      </c>
      <c r="N7730" t="s">
        <v>2758</v>
      </c>
      <c r="O7730">
        <v>612.79</v>
      </c>
      <c r="P7730">
        <v>20190807</v>
      </c>
      <c r="Q7730" t="s">
        <v>5437</v>
      </c>
      <c r="R7730" t="s">
        <v>6068</v>
      </c>
      <c r="S7730" t="s">
        <v>1615</v>
      </c>
      <c r="T7730" t="s">
        <v>301</v>
      </c>
    </row>
    <row r="7731" spans="1:20" x14ac:dyDescent="0.25">
      <c r="A7731">
        <v>9</v>
      </c>
      <c r="B7731">
        <v>199</v>
      </c>
      <c r="C7731" t="str">
        <f t="shared" si="1744"/>
        <v>11</v>
      </c>
      <c r="D7731">
        <v>6399</v>
      </c>
      <c r="E7731" t="str">
        <f>"V1"</f>
        <v>V1</v>
      </c>
      <c r="F7731" t="str">
        <f t="shared" si="1745"/>
        <v>001</v>
      </c>
      <c r="G7731">
        <v>9</v>
      </c>
      <c r="H7731" t="str">
        <f t="shared" si="1746"/>
        <v>22</v>
      </c>
      <c r="I7731" t="str">
        <f t="shared" si="1741"/>
        <v>0</v>
      </c>
      <c r="J7731" t="str">
        <f t="shared" si="1747"/>
        <v>22</v>
      </c>
      <c r="K7731">
        <v>20190809</v>
      </c>
      <c r="L7731" t="str">
        <f>"077610"</f>
        <v>077610</v>
      </c>
      <c r="M7731" t="str">
        <f>"00544"</f>
        <v>00544</v>
      </c>
      <c r="N7731" t="s">
        <v>2758</v>
      </c>
      <c r="O7731">
        <v>41.78</v>
      </c>
      <c r="P7731">
        <v>20190807</v>
      </c>
      <c r="Q7731" t="s">
        <v>5437</v>
      </c>
      <c r="R7731" t="s">
        <v>6069</v>
      </c>
      <c r="S7731" t="s">
        <v>1615</v>
      </c>
      <c r="T7731" t="s">
        <v>301</v>
      </c>
    </row>
    <row r="7732" spans="1:20" x14ac:dyDescent="0.25">
      <c r="A7732">
        <v>9</v>
      </c>
      <c r="B7732">
        <v>199</v>
      </c>
      <c r="C7732" t="str">
        <f t="shared" si="1744"/>
        <v>11</v>
      </c>
      <c r="D7732">
        <v>6329</v>
      </c>
      <c r="E7732" t="str">
        <f>"VB"</f>
        <v>VB</v>
      </c>
      <c r="F7732" t="str">
        <f t="shared" si="1745"/>
        <v>001</v>
      </c>
      <c r="G7732">
        <v>9</v>
      </c>
      <c r="H7732" t="str">
        <f t="shared" si="1746"/>
        <v>22</v>
      </c>
      <c r="I7732" t="str">
        <f t="shared" si="1741"/>
        <v>0</v>
      </c>
      <c r="J7732" t="str">
        <f t="shared" si="1747"/>
        <v>22</v>
      </c>
      <c r="K7732">
        <v>20190809</v>
      </c>
      <c r="L7732" t="str">
        <f>"077614"</f>
        <v>077614</v>
      </c>
      <c r="M7732" t="str">
        <f>"33850"</f>
        <v>33850</v>
      </c>
      <c r="N7732" t="s">
        <v>3881</v>
      </c>
      <c r="O7732" s="1">
        <v>3360</v>
      </c>
      <c r="P7732">
        <v>20190807</v>
      </c>
      <c r="Q7732" t="s">
        <v>2287</v>
      </c>
      <c r="R7732" t="s">
        <v>6070</v>
      </c>
      <c r="S7732" t="s">
        <v>1615</v>
      </c>
      <c r="T7732" t="s">
        <v>301</v>
      </c>
    </row>
    <row r="7733" spans="1:20" x14ac:dyDescent="0.25">
      <c r="A7733">
        <v>9</v>
      </c>
      <c r="B7733">
        <v>199</v>
      </c>
      <c r="C7733" t="str">
        <f>"13"</f>
        <v>13</v>
      </c>
      <c r="D7733">
        <v>6411</v>
      </c>
      <c r="E7733" t="str">
        <f>"VL"</f>
        <v>VL</v>
      </c>
      <c r="F7733" t="str">
        <f t="shared" si="1745"/>
        <v>001</v>
      </c>
      <c r="G7733">
        <v>9</v>
      </c>
      <c r="H7733" t="str">
        <f t="shared" si="1746"/>
        <v>22</v>
      </c>
      <c r="I7733" t="str">
        <f t="shared" si="1741"/>
        <v>0</v>
      </c>
      <c r="J7733" t="str">
        <f t="shared" si="1747"/>
        <v>22</v>
      </c>
      <c r="K7733">
        <v>20190809</v>
      </c>
      <c r="L7733" t="str">
        <f>"077616"</f>
        <v>077616</v>
      </c>
      <c r="M7733" t="str">
        <f>"00848"</f>
        <v>00848</v>
      </c>
      <c r="N7733" t="s">
        <v>6071</v>
      </c>
      <c r="O7733">
        <v>135.88999999999999</v>
      </c>
      <c r="P7733">
        <v>20190807</v>
      </c>
      <c r="Q7733" t="s">
        <v>4756</v>
      </c>
      <c r="R7733" t="s">
        <v>5066</v>
      </c>
      <c r="S7733" t="s">
        <v>1615</v>
      </c>
      <c r="T7733" t="s">
        <v>301</v>
      </c>
    </row>
    <row r="7734" spans="1:20" x14ac:dyDescent="0.25">
      <c r="A7734">
        <v>9</v>
      </c>
      <c r="B7734">
        <v>199</v>
      </c>
      <c r="C7734" t="str">
        <f>"13"</f>
        <v>13</v>
      </c>
      <c r="D7734">
        <v>6411</v>
      </c>
      <c r="E7734" t="str">
        <f>"VL"</f>
        <v>VL</v>
      </c>
      <c r="F7734" t="str">
        <f t="shared" si="1745"/>
        <v>001</v>
      </c>
      <c r="G7734">
        <v>9</v>
      </c>
      <c r="H7734" t="str">
        <f t="shared" si="1746"/>
        <v>22</v>
      </c>
      <c r="I7734" t="str">
        <f t="shared" si="1741"/>
        <v>0</v>
      </c>
      <c r="J7734" t="str">
        <f t="shared" si="1747"/>
        <v>22</v>
      </c>
      <c r="K7734">
        <v>20190830</v>
      </c>
      <c r="L7734" t="str">
        <f>"077616"</f>
        <v>077616</v>
      </c>
      <c r="M7734" t="str">
        <f>"00848"</f>
        <v>00848</v>
      </c>
      <c r="N7734" t="s">
        <v>6071</v>
      </c>
      <c r="O7734">
        <v>-135.88999999999999</v>
      </c>
      <c r="P7734">
        <v>20190830</v>
      </c>
      <c r="Q7734" t="s">
        <v>4756</v>
      </c>
      <c r="R7734" t="s">
        <v>6072</v>
      </c>
      <c r="S7734" t="s">
        <v>1615</v>
      </c>
      <c r="T7734" t="s">
        <v>301</v>
      </c>
    </row>
    <row r="7735" spans="1:20" x14ac:dyDescent="0.25">
      <c r="A7735">
        <v>9</v>
      </c>
      <c r="B7735">
        <v>199</v>
      </c>
      <c r="C7735" t="str">
        <f>"11"</f>
        <v>11</v>
      </c>
      <c r="D7735">
        <v>6249</v>
      </c>
      <c r="E7735" t="str">
        <f>"7E"</f>
        <v>7E</v>
      </c>
      <c r="F7735" t="str">
        <f t="shared" si="1745"/>
        <v>001</v>
      </c>
      <c r="G7735">
        <v>9</v>
      </c>
      <c r="H7735" t="str">
        <f>"11"</f>
        <v>11</v>
      </c>
      <c r="I7735" t="str">
        <f t="shared" ref="I7735:I7747" si="1748">"0"</f>
        <v>0</v>
      </c>
      <c r="J7735" t="str">
        <f>"31"</f>
        <v>31</v>
      </c>
      <c r="K7735">
        <v>20190809</v>
      </c>
      <c r="L7735" t="str">
        <f>"077618"</f>
        <v>077618</v>
      </c>
      <c r="M7735" t="str">
        <f>"37897"</f>
        <v>37897</v>
      </c>
      <c r="N7735" t="s">
        <v>3392</v>
      </c>
      <c r="O7735">
        <v>300</v>
      </c>
      <c r="P7735">
        <v>20190807</v>
      </c>
      <c r="Q7735" t="s">
        <v>3393</v>
      </c>
      <c r="R7735" t="s">
        <v>4827</v>
      </c>
      <c r="S7735" t="s">
        <v>1615</v>
      </c>
      <c r="T7735" t="s">
        <v>301</v>
      </c>
    </row>
    <row r="7736" spans="1:20" x14ac:dyDescent="0.25">
      <c r="A7736">
        <v>9</v>
      </c>
      <c r="B7736">
        <v>199</v>
      </c>
      <c r="C7736" t="str">
        <f>"11"</f>
        <v>11</v>
      </c>
      <c r="D7736">
        <v>6399</v>
      </c>
      <c r="E7736" t="str">
        <f>"V1"</f>
        <v>V1</v>
      </c>
      <c r="F7736" t="str">
        <f t="shared" si="1745"/>
        <v>001</v>
      </c>
      <c r="G7736">
        <v>9</v>
      </c>
      <c r="H7736" t="str">
        <f>"22"</f>
        <v>22</v>
      </c>
      <c r="I7736" t="str">
        <f t="shared" si="1748"/>
        <v>0</v>
      </c>
      <c r="J7736" t="str">
        <f>"22"</f>
        <v>22</v>
      </c>
      <c r="K7736">
        <v>20190809</v>
      </c>
      <c r="L7736" t="str">
        <f>"077620"</f>
        <v>077620</v>
      </c>
      <c r="M7736" t="str">
        <f>"00827"</f>
        <v>00827</v>
      </c>
      <c r="N7736" t="s">
        <v>5656</v>
      </c>
      <c r="O7736">
        <v>81.58</v>
      </c>
      <c r="P7736">
        <v>20190807</v>
      </c>
      <c r="Q7736" t="s">
        <v>5437</v>
      </c>
      <c r="R7736" t="s">
        <v>6073</v>
      </c>
      <c r="S7736" t="s">
        <v>1615</v>
      </c>
      <c r="T7736" t="s">
        <v>301</v>
      </c>
    </row>
    <row r="7737" spans="1:20" x14ac:dyDescent="0.25">
      <c r="A7737">
        <v>9</v>
      </c>
      <c r="B7737">
        <v>199</v>
      </c>
      <c r="C7737" t="str">
        <f>"11"</f>
        <v>11</v>
      </c>
      <c r="D7737">
        <v>6399</v>
      </c>
      <c r="E7737" t="str">
        <f>"V1"</f>
        <v>V1</v>
      </c>
      <c r="F7737" t="str">
        <f t="shared" si="1745"/>
        <v>001</v>
      </c>
      <c r="G7737">
        <v>9</v>
      </c>
      <c r="H7737" t="str">
        <f>"22"</f>
        <v>22</v>
      </c>
      <c r="I7737" t="str">
        <f t="shared" si="1748"/>
        <v>0</v>
      </c>
      <c r="J7737" t="str">
        <f>"22"</f>
        <v>22</v>
      </c>
      <c r="K7737">
        <v>20190809</v>
      </c>
      <c r="L7737" t="str">
        <f>"077620"</f>
        <v>077620</v>
      </c>
      <c r="M7737" t="str">
        <f>"00827"</f>
        <v>00827</v>
      </c>
      <c r="N7737" t="s">
        <v>5656</v>
      </c>
      <c r="O7737">
        <v>40.79</v>
      </c>
      <c r="P7737">
        <v>20190807</v>
      </c>
      <c r="Q7737" t="s">
        <v>5437</v>
      </c>
      <c r="R7737" t="s">
        <v>6073</v>
      </c>
      <c r="S7737" t="s">
        <v>1615</v>
      </c>
      <c r="T7737" t="s">
        <v>301</v>
      </c>
    </row>
    <row r="7738" spans="1:20" x14ac:dyDescent="0.25">
      <c r="A7738">
        <v>9</v>
      </c>
      <c r="B7738">
        <v>199</v>
      </c>
      <c r="C7738" t="str">
        <f>"11"</f>
        <v>11</v>
      </c>
      <c r="D7738">
        <v>6399</v>
      </c>
      <c r="E7738" t="str">
        <f>"V1"</f>
        <v>V1</v>
      </c>
      <c r="F7738" t="str">
        <f t="shared" si="1745"/>
        <v>001</v>
      </c>
      <c r="G7738">
        <v>9</v>
      </c>
      <c r="H7738" t="str">
        <f>"22"</f>
        <v>22</v>
      </c>
      <c r="I7738" t="str">
        <f t="shared" si="1748"/>
        <v>0</v>
      </c>
      <c r="J7738" t="str">
        <f>"22"</f>
        <v>22</v>
      </c>
      <c r="K7738">
        <v>20190809</v>
      </c>
      <c r="L7738" t="str">
        <f>"077620"</f>
        <v>077620</v>
      </c>
      <c r="M7738" t="str">
        <f>"00827"</f>
        <v>00827</v>
      </c>
      <c r="N7738" t="s">
        <v>5656</v>
      </c>
      <c r="O7738" s="1">
        <v>1056.73</v>
      </c>
      <c r="P7738">
        <v>20190807</v>
      </c>
      <c r="Q7738" t="s">
        <v>5437</v>
      </c>
      <c r="R7738" t="s">
        <v>5657</v>
      </c>
      <c r="S7738" t="s">
        <v>1615</v>
      </c>
      <c r="T7738" t="s">
        <v>301</v>
      </c>
    </row>
    <row r="7739" spans="1:20" x14ac:dyDescent="0.25">
      <c r="A7739">
        <v>9</v>
      </c>
      <c r="B7739">
        <v>199</v>
      </c>
      <c r="C7739" t="str">
        <f>"36"</f>
        <v>36</v>
      </c>
      <c r="D7739">
        <v>6399</v>
      </c>
      <c r="E7739" t="str">
        <f>"09"</f>
        <v>09</v>
      </c>
      <c r="F7739" t="str">
        <f t="shared" si="1745"/>
        <v>001</v>
      </c>
      <c r="G7739">
        <v>9</v>
      </c>
      <c r="H7739" t="str">
        <f>"99"</f>
        <v>99</v>
      </c>
      <c r="I7739" t="str">
        <f t="shared" si="1748"/>
        <v>0</v>
      </c>
      <c r="J7739" t="str">
        <f>"01"</f>
        <v>01</v>
      </c>
      <c r="K7739">
        <v>20190809</v>
      </c>
      <c r="L7739" t="str">
        <f>"077621"</f>
        <v>077621</v>
      </c>
      <c r="M7739" t="str">
        <f>"39450"</f>
        <v>39450</v>
      </c>
      <c r="N7739" t="s">
        <v>6074</v>
      </c>
      <c r="O7739">
        <v>153.76</v>
      </c>
      <c r="P7739">
        <v>20190807</v>
      </c>
      <c r="Q7739" t="s">
        <v>2177</v>
      </c>
      <c r="R7739" t="s">
        <v>6075</v>
      </c>
      <c r="S7739" t="s">
        <v>1615</v>
      </c>
      <c r="T7739" t="s">
        <v>301</v>
      </c>
    </row>
    <row r="7740" spans="1:20" x14ac:dyDescent="0.25">
      <c r="A7740">
        <v>9</v>
      </c>
      <c r="B7740">
        <v>199</v>
      </c>
      <c r="C7740" t="str">
        <f>"11"</f>
        <v>11</v>
      </c>
      <c r="D7740">
        <v>6249</v>
      </c>
      <c r="E7740" t="str">
        <f>"7B"</f>
        <v>7B</v>
      </c>
      <c r="F7740" t="str">
        <f t="shared" si="1745"/>
        <v>001</v>
      </c>
      <c r="G7740">
        <v>9</v>
      </c>
      <c r="H7740" t="str">
        <f>"11"</f>
        <v>11</v>
      </c>
      <c r="I7740" t="str">
        <f t="shared" si="1748"/>
        <v>0</v>
      </c>
      <c r="J7740" t="str">
        <f>"32"</f>
        <v>32</v>
      </c>
      <c r="K7740">
        <v>20190809</v>
      </c>
      <c r="L7740" t="str">
        <f>"077622"</f>
        <v>077622</v>
      </c>
      <c r="M7740" t="str">
        <f>"39572"</f>
        <v>39572</v>
      </c>
      <c r="N7740" t="s">
        <v>2233</v>
      </c>
      <c r="O7740">
        <v>185</v>
      </c>
      <c r="P7740">
        <v>20190807</v>
      </c>
      <c r="Q7740" t="s">
        <v>2234</v>
      </c>
      <c r="R7740" t="s">
        <v>6076</v>
      </c>
      <c r="S7740" t="s">
        <v>1615</v>
      </c>
      <c r="T7740" t="s">
        <v>301</v>
      </c>
    </row>
    <row r="7741" spans="1:20" x14ac:dyDescent="0.25">
      <c r="A7741">
        <v>9</v>
      </c>
      <c r="B7741">
        <v>199</v>
      </c>
      <c r="C7741" t="str">
        <f>"11"</f>
        <v>11</v>
      </c>
      <c r="D7741">
        <v>6249</v>
      </c>
      <c r="E7741" t="str">
        <f>"7B"</f>
        <v>7B</v>
      </c>
      <c r="F7741" t="str">
        <f t="shared" si="1745"/>
        <v>001</v>
      </c>
      <c r="G7741">
        <v>9</v>
      </c>
      <c r="H7741" t="str">
        <f>"11"</f>
        <v>11</v>
      </c>
      <c r="I7741" t="str">
        <f t="shared" si="1748"/>
        <v>0</v>
      </c>
      <c r="J7741" t="str">
        <f>"32"</f>
        <v>32</v>
      </c>
      <c r="K7741">
        <v>20190809</v>
      </c>
      <c r="L7741" t="str">
        <f>"077622"</f>
        <v>077622</v>
      </c>
      <c r="M7741" t="str">
        <f>"39572"</f>
        <v>39572</v>
      </c>
      <c r="N7741" t="s">
        <v>2233</v>
      </c>
      <c r="O7741">
        <v>60</v>
      </c>
      <c r="P7741">
        <v>20190807</v>
      </c>
      <c r="Q7741" t="s">
        <v>2234</v>
      </c>
      <c r="R7741" t="s">
        <v>6077</v>
      </c>
      <c r="S7741" t="s">
        <v>1615</v>
      </c>
      <c r="T7741" t="s">
        <v>301</v>
      </c>
    </row>
    <row r="7742" spans="1:20" x14ac:dyDescent="0.25">
      <c r="A7742">
        <v>9</v>
      </c>
      <c r="B7742">
        <v>199</v>
      </c>
      <c r="C7742" t="str">
        <f>"11"</f>
        <v>11</v>
      </c>
      <c r="D7742">
        <v>6649</v>
      </c>
      <c r="E7742" t="str">
        <f>"7B"</f>
        <v>7B</v>
      </c>
      <c r="F7742" t="str">
        <f t="shared" si="1745"/>
        <v>001</v>
      </c>
      <c r="G7742">
        <v>9</v>
      </c>
      <c r="H7742" t="str">
        <f>"11"</f>
        <v>11</v>
      </c>
      <c r="I7742" t="str">
        <f t="shared" si="1748"/>
        <v>0</v>
      </c>
      <c r="J7742" t="str">
        <f>"32"</f>
        <v>32</v>
      </c>
      <c r="K7742">
        <v>20190809</v>
      </c>
      <c r="L7742" t="str">
        <f>"077622"</f>
        <v>077622</v>
      </c>
      <c r="M7742" t="str">
        <f>"39572"</f>
        <v>39572</v>
      </c>
      <c r="N7742" t="s">
        <v>2233</v>
      </c>
      <c r="O7742" s="1">
        <v>4000</v>
      </c>
      <c r="P7742">
        <v>20190807</v>
      </c>
      <c r="Q7742" t="s">
        <v>2950</v>
      </c>
      <c r="R7742" t="s">
        <v>6078</v>
      </c>
      <c r="S7742" t="s">
        <v>1615</v>
      </c>
      <c r="T7742" t="s">
        <v>301</v>
      </c>
    </row>
    <row r="7743" spans="1:20" x14ac:dyDescent="0.25">
      <c r="A7743">
        <v>9</v>
      </c>
      <c r="B7743">
        <v>199</v>
      </c>
      <c r="C7743" t="str">
        <f>"11"</f>
        <v>11</v>
      </c>
      <c r="D7743">
        <v>6649</v>
      </c>
      <c r="E7743" t="str">
        <f>"7B"</f>
        <v>7B</v>
      </c>
      <c r="F7743" t="str">
        <f t="shared" si="1745"/>
        <v>001</v>
      </c>
      <c r="G7743">
        <v>9</v>
      </c>
      <c r="H7743" t="str">
        <f>"11"</f>
        <v>11</v>
      </c>
      <c r="I7743" t="str">
        <f t="shared" si="1748"/>
        <v>0</v>
      </c>
      <c r="J7743" t="str">
        <f>"32"</f>
        <v>32</v>
      </c>
      <c r="K7743">
        <v>20190809</v>
      </c>
      <c r="L7743" t="str">
        <f>"077622"</f>
        <v>077622</v>
      </c>
      <c r="M7743" t="str">
        <f>"39572"</f>
        <v>39572</v>
      </c>
      <c r="N7743" t="s">
        <v>2233</v>
      </c>
      <c r="O7743">
        <v>800</v>
      </c>
      <c r="P7743">
        <v>20190807</v>
      </c>
      <c r="Q7743" t="s">
        <v>2950</v>
      </c>
      <c r="R7743" t="s">
        <v>6079</v>
      </c>
      <c r="S7743" t="s">
        <v>1615</v>
      </c>
      <c r="T7743" t="s">
        <v>301</v>
      </c>
    </row>
    <row r="7744" spans="1:20" x14ac:dyDescent="0.25">
      <c r="A7744">
        <v>9</v>
      </c>
      <c r="B7744">
        <v>199</v>
      </c>
      <c r="C7744" t="str">
        <f>"11"</f>
        <v>11</v>
      </c>
      <c r="D7744">
        <v>6399</v>
      </c>
      <c r="E7744" t="str">
        <f>"7K"</f>
        <v>7K</v>
      </c>
      <c r="F7744" t="str">
        <f t="shared" si="1745"/>
        <v>001</v>
      </c>
      <c r="G7744">
        <v>9</v>
      </c>
      <c r="H7744" t="str">
        <f>"11"</f>
        <v>11</v>
      </c>
      <c r="I7744" t="str">
        <f t="shared" si="1748"/>
        <v>0</v>
      </c>
      <c r="J7744" t="str">
        <f>"01"</f>
        <v>01</v>
      </c>
      <c r="K7744">
        <v>20190809</v>
      </c>
      <c r="L7744" t="str">
        <f>"077624"</f>
        <v>077624</v>
      </c>
      <c r="M7744" t="str">
        <f>"41230"</f>
        <v>41230</v>
      </c>
      <c r="N7744" t="s">
        <v>1350</v>
      </c>
      <c r="O7744">
        <v>948.13</v>
      </c>
      <c r="P7744">
        <v>20190807</v>
      </c>
      <c r="Q7744" t="s">
        <v>1671</v>
      </c>
      <c r="R7744" t="s">
        <v>6080</v>
      </c>
      <c r="S7744" t="s">
        <v>1615</v>
      </c>
      <c r="T7744" t="s">
        <v>301</v>
      </c>
    </row>
    <row r="7745" spans="1:20" x14ac:dyDescent="0.25">
      <c r="A7745">
        <v>9</v>
      </c>
      <c r="B7745">
        <v>199</v>
      </c>
      <c r="C7745" t="str">
        <f>"51"</f>
        <v>51</v>
      </c>
      <c r="D7745">
        <v>6319</v>
      </c>
      <c r="E7745" t="str">
        <f>"MC"</f>
        <v>MC</v>
      </c>
      <c r="F7745" t="str">
        <f>"936"</f>
        <v>936</v>
      </c>
      <c r="G7745">
        <v>9</v>
      </c>
      <c r="H7745" t="str">
        <f>"99"</f>
        <v>99</v>
      </c>
      <c r="I7745" t="str">
        <f t="shared" si="1748"/>
        <v>0</v>
      </c>
      <c r="J7745" t="str">
        <f>"81"</f>
        <v>81</v>
      </c>
      <c r="K7745">
        <v>20190809</v>
      </c>
      <c r="L7745" t="str">
        <f>"077624"</f>
        <v>077624</v>
      </c>
      <c r="M7745" t="str">
        <f>"41230"</f>
        <v>41230</v>
      </c>
      <c r="N7745" t="s">
        <v>1350</v>
      </c>
      <c r="O7745">
        <v>390.02</v>
      </c>
      <c r="P7745">
        <v>20190807</v>
      </c>
      <c r="Q7745" t="s">
        <v>2060</v>
      </c>
      <c r="R7745" t="s">
        <v>6081</v>
      </c>
      <c r="S7745" t="s">
        <v>1615</v>
      </c>
      <c r="T7745" t="s">
        <v>1713</v>
      </c>
    </row>
    <row r="7746" spans="1:20" x14ac:dyDescent="0.25">
      <c r="A7746">
        <v>9</v>
      </c>
      <c r="B7746">
        <v>199</v>
      </c>
      <c r="C7746" t="str">
        <f>"51"</f>
        <v>51</v>
      </c>
      <c r="D7746">
        <v>6319</v>
      </c>
      <c r="E7746" t="str">
        <f>"MC"</f>
        <v>MC</v>
      </c>
      <c r="F7746" t="str">
        <f>"936"</f>
        <v>936</v>
      </c>
      <c r="G7746">
        <v>9</v>
      </c>
      <c r="H7746" t="str">
        <f>"99"</f>
        <v>99</v>
      </c>
      <c r="I7746" t="str">
        <f t="shared" si="1748"/>
        <v>0</v>
      </c>
      <c r="J7746" t="str">
        <f>"81"</f>
        <v>81</v>
      </c>
      <c r="K7746">
        <v>20190809</v>
      </c>
      <c r="L7746" t="str">
        <f>"077624"</f>
        <v>077624</v>
      </c>
      <c r="M7746" t="str">
        <f>"41230"</f>
        <v>41230</v>
      </c>
      <c r="N7746" t="s">
        <v>1350</v>
      </c>
      <c r="O7746">
        <v>232.15</v>
      </c>
      <c r="P7746">
        <v>20190807</v>
      </c>
      <c r="Q7746" t="s">
        <v>2060</v>
      </c>
      <c r="R7746" t="s">
        <v>6082</v>
      </c>
      <c r="S7746" t="s">
        <v>1615</v>
      </c>
      <c r="T7746" t="s">
        <v>1713</v>
      </c>
    </row>
    <row r="7747" spans="1:20" x14ac:dyDescent="0.25">
      <c r="A7747">
        <v>9</v>
      </c>
      <c r="B7747">
        <v>199</v>
      </c>
      <c r="C7747" t="str">
        <f>"23"</f>
        <v>23</v>
      </c>
      <c r="D7747">
        <v>6399</v>
      </c>
      <c r="E7747" t="str">
        <f>"12"</f>
        <v>12</v>
      </c>
      <c r="F7747" t="str">
        <f>"041"</f>
        <v>041</v>
      </c>
      <c r="G7747">
        <v>9</v>
      </c>
      <c r="H7747" t="str">
        <f>"99"</f>
        <v>99</v>
      </c>
      <c r="I7747" t="str">
        <f t="shared" si="1748"/>
        <v>0</v>
      </c>
      <c r="J7747" t="str">
        <f>"03"</f>
        <v>03</v>
      </c>
      <c r="K7747">
        <v>20190809</v>
      </c>
      <c r="L7747" t="str">
        <f>"077625"</f>
        <v>077625</v>
      </c>
      <c r="M7747" t="str">
        <f>"43503"</f>
        <v>43503</v>
      </c>
      <c r="N7747" t="s">
        <v>3402</v>
      </c>
      <c r="O7747">
        <v>673.2</v>
      </c>
      <c r="P7747">
        <v>20190807</v>
      </c>
      <c r="Q7747" t="s">
        <v>5485</v>
      </c>
      <c r="R7747" t="s">
        <v>3404</v>
      </c>
      <c r="S7747" t="s">
        <v>1615</v>
      </c>
      <c r="T7747" t="s">
        <v>106</v>
      </c>
    </row>
    <row r="7748" spans="1:20" x14ac:dyDescent="0.25">
      <c r="A7748">
        <v>9</v>
      </c>
      <c r="B7748">
        <v>199</v>
      </c>
      <c r="C7748" t="str">
        <f>"11"</f>
        <v>11</v>
      </c>
      <c r="D7748">
        <v>6649</v>
      </c>
      <c r="E7748" t="str">
        <f>"00"</f>
        <v>00</v>
      </c>
      <c r="F7748" t="str">
        <f>"041"</f>
        <v>041</v>
      </c>
      <c r="G7748">
        <v>9</v>
      </c>
      <c r="H7748" t="str">
        <f>"11"</f>
        <v>11</v>
      </c>
      <c r="I7748" t="str">
        <f>"Z"</f>
        <v>Z</v>
      </c>
      <c r="J7748" t="str">
        <f>"80"</f>
        <v>80</v>
      </c>
      <c r="K7748">
        <v>20190809</v>
      </c>
      <c r="L7748" t="str">
        <f>"077626"</f>
        <v>077626</v>
      </c>
      <c r="M7748" t="str">
        <f>"00050"</f>
        <v>00050</v>
      </c>
      <c r="N7748" t="s">
        <v>4636</v>
      </c>
      <c r="O7748" s="1">
        <v>24477</v>
      </c>
      <c r="P7748">
        <v>20190807</v>
      </c>
      <c r="Q7748" t="s">
        <v>4637</v>
      </c>
      <c r="R7748" t="s">
        <v>5822</v>
      </c>
      <c r="S7748" t="s">
        <v>1615</v>
      </c>
      <c r="T7748" t="s">
        <v>106</v>
      </c>
    </row>
    <row r="7749" spans="1:20" x14ac:dyDescent="0.25">
      <c r="A7749">
        <v>9</v>
      </c>
      <c r="B7749">
        <v>199</v>
      </c>
      <c r="C7749" t="str">
        <f>"11"</f>
        <v>11</v>
      </c>
      <c r="D7749">
        <v>6649</v>
      </c>
      <c r="E7749" t="str">
        <f>"00"</f>
        <v>00</v>
      </c>
      <c r="F7749" t="str">
        <f>"101"</f>
        <v>101</v>
      </c>
      <c r="G7749">
        <v>9</v>
      </c>
      <c r="H7749" t="str">
        <f>"11"</f>
        <v>11</v>
      </c>
      <c r="I7749" t="str">
        <f>"Z"</f>
        <v>Z</v>
      </c>
      <c r="J7749" t="str">
        <f>"80"</f>
        <v>80</v>
      </c>
      <c r="K7749">
        <v>20190809</v>
      </c>
      <c r="L7749" t="str">
        <f>"077626"</f>
        <v>077626</v>
      </c>
      <c r="M7749" t="str">
        <f>"00050"</f>
        <v>00050</v>
      </c>
      <c r="N7749" t="s">
        <v>4636</v>
      </c>
      <c r="O7749" s="1">
        <v>2193</v>
      </c>
      <c r="P7749">
        <v>20190807</v>
      </c>
      <c r="Q7749" t="s">
        <v>6083</v>
      </c>
      <c r="R7749" t="s">
        <v>5685</v>
      </c>
      <c r="S7749" t="s">
        <v>1615</v>
      </c>
      <c r="T7749" t="s">
        <v>1479</v>
      </c>
    </row>
    <row r="7750" spans="1:20" x14ac:dyDescent="0.25">
      <c r="A7750">
        <v>9</v>
      </c>
      <c r="B7750">
        <v>199</v>
      </c>
      <c r="C7750" t="str">
        <f>"51"</f>
        <v>51</v>
      </c>
      <c r="D7750">
        <v>6319</v>
      </c>
      <c r="E7750" t="str">
        <f>"MC"</f>
        <v>MC</v>
      </c>
      <c r="F7750" t="str">
        <f>"936"</f>
        <v>936</v>
      </c>
      <c r="G7750">
        <v>9</v>
      </c>
      <c r="H7750" t="str">
        <f>"99"</f>
        <v>99</v>
      </c>
      <c r="I7750" t="str">
        <f t="shared" ref="I7750:I7781" si="1749">"0"</f>
        <v>0</v>
      </c>
      <c r="J7750" t="str">
        <f>"81"</f>
        <v>81</v>
      </c>
      <c r="K7750">
        <v>20190809</v>
      </c>
      <c r="L7750" t="str">
        <f>"077628"</f>
        <v>077628</v>
      </c>
      <c r="M7750" t="str">
        <f>"45492"</f>
        <v>45492</v>
      </c>
      <c r="N7750" t="s">
        <v>3410</v>
      </c>
      <c r="O7750">
        <v>575</v>
      </c>
      <c r="P7750">
        <v>20190807</v>
      </c>
      <c r="Q7750" t="s">
        <v>2060</v>
      </c>
      <c r="R7750" t="s">
        <v>6084</v>
      </c>
      <c r="S7750" t="s">
        <v>1615</v>
      </c>
      <c r="T7750" t="s">
        <v>1713</v>
      </c>
    </row>
    <row r="7751" spans="1:20" x14ac:dyDescent="0.25">
      <c r="A7751">
        <v>9</v>
      </c>
      <c r="B7751">
        <v>199</v>
      </c>
      <c r="C7751" t="str">
        <f>"11"</f>
        <v>11</v>
      </c>
      <c r="D7751">
        <v>6399</v>
      </c>
      <c r="E7751" t="str">
        <f>"V1"</f>
        <v>V1</v>
      </c>
      <c r="F7751" t="str">
        <f>"001"</f>
        <v>001</v>
      </c>
      <c r="G7751">
        <v>9</v>
      </c>
      <c r="H7751" t="str">
        <f>"22"</f>
        <v>22</v>
      </c>
      <c r="I7751" t="str">
        <f t="shared" si="1749"/>
        <v>0</v>
      </c>
      <c r="J7751" t="str">
        <f>"22"</f>
        <v>22</v>
      </c>
      <c r="K7751">
        <v>20190809</v>
      </c>
      <c r="L7751" t="str">
        <f>"077629"</f>
        <v>077629</v>
      </c>
      <c r="M7751" t="str">
        <f>"14186"</f>
        <v>14186</v>
      </c>
      <c r="N7751" t="s">
        <v>3171</v>
      </c>
      <c r="O7751" s="1">
        <v>3846</v>
      </c>
      <c r="P7751">
        <v>20190807</v>
      </c>
      <c r="Q7751" t="s">
        <v>5437</v>
      </c>
      <c r="R7751" t="s">
        <v>6085</v>
      </c>
      <c r="S7751" t="s">
        <v>1615</v>
      </c>
      <c r="T7751" t="s">
        <v>301</v>
      </c>
    </row>
    <row r="7752" spans="1:20" x14ac:dyDescent="0.25">
      <c r="A7752">
        <v>9</v>
      </c>
      <c r="B7752">
        <v>199</v>
      </c>
      <c r="C7752" t="str">
        <f>"21"</f>
        <v>21</v>
      </c>
      <c r="D7752">
        <v>6399</v>
      </c>
      <c r="E7752" t="str">
        <f>"10"</f>
        <v>10</v>
      </c>
      <c r="F7752" t="str">
        <f>"871"</f>
        <v>871</v>
      </c>
      <c r="G7752">
        <v>9</v>
      </c>
      <c r="H7752" t="str">
        <f>"99"</f>
        <v>99</v>
      </c>
      <c r="I7752" t="str">
        <f t="shared" si="1749"/>
        <v>0</v>
      </c>
      <c r="J7752" t="str">
        <f>"94"</f>
        <v>94</v>
      </c>
      <c r="K7752">
        <v>20190809</v>
      </c>
      <c r="L7752" t="str">
        <f>"077630"</f>
        <v>077630</v>
      </c>
      <c r="M7752" t="str">
        <f>"45496"</f>
        <v>45496</v>
      </c>
      <c r="N7752" t="s">
        <v>3175</v>
      </c>
      <c r="O7752">
        <v>414.7</v>
      </c>
      <c r="P7752">
        <v>20190807</v>
      </c>
      <c r="Q7752" t="s">
        <v>3176</v>
      </c>
      <c r="R7752" t="s">
        <v>641</v>
      </c>
      <c r="S7752" t="s">
        <v>1615</v>
      </c>
      <c r="T7752" t="s">
        <v>1932</v>
      </c>
    </row>
    <row r="7753" spans="1:20" x14ac:dyDescent="0.25">
      <c r="A7753">
        <v>9</v>
      </c>
      <c r="B7753">
        <v>199</v>
      </c>
      <c r="C7753" t="str">
        <f>"21"</f>
        <v>21</v>
      </c>
      <c r="D7753">
        <v>6399</v>
      </c>
      <c r="E7753" t="str">
        <f>"10"</f>
        <v>10</v>
      </c>
      <c r="F7753" t="str">
        <f>"871"</f>
        <v>871</v>
      </c>
      <c r="G7753">
        <v>9</v>
      </c>
      <c r="H7753" t="str">
        <f>"99"</f>
        <v>99</v>
      </c>
      <c r="I7753" t="str">
        <f t="shared" si="1749"/>
        <v>0</v>
      </c>
      <c r="J7753" t="str">
        <f>"94"</f>
        <v>94</v>
      </c>
      <c r="K7753">
        <v>20190809</v>
      </c>
      <c r="L7753" t="str">
        <f>"077630"</f>
        <v>077630</v>
      </c>
      <c r="M7753" t="str">
        <f>"45496"</f>
        <v>45496</v>
      </c>
      <c r="N7753" t="s">
        <v>3175</v>
      </c>
      <c r="O7753">
        <v>470.88</v>
      </c>
      <c r="P7753">
        <v>20190807</v>
      </c>
      <c r="Q7753" t="s">
        <v>3176</v>
      </c>
      <c r="R7753" t="s">
        <v>641</v>
      </c>
      <c r="S7753" t="s">
        <v>1615</v>
      </c>
      <c r="T7753" t="s">
        <v>1932</v>
      </c>
    </row>
    <row r="7754" spans="1:20" x14ac:dyDescent="0.25">
      <c r="A7754">
        <v>9</v>
      </c>
      <c r="B7754">
        <v>199</v>
      </c>
      <c r="C7754" t="str">
        <f>"11"</f>
        <v>11</v>
      </c>
      <c r="D7754">
        <v>6399</v>
      </c>
      <c r="E7754" t="str">
        <f>"7E"</f>
        <v>7E</v>
      </c>
      <c r="F7754" t="str">
        <f>"001"</f>
        <v>001</v>
      </c>
      <c r="G7754">
        <v>9</v>
      </c>
      <c r="H7754" t="str">
        <f>"11"</f>
        <v>11</v>
      </c>
      <c r="I7754" t="str">
        <f t="shared" si="1749"/>
        <v>0</v>
      </c>
      <c r="J7754" t="str">
        <f>"31"</f>
        <v>31</v>
      </c>
      <c r="K7754">
        <v>20190809</v>
      </c>
      <c r="L7754" t="str">
        <f>"077631"</f>
        <v>077631</v>
      </c>
      <c r="M7754" t="str">
        <f>"57791"</f>
        <v>57791</v>
      </c>
      <c r="N7754" t="s">
        <v>2381</v>
      </c>
      <c r="O7754">
        <v>169.49</v>
      </c>
      <c r="P7754">
        <v>20190807</v>
      </c>
      <c r="Q7754" t="s">
        <v>2382</v>
      </c>
      <c r="R7754" t="s">
        <v>6086</v>
      </c>
      <c r="S7754" t="s">
        <v>1615</v>
      </c>
      <c r="T7754" t="s">
        <v>301</v>
      </c>
    </row>
    <row r="7755" spans="1:20" x14ac:dyDescent="0.25">
      <c r="A7755">
        <v>9</v>
      </c>
      <c r="B7755">
        <v>199</v>
      </c>
      <c r="C7755" t="str">
        <f>"11"</f>
        <v>11</v>
      </c>
      <c r="D7755">
        <v>6399</v>
      </c>
      <c r="E7755" t="str">
        <f>"7E"</f>
        <v>7E</v>
      </c>
      <c r="F7755" t="str">
        <f>"001"</f>
        <v>001</v>
      </c>
      <c r="G7755">
        <v>9</v>
      </c>
      <c r="H7755" t="str">
        <f>"11"</f>
        <v>11</v>
      </c>
      <c r="I7755" t="str">
        <f t="shared" si="1749"/>
        <v>0</v>
      </c>
      <c r="J7755" t="str">
        <f>"31"</f>
        <v>31</v>
      </c>
      <c r="K7755">
        <v>20190809</v>
      </c>
      <c r="L7755" t="str">
        <f>"077631"</f>
        <v>077631</v>
      </c>
      <c r="M7755" t="str">
        <f>"57791"</f>
        <v>57791</v>
      </c>
      <c r="N7755" t="s">
        <v>2381</v>
      </c>
      <c r="O7755">
        <v>7.5</v>
      </c>
      <c r="P7755">
        <v>20190807</v>
      </c>
      <c r="Q7755" t="s">
        <v>2382</v>
      </c>
      <c r="R7755" t="s">
        <v>6087</v>
      </c>
      <c r="S7755" t="s">
        <v>1615</v>
      </c>
      <c r="T7755" t="s">
        <v>301</v>
      </c>
    </row>
    <row r="7756" spans="1:20" x14ac:dyDescent="0.25">
      <c r="A7756">
        <v>9</v>
      </c>
      <c r="B7756">
        <v>199</v>
      </c>
      <c r="C7756" t="str">
        <f>"11"</f>
        <v>11</v>
      </c>
      <c r="D7756">
        <v>6399</v>
      </c>
      <c r="E7756" t="str">
        <f>"7E"</f>
        <v>7E</v>
      </c>
      <c r="F7756" t="str">
        <f>"001"</f>
        <v>001</v>
      </c>
      <c r="G7756">
        <v>9</v>
      </c>
      <c r="H7756" t="str">
        <f>"11"</f>
        <v>11</v>
      </c>
      <c r="I7756" t="str">
        <f t="shared" si="1749"/>
        <v>0</v>
      </c>
      <c r="J7756" t="str">
        <f>"31"</f>
        <v>31</v>
      </c>
      <c r="K7756">
        <v>20190809</v>
      </c>
      <c r="L7756" t="str">
        <f>"077631"</f>
        <v>077631</v>
      </c>
      <c r="M7756" t="str">
        <f>"57791"</f>
        <v>57791</v>
      </c>
      <c r="N7756" t="s">
        <v>2381</v>
      </c>
      <c r="O7756">
        <v>4.1500000000000004</v>
      </c>
      <c r="P7756">
        <v>20190807</v>
      </c>
      <c r="Q7756" t="s">
        <v>2382</v>
      </c>
      <c r="R7756" t="s">
        <v>6088</v>
      </c>
      <c r="S7756" t="s">
        <v>1615</v>
      </c>
      <c r="T7756" t="s">
        <v>301</v>
      </c>
    </row>
    <row r="7757" spans="1:20" x14ac:dyDescent="0.25">
      <c r="A7757">
        <v>9</v>
      </c>
      <c r="B7757">
        <v>199</v>
      </c>
      <c r="C7757" t="str">
        <f>"11"</f>
        <v>11</v>
      </c>
      <c r="D7757">
        <v>6399</v>
      </c>
      <c r="E7757" t="str">
        <f>"7E"</f>
        <v>7E</v>
      </c>
      <c r="F7757" t="str">
        <f>"001"</f>
        <v>001</v>
      </c>
      <c r="G7757">
        <v>9</v>
      </c>
      <c r="H7757" t="str">
        <f>"11"</f>
        <v>11</v>
      </c>
      <c r="I7757" t="str">
        <f t="shared" si="1749"/>
        <v>0</v>
      </c>
      <c r="J7757" t="str">
        <f>"31"</f>
        <v>31</v>
      </c>
      <c r="K7757">
        <v>20190809</v>
      </c>
      <c r="L7757" t="str">
        <f>"077631"</f>
        <v>077631</v>
      </c>
      <c r="M7757" t="str">
        <f>"57791"</f>
        <v>57791</v>
      </c>
      <c r="N7757" t="s">
        <v>2381</v>
      </c>
      <c r="O7757">
        <v>103.25</v>
      </c>
      <c r="P7757">
        <v>20190807</v>
      </c>
      <c r="Q7757" t="s">
        <v>2382</v>
      </c>
      <c r="R7757" t="s">
        <v>6089</v>
      </c>
      <c r="S7757" t="s">
        <v>1615</v>
      </c>
      <c r="T7757" t="s">
        <v>301</v>
      </c>
    </row>
    <row r="7758" spans="1:20" x14ac:dyDescent="0.25">
      <c r="A7758">
        <v>9</v>
      </c>
      <c r="B7758">
        <v>199</v>
      </c>
      <c r="C7758" t="str">
        <f t="shared" ref="C7758:C7776" si="1750">"51"</f>
        <v>51</v>
      </c>
      <c r="D7758">
        <v>6219</v>
      </c>
      <c r="E7758" t="str">
        <f t="shared" ref="E7758:E7769" si="1751">"M7"</f>
        <v>M7</v>
      </c>
      <c r="F7758" t="str">
        <f t="shared" ref="F7758:F7775" si="1752">"936"</f>
        <v>936</v>
      </c>
      <c r="G7758">
        <v>9</v>
      </c>
      <c r="H7758" t="str">
        <f t="shared" ref="H7758:H7776" si="1753">"99"</f>
        <v>99</v>
      </c>
      <c r="I7758" t="str">
        <f t="shared" si="1749"/>
        <v>0</v>
      </c>
      <c r="J7758" t="str">
        <f t="shared" ref="J7758:J7776" si="1754">"81"</f>
        <v>81</v>
      </c>
      <c r="K7758">
        <v>20190809</v>
      </c>
      <c r="L7758" t="str">
        <f t="shared" ref="L7758:L7776" si="1755">"077632"</f>
        <v>077632</v>
      </c>
      <c r="M7758" t="str">
        <f t="shared" ref="M7758:M7776" si="1756">"46369"</f>
        <v>46369</v>
      </c>
      <c r="N7758" t="s">
        <v>2086</v>
      </c>
      <c r="O7758">
        <v>675</v>
      </c>
      <c r="P7758">
        <v>20190807</v>
      </c>
      <c r="Q7758" t="s">
        <v>2259</v>
      </c>
      <c r="R7758" t="s">
        <v>6090</v>
      </c>
      <c r="S7758" t="s">
        <v>1615</v>
      </c>
      <c r="T7758" t="s">
        <v>1713</v>
      </c>
    </row>
    <row r="7759" spans="1:20" x14ac:dyDescent="0.25">
      <c r="A7759">
        <v>9</v>
      </c>
      <c r="B7759">
        <v>199</v>
      </c>
      <c r="C7759" t="str">
        <f t="shared" si="1750"/>
        <v>51</v>
      </c>
      <c r="D7759">
        <v>6219</v>
      </c>
      <c r="E7759" t="str">
        <f t="shared" si="1751"/>
        <v>M7</v>
      </c>
      <c r="F7759" t="str">
        <f t="shared" si="1752"/>
        <v>936</v>
      </c>
      <c r="G7759">
        <v>9</v>
      </c>
      <c r="H7759" t="str">
        <f t="shared" si="1753"/>
        <v>99</v>
      </c>
      <c r="I7759" t="str">
        <f t="shared" si="1749"/>
        <v>0</v>
      </c>
      <c r="J7759" t="str">
        <f t="shared" si="1754"/>
        <v>81</v>
      </c>
      <c r="K7759">
        <v>20190809</v>
      </c>
      <c r="L7759" t="str">
        <f t="shared" si="1755"/>
        <v>077632</v>
      </c>
      <c r="M7759" t="str">
        <f t="shared" si="1756"/>
        <v>46369</v>
      </c>
      <c r="N7759" t="s">
        <v>2086</v>
      </c>
      <c r="O7759" s="1">
        <v>1145</v>
      </c>
      <c r="P7759">
        <v>20190807</v>
      </c>
      <c r="Q7759" t="s">
        <v>2259</v>
      </c>
      <c r="R7759" t="s">
        <v>6091</v>
      </c>
      <c r="S7759" t="s">
        <v>1615</v>
      </c>
      <c r="T7759" t="s">
        <v>1713</v>
      </c>
    </row>
    <row r="7760" spans="1:20" x14ac:dyDescent="0.25">
      <c r="A7760">
        <v>9</v>
      </c>
      <c r="B7760">
        <v>199</v>
      </c>
      <c r="C7760" t="str">
        <f t="shared" si="1750"/>
        <v>51</v>
      </c>
      <c r="D7760">
        <v>6219</v>
      </c>
      <c r="E7760" t="str">
        <f t="shared" si="1751"/>
        <v>M7</v>
      </c>
      <c r="F7760" t="str">
        <f t="shared" si="1752"/>
        <v>936</v>
      </c>
      <c r="G7760">
        <v>9</v>
      </c>
      <c r="H7760" t="str">
        <f t="shared" si="1753"/>
        <v>99</v>
      </c>
      <c r="I7760" t="str">
        <f t="shared" si="1749"/>
        <v>0</v>
      </c>
      <c r="J7760" t="str">
        <f t="shared" si="1754"/>
        <v>81</v>
      </c>
      <c r="K7760">
        <v>20190809</v>
      </c>
      <c r="L7760" t="str">
        <f t="shared" si="1755"/>
        <v>077632</v>
      </c>
      <c r="M7760" t="str">
        <f t="shared" si="1756"/>
        <v>46369</v>
      </c>
      <c r="N7760" t="s">
        <v>2086</v>
      </c>
      <c r="O7760" s="1">
        <v>1225</v>
      </c>
      <c r="P7760">
        <v>20190807</v>
      </c>
      <c r="Q7760" t="s">
        <v>2259</v>
      </c>
      <c r="R7760" t="s">
        <v>6092</v>
      </c>
      <c r="S7760" t="s">
        <v>1615</v>
      </c>
      <c r="T7760" t="s">
        <v>1713</v>
      </c>
    </row>
    <row r="7761" spans="1:20" x14ac:dyDescent="0.25">
      <c r="A7761">
        <v>9</v>
      </c>
      <c r="B7761">
        <v>199</v>
      </c>
      <c r="C7761" t="str">
        <f t="shared" si="1750"/>
        <v>51</v>
      </c>
      <c r="D7761">
        <v>6219</v>
      </c>
      <c r="E7761" t="str">
        <f t="shared" si="1751"/>
        <v>M7</v>
      </c>
      <c r="F7761" t="str">
        <f t="shared" si="1752"/>
        <v>936</v>
      </c>
      <c r="G7761">
        <v>9</v>
      </c>
      <c r="H7761" t="str">
        <f t="shared" si="1753"/>
        <v>99</v>
      </c>
      <c r="I7761" t="str">
        <f t="shared" si="1749"/>
        <v>0</v>
      </c>
      <c r="J7761" t="str">
        <f t="shared" si="1754"/>
        <v>81</v>
      </c>
      <c r="K7761">
        <v>20190809</v>
      </c>
      <c r="L7761" t="str">
        <f t="shared" si="1755"/>
        <v>077632</v>
      </c>
      <c r="M7761" t="str">
        <f t="shared" si="1756"/>
        <v>46369</v>
      </c>
      <c r="N7761" t="s">
        <v>2086</v>
      </c>
      <c r="O7761">
        <v>910</v>
      </c>
      <c r="P7761">
        <v>20190807</v>
      </c>
      <c r="Q7761" t="s">
        <v>2259</v>
      </c>
      <c r="R7761" t="s">
        <v>6093</v>
      </c>
      <c r="S7761" t="s">
        <v>1615</v>
      </c>
      <c r="T7761" t="s">
        <v>1713</v>
      </c>
    </row>
    <row r="7762" spans="1:20" x14ac:dyDescent="0.25">
      <c r="A7762">
        <v>9</v>
      </c>
      <c r="B7762">
        <v>199</v>
      </c>
      <c r="C7762" t="str">
        <f t="shared" si="1750"/>
        <v>51</v>
      </c>
      <c r="D7762">
        <v>6219</v>
      </c>
      <c r="E7762" t="str">
        <f t="shared" si="1751"/>
        <v>M7</v>
      </c>
      <c r="F7762" t="str">
        <f t="shared" si="1752"/>
        <v>936</v>
      </c>
      <c r="G7762">
        <v>9</v>
      </c>
      <c r="H7762" t="str">
        <f t="shared" si="1753"/>
        <v>99</v>
      </c>
      <c r="I7762" t="str">
        <f t="shared" si="1749"/>
        <v>0</v>
      </c>
      <c r="J7762" t="str">
        <f t="shared" si="1754"/>
        <v>81</v>
      </c>
      <c r="K7762">
        <v>20190809</v>
      </c>
      <c r="L7762" t="str">
        <f t="shared" si="1755"/>
        <v>077632</v>
      </c>
      <c r="M7762" t="str">
        <f t="shared" si="1756"/>
        <v>46369</v>
      </c>
      <c r="N7762" t="s">
        <v>2086</v>
      </c>
      <c r="O7762" s="1">
        <v>1025</v>
      </c>
      <c r="P7762">
        <v>20190807</v>
      </c>
      <c r="Q7762" t="s">
        <v>2259</v>
      </c>
      <c r="R7762" t="s">
        <v>6094</v>
      </c>
      <c r="S7762" t="s">
        <v>1615</v>
      </c>
      <c r="T7762" t="s">
        <v>1713</v>
      </c>
    </row>
    <row r="7763" spans="1:20" x14ac:dyDescent="0.25">
      <c r="A7763">
        <v>9</v>
      </c>
      <c r="B7763">
        <v>199</v>
      </c>
      <c r="C7763" t="str">
        <f t="shared" si="1750"/>
        <v>51</v>
      </c>
      <c r="D7763">
        <v>6219</v>
      </c>
      <c r="E7763" t="str">
        <f t="shared" si="1751"/>
        <v>M7</v>
      </c>
      <c r="F7763" t="str">
        <f t="shared" si="1752"/>
        <v>936</v>
      </c>
      <c r="G7763">
        <v>9</v>
      </c>
      <c r="H7763" t="str">
        <f t="shared" si="1753"/>
        <v>99</v>
      </c>
      <c r="I7763" t="str">
        <f t="shared" si="1749"/>
        <v>0</v>
      </c>
      <c r="J7763" t="str">
        <f t="shared" si="1754"/>
        <v>81</v>
      </c>
      <c r="K7763">
        <v>20190809</v>
      </c>
      <c r="L7763" t="str">
        <f t="shared" si="1755"/>
        <v>077632</v>
      </c>
      <c r="M7763" t="str">
        <f t="shared" si="1756"/>
        <v>46369</v>
      </c>
      <c r="N7763" t="s">
        <v>2086</v>
      </c>
      <c r="O7763">
        <v>280</v>
      </c>
      <c r="P7763">
        <v>20190807</v>
      </c>
      <c r="Q7763" t="s">
        <v>2259</v>
      </c>
      <c r="R7763" t="s">
        <v>6095</v>
      </c>
      <c r="S7763" t="s">
        <v>1615</v>
      </c>
      <c r="T7763" t="s">
        <v>1713</v>
      </c>
    </row>
    <row r="7764" spans="1:20" x14ac:dyDescent="0.25">
      <c r="A7764">
        <v>9</v>
      </c>
      <c r="B7764">
        <v>199</v>
      </c>
      <c r="C7764" t="str">
        <f t="shared" si="1750"/>
        <v>51</v>
      </c>
      <c r="D7764">
        <v>6219</v>
      </c>
      <c r="E7764" t="str">
        <f t="shared" si="1751"/>
        <v>M7</v>
      </c>
      <c r="F7764" t="str">
        <f t="shared" si="1752"/>
        <v>936</v>
      </c>
      <c r="G7764">
        <v>9</v>
      </c>
      <c r="H7764" t="str">
        <f t="shared" si="1753"/>
        <v>99</v>
      </c>
      <c r="I7764" t="str">
        <f t="shared" si="1749"/>
        <v>0</v>
      </c>
      <c r="J7764" t="str">
        <f t="shared" si="1754"/>
        <v>81</v>
      </c>
      <c r="K7764">
        <v>20190809</v>
      </c>
      <c r="L7764" t="str">
        <f t="shared" si="1755"/>
        <v>077632</v>
      </c>
      <c r="M7764" t="str">
        <f t="shared" si="1756"/>
        <v>46369</v>
      </c>
      <c r="N7764" t="s">
        <v>2086</v>
      </c>
      <c r="O7764">
        <v>280</v>
      </c>
      <c r="P7764">
        <v>20190807</v>
      </c>
      <c r="Q7764" t="s">
        <v>2259</v>
      </c>
      <c r="R7764" t="s">
        <v>6095</v>
      </c>
      <c r="S7764" t="s">
        <v>1615</v>
      </c>
      <c r="T7764" t="s">
        <v>1713</v>
      </c>
    </row>
    <row r="7765" spans="1:20" x14ac:dyDescent="0.25">
      <c r="A7765">
        <v>9</v>
      </c>
      <c r="B7765">
        <v>199</v>
      </c>
      <c r="C7765" t="str">
        <f t="shared" si="1750"/>
        <v>51</v>
      </c>
      <c r="D7765">
        <v>6219</v>
      </c>
      <c r="E7765" t="str">
        <f t="shared" si="1751"/>
        <v>M7</v>
      </c>
      <c r="F7765" t="str">
        <f t="shared" si="1752"/>
        <v>936</v>
      </c>
      <c r="G7765">
        <v>9</v>
      </c>
      <c r="H7765" t="str">
        <f t="shared" si="1753"/>
        <v>99</v>
      </c>
      <c r="I7765" t="str">
        <f t="shared" si="1749"/>
        <v>0</v>
      </c>
      <c r="J7765" t="str">
        <f t="shared" si="1754"/>
        <v>81</v>
      </c>
      <c r="K7765">
        <v>20190809</v>
      </c>
      <c r="L7765" t="str">
        <f t="shared" si="1755"/>
        <v>077632</v>
      </c>
      <c r="M7765" t="str">
        <f t="shared" si="1756"/>
        <v>46369</v>
      </c>
      <c r="N7765" t="s">
        <v>2086</v>
      </c>
      <c r="O7765">
        <v>350</v>
      </c>
      <c r="P7765">
        <v>20190807</v>
      </c>
      <c r="Q7765" t="s">
        <v>2259</v>
      </c>
      <c r="R7765" t="s">
        <v>6096</v>
      </c>
      <c r="S7765" t="s">
        <v>1615</v>
      </c>
      <c r="T7765" t="s">
        <v>1713</v>
      </c>
    </row>
    <row r="7766" spans="1:20" x14ac:dyDescent="0.25">
      <c r="A7766">
        <v>9</v>
      </c>
      <c r="B7766">
        <v>199</v>
      </c>
      <c r="C7766" t="str">
        <f t="shared" si="1750"/>
        <v>51</v>
      </c>
      <c r="D7766">
        <v>6219</v>
      </c>
      <c r="E7766" t="str">
        <f t="shared" si="1751"/>
        <v>M7</v>
      </c>
      <c r="F7766" t="str">
        <f t="shared" si="1752"/>
        <v>936</v>
      </c>
      <c r="G7766">
        <v>9</v>
      </c>
      <c r="H7766" t="str">
        <f t="shared" si="1753"/>
        <v>99</v>
      </c>
      <c r="I7766" t="str">
        <f t="shared" si="1749"/>
        <v>0</v>
      </c>
      <c r="J7766" t="str">
        <f t="shared" si="1754"/>
        <v>81</v>
      </c>
      <c r="K7766">
        <v>20190809</v>
      </c>
      <c r="L7766" t="str">
        <f t="shared" si="1755"/>
        <v>077632</v>
      </c>
      <c r="M7766" t="str">
        <f t="shared" si="1756"/>
        <v>46369</v>
      </c>
      <c r="N7766" t="s">
        <v>2086</v>
      </c>
      <c r="O7766">
        <v>490</v>
      </c>
      <c r="P7766">
        <v>20190807</v>
      </c>
      <c r="Q7766" t="s">
        <v>2259</v>
      </c>
      <c r="R7766" t="s">
        <v>6097</v>
      </c>
      <c r="S7766" t="s">
        <v>1615</v>
      </c>
      <c r="T7766" t="s">
        <v>1713</v>
      </c>
    </row>
    <row r="7767" spans="1:20" x14ac:dyDescent="0.25">
      <c r="A7767">
        <v>9</v>
      </c>
      <c r="B7767">
        <v>199</v>
      </c>
      <c r="C7767" t="str">
        <f t="shared" si="1750"/>
        <v>51</v>
      </c>
      <c r="D7767">
        <v>6219</v>
      </c>
      <c r="E7767" t="str">
        <f t="shared" si="1751"/>
        <v>M7</v>
      </c>
      <c r="F7767" t="str">
        <f t="shared" si="1752"/>
        <v>936</v>
      </c>
      <c r="G7767">
        <v>9</v>
      </c>
      <c r="H7767" t="str">
        <f t="shared" si="1753"/>
        <v>99</v>
      </c>
      <c r="I7767" t="str">
        <f t="shared" si="1749"/>
        <v>0</v>
      </c>
      <c r="J7767" t="str">
        <f t="shared" si="1754"/>
        <v>81</v>
      </c>
      <c r="K7767">
        <v>20190809</v>
      </c>
      <c r="L7767" t="str">
        <f t="shared" si="1755"/>
        <v>077632</v>
      </c>
      <c r="M7767" t="str">
        <f t="shared" si="1756"/>
        <v>46369</v>
      </c>
      <c r="N7767" t="s">
        <v>2086</v>
      </c>
      <c r="O7767" s="1">
        <v>2945</v>
      </c>
      <c r="P7767">
        <v>20190807</v>
      </c>
      <c r="Q7767" t="s">
        <v>2259</v>
      </c>
      <c r="R7767" t="s">
        <v>6098</v>
      </c>
      <c r="S7767" t="s">
        <v>1615</v>
      </c>
      <c r="T7767" t="s">
        <v>1713</v>
      </c>
    </row>
    <row r="7768" spans="1:20" x14ac:dyDescent="0.25">
      <c r="A7768">
        <v>9</v>
      </c>
      <c r="B7768">
        <v>199</v>
      </c>
      <c r="C7768" t="str">
        <f t="shared" si="1750"/>
        <v>51</v>
      </c>
      <c r="D7768">
        <v>6219</v>
      </c>
      <c r="E7768" t="str">
        <f t="shared" si="1751"/>
        <v>M7</v>
      </c>
      <c r="F7768" t="str">
        <f t="shared" si="1752"/>
        <v>936</v>
      </c>
      <c r="G7768">
        <v>9</v>
      </c>
      <c r="H7768" t="str">
        <f t="shared" si="1753"/>
        <v>99</v>
      </c>
      <c r="I7768" t="str">
        <f t="shared" si="1749"/>
        <v>0</v>
      </c>
      <c r="J7768" t="str">
        <f t="shared" si="1754"/>
        <v>81</v>
      </c>
      <c r="K7768">
        <v>20190809</v>
      </c>
      <c r="L7768" t="str">
        <f t="shared" si="1755"/>
        <v>077632</v>
      </c>
      <c r="M7768" t="str">
        <f t="shared" si="1756"/>
        <v>46369</v>
      </c>
      <c r="N7768" t="s">
        <v>2086</v>
      </c>
      <c r="O7768">
        <v>925</v>
      </c>
      <c r="P7768">
        <v>20190807</v>
      </c>
      <c r="Q7768" t="s">
        <v>2259</v>
      </c>
      <c r="R7768" t="s">
        <v>6099</v>
      </c>
      <c r="S7768" t="s">
        <v>1615</v>
      </c>
      <c r="T7768" t="s">
        <v>1713</v>
      </c>
    </row>
    <row r="7769" spans="1:20" x14ac:dyDescent="0.25">
      <c r="A7769">
        <v>9</v>
      </c>
      <c r="B7769">
        <v>199</v>
      </c>
      <c r="C7769" t="str">
        <f t="shared" si="1750"/>
        <v>51</v>
      </c>
      <c r="D7769">
        <v>6219</v>
      </c>
      <c r="E7769" t="str">
        <f t="shared" si="1751"/>
        <v>M7</v>
      </c>
      <c r="F7769" t="str">
        <f t="shared" si="1752"/>
        <v>936</v>
      </c>
      <c r="G7769">
        <v>9</v>
      </c>
      <c r="H7769" t="str">
        <f t="shared" si="1753"/>
        <v>99</v>
      </c>
      <c r="I7769" t="str">
        <f t="shared" si="1749"/>
        <v>0</v>
      </c>
      <c r="J7769" t="str">
        <f t="shared" si="1754"/>
        <v>81</v>
      </c>
      <c r="K7769">
        <v>20190809</v>
      </c>
      <c r="L7769" t="str">
        <f t="shared" si="1755"/>
        <v>077632</v>
      </c>
      <c r="M7769" t="str">
        <f t="shared" si="1756"/>
        <v>46369</v>
      </c>
      <c r="N7769" t="s">
        <v>2086</v>
      </c>
      <c r="O7769">
        <v>275</v>
      </c>
      <c r="P7769">
        <v>20190807</v>
      </c>
      <c r="Q7769" t="s">
        <v>2259</v>
      </c>
      <c r="R7769" t="s">
        <v>6100</v>
      </c>
      <c r="S7769" t="s">
        <v>1615</v>
      </c>
      <c r="T7769" t="s">
        <v>1713</v>
      </c>
    </row>
    <row r="7770" spans="1:20" x14ac:dyDescent="0.25">
      <c r="A7770">
        <v>9</v>
      </c>
      <c r="B7770">
        <v>199</v>
      </c>
      <c r="C7770" t="str">
        <f t="shared" si="1750"/>
        <v>51</v>
      </c>
      <c r="D7770">
        <v>6249</v>
      </c>
      <c r="E7770" t="str">
        <f t="shared" ref="E7770:E7775" si="1757">"M6"</f>
        <v>M6</v>
      </c>
      <c r="F7770" t="str">
        <f t="shared" si="1752"/>
        <v>936</v>
      </c>
      <c r="G7770">
        <v>9</v>
      </c>
      <c r="H7770" t="str">
        <f t="shared" si="1753"/>
        <v>99</v>
      </c>
      <c r="I7770" t="str">
        <f t="shared" si="1749"/>
        <v>0</v>
      </c>
      <c r="J7770" t="str">
        <f t="shared" si="1754"/>
        <v>81</v>
      </c>
      <c r="K7770">
        <v>20190809</v>
      </c>
      <c r="L7770" t="str">
        <f t="shared" si="1755"/>
        <v>077632</v>
      </c>
      <c r="M7770" t="str">
        <f t="shared" si="1756"/>
        <v>46369</v>
      </c>
      <c r="N7770" t="s">
        <v>2086</v>
      </c>
      <c r="O7770">
        <v>300</v>
      </c>
      <c r="P7770">
        <v>20190807</v>
      </c>
      <c r="Q7770" t="s">
        <v>2089</v>
      </c>
      <c r="R7770" t="s">
        <v>6101</v>
      </c>
      <c r="S7770" t="s">
        <v>1615</v>
      </c>
      <c r="T7770" t="s">
        <v>1713</v>
      </c>
    </row>
    <row r="7771" spans="1:20" x14ac:dyDescent="0.25">
      <c r="A7771">
        <v>9</v>
      </c>
      <c r="B7771">
        <v>199</v>
      </c>
      <c r="C7771" t="str">
        <f t="shared" si="1750"/>
        <v>51</v>
      </c>
      <c r="D7771">
        <v>6249</v>
      </c>
      <c r="E7771" t="str">
        <f t="shared" si="1757"/>
        <v>M6</v>
      </c>
      <c r="F7771" t="str">
        <f t="shared" si="1752"/>
        <v>936</v>
      </c>
      <c r="G7771">
        <v>9</v>
      </c>
      <c r="H7771" t="str">
        <f t="shared" si="1753"/>
        <v>99</v>
      </c>
      <c r="I7771" t="str">
        <f t="shared" si="1749"/>
        <v>0</v>
      </c>
      <c r="J7771" t="str">
        <f t="shared" si="1754"/>
        <v>81</v>
      </c>
      <c r="K7771">
        <v>20190809</v>
      </c>
      <c r="L7771" t="str">
        <f t="shared" si="1755"/>
        <v>077632</v>
      </c>
      <c r="M7771" t="str">
        <f t="shared" si="1756"/>
        <v>46369</v>
      </c>
      <c r="N7771" t="s">
        <v>2086</v>
      </c>
      <c r="O7771">
        <v>300</v>
      </c>
      <c r="P7771">
        <v>20190807</v>
      </c>
      <c r="Q7771" t="s">
        <v>2089</v>
      </c>
      <c r="R7771" t="s">
        <v>6102</v>
      </c>
      <c r="S7771" t="s">
        <v>1615</v>
      </c>
      <c r="T7771" t="s">
        <v>1713</v>
      </c>
    </row>
    <row r="7772" spans="1:20" x14ac:dyDescent="0.25">
      <c r="A7772">
        <v>9</v>
      </c>
      <c r="B7772">
        <v>199</v>
      </c>
      <c r="C7772" t="str">
        <f t="shared" si="1750"/>
        <v>51</v>
      </c>
      <c r="D7772">
        <v>6249</v>
      </c>
      <c r="E7772" t="str">
        <f t="shared" si="1757"/>
        <v>M6</v>
      </c>
      <c r="F7772" t="str">
        <f t="shared" si="1752"/>
        <v>936</v>
      </c>
      <c r="G7772">
        <v>9</v>
      </c>
      <c r="H7772" t="str">
        <f t="shared" si="1753"/>
        <v>99</v>
      </c>
      <c r="I7772" t="str">
        <f t="shared" si="1749"/>
        <v>0</v>
      </c>
      <c r="J7772" t="str">
        <f t="shared" si="1754"/>
        <v>81</v>
      </c>
      <c r="K7772">
        <v>20190809</v>
      </c>
      <c r="L7772" t="str">
        <f t="shared" si="1755"/>
        <v>077632</v>
      </c>
      <c r="M7772" t="str">
        <f t="shared" si="1756"/>
        <v>46369</v>
      </c>
      <c r="N7772" t="s">
        <v>2086</v>
      </c>
      <c r="O7772">
        <v>324</v>
      </c>
      <c r="P7772">
        <v>20190807</v>
      </c>
      <c r="Q7772" t="s">
        <v>2089</v>
      </c>
      <c r="R7772" t="s">
        <v>6103</v>
      </c>
      <c r="S7772" t="s">
        <v>1615</v>
      </c>
      <c r="T7772" t="s">
        <v>1713</v>
      </c>
    </row>
    <row r="7773" spans="1:20" x14ac:dyDescent="0.25">
      <c r="A7773">
        <v>9</v>
      </c>
      <c r="B7773">
        <v>199</v>
      </c>
      <c r="C7773" t="str">
        <f t="shared" si="1750"/>
        <v>51</v>
      </c>
      <c r="D7773">
        <v>6249</v>
      </c>
      <c r="E7773" t="str">
        <f t="shared" si="1757"/>
        <v>M6</v>
      </c>
      <c r="F7773" t="str">
        <f t="shared" si="1752"/>
        <v>936</v>
      </c>
      <c r="G7773">
        <v>9</v>
      </c>
      <c r="H7773" t="str">
        <f t="shared" si="1753"/>
        <v>99</v>
      </c>
      <c r="I7773" t="str">
        <f t="shared" si="1749"/>
        <v>0</v>
      </c>
      <c r="J7773" t="str">
        <f t="shared" si="1754"/>
        <v>81</v>
      </c>
      <c r="K7773">
        <v>20190809</v>
      </c>
      <c r="L7773" t="str">
        <f t="shared" si="1755"/>
        <v>077632</v>
      </c>
      <c r="M7773" t="str">
        <f t="shared" si="1756"/>
        <v>46369</v>
      </c>
      <c r="N7773" t="s">
        <v>2086</v>
      </c>
      <c r="O7773">
        <v>300</v>
      </c>
      <c r="P7773">
        <v>20190807</v>
      </c>
      <c r="Q7773" t="s">
        <v>2089</v>
      </c>
      <c r="R7773" t="s">
        <v>6104</v>
      </c>
      <c r="S7773" t="s">
        <v>1615</v>
      </c>
      <c r="T7773" t="s">
        <v>1713</v>
      </c>
    </row>
    <row r="7774" spans="1:20" x14ac:dyDescent="0.25">
      <c r="A7774">
        <v>9</v>
      </c>
      <c r="B7774">
        <v>199</v>
      </c>
      <c r="C7774" t="str">
        <f t="shared" si="1750"/>
        <v>51</v>
      </c>
      <c r="D7774">
        <v>6249</v>
      </c>
      <c r="E7774" t="str">
        <f t="shared" si="1757"/>
        <v>M6</v>
      </c>
      <c r="F7774" t="str">
        <f t="shared" si="1752"/>
        <v>936</v>
      </c>
      <c r="G7774">
        <v>9</v>
      </c>
      <c r="H7774" t="str">
        <f t="shared" si="1753"/>
        <v>99</v>
      </c>
      <c r="I7774" t="str">
        <f t="shared" si="1749"/>
        <v>0</v>
      </c>
      <c r="J7774" t="str">
        <f t="shared" si="1754"/>
        <v>81</v>
      </c>
      <c r="K7774">
        <v>20190809</v>
      </c>
      <c r="L7774" t="str">
        <f t="shared" si="1755"/>
        <v>077632</v>
      </c>
      <c r="M7774" t="str">
        <f t="shared" si="1756"/>
        <v>46369</v>
      </c>
      <c r="N7774" t="s">
        <v>2086</v>
      </c>
      <c r="O7774">
        <v>131.41</v>
      </c>
      <c r="P7774">
        <v>20190807</v>
      </c>
      <c r="Q7774" t="s">
        <v>2089</v>
      </c>
      <c r="R7774" t="s">
        <v>6105</v>
      </c>
      <c r="S7774" t="s">
        <v>1615</v>
      </c>
      <c r="T7774" t="s">
        <v>1713</v>
      </c>
    </row>
    <row r="7775" spans="1:20" x14ac:dyDescent="0.25">
      <c r="A7775">
        <v>9</v>
      </c>
      <c r="B7775">
        <v>199</v>
      </c>
      <c r="C7775" t="str">
        <f t="shared" si="1750"/>
        <v>51</v>
      </c>
      <c r="D7775">
        <v>6249</v>
      </c>
      <c r="E7775" t="str">
        <f t="shared" si="1757"/>
        <v>M6</v>
      </c>
      <c r="F7775" t="str">
        <f t="shared" si="1752"/>
        <v>936</v>
      </c>
      <c r="G7775">
        <v>9</v>
      </c>
      <c r="H7775" t="str">
        <f t="shared" si="1753"/>
        <v>99</v>
      </c>
      <c r="I7775" t="str">
        <f t="shared" si="1749"/>
        <v>0</v>
      </c>
      <c r="J7775" t="str">
        <f t="shared" si="1754"/>
        <v>81</v>
      </c>
      <c r="K7775">
        <v>20190809</v>
      </c>
      <c r="L7775" t="str">
        <f t="shared" si="1755"/>
        <v>077632</v>
      </c>
      <c r="M7775" t="str">
        <f t="shared" si="1756"/>
        <v>46369</v>
      </c>
      <c r="N7775" t="s">
        <v>2086</v>
      </c>
      <c r="O7775">
        <v>353.25</v>
      </c>
      <c r="P7775">
        <v>20190807</v>
      </c>
      <c r="Q7775" t="s">
        <v>2089</v>
      </c>
      <c r="R7775" t="s">
        <v>4140</v>
      </c>
      <c r="S7775" t="s">
        <v>1615</v>
      </c>
      <c r="T7775" t="s">
        <v>1713</v>
      </c>
    </row>
    <row r="7776" spans="1:20" x14ac:dyDescent="0.25">
      <c r="A7776">
        <v>9</v>
      </c>
      <c r="B7776">
        <v>199</v>
      </c>
      <c r="C7776" t="str">
        <f t="shared" si="1750"/>
        <v>51</v>
      </c>
      <c r="D7776">
        <v>6249</v>
      </c>
      <c r="E7776" t="str">
        <f>"MC"</f>
        <v>MC</v>
      </c>
      <c r="F7776" t="str">
        <f>"101"</f>
        <v>101</v>
      </c>
      <c r="G7776">
        <v>9</v>
      </c>
      <c r="H7776" t="str">
        <f t="shared" si="1753"/>
        <v>99</v>
      </c>
      <c r="I7776" t="str">
        <f t="shared" si="1749"/>
        <v>0</v>
      </c>
      <c r="J7776" t="str">
        <f t="shared" si="1754"/>
        <v>81</v>
      </c>
      <c r="K7776">
        <v>20190809</v>
      </c>
      <c r="L7776" t="str">
        <f t="shared" si="1755"/>
        <v>077632</v>
      </c>
      <c r="M7776" t="str">
        <f t="shared" si="1756"/>
        <v>46369</v>
      </c>
      <c r="N7776" t="s">
        <v>2086</v>
      </c>
      <c r="O7776">
        <v>567.5</v>
      </c>
      <c r="P7776">
        <v>20190807</v>
      </c>
      <c r="Q7776" t="s">
        <v>4500</v>
      </c>
      <c r="R7776" t="s">
        <v>6106</v>
      </c>
      <c r="S7776" t="s">
        <v>1615</v>
      </c>
      <c r="T7776" t="s">
        <v>1479</v>
      </c>
    </row>
    <row r="7777" spans="1:20" x14ac:dyDescent="0.25">
      <c r="A7777">
        <v>9</v>
      </c>
      <c r="B7777">
        <v>199</v>
      </c>
      <c r="C7777" t="str">
        <f>"11"</f>
        <v>11</v>
      </c>
      <c r="D7777">
        <v>6649</v>
      </c>
      <c r="E7777" t="str">
        <f>"PK"</f>
        <v>PK</v>
      </c>
      <c r="F7777" t="str">
        <f>"101"</f>
        <v>101</v>
      </c>
      <c r="G7777">
        <v>9</v>
      </c>
      <c r="H7777" t="str">
        <f>"11"</f>
        <v>11</v>
      </c>
      <c r="I7777" t="str">
        <f t="shared" si="1749"/>
        <v>0</v>
      </c>
      <c r="J7777" t="str">
        <f>"04"</f>
        <v>04</v>
      </c>
      <c r="K7777">
        <v>20190809</v>
      </c>
      <c r="L7777" t="str">
        <f>"077633"</f>
        <v>077633</v>
      </c>
      <c r="M7777" t="str">
        <f>"46850"</f>
        <v>46850</v>
      </c>
      <c r="N7777" t="s">
        <v>4752</v>
      </c>
      <c r="O7777" s="1">
        <v>46360.639999999999</v>
      </c>
      <c r="P7777">
        <v>20190807</v>
      </c>
      <c r="Q7777" t="s">
        <v>6107</v>
      </c>
      <c r="R7777" t="s">
        <v>6108</v>
      </c>
      <c r="S7777" t="s">
        <v>1615</v>
      </c>
      <c r="T7777" t="s">
        <v>1479</v>
      </c>
    </row>
    <row r="7778" spans="1:20" x14ac:dyDescent="0.25">
      <c r="A7778">
        <v>9</v>
      </c>
      <c r="B7778">
        <v>199</v>
      </c>
      <c r="C7778" t="str">
        <f t="shared" ref="C7778:C7790" si="1758">"51"</f>
        <v>51</v>
      </c>
      <c r="D7778">
        <v>6319</v>
      </c>
      <c r="E7778" t="str">
        <f t="shared" ref="E7778:E7783" si="1759">"MC"</f>
        <v>MC</v>
      </c>
      <c r="F7778" t="str">
        <f t="shared" ref="F7778:F7790" si="1760">"936"</f>
        <v>936</v>
      </c>
      <c r="G7778">
        <v>9</v>
      </c>
      <c r="H7778" t="str">
        <f t="shared" ref="H7778:H7793" si="1761">"99"</f>
        <v>99</v>
      </c>
      <c r="I7778" t="str">
        <f t="shared" si="1749"/>
        <v>0</v>
      </c>
      <c r="J7778" t="str">
        <f t="shared" ref="J7778:J7790" si="1762">"81"</f>
        <v>81</v>
      </c>
      <c r="K7778">
        <v>20190809</v>
      </c>
      <c r="L7778" t="str">
        <f t="shared" ref="L7778:L7783" si="1763">"077635"</f>
        <v>077635</v>
      </c>
      <c r="M7778" t="str">
        <f t="shared" ref="M7778:M7783" si="1764">"47725"</f>
        <v>47725</v>
      </c>
      <c r="N7778" t="s">
        <v>2095</v>
      </c>
      <c r="O7778">
        <v>58.42</v>
      </c>
      <c r="P7778">
        <v>20190807</v>
      </c>
      <c r="Q7778" t="s">
        <v>2060</v>
      </c>
      <c r="R7778" t="s">
        <v>6109</v>
      </c>
      <c r="S7778" t="s">
        <v>1615</v>
      </c>
      <c r="T7778" t="s">
        <v>1713</v>
      </c>
    </row>
    <row r="7779" spans="1:20" x14ac:dyDescent="0.25">
      <c r="A7779">
        <v>9</v>
      </c>
      <c r="B7779">
        <v>199</v>
      </c>
      <c r="C7779" t="str">
        <f t="shared" si="1758"/>
        <v>51</v>
      </c>
      <c r="D7779">
        <v>6319</v>
      </c>
      <c r="E7779" t="str">
        <f t="shared" si="1759"/>
        <v>MC</v>
      </c>
      <c r="F7779" t="str">
        <f t="shared" si="1760"/>
        <v>936</v>
      </c>
      <c r="G7779">
        <v>9</v>
      </c>
      <c r="H7779" t="str">
        <f t="shared" si="1761"/>
        <v>99</v>
      </c>
      <c r="I7779" t="str">
        <f t="shared" si="1749"/>
        <v>0</v>
      </c>
      <c r="J7779" t="str">
        <f t="shared" si="1762"/>
        <v>81</v>
      </c>
      <c r="K7779">
        <v>20190809</v>
      </c>
      <c r="L7779" t="str">
        <f t="shared" si="1763"/>
        <v>077635</v>
      </c>
      <c r="M7779" t="str">
        <f t="shared" si="1764"/>
        <v>47725</v>
      </c>
      <c r="N7779" t="s">
        <v>2095</v>
      </c>
      <c r="O7779">
        <v>338</v>
      </c>
      <c r="P7779">
        <v>20190807</v>
      </c>
      <c r="Q7779" t="s">
        <v>2060</v>
      </c>
      <c r="R7779" t="s">
        <v>3189</v>
      </c>
      <c r="S7779" t="s">
        <v>1615</v>
      </c>
      <c r="T7779" t="s">
        <v>1713</v>
      </c>
    </row>
    <row r="7780" spans="1:20" x14ac:dyDescent="0.25">
      <c r="A7780">
        <v>9</v>
      </c>
      <c r="B7780">
        <v>199</v>
      </c>
      <c r="C7780" t="str">
        <f t="shared" si="1758"/>
        <v>51</v>
      </c>
      <c r="D7780">
        <v>6319</v>
      </c>
      <c r="E7780" t="str">
        <f t="shared" si="1759"/>
        <v>MC</v>
      </c>
      <c r="F7780" t="str">
        <f t="shared" si="1760"/>
        <v>936</v>
      </c>
      <c r="G7780">
        <v>9</v>
      </c>
      <c r="H7780" t="str">
        <f t="shared" si="1761"/>
        <v>99</v>
      </c>
      <c r="I7780" t="str">
        <f t="shared" si="1749"/>
        <v>0</v>
      </c>
      <c r="J7780" t="str">
        <f t="shared" si="1762"/>
        <v>81</v>
      </c>
      <c r="K7780">
        <v>20190809</v>
      </c>
      <c r="L7780" t="str">
        <f t="shared" si="1763"/>
        <v>077635</v>
      </c>
      <c r="M7780" t="str">
        <f t="shared" si="1764"/>
        <v>47725</v>
      </c>
      <c r="N7780" t="s">
        <v>2095</v>
      </c>
      <c r="O7780">
        <v>304.61</v>
      </c>
      <c r="P7780">
        <v>20190807</v>
      </c>
      <c r="Q7780" t="s">
        <v>2060</v>
      </c>
      <c r="R7780" t="s">
        <v>6110</v>
      </c>
      <c r="S7780" t="s">
        <v>1615</v>
      </c>
      <c r="T7780" t="s">
        <v>1713</v>
      </c>
    </row>
    <row r="7781" spans="1:20" x14ac:dyDescent="0.25">
      <c r="A7781">
        <v>9</v>
      </c>
      <c r="B7781">
        <v>199</v>
      </c>
      <c r="C7781" t="str">
        <f t="shared" si="1758"/>
        <v>51</v>
      </c>
      <c r="D7781">
        <v>6319</v>
      </c>
      <c r="E7781" t="str">
        <f t="shared" si="1759"/>
        <v>MC</v>
      </c>
      <c r="F7781" t="str">
        <f t="shared" si="1760"/>
        <v>936</v>
      </c>
      <c r="G7781">
        <v>9</v>
      </c>
      <c r="H7781" t="str">
        <f t="shared" si="1761"/>
        <v>99</v>
      </c>
      <c r="I7781" t="str">
        <f t="shared" si="1749"/>
        <v>0</v>
      </c>
      <c r="J7781" t="str">
        <f t="shared" si="1762"/>
        <v>81</v>
      </c>
      <c r="K7781">
        <v>20190809</v>
      </c>
      <c r="L7781" t="str">
        <f t="shared" si="1763"/>
        <v>077635</v>
      </c>
      <c r="M7781" t="str">
        <f t="shared" si="1764"/>
        <v>47725</v>
      </c>
      <c r="N7781" t="s">
        <v>2095</v>
      </c>
      <c r="O7781">
        <v>57.61</v>
      </c>
      <c r="P7781">
        <v>20190807</v>
      </c>
      <c r="Q7781" t="s">
        <v>2060</v>
      </c>
      <c r="R7781" t="s">
        <v>6111</v>
      </c>
      <c r="S7781" t="s">
        <v>1615</v>
      </c>
      <c r="T7781" t="s">
        <v>1713</v>
      </c>
    </row>
    <row r="7782" spans="1:20" x14ac:dyDescent="0.25">
      <c r="A7782">
        <v>9</v>
      </c>
      <c r="B7782">
        <v>199</v>
      </c>
      <c r="C7782" t="str">
        <f t="shared" si="1758"/>
        <v>51</v>
      </c>
      <c r="D7782">
        <v>6319</v>
      </c>
      <c r="E7782" t="str">
        <f t="shared" si="1759"/>
        <v>MC</v>
      </c>
      <c r="F7782" t="str">
        <f t="shared" si="1760"/>
        <v>936</v>
      </c>
      <c r="G7782">
        <v>9</v>
      </c>
      <c r="H7782" t="str">
        <f t="shared" si="1761"/>
        <v>99</v>
      </c>
      <c r="I7782" t="str">
        <f t="shared" ref="I7782:I7803" si="1765">"0"</f>
        <v>0</v>
      </c>
      <c r="J7782" t="str">
        <f t="shared" si="1762"/>
        <v>81</v>
      </c>
      <c r="K7782">
        <v>20190809</v>
      </c>
      <c r="L7782" t="str">
        <f t="shared" si="1763"/>
        <v>077635</v>
      </c>
      <c r="M7782" t="str">
        <f t="shared" si="1764"/>
        <v>47725</v>
      </c>
      <c r="N7782" t="s">
        <v>2095</v>
      </c>
      <c r="O7782">
        <v>433</v>
      </c>
      <c r="P7782">
        <v>20190807</v>
      </c>
      <c r="Q7782" t="s">
        <v>2060</v>
      </c>
      <c r="R7782" t="s">
        <v>6112</v>
      </c>
      <c r="S7782" t="s">
        <v>1615</v>
      </c>
      <c r="T7782" t="s">
        <v>1713</v>
      </c>
    </row>
    <row r="7783" spans="1:20" x14ac:dyDescent="0.25">
      <c r="A7783">
        <v>9</v>
      </c>
      <c r="B7783">
        <v>199</v>
      </c>
      <c r="C7783" t="str">
        <f t="shared" si="1758"/>
        <v>51</v>
      </c>
      <c r="D7783">
        <v>6319</v>
      </c>
      <c r="E7783" t="str">
        <f t="shared" si="1759"/>
        <v>MC</v>
      </c>
      <c r="F7783" t="str">
        <f t="shared" si="1760"/>
        <v>936</v>
      </c>
      <c r="G7783">
        <v>9</v>
      </c>
      <c r="H7783" t="str">
        <f t="shared" si="1761"/>
        <v>99</v>
      </c>
      <c r="I7783" t="str">
        <f t="shared" si="1765"/>
        <v>0</v>
      </c>
      <c r="J7783" t="str">
        <f t="shared" si="1762"/>
        <v>81</v>
      </c>
      <c r="K7783">
        <v>20190809</v>
      </c>
      <c r="L7783" t="str">
        <f t="shared" si="1763"/>
        <v>077635</v>
      </c>
      <c r="M7783" t="str">
        <f t="shared" si="1764"/>
        <v>47725</v>
      </c>
      <c r="N7783" t="s">
        <v>2095</v>
      </c>
      <c r="O7783">
        <v>58.42</v>
      </c>
      <c r="P7783">
        <v>20190807</v>
      </c>
      <c r="Q7783" t="s">
        <v>2060</v>
      </c>
      <c r="R7783" t="s">
        <v>6109</v>
      </c>
      <c r="S7783" t="s">
        <v>1615</v>
      </c>
      <c r="T7783" t="s">
        <v>1713</v>
      </c>
    </row>
    <row r="7784" spans="1:20" x14ac:dyDescent="0.25">
      <c r="A7784">
        <v>9</v>
      </c>
      <c r="B7784">
        <v>199</v>
      </c>
      <c r="C7784" t="str">
        <f t="shared" si="1758"/>
        <v>51</v>
      </c>
      <c r="D7784">
        <v>6249</v>
      </c>
      <c r="E7784" t="str">
        <f t="shared" ref="E7784:E7790" si="1766">"M8"</f>
        <v>M8</v>
      </c>
      <c r="F7784" t="str">
        <f t="shared" si="1760"/>
        <v>936</v>
      </c>
      <c r="G7784">
        <v>9</v>
      </c>
      <c r="H7784" t="str">
        <f t="shared" si="1761"/>
        <v>99</v>
      </c>
      <c r="I7784" t="str">
        <f t="shared" si="1765"/>
        <v>0</v>
      </c>
      <c r="J7784" t="str">
        <f t="shared" si="1762"/>
        <v>81</v>
      </c>
      <c r="K7784">
        <v>20190809</v>
      </c>
      <c r="L7784" t="str">
        <f t="shared" ref="L7784:L7790" si="1767">"077638"</f>
        <v>077638</v>
      </c>
      <c r="M7784" t="str">
        <f t="shared" ref="M7784:M7790" si="1768">"52185"</f>
        <v>52185</v>
      </c>
      <c r="N7784" t="s">
        <v>1748</v>
      </c>
      <c r="O7784" s="1">
        <v>1685</v>
      </c>
      <c r="P7784">
        <v>20190808</v>
      </c>
      <c r="Q7784" t="s">
        <v>2096</v>
      </c>
      <c r="R7784" t="s">
        <v>6113</v>
      </c>
      <c r="S7784" t="s">
        <v>1615</v>
      </c>
      <c r="T7784" t="s">
        <v>1713</v>
      </c>
    </row>
    <row r="7785" spans="1:20" x14ac:dyDescent="0.25">
      <c r="A7785">
        <v>9</v>
      </c>
      <c r="B7785">
        <v>199</v>
      </c>
      <c r="C7785" t="str">
        <f t="shared" si="1758"/>
        <v>51</v>
      </c>
      <c r="D7785">
        <v>6249</v>
      </c>
      <c r="E7785" t="str">
        <f t="shared" si="1766"/>
        <v>M8</v>
      </c>
      <c r="F7785" t="str">
        <f t="shared" si="1760"/>
        <v>936</v>
      </c>
      <c r="G7785">
        <v>9</v>
      </c>
      <c r="H7785" t="str">
        <f t="shared" si="1761"/>
        <v>99</v>
      </c>
      <c r="I7785" t="str">
        <f t="shared" si="1765"/>
        <v>0</v>
      </c>
      <c r="J7785" t="str">
        <f t="shared" si="1762"/>
        <v>81</v>
      </c>
      <c r="K7785">
        <v>20190809</v>
      </c>
      <c r="L7785" t="str">
        <f t="shared" si="1767"/>
        <v>077638</v>
      </c>
      <c r="M7785" t="str">
        <f t="shared" si="1768"/>
        <v>52185</v>
      </c>
      <c r="N7785" t="s">
        <v>1748</v>
      </c>
      <c r="O7785" s="1">
        <v>1215</v>
      </c>
      <c r="P7785">
        <v>20190808</v>
      </c>
      <c r="Q7785" t="s">
        <v>2096</v>
      </c>
      <c r="R7785" t="s">
        <v>6114</v>
      </c>
      <c r="S7785" t="s">
        <v>1615</v>
      </c>
      <c r="T7785" t="s">
        <v>1713</v>
      </c>
    </row>
    <row r="7786" spans="1:20" x14ac:dyDescent="0.25">
      <c r="A7786">
        <v>9</v>
      </c>
      <c r="B7786">
        <v>199</v>
      </c>
      <c r="C7786" t="str">
        <f t="shared" si="1758"/>
        <v>51</v>
      </c>
      <c r="D7786">
        <v>6249</v>
      </c>
      <c r="E7786" t="str">
        <f t="shared" si="1766"/>
        <v>M8</v>
      </c>
      <c r="F7786" t="str">
        <f t="shared" si="1760"/>
        <v>936</v>
      </c>
      <c r="G7786">
        <v>9</v>
      </c>
      <c r="H7786" t="str">
        <f t="shared" si="1761"/>
        <v>99</v>
      </c>
      <c r="I7786" t="str">
        <f t="shared" si="1765"/>
        <v>0</v>
      </c>
      <c r="J7786" t="str">
        <f t="shared" si="1762"/>
        <v>81</v>
      </c>
      <c r="K7786">
        <v>20190809</v>
      </c>
      <c r="L7786" t="str">
        <f t="shared" si="1767"/>
        <v>077638</v>
      </c>
      <c r="M7786" t="str">
        <f t="shared" si="1768"/>
        <v>52185</v>
      </c>
      <c r="N7786" t="s">
        <v>1748</v>
      </c>
      <c r="O7786" s="1">
        <v>3110</v>
      </c>
      <c r="P7786">
        <v>20190808</v>
      </c>
      <c r="Q7786" t="s">
        <v>2096</v>
      </c>
      <c r="R7786" t="s">
        <v>6115</v>
      </c>
      <c r="S7786" t="s">
        <v>1615</v>
      </c>
      <c r="T7786" t="s">
        <v>1713</v>
      </c>
    </row>
    <row r="7787" spans="1:20" x14ac:dyDescent="0.25">
      <c r="A7787">
        <v>9</v>
      </c>
      <c r="B7787">
        <v>199</v>
      </c>
      <c r="C7787" t="str">
        <f t="shared" si="1758"/>
        <v>51</v>
      </c>
      <c r="D7787">
        <v>6249</v>
      </c>
      <c r="E7787" t="str">
        <f t="shared" si="1766"/>
        <v>M8</v>
      </c>
      <c r="F7787" t="str">
        <f t="shared" si="1760"/>
        <v>936</v>
      </c>
      <c r="G7787">
        <v>9</v>
      </c>
      <c r="H7787" t="str">
        <f t="shared" si="1761"/>
        <v>99</v>
      </c>
      <c r="I7787" t="str">
        <f t="shared" si="1765"/>
        <v>0</v>
      </c>
      <c r="J7787" t="str">
        <f t="shared" si="1762"/>
        <v>81</v>
      </c>
      <c r="K7787">
        <v>20190809</v>
      </c>
      <c r="L7787" t="str">
        <f t="shared" si="1767"/>
        <v>077638</v>
      </c>
      <c r="M7787" t="str">
        <f t="shared" si="1768"/>
        <v>52185</v>
      </c>
      <c r="N7787" t="s">
        <v>1748</v>
      </c>
      <c r="O7787">
        <v>275.52999999999997</v>
      </c>
      <c r="P7787">
        <v>20190808</v>
      </c>
      <c r="Q7787" t="s">
        <v>2096</v>
      </c>
      <c r="R7787" t="s">
        <v>6116</v>
      </c>
      <c r="S7787" t="s">
        <v>1615</v>
      </c>
      <c r="T7787" t="s">
        <v>1713</v>
      </c>
    </row>
    <row r="7788" spans="1:20" x14ac:dyDescent="0.25">
      <c r="A7788">
        <v>9</v>
      </c>
      <c r="B7788">
        <v>199</v>
      </c>
      <c r="C7788" t="str">
        <f t="shared" si="1758"/>
        <v>51</v>
      </c>
      <c r="D7788">
        <v>6249</v>
      </c>
      <c r="E7788" t="str">
        <f t="shared" si="1766"/>
        <v>M8</v>
      </c>
      <c r="F7788" t="str">
        <f t="shared" si="1760"/>
        <v>936</v>
      </c>
      <c r="G7788">
        <v>9</v>
      </c>
      <c r="H7788" t="str">
        <f t="shared" si="1761"/>
        <v>99</v>
      </c>
      <c r="I7788" t="str">
        <f t="shared" si="1765"/>
        <v>0</v>
      </c>
      <c r="J7788" t="str">
        <f t="shared" si="1762"/>
        <v>81</v>
      </c>
      <c r="K7788">
        <v>20190809</v>
      </c>
      <c r="L7788" t="str">
        <f t="shared" si="1767"/>
        <v>077638</v>
      </c>
      <c r="M7788" t="str">
        <f t="shared" si="1768"/>
        <v>52185</v>
      </c>
      <c r="N7788" t="s">
        <v>1748</v>
      </c>
      <c r="O7788" s="1">
        <v>1269.78</v>
      </c>
      <c r="P7788">
        <v>20190808</v>
      </c>
      <c r="Q7788" t="s">
        <v>2096</v>
      </c>
      <c r="R7788" t="s">
        <v>6117</v>
      </c>
      <c r="S7788" t="s">
        <v>1615</v>
      </c>
      <c r="T7788" t="s">
        <v>1713</v>
      </c>
    </row>
    <row r="7789" spans="1:20" x14ac:dyDescent="0.25">
      <c r="A7789">
        <v>9</v>
      </c>
      <c r="B7789">
        <v>199</v>
      </c>
      <c r="C7789" t="str">
        <f t="shared" si="1758"/>
        <v>51</v>
      </c>
      <c r="D7789">
        <v>6249</v>
      </c>
      <c r="E7789" t="str">
        <f t="shared" si="1766"/>
        <v>M8</v>
      </c>
      <c r="F7789" t="str">
        <f t="shared" si="1760"/>
        <v>936</v>
      </c>
      <c r="G7789">
        <v>9</v>
      </c>
      <c r="H7789" t="str">
        <f t="shared" si="1761"/>
        <v>99</v>
      </c>
      <c r="I7789" t="str">
        <f t="shared" si="1765"/>
        <v>0</v>
      </c>
      <c r="J7789" t="str">
        <f t="shared" si="1762"/>
        <v>81</v>
      </c>
      <c r="K7789">
        <v>20190809</v>
      </c>
      <c r="L7789" t="str">
        <f t="shared" si="1767"/>
        <v>077638</v>
      </c>
      <c r="M7789" t="str">
        <f t="shared" si="1768"/>
        <v>52185</v>
      </c>
      <c r="N7789" t="s">
        <v>1748</v>
      </c>
      <c r="O7789">
        <v>919.41</v>
      </c>
      <c r="P7789">
        <v>20190808</v>
      </c>
      <c r="Q7789" t="s">
        <v>2096</v>
      </c>
      <c r="R7789" t="s">
        <v>6118</v>
      </c>
      <c r="S7789" t="s">
        <v>1615</v>
      </c>
      <c r="T7789" t="s">
        <v>1713</v>
      </c>
    </row>
    <row r="7790" spans="1:20" x14ac:dyDescent="0.25">
      <c r="A7790">
        <v>9</v>
      </c>
      <c r="B7790">
        <v>199</v>
      </c>
      <c r="C7790" t="str">
        <f t="shared" si="1758"/>
        <v>51</v>
      </c>
      <c r="D7790">
        <v>6249</v>
      </c>
      <c r="E7790" t="str">
        <f t="shared" si="1766"/>
        <v>M8</v>
      </c>
      <c r="F7790" t="str">
        <f t="shared" si="1760"/>
        <v>936</v>
      </c>
      <c r="G7790">
        <v>9</v>
      </c>
      <c r="H7790" t="str">
        <f t="shared" si="1761"/>
        <v>99</v>
      </c>
      <c r="I7790" t="str">
        <f t="shared" si="1765"/>
        <v>0</v>
      </c>
      <c r="J7790" t="str">
        <f t="shared" si="1762"/>
        <v>81</v>
      </c>
      <c r="K7790">
        <v>20190809</v>
      </c>
      <c r="L7790" t="str">
        <f t="shared" si="1767"/>
        <v>077638</v>
      </c>
      <c r="M7790" t="str">
        <f t="shared" si="1768"/>
        <v>52185</v>
      </c>
      <c r="N7790" t="s">
        <v>1748</v>
      </c>
      <c r="O7790" s="1">
        <v>2665</v>
      </c>
      <c r="P7790">
        <v>20190808</v>
      </c>
      <c r="Q7790" t="s">
        <v>2096</v>
      </c>
      <c r="R7790" t="s">
        <v>6119</v>
      </c>
      <c r="S7790" t="s">
        <v>1615</v>
      </c>
      <c r="T7790" t="s">
        <v>1713</v>
      </c>
    </row>
    <row r="7791" spans="1:20" x14ac:dyDescent="0.25">
      <c r="A7791">
        <v>9</v>
      </c>
      <c r="B7791">
        <v>199</v>
      </c>
      <c r="C7791" t="str">
        <f>"52"</f>
        <v>52</v>
      </c>
      <c r="D7791">
        <v>6219</v>
      </c>
      <c r="E7791" t="str">
        <f>"00"</f>
        <v>00</v>
      </c>
      <c r="F7791" t="str">
        <f>"101"</f>
        <v>101</v>
      </c>
      <c r="G7791">
        <v>9</v>
      </c>
      <c r="H7791" t="str">
        <f t="shared" si="1761"/>
        <v>99</v>
      </c>
      <c r="I7791" t="str">
        <f t="shared" si="1765"/>
        <v>0</v>
      </c>
      <c r="J7791" t="str">
        <f>"00"</f>
        <v>00</v>
      </c>
      <c r="K7791">
        <v>20190809</v>
      </c>
      <c r="L7791" t="str">
        <f>"077641"</f>
        <v>077641</v>
      </c>
      <c r="M7791" t="str">
        <f>"00755"</f>
        <v>00755</v>
      </c>
      <c r="N7791" t="s">
        <v>4268</v>
      </c>
      <c r="O7791">
        <v>300</v>
      </c>
      <c r="P7791">
        <v>20190807</v>
      </c>
      <c r="Q7791" t="s">
        <v>1854</v>
      </c>
      <c r="R7791" t="s">
        <v>6120</v>
      </c>
      <c r="S7791" t="s">
        <v>1615</v>
      </c>
      <c r="T7791" t="s">
        <v>1479</v>
      </c>
    </row>
    <row r="7792" spans="1:20" x14ac:dyDescent="0.25">
      <c r="A7792">
        <v>9</v>
      </c>
      <c r="B7792">
        <v>199</v>
      </c>
      <c r="C7792" t="str">
        <f>"41"</f>
        <v>41</v>
      </c>
      <c r="D7792">
        <v>6299</v>
      </c>
      <c r="E7792" t="str">
        <f>"10"</f>
        <v>10</v>
      </c>
      <c r="F7792" t="str">
        <f>"735"</f>
        <v>735</v>
      </c>
      <c r="G7792">
        <v>9</v>
      </c>
      <c r="H7792" t="str">
        <f t="shared" si="1761"/>
        <v>99</v>
      </c>
      <c r="I7792" t="str">
        <f t="shared" si="1765"/>
        <v>0</v>
      </c>
      <c r="J7792" t="str">
        <f>"96"</f>
        <v>96</v>
      </c>
      <c r="K7792">
        <v>20190809</v>
      </c>
      <c r="L7792" t="str">
        <f>"077642"</f>
        <v>077642</v>
      </c>
      <c r="M7792" t="str">
        <f>"00522"</f>
        <v>00522</v>
      </c>
      <c r="N7792" t="s">
        <v>1647</v>
      </c>
      <c r="O7792" s="1">
        <v>2100</v>
      </c>
      <c r="P7792">
        <v>20190807</v>
      </c>
      <c r="Q7792" t="s">
        <v>2101</v>
      </c>
      <c r="R7792" t="s">
        <v>6121</v>
      </c>
      <c r="S7792" t="s">
        <v>1615</v>
      </c>
      <c r="T7792" t="s">
        <v>151</v>
      </c>
    </row>
    <row r="7793" spans="1:20" x14ac:dyDescent="0.25">
      <c r="A7793">
        <v>9</v>
      </c>
      <c r="B7793">
        <v>199</v>
      </c>
      <c r="C7793" t="str">
        <f>"51"</f>
        <v>51</v>
      </c>
      <c r="D7793">
        <v>6249</v>
      </c>
      <c r="E7793" t="str">
        <f>"M9"</f>
        <v>M9</v>
      </c>
      <c r="F7793" t="str">
        <f>"936"</f>
        <v>936</v>
      </c>
      <c r="G7793">
        <v>9</v>
      </c>
      <c r="H7793" t="str">
        <f t="shared" si="1761"/>
        <v>99</v>
      </c>
      <c r="I7793" t="str">
        <f t="shared" si="1765"/>
        <v>0</v>
      </c>
      <c r="J7793" t="str">
        <f>"81"</f>
        <v>81</v>
      </c>
      <c r="K7793">
        <v>20190809</v>
      </c>
      <c r="L7793" t="str">
        <f>"077647"</f>
        <v>077647</v>
      </c>
      <c r="M7793" t="str">
        <f>"58173"</f>
        <v>58173</v>
      </c>
      <c r="N7793" t="s">
        <v>1764</v>
      </c>
      <c r="O7793">
        <v>450</v>
      </c>
      <c r="P7793">
        <v>20190807</v>
      </c>
      <c r="Q7793" t="s">
        <v>2289</v>
      </c>
      <c r="R7793" s="2">
        <v>43647</v>
      </c>
      <c r="S7793" t="s">
        <v>1615</v>
      </c>
      <c r="T7793" t="s">
        <v>1713</v>
      </c>
    </row>
    <row r="7794" spans="1:20" x14ac:dyDescent="0.25">
      <c r="A7794">
        <v>9</v>
      </c>
      <c r="B7794">
        <v>199</v>
      </c>
      <c r="C7794" t="str">
        <f>"11"</f>
        <v>11</v>
      </c>
      <c r="D7794">
        <v>6399</v>
      </c>
      <c r="E7794" t="str">
        <f>"45"</f>
        <v>45</v>
      </c>
      <c r="F7794" t="str">
        <f>"041"</f>
        <v>041</v>
      </c>
      <c r="G7794">
        <v>9</v>
      </c>
      <c r="H7794" t="str">
        <f>"11"</f>
        <v>11</v>
      </c>
      <c r="I7794" t="str">
        <f t="shared" si="1765"/>
        <v>0</v>
      </c>
      <c r="J7794" t="str">
        <f>"03"</f>
        <v>03</v>
      </c>
      <c r="K7794">
        <v>20190809</v>
      </c>
      <c r="L7794" t="str">
        <f>"077648"</f>
        <v>077648</v>
      </c>
      <c r="M7794" t="str">
        <f>"58202"</f>
        <v>58202</v>
      </c>
      <c r="N7794" t="s">
        <v>2781</v>
      </c>
      <c r="O7794">
        <v>33.840000000000003</v>
      </c>
      <c r="P7794">
        <v>20190808</v>
      </c>
      <c r="Q7794" t="s">
        <v>2204</v>
      </c>
      <c r="R7794" t="s">
        <v>6122</v>
      </c>
      <c r="S7794" t="s">
        <v>1615</v>
      </c>
      <c r="T7794" t="s">
        <v>106</v>
      </c>
    </row>
    <row r="7795" spans="1:20" x14ac:dyDescent="0.25">
      <c r="A7795">
        <v>9</v>
      </c>
      <c r="B7795">
        <v>199</v>
      </c>
      <c r="C7795" t="str">
        <f>"11"</f>
        <v>11</v>
      </c>
      <c r="D7795">
        <v>6399</v>
      </c>
      <c r="E7795" t="str">
        <f>"45"</f>
        <v>45</v>
      </c>
      <c r="F7795" t="str">
        <f>"041"</f>
        <v>041</v>
      </c>
      <c r="G7795">
        <v>9</v>
      </c>
      <c r="H7795" t="str">
        <f>"11"</f>
        <v>11</v>
      </c>
      <c r="I7795" t="str">
        <f t="shared" si="1765"/>
        <v>0</v>
      </c>
      <c r="J7795" t="str">
        <f>"03"</f>
        <v>03</v>
      </c>
      <c r="K7795">
        <v>20190809</v>
      </c>
      <c r="L7795" t="str">
        <f>"077648"</f>
        <v>077648</v>
      </c>
      <c r="M7795" t="str">
        <f>"58202"</f>
        <v>58202</v>
      </c>
      <c r="N7795" t="s">
        <v>2781</v>
      </c>
      <c r="O7795">
        <v>12.97</v>
      </c>
      <c r="P7795">
        <v>20190808</v>
      </c>
      <c r="Q7795" t="s">
        <v>2204</v>
      </c>
      <c r="R7795" t="s">
        <v>2081</v>
      </c>
      <c r="S7795" t="s">
        <v>1615</v>
      </c>
      <c r="T7795" t="s">
        <v>106</v>
      </c>
    </row>
    <row r="7796" spans="1:20" x14ac:dyDescent="0.25">
      <c r="A7796">
        <v>9</v>
      </c>
      <c r="B7796">
        <v>199</v>
      </c>
      <c r="C7796" t="str">
        <f>"11"</f>
        <v>11</v>
      </c>
      <c r="D7796">
        <v>6399</v>
      </c>
      <c r="E7796" t="str">
        <f>"45"</f>
        <v>45</v>
      </c>
      <c r="F7796" t="str">
        <f>"041"</f>
        <v>041</v>
      </c>
      <c r="G7796">
        <v>9</v>
      </c>
      <c r="H7796" t="str">
        <f>"11"</f>
        <v>11</v>
      </c>
      <c r="I7796" t="str">
        <f t="shared" si="1765"/>
        <v>0</v>
      </c>
      <c r="J7796" t="str">
        <f>"03"</f>
        <v>03</v>
      </c>
      <c r="K7796">
        <v>20190809</v>
      </c>
      <c r="L7796" t="str">
        <f>"077648"</f>
        <v>077648</v>
      </c>
      <c r="M7796" t="str">
        <f>"58202"</f>
        <v>58202</v>
      </c>
      <c r="N7796" t="s">
        <v>2781</v>
      </c>
      <c r="O7796">
        <v>49.13</v>
      </c>
      <c r="P7796">
        <v>20190808</v>
      </c>
      <c r="Q7796" t="s">
        <v>2204</v>
      </c>
      <c r="R7796" t="s">
        <v>641</v>
      </c>
      <c r="S7796" t="s">
        <v>1615</v>
      </c>
      <c r="T7796" t="s">
        <v>106</v>
      </c>
    </row>
    <row r="7797" spans="1:20" x14ac:dyDescent="0.25">
      <c r="A7797">
        <v>9</v>
      </c>
      <c r="B7797">
        <v>199</v>
      </c>
      <c r="C7797" t="str">
        <f>"23"</f>
        <v>23</v>
      </c>
      <c r="D7797">
        <v>6498</v>
      </c>
      <c r="E7797" t="str">
        <f>"99"</f>
        <v>99</v>
      </c>
      <c r="F7797" t="str">
        <f>"041"</f>
        <v>041</v>
      </c>
      <c r="G7797">
        <v>9</v>
      </c>
      <c r="H7797" t="str">
        <f t="shared" ref="H7797:H7807" si="1769">"99"</f>
        <v>99</v>
      </c>
      <c r="I7797" t="str">
        <f t="shared" si="1765"/>
        <v>0</v>
      </c>
      <c r="J7797" t="str">
        <f>"03"</f>
        <v>03</v>
      </c>
      <c r="K7797">
        <v>20190809</v>
      </c>
      <c r="L7797" t="str">
        <f>"077648"</f>
        <v>077648</v>
      </c>
      <c r="M7797" t="str">
        <f>"58202"</f>
        <v>58202</v>
      </c>
      <c r="N7797" t="s">
        <v>2781</v>
      </c>
      <c r="O7797">
        <v>22.52</v>
      </c>
      <c r="P7797">
        <v>20190808</v>
      </c>
      <c r="Q7797" t="s">
        <v>2140</v>
      </c>
      <c r="R7797" t="s">
        <v>6123</v>
      </c>
      <c r="S7797" t="s">
        <v>1615</v>
      </c>
      <c r="T7797" t="s">
        <v>106</v>
      </c>
    </row>
    <row r="7798" spans="1:20" x14ac:dyDescent="0.25">
      <c r="A7798">
        <v>9</v>
      </c>
      <c r="B7798">
        <v>199</v>
      </c>
      <c r="C7798" t="str">
        <f>"34"</f>
        <v>34</v>
      </c>
      <c r="D7798">
        <v>6299</v>
      </c>
      <c r="E7798" t="str">
        <f>"10"</f>
        <v>10</v>
      </c>
      <c r="F7798" t="str">
        <f>"937"</f>
        <v>937</v>
      </c>
      <c r="G7798">
        <v>9</v>
      </c>
      <c r="H7798" t="str">
        <f t="shared" si="1769"/>
        <v>99</v>
      </c>
      <c r="I7798" t="str">
        <f t="shared" si="1765"/>
        <v>0</v>
      </c>
      <c r="J7798" t="str">
        <f>"82"</f>
        <v>82</v>
      </c>
      <c r="K7798">
        <v>20190809</v>
      </c>
      <c r="L7798" t="str">
        <f>"077649"</f>
        <v>077649</v>
      </c>
      <c r="M7798" t="str">
        <f>"58927"</f>
        <v>58927</v>
      </c>
      <c r="N7798" t="s">
        <v>1772</v>
      </c>
      <c r="O7798">
        <v>55</v>
      </c>
      <c r="P7798">
        <v>20190807</v>
      </c>
      <c r="Q7798" t="s">
        <v>2292</v>
      </c>
      <c r="R7798" t="s">
        <v>1773</v>
      </c>
      <c r="S7798" t="s">
        <v>1615</v>
      </c>
      <c r="T7798" t="s">
        <v>1810</v>
      </c>
    </row>
    <row r="7799" spans="1:20" x14ac:dyDescent="0.25">
      <c r="A7799">
        <v>9</v>
      </c>
      <c r="B7799">
        <v>199</v>
      </c>
      <c r="C7799" t="str">
        <f>"34"</f>
        <v>34</v>
      </c>
      <c r="D7799">
        <v>6299</v>
      </c>
      <c r="E7799" t="str">
        <f>"10"</f>
        <v>10</v>
      </c>
      <c r="F7799" t="str">
        <f>"937"</f>
        <v>937</v>
      </c>
      <c r="G7799">
        <v>9</v>
      </c>
      <c r="H7799" t="str">
        <f t="shared" si="1769"/>
        <v>99</v>
      </c>
      <c r="I7799" t="str">
        <f t="shared" si="1765"/>
        <v>0</v>
      </c>
      <c r="J7799" t="str">
        <f>"82"</f>
        <v>82</v>
      </c>
      <c r="K7799">
        <v>20190809</v>
      </c>
      <c r="L7799" t="str">
        <f>"077649"</f>
        <v>077649</v>
      </c>
      <c r="M7799" t="str">
        <f>"58927"</f>
        <v>58927</v>
      </c>
      <c r="N7799" t="s">
        <v>1772</v>
      </c>
      <c r="O7799">
        <v>60</v>
      </c>
      <c r="P7799">
        <v>20190807</v>
      </c>
      <c r="Q7799" t="s">
        <v>2292</v>
      </c>
      <c r="R7799" t="s">
        <v>1774</v>
      </c>
      <c r="S7799" t="s">
        <v>1615</v>
      </c>
      <c r="T7799" t="s">
        <v>1810</v>
      </c>
    </row>
    <row r="7800" spans="1:20" x14ac:dyDescent="0.25">
      <c r="A7800">
        <v>9</v>
      </c>
      <c r="B7800">
        <v>199</v>
      </c>
      <c r="C7800" t="str">
        <f>"41"</f>
        <v>41</v>
      </c>
      <c r="D7800">
        <v>6399</v>
      </c>
      <c r="E7800" t="str">
        <f>"10"</f>
        <v>10</v>
      </c>
      <c r="F7800" t="str">
        <f>"730"</f>
        <v>730</v>
      </c>
      <c r="G7800">
        <v>9</v>
      </c>
      <c r="H7800" t="str">
        <f t="shared" si="1769"/>
        <v>99</v>
      </c>
      <c r="I7800" t="str">
        <f t="shared" si="1765"/>
        <v>0</v>
      </c>
      <c r="J7800" t="str">
        <f>"95"</f>
        <v>95</v>
      </c>
      <c r="K7800">
        <v>20190809</v>
      </c>
      <c r="L7800" t="str">
        <f>"077650"</f>
        <v>077650</v>
      </c>
      <c r="M7800" t="str">
        <f>"00689"</f>
        <v>00689</v>
      </c>
      <c r="N7800" t="s">
        <v>6124</v>
      </c>
      <c r="O7800" s="1">
        <v>1080</v>
      </c>
      <c r="P7800">
        <v>20190807</v>
      </c>
      <c r="Q7800" t="s">
        <v>1987</v>
      </c>
      <c r="R7800" t="s">
        <v>6125</v>
      </c>
      <c r="S7800" t="s">
        <v>1615</v>
      </c>
      <c r="T7800" t="s">
        <v>1794</v>
      </c>
    </row>
    <row r="7801" spans="1:20" x14ac:dyDescent="0.25">
      <c r="A7801">
        <v>9</v>
      </c>
      <c r="B7801">
        <v>199</v>
      </c>
      <c r="C7801" t="str">
        <f t="shared" ref="C7801:C7807" si="1770">"51"</f>
        <v>51</v>
      </c>
      <c r="D7801">
        <v>6248</v>
      </c>
      <c r="E7801" t="str">
        <f>"M3"</f>
        <v>M3</v>
      </c>
      <c r="F7801" t="str">
        <f t="shared" ref="F7801:F7807" si="1771">"936"</f>
        <v>936</v>
      </c>
      <c r="G7801">
        <v>9</v>
      </c>
      <c r="H7801" t="str">
        <f t="shared" si="1769"/>
        <v>99</v>
      </c>
      <c r="I7801" t="str">
        <f t="shared" si="1765"/>
        <v>0</v>
      </c>
      <c r="J7801" t="str">
        <f>"81"</f>
        <v>81</v>
      </c>
      <c r="K7801">
        <v>20190809</v>
      </c>
      <c r="L7801" t="str">
        <f>"077651"</f>
        <v>077651</v>
      </c>
      <c r="M7801" t="str">
        <f>"60190"</f>
        <v>60190</v>
      </c>
      <c r="N7801" t="s">
        <v>4277</v>
      </c>
      <c r="O7801">
        <v>602.47</v>
      </c>
      <c r="P7801">
        <v>20190808</v>
      </c>
      <c r="Q7801" t="s">
        <v>4278</v>
      </c>
      <c r="R7801" t="s">
        <v>6126</v>
      </c>
      <c r="S7801" t="s">
        <v>1615</v>
      </c>
      <c r="T7801" t="s">
        <v>1713</v>
      </c>
    </row>
    <row r="7802" spans="1:20" x14ac:dyDescent="0.25">
      <c r="A7802">
        <v>9</v>
      </c>
      <c r="B7802">
        <v>199</v>
      </c>
      <c r="C7802" t="str">
        <f t="shared" si="1770"/>
        <v>51</v>
      </c>
      <c r="D7802">
        <v>6248</v>
      </c>
      <c r="E7802" t="str">
        <f>"M3"</f>
        <v>M3</v>
      </c>
      <c r="F7802" t="str">
        <f t="shared" si="1771"/>
        <v>936</v>
      </c>
      <c r="G7802">
        <v>9</v>
      </c>
      <c r="H7802" t="str">
        <f t="shared" si="1769"/>
        <v>99</v>
      </c>
      <c r="I7802" t="str">
        <f t="shared" si="1765"/>
        <v>0</v>
      </c>
      <c r="J7802" t="str">
        <f>"81"</f>
        <v>81</v>
      </c>
      <c r="K7802">
        <v>20190809</v>
      </c>
      <c r="L7802" t="str">
        <f>"077651"</f>
        <v>077651</v>
      </c>
      <c r="M7802" t="str">
        <f>"60190"</f>
        <v>60190</v>
      </c>
      <c r="N7802" t="s">
        <v>4277</v>
      </c>
      <c r="O7802">
        <v>206.99</v>
      </c>
      <c r="P7802">
        <v>20190808</v>
      </c>
      <c r="Q7802" t="s">
        <v>4278</v>
      </c>
      <c r="R7802" t="s">
        <v>6126</v>
      </c>
      <c r="S7802" t="s">
        <v>1615</v>
      </c>
      <c r="T7802" t="s">
        <v>1713</v>
      </c>
    </row>
    <row r="7803" spans="1:20" x14ac:dyDescent="0.25">
      <c r="A7803">
        <v>9</v>
      </c>
      <c r="B7803">
        <v>199</v>
      </c>
      <c r="C7803" t="str">
        <f t="shared" si="1770"/>
        <v>51</v>
      </c>
      <c r="D7803">
        <v>6248</v>
      </c>
      <c r="E7803" t="str">
        <f>"M3"</f>
        <v>M3</v>
      </c>
      <c r="F7803" t="str">
        <f t="shared" si="1771"/>
        <v>936</v>
      </c>
      <c r="G7803">
        <v>9</v>
      </c>
      <c r="H7803" t="str">
        <f t="shared" si="1769"/>
        <v>99</v>
      </c>
      <c r="I7803" t="str">
        <f t="shared" si="1765"/>
        <v>0</v>
      </c>
      <c r="J7803" t="str">
        <f>"81"</f>
        <v>81</v>
      </c>
      <c r="K7803">
        <v>20190809</v>
      </c>
      <c r="L7803" t="str">
        <f>"077651"</f>
        <v>077651</v>
      </c>
      <c r="M7803" t="str">
        <f>"60190"</f>
        <v>60190</v>
      </c>
      <c r="N7803" t="s">
        <v>4277</v>
      </c>
      <c r="O7803">
        <v>250.99</v>
      </c>
      <c r="P7803">
        <v>20190808</v>
      </c>
      <c r="Q7803" t="s">
        <v>4278</v>
      </c>
      <c r="R7803" t="s">
        <v>6127</v>
      </c>
      <c r="S7803" t="s">
        <v>1615</v>
      </c>
      <c r="T7803" t="s">
        <v>1713</v>
      </c>
    </row>
    <row r="7804" spans="1:20" x14ac:dyDescent="0.25">
      <c r="A7804">
        <v>9</v>
      </c>
      <c r="B7804">
        <v>199</v>
      </c>
      <c r="C7804" t="str">
        <f t="shared" si="1770"/>
        <v>51</v>
      </c>
      <c r="D7804">
        <v>6254</v>
      </c>
      <c r="E7804" t="str">
        <f>"ME"</f>
        <v>ME</v>
      </c>
      <c r="F7804" t="str">
        <f t="shared" si="1771"/>
        <v>936</v>
      </c>
      <c r="G7804">
        <v>9</v>
      </c>
      <c r="H7804" t="str">
        <f t="shared" si="1769"/>
        <v>99</v>
      </c>
      <c r="I7804" t="str">
        <f>"1"</f>
        <v>1</v>
      </c>
      <c r="J7804" t="str">
        <f>"73"</f>
        <v>73</v>
      </c>
      <c r="K7804">
        <v>20190809</v>
      </c>
      <c r="L7804" t="str">
        <f>"077653"</f>
        <v>077653</v>
      </c>
      <c r="M7804" t="str">
        <f>"00867"</f>
        <v>00867</v>
      </c>
      <c r="N7804" t="s">
        <v>6128</v>
      </c>
      <c r="O7804">
        <v>322.20999999999998</v>
      </c>
      <c r="P7804">
        <v>20190807</v>
      </c>
      <c r="Q7804" t="s">
        <v>1891</v>
      </c>
      <c r="R7804" t="s">
        <v>6129</v>
      </c>
      <c r="S7804" t="s">
        <v>1615</v>
      </c>
      <c r="T7804" t="s">
        <v>1713</v>
      </c>
    </row>
    <row r="7805" spans="1:20" x14ac:dyDescent="0.25">
      <c r="A7805">
        <v>9</v>
      </c>
      <c r="B7805">
        <v>199</v>
      </c>
      <c r="C7805" t="str">
        <f t="shared" si="1770"/>
        <v>51</v>
      </c>
      <c r="D7805">
        <v>6254</v>
      </c>
      <c r="E7805" t="str">
        <f>"ME"</f>
        <v>ME</v>
      </c>
      <c r="F7805" t="str">
        <f t="shared" si="1771"/>
        <v>936</v>
      </c>
      <c r="G7805">
        <v>9</v>
      </c>
      <c r="H7805" t="str">
        <f t="shared" si="1769"/>
        <v>99</v>
      </c>
      <c r="I7805" t="str">
        <f>"1"</f>
        <v>1</v>
      </c>
      <c r="J7805" t="str">
        <f>"73"</f>
        <v>73</v>
      </c>
      <c r="K7805">
        <v>20190809</v>
      </c>
      <c r="L7805" t="str">
        <f>"077653"</f>
        <v>077653</v>
      </c>
      <c r="M7805" t="str">
        <f>"00867"</f>
        <v>00867</v>
      </c>
      <c r="N7805" t="s">
        <v>6128</v>
      </c>
      <c r="O7805" s="1">
        <v>3323.06</v>
      </c>
      <c r="P7805">
        <v>20190807</v>
      </c>
      <c r="Q7805" t="s">
        <v>1891</v>
      </c>
      <c r="R7805" t="s">
        <v>6130</v>
      </c>
      <c r="S7805" t="s">
        <v>1615</v>
      </c>
      <c r="T7805" t="s">
        <v>1713</v>
      </c>
    </row>
    <row r="7806" spans="1:20" x14ac:dyDescent="0.25">
      <c r="A7806">
        <v>9</v>
      </c>
      <c r="B7806">
        <v>199</v>
      </c>
      <c r="C7806" t="str">
        <f t="shared" si="1770"/>
        <v>51</v>
      </c>
      <c r="D7806">
        <v>6259</v>
      </c>
      <c r="E7806" t="str">
        <f>"10"</f>
        <v>10</v>
      </c>
      <c r="F7806" t="str">
        <f t="shared" si="1771"/>
        <v>936</v>
      </c>
      <c r="G7806">
        <v>9</v>
      </c>
      <c r="H7806" t="str">
        <f t="shared" si="1769"/>
        <v>99</v>
      </c>
      <c r="I7806" t="str">
        <f t="shared" ref="I7806:I7837" si="1772">"0"</f>
        <v>0</v>
      </c>
      <c r="J7806" t="str">
        <f>"73"</f>
        <v>73</v>
      </c>
      <c r="K7806">
        <v>20190809</v>
      </c>
      <c r="L7806" t="str">
        <f>"077654"</f>
        <v>077654</v>
      </c>
      <c r="M7806" t="str">
        <f>"62340"</f>
        <v>62340</v>
      </c>
      <c r="N7806" t="s">
        <v>1787</v>
      </c>
      <c r="O7806" s="1">
        <v>5768.28</v>
      </c>
      <c r="P7806">
        <v>20190807</v>
      </c>
      <c r="Q7806" t="s">
        <v>1789</v>
      </c>
      <c r="R7806" t="s">
        <v>6121</v>
      </c>
      <c r="S7806" t="s">
        <v>1615</v>
      </c>
      <c r="T7806" t="s">
        <v>1713</v>
      </c>
    </row>
    <row r="7807" spans="1:20" x14ac:dyDescent="0.25">
      <c r="A7807">
        <v>9</v>
      </c>
      <c r="B7807">
        <v>199</v>
      </c>
      <c r="C7807" t="str">
        <f t="shared" si="1770"/>
        <v>51</v>
      </c>
      <c r="D7807">
        <v>6248</v>
      </c>
      <c r="E7807" t="str">
        <f>"M2"</f>
        <v>M2</v>
      </c>
      <c r="F7807" t="str">
        <f t="shared" si="1771"/>
        <v>936</v>
      </c>
      <c r="G7807">
        <v>9</v>
      </c>
      <c r="H7807" t="str">
        <f t="shared" si="1769"/>
        <v>99</v>
      </c>
      <c r="I7807" t="str">
        <f t="shared" si="1772"/>
        <v>0</v>
      </c>
      <c r="J7807" t="str">
        <f>"81"</f>
        <v>81</v>
      </c>
      <c r="K7807">
        <v>20190809</v>
      </c>
      <c r="L7807" t="str">
        <f>"077655"</f>
        <v>077655</v>
      </c>
      <c r="M7807" t="str">
        <f>"63608"</f>
        <v>63608</v>
      </c>
      <c r="N7807" t="s">
        <v>2122</v>
      </c>
      <c r="O7807" s="1">
        <v>1971.79</v>
      </c>
      <c r="P7807">
        <v>20190807</v>
      </c>
      <c r="Q7807" t="s">
        <v>4041</v>
      </c>
      <c r="R7807" t="s">
        <v>6131</v>
      </c>
      <c r="S7807" t="s">
        <v>1615</v>
      </c>
      <c r="T7807" t="s">
        <v>1713</v>
      </c>
    </row>
    <row r="7808" spans="1:20" x14ac:dyDescent="0.25">
      <c r="A7808">
        <v>9</v>
      </c>
      <c r="B7808">
        <v>199</v>
      </c>
      <c r="C7808" t="str">
        <f>"11"</f>
        <v>11</v>
      </c>
      <c r="D7808">
        <v>6396</v>
      </c>
      <c r="E7808" t="str">
        <f>"00"</f>
        <v>00</v>
      </c>
      <c r="F7808" t="str">
        <f>"001"</f>
        <v>001</v>
      </c>
      <c r="G7808">
        <v>9</v>
      </c>
      <c r="H7808" t="str">
        <f>"25"</f>
        <v>25</v>
      </c>
      <c r="I7808" t="str">
        <f t="shared" si="1772"/>
        <v>0</v>
      </c>
      <c r="J7808" t="str">
        <f>"25"</f>
        <v>25</v>
      </c>
      <c r="K7808">
        <v>20190809</v>
      </c>
      <c r="L7808" t="str">
        <f>"077656"</f>
        <v>077656</v>
      </c>
      <c r="M7808" t="str">
        <f>"63911"</f>
        <v>63911</v>
      </c>
      <c r="N7808" t="s">
        <v>6132</v>
      </c>
      <c r="O7808" s="1">
        <v>2083.34</v>
      </c>
      <c r="P7808">
        <v>20190807</v>
      </c>
      <c r="Q7808" t="s">
        <v>6133</v>
      </c>
      <c r="R7808" t="s">
        <v>6134</v>
      </c>
      <c r="S7808" t="s">
        <v>1615</v>
      </c>
      <c r="T7808" t="s">
        <v>301</v>
      </c>
    </row>
    <row r="7809" spans="1:20" x14ac:dyDescent="0.25">
      <c r="A7809">
        <v>9</v>
      </c>
      <c r="B7809">
        <v>199</v>
      </c>
      <c r="C7809" t="str">
        <f>"11"</f>
        <v>11</v>
      </c>
      <c r="D7809">
        <v>6396</v>
      </c>
      <c r="E7809" t="str">
        <f>"00"</f>
        <v>00</v>
      </c>
      <c r="F7809" t="str">
        <f>"041"</f>
        <v>041</v>
      </c>
      <c r="G7809">
        <v>9</v>
      </c>
      <c r="H7809" t="str">
        <f>"25"</f>
        <v>25</v>
      </c>
      <c r="I7809" t="str">
        <f t="shared" si="1772"/>
        <v>0</v>
      </c>
      <c r="J7809" t="str">
        <f>"25"</f>
        <v>25</v>
      </c>
      <c r="K7809">
        <v>20190809</v>
      </c>
      <c r="L7809" t="str">
        <f>"077656"</f>
        <v>077656</v>
      </c>
      <c r="M7809" t="str">
        <f>"63911"</f>
        <v>63911</v>
      </c>
      <c r="N7809" t="s">
        <v>6132</v>
      </c>
      <c r="O7809" s="1">
        <v>2083.33</v>
      </c>
      <c r="P7809">
        <v>20190807</v>
      </c>
      <c r="Q7809" t="s">
        <v>6135</v>
      </c>
      <c r="R7809" t="s">
        <v>6134</v>
      </c>
      <c r="S7809" t="s">
        <v>1615</v>
      </c>
      <c r="T7809" t="s">
        <v>106</v>
      </c>
    </row>
    <row r="7810" spans="1:20" x14ac:dyDescent="0.25">
      <c r="A7810">
        <v>9</v>
      </c>
      <c r="B7810">
        <v>199</v>
      </c>
      <c r="C7810" t="str">
        <f>"11"</f>
        <v>11</v>
      </c>
      <c r="D7810">
        <v>6396</v>
      </c>
      <c r="E7810" t="str">
        <f>"00"</f>
        <v>00</v>
      </c>
      <c r="F7810" t="str">
        <f>"104"</f>
        <v>104</v>
      </c>
      <c r="G7810">
        <v>9</v>
      </c>
      <c r="H7810" t="str">
        <f>"25"</f>
        <v>25</v>
      </c>
      <c r="I7810" t="str">
        <f t="shared" si="1772"/>
        <v>0</v>
      </c>
      <c r="J7810" t="str">
        <f>"25"</f>
        <v>25</v>
      </c>
      <c r="K7810">
        <v>20190809</v>
      </c>
      <c r="L7810" t="str">
        <f>"077656"</f>
        <v>077656</v>
      </c>
      <c r="M7810" t="str">
        <f>"63911"</f>
        <v>63911</v>
      </c>
      <c r="N7810" t="s">
        <v>6132</v>
      </c>
      <c r="O7810" s="1">
        <v>2083.33</v>
      </c>
      <c r="P7810">
        <v>20190807</v>
      </c>
      <c r="Q7810" t="s">
        <v>6136</v>
      </c>
      <c r="R7810" t="s">
        <v>6134</v>
      </c>
      <c r="S7810" t="s">
        <v>1615</v>
      </c>
      <c r="T7810" t="s">
        <v>46</v>
      </c>
    </row>
    <row r="7811" spans="1:20" x14ac:dyDescent="0.25">
      <c r="A7811">
        <v>9</v>
      </c>
      <c r="B7811">
        <v>199</v>
      </c>
      <c r="C7811" t="str">
        <f>"11"</f>
        <v>11</v>
      </c>
      <c r="D7811">
        <v>6396</v>
      </c>
      <c r="E7811" t="str">
        <f>"50"</f>
        <v>50</v>
      </c>
      <c r="F7811" t="str">
        <f>"001"</f>
        <v>001</v>
      </c>
      <c r="G7811">
        <v>9</v>
      </c>
      <c r="H7811" t="str">
        <f>"11"</f>
        <v>11</v>
      </c>
      <c r="I7811" t="str">
        <f t="shared" si="1772"/>
        <v>0</v>
      </c>
      <c r="J7811" t="str">
        <f>"80"</f>
        <v>80</v>
      </c>
      <c r="K7811">
        <v>20190809</v>
      </c>
      <c r="L7811" t="str">
        <f>"077659"</f>
        <v>077659</v>
      </c>
      <c r="M7811" t="str">
        <f>"64650"</f>
        <v>64650</v>
      </c>
      <c r="N7811" t="s">
        <v>1915</v>
      </c>
      <c r="O7811">
        <v>489.8</v>
      </c>
      <c r="P7811">
        <v>20190807</v>
      </c>
      <c r="Q7811" t="s">
        <v>2281</v>
      </c>
      <c r="R7811" t="s">
        <v>6137</v>
      </c>
      <c r="S7811" t="s">
        <v>1615</v>
      </c>
      <c r="T7811" t="s">
        <v>301</v>
      </c>
    </row>
    <row r="7812" spans="1:20" x14ac:dyDescent="0.25">
      <c r="A7812">
        <v>9</v>
      </c>
      <c r="B7812">
        <v>199</v>
      </c>
      <c r="C7812" t="str">
        <f>"11"</f>
        <v>11</v>
      </c>
      <c r="D7812">
        <v>6399</v>
      </c>
      <c r="E7812" t="str">
        <f>"V1"</f>
        <v>V1</v>
      </c>
      <c r="F7812" t="str">
        <f>"001"</f>
        <v>001</v>
      </c>
      <c r="G7812">
        <v>9</v>
      </c>
      <c r="H7812" t="str">
        <f>"22"</f>
        <v>22</v>
      </c>
      <c r="I7812" t="str">
        <f t="shared" si="1772"/>
        <v>0</v>
      </c>
      <c r="J7812" t="str">
        <f>"22"</f>
        <v>22</v>
      </c>
      <c r="K7812">
        <v>20190809</v>
      </c>
      <c r="L7812" t="str">
        <f>"077659"</f>
        <v>077659</v>
      </c>
      <c r="M7812" t="str">
        <f>"64650"</f>
        <v>64650</v>
      </c>
      <c r="N7812" t="s">
        <v>1915</v>
      </c>
      <c r="O7812" s="1">
        <v>1910.22</v>
      </c>
      <c r="P7812">
        <v>20190807</v>
      </c>
      <c r="Q7812" t="s">
        <v>5437</v>
      </c>
      <c r="R7812" t="s">
        <v>6137</v>
      </c>
      <c r="S7812" t="s">
        <v>1615</v>
      </c>
      <c r="T7812" t="s">
        <v>301</v>
      </c>
    </row>
    <row r="7813" spans="1:20" x14ac:dyDescent="0.25">
      <c r="A7813">
        <v>9</v>
      </c>
      <c r="B7813">
        <v>199</v>
      </c>
      <c r="C7813" t="str">
        <f>"23"</f>
        <v>23</v>
      </c>
      <c r="D7813">
        <v>6399</v>
      </c>
      <c r="E7813" t="str">
        <f>"10"</f>
        <v>10</v>
      </c>
      <c r="F7813" t="str">
        <f>"001"</f>
        <v>001</v>
      </c>
      <c r="G7813">
        <v>9</v>
      </c>
      <c r="H7813" t="str">
        <f>"99"</f>
        <v>99</v>
      </c>
      <c r="I7813" t="str">
        <f t="shared" si="1772"/>
        <v>0</v>
      </c>
      <c r="J7813" t="str">
        <f>"01"</f>
        <v>01</v>
      </c>
      <c r="K7813">
        <v>20190809</v>
      </c>
      <c r="L7813" t="str">
        <f>"077659"</f>
        <v>077659</v>
      </c>
      <c r="M7813" t="str">
        <f>"64650"</f>
        <v>64650</v>
      </c>
      <c r="N7813" t="s">
        <v>1915</v>
      </c>
      <c r="O7813">
        <v>73.47</v>
      </c>
      <c r="P7813">
        <v>20190807</v>
      </c>
      <c r="Q7813" t="s">
        <v>1785</v>
      </c>
      <c r="R7813" t="s">
        <v>6137</v>
      </c>
      <c r="S7813" t="s">
        <v>1615</v>
      </c>
      <c r="T7813" t="s">
        <v>301</v>
      </c>
    </row>
    <row r="7814" spans="1:20" x14ac:dyDescent="0.25">
      <c r="A7814">
        <v>9</v>
      </c>
      <c r="B7814">
        <v>199</v>
      </c>
      <c r="C7814" t="str">
        <f>"41"</f>
        <v>41</v>
      </c>
      <c r="D7814">
        <v>6396</v>
      </c>
      <c r="E7814" t="str">
        <f>"10"</f>
        <v>10</v>
      </c>
      <c r="F7814" t="str">
        <f>"720"</f>
        <v>720</v>
      </c>
      <c r="G7814">
        <v>9</v>
      </c>
      <c r="H7814" t="str">
        <f>"99"</f>
        <v>99</v>
      </c>
      <c r="I7814" t="str">
        <f t="shared" si="1772"/>
        <v>0</v>
      </c>
      <c r="J7814" t="str">
        <f>"91"</f>
        <v>91</v>
      </c>
      <c r="K7814">
        <v>20190809</v>
      </c>
      <c r="L7814" t="str">
        <f>"077659"</f>
        <v>077659</v>
      </c>
      <c r="M7814" t="str">
        <f>"64650"</f>
        <v>64650</v>
      </c>
      <c r="N7814" t="s">
        <v>1915</v>
      </c>
      <c r="O7814">
        <v>342.86</v>
      </c>
      <c r="P7814">
        <v>20190807</v>
      </c>
      <c r="Q7814" t="s">
        <v>6138</v>
      </c>
      <c r="R7814" t="s">
        <v>6137</v>
      </c>
      <c r="S7814" t="s">
        <v>1615</v>
      </c>
      <c r="T7814" t="s">
        <v>2045</v>
      </c>
    </row>
    <row r="7815" spans="1:20" x14ac:dyDescent="0.25">
      <c r="A7815">
        <v>9</v>
      </c>
      <c r="B7815">
        <v>199</v>
      </c>
      <c r="C7815" t="str">
        <f>"41"</f>
        <v>41</v>
      </c>
      <c r="D7815">
        <v>6399</v>
      </c>
      <c r="E7815" t="str">
        <f>"10"</f>
        <v>10</v>
      </c>
      <c r="F7815" t="str">
        <f>"933"</f>
        <v>933</v>
      </c>
      <c r="G7815">
        <v>9</v>
      </c>
      <c r="H7815" t="str">
        <f>"99"</f>
        <v>99</v>
      </c>
      <c r="I7815" t="str">
        <f t="shared" si="1772"/>
        <v>0</v>
      </c>
      <c r="J7815" t="str">
        <f>"85"</f>
        <v>85</v>
      </c>
      <c r="K7815">
        <v>20190809</v>
      </c>
      <c r="L7815" t="str">
        <f>"077659"</f>
        <v>077659</v>
      </c>
      <c r="M7815" t="str">
        <f>"64650"</f>
        <v>64650</v>
      </c>
      <c r="N7815" t="s">
        <v>1915</v>
      </c>
      <c r="O7815">
        <v>122.45</v>
      </c>
      <c r="P7815">
        <v>20190807</v>
      </c>
      <c r="Q7815" t="s">
        <v>2179</v>
      </c>
      <c r="R7815" t="s">
        <v>6137</v>
      </c>
      <c r="S7815" t="s">
        <v>1615</v>
      </c>
      <c r="T7815" t="s">
        <v>1643</v>
      </c>
    </row>
    <row r="7816" spans="1:20" x14ac:dyDescent="0.25">
      <c r="A7816">
        <v>9</v>
      </c>
      <c r="B7816">
        <v>199</v>
      </c>
      <c r="C7816" t="str">
        <f>"51"</f>
        <v>51</v>
      </c>
      <c r="D7816">
        <v>6249</v>
      </c>
      <c r="E7816" t="str">
        <f>"10"</f>
        <v>10</v>
      </c>
      <c r="F7816" t="str">
        <f>"001"</f>
        <v>001</v>
      </c>
      <c r="G7816">
        <v>9</v>
      </c>
      <c r="H7816" t="str">
        <f>"99"</f>
        <v>99</v>
      </c>
      <c r="I7816" t="str">
        <f t="shared" si="1772"/>
        <v>0</v>
      </c>
      <c r="J7816" t="str">
        <f>"81"</f>
        <v>81</v>
      </c>
      <c r="K7816">
        <v>20190809</v>
      </c>
      <c r="L7816" t="str">
        <f>"077660"</f>
        <v>077660</v>
      </c>
      <c r="M7816" t="str">
        <f>"00471"</f>
        <v>00471</v>
      </c>
      <c r="N7816" t="s">
        <v>5922</v>
      </c>
      <c r="O7816" s="1">
        <v>47251.5</v>
      </c>
      <c r="P7816">
        <v>20190807</v>
      </c>
      <c r="Q7816" t="s">
        <v>5923</v>
      </c>
      <c r="R7816" t="s">
        <v>5924</v>
      </c>
      <c r="S7816" t="s">
        <v>1615</v>
      </c>
      <c r="T7816" t="s">
        <v>301</v>
      </c>
    </row>
    <row r="7817" spans="1:20" x14ac:dyDescent="0.25">
      <c r="A7817">
        <v>9</v>
      </c>
      <c r="B7817">
        <v>199</v>
      </c>
      <c r="C7817" t="str">
        <f>"41"</f>
        <v>41</v>
      </c>
      <c r="D7817">
        <v>6498</v>
      </c>
      <c r="E7817" t="str">
        <f>"00"</f>
        <v>00</v>
      </c>
      <c r="F7817" t="str">
        <f>"726"</f>
        <v>726</v>
      </c>
      <c r="G7817">
        <v>9</v>
      </c>
      <c r="H7817" t="str">
        <f>"99"</f>
        <v>99</v>
      </c>
      <c r="I7817" t="str">
        <f t="shared" si="1772"/>
        <v>0</v>
      </c>
      <c r="J7817" t="str">
        <f>"91"</f>
        <v>91</v>
      </c>
      <c r="K7817">
        <v>20190809</v>
      </c>
      <c r="L7817" t="str">
        <f>"077662"</f>
        <v>077662</v>
      </c>
      <c r="M7817" t="str">
        <f>"71776"</f>
        <v>71776</v>
      </c>
      <c r="N7817" t="s">
        <v>6139</v>
      </c>
      <c r="O7817">
        <v>248.15</v>
      </c>
      <c r="P7817">
        <v>20190807</v>
      </c>
      <c r="Q7817" t="s">
        <v>6140</v>
      </c>
      <c r="R7817" t="s">
        <v>6141</v>
      </c>
      <c r="S7817" t="s">
        <v>1615</v>
      </c>
      <c r="T7817" t="s">
        <v>2608</v>
      </c>
    </row>
    <row r="7818" spans="1:20" x14ac:dyDescent="0.25">
      <c r="A7818">
        <v>9</v>
      </c>
      <c r="B7818">
        <v>199</v>
      </c>
      <c r="C7818" t="str">
        <f>"11"</f>
        <v>11</v>
      </c>
      <c r="D7818">
        <v>6399</v>
      </c>
      <c r="E7818" t="str">
        <f>"V8"</f>
        <v>V8</v>
      </c>
      <c r="F7818" t="str">
        <f>"001"</f>
        <v>001</v>
      </c>
      <c r="G7818">
        <v>9</v>
      </c>
      <c r="H7818" t="str">
        <f>"22"</f>
        <v>22</v>
      </c>
      <c r="I7818" t="str">
        <f t="shared" si="1772"/>
        <v>0</v>
      </c>
      <c r="J7818" t="str">
        <f>"22"</f>
        <v>22</v>
      </c>
      <c r="K7818">
        <v>20190809</v>
      </c>
      <c r="L7818" t="str">
        <f>"077663"</f>
        <v>077663</v>
      </c>
      <c r="M7818" t="str">
        <f>"71250"</f>
        <v>71250</v>
      </c>
      <c r="N7818" t="s">
        <v>1389</v>
      </c>
      <c r="O7818">
        <v>49.78</v>
      </c>
      <c r="P7818">
        <v>20190808</v>
      </c>
      <c r="Q7818" t="s">
        <v>2001</v>
      </c>
      <c r="R7818" t="s">
        <v>2646</v>
      </c>
      <c r="S7818" t="s">
        <v>1615</v>
      </c>
      <c r="T7818" t="s">
        <v>301</v>
      </c>
    </row>
    <row r="7819" spans="1:20" x14ac:dyDescent="0.25">
      <c r="A7819">
        <v>9</v>
      </c>
      <c r="B7819">
        <v>199</v>
      </c>
      <c r="C7819" t="str">
        <f>"34"</f>
        <v>34</v>
      </c>
      <c r="D7819">
        <v>6249</v>
      </c>
      <c r="E7819" t="str">
        <f>"10"</f>
        <v>10</v>
      </c>
      <c r="F7819" t="str">
        <f>"937"</f>
        <v>937</v>
      </c>
      <c r="G7819">
        <v>9</v>
      </c>
      <c r="H7819" t="str">
        <f t="shared" ref="H7819:H7828" si="1773">"99"</f>
        <v>99</v>
      </c>
      <c r="I7819" t="str">
        <f t="shared" si="1772"/>
        <v>0</v>
      </c>
      <c r="J7819" t="str">
        <f>"82"</f>
        <v>82</v>
      </c>
      <c r="K7819">
        <v>20190809</v>
      </c>
      <c r="L7819" t="str">
        <f>"077664"</f>
        <v>077664</v>
      </c>
      <c r="M7819" t="str">
        <f>"71225"</f>
        <v>71225</v>
      </c>
      <c r="N7819" t="s">
        <v>1803</v>
      </c>
      <c r="O7819">
        <v>164.99</v>
      </c>
      <c r="P7819">
        <v>20190807</v>
      </c>
      <c r="Q7819" t="s">
        <v>2036</v>
      </c>
      <c r="R7819" t="s">
        <v>6142</v>
      </c>
      <c r="S7819" t="s">
        <v>1615</v>
      </c>
      <c r="T7819" t="s">
        <v>1810</v>
      </c>
    </row>
    <row r="7820" spans="1:20" x14ac:dyDescent="0.25">
      <c r="A7820">
        <v>9</v>
      </c>
      <c r="B7820">
        <v>199</v>
      </c>
      <c r="C7820" t="str">
        <f t="shared" ref="C7820:C7828" si="1774">"51"</f>
        <v>51</v>
      </c>
      <c r="D7820">
        <v>6249</v>
      </c>
      <c r="E7820" t="str">
        <f>"WF"</f>
        <v>WF</v>
      </c>
      <c r="F7820" t="str">
        <f>"936"</f>
        <v>936</v>
      </c>
      <c r="G7820">
        <v>9</v>
      </c>
      <c r="H7820" t="str">
        <f t="shared" si="1773"/>
        <v>99</v>
      </c>
      <c r="I7820" t="str">
        <f t="shared" si="1772"/>
        <v>0</v>
      </c>
      <c r="J7820" t="str">
        <f>"82"</f>
        <v>82</v>
      </c>
      <c r="K7820">
        <v>20190809</v>
      </c>
      <c r="L7820" t="str">
        <f>"077664"</f>
        <v>077664</v>
      </c>
      <c r="M7820" t="str">
        <f>"71225"</f>
        <v>71225</v>
      </c>
      <c r="N7820" t="s">
        <v>1803</v>
      </c>
      <c r="O7820">
        <v>403</v>
      </c>
      <c r="P7820">
        <v>20190807</v>
      </c>
      <c r="Q7820" t="s">
        <v>2127</v>
      </c>
      <c r="R7820" t="s">
        <v>6143</v>
      </c>
      <c r="S7820" t="s">
        <v>1615</v>
      </c>
      <c r="T7820" t="s">
        <v>1713</v>
      </c>
    </row>
    <row r="7821" spans="1:20" x14ac:dyDescent="0.25">
      <c r="A7821">
        <v>9</v>
      </c>
      <c r="B7821">
        <v>199</v>
      </c>
      <c r="C7821" t="str">
        <f t="shared" si="1774"/>
        <v>51</v>
      </c>
      <c r="D7821">
        <v>6249</v>
      </c>
      <c r="E7821" t="str">
        <f>"WF"</f>
        <v>WF</v>
      </c>
      <c r="F7821" t="str">
        <f>"936"</f>
        <v>936</v>
      </c>
      <c r="G7821">
        <v>9</v>
      </c>
      <c r="H7821" t="str">
        <f t="shared" si="1773"/>
        <v>99</v>
      </c>
      <c r="I7821" t="str">
        <f t="shared" si="1772"/>
        <v>0</v>
      </c>
      <c r="J7821" t="str">
        <f>"82"</f>
        <v>82</v>
      </c>
      <c r="K7821">
        <v>20190809</v>
      </c>
      <c r="L7821" t="str">
        <f>"077664"</f>
        <v>077664</v>
      </c>
      <c r="M7821" t="str">
        <f>"71225"</f>
        <v>71225</v>
      </c>
      <c r="N7821" t="s">
        <v>1803</v>
      </c>
      <c r="O7821">
        <v>685.48</v>
      </c>
      <c r="P7821">
        <v>20190807</v>
      </c>
      <c r="Q7821" t="s">
        <v>2127</v>
      </c>
      <c r="R7821" t="s">
        <v>6144</v>
      </c>
      <c r="S7821" t="s">
        <v>1615</v>
      </c>
      <c r="T7821" t="s">
        <v>1713</v>
      </c>
    </row>
    <row r="7822" spans="1:20" x14ac:dyDescent="0.25">
      <c r="A7822">
        <v>9</v>
      </c>
      <c r="B7822">
        <v>199</v>
      </c>
      <c r="C7822" t="str">
        <f t="shared" si="1774"/>
        <v>51</v>
      </c>
      <c r="D7822">
        <v>6249</v>
      </c>
      <c r="E7822" t="str">
        <f>"WF"</f>
        <v>WF</v>
      </c>
      <c r="F7822" t="str">
        <f>"936"</f>
        <v>936</v>
      </c>
      <c r="G7822">
        <v>9</v>
      </c>
      <c r="H7822" t="str">
        <f t="shared" si="1773"/>
        <v>99</v>
      </c>
      <c r="I7822" t="str">
        <f t="shared" si="1772"/>
        <v>0</v>
      </c>
      <c r="J7822" t="str">
        <f>"82"</f>
        <v>82</v>
      </c>
      <c r="K7822">
        <v>20190809</v>
      </c>
      <c r="L7822" t="str">
        <f>"077664"</f>
        <v>077664</v>
      </c>
      <c r="M7822" t="str">
        <f>"71225"</f>
        <v>71225</v>
      </c>
      <c r="N7822" t="s">
        <v>1803</v>
      </c>
      <c r="O7822">
        <v>415.48</v>
      </c>
      <c r="P7822">
        <v>20190807</v>
      </c>
      <c r="Q7822" t="s">
        <v>2127</v>
      </c>
      <c r="R7822" t="s">
        <v>6145</v>
      </c>
      <c r="S7822" t="s">
        <v>1615</v>
      </c>
      <c r="T7822" t="s">
        <v>1713</v>
      </c>
    </row>
    <row r="7823" spans="1:20" x14ac:dyDescent="0.25">
      <c r="A7823">
        <v>9</v>
      </c>
      <c r="B7823">
        <v>199</v>
      </c>
      <c r="C7823" t="str">
        <f t="shared" si="1774"/>
        <v>51</v>
      </c>
      <c r="D7823">
        <v>6249</v>
      </c>
      <c r="E7823" t="str">
        <f>"WF"</f>
        <v>WF</v>
      </c>
      <c r="F7823" t="str">
        <f>"936"</f>
        <v>936</v>
      </c>
      <c r="G7823">
        <v>9</v>
      </c>
      <c r="H7823" t="str">
        <f t="shared" si="1773"/>
        <v>99</v>
      </c>
      <c r="I7823" t="str">
        <f t="shared" si="1772"/>
        <v>0</v>
      </c>
      <c r="J7823" t="str">
        <f>"82"</f>
        <v>82</v>
      </c>
      <c r="K7823">
        <v>20190809</v>
      </c>
      <c r="L7823" t="str">
        <f>"077664"</f>
        <v>077664</v>
      </c>
      <c r="M7823" t="str">
        <f>"71225"</f>
        <v>71225</v>
      </c>
      <c r="N7823" t="s">
        <v>1803</v>
      </c>
      <c r="O7823">
        <v>149.68</v>
      </c>
      <c r="P7823">
        <v>20190807</v>
      </c>
      <c r="Q7823" t="s">
        <v>2127</v>
      </c>
      <c r="R7823" t="s">
        <v>6146</v>
      </c>
      <c r="S7823" t="s">
        <v>1615</v>
      </c>
      <c r="T7823" t="s">
        <v>1713</v>
      </c>
    </row>
    <row r="7824" spans="1:20" x14ac:dyDescent="0.25">
      <c r="A7824">
        <v>9</v>
      </c>
      <c r="B7824">
        <v>199</v>
      </c>
      <c r="C7824" t="str">
        <f t="shared" si="1774"/>
        <v>51</v>
      </c>
      <c r="D7824">
        <v>6256</v>
      </c>
      <c r="E7824" t="str">
        <f>"10"</f>
        <v>10</v>
      </c>
      <c r="F7824" t="str">
        <f>"936"</f>
        <v>936</v>
      </c>
      <c r="G7824">
        <v>9</v>
      </c>
      <c r="H7824" t="str">
        <f t="shared" si="1773"/>
        <v>99</v>
      </c>
      <c r="I7824" t="str">
        <f t="shared" si="1772"/>
        <v>0</v>
      </c>
      <c r="J7824" t="str">
        <f>"81"</f>
        <v>81</v>
      </c>
      <c r="K7824">
        <v>20190809</v>
      </c>
      <c r="L7824" t="str">
        <f>"077666"</f>
        <v>077666</v>
      </c>
      <c r="M7824" t="str">
        <f>"72340"</f>
        <v>72340</v>
      </c>
      <c r="N7824" t="s">
        <v>1652</v>
      </c>
      <c r="O7824">
        <v>209.54</v>
      </c>
      <c r="P7824">
        <v>20190807</v>
      </c>
      <c r="Q7824" t="s">
        <v>2679</v>
      </c>
      <c r="R7824" t="s">
        <v>6147</v>
      </c>
      <c r="S7824" t="s">
        <v>1615</v>
      </c>
      <c r="T7824" t="s">
        <v>1713</v>
      </c>
    </row>
    <row r="7825" spans="1:20" x14ac:dyDescent="0.25">
      <c r="A7825">
        <v>9</v>
      </c>
      <c r="B7825">
        <v>199</v>
      </c>
      <c r="C7825" t="str">
        <f t="shared" si="1774"/>
        <v>51</v>
      </c>
      <c r="D7825">
        <v>6249</v>
      </c>
      <c r="E7825" t="str">
        <f>"M4"</f>
        <v>M4</v>
      </c>
      <c r="F7825" t="str">
        <f>"877"</f>
        <v>877</v>
      </c>
      <c r="G7825">
        <v>9</v>
      </c>
      <c r="H7825" t="str">
        <f t="shared" si="1773"/>
        <v>99</v>
      </c>
      <c r="I7825" t="str">
        <f t="shared" si="1772"/>
        <v>0</v>
      </c>
      <c r="J7825" t="str">
        <f>"81"</f>
        <v>81</v>
      </c>
      <c r="K7825">
        <v>20190809</v>
      </c>
      <c r="L7825" t="str">
        <f>"077669"</f>
        <v>077669</v>
      </c>
      <c r="M7825" t="str">
        <f>"78726"</f>
        <v>78726</v>
      </c>
      <c r="N7825" t="s">
        <v>917</v>
      </c>
      <c r="O7825" s="1">
        <v>2463</v>
      </c>
      <c r="P7825">
        <v>20190807</v>
      </c>
      <c r="Q7825" t="s">
        <v>3071</v>
      </c>
      <c r="R7825" t="s">
        <v>6148</v>
      </c>
      <c r="S7825" t="s">
        <v>1615</v>
      </c>
      <c r="T7825" t="s">
        <v>2024</v>
      </c>
    </row>
    <row r="7826" spans="1:20" x14ac:dyDescent="0.25">
      <c r="A7826">
        <v>9</v>
      </c>
      <c r="B7826">
        <v>199</v>
      </c>
      <c r="C7826" t="str">
        <f t="shared" si="1774"/>
        <v>51</v>
      </c>
      <c r="D7826">
        <v>6249</v>
      </c>
      <c r="E7826" t="str">
        <f>"M4"</f>
        <v>M4</v>
      </c>
      <c r="F7826" t="str">
        <f>"877"</f>
        <v>877</v>
      </c>
      <c r="G7826">
        <v>9</v>
      </c>
      <c r="H7826" t="str">
        <f t="shared" si="1773"/>
        <v>99</v>
      </c>
      <c r="I7826" t="str">
        <f t="shared" si="1772"/>
        <v>0</v>
      </c>
      <c r="J7826" t="str">
        <f>"81"</f>
        <v>81</v>
      </c>
      <c r="K7826">
        <v>20190809</v>
      </c>
      <c r="L7826" t="str">
        <f>"077669"</f>
        <v>077669</v>
      </c>
      <c r="M7826" t="str">
        <f>"78726"</f>
        <v>78726</v>
      </c>
      <c r="N7826" t="s">
        <v>917</v>
      </c>
      <c r="O7826" s="1">
        <v>2324</v>
      </c>
      <c r="P7826">
        <v>20190807</v>
      </c>
      <c r="Q7826" t="s">
        <v>3071</v>
      </c>
      <c r="R7826" t="s">
        <v>6149</v>
      </c>
      <c r="S7826" t="s">
        <v>1615</v>
      </c>
      <c r="T7826" t="s">
        <v>2024</v>
      </c>
    </row>
    <row r="7827" spans="1:20" x14ac:dyDescent="0.25">
      <c r="A7827">
        <v>9</v>
      </c>
      <c r="B7827">
        <v>199</v>
      </c>
      <c r="C7827" t="str">
        <f t="shared" si="1774"/>
        <v>51</v>
      </c>
      <c r="D7827">
        <v>6249</v>
      </c>
      <c r="E7827" t="str">
        <f>"M4"</f>
        <v>M4</v>
      </c>
      <c r="F7827" t="str">
        <f>"877"</f>
        <v>877</v>
      </c>
      <c r="G7827">
        <v>9</v>
      </c>
      <c r="H7827" t="str">
        <f t="shared" si="1773"/>
        <v>99</v>
      </c>
      <c r="I7827" t="str">
        <f t="shared" si="1772"/>
        <v>0</v>
      </c>
      <c r="J7827" t="str">
        <f>"81"</f>
        <v>81</v>
      </c>
      <c r="K7827">
        <v>20190809</v>
      </c>
      <c r="L7827" t="str">
        <f>"077669"</f>
        <v>077669</v>
      </c>
      <c r="M7827" t="str">
        <f>"78726"</f>
        <v>78726</v>
      </c>
      <c r="N7827" t="s">
        <v>917</v>
      </c>
      <c r="O7827" s="1">
        <v>9215</v>
      </c>
      <c r="P7827">
        <v>20190807</v>
      </c>
      <c r="Q7827" t="s">
        <v>3071</v>
      </c>
      <c r="R7827" t="s">
        <v>6150</v>
      </c>
      <c r="S7827" t="s">
        <v>1615</v>
      </c>
      <c r="T7827" t="s">
        <v>2024</v>
      </c>
    </row>
    <row r="7828" spans="1:20" x14ac:dyDescent="0.25">
      <c r="A7828">
        <v>9</v>
      </c>
      <c r="B7828">
        <v>199</v>
      </c>
      <c r="C7828" t="str">
        <f t="shared" si="1774"/>
        <v>51</v>
      </c>
      <c r="D7828">
        <v>6249</v>
      </c>
      <c r="E7828" t="str">
        <f>"M4"</f>
        <v>M4</v>
      </c>
      <c r="F7828" t="str">
        <f>"877"</f>
        <v>877</v>
      </c>
      <c r="G7828">
        <v>9</v>
      </c>
      <c r="H7828" t="str">
        <f t="shared" si="1773"/>
        <v>99</v>
      </c>
      <c r="I7828" t="str">
        <f t="shared" si="1772"/>
        <v>0</v>
      </c>
      <c r="J7828" t="str">
        <f>"81"</f>
        <v>81</v>
      </c>
      <c r="K7828">
        <v>20190809</v>
      </c>
      <c r="L7828" t="str">
        <f>"077669"</f>
        <v>077669</v>
      </c>
      <c r="M7828" t="str">
        <f>"78726"</f>
        <v>78726</v>
      </c>
      <c r="N7828" t="s">
        <v>917</v>
      </c>
      <c r="O7828" s="1">
        <v>8320</v>
      </c>
      <c r="P7828">
        <v>20190807</v>
      </c>
      <c r="Q7828" t="s">
        <v>3071</v>
      </c>
      <c r="R7828" t="s">
        <v>6151</v>
      </c>
      <c r="S7828" t="s">
        <v>1615</v>
      </c>
      <c r="T7828" t="s">
        <v>2024</v>
      </c>
    </row>
    <row r="7829" spans="1:20" x14ac:dyDescent="0.25">
      <c r="A7829">
        <v>9</v>
      </c>
      <c r="B7829">
        <v>199</v>
      </c>
      <c r="C7829" t="str">
        <f t="shared" ref="C7829:C7835" si="1775">"11"</f>
        <v>11</v>
      </c>
      <c r="D7829">
        <v>6395</v>
      </c>
      <c r="E7829" t="str">
        <f>"10"</f>
        <v>10</v>
      </c>
      <c r="F7829" t="str">
        <f>"001"</f>
        <v>001</v>
      </c>
      <c r="G7829">
        <v>9</v>
      </c>
      <c r="H7829" t="str">
        <f t="shared" ref="H7829:H7835" si="1776">"11"</f>
        <v>11</v>
      </c>
      <c r="I7829" t="str">
        <f t="shared" si="1772"/>
        <v>0</v>
      </c>
      <c r="J7829" t="str">
        <f>"01"</f>
        <v>01</v>
      </c>
      <c r="K7829">
        <v>20190809</v>
      </c>
      <c r="L7829" t="str">
        <f t="shared" ref="L7829:L7839" si="1777">"077672"</f>
        <v>077672</v>
      </c>
      <c r="M7829" t="str">
        <f t="shared" ref="M7829:M7839" si="1778">"81303"</f>
        <v>81303</v>
      </c>
      <c r="N7829" t="s">
        <v>66</v>
      </c>
      <c r="O7829">
        <v>85</v>
      </c>
      <c r="P7829">
        <v>20190808</v>
      </c>
      <c r="Q7829" t="s">
        <v>1929</v>
      </c>
      <c r="R7829" t="s">
        <v>6152</v>
      </c>
      <c r="S7829" t="s">
        <v>1615</v>
      </c>
      <c r="T7829" t="s">
        <v>301</v>
      </c>
    </row>
    <row r="7830" spans="1:20" x14ac:dyDescent="0.25">
      <c r="A7830">
        <v>9</v>
      </c>
      <c r="B7830">
        <v>199</v>
      </c>
      <c r="C7830" t="str">
        <f t="shared" si="1775"/>
        <v>11</v>
      </c>
      <c r="D7830">
        <v>6395</v>
      </c>
      <c r="E7830" t="str">
        <f>"10"</f>
        <v>10</v>
      </c>
      <c r="F7830" t="str">
        <f>"001"</f>
        <v>001</v>
      </c>
      <c r="G7830">
        <v>9</v>
      </c>
      <c r="H7830" t="str">
        <f t="shared" si="1776"/>
        <v>11</v>
      </c>
      <c r="I7830" t="str">
        <f t="shared" si="1772"/>
        <v>0</v>
      </c>
      <c r="J7830" t="str">
        <f>"01"</f>
        <v>01</v>
      </c>
      <c r="K7830">
        <v>20190809</v>
      </c>
      <c r="L7830" t="str">
        <f t="shared" si="1777"/>
        <v>077672</v>
      </c>
      <c r="M7830" t="str">
        <f t="shared" si="1778"/>
        <v>81303</v>
      </c>
      <c r="N7830" t="s">
        <v>66</v>
      </c>
      <c r="O7830">
        <v>435.6</v>
      </c>
      <c r="P7830">
        <v>20190808</v>
      </c>
      <c r="Q7830" t="s">
        <v>1929</v>
      </c>
      <c r="R7830" t="s">
        <v>4570</v>
      </c>
      <c r="S7830" t="s">
        <v>1615</v>
      </c>
      <c r="T7830" t="s">
        <v>301</v>
      </c>
    </row>
    <row r="7831" spans="1:20" x14ac:dyDescent="0.25">
      <c r="A7831">
        <v>9</v>
      </c>
      <c r="B7831">
        <v>199</v>
      </c>
      <c r="C7831" t="str">
        <f t="shared" si="1775"/>
        <v>11</v>
      </c>
      <c r="D7831">
        <v>6395</v>
      </c>
      <c r="E7831" t="str">
        <f>"10"</f>
        <v>10</v>
      </c>
      <c r="F7831" t="str">
        <f>"001"</f>
        <v>001</v>
      </c>
      <c r="G7831">
        <v>9</v>
      </c>
      <c r="H7831" t="str">
        <f t="shared" si="1776"/>
        <v>11</v>
      </c>
      <c r="I7831" t="str">
        <f t="shared" si="1772"/>
        <v>0</v>
      </c>
      <c r="J7831" t="str">
        <f>"01"</f>
        <v>01</v>
      </c>
      <c r="K7831">
        <v>20190809</v>
      </c>
      <c r="L7831" t="str">
        <f t="shared" si="1777"/>
        <v>077672</v>
      </c>
      <c r="M7831" t="str">
        <f t="shared" si="1778"/>
        <v>81303</v>
      </c>
      <c r="N7831" t="s">
        <v>66</v>
      </c>
      <c r="O7831">
        <v>412.5</v>
      </c>
      <c r="P7831">
        <v>20190808</v>
      </c>
      <c r="Q7831" t="s">
        <v>1929</v>
      </c>
      <c r="R7831" t="s">
        <v>6153</v>
      </c>
      <c r="S7831" t="s">
        <v>1615</v>
      </c>
      <c r="T7831" t="s">
        <v>301</v>
      </c>
    </row>
    <row r="7832" spans="1:20" x14ac:dyDescent="0.25">
      <c r="A7832">
        <v>9</v>
      </c>
      <c r="B7832">
        <v>199</v>
      </c>
      <c r="C7832" t="str">
        <f t="shared" si="1775"/>
        <v>11</v>
      </c>
      <c r="D7832">
        <v>6395</v>
      </c>
      <c r="E7832" t="str">
        <f>"10"</f>
        <v>10</v>
      </c>
      <c r="F7832" t="str">
        <f>"001"</f>
        <v>001</v>
      </c>
      <c r="G7832">
        <v>9</v>
      </c>
      <c r="H7832" t="str">
        <f t="shared" si="1776"/>
        <v>11</v>
      </c>
      <c r="I7832" t="str">
        <f t="shared" si="1772"/>
        <v>0</v>
      </c>
      <c r="J7832" t="str">
        <f>"01"</f>
        <v>01</v>
      </c>
      <c r="K7832">
        <v>20190809</v>
      </c>
      <c r="L7832" t="str">
        <f t="shared" si="1777"/>
        <v>077672</v>
      </c>
      <c r="M7832" t="str">
        <f t="shared" si="1778"/>
        <v>81303</v>
      </c>
      <c r="N7832" t="s">
        <v>66</v>
      </c>
      <c r="O7832">
        <v>300</v>
      </c>
      <c r="P7832">
        <v>20190808</v>
      </c>
      <c r="Q7832" t="s">
        <v>1929</v>
      </c>
      <c r="R7832" t="s">
        <v>6153</v>
      </c>
      <c r="S7832" t="s">
        <v>1615</v>
      </c>
      <c r="T7832" t="s">
        <v>301</v>
      </c>
    </row>
    <row r="7833" spans="1:20" x14ac:dyDescent="0.25">
      <c r="A7833">
        <v>9</v>
      </c>
      <c r="B7833">
        <v>199</v>
      </c>
      <c r="C7833" t="str">
        <f t="shared" si="1775"/>
        <v>11</v>
      </c>
      <c r="D7833">
        <v>6395</v>
      </c>
      <c r="E7833" t="str">
        <f>"10"</f>
        <v>10</v>
      </c>
      <c r="F7833" t="str">
        <f>"001"</f>
        <v>001</v>
      </c>
      <c r="G7833">
        <v>9</v>
      </c>
      <c r="H7833" t="str">
        <f t="shared" si="1776"/>
        <v>11</v>
      </c>
      <c r="I7833" t="str">
        <f t="shared" si="1772"/>
        <v>0</v>
      </c>
      <c r="J7833" t="str">
        <f>"01"</f>
        <v>01</v>
      </c>
      <c r="K7833">
        <v>20190809</v>
      </c>
      <c r="L7833" t="str">
        <f t="shared" si="1777"/>
        <v>077672</v>
      </c>
      <c r="M7833" t="str">
        <f t="shared" si="1778"/>
        <v>81303</v>
      </c>
      <c r="N7833" t="s">
        <v>66</v>
      </c>
      <c r="O7833">
        <v>62.7</v>
      </c>
      <c r="P7833">
        <v>20190808</v>
      </c>
      <c r="Q7833" t="s">
        <v>1929</v>
      </c>
      <c r="R7833" t="s">
        <v>6154</v>
      </c>
      <c r="S7833" t="s">
        <v>1615</v>
      </c>
      <c r="T7833" t="s">
        <v>301</v>
      </c>
    </row>
    <row r="7834" spans="1:20" x14ac:dyDescent="0.25">
      <c r="A7834">
        <v>9</v>
      </c>
      <c r="B7834">
        <v>199</v>
      </c>
      <c r="C7834" t="str">
        <f t="shared" si="1775"/>
        <v>11</v>
      </c>
      <c r="D7834">
        <v>6395</v>
      </c>
      <c r="E7834" t="str">
        <f>"45"</f>
        <v>45</v>
      </c>
      <c r="F7834" t="str">
        <f>"104"</f>
        <v>104</v>
      </c>
      <c r="G7834">
        <v>9</v>
      </c>
      <c r="H7834" t="str">
        <f t="shared" si="1776"/>
        <v>11</v>
      </c>
      <c r="I7834" t="str">
        <f t="shared" si="1772"/>
        <v>0</v>
      </c>
      <c r="J7834" t="str">
        <f>"05"</f>
        <v>05</v>
      </c>
      <c r="K7834">
        <v>20190809</v>
      </c>
      <c r="L7834" t="str">
        <f t="shared" si="1777"/>
        <v>077672</v>
      </c>
      <c r="M7834" t="str">
        <f t="shared" si="1778"/>
        <v>81303</v>
      </c>
      <c r="N7834" t="s">
        <v>66</v>
      </c>
      <c r="O7834">
        <v>80</v>
      </c>
      <c r="P7834">
        <v>20190808</v>
      </c>
      <c r="Q7834" t="s">
        <v>3480</v>
      </c>
      <c r="R7834" t="s">
        <v>6155</v>
      </c>
      <c r="S7834" t="s">
        <v>1615</v>
      </c>
      <c r="T7834" t="s">
        <v>46</v>
      </c>
    </row>
    <row r="7835" spans="1:20" x14ac:dyDescent="0.25">
      <c r="A7835">
        <v>9</v>
      </c>
      <c r="B7835">
        <v>199</v>
      </c>
      <c r="C7835" t="str">
        <f t="shared" si="1775"/>
        <v>11</v>
      </c>
      <c r="D7835">
        <v>6395</v>
      </c>
      <c r="E7835" t="str">
        <f>"45"</f>
        <v>45</v>
      </c>
      <c r="F7835" t="str">
        <f>"104"</f>
        <v>104</v>
      </c>
      <c r="G7835">
        <v>9</v>
      </c>
      <c r="H7835" t="str">
        <f t="shared" si="1776"/>
        <v>11</v>
      </c>
      <c r="I7835" t="str">
        <f t="shared" si="1772"/>
        <v>0</v>
      </c>
      <c r="J7835" t="str">
        <f>"05"</f>
        <v>05</v>
      </c>
      <c r="K7835">
        <v>20190809</v>
      </c>
      <c r="L7835" t="str">
        <f t="shared" si="1777"/>
        <v>077672</v>
      </c>
      <c r="M7835" t="str">
        <f t="shared" si="1778"/>
        <v>81303</v>
      </c>
      <c r="N7835" t="s">
        <v>66</v>
      </c>
      <c r="O7835">
        <v>46.5</v>
      </c>
      <c r="P7835">
        <v>20190808</v>
      </c>
      <c r="Q7835" t="s">
        <v>3480</v>
      </c>
      <c r="R7835" t="s">
        <v>5210</v>
      </c>
      <c r="S7835" t="s">
        <v>1615</v>
      </c>
      <c r="T7835" t="s">
        <v>46</v>
      </c>
    </row>
    <row r="7836" spans="1:20" x14ac:dyDescent="0.25">
      <c r="A7836">
        <v>9</v>
      </c>
      <c r="B7836">
        <v>199</v>
      </c>
      <c r="C7836" t="str">
        <f>"21"</f>
        <v>21</v>
      </c>
      <c r="D7836">
        <v>6394</v>
      </c>
      <c r="E7836" t="str">
        <f>"00"</f>
        <v>00</v>
      </c>
      <c r="F7836" t="str">
        <f>"875"</f>
        <v>875</v>
      </c>
      <c r="G7836">
        <v>9</v>
      </c>
      <c r="H7836" t="str">
        <f>"23"</f>
        <v>23</v>
      </c>
      <c r="I7836" t="str">
        <f t="shared" si="1772"/>
        <v>0</v>
      </c>
      <c r="J7836" t="str">
        <f>"23"</f>
        <v>23</v>
      </c>
      <c r="K7836">
        <v>20190809</v>
      </c>
      <c r="L7836" t="str">
        <f t="shared" si="1777"/>
        <v>077672</v>
      </c>
      <c r="M7836" t="str">
        <f t="shared" si="1778"/>
        <v>81303</v>
      </c>
      <c r="N7836" t="s">
        <v>66</v>
      </c>
      <c r="O7836">
        <v>340</v>
      </c>
      <c r="P7836">
        <v>20190808</v>
      </c>
      <c r="Q7836" t="s">
        <v>2933</v>
      </c>
      <c r="R7836" t="s">
        <v>6156</v>
      </c>
      <c r="S7836" t="s">
        <v>1615</v>
      </c>
      <c r="T7836" t="s">
        <v>2041</v>
      </c>
    </row>
    <row r="7837" spans="1:20" x14ac:dyDescent="0.25">
      <c r="A7837">
        <v>9</v>
      </c>
      <c r="B7837">
        <v>199</v>
      </c>
      <c r="C7837" t="str">
        <f>"31"</f>
        <v>31</v>
      </c>
      <c r="D7837">
        <v>6399</v>
      </c>
      <c r="E7837" t="str">
        <f>"7F"</f>
        <v>7F</v>
      </c>
      <c r="F7837" t="str">
        <f>"041"</f>
        <v>041</v>
      </c>
      <c r="G7837">
        <v>9</v>
      </c>
      <c r="H7837" t="str">
        <f>"99"</f>
        <v>99</v>
      </c>
      <c r="I7837" t="str">
        <f t="shared" si="1772"/>
        <v>0</v>
      </c>
      <c r="J7837" t="str">
        <f>"03"</f>
        <v>03</v>
      </c>
      <c r="K7837">
        <v>20190809</v>
      </c>
      <c r="L7837" t="str">
        <f t="shared" si="1777"/>
        <v>077672</v>
      </c>
      <c r="M7837" t="str">
        <f t="shared" si="1778"/>
        <v>81303</v>
      </c>
      <c r="N7837" t="s">
        <v>66</v>
      </c>
      <c r="O7837">
        <v>325</v>
      </c>
      <c r="P7837">
        <v>20190808</v>
      </c>
      <c r="Q7837" t="s">
        <v>4451</v>
      </c>
      <c r="R7837" t="s">
        <v>3482</v>
      </c>
      <c r="S7837" t="s">
        <v>1615</v>
      </c>
      <c r="T7837" t="s">
        <v>106</v>
      </c>
    </row>
    <row r="7838" spans="1:20" x14ac:dyDescent="0.25">
      <c r="A7838">
        <v>9</v>
      </c>
      <c r="B7838">
        <v>199</v>
      </c>
      <c r="C7838" t="str">
        <f>"33"</f>
        <v>33</v>
      </c>
      <c r="D7838">
        <v>6395</v>
      </c>
      <c r="E7838" t="str">
        <f>"8F"</f>
        <v>8F</v>
      </c>
      <c r="F7838" t="str">
        <f>"104"</f>
        <v>104</v>
      </c>
      <c r="G7838">
        <v>9</v>
      </c>
      <c r="H7838" t="str">
        <f>"99"</f>
        <v>99</v>
      </c>
      <c r="I7838" t="str">
        <f t="shared" ref="I7838:I7869" si="1779">"0"</f>
        <v>0</v>
      </c>
      <c r="J7838" t="str">
        <f>"05"</f>
        <v>05</v>
      </c>
      <c r="K7838">
        <v>20190809</v>
      </c>
      <c r="L7838" t="str">
        <f t="shared" si="1777"/>
        <v>077672</v>
      </c>
      <c r="M7838" t="str">
        <f t="shared" si="1778"/>
        <v>81303</v>
      </c>
      <c r="N7838" t="s">
        <v>66</v>
      </c>
      <c r="O7838">
        <v>93</v>
      </c>
      <c r="P7838">
        <v>20190808</v>
      </c>
      <c r="Q7838" t="s">
        <v>4310</v>
      </c>
      <c r="R7838" t="s">
        <v>6157</v>
      </c>
      <c r="S7838" t="s">
        <v>1615</v>
      </c>
      <c r="T7838" t="s">
        <v>46</v>
      </c>
    </row>
    <row r="7839" spans="1:20" x14ac:dyDescent="0.25">
      <c r="A7839">
        <v>9</v>
      </c>
      <c r="B7839">
        <v>199</v>
      </c>
      <c r="C7839" t="str">
        <f>"41"</f>
        <v>41</v>
      </c>
      <c r="D7839">
        <v>6399</v>
      </c>
      <c r="E7839" t="str">
        <f>"10"</f>
        <v>10</v>
      </c>
      <c r="F7839" t="str">
        <f>"726"</f>
        <v>726</v>
      </c>
      <c r="G7839">
        <v>9</v>
      </c>
      <c r="H7839" t="str">
        <f>"99"</f>
        <v>99</v>
      </c>
      <c r="I7839" t="str">
        <f t="shared" si="1779"/>
        <v>0</v>
      </c>
      <c r="J7839" t="str">
        <f>"91"</f>
        <v>91</v>
      </c>
      <c r="K7839">
        <v>20190809</v>
      </c>
      <c r="L7839" t="str">
        <f t="shared" si="1777"/>
        <v>077672</v>
      </c>
      <c r="M7839" t="str">
        <f t="shared" si="1778"/>
        <v>81303</v>
      </c>
      <c r="N7839" t="s">
        <v>66</v>
      </c>
      <c r="O7839">
        <v>32.380000000000003</v>
      </c>
      <c r="P7839">
        <v>20190808</v>
      </c>
      <c r="Q7839" t="s">
        <v>2702</v>
      </c>
      <c r="R7839" t="s">
        <v>6158</v>
      </c>
      <c r="S7839" t="s">
        <v>1615</v>
      </c>
      <c r="T7839" t="s">
        <v>2608</v>
      </c>
    </row>
    <row r="7840" spans="1:20" x14ac:dyDescent="0.25">
      <c r="A7840">
        <v>9</v>
      </c>
      <c r="B7840">
        <v>199</v>
      </c>
      <c r="C7840" t="str">
        <f>"51"</f>
        <v>51</v>
      </c>
      <c r="D7840">
        <v>6319</v>
      </c>
      <c r="E7840" t="str">
        <f>"M2"</f>
        <v>M2</v>
      </c>
      <c r="F7840" t="str">
        <f>"936"</f>
        <v>936</v>
      </c>
      <c r="G7840">
        <v>9</v>
      </c>
      <c r="H7840" t="str">
        <f>"99"</f>
        <v>99</v>
      </c>
      <c r="I7840" t="str">
        <f t="shared" si="1779"/>
        <v>0</v>
      </c>
      <c r="J7840" t="str">
        <f>"81"</f>
        <v>81</v>
      </c>
      <c r="K7840">
        <v>20190809</v>
      </c>
      <c r="L7840" t="str">
        <f>"077673"</f>
        <v>077673</v>
      </c>
      <c r="M7840" t="str">
        <f>"00794"</f>
        <v>00794</v>
      </c>
      <c r="N7840" t="s">
        <v>4582</v>
      </c>
      <c r="O7840">
        <v>125.61</v>
      </c>
      <c r="P7840">
        <v>20190808</v>
      </c>
      <c r="Q7840" t="s">
        <v>2074</v>
      </c>
      <c r="R7840" t="s">
        <v>6159</v>
      </c>
      <c r="S7840" t="s">
        <v>1615</v>
      </c>
      <c r="T7840" t="s">
        <v>1713</v>
      </c>
    </row>
    <row r="7841" spans="1:20" x14ac:dyDescent="0.25">
      <c r="A7841">
        <v>9</v>
      </c>
      <c r="B7841">
        <v>199</v>
      </c>
      <c r="C7841" t="str">
        <f>"51"</f>
        <v>51</v>
      </c>
      <c r="D7841">
        <v>6319</v>
      </c>
      <c r="E7841" t="str">
        <f>"M2"</f>
        <v>M2</v>
      </c>
      <c r="F7841" t="str">
        <f>"936"</f>
        <v>936</v>
      </c>
      <c r="G7841">
        <v>9</v>
      </c>
      <c r="H7841" t="str">
        <f>"99"</f>
        <v>99</v>
      </c>
      <c r="I7841" t="str">
        <f t="shared" si="1779"/>
        <v>0</v>
      </c>
      <c r="J7841" t="str">
        <f>"81"</f>
        <v>81</v>
      </c>
      <c r="K7841">
        <v>20190809</v>
      </c>
      <c r="L7841" t="str">
        <f>"077673"</f>
        <v>077673</v>
      </c>
      <c r="M7841" t="str">
        <f>"00794"</f>
        <v>00794</v>
      </c>
      <c r="N7841" t="s">
        <v>4582</v>
      </c>
      <c r="O7841">
        <v>105.12</v>
      </c>
      <c r="P7841">
        <v>20190808</v>
      </c>
      <c r="Q7841" t="s">
        <v>2074</v>
      </c>
      <c r="R7841" t="s">
        <v>6160</v>
      </c>
      <c r="S7841" t="s">
        <v>1615</v>
      </c>
      <c r="T7841" t="s">
        <v>1713</v>
      </c>
    </row>
    <row r="7842" spans="1:20" x14ac:dyDescent="0.25">
      <c r="A7842">
        <v>9</v>
      </c>
      <c r="B7842">
        <v>199</v>
      </c>
      <c r="C7842" t="str">
        <f>"11"</f>
        <v>11</v>
      </c>
      <c r="D7842">
        <v>6269</v>
      </c>
      <c r="E7842" t="str">
        <f>"V8"</f>
        <v>V8</v>
      </c>
      <c r="F7842" t="str">
        <f>"001"</f>
        <v>001</v>
      </c>
      <c r="G7842">
        <v>9</v>
      </c>
      <c r="H7842" t="str">
        <f>"22"</f>
        <v>22</v>
      </c>
      <c r="I7842" t="str">
        <f t="shared" si="1779"/>
        <v>0</v>
      </c>
      <c r="J7842" t="str">
        <f>"22"</f>
        <v>22</v>
      </c>
      <c r="K7842">
        <v>20190816</v>
      </c>
      <c r="L7842" t="str">
        <f>"077677"</f>
        <v>077677</v>
      </c>
      <c r="M7842" t="str">
        <f>"02230"</f>
        <v>02230</v>
      </c>
      <c r="N7842" t="s">
        <v>1673</v>
      </c>
      <c r="O7842">
        <v>88.37</v>
      </c>
      <c r="P7842">
        <v>20190814</v>
      </c>
      <c r="Q7842" t="s">
        <v>2154</v>
      </c>
      <c r="R7842" t="s">
        <v>5715</v>
      </c>
      <c r="S7842" t="s">
        <v>1615</v>
      </c>
      <c r="T7842" t="s">
        <v>301</v>
      </c>
    </row>
    <row r="7843" spans="1:20" x14ac:dyDescent="0.25">
      <c r="A7843">
        <v>9</v>
      </c>
      <c r="B7843">
        <v>199</v>
      </c>
      <c r="C7843" t="str">
        <f>"11"</f>
        <v>11</v>
      </c>
      <c r="D7843">
        <v>6399</v>
      </c>
      <c r="E7843" t="str">
        <f>"45"</f>
        <v>45</v>
      </c>
      <c r="F7843" t="str">
        <f>"101"</f>
        <v>101</v>
      </c>
      <c r="G7843">
        <v>9</v>
      </c>
      <c r="H7843" t="str">
        <f>"11"</f>
        <v>11</v>
      </c>
      <c r="I7843" t="str">
        <f t="shared" si="1779"/>
        <v>0</v>
      </c>
      <c r="J7843" t="str">
        <f>"04"</f>
        <v>04</v>
      </c>
      <c r="K7843">
        <v>20190816</v>
      </c>
      <c r="L7843" t="str">
        <f>"077680"</f>
        <v>077680</v>
      </c>
      <c r="M7843" t="str">
        <f>"04410"</f>
        <v>04410</v>
      </c>
      <c r="N7843" t="s">
        <v>410</v>
      </c>
      <c r="O7843">
        <v>-14.99</v>
      </c>
      <c r="P7843">
        <v>20190813</v>
      </c>
      <c r="Q7843" t="s">
        <v>1859</v>
      </c>
      <c r="R7843" t="s">
        <v>6161</v>
      </c>
      <c r="S7843" t="s">
        <v>1615</v>
      </c>
      <c r="T7843" t="s">
        <v>1479</v>
      </c>
    </row>
    <row r="7844" spans="1:20" x14ac:dyDescent="0.25">
      <c r="A7844">
        <v>9</v>
      </c>
      <c r="B7844">
        <v>199</v>
      </c>
      <c r="C7844" t="str">
        <f>"23"</f>
        <v>23</v>
      </c>
      <c r="D7844">
        <v>6399</v>
      </c>
      <c r="E7844" t="str">
        <f>"11"</f>
        <v>11</v>
      </c>
      <c r="F7844" t="str">
        <f>"041"</f>
        <v>041</v>
      </c>
      <c r="G7844">
        <v>9</v>
      </c>
      <c r="H7844" t="str">
        <f t="shared" ref="H7844:H7851" si="1780">"99"</f>
        <v>99</v>
      </c>
      <c r="I7844" t="str">
        <f t="shared" si="1779"/>
        <v>0</v>
      </c>
      <c r="J7844" t="str">
        <f>"03"</f>
        <v>03</v>
      </c>
      <c r="K7844">
        <v>20190816</v>
      </c>
      <c r="L7844" t="str">
        <f>"077680"</f>
        <v>077680</v>
      </c>
      <c r="M7844" t="str">
        <f>"04410"</f>
        <v>04410</v>
      </c>
      <c r="N7844" t="s">
        <v>410</v>
      </c>
      <c r="O7844">
        <v>-18.079999999999998</v>
      </c>
      <c r="P7844">
        <v>20190802</v>
      </c>
      <c r="Q7844" t="s">
        <v>1955</v>
      </c>
      <c r="R7844" t="s">
        <v>6162</v>
      </c>
      <c r="S7844" t="s">
        <v>1615</v>
      </c>
      <c r="T7844" t="s">
        <v>106</v>
      </c>
    </row>
    <row r="7845" spans="1:20" x14ac:dyDescent="0.25">
      <c r="A7845">
        <v>9</v>
      </c>
      <c r="B7845">
        <v>199</v>
      </c>
      <c r="C7845" t="str">
        <f>"34"</f>
        <v>34</v>
      </c>
      <c r="D7845">
        <v>6249</v>
      </c>
      <c r="E7845" t="str">
        <f>"10"</f>
        <v>10</v>
      </c>
      <c r="F7845" t="str">
        <f>"937"</f>
        <v>937</v>
      </c>
      <c r="G7845">
        <v>9</v>
      </c>
      <c r="H7845" t="str">
        <f t="shared" si="1780"/>
        <v>99</v>
      </c>
      <c r="I7845" t="str">
        <f t="shared" si="1779"/>
        <v>0</v>
      </c>
      <c r="J7845" t="str">
        <f>"82"</f>
        <v>82</v>
      </c>
      <c r="K7845">
        <v>20190816</v>
      </c>
      <c r="L7845" t="str">
        <f>"077681"</f>
        <v>077681</v>
      </c>
      <c r="M7845" t="str">
        <f>"24208"</f>
        <v>24208</v>
      </c>
      <c r="N7845" t="s">
        <v>2356</v>
      </c>
      <c r="O7845">
        <v>150</v>
      </c>
      <c r="P7845">
        <v>20190814</v>
      </c>
      <c r="Q7845" t="s">
        <v>2036</v>
      </c>
      <c r="R7845" t="s">
        <v>6163</v>
      </c>
      <c r="S7845" t="s">
        <v>1615</v>
      </c>
      <c r="T7845" t="s">
        <v>1810</v>
      </c>
    </row>
    <row r="7846" spans="1:20" x14ac:dyDescent="0.25">
      <c r="A7846">
        <v>9</v>
      </c>
      <c r="B7846">
        <v>199</v>
      </c>
      <c r="C7846" t="str">
        <f>"34"</f>
        <v>34</v>
      </c>
      <c r="D7846">
        <v>6249</v>
      </c>
      <c r="E7846" t="str">
        <f>"10"</f>
        <v>10</v>
      </c>
      <c r="F7846" t="str">
        <f>"937"</f>
        <v>937</v>
      </c>
      <c r="G7846">
        <v>9</v>
      </c>
      <c r="H7846" t="str">
        <f t="shared" si="1780"/>
        <v>99</v>
      </c>
      <c r="I7846" t="str">
        <f t="shared" si="1779"/>
        <v>0</v>
      </c>
      <c r="J7846" t="str">
        <f>"82"</f>
        <v>82</v>
      </c>
      <c r="K7846">
        <v>20190816</v>
      </c>
      <c r="L7846" t="str">
        <f>"077681"</f>
        <v>077681</v>
      </c>
      <c r="M7846" t="str">
        <f>"24208"</f>
        <v>24208</v>
      </c>
      <c r="N7846" t="s">
        <v>2356</v>
      </c>
      <c r="O7846">
        <v>150</v>
      </c>
      <c r="P7846">
        <v>20190814</v>
      </c>
      <c r="Q7846" t="s">
        <v>2036</v>
      </c>
      <c r="R7846" t="s">
        <v>6164</v>
      </c>
      <c r="S7846" t="s">
        <v>1615</v>
      </c>
      <c r="T7846" t="s">
        <v>1810</v>
      </c>
    </row>
    <row r="7847" spans="1:20" x14ac:dyDescent="0.25">
      <c r="A7847">
        <v>9</v>
      </c>
      <c r="B7847">
        <v>199</v>
      </c>
      <c r="C7847" t="str">
        <f>"34"</f>
        <v>34</v>
      </c>
      <c r="D7847">
        <v>6249</v>
      </c>
      <c r="E7847" t="str">
        <f>"10"</f>
        <v>10</v>
      </c>
      <c r="F7847" t="str">
        <f>"937"</f>
        <v>937</v>
      </c>
      <c r="G7847">
        <v>9</v>
      </c>
      <c r="H7847" t="str">
        <f t="shared" si="1780"/>
        <v>99</v>
      </c>
      <c r="I7847" t="str">
        <f t="shared" si="1779"/>
        <v>0</v>
      </c>
      <c r="J7847" t="str">
        <f>"82"</f>
        <v>82</v>
      </c>
      <c r="K7847">
        <v>20190816</v>
      </c>
      <c r="L7847" t="str">
        <f>"077681"</f>
        <v>077681</v>
      </c>
      <c r="M7847" t="str">
        <f>"24208"</f>
        <v>24208</v>
      </c>
      <c r="N7847" t="s">
        <v>2356</v>
      </c>
      <c r="O7847">
        <v>190</v>
      </c>
      <c r="P7847">
        <v>20190814</v>
      </c>
      <c r="Q7847" t="s">
        <v>2036</v>
      </c>
      <c r="R7847" t="s">
        <v>6165</v>
      </c>
      <c r="S7847" t="s">
        <v>1615</v>
      </c>
      <c r="T7847" t="s">
        <v>1810</v>
      </c>
    </row>
    <row r="7848" spans="1:20" x14ac:dyDescent="0.25">
      <c r="A7848">
        <v>9</v>
      </c>
      <c r="B7848">
        <v>199</v>
      </c>
      <c r="C7848" t="str">
        <f>"34"</f>
        <v>34</v>
      </c>
      <c r="D7848">
        <v>6249</v>
      </c>
      <c r="E7848" t="str">
        <f>"10"</f>
        <v>10</v>
      </c>
      <c r="F7848" t="str">
        <f>"937"</f>
        <v>937</v>
      </c>
      <c r="G7848">
        <v>9</v>
      </c>
      <c r="H7848" t="str">
        <f t="shared" si="1780"/>
        <v>99</v>
      </c>
      <c r="I7848" t="str">
        <f t="shared" si="1779"/>
        <v>0</v>
      </c>
      <c r="J7848" t="str">
        <f>"82"</f>
        <v>82</v>
      </c>
      <c r="K7848">
        <v>20190816</v>
      </c>
      <c r="L7848" t="str">
        <f>"077681"</f>
        <v>077681</v>
      </c>
      <c r="M7848" t="str">
        <f>"24208"</f>
        <v>24208</v>
      </c>
      <c r="N7848" t="s">
        <v>2356</v>
      </c>
      <c r="O7848">
        <v>150</v>
      </c>
      <c r="P7848">
        <v>20190814</v>
      </c>
      <c r="Q7848" t="s">
        <v>2036</v>
      </c>
      <c r="R7848" t="s">
        <v>6166</v>
      </c>
      <c r="S7848" t="s">
        <v>1615</v>
      </c>
      <c r="T7848" t="s">
        <v>1810</v>
      </c>
    </row>
    <row r="7849" spans="1:20" x14ac:dyDescent="0.25">
      <c r="A7849">
        <v>9</v>
      </c>
      <c r="B7849">
        <v>199</v>
      </c>
      <c r="C7849" t="str">
        <f>"51"</f>
        <v>51</v>
      </c>
      <c r="D7849">
        <v>6399</v>
      </c>
      <c r="E7849" t="str">
        <f>"3S"</f>
        <v>3S</v>
      </c>
      <c r="F7849" t="str">
        <f>"878"</f>
        <v>878</v>
      </c>
      <c r="G7849">
        <v>9</v>
      </c>
      <c r="H7849" t="str">
        <f t="shared" si="1780"/>
        <v>99</v>
      </c>
      <c r="I7849" t="str">
        <f t="shared" si="1779"/>
        <v>0</v>
      </c>
      <c r="J7849" t="str">
        <f>"81"</f>
        <v>81</v>
      </c>
      <c r="K7849">
        <v>20190816</v>
      </c>
      <c r="L7849" t="str">
        <f>"077682"</f>
        <v>077682</v>
      </c>
      <c r="M7849" t="str">
        <f>"07685"</f>
        <v>07685</v>
      </c>
      <c r="N7849" t="s">
        <v>1678</v>
      </c>
      <c r="O7849">
        <v>427.5</v>
      </c>
      <c r="P7849">
        <v>20190814</v>
      </c>
      <c r="Q7849" t="s">
        <v>4466</v>
      </c>
      <c r="R7849" t="s">
        <v>6167</v>
      </c>
      <c r="S7849" t="s">
        <v>1615</v>
      </c>
      <c r="T7849" t="s">
        <v>4465</v>
      </c>
    </row>
    <row r="7850" spans="1:20" x14ac:dyDescent="0.25">
      <c r="A7850">
        <v>9</v>
      </c>
      <c r="B7850">
        <v>199</v>
      </c>
      <c r="C7850" t="str">
        <f>"51"</f>
        <v>51</v>
      </c>
      <c r="D7850">
        <v>6319</v>
      </c>
      <c r="E7850" t="str">
        <f>"M2"</f>
        <v>M2</v>
      </c>
      <c r="F7850" t="str">
        <f>"936"</f>
        <v>936</v>
      </c>
      <c r="G7850">
        <v>9</v>
      </c>
      <c r="H7850" t="str">
        <f t="shared" si="1780"/>
        <v>99</v>
      </c>
      <c r="I7850" t="str">
        <f t="shared" si="1779"/>
        <v>0</v>
      </c>
      <c r="J7850" t="str">
        <f>"81"</f>
        <v>81</v>
      </c>
      <c r="K7850">
        <v>20190816</v>
      </c>
      <c r="L7850" t="str">
        <f>"077683"</f>
        <v>077683</v>
      </c>
      <c r="M7850" t="str">
        <f>"08132"</f>
        <v>08132</v>
      </c>
      <c r="N7850" t="s">
        <v>2449</v>
      </c>
      <c r="O7850">
        <v>262.51</v>
      </c>
      <c r="P7850">
        <v>20190814</v>
      </c>
      <c r="Q7850" t="s">
        <v>2074</v>
      </c>
      <c r="R7850" t="s">
        <v>6168</v>
      </c>
      <c r="S7850" t="s">
        <v>1615</v>
      </c>
      <c r="T7850" t="s">
        <v>1713</v>
      </c>
    </row>
    <row r="7851" spans="1:20" x14ac:dyDescent="0.25">
      <c r="A7851">
        <v>9</v>
      </c>
      <c r="B7851">
        <v>199</v>
      </c>
      <c r="C7851" t="str">
        <f>"51"</f>
        <v>51</v>
      </c>
      <c r="D7851">
        <v>6319</v>
      </c>
      <c r="E7851" t="str">
        <f>"M2"</f>
        <v>M2</v>
      </c>
      <c r="F7851" t="str">
        <f>"936"</f>
        <v>936</v>
      </c>
      <c r="G7851">
        <v>9</v>
      </c>
      <c r="H7851" t="str">
        <f t="shared" si="1780"/>
        <v>99</v>
      </c>
      <c r="I7851" t="str">
        <f t="shared" si="1779"/>
        <v>0</v>
      </c>
      <c r="J7851" t="str">
        <f>"81"</f>
        <v>81</v>
      </c>
      <c r="K7851">
        <v>20190816</v>
      </c>
      <c r="L7851" t="str">
        <f>"077683"</f>
        <v>077683</v>
      </c>
      <c r="M7851" t="str">
        <f>"08132"</f>
        <v>08132</v>
      </c>
      <c r="N7851" t="s">
        <v>2449</v>
      </c>
      <c r="O7851">
        <v>848.54</v>
      </c>
      <c r="P7851">
        <v>20190814</v>
      </c>
      <c r="Q7851" t="s">
        <v>2074</v>
      </c>
      <c r="R7851" t="s">
        <v>6169</v>
      </c>
      <c r="S7851" t="s">
        <v>1615</v>
      </c>
      <c r="T7851" t="s">
        <v>1713</v>
      </c>
    </row>
    <row r="7852" spans="1:20" x14ac:dyDescent="0.25">
      <c r="A7852">
        <v>9</v>
      </c>
      <c r="B7852">
        <v>199</v>
      </c>
      <c r="C7852" t="str">
        <f>"41"</f>
        <v>41</v>
      </c>
      <c r="D7852">
        <v>6211</v>
      </c>
      <c r="E7852" t="str">
        <f>"00"</f>
        <v>00</v>
      </c>
      <c r="F7852" t="str">
        <f>"875"</f>
        <v>875</v>
      </c>
      <c r="G7852">
        <v>9</v>
      </c>
      <c r="H7852" t="str">
        <f>"23"</f>
        <v>23</v>
      </c>
      <c r="I7852" t="str">
        <f t="shared" si="1779"/>
        <v>0</v>
      </c>
      <c r="J7852" t="str">
        <f>"23"</f>
        <v>23</v>
      </c>
      <c r="K7852">
        <v>20190816</v>
      </c>
      <c r="L7852" t="str">
        <f>"077686"</f>
        <v>077686</v>
      </c>
      <c r="M7852" t="str">
        <f>"13281"</f>
        <v>13281</v>
      </c>
      <c r="N7852" t="s">
        <v>1684</v>
      </c>
      <c r="O7852" s="1">
        <v>3037.73</v>
      </c>
      <c r="P7852">
        <v>20190814</v>
      </c>
      <c r="Q7852" t="s">
        <v>5609</v>
      </c>
      <c r="R7852" t="s">
        <v>6170</v>
      </c>
      <c r="S7852" t="s">
        <v>1615</v>
      </c>
      <c r="T7852" t="s">
        <v>2041</v>
      </c>
    </row>
    <row r="7853" spans="1:20" x14ac:dyDescent="0.25">
      <c r="A7853">
        <v>9</v>
      </c>
      <c r="B7853">
        <v>199</v>
      </c>
      <c r="C7853" t="str">
        <f>"13"</f>
        <v>13</v>
      </c>
      <c r="D7853">
        <v>6411</v>
      </c>
      <c r="E7853" t="str">
        <f>"R1"</f>
        <v>R1</v>
      </c>
      <c r="F7853" t="str">
        <f>"001"</f>
        <v>001</v>
      </c>
      <c r="G7853">
        <v>9</v>
      </c>
      <c r="H7853" t="str">
        <f>"11"</f>
        <v>11</v>
      </c>
      <c r="I7853" t="str">
        <f t="shared" si="1779"/>
        <v>0</v>
      </c>
      <c r="J7853" t="str">
        <f>"01"</f>
        <v>01</v>
      </c>
      <c r="K7853">
        <v>20190816</v>
      </c>
      <c r="L7853" t="str">
        <f>"077687"</f>
        <v>077687</v>
      </c>
      <c r="M7853" t="str">
        <f>"31367"</f>
        <v>31367</v>
      </c>
      <c r="N7853" t="s">
        <v>2199</v>
      </c>
      <c r="O7853">
        <v>33.76</v>
      </c>
      <c r="P7853">
        <v>20190815</v>
      </c>
      <c r="Q7853" t="s">
        <v>6056</v>
      </c>
      <c r="R7853" t="s">
        <v>5461</v>
      </c>
      <c r="S7853" t="s">
        <v>1615</v>
      </c>
      <c r="T7853" t="s">
        <v>301</v>
      </c>
    </row>
    <row r="7854" spans="1:20" x14ac:dyDescent="0.25">
      <c r="A7854">
        <v>9</v>
      </c>
      <c r="B7854">
        <v>199</v>
      </c>
      <c r="C7854" t="str">
        <f>"11"</f>
        <v>11</v>
      </c>
      <c r="D7854">
        <v>6219</v>
      </c>
      <c r="E7854" t="str">
        <f>"V8"</f>
        <v>V8</v>
      </c>
      <c r="F7854" t="str">
        <f>"001"</f>
        <v>001</v>
      </c>
      <c r="G7854">
        <v>9</v>
      </c>
      <c r="H7854" t="str">
        <f>"22"</f>
        <v>22</v>
      </c>
      <c r="I7854" t="str">
        <f t="shared" si="1779"/>
        <v>0</v>
      </c>
      <c r="J7854" t="str">
        <f>"22"</f>
        <v>22</v>
      </c>
      <c r="K7854">
        <v>20190816</v>
      </c>
      <c r="L7854" t="str">
        <f>"077691"</f>
        <v>077691</v>
      </c>
      <c r="M7854" t="str">
        <f>"00246"</f>
        <v>00246</v>
      </c>
      <c r="N7854" t="s">
        <v>1699</v>
      </c>
      <c r="O7854">
        <v>115</v>
      </c>
      <c r="P7854">
        <v>20190814</v>
      </c>
      <c r="Q7854" t="s">
        <v>5103</v>
      </c>
      <c r="R7854" t="s">
        <v>6171</v>
      </c>
      <c r="S7854" t="s">
        <v>1615</v>
      </c>
      <c r="T7854" t="s">
        <v>301</v>
      </c>
    </row>
    <row r="7855" spans="1:20" x14ac:dyDescent="0.25">
      <c r="A7855">
        <v>9</v>
      </c>
      <c r="B7855">
        <v>199</v>
      </c>
      <c r="C7855" t="str">
        <f>"11"</f>
        <v>11</v>
      </c>
      <c r="D7855">
        <v>6219</v>
      </c>
      <c r="E7855" t="str">
        <f>"V8"</f>
        <v>V8</v>
      </c>
      <c r="F7855" t="str">
        <f>"001"</f>
        <v>001</v>
      </c>
      <c r="G7855">
        <v>9</v>
      </c>
      <c r="H7855" t="str">
        <f>"22"</f>
        <v>22</v>
      </c>
      <c r="I7855" t="str">
        <f t="shared" si="1779"/>
        <v>0</v>
      </c>
      <c r="J7855" t="str">
        <f>"22"</f>
        <v>22</v>
      </c>
      <c r="K7855">
        <v>20190816</v>
      </c>
      <c r="L7855" t="str">
        <f>"077691"</f>
        <v>077691</v>
      </c>
      <c r="M7855" t="str">
        <f>"00246"</f>
        <v>00246</v>
      </c>
      <c r="N7855" t="s">
        <v>1699</v>
      </c>
      <c r="O7855">
        <v>174</v>
      </c>
      <c r="P7855">
        <v>20190814</v>
      </c>
      <c r="Q7855" t="s">
        <v>5103</v>
      </c>
      <c r="R7855" t="s">
        <v>6171</v>
      </c>
      <c r="S7855" t="s">
        <v>1615</v>
      </c>
      <c r="T7855" t="s">
        <v>301</v>
      </c>
    </row>
    <row r="7856" spans="1:20" x14ac:dyDescent="0.25">
      <c r="A7856">
        <v>9</v>
      </c>
      <c r="B7856">
        <v>199</v>
      </c>
      <c r="C7856" t="str">
        <f>"51"</f>
        <v>51</v>
      </c>
      <c r="D7856">
        <v>6219</v>
      </c>
      <c r="E7856" t="str">
        <f>"M7"</f>
        <v>M7</v>
      </c>
      <c r="F7856" t="str">
        <f>"936"</f>
        <v>936</v>
      </c>
      <c r="G7856">
        <v>9</v>
      </c>
      <c r="H7856" t="str">
        <f>"99"</f>
        <v>99</v>
      </c>
      <c r="I7856" t="str">
        <f t="shared" si="1779"/>
        <v>0</v>
      </c>
      <c r="J7856" t="str">
        <f>"81"</f>
        <v>81</v>
      </c>
      <c r="K7856">
        <v>20190816</v>
      </c>
      <c r="L7856" t="str">
        <f>"077692"</f>
        <v>077692</v>
      </c>
      <c r="M7856" t="str">
        <f>"20706"</f>
        <v>20706</v>
      </c>
      <c r="N7856" t="s">
        <v>2003</v>
      </c>
      <c r="O7856">
        <v>150</v>
      </c>
      <c r="P7856">
        <v>20190815</v>
      </c>
      <c r="Q7856" t="s">
        <v>2259</v>
      </c>
      <c r="R7856" t="s">
        <v>6172</v>
      </c>
      <c r="S7856" t="s">
        <v>1615</v>
      </c>
      <c r="T7856" t="s">
        <v>1713</v>
      </c>
    </row>
    <row r="7857" spans="1:20" x14ac:dyDescent="0.25">
      <c r="A7857">
        <v>9</v>
      </c>
      <c r="B7857">
        <v>199</v>
      </c>
      <c r="C7857" t="str">
        <f>"51"</f>
        <v>51</v>
      </c>
      <c r="D7857">
        <v>6219</v>
      </c>
      <c r="E7857" t="str">
        <f>"M7"</f>
        <v>M7</v>
      </c>
      <c r="F7857" t="str">
        <f>"936"</f>
        <v>936</v>
      </c>
      <c r="G7857">
        <v>9</v>
      </c>
      <c r="H7857" t="str">
        <f>"99"</f>
        <v>99</v>
      </c>
      <c r="I7857" t="str">
        <f t="shared" si="1779"/>
        <v>0</v>
      </c>
      <c r="J7857" t="str">
        <f>"81"</f>
        <v>81</v>
      </c>
      <c r="K7857">
        <v>20190816</v>
      </c>
      <c r="L7857" t="str">
        <f>"077692"</f>
        <v>077692</v>
      </c>
      <c r="M7857" t="str">
        <f>"20706"</f>
        <v>20706</v>
      </c>
      <c r="N7857" t="s">
        <v>2003</v>
      </c>
      <c r="O7857">
        <v>150</v>
      </c>
      <c r="P7857">
        <v>20190815</v>
      </c>
      <c r="Q7857" t="s">
        <v>2259</v>
      </c>
      <c r="R7857" t="s">
        <v>6173</v>
      </c>
      <c r="S7857" t="s">
        <v>1615</v>
      </c>
      <c r="T7857" t="s">
        <v>1713</v>
      </c>
    </row>
    <row r="7858" spans="1:20" x14ac:dyDescent="0.25">
      <c r="A7858">
        <v>9</v>
      </c>
      <c r="B7858">
        <v>199</v>
      </c>
      <c r="C7858" t="str">
        <f>"11"</f>
        <v>11</v>
      </c>
      <c r="D7858">
        <v>6396</v>
      </c>
      <c r="E7858" t="str">
        <f>"50"</f>
        <v>50</v>
      </c>
      <c r="F7858" t="str">
        <f>"001"</f>
        <v>001</v>
      </c>
      <c r="G7858">
        <v>9</v>
      </c>
      <c r="H7858" t="str">
        <f>"11"</f>
        <v>11</v>
      </c>
      <c r="I7858" t="str">
        <f t="shared" si="1779"/>
        <v>0</v>
      </c>
      <c r="J7858" t="str">
        <f>"80"</f>
        <v>80</v>
      </c>
      <c r="K7858">
        <v>20190816</v>
      </c>
      <c r="L7858" t="str">
        <f>"077693"</f>
        <v>077693</v>
      </c>
      <c r="M7858" t="str">
        <f>"21468"</f>
        <v>21468</v>
      </c>
      <c r="N7858" t="s">
        <v>2369</v>
      </c>
      <c r="O7858" s="1">
        <v>15012</v>
      </c>
      <c r="P7858">
        <v>20190814</v>
      </c>
      <c r="Q7858" t="s">
        <v>2281</v>
      </c>
      <c r="R7858" t="s">
        <v>6174</v>
      </c>
      <c r="S7858" t="s">
        <v>1615</v>
      </c>
      <c r="T7858" t="s">
        <v>301</v>
      </c>
    </row>
    <row r="7859" spans="1:20" x14ac:dyDescent="0.25">
      <c r="A7859">
        <v>9</v>
      </c>
      <c r="B7859">
        <v>199</v>
      </c>
      <c r="C7859" t="str">
        <f>"81"</f>
        <v>81</v>
      </c>
      <c r="D7859">
        <v>6629</v>
      </c>
      <c r="E7859" t="str">
        <f>"00"</f>
        <v>00</v>
      </c>
      <c r="F7859" t="str">
        <f>"104"</f>
        <v>104</v>
      </c>
      <c r="G7859">
        <v>9</v>
      </c>
      <c r="H7859" t="str">
        <f t="shared" ref="H7859:H7867" si="1781">"99"</f>
        <v>99</v>
      </c>
      <c r="I7859" t="str">
        <f t="shared" si="1779"/>
        <v>0</v>
      </c>
      <c r="J7859" t="str">
        <f>"80"</f>
        <v>80</v>
      </c>
      <c r="K7859">
        <v>20190816</v>
      </c>
      <c r="L7859" t="str">
        <f>"077693"</f>
        <v>077693</v>
      </c>
      <c r="M7859" t="str">
        <f>"21468"</f>
        <v>21468</v>
      </c>
      <c r="N7859" t="s">
        <v>2369</v>
      </c>
      <c r="O7859" s="1">
        <v>24274.05</v>
      </c>
      <c r="P7859">
        <v>20190814</v>
      </c>
      <c r="Q7859" t="s">
        <v>5898</v>
      </c>
      <c r="R7859" t="s">
        <v>6175</v>
      </c>
      <c r="S7859" t="s">
        <v>1615</v>
      </c>
      <c r="T7859" t="s">
        <v>46</v>
      </c>
    </row>
    <row r="7860" spans="1:20" x14ac:dyDescent="0.25">
      <c r="A7860">
        <v>9</v>
      </c>
      <c r="B7860">
        <v>199</v>
      </c>
      <c r="C7860" t="str">
        <f>"81"</f>
        <v>81</v>
      </c>
      <c r="D7860">
        <v>6629</v>
      </c>
      <c r="E7860" t="str">
        <f>"00"</f>
        <v>00</v>
      </c>
      <c r="F7860" t="str">
        <f>"104"</f>
        <v>104</v>
      </c>
      <c r="G7860">
        <v>9</v>
      </c>
      <c r="H7860" t="str">
        <f t="shared" si="1781"/>
        <v>99</v>
      </c>
      <c r="I7860" t="str">
        <f t="shared" si="1779"/>
        <v>0</v>
      </c>
      <c r="J7860" t="str">
        <f>"80"</f>
        <v>80</v>
      </c>
      <c r="K7860">
        <v>20190816</v>
      </c>
      <c r="L7860" t="str">
        <f>"077693"</f>
        <v>077693</v>
      </c>
      <c r="M7860" t="str">
        <f>"21468"</f>
        <v>21468</v>
      </c>
      <c r="N7860" t="s">
        <v>2369</v>
      </c>
      <c r="O7860" s="1">
        <v>8192.02</v>
      </c>
      <c r="P7860">
        <v>20190814</v>
      </c>
      <c r="Q7860" t="s">
        <v>5898</v>
      </c>
      <c r="R7860" t="s">
        <v>5979</v>
      </c>
      <c r="S7860" t="s">
        <v>1615</v>
      </c>
      <c r="T7860" t="s">
        <v>46</v>
      </c>
    </row>
    <row r="7861" spans="1:20" x14ac:dyDescent="0.25">
      <c r="A7861">
        <v>9</v>
      </c>
      <c r="B7861">
        <v>199</v>
      </c>
      <c r="C7861" t="str">
        <f>"21"</f>
        <v>21</v>
      </c>
      <c r="D7861">
        <v>6649</v>
      </c>
      <c r="E7861" t="str">
        <f>"10"</f>
        <v>10</v>
      </c>
      <c r="F7861" t="str">
        <f>"871"</f>
        <v>871</v>
      </c>
      <c r="G7861">
        <v>9</v>
      </c>
      <c r="H7861" t="str">
        <f t="shared" si="1781"/>
        <v>99</v>
      </c>
      <c r="I7861" t="str">
        <f t="shared" si="1779"/>
        <v>0</v>
      </c>
      <c r="J7861" t="str">
        <f>"94"</f>
        <v>94</v>
      </c>
      <c r="K7861">
        <v>20190816</v>
      </c>
      <c r="L7861" t="str">
        <f t="shared" ref="L7861:L7867" si="1782">"077695"</f>
        <v>077695</v>
      </c>
      <c r="M7861" t="str">
        <f t="shared" ref="M7861:M7867" si="1783">"25165"</f>
        <v>25165</v>
      </c>
      <c r="N7861" t="s">
        <v>2860</v>
      </c>
      <c r="O7861" s="1">
        <v>2719.74</v>
      </c>
      <c r="P7861">
        <v>20190814</v>
      </c>
      <c r="Q7861" t="s">
        <v>4906</v>
      </c>
      <c r="R7861" t="s">
        <v>6176</v>
      </c>
      <c r="S7861" t="s">
        <v>1615</v>
      </c>
      <c r="T7861" t="s">
        <v>1932</v>
      </c>
    </row>
    <row r="7862" spans="1:20" x14ac:dyDescent="0.25">
      <c r="A7862">
        <v>9</v>
      </c>
      <c r="B7862">
        <v>199</v>
      </c>
      <c r="C7862" t="str">
        <f t="shared" ref="C7862:C7867" si="1784">"41"</f>
        <v>41</v>
      </c>
      <c r="D7862">
        <v>6649</v>
      </c>
      <c r="E7862" t="str">
        <f>"00"</f>
        <v>00</v>
      </c>
      <c r="F7862" t="str">
        <f>"726"</f>
        <v>726</v>
      </c>
      <c r="G7862">
        <v>9</v>
      </c>
      <c r="H7862" t="str">
        <f t="shared" si="1781"/>
        <v>99</v>
      </c>
      <c r="I7862" t="str">
        <f t="shared" si="1779"/>
        <v>0</v>
      </c>
      <c r="J7862" t="str">
        <f>"91"</f>
        <v>91</v>
      </c>
      <c r="K7862">
        <v>20190816</v>
      </c>
      <c r="L7862" t="str">
        <f t="shared" si="1782"/>
        <v>077695</v>
      </c>
      <c r="M7862" t="str">
        <f t="shared" si="1783"/>
        <v>25165</v>
      </c>
      <c r="N7862" t="s">
        <v>2860</v>
      </c>
      <c r="O7862" s="1">
        <v>9519.09</v>
      </c>
      <c r="P7862">
        <v>20190814</v>
      </c>
      <c r="Q7862" t="s">
        <v>3568</v>
      </c>
      <c r="R7862" t="s">
        <v>6176</v>
      </c>
      <c r="S7862" t="s">
        <v>1615</v>
      </c>
      <c r="T7862" t="s">
        <v>2608</v>
      </c>
    </row>
    <row r="7863" spans="1:20" x14ac:dyDescent="0.25">
      <c r="A7863">
        <v>9</v>
      </c>
      <c r="B7863">
        <v>199</v>
      </c>
      <c r="C7863" t="str">
        <f t="shared" si="1784"/>
        <v>41</v>
      </c>
      <c r="D7863">
        <v>6649</v>
      </c>
      <c r="E7863" t="str">
        <f>"00"</f>
        <v>00</v>
      </c>
      <c r="F7863" t="str">
        <f>"939"</f>
        <v>939</v>
      </c>
      <c r="G7863">
        <v>9</v>
      </c>
      <c r="H7863" t="str">
        <f t="shared" si="1781"/>
        <v>99</v>
      </c>
      <c r="I7863" t="str">
        <f t="shared" si="1779"/>
        <v>0</v>
      </c>
      <c r="J7863" t="str">
        <f>"87"</f>
        <v>87</v>
      </c>
      <c r="K7863">
        <v>20190816</v>
      </c>
      <c r="L7863" t="str">
        <f t="shared" si="1782"/>
        <v>077695</v>
      </c>
      <c r="M7863" t="str">
        <f t="shared" si="1783"/>
        <v>25165</v>
      </c>
      <c r="N7863" t="s">
        <v>2860</v>
      </c>
      <c r="O7863" s="1">
        <v>1359.87</v>
      </c>
      <c r="P7863">
        <v>20190814</v>
      </c>
      <c r="Q7863" t="s">
        <v>5360</v>
      </c>
      <c r="R7863" t="s">
        <v>6176</v>
      </c>
      <c r="S7863" t="s">
        <v>1615</v>
      </c>
      <c r="T7863" t="s">
        <v>2985</v>
      </c>
    </row>
    <row r="7864" spans="1:20" x14ac:dyDescent="0.25">
      <c r="A7864">
        <v>9</v>
      </c>
      <c r="B7864">
        <v>199</v>
      </c>
      <c r="C7864" t="str">
        <f t="shared" si="1784"/>
        <v>41</v>
      </c>
      <c r="D7864">
        <v>6649</v>
      </c>
      <c r="E7864" t="str">
        <f>"10"</f>
        <v>10</v>
      </c>
      <c r="F7864" t="str">
        <f>"701"</f>
        <v>701</v>
      </c>
      <c r="G7864">
        <v>9</v>
      </c>
      <c r="H7864" t="str">
        <f t="shared" si="1781"/>
        <v>99</v>
      </c>
      <c r="I7864" t="str">
        <f t="shared" si="1779"/>
        <v>0</v>
      </c>
      <c r="J7864" t="str">
        <f>"92"</f>
        <v>92</v>
      </c>
      <c r="K7864">
        <v>20190816</v>
      </c>
      <c r="L7864" t="str">
        <f t="shared" si="1782"/>
        <v>077695</v>
      </c>
      <c r="M7864" t="str">
        <f t="shared" si="1783"/>
        <v>25165</v>
      </c>
      <c r="N7864" t="s">
        <v>2860</v>
      </c>
      <c r="O7864" s="1">
        <v>1561.44</v>
      </c>
      <c r="P7864">
        <v>20190814</v>
      </c>
      <c r="Q7864" t="s">
        <v>3836</v>
      </c>
      <c r="R7864" t="s">
        <v>6176</v>
      </c>
      <c r="S7864" t="s">
        <v>1615</v>
      </c>
      <c r="T7864" t="s">
        <v>1841</v>
      </c>
    </row>
    <row r="7865" spans="1:20" x14ac:dyDescent="0.25">
      <c r="A7865">
        <v>9</v>
      </c>
      <c r="B7865">
        <v>199</v>
      </c>
      <c r="C7865" t="str">
        <f t="shared" si="1784"/>
        <v>41</v>
      </c>
      <c r="D7865">
        <v>6649</v>
      </c>
      <c r="E7865" t="str">
        <f>"10"</f>
        <v>10</v>
      </c>
      <c r="F7865" t="str">
        <f>"701"</f>
        <v>701</v>
      </c>
      <c r="G7865">
        <v>9</v>
      </c>
      <c r="H7865" t="str">
        <f t="shared" si="1781"/>
        <v>99</v>
      </c>
      <c r="I7865" t="str">
        <f t="shared" si="1779"/>
        <v>0</v>
      </c>
      <c r="J7865" t="str">
        <f>"92"</f>
        <v>92</v>
      </c>
      <c r="K7865">
        <v>20190816</v>
      </c>
      <c r="L7865" t="str">
        <f t="shared" si="1782"/>
        <v>077695</v>
      </c>
      <c r="M7865" t="str">
        <f t="shared" si="1783"/>
        <v>25165</v>
      </c>
      <c r="N7865" t="s">
        <v>2860</v>
      </c>
      <c r="O7865" s="1">
        <v>1288.8399999999999</v>
      </c>
      <c r="P7865">
        <v>20190814</v>
      </c>
      <c r="Q7865" t="s">
        <v>3836</v>
      </c>
      <c r="R7865" t="s">
        <v>6177</v>
      </c>
      <c r="S7865" t="s">
        <v>1615</v>
      </c>
      <c r="T7865" t="s">
        <v>1841</v>
      </c>
    </row>
    <row r="7866" spans="1:20" x14ac:dyDescent="0.25">
      <c r="A7866">
        <v>9</v>
      </c>
      <c r="B7866">
        <v>199</v>
      </c>
      <c r="C7866" t="str">
        <f t="shared" si="1784"/>
        <v>41</v>
      </c>
      <c r="D7866">
        <v>6649</v>
      </c>
      <c r="E7866" t="str">
        <f>"10"</f>
        <v>10</v>
      </c>
      <c r="F7866" t="str">
        <f>"730"</f>
        <v>730</v>
      </c>
      <c r="G7866">
        <v>9</v>
      </c>
      <c r="H7866" t="str">
        <f t="shared" si="1781"/>
        <v>99</v>
      </c>
      <c r="I7866" t="str">
        <f t="shared" si="1779"/>
        <v>0</v>
      </c>
      <c r="J7866" t="str">
        <f>"95"</f>
        <v>95</v>
      </c>
      <c r="K7866">
        <v>20190816</v>
      </c>
      <c r="L7866" t="str">
        <f t="shared" si="1782"/>
        <v>077695</v>
      </c>
      <c r="M7866" t="str">
        <f t="shared" si="1783"/>
        <v>25165</v>
      </c>
      <c r="N7866" t="s">
        <v>2860</v>
      </c>
      <c r="O7866" s="1">
        <v>8763.93</v>
      </c>
      <c r="P7866">
        <v>20190814</v>
      </c>
      <c r="Q7866" t="s">
        <v>6178</v>
      </c>
      <c r="R7866" t="s">
        <v>6176</v>
      </c>
      <c r="S7866" t="s">
        <v>1615</v>
      </c>
      <c r="T7866" t="s">
        <v>1794</v>
      </c>
    </row>
    <row r="7867" spans="1:20" x14ac:dyDescent="0.25">
      <c r="A7867">
        <v>9</v>
      </c>
      <c r="B7867">
        <v>199</v>
      </c>
      <c r="C7867" t="str">
        <f t="shared" si="1784"/>
        <v>41</v>
      </c>
      <c r="D7867">
        <v>6649</v>
      </c>
      <c r="E7867" t="str">
        <f>"10"</f>
        <v>10</v>
      </c>
      <c r="F7867" t="str">
        <f>"735"</f>
        <v>735</v>
      </c>
      <c r="G7867">
        <v>9</v>
      </c>
      <c r="H7867" t="str">
        <f t="shared" si="1781"/>
        <v>99</v>
      </c>
      <c r="I7867" t="str">
        <f t="shared" si="1779"/>
        <v>0</v>
      </c>
      <c r="J7867" t="str">
        <f>"96"</f>
        <v>96</v>
      </c>
      <c r="K7867">
        <v>20190816</v>
      </c>
      <c r="L7867" t="str">
        <f t="shared" si="1782"/>
        <v>077695</v>
      </c>
      <c r="M7867" t="str">
        <f t="shared" si="1783"/>
        <v>25165</v>
      </c>
      <c r="N7867" t="s">
        <v>2860</v>
      </c>
      <c r="O7867" s="1">
        <v>1359.87</v>
      </c>
      <c r="P7867">
        <v>20190814</v>
      </c>
      <c r="Q7867" t="s">
        <v>6179</v>
      </c>
      <c r="R7867" t="s">
        <v>6176</v>
      </c>
      <c r="S7867" t="s">
        <v>1615</v>
      </c>
      <c r="T7867" t="s">
        <v>151</v>
      </c>
    </row>
    <row r="7868" spans="1:20" x14ac:dyDescent="0.25">
      <c r="A7868">
        <v>9</v>
      </c>
      <c r="B7868">
        <v>199</v>
      </c>
      <c r="C7868" t="str">
        <f>"36"</f>
        <v>36</v>
      </c>
      <c r="D7868">
        <v>6399</v>
      </c>
      <c r="E7868" t="str">
        <f>"H1"</f>
        <v>H1</v>
      </c>
      <c r="F7868" t="str">
        <f>"001"</f>
        <v>001</v>
      </c>
      <c r="G7868">
        <v>9</v>
      </c>
      <c r="H7868" t="str">
        <f>"31"</f>
        <v>31</v>
      </c>
      <c r="I7868" t="str">
        <f t="shared" si="1779"/>
        <v>0</v>
      </c>
      <c r="J7868" t="str">
        <f>"34"</f>
        <v>34</v>
      </c>
      <c r="K7868">
        <v>20190816</v>
      </c>
      <c r="L7868" t="str">
        <f>"077696"</f>
        <v>077696</v>
      </c>
      <c r="M7868" t="str">
        <f>"25222"</f>
        <v>25222</v>
      </c>
      <c r="N7868" t="s">
        <v>6180</v>
      </c>
      <c r="O7868">
        <v>600</v>
      </c>
      <c r="P7868">
        <v>20190814</v>
      </c>
      <c r="Q7868" t="s">
        <v>4871</v>
      </c>
      <c r="R7868" t="s">
        <v>6181</v>
      </c>
      <c r="S7868" t="s">
        <v>1615</v>
      </c>
      <c r="T7868" t="s">
        <v>301</v>
      </c>
    </row>
    <row r="7869" spans="1:20" x14ac:dyDescent="0.25">
      <c r="A7869">
        <v>9</v>
      </c>
      <c r="B7869">
        <v>199</v>
      </c>
      <c r="C7869" t="str">
        <f>"33"</f>
        <v>33</v>
      </c>
      <c r="D7869">
        <v>6249</v>
      </c>
      <c r="E7869" t="str">
        <f>"8F"</f>
        <v>8F</v>
      </c>
      <c r="F7869" t="str">
        <f>"001"</f>
        <v>001</v>
      </c>
      <c r="G7869">
        <v>9</v>
      </c>
      <c r="H7869" t="str">
        <f>"99"</f>
        <v>99</v>
      </c>
      <c r="I7869" t="str">
        <f t="shared" si="1779"/>
        <v>0</v>
      </c>
      <c r="J7869" t="str">
        <f>"01"</f>
        <v>01</v>
      </c>
      <c r="K7869">
        <v>20190816</v>
      </c>
      <c r="L7869" t="str">
        <f>"077697"</f>
        <v>077697</v>
      </c>
      <c r="M7869" t="str">
        <f>"00456"</f>
        <v>00456</v>
      </c>
      <c r="N7869" t="s">
        <v>6182</v>
      </c>
      <c r="O7869">
        <v>95</v>
      </c>
      <c r="P7869">
        <v>20190814</v>
      </c>
      <c r="Q7869" t="s">
        <v>6183</v>
      </c>
      <c r="R7869" t="s">
        <v>6184</v>
      </c>
      <c r="S7869" t="s">
        <v>1615</v>
      </c>
      <c r="T7869" t="s">
        <v>301</v>
      </c>
    </row>
    <row r="7870" spans="1:20" x14ac:dyDescent="0.25">
      <c r="A7870">
        <v>9</v>
      </c>
      <c r="B7870">
        <v>199</v>
      </c>
      <c r="C7870" t="str">
        <f>"33"</f>
        <v>33</v>
      </c>
      <c r="D7870">
        <v>6249</v>
      </c>
      <c r="E7870" t="str">
        <f>"8F"</f>
        <v>8F</v>
      </c>
      <c r="F7870" t="str">
        <f>"041"</f>
        <v>041</v>
      </c>
      <c r="G7870">
        <v>9</v>
      </c>
      <c r="H7870" t="str">
        <f>"99"</f>
        <v>99</v>
      </c>
      <c r="I7870" t="str">
        <f t="shared" ref="I7870:I7881" si="1785">"0"</f>
        <v>0</v>
      </c>
      <c r="J7870" t="str">
        <f>"03"</f>
        <v>03</v>
      </c>
      <c r="K7870">
        <v>20190816</v>
      </c>
      <c r="L7870" t="str">
        <f>"077697"</f>
        <v>077697</v>
      </c>
      <c r="M7870" t="str">
        <f>"00456"</f>
        <v>00456</v>
      </c>
      <c r="N7870" t="s">
        <v>6182</v>
      </c>
      <c r="O7870">
        <v>95</v>
      </c>
      <c r="P7870">
        <v>20190814</v>
      </c>
      <c r="Q7870" t="s">
        <v>6185</v>
      </c>
      <c r="R7870" t="s">
        <v>6184</v>
      </c>
      <c r="S7870" t="s">
        <v>1615</v>
      </c>
      <c r="T7870" t="s">
        <v>106</v>
      </c>
    </row>
    <row r="7871" spans="1:20" x14ac:dyDescent="0.25">
      <c r="A7871">
        <v>9</v>
      </c>
      <c r="B7871">
        <v>199</v>
      </c>
      <c r="C7871" t="str">
        <f>"33"</f>
        <v>33</v>
      </c>
      <c r="D7871">
        <v>6249</v>
      </c>
      <c r="E7871" t="str">
        <f>"8F"</f>
        <v>8F</v>
      </c>
      <c r="F7871" t="str">
        <f>"104"</f>
        <v>104</v>
      </c>
      <c r="G7871">
        <v>9</v>
      </c>
      <c r="H7871" t="str">
        <f>"99"</f>
        <v>99</v>
      </c>
      <c r="I7871" t="str">
        <f t="shared" si="1785"/>
        <v>0</v>
      </c>
      <c r="J7871" t="str">
        <f>"05"</f>
        <v>05</v>
      </c>
      <c r="K7871">
        <v>20190816</v>
      </c>
      <c r="L7871" t="str">
        <f>"077697"</f>
        <v>077697</v>
      </c>
      <c r="M7871" t="str">
        <f>"00456"</f>
        <v>00456</v>
      </c>
      <c r="N7871" t="s">
        <v>6182</v>
      </c>
      <c r="O7871">
        <v>95</v>
      </c>
      <c r="P7871">
        <v>20190814</v>
      </c>
      <c r="Q7871" t="s">
        <v>6186</v>
      </c>
      <c r="R7871" t="s">
        <v>6184</v>
      </c>
      <c r="S7871" t="s">
        <v>1615</v>
      </c>
      <c r="T7871" t="s">
        <v>46</v>
      </c>
    </row>
    <row r="7872" spans="1:20" x14ac:dyDescent="0.25">
      <c r="A7872">
        <v>9</v>
      </c>
      <c r="B7872">
        <v>199</v>
      </c>
      <c r="C7872" t="str">
        <f>"33"</f>
        <v>33</v>
      </c>
      <c r="D7872">
        <v>6399</v>
      </c>
      <c r="E7872" t="str">
        <f>"8F"</f>
        <v>8F</v>
      </c>
      <c r="F7872" t="str">
        <f>"101"</f>
        <v>101</v>
      </c>
      <c r="G7872">
        <v>9</v>
      </c>
      <c r="H7872" t="str">
        <f>"99"</f>
        <v>99</v>
      </c>
      <c r="I7872" t="str">
        <f t="shared" si="1785"/>
        <v>0</v>
      </c>
      <c r="J7872" t="str">
        <f>"04"</f>
        <v>04</v>
      </c>
      <c r="K7872">
        <v>20190816</v>
      </c>
      <c r="L7872" t="str">
        <f>"077697"</f>
        <v>077697</v>
      </c>
      <c r="M7872" t="str">
        <f>"00456"</f>
        <v>00456</v>
      </c>
      <c r="N7872" t="s">
        <v>6182</v>
      </c>
      <c r="O7872">
        <v>95</v>
      </c>
      <c r="P7872">
        <v>20190814</v>
      </c>
      <c r="Q7872" t="s">
        <v>2322</v>
      </c>
      <c r="R7872" t="s">
        <v>6184</v>
      </c>
      <c r="S7872" t="s">
        <v>1615</v>
      </c>
      <c r="T7872" t="s">
        <v>1479</v>
      </c>
    </row>
    <row r="7873" spans="1:20" x14ac:dyDescent="0.25">
      <c r="A7873">
        <v>9</v>
      </c>
      <c r="B7873">
        <v>199</v>
      </c>
      <c r="C7873" t="str">
        <f>"51"</f>
        <v>51</v>
      </c>
      <c r="D7873">
        <v>6319</v>
      </c>
      <c r="E7873" t="str">
        <f>"MC"</f>
        <v>MC</v>
      </c>
      <c r="F7873" t="str">
        <f>"936"</f>
        <v>936</v>
      </c>
      <c r="G7873">
        <v>9</v>
      </c>
      <c r="H7873" t="str">
        <f>"99"</f>
        <v>99</v>
      </c>
      <c r="I7873" t="str">
        <f t="shared" si="1785"/>
        <v>0</v>
      </c>
      <c r="J7873" t="str">
        <f>"81"</f>
        <v>81</v>
      </c>
      <c r="K7873">
        <v>20190816</v>
      </c>
      <c r="L7873" t="str">
        <f>"077699"</f>
        <v>077699</v>
      </c>
      <c r="M7873" t="str">
        <f>"00696"</f>
        <v>00696</v>
      </c>
      <c r="N7873" t="s">
        <v>4096</v>
      </c>
      <c r="O7873">
        <v>108.38</v>
      </c>
      <c r="P7873">
        <v>20190814</v>
      </c>
      <c r="Q7873" t="s">
        <v>2060</v>
      </c>
      <c r="R7873" t="s">
        <v>6187</v>
      </c>
      <c r="S7873" t="s">
        <v>1615</v>
      </c>
      <c r="T7873" t="s">
        <v>1713</v>
      </c>
    </row>
    <row r="7874" spans="1:20" x14ac:dyDescent="0.25">
      <c r="A7874">
        <v>9</v>
      </c>
      <c r="B7874">
        <v>199</v>
      </c>
      <c r="C7874" t="str">
        <f>"13"</f>
        <v>13</v>
      </c>
      <c r="D7874">
        <v>6411</v>
      </c>
      <c r="E7874" t="str">
        <f>"VH"</f>
        <v>VH</v>
      </c>
      <c r="F7874" t="str">
        <f>"001"</f>
        <v>001</v>
      </c>
      <c r="G7874">
        <v>9</v>
      </c>
      <c r="H7874" t="str">
        <f>"22"</f>
        <v>22</v>
      </c>
      <c r="I7874" t="str">
        <f t="shared" si="1785"/>
        <v>0</v>
      </c>
      <c r="J7874" t="str">
        <f>"22"</f>
        <v>22</v>
      </c>
      <c r="K7874">
        <v>20190816</v>
      </c>
      <c r="L7874" t="str">
        <f>"077704"</f>
        <v>077704</v>
      </c>
      <c r="M7874" t="str">
        <f>"36780"</f>
        <v>36780</v>
      </c>
      <c r="N7874" t="s">
        <v>3390</v>
      </c>
      <c r="O7874">
        <v>152.91999999999999</v>
      </c>
      <c r="P7874">
        <v>20190814</v>
      </c>
      <c r="Q7874" t="s">
        <v>4996</v>
      </c>
      <c r="R7874" t="s">
        <v>4997</v>
      </c>
      <c r="S7874" t="s">
        <v>1615</v>
      </c>
      <c r="T7874" t="s">
        <v>301</v>
      </c>
    </row>
    <row r="7875" spans="1:20" x14ac:dyDescent="0.25">
      <c r="A7875">
        <v>9</v>
      </c>
      <c r="B7875">
        <v>199</v>
      </c>
      <c r="C7875" t="str">
        <f>"11"</f>
        <v>11</v>
      </c>
      <c r="D7875">
        <v>6399</v>
      </c>
      <c r="E7875" t="str">
        <f>"VH"</f>
        <v>VH</v>
      </c>
      <c r="F7875" t="str">
        <f>"001"</f>
        <v>001</v>
      </c>
      <c r="G7875">
        <v>9</v>
      </c>
      <c r="H7875" t="str">
        <f>"22"</f>
        <v>22</v>
      </c>
      <c r="I7875" t="str">
        <f t="shared" si="1785"/>
        <v>0</v>
      </c>
      <c r="J7875" t="str">
        <f>"22"</f>
        <v>22</v>
      </c>
      <c r="K7875">
        <v>20190816</v>
      </c>
      <c r="L7875" t="str">
        <f t="shared" ref="L7875:L7881" si="1786">"077705"</f>
        <v>077705</v>
      </c>
      <c r="M7875" t="str">
        <f t="shared" ref="M7875:M7881" si="1787">"37500"</f>
        <v>37500</v>
      </c>
      <c r="N7875" t="s">
        <v>2077</v>
      </c>
      <c r="O7875">
        <v>299.63</v>
      </c>
      <c r="P7875">
        <v>20190814</v>
      </c>
      <c r="Q7875" t="s">
        <v>2206</v>
      </c>
      <c r="R7875" t="s">
        <v>2636</v>
      </c>
      <c r="S7875" t="s">
        <v>1615</v>
      </c>
      <c r="T7875" t="s">
        <v>301</v>
      </c>
    </row>
    <row r="7876" spans="1:20" x14ac:dyDescent="0.25">
      <c r="A7876">
        <v>9</v>
      </c>
      <c r="B7876">
        <v>199</v>
      </c>
      <c r="C7876" t="str">
        <f>"23"</f>
        <v>23</v>
      </c>
      <c r="D7876">
        <v>6498</v>
      </c>
      <c r="E7876" t="str">
        <f>"10"</f>
        <v>10</v>
      </c>
      <c r="F7876" t="str">
        <f>"104"</f>
        <v>104</v>
      </c>
      <c r="G7876">
        <v>9</v>
      </c>
      <c r="H7876" t="str">
        <f t="shared" ref="H7876:H7885" si="1788">"99"</f>
        <v>99</v>
      </c>
      <c r="I7876" t="str">
        <f t="shared" si="1785"/>
        <v>0</v>
      </c>
      <c r="J7876" t="str">
        <f>"05"</f>
        <v>05</v>
      </c>
      <c r="K7876">
        <v>20190816</v>
      </c>
      <c r="L7876" t="str">
        <f t="shared" si="1786"/>
        <v>077705</v>
      </c>
      <c r="M7876" t="str">
        <f t="shared" si="1787"/>
        <v>37500</v>
      </c>
      <c r="N7876" t="s">
        <v>2077</v>
      </c>
      <c r="O7876">
        <v>75.48</v>
      </c>
      <c r="P7876">
        <v>20190814</v>
      </c>
      <c r="Q7876" t="s">
        <v>2402</v>
      </c>
      <c r="R7876" t="s">
        <v>6188</v>
      </c>
      <c r="S7876" t="s">
        <v>1615</v>
      </c>
      <c r="T7876" t="s">
        <v>46</v>
      </c>
    </row>
    <row r="7877" spans="1:20" x14ac:dyDescent="0.25">
      <c r="A7877">
        <v>9</v>
      </c>
      <c r="B7877">
        <v>199</v>
      </c>
      <c r="C7877" t="str">
        <f>"23"</f>
        <v>23</v>
      </c>
      <c r="D7877">
        <v>6498</v>
      </c>
      <c r="E7877" t="str">
        <f>"10"</f>
        <v>10</v>
      </c>
      <c r="F7877" t="str">
        <f>"104"</f>
        <v>104</v>
      </c>
      <c r="G7877">
        <v>9</v>
      </c>
      <c r="H7877" t="str">
        <f t="shared" si="1788"/>
        <v>99</v>
      </c>
      <c r="I7877" t="str">
        <f t="shared" si="1785"/>
        <v>0</v>
      </c>
      <c r="J7877" t="str">
        <f>"05"</f>
        <v>05</v>
      </c>
      <c r="K7877">
        <v>20190816</v>
      </c>
      <c r="L7877" t="str">
        <f t="shared" si="1786"/>
        <v>077705</v>
      </c>
      <c r="M7877" t="str">
        <f t="shared" si="1787"/>
        <v>37500</v>
      </c>
      <c r="N7877" t="s">
        <v>2077</v>
      </c>
      <c r="O7877">
        <v>41.47</v>
      </c>
      <c r="P7877">
        <v>20190814</v>
      </c>
      <c r="Q7877" t="s">
        <v>2402</v>
      </c>
      <c r="R7877" t="s">
        <v>6188</v>
      </c>
      <c r="S7877" t="s">
        <v>1615</v>
      </c>
      <c r="T7877" t="s">
        <v>46</v>
      </c>
    </row>
    <row r="7878" spans="1:20" x14ac:dyDescent="0.25">
      <c r="A7878">
        <v>9</v>
      </c>
      <c r="B7878">
        <v>199</v>
      </c>
      <c r="C7878" t="str">
        <f>"41"</f>
        <v>41</v>
      </c>
      <c r="D7878">
        <v>6399</v>
      </c>
      <c r="E7878" t="str">
        <f>"00"</f>
        <v>00</v>
      </c>
      <c r="F7878" t="str">
        <f>"932"</f>
        <v>932</v>
      </c>
      <c r="G7878">
        <v>9</v>
      </c>
      <c r="H7878" t="str">
        <f t="shared" si="1788"/>
        <v>99</v>
      </c>
      <c r="I7878" t="str">
        <f t="shared" si="1785"/>
        <v>0</v>
      </c>
      <c r="J7878" t="str">
        <f>"84"</f>
        <v>84</v>
      </c>
      <c r="K7878">
        <v>20190816</v>
      </c>
      <c r="L7878" t="str">
        <f t="shared" si="1786"/>
        <v>077705</v>
      </c>
      <c r="M7878" t="str">
        <f t="shared" si="1787"/>
        <v>37500</v>
      </c>
      <c r="N7878" t="s">
        <v>2077</v>
      </c>
      <c r="O7878">
        <v>10.5</v>
      </c>
      <c r="P7878">
        <v>20190814</v>
      </c>
      <c r="Q7878" t="s">
        <v>5531</v>
      </c>
      <c r="R7878" t="s">
        <v>2081</v>
      </c>
      <c r="S7878" t="s">
        <v>1615</v>
      </c>
      <c r="T7878" t="s">
        <v>2900</v>
      </c>
    </row>
    <row r="7879" spans="1:20" x14ac:dyDescent="0.25">
      <c r="A7879">
        <v>9</v>
      </c>
      <c r="B7879">
        <v>199</v>
      </c>
      <c r="C7879" t="str">
        <f>"41"</f>
        <v>41</v>
      </c>
      <c r="D7879">
        <v>6498</v>
      </c>
      <c r="E7879" t="str">
        <f>"10"</f>
        <v>10</v>
      </c>
      <c r="F7879" t="str">
        <f>"701"</f>
        <v>701</v>
      </c>
      <c r="G7879">
        <v>9</v>
      </c>
      <c r="H7879" t="str">
        <f t="shared" si="1788"/>
        <v>99</v>
      </c>
      <c r="I7879" t="str">
        <f t="shared" si="1785"/>
        <v>0</v>
      </c>
      <c r="J7879" t="str">
        <f>"92"</f>
        <v>92</v>
      </c>
      <c r="K7879">
        <v>20190816</v>
      </c>
      <c r="L7879" t="str">
        <f t="shared" si="1786"/>
        <v>077705</v>
      </c>
      <c r="M7879" t="str">
        <f t="shared" si="1787"/>
        <v>37500</v>
      </c>
      <c r="N7879" t="s">
        <v>2077</v>
      </c>
      <c r="O7879">
        <v>112.88</v>
      </c>
      <c r="P7879">
        <v>20190814</v>
      </c>
      <c r="Q7879" t="s">
        <v>2202</v>
      </c>
      <c r="R7879" t="s">
        <v>6189</v>
      </c>
      <c r="S7879" t="s">
        <v>1615</v>
      </c>
      <c r="T7879" t="s">
        <v>1841</v>
      </c>
    </row>
    <row r="7880" spans="1:20" x14ac:dyDescent="0.25">
      <c r="A7880">
        <v>9</v>
      </c>
      <c r="B7880">
        <v>199</v>
      </c>
      <c r="C7880" t="str">
        <f>"53"</f>
        <v>53</v>
      </c>
      <c r="D7880">
        <v>6498</v>
      </c>
      <c r="E7880" t="str">
        <f>"10"</f>
        <v>10</v>
      </c>
      <c r="F7880" t="str">
        <f>"880"</f>
        <v>880</v>
      </c>
      <c r="G7880">
        <v>9</v>
      </c>
      <c r="H7880" t="str">
        <f t="shared" si="1788"/>
        <v>99</v>
      </c>
      <c r="I7880" t="str">
        <f t="shared" si="1785"/>
        <v>0</v>
      </c>
      <c r="J7880" t="str">
        <f>"80"</f>
        <v>80</v>
      </c>
      <c r="K7880">
        <v>20190816</v>
      </c>
      <c r="L7880" t="str">
        <f t="shared" si="1786"/>
        <v>077705</v>
      </c>
      <c r="M7880" t="str">
        <f t="shared" si="1787"/>
        <v>37500</v>
      </c>
      <c r="N7880" t="s">
        <v>2077</v>
      </c>
      <c r="O7880">
        <v>49.8</v>
      </c>
      <c r="P7880">
        <v>20190814</v>
      </c>
      <c r="Q7880" t="s">
        <v>2082</v>
      </c>
      <c r="R7880" t="s">
        <v>2081</v>
      </c>
      <c r="S7880" t="s">
        <v>1615</v>
      </c>
      <c r="T7880" t="s">
        <v>1866</v>
      </c>
    </row>
    <row r="7881" spans="1:20" x14ac:dyDescent="0.25">
      <c r="A7881">
        <v>9</v>
      </c>
      <c r="B7881">
        <v>199</v>
      </c>
      <c r="C7881" t="str">
        <f>"53"</f>
        <v>53</v>
      </c>
      <c r="D7881">
        <v>6498</v>
      </c>
      <c r="E7881" t="str">
        <f>"10"</f>
        <v>10</v>
      </c>
      <c r="F7881" t="str">
        <f>"880"</f>
        <v>880</v>
      </c>
      <c r="G7881">
        <v>9</v>
      </c>
      <c r="H7881" t="str">
        <f t="shared" si="1788"/>
        <v>99</v>
      </c>
      <c r="I7881" t="str">
        <f t="shared" si="1785"/>
        <v>0</v>
      </c>
      <c r="J7881" t="str">
        <f>"80"</f>
        <v>80</v>
      </c>
      <c r="K7881">
        <v>20190816</v>
      </c>
      <c r="L7881" t="str">
        <f t="shared" si="1786"/>
        <v>077705</v>
      </c>
      <c r="M7881" t="str">
        <f t="shared" si="1787"/>
        <v>37500</v>
      </c>
      <c r="N7881" t="s">
        <v>2077</v>
      </c>
      <c r="O7881">
        <v>37.46</v>
      </c>
      <c r="P7881">
        <v>20190814</v>
      </c>
      <c r="Q7881" t="s">
        <v>2082</v>
      </c>
      <c r="R7881" t="s">
        <v>2081</v>
      </c>
      <c r="S7881" t="s">
        <v>1615</v>
      </c>
      <c r="T7881" t="s">
        <v>1866</v>
      </c>
    </row>
    <row r="7882" spans="1:20" x14ac:dyDescent="0.25">
      <c r="A7882">
        <v>9</v>
      </c>
      <c r="B7882">
        <v>199</v>
      </c>
      <c r="C7882" t="str">
        <f>"51"</f>
        <v>51</v>
      </c>
      <c r="D7882">
        <v>6254</v>
      </c>
      <c r="E7882" t="str">
        <f>"ME"</f>
        <v>ME</v>
      </c>
      <c r="F7882" t="str">
        <f>"936"</f>
        <v>936</v>
      </c>
      <c r="G7882">
        <v>9</v>
      </c>
      <c r="H7882" t="str">
        <f t="shared" si="1788"/>
        <v>99</v>
      </c>
      <c r="I7882" t="str">
        <f>"1"</f>
        <v>1</v>
      </c>
      <c r="J7882" t="str">
        <f>"73"</f>
        <v>73</v>
      </c>
      <c r="K7882">
        <v>20190816</v>
      </c>
      <c r="L7882" t="str">
        <f>"077706"</f>
        <v>077706</v>
      </c>
      <c r="M7882" t="str">
        <f>"42194"</f>
        <v>42194</v>
      </c>
      <c r="N7882" t="s">
        <v>1736</v>
      </c>
      <c r="O7882" s="1">
        <v>1054.8</v>
      </c>
      <c r="P7882">
        <v>20190814</v>
      </c>
      <c r="Q7882" t="s">
        <v>1891</v>
      </c>
      <c r="R7882" t="s">
        <v>6190</v>
      </c>
      <c r="S7882" t="s">
        <v>1615</v>
      </c>
      <c r="T7882" t="s">
        <v>1713</v>
      </c>
    </row>
    <row r="7883" spans="1:20" x14ac:dyDescent="0.25">
      <c r="A7883">
        <v>9</v>
      </c>
      <c r="B7883">
        <v>199</v>
      </c>
      <c r="C7883" t="str">
        <f>"51"</f>
        <v>51</v>
      </c>
      <c r="D7883">
        <v>6254</v>
      </c>
      <c r="E7883" t="str">
        <f>"ME"</f>
        <v>ME</v>
      </c>
      <c r="F7883" t="str">
        <f>"936"</f>
        <v>936</v>
      </c>
      <c r="G7883">
        <v>9</v>
      </c>
      <c r="H7883" t="str">
        <f t="shared" si="1788"/>
        <v>99</v>
      </c>
      <c r="I7883" t="str">
        <f>"1"</f>
        <v>1</v>
      </c>
      <c r="J7883" t="str">
        <f>"73"</f>
        <v>73</v>
      </c>
      <c r="K7883">
        <v>20190816</v>
      </c>
      <c r="L7883" t="str">
        <f>"077706"</f>
        <v>077706</v>
      </c>
      <c r="M7883" t="str">
        <f>"42194"</f>
        <v>42194</v>
      </c>
      <c r="N7883" t="s">
        <v>1736</v>
      </c>
      <c r="O7883" s="1">
        <v>74703.039999999994</v>
      </c>
      <c r="P7883">
        <v>20190814</v>
      </c>
      <c r="Q7883" t="s">
        <v>1891</v>
      </c>
      <c r="R7883" t="s">
        <v>6191</v>
      </c>
      <c r="S7883" t="s">
        <v>1615</v>
      </c>
      <c r="T7883" t="s">
        <v>1713</v>
      </c>
    </row>
    <row r="7884" spans="1:20" x14ac:dyDescent="0.25">
      <c r="A7884">
        <v>9</v>
      </c>
      <c r="B7884">
        <v>199</v>
      </c>
      <c r="C7884" t="str">
        <f>"23"</f>
        <v>23</v>
      </c>
      <c r="D7884">
        <v>6498</v>
      </c>
      <c r="E7884" t="str">
        <f>"10"</f>
        <v>10</v>
      </c>
      <c r="F7884" t="str">
        <f>"001"</f>
        <v>001</v>
      </c>
      <c r="G7884">
        <v>9</v>
      </c>
      <c r="H7884" t="str">
        <f t="shared" si="1788"/>
        <v>99</v>
      </c>
      <c r="I7884" t="str">
        <f t="shared" ref="I7884:I7915" si="1789">"0"</f>
        <v>0</v>
      </c>
      <c r="J7884" t="str">
        <f>"01"</f>
        <v>01</v>
      </c>
      <c r="K7884">
        <v>20190816</v>
      </c>
      <c r="L7884" t="str">
        <f>"077708"</f>
        <v>077708</v>
      </c>
      <c r="M7884" t="str">
        <f>"45093"</f>
        <v>45093</v>
      </c>
      <c r="N7884" t="s">
        <v>885</v>
      </c>
      <c r="O7884">
        <v>210.36</v>
      </c>
      <c r="P7884">
        <v>20190814</v>
      </c>
      <c r="Q7884" t="s">
        <v>2108</v>
      </c>
      <c r="R7884" t="s">
        <v>6192</v>
      </c>
      <c r="S7884" t="s">
        <v>1615</v>
      </c>
      <c r="T7884" t="s">
        <v>301</v>
      </c>
    </row>
    <row r="7885" spans="1:20" x14ac:dyDescent="0.25">
      <c r="A7885">
        <v>9</v>
      </c>
      <c r="B7885">
        <v>199</v>
      </c>
      <c r="C7885" t="str">
        <f>"23"</f>
        <v>23</v>
      </c>
      <c r="D7885">
        <v>6498</v>
      </c>
      <c r="E7885" t="str">
        <f>"10"</f>
        <v>10</v>
      </c>
      <c r="F7885" t="str">
        <f>"001"</f>
        <v>001</v>
      </c>
      <c r="G7885">
        <v>9</v>
      </c>
      <c r="H7885" t="str">
        <f t="shared" si="1788"/>
        <v>99</v>
      </c>
      <c r="I7885" t="str">
        <f t="shared" si="1789"/>
        <v>0</v>
      </c>
      <c r="J7885" t="str">
        <f>"01"</f>
        <v>01</v>
      </c>
      <c r="K7885">
        <v>20190816</v>
      </c>
      <c r="L7885" t="str">
        <f>"077708"</f>
        <v>077708</v>
      </c>
      <c r="M7885" t="str">
        <f>"45093"</f>
        <v>45093</v>
      </c>
      <c r="N7885" t="s">
        <v>885</v>
      </c>
      <c r="O7885">
        <v>272.33</v>
      </c>
      <c r="P7885">
        <v>20190814</v>
      </c>
      <c r="Q7885" t="s">
        <v>2108</v>
      </c>
      <c r="R7885" t="s">
        <v>6193</v>
      </c>
      <c r="S7885" t="s">
        <v>1615</v>
      </c>
      <c r="T7885" t="s">
        <v>301</v>
      </c>
    </row>
    <row r="7886" spans="1:20" x14ac:dyDescent="0.25">
      <c r="A7886">
        <v>9</v>
      </c>
      <c r="B7886">
        <v>199</v>
      </c>
      <c r="C7886" t="str">
        <f>"31"</f>
        <v>31</v>
      </c>
      <c r="D7886">
        <v>6499</v>
      </c>
      <c r="E7886" t="str">
        <f>"7F"</f>
        <v>7F</v>
      </c>
      <c r="F7886" t="str">
        <f>"001"</f>
        <v>001</v>
      </c>
      <c r="G7886">
        <v>9</v>
      </c>
      <c r="H7886" t="str">
        <f>"31"</f>
        <v>31</v>
      </c>
      <c r="I7886" t="str">
        <f t="shared" si="1789"/>
        <v>0</v>
      </c>
      <c r="J7886" t="str">
        <f>"34"</f>
        <v>34</v>
      </c>
      <c r="K7886">
        <v>20190816</v>
      </c>
      <c r="L7886" t="str">
        <f>"077708"</f>
        <v>077708</v>
      </c>
      <c r="M7886" t="str">
        <f>"45093"</f>
        <v>45093</v>
      </c>
      <c r="N7886" t="s">
        <v>885</v>
      </c>
      <c r="O7886">
        <v>742.94</v>
      </c>
      <c r="P7886">
        <v>20190814</v>
      </c>
      <c r="Q7886" t="s">
        <v>2880</v>
      </c>
      <c r="R7886" t="s">
        <v>6194</v>
      </c>
      <c r="S7886" t="s">
        <v>1615</v>
      </c>
      <c r="T7886" t="s">
        <v>301</v>
      </c>
    </row>
    <row r="7887" spans="1:20" x14ac:dyDescent="0.25">
      <c r="A7887">
        <v>9</v>
      </c>
      <c r="B7887">
        <v>199</v>
      </c>
      <c r="C7887" t="str">
        <f>"41"</f>
        <v>41</v>
      </c>
      <c r="D7887">
        <v>6499</v>
      </c>
      <c r="E7887" t="str">
        <f>"10"</f>
        <v>10</v>
      </c>
      <c r="F7887" t="str">
        <f>"730"</f>
        <v>730</v>
      </c>
      <c r="G7887">
        <v>9</v>
      </c>
      <c r="H7887" t="str">
        <f>"99"</f>
        <v>99</v>
      </c>
      <c r="I7887" t="str">
        <f t="shared" si="1789"/>
        <v>0</v>
      </c>
      <c r="J7887" t="str">
        <f>"95"</f>
        <v>95</v>
      </c>
      <c r="K7887">
        <v>20190816</v>
      </c>
      <c r="L7887" t="str">
        <f>"077708"</f>
        <v>077708</v>
      </c>
      <c r="M7887" t="str">
        <f>"45093"</f>
        <v>45093</v>
      </c>
      <c r="N7887" t="s">
        <v>885</v>
      </c>
      <c r="O7887">
        <v>220</v>
      </c>
      <c r="P7887">
        <v>20190814</v>
      </c>
      <c r="Q7887" t="s">
        <v>1792</v>
      </c>
      <c r="R7887" t="s">
        <v>5759</v>
      </c>
      <c r="S7887" t="s">
        <v>1615</v>
      </c>
      <c r="T7887" t="s">
        <v>1794</v>
      </c>
    </row>
    <row r="7888" spans="1:20" x14ac:dyDescent="0.25">
      <c r="A7888">
        <v>9</v>
      </c>
      <c r="B7888">
        <v>199</v>
      </c>
      <c r="C7888" t="str">
        <f>"11"</f>
        <v>11</v>
      </c>
      <c r="D7888">
        <v>6399</v>
      </c>
      <c r="E7888" t="str">
        <f>"7E"</f>
        <v>7E</v>
      </c>
      <c r="F7888" t="str">
        <f>"001"</f>
        <v>001</v>
      </c>
      <c r="G7888">
        <v>9</v>
      </c>
      <c r="H7888" t="str">
        <f>"11"</f>
        <v>11</v>
      </c>
      <c r="I7888" t="str">
        <f t="shared" si="1789"/>
        <v>0</v>
      </c>
      <c r="J7888" t="str">
        <f>"31"</f>
        <v>31</v>
      </c>
      <c r="K7888">
        <v>20190816</v>
      </c>
      <c r="L7888" t="str">
        <f>"077709"</f>
        <v>077709</v>
      </c>
      <c r="M7888" t="str">
        <f>"57791"</f>
        <v>57791</v>
      </c>
      <c r="N7888" t="s">
        <v>2381</v>
      </c>
      <c r="O7888">
        <v>107</v>
      </c>
      <c r="P7888">
        <v>20190814</v>
      </c>
      <c r="Q7888" t="s">
        <v>2382</v>
      </c>
      <c r="R7888" t="s">
        <v>6195</v>
      </c>
      <c r="S7888" t="s">
        <v>1615</v>
      </c>
      <c r="T7888" t="s">
        <v>301</v>
      </c>
    </row>
    <row r="7889" spans="1:20" x14ac:dyDescent="0.25">
      <c r="A7889">
        <v>9</v>
      </c>
      <c r="B7889">
        <v>199</v>
      </c>
      <c r="C7889" t="str">
        <f>"00"</f>
        <v>00</v>
      </c>
      <c r="D7889">
        <v>1291</v>
      </c>
      <c r="E7889" t="str">
        <f>"05"</f>
        <v>05</v>
      </c>
      <c r="F7889" t="str">
        <f>"000"</f>
        <v>000</v>
      </c>
      <c r="G7889">
        <v>9</v>
      </c>
      <c r="H7889" t="str">
        <f>"00"</f>
        <v>00</v>
      </c>
      <c r="I7889" t="str">
        <f t="shared" si="1789"/>
        <v>0</v>
      </c>
      <c r="J7889" t="str">
        <f>"00"</f>
        <v>00</v>
      </c>
      <c r="K7889">
        <v>20190816</v>
      </c>
      <c r="L7889" t="str">
        <f>"077710"</f>
        <v>077710</v>
      </c>
      <c r="M7889" t="str">
        <f>"46398"</f>
        <v>46398</v>
      </c>
      <c r="N7889" t="s">
        <v>1636</v>
      </c>
      <c r="O7889">
        <v>111.14</v>
      </c>
      <c r="P7889">
        <v>20190814</v>
      </c>
      <c r="Q7889" t="s">
        <v>1637</v>
      </c>
      <c r="R7889" t="s">
        <v>6196</v>
      </c>
      <c r="S7889" t="s">
        <v>1615</v>
      </c>
      <c r="T7889" t="s">
        <v>296</v>
      </c>
    </row>
    <row r="7890" spans="1:20" x14ac:dyDescent="0.25">
      <c r="A7890">
        <v>9</v>
      </c>
      <c r="B7890">
        <v>199</v>
      </c>
      <c r="C7890" t="str">
        <f>"00"</f>
        <v>00</v>
      </c>
      <c r="D7890">
        <v>1291</v>
      </c>
      <c r="E7890" t="str">
        <f>"05"</f>
        <v>05</v>
      </c>
      <c r="F7890" t="str">
        <f>"000"</f>
        <v>000</v>
      </c>
      <c r="G7890">
        <v>9</v>
      </c>
      <c r="H7890" t="str">
        <f>"00"</f>
        <v>00</v>
      </c>
      <c r="I7890" t="str">
        <f t="shared" si="1789"/>
        <v>0</v>
      </c>
      <c r="J7890" t="str">
        <f>"00"</f>
        <v>00</v>
      </c>
      <c r="K7890">
        <v>20190816</v>
      </c>
      <c r="L7890" t="str">
        <f>"077710"</f>
        <v>077710</v>
      </c>
      <c r="M7890" t="str">
        <f>"46398"</f>
        <v>46398</v>
      </c>
      <c r="N7890" t="s">
        <v>1636</v>
      </c>
      <c r="O7890" s="1">
        <v>10751.76</v>
      </c>
      <c r="P7890">
        <v>20190814</v>
      </c>
      <c r="Q7890" t="s">
        <v>1637</v>
      </c>
      <c r="R7890" t="s">
        <v>6196</v>
      </c>
      <c r="S7890" t="s">
        <v>1615</v>
      </c>
      <c r="T7890" t="s">
        <v>296</v>
      </c>
    </row>
    <row r="7891" spans="1:20" x14ac:dyDescent="0.25">
      <c r="A7891">
        <v>9</v>
      </c>
      <c r="B7891">
        <v>199</v>
      </c>
      <c r="C7891" t="str">
        <f>"41"</f>
        <v>41</v>
      </c>
      <c r="D7891">
        <v>6245</v>
      </c>
      <c r="E7891" t="str">
        <f>"10"</f>
        <v>10</v>
      </c>
      <c r="F7891" t="str">
        <f>"933"</f>
        <v>933</v>
      </c>
      <c r="G7891">
        <v>9</v>
      </c>
      <c r="H7891" t="str">
        <f>"99"</f>
        <v>99</v>
      </c>
      <c r="I7891" t="str">
        <f t="shared" si="1789"/>
        <v>0</v>
      </c>
      <c r="J7891" t="str">
        <f>"85"</f>
        <v>85</v>
      </c>
      <c r="K7891">
        <v>20190816</v>
      </c>
      <c r="L7891" t="str">
        <f>"077710"</f>
        <v>077710</v>
      </c>
      <c r="M7891" t="str">
        <f>"46398"</f>
        <v>46398</v>
      </c>
      <c r="N7891" t="s">
        <v>1636</v>
      </c>
      <c r="O7891">
        <v>805.81</v>
      </c>
      <c r="P7891">
        <v>20190814</v>
      </c>
      <c r="Q7891" t="s">
        <v>2516</v>
      </c>
      <c r="R7891" t="s">
        <v>6196</v>
      </c>
      <c r="S7891" t="s">
        <v>1615</v>
      </c>
      <c r="T7891" t="s">
        <v>1643</v>
      </c>
    </row>
    <row r="7892" spans="1:20" x14ac:dyDescent="0.25">
      <c r="A7892">
        <v>9</v>
      </c>
      <c r="B7892">
        <v>199</v>
      </c>
      <c r="C7892" t="str">
        <f>"00"</f>
        <v>00</v>
      </c>
      <c r="D7892">
        <v>1291</v>
      </c>
      <c r="E7892" t="str">
        <f>"05"</f>
        <v>05</v>
      </c>
      <c r="F7892" t="str">
        <f>"000"</f>
        <v>000</v>
      </c>
      <c r="G7892">
        <v>9</v>
      </c>
      <c r="H7892" t="str">
        <f>"00"</f>
        <v>00</v>
      </c>
      <c r="I7892" t="str">
        <f t="shared" si="1789"/>
        <v>0</v>
      </c>
      <c r="J7892" t="str">
        <f>"00"</f>
        <v>00</v>
      </c>
      <c r="K7892">
        <v>20190816</v>
      </c>
      <c r="L7892" t="str">
        <f>"077711"</f>
        <v>077711</v>
      </c>
      <c r="M7892" t="str">
        <f>"46398"</f>
        <v>46398</v>
      </c>
      <c r="N7892" t="s">
        <v>1636</v>
      </c>
      <c r="O7892" s="1">
        <v>1820</v>
      </c>
      <c r="P7892">
        <v>20190814</v>
      </c>
      <c r="Q7892" t="s">
        <v>1637</v>
      </c>
      <c r="R7892" t="s">
        <v>6197</v>
      </c>
      <c r="S7892" t="s">
        <v>1615</v>
      </c>
      <c r="T7892" t="s">
        <v>296</v>
      </c>
    </row>
    <row r="7893" spans="1:20" x14ac:dyDescent="0.25">
      <c r="A7893">
        <v>9</v>
      </c>
      <c r="B7893">
        <v>199</v>
      </c>
      <c r="C7893" t="str">
        <f>"00"</f>
        <v>00</v>
      </c>
      <c r="D7893">
        <v>1291</v>
      </c>
      <c r="E7893" t="str">
        <f>"05"</f>
        <v>05</v>
      </c>
      <c r="F7893" t="str">
        <f>"000"</f>
        <v>000</v>
      </c>
      <c r="G7893">
        <v>9</v>
      </c>
      <c r="H7893" t="str">
        <f>"00"</f>
        <v>00</v>
      </c>
      <c r="I7893" t="str">
        <f t="shared" si="1789"/>
        <v>0</v>
      </c>
      <c r="J7893" t="str">
        <f>"00"</f>
        <v>00</v>
      </c>
      <c r="K7893">
        <v>20190816</v>
      </c>
      <c r="L7893" t="str">
        <f>"077712"</f>
        <v>077712</v>
      </c>
      <c r="M7893" t="str">
        <f>"46351"</f>
        <v>46351</v>
      </c>
      <c r="N7893" t="s">
        <v>1639</v>
      </c>
      <c r="O7893" s="1">
        <v>11075.67</v>
      </c>
      <c r="P7893">
        <v>20190814</v>
      </c>
      <c r="Q7893" t="s">
        <v>1637</v>
      </c>
      <c r="R7893" t="s">
        <v>6198</v>
      </c>
      <c r="S7893" t="s">
        <v>1615</v>
      </c>
      <c r="T7893" t="s">
        <v>296</v>
      </c>
    </row>
    <row r="7894" spans="1:20" x14ac:dyDescent="0.25">
      <c r="A7894">
        <v>9</v>
      </c>
      <c r="B7894">
        <v>199</v>
      </c>
      <c r="C7894" t="str">
        <f>"41"</f>
        <v>41</v>
      </c>
      <c r="D7894">
        <v>6269</v>
      </c>
      <c r="E7894" t="str">
        <f>"10"</f>
        <v>10</v>
      </c>
      <c r="F7894" t="str">
        <f>"933"</f>
        <v>933</v>
      </c>
      <c r="G7894">
        <v>9</v>
      </c>
      <c r="H7894" t="str">
        <f>"99"</f>
        <v>99</v>
      </c>
      <c r="I7894" t="str">
        <f t="shared" si="1789"/>
        <v>0</v>
      </c>
      <c r="J7894" t="str">
        <f>"85"</f>
        <v>85</v>
      </c>
      <c r="K7894">
        <v>20190816</v>
      </c>
      <c r="L7894" t="str">
        <f>"077712"</f>
        <v>077712</v>
      </c>
      <c r="M7894" t="str">
        <f>"46351"</f>
        <v>46351</v>
      </c>
      <c r="N7894" t="s">
        <v>1639</v>
      </c>
      <c r="O7894" s="1">
        <v>4248.04</v>
      </c>
      <c r="P7894">
        <v>20190814</v>
      </c>
      <c r="Q7894" t="s">
        <v>1642</v>
      </c>
      <c r="R7894" t="s">
        <v>6198</v>
      </c>
      <c r="S7894" t="s">
        <v>1615</v>
      </c>
      <c r="T7894" t="s">
        <v>1643</v>
      </c>
    </row>
    <row r="7895" spans="1:20" x14ac:dyDescent="0.25">
      <c r="A7895">
        <v>9</v>
      </c>
      <c r="B7895">
        <v>199</v>
      </c>
      <c r="C7895" t="str">
        <f>"51"</f>
        <v>51</v>
      </c>
      <c r="D7895">
        <v>6319</v>
      </c>
      <c r="E7895" t="str">
        <f>"MC"</f>
        <v>MC</v>
      </c>
      <c r="F7895" t="str">
        <f>"936"</f>
        <v>936</v>
      </c>
      <c r="G7895">
        <v>9</v>
      </c>
      <c r="H7895" t="str">
        <f>"99"</f>
        <v>99</v>
      </c>
      <c r="I7895" t="str">
        <f t="shared" si="1789"/>
        <v>0</v>
      </c>
      <c r="J7895" t="str">
        <f>"81"</f>
        <v>81</v>
      </c>
      <c r="K7895">
        <v>20190816</v>
      </c>
      <c r="L7895" t="str">
        <f>"077715"</f>
        <v>077715</v>
      </c>
      <c r="M7895" t="str">
        <f>"49898"</f>
        <v>49898</v>
      </c>
      <c r="N7895" t="s">
        <v>2390</v>
      </c>
      <c r="O7895">
        <v>110.33</v>
      </c>
      <c r="P7895">
        <v>20190814</v>
      </c>
      <c r="Q7895" t="s">
        <v>2060</v>
      </c>
      <c r="R7895" t="s">
        <v>6199</v>
      </c>
      <c r="S7895" t="s">
        <v>1615</v>
      </c>
      <c r="T7895" t="s">
        <v>1713</v>
      </c>
    </row>
    <row r="7896" spans="1:20" x14ac:dyDescent="0.25">
      <c r="A7896">
        <v>9</v>
      </c>
      <c r="B7896">
        <v>199</v>
      </c>
      <c r="C7896" t="str">
        <f>"51"</f>
        <v>51</v>
      </c>
      <c r="D7896">
        <v>6319</v>
      </c>
      <c r="E7896" t="str">
        <f>"MC"</f>
        <v>MC</v>
      </c>
      <c r="F7896" t="str">
        <f>"936"</f>
        <v>936</v>
      </c>
      <c r="G7896">
        <v>9</v>
      </c>
      <c r="H7896" t="str">
        <f>"99"</f>
        <v>99</v>
      </c>
      <c r="I7896" t="str">
        <f t="shared" si="1789"/>
        <v>0</v>
      </c>
      <c r="J7896" t="str">
        <f>"81"</f>
        <v>81</v>
      </c>
      <c r="K7896">
        <v>20190816</v>
      </c>
      <c r="L7896" t="str">
        <f>"077715"</f>
        <v>077715</v>
      </c>
      <c r="M7896" t="str">
        <f>"49898"</f>
        <v>49898</v>
      </c>
      <c r="N7896" t="s">
        <v>2390</v>
      </c>
      <c r="O7896">
        <v>104.19</v>
      </c>
      <c r="P7896">
        <v>20190814</v>
      </c>
      <c r="Q7896" t="s">
        <v>2060</v>
      </c>
      <c r="R7896" t="s">
        <v>6200</v>
      </c>
      <c r="S7896" t="s">
        <v>1615</v>
      </c>
      <c r="T7896" t="s">
        <v>1713</v>
      </c>
    </row>
    <row r="7897" spans="1:20" x14ac:dyDescent="0.25">
      <c r="A7897">
        <v>9</v>
      </c>
      <c r="B7897">
        <v>199</v>
      </c>
      <c r="C7897" t="str">
        <f>"51"</f>
        <v>51</v>
      </c>
      <c r="D7897">
        <v>6319</v>
      </c>
      <c r="E7897" t="str">
        <f>"MC"</f>
        <v>MC</v>
      </c>
      <c r="F7897" t="str">
        <f>"936"</f>
        <v>936</v>
      </c>
      <c r="G7897">
        <v>9</v>
      </c>
      <c r="H7897" t="str">
        <f>"99"</f>
        <v>99</v>
      </c>
      <c r="I7897" t="str">
        <f t="shared" si="1789"/>
        <v>0</v>
      </c>
      <c r="J7897" t="str">
        <f>"81"</f>
        <v>81</v>
      </c>
      <c r="K7897">
        <v>20190816</v>
      </c>
      <c r="L7897" t="str">
        <f>"077715"</f>
        <v>077715</v>
      </c>
      <c r="M7897" t="str">
        <f>"49898"</f>
        <v>49898</v>
      </c>
      <c r="N7897" t="s">
        <v>2390</v>
      </c>
      <c r="O7897">
        <v>194.68</v>
      </c>
      <c r="P7897">
        <v>20190814</v>
      </c>
      <c r="Q7897" t="s">
        <v>2060</v>
      </c>
      <c r="R7897" t="s">
        <v>6201</v>
      </c>
      <c r="S7897" t="s">
        <v>1615</v>
      </c>
      <c r="T7897" t="s">
        <v>1713</v>
      </c>
    </row>
    <row r="7898" spans="1:20" x14ac:dyDescent="0.25">
      <c r="A7898">
        <v>9</v>
      </c>
      <c r="B7898">
        <v>199</v>
      </c>
      <c r="C7898" t="str">
        <f>"52"</f>
        <v>52</v>
      </c>
      <c r="D7898">
        <v>6219</v>
      </c>
      <c r="E7898" t="str">
        <f>"00"</f>
        <v>00</v>
      </c>
      <c r="F7898" t="str">
        <f>"101"</f>
        <v>101</v>
      </c>
      <c r="G7898">
        <v>9</v>
      </c>
      <c r="H7898" t="str">
        <f>"99"</f>
        <v>99</v>
      </c>
      <c r="I7898" t="str">
        <f t="shared" si="1789"/>
        <v>0</v>
      </c>
      <c r="J7898" t="str">
        <f>"00"</f>
        <v>00</v>
      </c>
      <c r="K7898">
        <v>20190816</v>
      </c>
      <c r="L7898" t="str">
        <f>"077716"</f>
        <v>077716</v>
      </c>
      <c r="M7898" t="str">
        <f>"00755"</f>
        <v>00755</v>
      </c>
      <c r="N7898" t="s">
        <v>4268</v>
      </c>
      <c r="O7898">
        <v>300</v>
      </c>
      <c r="P7898">
        <v>20190814</v>
      </c>
      <c r="Q7898" t="s">
        <v>1854</v>
      </c>
      <c r="R7898" t="s">
        <v>6202</v>
      </c>
      <c r="S7898" t="s">
        <v>1615</v>
      </c>
      <c r="T7898" t="s">
        <v>1479</v>
      </c>
    </row>
    <row r="7899" spans="1:20" x14ac:dyDescent="0.25">
      <c r="A7899">
        <v>9</v>
      </c>
      <c r="B7899">
        <v>199</v>
      </c>
      <c r="C7899" t="str">
        <f>"11"</f>
        <v>11</v>
      </c>
      <c r="D7899">
        <v>6399</v>
      </c>
      <c r="E7899" t="str">
        <f>"7A"</f>
        <v>7A</v>
      </c>
      <c r="F7899" t="str">
        <f>"002"</f>
        <v>002</v>
      </c>
      <c r="G7899">
        <v>9</v>
      </c>
      <c r="H7899" t="str">
        <f>"11"</f>
        <v>11</v>
      </c>
      <c r="I7899" t="str">
        <f t="shared" si="1789"/>
        <v>0</v>
      </c>
      <c r="J7899" t="str">
        <f>"02"</f>
        <v>02</v>
      </c>
      <c r="K7899">
        <v>20190816</v>
      </c>
      <c r="L7899" t="str">
        <f>"077719"</f>
        <v>077719</v>
      </c>
      <c r="M7899" t="str">
        <f>"58211"</f>
        <v>58211</v>
      </c>
      <c r="N7899" t="s">
        <v>1472</v>
      </c>
      <c r="O7899">
        <v>25.7</v>
      </c>
      <c r="P7899">
        <v>20190814</v>
      </c>
      <c r="Q7899" t="s">
        <v>5541</v>
      </c>
      <c r="R7899" t="s">
        <v>2466</v>
      </c>
      <c r="S7899" t="s">
        <v>1615</v>
      </c>
      <c r="T7899" t="s">
        <v>1485</v>
      </c>
    </row>
    <row r="7900" spans="1:20" x14ac:dyDescent="0.25">
      <c r="A7900">
        <v>9</v>
      </c>
      <c r="B7900">
        <v>199</v>
      </c>
      <c r="C7900" t="str">
        <f>"31"</f>
        <v>31</v>
      </c>
      <c r="D7900">
        <v>6399</v>
      </c>
      <c r="E7900" t="str">
        <f>"10"</f>
        <v>10</v>
      </c>
      <c r="F7900" t="str">
        <f>"002"</f>
        <v>002</v>
      </c>
      <c r="G7900">
        <v>9</v>
      </c>
      <c r="H7900" t="str">
        <f>"99"</f>
        <v>99</v>
      </c>
      <c r="I7900" t="str">
        <f t="shared" si="1789"/>
        <v>0</v>
      </c>
      <c r="J7900" t="str">
        <f>"02"</f>
        <v>02</v>
      </c>
      <c r="K7900">
        <v>20190816</v>
      </c>
      <c r="L7900" t="str">
        <f>"077719"</f>
        <v>077719</v>
      </c>
      <c r="M7900" t="str">
        <f>"58211"</f>
        <v>58211</v>
      </c>
      <c r="N7900" t="s">
        <v>1472</v>
      </c>
      <c r="O7900">
        <v>87.98</v>
      </c>
      <c r="P7900">
        <v>20190814</v>
      </c>
      <c r="Q7900" t="s">
        <v>5590</v>
      </c>
      <c r="R7900" t="s">
        <v>6203</v>
      </c>
      <c r="S7900" t="s">
        <v>1615</v>
      </c>
      <c r="T7900" t="s">
        <v>1485</v>
      </c>
    </row>
    <row r="7901" spans="1:20" x14ac:dyDescent="0.25">
      <c r="A7901">
        <v>9</v>
      </c>
      <c r="B7901">
        <v>199</v>
      </c>
      <c r="C7901" t="str">
        <f>"51"</f>
        <v>51</v>
      </c>
      <c r="D7901">
        <v>6249</v>
      </c>
      <c r="E7901" t="str">
        <f>"MC"</f>
        <v>MC</v>
      </c>
      <c r="F7901" t="str">
        <f>"001"</f>
        <v>001</v>
      </c>
      <c r="G7901">
        <v>9</v>
      </c>
      <c r="H7901" t="str">
        <f>"99"</f>
        <v>99</v>
      </c>
      <c r="I7901" t="str">
        <f t="shared" si="1789"/>
        <v>0</v>
      </c>
      <c r="J7901" t="str">
        <f>"81"</f>
        <v>81</v>
      </c>
      <c r="K7901">
        <v>20190816</v>
      </c>
      <c r="L7901" t="str">
        <f>"077720"</f>
        <v>077720</v>
      </c>
      <c r="M7901" t="str">
        <f>"60115"</f>
        <v>60115</v>
      </c>
      <c r="N7901" t="s">
        <v>6204</v>
      </c>
      <c r="O7901" s="1">
        <v>2940</v>
      </c>
      <c r="P7901">
        <v>20190814</v>
      </c>
      <c r="Q7901" t="s">
        <v>2386</v>
      </c>
      <c r="R7901" t="s">
        <v>6205</v>
      </c>
      <c r="S7901" t="s">
        <v>1615</v>
      </c>
      <c r="T7901" t="s">
        <v>301</v>
      </c>
    </row>
    <row r="7902" spans="1:20" x14ac:dyDescent="0.25">
      <c r="A7902">
        <v>9</v>
      </c>
      <c r="B7902">
        <v>199</v>
      </c>
      <c r="C7902" t="str">
        <f>"13"</f>
        <v>13</v>
      </c>
      <c r="D7902">
        <v>6411</v>
      </c>
      <c r="E7902" t="str">
        <f>"7E"</f>
        <v>7E</v>
      </c>
      <c r="F7902" t="str">
        <f>"001"</f>
        <v>001</v>
      </c>
      <c r="G7902">
        <v>9</v>
      </c>
      <c r="H7902" t="str">
        <f>"11"</f>
        <v>11</v>
      </c>
      <c r="I7902" t="str">
        <f t="shared" si="1789"/>
        <v>0</v>
      </c>
      <c r="J7902" t="str">
        <f>"31"</f>
        <v>31</v>
      </c>
      <c r="K7902">
        <v>20190816</v>
      </c>
      <c r="L7902" t="str">
        <f>"077721"</f>
        <v>077721</v>
      </c>
      <c r="M7902" t="str">
        <f>"63053"</f>
        <v>63053</v>
      </c>
      <c r="N7902" t="s">
        <v>2309</v>
      </c>
      <c r="O7902">
        <v>229.34</v>
      </c>
      <c r="P7902">
        <v>20190814</v>
      </c>
      <c r="Q7902" t="s">
        <v>5521</v>
      </c>
      <c r="R7902" t="s">
        <v>5522</v>
      </c>
      <c r="S7902" t="s">
        <v>1615</v>
      </c>
      <c r="T7902" t="s">
        <v>301</v>
      </c>
    </row>
    <row r="7903" spans="1:20" x14ac:dyDescent="0.25">
      <c r="A7903">
        <v>9</v>
      </c>
      <c r="B7903">
        <v>199</v>
      </c>
      <c r="C7903" t="str">
        <f>"36"</f>
        <v>36</v>
      </c>
      <c r="D7903">
        <v>6411</v>
      </c>
      <c r="E7903" t="str">
        <f>"7E"</f>
        <v>7E</v>
      </c>
      <c r="F7903" t="str">
        <f>"041"</f>
        <v>041</v>
      </c>
      <c r="G7903">
        <v>9</v>
      </c>
      <c r="H7903" t="str">
        <f>"99"</f>
        <v>99</v>
      </c>
      <c r="I7903" t="str">
        <f t="shared" si="1789"/>
        <v>0</v>
      </c>
      <c r="J7903" t="str">
        <f>"35"</f>
        <v>35</v>
      </c>
      <c r="K7903">
        <v>20190816</v>
      </c>
      <c r="L7903" t="str">
        <f>"077722"</f>
        <v>077722</v>
      </c>
      <c r="M7903" t="str">
        <f>"63792"</f>
        <v>63792</v>
      </c>
      <c r="N7903" t="s">
        <v>2669</v>
      </c>
      <c r="O7903">
        <v>357.17</v>
      </c>
      <c r="P7903">
        <v>20190814</v>
      </c>
      <c r="Q7903" t="s">
        <v>3326</v>
      </c>
      <c r="R7903" t="s">
        <v>5522</v>
      </c>
      <c r="S7903" t="s">
        <v>1615</v>
      </c>
      <c r="T7903" t="s">
        <v>106</v>
      </c>
    </row>
    <row r="7904" spans="1:20" x14ac:dyDescent="0.25">
      <c r="A7904">
        <v>9</v>
      </c>
      <c r="B7904">
        <v>199</v>
      </c>
      <c r="C7904" t="str">
        <f>"41"</f>
        <v>41</v>
      </c>
      <c r="D7904">
        <v>6419</v>
      </c>
      <c r="E7904" t="str">
        <f>"10"</f>
        <v>10</v>
      </c>
      <c r="F7904" t="str">
        <f>"702"</f>
        <v>702</v>
      </c>
      <c r="G7904">
        <v>9</v>
      </c>
      <c r="H7904" t="str">
        <f>"99"</f>
        <v>99</v>
      </c>
      <c r="I7904" t="str">
        <f t="shared" si="1789"/>
        <v>0</v>
      </c>
      <c r="J7904" t="str">
        <f>"93"</f>
        <v>93</v>
      </c>
      <c r="K7904">
        <v>20190816</v>
      </c>
      <c r="L7904" t="str">
        <f>"077724"</f>
        <v>077724</v>
      </c>
      <c r="M7904" t="str">
        <f>"64934"</f>
        <v>64934</v>
      </c>
      <c r="N7904" t="s">
        <v>6206</v>
      </c>
      <c r="O7904">
        <v>155.88</v>
      </c>
      <c r="P7904">
        <v>20190815</v>
      </c>
      <c r="Q7904" t="s">
        <v>1645</v>
      </c>
      <c r="R7904" t="s">
        <v>4946</v>
      </c>
      <c r="S7904" t="s">
        <v>1615</v>
      </c>
      <c r="T7904" t="s">
        <v>1611</v>
      </c>
    </row>
    <row r="7905" spans="1:20" x14ac:dyDescent="0.25">
      <c r="A7905">
        <v>9</v>
      </c>
      <c r="B7905">
        <v>199</v>
      </c>
      <c r="C7905" t="str">
        <f>"34"</f>
        <v>34</v>
      </c>
      <c r="D7905">
        <v>6311</v>
      </c>
      <c r="E7905" t="str">
        <f>"10"</f>
        <v>10</v>
      </c>
      <c r="F7905" t="str">
        <f>"937"</f>
        <v>937</v>
      </c>
      <c r="G7905">
        <v>9</v>
      </c>
      <c r="H7905" t="str">
        <f>"99"</f>
        <v>99</v>
      </c>
      <c r="I7905" t="str">
        <f t="shared" si="1789"/>
        <v>0</v>
      </c>
      <c r="J7905" t="str">
        <f>"82"</f>
        <v>82</v>
      </c>
      <c r="K7905">
        <v>20190816</v>
      </c>
      <c r="L7905" t="str">
        <f>"077725"</f>
        <v>077725</v>
      </c>
      <c r="M7905" t="str">
        <f>"65212"</f>
        <v>65212</v>
      </c>
      <c r="N7905" t="s">
        <v>1913</v>
      </c>
      <c r="O7905" s="1">
        <v>13835.25</v>
      </c>
      <c r="P7905">
        <v>20190814</v>
      </c>
      <c r="Q7905" t="s">
        <v>1914</v>
      </c>
      <c r="R7905" t="s">
        <v>6207</v>
      </c>
      <c r="S7905" t="s">
        <v>1615</v>
      </c>
      <c r="T7905" t="s">
        <v>1810</v>
      </c>
    </row>
    <row r="7906" spans="1:20" x14ac:dyDescent="0.25">
      <c r="A7906">
        <v>9</v>
      </c>
      <c r="B7906">
        <v>199</v>
      </c>
      <c r="C7906" t="str">
        <f>"11"</f>
        <v>11</v>
      </c>
      <c r="D7906">
        <v>6399</v>
      </c>
      <c r="E7906" t="str">
        <f>"V1"</f>
        <v>V1</v>
      </c>
      <c r="F7906" t="str">
        <f>"001"</f>
        <v>001</v>
      </c>
      <c r="G7906">
        <v>9</v>
      </c>
      <c r="H7906" t="str">
        <f>"22"</f>
        <v>22</v>
      </c>
      <c r="I7906" t="str">
        <f t="shared" si="1789"/>
        <v>0</v>
      </c>
      <c r="J7906" t="str">
        <f>"22"</f>
        <v>22</v>
      </c>
      <c r="K7906">
        <v>20190816</v>
      </c>
      <c r="L7906" t="str">
        <f>"077727"</f>
        <v>077727</v>
      </c>
      <c r="M7906" t="str">
        <f>"65934"</f>
        <v>65934</v>
      </c>
      <c r="N7906" t="s">
        <v>5839</v>
      </c>
      <c r="O7906">
        <v>67.37</v>
      </c>
      <c r="P7906">
        <v>20190814</v>
      </c>
      <c r="Q7906" t="s">
        <v>5437</v>
      </c>
      <c r="R7906" t="s">
        <v>6208</v>
      </c>
      <c r="S7906" t="s">
        <v>1615</v>
      </c>
      <c r="T7906" t="s">
        <v>301</v>
      </c>
    </row>
    <row r="7907" spans="1:20" x14ac:dyDescent="0.25">
      <c r="A7907">
        <v>9</v>
      </c>
      <c r="B7907">
        <v>199</v>
      </c>
      <c r="C7907" t="str">
        <f>"41"</f>
        <v>41</v>
      </c>
      <c r="D7907">
        <v>6419</v>
      </c>
      <c r="E7907" t="str">
        <f>"10"</f>
        <v>10</v>
      </c>
      <c r="F7907" t="str">
        <f>"702"</f>
        <v>702</v>
      </c>
      <c r="G7907">
        <v>9</v>
      </c>
      <c r="H7907" t="str">
        <f>"99"</f>
        <v>99</v>
      </c>
      <c r="I7907" t="str">
        <f t="shared" si="1789"/>
        <v>0</v>
      </c>
      <c r="J7907" t="str">
        <f>"93"</f>
        <v>93</v>
      </c>
      <c r="K7907">
        <v>20190816</v>
      </c>
      <c r="L7907" t="str">
        <f>"077728"</f>
        <v>077728</v>
      </c>
      <c r="M7907" t="str">
        <f>"45256"</f>
        <v>45256</v>
      </c>
      <c r="N7907" t="s">
        <v>6209</v>
      </c>
      <c r="O7907">
        <v>214.18</v>
      </c>
      <c r="P7907">
        <v>20190815</v>
      </c>
      <c r="Q7907" t="s">
        <v>1645</v>
      </c>
      <c r="R7907" t="s">
        <v>4946</v>
      </c>
      <c r="S7907" t="s">
        <v>1615</v>
      </c>
      <c r="T7907" t="s">
        <v>1611</v>
      </c>
    </row>
    <row r="7908" spans="1:20" x14ac:dyDescent="0.25">
      <c r="A7908">
        <v>9</v>
      </c>
      <c r="B7908">
        <v>199</v>
      </c>
      <c r="C7908" t="str">
        <f>"23"</f>
        <v>23</v>
      </c>
      <c r="D7908">
        <v>6498</v>
      </c>
      <c r="E7908" t="str">
        <f>"99"</f>
        <v>99</v>
      </c>
      <c r="F7908" t="str">
        <f>"041"</f>
        <v>041</v>
      </c>
      <c r="G7908">
        <v>9</v>
      </c>
      <c r="H7908" t="str">
        <f>"99"</f>
        <v>99</v>
      </c>
      <c r="I7908" t="str">
        <f t="shared" si="1789"/>
        <v>0</v>
      </c>
      <c r="J7908" t="str">
        <f>"03"</f>
        <v>03</v>
      </c>
      <c r="K7908">
        <v>20190816</v>
      </c>
      <c r="L7908" t="str">
        <f>"077729"</f>
        <v>077729</v>
      </c>
      <c r="M7908" t="str">
        <f>"74160"</f>
        <v>74160</v>
      </c>
      <c r="N7908" t="s">
        <v>3604</v>
      </c>
      <c r="O7908">
        <v>251.25</v>
      </c>
      <c r="P7908">
        <v>20190815</v>
      </c>
      <c r="Q7908" t="s">
        <v>2140</v>
      </c>
      <c r="R7908" t="s">
        <v>5823</v>
      </c>
      <c r="S7908" t="s">
        <v>1615</v>
      </c>
      <c r="T7908" t="s">
        <v>106</v>
      </c>
    </row>
    <row r="7909" spans="1:20" x14ac:dyDescent="0.25">
      <c r="A7909">
        <v>9</v>
      </c>
      <c r="B7909">
        <v>199</v>
      </c>
      <c r="C7909" t="str">
        <f>"41"</f>
        <v>41</v>
      </c>
      <c r="D7909">
        <v>6498</v>
      </c>
      <c r="E7909" t="str">
        <f>"10"</f>
        <v>10</v>
      </c>
      <c r="F7909" t="str">
        <f>"701"</f>
        <v>701</v>
      </c>
      <c r="G7909">
        <v>9</v>
      </c>
      <c r="H7909" t="str">
        <f>"99"</f>
        <v>99</v>
      </c>
      <c r="I7909" t="str">
        <f t="shared" si="1789"/>
        <v>0</v>
      </c>
      <c r="J7909" t="str">
        <f>"92"</f>
        <v>92</v>
      </c>
      <c r="K7909">
        <v>20190816</v>
      </c>
      <c r="L7909" t="str">
        <f>"077729"</f>
        <v>077729</v>
      </c>
      <c r="M7909" t="str">
        <f>"74160"</f>
        <v>74160</v>
      </c>
      <c r="N7909" t="s">
        <v>3604</v>
      </c>
      <c r="O7909">
        <v>36</v>
      </c>
      <c r="P7909">
        <v>20190815</v>
      </c>
      <c r="Q7909" t="s">
        <v>2202</v>
      </c>
      <c r="R7909" t="s">
        <v>6210</v>
      </c>
      <c r="S7909" t="s">
        <v>1615</v>
      </c>
      <c r="T7909" t="s">
        <v>1841</v>
      </c>
    </row>
    <row r="7910" spans="1:20" x14ac:dyDescent="0.25">
      <c r="A7910">
        <v>9</v>
      </c>
      <c r="B7910">
        <v>199</v>
      </c>
      <c r="C7910" t="str">
        <f>"13"</f>
        <v>13</v>
      </c>
      <c r="D7910">
        <v>6411</v>
      </c>
      <c r="E7910" t="str">
        <f>"NL"</f>
        <v>NL</v>
      </c>
      <c r="F7910" t="str">
        <f>"001"</f>
        <v>001</v>
      </c>
      <c r="G7910">
        <v>9</v>
      </c>
      <c r="H7910" t="str">
        <f>"22"</f>
        <v>22</v>
      </c>
      <c r="I7910" t="str">
        <f t="shared" si="1789"/>
        <v>0</v>
      </c>
      <c r="J7910" t="str">
        <f>"22"</f>
        <v>22</v>
      </c>
      <c r="K7910">
        <v>20190816</v>
      </c>
      <c r="L7910" t="str">
        <f>"077730"</f>
        <v>077730</v>
      </c>
      <c r="M7910" t="str">
        <f>"75515"</f>
        <v>75515</v>
      </c>
      <c r="N7910" t="s">
        <v>3828</v>
      </c>
      <c r="O7910">
        <v>311.52</v>
      </c>
      <c r="P7910">
        <v>20190814</v>
      </c>
      <c r="Q7910" t="s">
        <v>4676</v>
      </c>
      <c r="R7910" t="s">
        <v>4954</v>
      </c>
      <c r="S7910" t="s">
        <v>1615</v>
      </c>
      <c r="T7910" t="s">
        <v>301</v>
      </c>
    </row>
    <row r="7911" spans="1:20" x14ac:dyDescent="0.25">
      <c r="A7911">
        <v>9</v>
      </c>
      <c r="B7911">
        <v>199</v>
      </c>
      <c r="C7911" t="str">
        <f>"23"</f>
        <v>23</v>
      </c>
      <c r="D7911">
        <v>6498</v>
      </c>
      <c r="E7911" t="str">
        <f>"10"</f>
        <v>10</v>
      </c>
      <c r="F7911" t="str">
        <f>"104"</f>
        <v>104</v>
      </c>
      <c r="G7911">
        <v>9</v>
      </c>
      <c r="H7911" t="str">
        <f t="shared" ref="H7911:H7917" si="1790">"99"</f>
        <v>99</v>
      </c>
      <c r="I7911" t="str">
        <f t="shared" si="1789"/>
        <v>0</v>
      </c>
      <c r="J7911" t="str">
        <f>"05"</f>
        <v>05</v>
      </c>
      <c r="K7911">
        <v>20190816</v>
      </c>
      <c r="L7911" t="str">
        <f>"077731"</f>
        <v>077731</v>
      </c>
      <c r="M7911" t="str">
        <f>"00539"</f>
        <v>00539</v>
      </c>
      <c r="N7911" t="s">
        <v>2332</v>
      </c>
      <c r="O7911">
        <v>157.25</v>
      </c>
      <c r="P7911">
        <v>20190815</v>
      </c>
      <c r="Q7911" t="s">
        <v>2402</v>
      </c>
      <c r="R7911" t="s">
        <v>6211</v>
      </c>
      <c r="S7911" t="s">
        <v>1615</v>
      </c>
      <c r="T7911" t="s">
        <v>46</v>
      </c>
    </row>
    <row r="7912" spans="1:20" x14ac:dyDescent="0.25">
      <c r="A7912">
        <v>9</v>
      </c>
      <c r="B7912">
        <v>199</v>
      </c>
      <c r="C7912" t="str">
        <f>"23"</f>
        <v>23</v>
      </c>
      <c r="D7912">
        <v>6498</v>
      </c>
      <c r="E7912" t="str">
        <f>"10"</f>
        <v>10</v>
      </c>
      <c r="F7912" t="str">
        <f>"104"</f>
        <v>104</v>
      </c>
      <c r="G7912">
        <v>9</v>
      </c>
      <c r="H7912" t="str">
        <f t="shared" si="1790"/>
        <v>99</v>
      </c>
      <c r="I7912" t="str">
        <f t="shared" si="1789"/>
        <v>0</v>
      </c>
      <c r="J7912" t="str">
        <f>"05"</f>
        <v>05</v>
      </c>
      <c r="K7912">
        <v>20190816</v>
      </c>
      <c r="L7912" t="str">
        <f>"077731"</f>
        <v>077731</v>
      </c>
      <c r="M7912" t="str">
        <f>"00539"</f>
        <v>00539</v>
      </c>
      <c r="N7912" t="s">
        <v>2332</v>
      </c>
      <c r="O7912">
        <v>138.75</v>
      </c>
      <c r="P7912">
        <v>20190815</v>
      </c>
      <c r="Q7912" t="s">
        <v>2402</v>
      </c>
      <c r="R7912" t="s">
        <v>6212</v>
      </c>
      <c r="S7912" t="s">
        <v>1615</v>
      </c>
      <c r="T7912" t="s">
        <v>46</v>
      </c>
    </row>
    <row r="7913" spans="1:20" x14ac:dyDescent="0.25">
      <c r="A7913">
        <v>9</v>
      </c>
      <c r="B7913">
        <v>199</v>
      </c>
      <c r="C7913" t="str">
        <f>"41"</f>
        <v>41</v>
      </c>
      <c r="D7913">
        <v>6498</v>
      </c>
      <c r="E7913" t="str">
        <f>"10"</f>
        <v>10</v>
      </c>
      <c r="F7913" t="str">
        <f>"701"</f>
        <v>701</v>
      </c>
      <c r="G7913">
        <v>9</v>
      </c>
      <c r="H7913" t="str">
        <f t="shared" si="1790"/>
        <v>99</v>
      </c>
      <c r="I7913" t="str">
        <f t="shared" si="1789"/>
        <v>0</v>
      </c>
      <c r="J7913" t="str">
        <f>"92"</f>
        <v>92</v>
      </c>
      <c r="K7913">
        <v>20190816</v>
      </c>
      <c r="L7913" t="str">
        <f>"077731"</f>
        <v>077731</v>
      </c>
      <c r="M7913" t="str">
        <f>"00539"</f>
        <v>00539</v>
      </c>
      <c r="N7913" t="s">
        <v>2332</v>
      </c>
      <c r="O7913">
        <v>45</v>
      </c>
      <c r="P7913">
        <v>20190815</v>
      </c>
      <c r="Q7913" t="s">
        <v>2202</v>
      </c>
      <c r="R7913" t="s">
        <v>6213</v>
      </c>
      <c r="S7913" t="s">
        <v>1615</v>
      </c>
      <c r="T7913" t="s">
        <v>1841</v>
      </c>
    </row>
    <row r="7914" spans="1:20" x14ac:dyDescent="0.25">
      <c r="A7914">
        <v>9</v>
      </c>
      <c r="B7914">
        <v>199</v>
      </c>
      <c r="C7914" t="str">
        <f>"41"</f>
        <v>41</v>
      </c>
      <c r="D7914">
        <v>6498</v>
      </c>
      <c r="E7914" t="str">
        <f>"10"</f>
        <v>10</v>
      </c>
      <c r="F7914" t="str">
        <f>"701"</f>
        <v>701</v>
      </c>
      <c r="G7914">
        <v>9</v>
      </c>
      <c r="H7914" t="str">
        <f t="shared" si="1790"/>
        <v>99</v>
      </c>
      <c r="I7914" t="str">
        <f t="shared" si="1789"/>
        <v>0</v>
      </c>
      <c r="J7914" t="str">
        <f>"92"</f>
        <v>92</v>
      </c>
      <c r="K7914">
        <v>20190816</v>
      </c>
      <c r="L7914" t="str">
        <f>"077731"</f>
        <v>077731</v>
      </c>
      <c r="M7914" t="str">
        <f>"00539"</f>
        <v>00539</v>
      </c>
      <c r="N7914" t="s">
        <v>2332</v>
      </c>
      <c r="O7914">
        <v>45</v>
      </c>
      <c r="P7914">
        <v>20190815</v>
      </c>
      <c r="Q7914" t="s">
        <v>2202</v>
      </c>
      <c r="R7914" t="s">
        <v>6214</v>
      </c>
      <c r="S7914" t="s">
        <v>1615</v>
      </c>
      <c r="T7914" t="s">
        <v>1841</v>
      </c>
    </row>
    <row r="7915" spans="1:20" x14ac:dyDescent="0.25">
      <c r="A7915">
        <v>9</v>
      </c>
      <c r="B7915">
        <v>199</v>
      </c>
      <c r="C7915" t="str">
        <f>"41"</f>
        <v>41</v>
      </c>
      <c r="D7915">
        <v>6417</v>
      </c>
      <c r="E7915" t="str">
        <f>"10"</f>
        <v>10</v>
      </c>
      <c r="F7915" t="str">
        <f>"702"</f>
        <v>702</v>
      </c>
      <c r="G7915">
        <v>9</v>
      </c>
      <c r="H7915" t="str">
        <f t="shared" si="1790"/>
        <v>99</v>
      </c>
      <c r="I7915" t="str">
        <f t="shared" si="1789"/>
        <v>0</v>
      </c>
      <c r="J7915" t="str">
        <f>"93"</f>
        <v>93</v>
      </c>
      <c r="K7915">
        <v>20190816</v>
      </c>
      <c r="L7915" t="str">
        <f>"077732"</f>
        <v>077732</v>
      </c>
      <c r="M7915" t="str">
        <f>"76542"</f>
        <v>76542</v>
      </c>
      <c r="N7915" t="s">
        <v>3992</v>
      </c>
      <c r="O7915" s="1">
        <v>2125</v>
      </c>
      <c r="P7915">
        <v>20190814</v>
      </c>
      <c r="Q7915" t="s">
        <v>2682</v>
      </c>
      <c r="R7915" t="s">
        <v>6215</v>
      </c>
      <c r="S7915" t="s">
        <v>1615</v>
      </c>
      <c r="T7915" t="s">
        <v>1611</v>
      </c>
    </row>
    <row r="7916" spans="1:20" x14ac:dyDescent="0.25">
      <c r="A7916">
        <v>9</v>
      </c>
      <c r="B7916">
        <v>199</v>
      </c>
      <c r="C7916" t="str">
        <f>"41"</f>
        <v>41</v>
      </c>
      <c r="D7916">
        <v>6495</v>
      </c>
      <c r="E7916" t="str">
        <f>"11"</f>
        <v>11</v>
      </c>
      <c r="F7916" t="str">
        <f>"701"</f>
        <v>701</v>
      </c>
      <c r="G7916">
        <v>9</v>
      </c>
      <c r="H7916" t="str">
        <f t="shared" si="1790"/>
        <v>99</v>
      </c>
      <c r="I7916" t="str">
        <f t="shared" ref="I7916:I7933" si="1791">"0"</f>
        <v>0</v>
      </c>
      <c r="J7916" t="str">
        <f>"92"</f>
        <v>92</v>
      </c>
      <c r="K7916">
        <v>20190816</v>
      </c>
      <c r="L7916" t="str">
        <f>"077733"</f>
        <v>077733</v>
      </c>
      <c r="M7916" t="str">
        <f>"74385"</f>
        <v>74385</v>
      </c>
      <c r="N7916" t="s">
        <v>1812</v>
      </c>
      <c r="O7916">
        <v>81.400000000000006</v>
      </c>
      <c r="P7916">
        <v>20190814</v>
      </c>
      <c r="Q7916" t="s">
        <v>1839</v>
      </c>
      <c r="R7916" t="s">
        <v>5348</v>
      </c>
      <c r="S7916" t="s">
        <v>1615</v>
      </c>
      <c r="T7916" t="s">
        <v>1841</v>
      </c>
    </row>
    <row r="7917" spans="1:20" x14ac:dyDescent="0.25">
      <c r="A7917">
        <v>9</v>
      </c>
      <c r="B7917">
        <v>199</v>
      </c>
      <c r="C7917" t="str">
        <f>"41"</f>
        <v>41</v>
      </c>
      <c r="D7917">
        <v>6495</v>
      </c>
      <c r="E7917" t="str">
        <f>"00"</f>
        <v>00</v>
      </c>
      <c r="F7917" t="str">
        <f>"939"</f>
        <v>939</v>
      </c>
      <c r="G7917">
        <v>9</v>
      </c>
      <c r="H7917" t="str">
        <f t="shared" si="1790"/>
        <v>99</v>
      </c>
      <c r="I7917" t="str">
        <f t="shared" si="1791"/>
        <v>0</v>
      </c>
      <c r="J7917" t="str">
        <f>"87"</f>
        <v>87</v>
      </c>
      <c r="K7917">
        <v>20190816</v>
      </c>
      <c r="L7917" t="str">
        <f>"077734"</f>
        <v>077734</v>
      </c>
      <c r="M7917" t="str">
        <f>"76548"</f>
        <v>76548</v>
      </c>
      <c r="N7917" t="s">
        <v>1817</v>
      </c>
      <c r="O7917">
        <v>135</v>
      </c>
      <c r="P7917">
        <v>20190815</v>
      </c>
      <c r="Q7917" t="s">
        <v>6216</v>
      </c>
      <c r="R7917" t="s">
        <v>6217</v>
      </c>
      <c r="S7917" t="s">
        <v>1615</v>
      </c>
      <c r="T7917" t="s">
        <v>2985</v>
      </c>
    </row>
    <row r="7918" spans="1:20" x14ac:dyDescent="0.25">
      <c r="A7918">
        <v>9</v>
      </c>
      <c r="B7918">
        <v>199</v>
      </c>
      <c r="C7918" t="str">
        <f>"36"</f>
        <v>36</v>
      </c>
      <c r="D7918">
        <v>6399</v>
      </c>
      <c r="E7918" t="str">
        <f>"H1"</f>
        <v>H1</v>
      </c>
      <c r="F7918" t="str">
        <f>"001"</f>
        <v>001</v>
      </c>
      <c r="G7918">
        <v>9</v>
      </c>
      <c r="H7918" t="str">
        <f>"31"</f>
        <v>31</v>
      </c>
      <c r="I7918" t="str">
        <f t="shared" si="1791"/>
        <v>0</v>
      </c>
      <c r="J7918" t="str">
        <f>"34"</f>
        <v>34</v>
      </c>
      <c r="K7918">
        <v>20190816</v>
      </c>
      <c r="L7918" t="str">
        <f>"077735"</f>
        <v>077735</v>
      </c>
      <c r="M7918" t="str">
        <f>"81920"</f>
        <v>81920</v>
      </c>
      <c r="N7918" t="s">
        <v>6218</v>
      </c>
      <c r="O7918" s="1">
        <v>1410.4</v>
      </c>
      <c r="P7918">
        <v>20190815</v>
      </c>
      <c r="Q7918" t="s">
        <v>4871</v>
      </c>
      <c r="R7918" t="s">
        <v>6219</v>
      </c>
      <c r="S7918" t="s">
        <v>1615</v>
      </c>
      <c r="T7918" t="s">
        <v>301</v>
      </c>
    </row>
    <row r="7919" spans="1:20" x14ac:dyDescent="0.25">
      <c r="A7919">
        <v>9</v>
      </c>
      <c r="B7919">
        <v>199</v>
      </c>
      <c r="C7919" t="str">
        <f>"13"</f>
        <v>13</v>
      </c>
      <c r="D7919">
        <v>6411</v>
      </c>
      <c r="E7919" t="str">
        <f>"R1"</f>
        <v>R1</v>
      </c>
      <c r="F7919" t="str">
        <f>"001"</f>
        <v>001</v>
      </c>
      <c r="G7919">
        <v>9</v>
      </c>
      <c r="H7919" t="str">
        <f>"11"</f>
        <v>11</v>
      </c>
      <c r="I7919" t="str">
        <f t="shared" si="1791"/>
        <v>0</v>
      </c>
      <c r="J7919" t="str">
        <f>"01"</f>
        <v>01</v>
      </c>
      <c r="K7919">
        <v>20190816</v>
      </c>
      <c r="L7919" t="str">
        <f>"077736"</f>
        <v>077736</v>
      </c>
      <c r="M7919" t="str">
        <f>"00875"</f>
        <v>00875</v>
      </c>
      <c r="N7919" t="s">
        <v>6220</v>
      </c>
      <c r="O7919">
        <v>249.81</v>
      </c>
      <c r="P7919">
        <v>20190815</v>
      </c>
      <c r="Q7919" t="s">
        <v>6056</v>
      </c>
      <c r="R7919" t="s">
        <v>6221</v>
      </c>
      <c r="S7919" t="s">
        <v>1615</v>
      </c>
      <c r="T7919" t="s">
        <v>301</v>
      </c>
    </row>
    <row r="7920" spans="1:20" x14ac:dyDescent="0.25">
      <c r="A7920">
        <v>9</v>
      </c>
      <c r="B7920">
        <v>199</v>
      </c>
      <c r="C7920" t="str">
        <f>"41"</f>
        <v>41</v>
      </c>
      <c r="D7920">
        <v>6649</v>
      </c>
      <c r="E7920" t="str">
        <f>"10"</f>
        <v>10</v>
      </c>
      <c r="F7920" t="str">
        <f>"730"</f>
        <v>730</v>
      </c>
      <c r="G7920">
        <v>9</v>
      </c>
      <c r="H7920" t="str">
        <f t="shared" ref="H7920:H7925" si="1792">"99"</f>
        <v>99</v>
      </c>
      <c r="I7920" t="str">
        <f t="shared" si="1791"/>
        <v>0</v>
      </c>
      <c r="J7920" t="str">
        <f>"95"</f>
        <v>95</v>
      </c>
      <c r="K7920">
        <v>20190823</v>
      </c>
      <c r="L7920" t="str">
        <f>"077738"</f>
        <v>077738</v>
      </c>
      <c r="M7920" t="str">
        <f>"03710"</f>
        <v>03710</v>
      </c>
      <c r="N7920" t="s">
        <v>1385</v>
      </c>
      <c r="O7920">
        <v>244.57</v>
      </c>
      <c r="P7920">
        <v>20190821</v>
      </c>
      <c r="Q7920" t="s">
        <v>6178</v>
      </c>
      <c r="R7920" t="s">
        <v>6222</v>
      </c>
      <c r="S7920" t="s">
        <v>1615</v>
      </c>
      <c r="T7920" t="s">
        <v>1794</v>
      </c>
    </row>
    <row r="7921" spans="1:20" x14ac:dyDescent="0.25">
      <c r="A7921">
        <v>9</v>
      </c>
      <c r="B7921">
        <v>199</v>
      </c>
      <c r="C7921" t="str">
        <f>"34"</f>
        <v>34</v>
      </c>
      <c r="D7921">
        <v>6249</v>
      </c>
      <c r="E7921" t="str">
        <f>"10"</f>
        <v>10</v>
      </c>
      <c r="F7921" t="str">
        <f>"937"</f>
        <v>937</v>
      </c>
      <c r="G7921">
        <v>9</v>
      </c>
      <c r="H7921" t="str">
        <f t="shared" si="1792"/>
        <v>99</v>
      </c>
      <c r="I7921" t="str">
        <f t="shared" si="1791"/>
        <v>0</v>
      </c>
      <c r="J7921" t="str">
        <f>"82"</f>
        <v>82</v>
      </c>
      <c r="K7921">
        <v>20190823</v>
      </c>
      <c r="L7921" t="str">
        <f>"077739"</f>
        <v>077739</v>
      </c>
      <c r="M7921" t="str">
        <f>"03846"</f>
        <v>03846</v>
      </c>
      <c r="N7921" t="s">
        <v>3678</v>
      </c>
      <c r="O7921" s="1">
        <v>3070.22</v>
      </c>
      <c r="P7921">
        <v>20190821</v>
      </c>
      <c r="Q7921" t="s">
        <v>2036</v>
      </c>
      <c r="R7921" t="s">
        <v>6223</v>
      </c>
      <c r="S7921" t="s">
        <v>1615</v>
      </c>
      <c r="T7921" t="s">
        <v>1810</v>
      </c>
    </row>
    <row r="7922" spans="1:20" x14ac:dyDescent="0.25">
      <c r="A7922">
        <v>9</v>
      </c>
      <c r="B7922">
        <v>199</v>
      </c>
      <c r="C7922" t="str">
        <f>"34"</f>
        <v>34</v>
      </c>
      <c r="D7922">
        <v>6249</v>
      </c>
      <c r="E7922" t="str">
        <f>"10"</f>
        <v>10</v>
      </c>
      <c r="F7922" t="str">
        <f>"937"</f>
        <v>937</v>
      </c>
      <c r="G7922">
        <v>9</v>
      </c>
      <c r="H7922" t="str">
        <f t="shared" si="1792"/>
        <v>99</v>
      </c>
      <c r="I7922" t="str">
        <f t="shared" si="1791"/>
        <v>0</v>
      </c>
      <c r="J7922" t="str">
        <f>"82"</f>
        <v>82</v>
      </c>
      <c r="K7922">
        <v>20190823</v>
      </c>
      <c r="L7922" t="str">
        <f>"077741"</f>
        <v>077741</v>
      </c>
      <c r="M7922" t="str">
        <f>"24208"</f>
        <v>24208</v>
      </c>
      <c r="N7922" t="s">
        <v>2356</v>
      </c>
      <c r="O7922">
        <v>150</v>
      </c>
      <c r="P7922">
        <v>20190821</v>
      </c>
      <c r="Q7922" t="s">
        <v>2036</v>
      </c>
      <c r="R7922" t="s">
        <v>6224</v>
      </c>
      <c r="S7922" t="s">
        <v>1615</v>
      </c>
      <c r="T7922" t="s">
        <v>1810</v>
      </c>
    </row>
    <row r="7923" spans="1:20" x14ac:dyDescent="0.25">
      <c r="A7923">
        <v>9</v>
      </c>
      <c r="B7923">
        <v>199</v>
      </c>
      <c r="C7923" t="str">
        <f>"51"</f>
        <v>51</v>
      </c>
      <c r="D7923">
        <v>6319</v>
      </c>
      <c r="E7923" t="str">
        <f>"M2"</f>
        <v>M2</v>
      </c>
      <c r="F7923" t="str">
        <f>"936"</f>
        <v>936</v>
      </c>
      <c r="G7923">
        <v>9</v>
      </c>
      <c r="H7923" t="str">
        <f t="shared" si="1792"/>
        <v>99</v>
      </c>
      <c r="I7923" t="str">
        <f t="shared" si="1791"/>
        <v>0</v>
      </c>
      <c r="J7923" t="str">
        <f>"81"</f>
        <v>81</v>
      </c>
      <c r="K7923">
        <v>20190823</v>
      </c>
      <c r="L7923" t="str">
        <f>"077742"</f>
        <v>077742</v>
      </c>
      <c r="M7923" t="str">
        <f>"08132"</f>
        <v>08132</v>
      </c>
      <c r="N7923" t="s">
        <v>2449</v>
      </c>
      <c r="O7923">
        <v>78.959999999999994</v>
      </c>
      <c r="P7923">
        <v>20190821</v>
      </c>
      <c r="Q7923" t="s">
        <v>2074</v>
      </c>
      <c r="R7923" t="s">
        <v>6225</v>
      </c>
      <c r="S7923" t="s">
        <v>1615</v>
      </c>
      <c r="T7923" t="s">
        <v>1713</v>
      </c>
    </row>
    <row r="7924" spans="1:20" x14ac:dyDescent="0.25">
      <c r="A7924">
        <v>9</v>
      </c>
      <c r="B7924">
        <v>199</v>
      </c>
      <c r="C7924" t="str">
        <f>"51"</f>
        <v>51</v>
      </c>
      <c r="D7924">
        <v>6319</v>
      </c>
      <c r="E7924" t="str">
        <f>"MC"</f>
        <v>MC</v>
      </c>
      <c r="F7924" t="str">
        <f>"936"</f>
        <v>936</v>
      </c>
      <c r="G7924">
        <v>9</v>
      </c>
      <c r="H7924" t="str">
        <f t="shared" si="1792"/>
        <v>99</v>
      </c>
      <c r="I7924" t="str">
        <f t="shared" si="1791"/>
        <v>0</v>
      </c>
      <c r="J7924" t="str">
        <f>"81"</f>
        <v>81</v>
      </c>
      <c r="K7924">
        <v>20190823</v>
      </c>
      <c r="L7924" t="str">
        <f>"077742"</f>
        <v>077742</v>
      </c>
      <c r="M7924" t="str">
        <f>"08132"</f>
        <v>08132</v>
      </c>
      <c r="N7924" t="s">
        <v>2449</v>
      </c>
      <c r="O7924">
        <v>145.91999999999999</v>
      </c>
      <c r="P7924">
        <v>20190821</v>
      </c>
      <c r="Q7924" t="s">
        <v>2060</v>
      </c>
      <c r="R7924" t="s">
        <v>6226</v>
      </c>
      <c r="S7924" t="s">
        <v>1615</v>
      </c>
      <c r="T7924" t="s">
        <v>1713</v>
      </c>
    </row>
    <row r="7925" spans="1:20" x14ac:dyDescent="0.25">
      <c r="A7925">
        <v>9</v>
      </c>
      <c r="B7925">
        <v>199</v>
      </c>
      <c r="C7925" t="str">
        <f>"51"</f>
        <v>51</v>
      </c>
      <c r="D7925">
        <v>6319</v>
      </c>
      <c r="E7925" t="str">
        <f>"MC"</f>
        <v>MC</v>
      </c>
      <c r="F7925" t="str">
        <f>"936"</f>
        <v>936</v>
      </c>
      <c r="G7925">
        <v>9</v>
      </c>
      <c r="H7925" t="str">
        <f t="shared" si="1792"/>
        <v>99</v>
      </c>
      <c r="I7925" t="str">
        <f t="shared" si="1791"/>
        <v>0</v>
      </c>
      <c r="J7925" t="str">
        <f>"81"</f>
        <v>81</v>
      </c>
      <c r="K7925">
        <v>20190823</v>
      </c>
      <c r="L7925" t="str">
        <f>"077742"</f>
        <v>077742</v>
      </c>
      <c r="M7925" t="str">
        <f>"08132"</f>
        <v>08132</v>
      </c>
      <c r="N7925" t="s">
        <v>2449</v>
      </c>
      <c r="O7925">
        <v>562.5</v>
      </c>
      <c r="P7925">
        <v>20190821</v>
      </c>
      <c r="Q7925" t="s">
        <v>2060</v>
      </c>
      <c r="R7925" t="s">
        <v>6227</v>
      </c>
      <c r="S7925" t="s">
        <v>1615</v>
      </c>
      <c r="T7925" t="s">
        <v>1713</v>
      </c>
    </row>
    <row r="7926" spans="1:20" x14ac:dyDescent="0.25">
      <c r="A7926">
        <v>9</v>
      </c>
      <c r="B7926">
        <v>199</v>
      </c>
      <c r="C7926" t="str">
        <f>"11"</f>
        <v>11</v>
      </c>
      <c r="D7926">
        <v>6396</v>
      </c>
      <c r="E7926" t="str">
        <f>"50"</f>
        <v>50</v>
      </c>
      <c r="F7926" t="str">
        <f>"001"</f>
        <v>001</v>
      </c>
      <c r="G7926">
        <v>9</v>
      </c>
      <c r="H7926" t="str">
        <f>"11"</f>
        <v>11</v>
      </c>
      <c r="I7926" t="str">
        <f t="shared" si="1791"/>
        <v>0</v>
      </c>
      <c r="J7926" t="str">
        <f>"80"</f>
        <v>80</v>
      </c>
      <c r="K7926">
        <v>20190823</v>
      </c>
      <c r="L7926" t="str">
        <f t="shared" ref="L7926:L7932" si="1793">"077744"</f>
        <v>077744</v>
      </c>
      <c r="M7926" t="str">
        <f t="shared" ref="M7926:M7932" si="1794">"09170"</f>
        <v>09170</v>
      </c>
      <c r="N7926" t="s">
        <v>679</v>
      </c>
      <c r="O7926">
        <v>258.99</v>
      </c>
      <c r="P7926">
        <v>20190821</v>
      </c>
      <c r="Q7926" t="s">
        <v>2281</v>
      </c>
      <c r="R7926" t="s">
        <v>6228</v>
      </c>
      <c r="S7926" t="s">
        <v>1615</v>
      </c>
      <c r="T7926" t="s">
        <v>301</v>
      </c>
    </row>
    <row r="7927" spans="1:20" x14ac:dyDescent="0.25">
      <c r="A7927">
        <v>9</v>
      </c>
      <c r="B7927">
        <v>199</v>
      </c>
      <c r="C7927" t="str">
        <f>"11"</f>
        <v>11</v>
      </c>
      <c r="D7927">
        <v>6412</v>
      </c>
      <c r="E7927" t="str">
        <f>"V8"</f>
        <v>V8</v>
      </c>
      <c r="F7927" t="str">
        <f>"001"</f>
        <v>001</v>
      </c>
      <c r="G7927">
        <v>9</v>
      </c>
      <c r="H7927" t="str">
        <f>"22"</f>
        <v>22</v>
      </c>
      <c r="I7927" t="str">
        <f t="shared" si="1791"/>
        <v>0</v>
      </c>
      <c r="J7927" t="str">
        <f>"22"</f>
        <v>22</v>
      </c>
      <c r="K7927">
        <v>20190823</v>
      </c>
      <c r="L7927" t="str">
        <f t="shared" si="1793"/>
        <v>077744</v>
      </c>
      <c r="M7927" t="str">
        <f t="shared" si="1794"/>
        <v>09170</v>
      </c>
      <c r="N7927" t="s">
        <v>679</v>
      </c>
      <c r="O7927" s="1">
        <v>1575</v>
      </c>
      <c r="P7927">
        <v>20190821</v>
      </c>
      <c r="Q7927" t="s">
        <v>1884</v>
      </c>
      <c r="R7927" t="s">
        <v>5351</v>
      </c>
      <c r="S7927" t="s">
        <v>1615</v>
      </c>
      <c r="T7927" t="s">
        <v>301</v>
      </c>
    </row>
    <row r="7928" spans="1:20" x14ac:dyDescent="0.25">
      <c r="A7928">
        <v>9</v>
      </c>
      <c r="B7928">
        <v>199</v>
      </c>
      <c r="C7928" t="str">
        <f>"34"</f>
        <v>34</v>
      </c>
      <c r="D7928">
        <v>6495</v>
      </c>
      <c r="E7928" t="str">
        <f>"11"</f>
        <v>11</v>
      </c>
      <c r="F7928" t="str">
        <f>"937"</f>
        <v>937</v>
      </c>
      <c r="G7928">
        <v>9</v>
      </c>
      <c r="H7928" t="str">
        <f>"99"</f>
        <v>99</v>
      </c>
      <c r="I7928" t="str">
        <f t="shared" si="1791"/>
        <v>0</v>
      </c>
      <c r="J7928" t="str">
        <f>"82"</f>
        <v>82</v>
      </c>
      <c r="K7928">
        <v>20190823</v>
      </c>
      <c r="L7928" t="str">
        <f t="shared" si="1793"/>
        <v>077744</v>
      </c>
      <c r="M7928" t="str">
        <f t="shared" si="1794"/>
        <v>09170</v>
      </c>
      <c r="N7928" t="s">
        <v>679</v>
      </c>
      <c r="O7928">
        <v>16.77</v>
      </c>
      <c r="P7928">
        <v>20190821</v>
      </c>
      <c r="Q7928" t="s">
        <v>6229</v>
      </c>
      <c r="R7928" t="s">
        <v>4672</v>
      </c>
      <c r="S7928" t="s">
        <v>1615</v>
      </c>
      <c r="T7928" t="s">
        <v>1810</v>
      </c>
    </row>
    <row r="7929" spans="1:20" x14ac:dyDescent="0.25">
      <c r="A7929">
        <v>9</v>
      </c>
      <c r="B7929">
        <v>199</v>
      </c>
      <c r="C7929" t="str">
        <f>"36"</f>
        <v>36</v>
      </c>
      <c r="D7929">
        <v>6411</v>
      </c>
      <c r="E7929" t="str">
        <f>"7E"</f>
        <v>7E</v>
      </c>
      <c r="F7929" t="str">
        <f>"041"</f>
        <v>041</v>
      </c>
      <c r="G7929">
        <v>9</v>
      </c>
      <c r="H7929" t="str">
        <f>"99"</f>
        <v>99</v>
      </c>
      <c r="I7929" t="str">
        <f t="shared" si="1791"/>
        <v>0</v>
      </c>
      <c r="J7929" t="str">
        <f>"35"</f>
        <v>35</v>
      </c>
      <c r="K7929">
        <v>20190823</v>
      </c>
      <c r="L7929" t="str">
        <f t="shared" si="1793"/>
        <v>077744</v>
      </c>
      <c r="M7929" t="str">
        <f t="shared" si="1794"/>
        <v>09170</v>
      </c>
      <c r="N7929" t="s">
        <v>679</v>
      </c>
      <c r="O7929">
        <v>-191.5</v>
      </c>
      <c r="P7929">
        <v>20190727</v>
      </c>
      <c r="Q7929" t="s">
        <v>3326</v>
      </c>
      <c r="R7929" t="s">
        <v>5522</v>
      </c>
      <c r="S7929" t="s">
        <v>1615</v>
      </c>
      <c r="T7929" t="s">
        <v>106</v>
      </c>
    </row>
    <row r="7930" spans="1:20" x14ac:dyDescent="0.25">
      <c r="A7930">
        <v>9</v>
      </c>
      <c r="B7930">
        <v>199</v>
      </c>
      <c r="C7930" t="str">
        <f>"36"</f>
        <v>36</v>
      </c>
      <c r="D7930">
        <v>6411</v>
      </c>
      <c r="E7930" t="str">
        <f>"V8"</f>
        <v>V8</v>
      </c>
      <c r="F7930" t="str">
        <f>"001"</f>
        <v>001</v>
      </c>
      <c r="G7930">
        <v>9</v>
      </c>
      <c r="H7930" t="str">
        <f>"22"</f>
        <v>22</v>
      </c>
      <c r="I7930" t="str">
        <f t="shared" si="1791"/>
        <v>0</v>
      </c>
      <c r="J7930" t="str">
        <f>"22"</f>
        <v>22</v>
      </c>
      <c r="K7930">
        <v>20190823</v>
      </c>
      <c r="L7930" t="str">
        <f t="shared" si="1793"/>
        <v>077744</v>
      </c>
      <c r="M7930" t="str">
        <f t="shared" si="1794"/>
        <v>09170</v>
      </c>
      <c r="N7930" t="s">
        <v>679</v>
      </c>
      <c r="O7930" s="1">
        <v>1150</v>
      </c>
      <c r="P7930">
        <v>20190821</v>
      </c>
      <c r="Q7930" t="s">
        <v>2602</v>
      </c>
      <c r="R7930" t="s">
        <v>5351</v>
      </c>
      <c r="S7930" t="s">
        <v>1615</v>
      </c>
      <c r="T7930" t="s">
        <v>301</v>
      </c>
    </row>
    <row r="7931" spans="1:20" x14ac:dyDescent="0.25">
      <c r="A7931">
        <v>9</v>
      </c>
      <c r="B7931">
        <v>199</v>
      </c>
      <c r="C7931" t="str">
        <f>"41"</f>
        <v>41</v>
      </c>
      <c r="D7931">
        <v>6299</v>
      </c>
      <c r="E7931" t="str">
        <f>"10"</f>
        <v>10</v>
      </c>
      <c r="F7931" t="str">
        <f>"730"</f>
        <v>730</v>
      </c>
      <c r="G7931">
        <v>9</v>
      </c>
      <c r="H7931" t="str">
        <f t="shared" ref="H7931:H7936" si="1795">"99"</f>
        <v>99</v>
      </c>
      <c r="I7931" t="str">
        <f t="shared" si="1791"/>
        <v>0</v>
      </c>
      <c r="J7931" t="str">
        <f>"95"</f>
        <v>95</v>
      </c>
      <c r="K7931">
        <v>20190823</v>
      </c>
      <c r="L7931" t="str">
        <f t="shared" si="1793"/>
        <v>077744</v>
      </c>
      <c r="M7931" t="str">
        <f t="shared" si="1794"/>
        <v>09170</v>
      </c>
      <c r="N7931" t="s">
        <v>679</v>
      </c>
      <c r="O7931">
        <v>443.25</v>
      </c>
      <c r="P7931">
        <v>20190821</v>
      </c>
      <c r="Q7931" t="s">
        <v>2434</v>
      </c>
      <c r="R7931" t="s">
        <v>6230</v>
      </c>
      <c r="S7931" t="s">
        <v>1615</v>
      </c>
      <c r="T7931" t="s">
        <v>1794</v>
      </c>
    </row>
    <row r="7932" spans="1:20" x14ac:dyDescent="0.25">
      <c r="A7932">
        <v>9</v>
      </c>
      <c r="B7932">
        <v>199</v>
      </c>
      <c r="C7932" t="str">
        <f>"51"</f>
        <v>51</v>
      </c>
      <c r="D7932">
        <v>6319</v>
      </c>
      <c r="E7932" t="str">
        <f>"MC"</f>
        <v>MC</v>
      </c>
      <c r="F7932" t="str">
        <f>"936"</f>
        <v>936</v>
      </c>
      <c r="G7932">
        <v>9</v>
      </c>
      <c r="H7932" t="str">
        <f t="shared" si="1795"/>
        <v>99</v>
      </c>
      <c r="I7932" t="str">
        <f t="shared" si="1791"/>
        <v>0</v>
      </c>
      <c r="J7932" t="str">
        <f>"81"</f>
        <v>81</v>
      </c>
      <c r="K7932">
        <v>20190823</v>
      </c>
      <c r="L7932" t="str">
        <f t="shared" si="1793"/>
        <v>077744</v>
      </c>
      <c r="M7932" t="str">
        <f t="shared" si="1794"/>
        <v>09170</v>
      </c>
      <c r="N7932" t="s">
        <v>679</v>
      </c>
      <c r="O7932">
        <v>342</v>
      </c>
      <c r="P7932">
        <v>20190821</v>
      </c>
      <c r="Q7932" t="s">
        <v>2060</v>
      </c>
      <c r="R7932" t="s">
        <v>6231</v>
      </c>
      <c r="S7932" t="s">
        <v>1615</v>
      </c>
      <c r="T7932" t="s">
        <v>1713</v>
      </c>
    </row>
    <row r="7933" spans="1:20" x14ac:dyDescent="0.25">
      <c r="A7933">
        <v>9</v>
      </c>
      <c r="B7933">
        <v>199</v>
      </c>
      <c r="C7933" t="str">
        <f>"51"</f>
        <v>51</v>
      </c>
      <c r="D7933">
        <v>6249</v>
      </c>
      <c r="E7933" t="str">
        <f>"MC"</f>
        <v>MC</v>
      </c>
      <c r="F7933" t="str">
        <f>"001"</f>
        <v>001</v>
      </c>
      <c r="G7933">
        <v>9</v>
      </c>
      <c r="H7933" t="str">
        <f t="shared" si="1795"/>
        <v>99</v>
      </c>
      <c r="I7933" t="str">
        <f t="shared" si="1791"/>
        <v>0</v>
      </c>
      <c r="J7933" t="str">
        <f>"81"</f>
        <v>81</v>
      </c>
      <c r="K7933">
        <v>20190823</v>
      </c>
      <c r="L7933" t="str">
        <f>"077745"</f>
        <v>077745</v>
      </c>
      <c r="M7933" t="str">
        <f>"10024"</f>
        <v>10024</v>
      </c>
      <c r="N7933" t="s">
        <v>5951</v>
      </c>
      <c r="O7933">
        <v>953</v>
      </c>
      <c r="P7933">
        <v>20190822</v>
      </c>
      <c r="Q7933" t="s">
        <v>2386</v>
      </c>
      <c r="R7933" t="s">
        <v>6232</v>
      </c>
      <c r="S7933" t="s">
        <v>1615</v>
      </c>
      <c r="T7933" t="s">
        <v>301</v>
      </c>
    </row>
    <row r="7934" spans="1:20" x14ac:dyDescent="0.25">
      <c r="A7934">
        <v>9</v>
      </c>
      <c r="B7934">
        <v>199</v>
      </c>
      <c r="C7934" t="str">
        <f>"23"</f>
        <v>23</v>
      </c>
      <c r="D7934">
        <v>6411</v>
      </c>
      <c r="E7934" t="str">
        <f>"10"</f>
        <v>10</v>
      </c>
      <c r="F7934" t="str">
        <f>"001"</f>
        <v>001</v>
      </c>
      <c r="G7934">
        <v>9</v>
      </c>
      <c r="H7934" t="str">
        <f t="shared" si="1795"/>
        <v>99</v>
      </c>
      <c r="I7934" t="str">
        <f>"1"</f>
        <v>1</v>
      </c>
      <c r="J7934" t="str">
        <f>"01"</f>
        <v>01</v>
      </c>
      <c r="K7934">
        <v>20190823</v>
      </c>
      <c r="L7934" t="str">
        <f>"077746"</f>
        <v>077746</v>
      </c>
      <c r="M7934" t="str">
        <f>"10063"</f>
        <v>10063</v>
      </c>
      <c r="N7934" t="s">
        <v>1767</v>
      </c>
      <c r="O7934">
        <v>25.68</v>
      </c>
      <c r="P7934">
        <v>20190821</v>
      </c>
      <c r="Q7934" t="s">
        <v>2464</v>
      </c>
      <c r="R7934" t="s">
        <v>6233</v>
      </c>
      <c r="S7934" t="s">
        <v>1615</v>
      </c>
      <c r="T7934" t="s">
        <v>301</v>
      </c>
    </row>
    <row r="7935" spans="1:20" x14ac:dyDescent="0.25">
      <c r="A7935">
        <v>9</v>
      </c>
      <c r="B7935">
        <v>199</v>
      </c>
      <c r="C7935" t="str">
        <f>"23"</f>
        <v>23</v>
      </c>
      <c r="D7935">
        <v>6411</v>
      </c>
      <c r="E7935" t="str">
        <f>"10"</f>
        <v>10</v>
      </c>
      <c r="F7935" t="str">
        <f>"001"</f>
        <v>001</v>
      </c>
      <c r="G7935">
        <v>9</v>
      </c>
      <c r="H7935" t="str">
        <f t="shared" si="1795"/>
        <v>99</v>
      </c>
      <c r="I7935" t="str">
        <f>"0"</f>
        <v>0</v>
      </c>
      <c r="J7935" t="str">
        <f>"01"</f>
        <v>01</v>
      </c>
      <c r="K7935">
        <v>20190823</v>
      </c>
      <c r="L7935" t="str">
        <f>"077747"</f>
        <v>077747</v>
      </c>
      <c r="M7935" t="str">
        <f>"11140"</f>
        <v>11140</v>
      </c>
      <c r="N7935" t="s">
        <v>2463</v>
      </c>
      <c r="O7935">
        <v>83.6</v>
      </c>
      <c r="P7935">
        <v>20190821</v>
      </c>
      <c r="Q7935" t="s">
        <v>2389</v>
      </c>
      <c r="R7935" t="s">
        <v>6234</v>
      </c>
      <c r="S7935" t="s">
        <v>1615</v>
      </c>
      <c r="T7935" t="s">
        <v>301</v>
      </c>
    </row>
    <row r="7936" spans="1:20" x14ac:dyDescent="0.25">
      <c r="A7936">
        <v>9</v>
      </c>
      <c r="B7936">
        <v>199</v>
      </c>
      <c r="C7936" t="str">
        <f>"23"</f>
        <v>23</v>
      </c>
      <c r="D7936">
        <v>6411</v>
      </c>
      <c r="E7936" t="str">
        <f>"8K"</f>
        <v>8K</v>
      </c>
      <c r="F7936" t="str">
        <f>"104"</f>
        <v>104</v>
      </c>
      <c r="G7936">
        <v>9</v>
      </c>
      <c r="H7936" t="str">
        <f t="shared" si="1795"/>
        <v>99</v>
      </c>
      <c r="I7936" t="str">
        <f>"1"</f>
        <v>1</v>
      </c>
      <c r="J7936" t="str">
        <f>"05"</f>
        <v>05</v>
      </c>
      <c r="K7936">
        <v>20190823</v>
      </c>
      <c r="L7936" t="str">
        <f>"077748"</f>
        <v>077748</v>
      </c>
      <c r="M7936" t="str">
        <f>"21158"</f>
        <v>21158</v>
      </c>
      <c r="N7936" t="s">
        <v>2719</v>
      </c>
      <c r="O7936">
        <v>64.2</v>
      </c>
      <c r="P7936">
        <v>20190821</v>
      </c>
      <c r="Q7936" t="s">
        <v>2720</v>
      </c>
      <c r="R7936" t="s">
        <v>6235</v>
      </c>
      <c r="S7936" t="s">
        <v>1615</v>
      </c>
      <c r="T7936" t="s">
        <v>46</v>
      </c>
    </row>
    <row r="7937" spans="1:20" x14ac:dyDescent="0.25">
      <c r="A7937">
        <v>9</v>
      </c>
      <c r="B7937">
        <v>199</v>
      </c>
      <c r="C7937" t="str">
        <f>"36"</f>
        <v>36</v>
      </c>
      <c r="D7937">
        <v>6399</v>
      </c>
      <c r="E7937" t="str">
        <f>"3Y"</f>
        <v>3Y</v>
      </c>
      <c r="F7937" t="str">
        <f>"001"</f>
        <v>001</v>
      </c>
      <c r="G7937">
        <v>9</v>
      </c>
      <c r="H7937" t="str">
        <f>"91"</f>
        <v>91</v>
      </c>
      <c r="I7937" t="str">
        <f>"2"</f>
        <v>2</v>
      </c>
      <c r="J7937" t="str">
        <f>"74"</f>
        <v>74</v>
      </c>
      <c r="K7937">
        <v>20190823</v>
      </c>
      <c r="L7937" t="str">
        <f>"077749"</f>
        <v>077749</v>
      </c>
      <c r="M7937" t="str">
        <f>"08788"</f>
        <v>08788</v>
      </c>
      <c r="N7937" t="s">
        <v>473</v>
      </c>
      <c r="O7937" s="1">
        <v>2000</v>
      </c>
      <c r="P7937">
        <v>20190821</v>
      </c>
      <c r="Q7937" t="s">
        <v>6236</v>
      </c>
      <c r="R7937" t="s">
        <v>1448</v>
      </c>
      <c r="S7937" t="s">
        <v>1615</v>
      </c>
      <c r="T7937" t="s">
        <v>301</v>
      </c>
    </row>
    <row r="7938" spans="1:20" x14ac:dyDescent="0.25">
      <c r="A7938">
        <v>9</v>
      </c>
      <c r="B7938">
        <v>199</v>
      </c>
      <c r="C7938" t="str">
        <f>"41"</f>
        <v>41</v>
      </c>
      <c r="D7938">
        <v>6498</v>
      </c>
      <c r="E7938" t="str">
        <f>"00"</f>
        <v>00</v>
      </c>
      <c r="F7938" t="str">
        <f>"939"</f>
        <v>939</v>
      </c>
      <c r="G7938">
        <v>9</v>
      </c>
      <c r="H7938" t="str">
        <f>"99"</f>
        <v>99</v>
      </c>
      <c r="I7938" t="str">
        <f t="shared" ref="I7938:I7945" si="1796">"0"</f>
        <v>0</v>
      </c>
      <c r="J7938" t="str">
        <f>"87"</f>
        <v>87</v>
      </c>
      <c r="K7938">
        <v>20190823</v>
      </c>
      <c r="L7938" t="str">
        <f>"077749"</f>
        <v>077749</v>
      </c>
      <c r="M7938" t="str">
        <f>"08788"</f>
        <v>08788</v>
      </c>
      <c r="N7938" t="s">
        <v>473</v>
      </c>
      <c r="O7938">
        <v>724.88</v>
      </c>
      <c r="P7938">
        <v>20190821</v>
      </c>
      <c r="Q7938" t="s">
        <v>5201</v>
      </c>
      <c r="R7938" t="s">
        <v>6237</v>
      </c>
      <c r="S7938" t="s">
        <v>1615</v>
      </c>
      <c r="T7938" t="s">
        <v>2985</v>
      </c>
    </row>
    <row r="7939" spans="1:20" x14ac:dyDescent="0.25">
      <c r="A7939">
        <v>9</v>
      </c>
      <c r="B7939">
        <v>199</v>
      </c>
      <c r="C7939" t="str">
        <f>"11"</f>
        <v>11</v>
      </c>
      <c r="D7939">
        <v>6399</v>
      </c>
      <c r="E7939" t="str">
        <f>"V1"</f>
        <v>V1</v>
      </c>
      <c r="F7939" t="str">
        <f>"001"</f>
        <v>001</v>
      </c>
      <c r="G7939">
        <v>9</v>
      </c>
      <c r="H7939" t="str">
        <f>"22"</f>
        <v>22</v>
      </c>
      <c r="I7939" t="str">
        <f t="shared" si="1796"/>
        <v>0</v>
      </c>
      <c r="J7939" t="str">
        <f>"22"</f>
        <v>22</v>
      </c>
      <c r="K7939">
        <v>20190823</v>
      </c>
      <c r="L7939" t="str">
        <f>"077751"</f>
        <v>077751</v>
      </c>
      <c r="M7939" t="str">
        <f>"00579"</f>
        <v>00579</v>
      </c>
      <c r="N7939" t="s">
        <v>1986</v>
      </c>
      <c r="O7939">
        <v>10</v>
      </c>
      <c r="P7939">
        <v>20190821</v>
      </c>
      <c r="Q7939" t="s">
        <v>5437</v>
      </c>
      <c r="R7939" t="s">
        <v>6238</v>
      </c>
      <c r="S7939" t="s">
        <v>1615</v>
      </c>
      <c r="T7939" t="s">
        <v>301</v>
      </c>
    </row>
    <row r="7940" spans="1:20" x14ac:dyDescent="0.25">
      <c r="A7940">
        <v>9</v>
      </c>
      <c r="B7940">
        <v>199</v>
      </c>
      <c r="C7940" t="str">
        <f>"11"</f>
        <v>11</v>
      </c>
      <c r="D7940">
        <v>6411</v>
      </c>
      <c r="E7940" t="str">
        <f>"LK"</f>
        <v>LK</v>
      </c>
      <c r="F7940" t="str">
        <f>"041"</f>
        <v>041</v>
      </c>
      <c r="G7940">
        <v>9</v>
      </c>
      <c r="H7940" t="str">
        <f>"11"</f>
        <v>11</v>
      </c>
      <c r="I7940" t="str">
        <f t="shared" si="1796"/>
        <v>0</v>
      </c>
      <c r="J7940" t="str">
        <f>"03"</f>
        <v>03</v>
      </c>
      <c r="K7940">
        <v>20190823</v>
      </c>
      <c r="L7940" t="str">
        <f>"077752"</f>
        <v>077752</v>
      </c>
      <c r="M7940" t="str">
        <f>"19094"</f>
        <v>19094</v>
      </c>
      <c r="N7940" t="s">
        <v>1687</v>
      </c>
      <c r="O7940">
        <v>23.92</v>
      </c>
      <c r="P7940">
        <v>20190821</v>
      </c>
      <c r="Q7940" t="s">
        <v>3042</v>
      </c>
      <c r="R7940" t="s">
        <v>6239</v>
      </c>
      <c r="S7940" t="s">
        <v>1615</v>
      </c>
      <c r="T7940" t="s">
        <v>106</v>
      </c>
    </row>
    <row r="7941" spans="1:20" x14ac:dyDescent="0.25">
      <c r="A7941">
        <v>9</v>
      </c>
      <c r="B7941">
        <v>199</v>
      </c>
      <c r="C7941" t="str">
        <f>"41"</f>
        <v>41</v>
      </c>
      <c r="D7941">
        <v>6411</v>
      </c>
      <c r="E7941" t="str">
        <f>"00"</f>
        <v>00</v>
      </c>
      <c r="F7941" t="str">
        <f>"939"</f>
        <v>939</v>
      </c>
      <c r="G7941">
        <v>9</v>
      </c>
      <c r="H7941" t="str">
        <f>"99"</f>
        <v>99</v>
      </c>
      <c r="I7941" t="str">
        <f t="shared" si="1796"/>
        <v>0</v>
      </c>
      <c r="J7941" t="str">
        <f>"87"</f>
        <v>87</v>
      </c>
      <c r="K7941">
        <v>20190823</v>
      </c>
      <c r="L7941" t="str">
        <f>"077753"</f>
        <v>077753</v>
      </c>
      <c r="M7941" t="str">
        <f>"00531"</f>
        <v>00531</v>
      </c>
      <c r="N7941" t="s">
        <v>2982</v>
      </c>
      <c r="O7941">
        <v>59.1</v>
      </c>
      <c r="P7941">
        <v>20190821</v>
      </c>
      <c r="Q7941" t="s">
        <v>2983</v>
      </c>
      <c r="R7941" t="s">
        <v>6240</v>
      </c>
      <c r="S7941" t="s">
        <v>1615</v>
      </c>
      <c r="T7941" t="s">
        <v>2985</v>
      </c>
    </row>
    <row r="7942" spans="1:20" x14ac:dyDescent="0.25">
      <c r="A7942">
        <v>9</v>
      </c>
      <c r="B7942">
        <v>199</v>
      </c>
      <c r="C7942" t="str">
        <f>"41"</f>
        <v>41</v>
      </c>
      <c r="D7942">
        <v>6411</v>
      </c>
      <c r="E7942" t="str">
        <f>"10"</f>
        <v>10</v>
      </c>
      <c r="F7942" t="str">
        <f>"701"</f>
        <v>701</v>
      </c>
      <c r="G7942">
        <v>9</v>
      </c>
      <c r="H7942" t="str">
        <f>"99"</f>
        <v>99</v>
      </c>
      <c r="I7942" t="str">
        <f t="shared" si="1796"/>
        <v>0</v>
      </c>
      <c r="J7942" t="str">
        <f>"92"</f>
        <v>92</v>
      </c>
      <c r="K7942">
        <v>20190823</v>
      </c>
      <c r="L7942" t="str">
        <f>"077754"</f>
        <v>077754</v>
      </c>
      <c r="M7942" t="str">
        <f>"00667"</f>
        <v>00667</v>
      </c>
      <c r="N7942" t="s">
        <v>3100</v>
      </c>
      <c r="O7942">
        <v>14.25</v>
      </c>
      <c r="P7942">
        <v>20190821</v>
      </c>
      <c r="Q7942" t="s">
        <v>3101</v>
      </c>
      <c r="R7942" t="s">
        <v>6241</v>
      </c>
      <c r="S7942" t="s">
        <v>1615</v>
      </c>
      <c r="T7942" t="s">
        <v>1841</v>
      </c>
    </row>
    <row r="7943" spans="1:20" x14ac:dyDescent="0.25">
      <c r="A7943">
        <v>9</v>
      </c>
      <c r="B7943">
        <v>199</v>
      </c>
      <c r="C7943" t="str">
        <f>"34"</f>
        <v>34</v>
      </c>
      <c r="D7943">
        <v>6249</v>
      </c>
      <c r="E7943" t="str">
        <f>"10"</f>
        <v>10</v>
      </c>
      <c r="F7943" t="str">
        <f>"937"</f>
        <v>937</v>
      </c>
      <c r="G7943">
        <v>9</v>
      </c>
      <c r="H7943" t="str">
        <f>"99"</f>
        <v>99</v>
      </c>
      <c r="I7943" t="str">
        <f t="shared" si="1796"/>
        <v>0</v>
      </c>
      <c r="J7943" t="str">
        <f>"82"</f>
        <v>82</v>
      </c>
      <c r="K7943">
        <v>20190823</v>
      </c>
      <c r="L7943" t="str">
        <f>"077755"</f>
        <v>077755</v>
      </c>
      <c r="M7943" t="str">
        <f>"21842"</f>
        <v>21842</v>
      </c>
      <c r="N7943" t="s">
        <v>2576</v>
      </c>
      <c r="O7943">
        <v>745</v>
      </c>
      <c r="P7943">
        <v>20190821</v>
      </c>
      <c r="Q7943" t="s">
        <v>2036</v>
      </c>
      <c r="R7943" t="s">
        <v>6242</v>
      </c>
      <c r="S7943" t="s">
        <v>1615</v>
      </c>
      <c r="T7943" t="s">
        <v>1810</v>
      </c>
    </row>
    <row r="7944" spans="1:20" x14ac:dyDescent="0.25">
      <c r="A7944">
        <v>9</v>
      </c>
      <c r="B7944">
        <v>199</v>
      </c>
      <c r="C7944" t="str">
        <f>"34"</f>
        <v>34</v>
      </c>
      <c r="D7944">
        <v>6249</v>
      </c>
      <c r="E7944" t="str">
        <f>"10"</f>
        <v>10</v>
      </c>
      <c r="F7944" t="str">
        <f>"937"</f>
        <v>937</v>
      </c>
      <c r="G7944">
        <v>9</v>
      </c>
      <c r="H7944" t="str">
        <f>"99"</f>
        <v>99</v>
      </c>
      <c r="I7944" t="str">
        <f t="shared" si="1796"/>
        <v>0</v>
      </c>
      <c r="J7944" t="str">
        <f>"82"</f>
        <v>82</v>
      </c>
      <c r="K7944">
        <v>20190823</v>
      </c>
      <c r="L7944" t="str">
        <f>"077755"</f>
        <v>077755</v>
      </c>
      <c r="M7944" t="str">
        <f>"21842"</f>
        <v>21842</v>
      </c>
      <c r="N7944" t="s">
        <v>2576</v>
      </c>
      <c r="O7944">
        <v>645</v>
      </c>
      <c r="P7944">
        <v>20190821</v>
      </c>
      <c r="Q7944" t="s">
        <v>2036</v>
      </c>
      <c r="R7944" t="s">
        <v>6243</v>
      </c>
      <c r="S7944" t="s">
        <v>1615</v>
      </c>
      <c r="T7944" t="s">
        <v>1810</v>
      </c>
    </row>
    <row r="7945" spans="1:20" x14ac:dyDescent="0.25">
      <c r="A7945">
        <v>9</v>
      </c>
      <c r="B7945">
        <v>199</v>
      </c>
      <c r="C7945" t="str">
        <f>"51"</f>
        <v>51</v>
      </c>
      <c r="D7945">
        <v>6249</v>
      </c>
      <c r="E7945" t="str">
        <f>"WF"</f>
        <v>WF</v>
      </c>
      <c r="F7945" t="str">
        <f>"936"</f>
        <v>936</v>
      </c>
      <c r="G7945">
        <v>9</v>
      </c>
      <c r="H7945" t="str">
        <f>"99"</f>
        <v>99</v>
      </c>
      <c r="I7945" t="str">
        <f t="shared" si="1796"/>
        <v>0</v>
      </c>
      <c r="J7945" t="str">
        <f>"82"</f>
        <v>82</v>
      </c>
      <c r="K7945">
        <v>20190823</v>
      </c>
      <c r="L7945" t="str">
        <f>"077755"</f>
        <v>077755</v>
      </c>
      <c r="M7945" t="str">
        <f>"21842"</f>
        <v>21842</v>
      </c>
      <c r="N7945" t="s">
        <v>2576</v>
      </c>
      <c r="O7945">
        <v>94.94</v>
      </c>
      <c r="P7945">
        <v>20190821</v>
      </c>
      <c r="Q7945" t="s">
        <v>2127</v>
      </c>
      <c r="R7945" t="s">
        <v>6244</v>
      </c>
      <c r="S7945" t="s">
        <v>1615</v>
      </c>
      <c r="T7945" t="s">
        <v>1713</v>
      </c>
    </row>
    <row r="7946" spans="1:20" x14ac:dyDescent="0.25">
      <c r="A7946">
        <v>9</v>
      </c>
      <c r="B7946">
        <v>199</v>
      </c>
      <c r="C7946" t="str">
        <f>"11"</f>
        <v>11</v>
      </c>
      <c r="D7946">
        <v>6649</v>
      </c>
      <c r="E7946" t="str">
        <f>"PK"</f>
        <v>PK</v>
      </c>
      <c r="F7946" t="str">
        <f>"101"</f>
        <v>101</v>
      </c>
      <c r="G7946">
        <v>9</v>
      </c>
      <c r="H7946" t="str">
        <f>"11"</f>
        <v>11</v>
      </c>
      <c r="I7946" t="str">
        <f>"2"</f>
        <v>2</v>
      </c>
      <c r="J7946" t="str">
        <f>"04"</f>
        <v>04</v>
      </c>
      <c r="K7946">
        <v>20190823</v>
      </c>
      <c r="L7946" t="str">
        <f>"077756"</f>
        <v>077756</v>
      </c>
      <c r="M7946" t="str">
        <f>"16807"</f>
        <v>16807</v>
      </c>
      <c r="N7946" t="s">
        <v>1581</v>
      </c>
      <c r="O7946" s="1">
        <v>3223</v>
      </c>
      <c r="P7946">
        <v>20190821</v>
      </c>
      <c r="Q7946" t="s">
        <v>5892</v>
      </c>
      <c r="R7946" t="s">
        <v>6245</v>
      </c>
      <c r="S7946" t="s">
        <v>1615</v>
      </c>
      <c r="T7946" t="s">
        <v>1479</v>
      </c>
    </row>
    <row r="7947" spans="1:20" x14ac:dyDescent="0.25">
      <c r="A7947">
        <v>9</v>
      </c>
      <c r="B7947">
        <v>199</v>
      </c>
      <c r="C7947" t="str">
        <f>"53"</f>
        <v>53</v>
      </c>
      <c r="D7947">
        <v>6411</v>
      </c>
      <c r="E7947" t="str">
        <f>"10"</f>
        <v>10</v>
      </c>
      <c r="F7947" t="str">
        <f>"880"</f>
        <v>880</v>
      </c>
      <c r="G7947">
        <v>9</v>
      </c>
      <c r="H7947" t="str">
        <f t="shared" ref="H7947:H7953" si="1797">"99"</f>
        <v>99</v>
      </c>
      <c r="I7947" t="str">
        <f t="shared" ref="I7947:I7968" si="1798">"0"</f>
        <v>0</v>
      </c>
      <c r="J7947" t="str">
        <f>"80"</f>
        <v>80</v>
      </c>
      <c r="K7947">
        <v>20190823</v>
      </c>
      <c r="L7947" t="str">
        <f>"077757"</f>
        <v>077757</v>
      </c>
      <c r="M7947" t="str">
        <f>"19419"</f>
        <v>19419</v>
      </c>
      <c r="N7947" t="s">
        <v>278</v>
      </c>
      <c r="O7947">
        <v>63</v>
      </c>
      <c r="P7947">
        <v>20190821</v>
      </c>
      <c r="Q7947" t="s">
        <v>1901</v>
      </c>
      <c r="R7947" t="s">
        <v>6246</v>
      </c>
      <c r="S7947" t="s">
        <v>1615</v>
      </c>
      <c r="T7947" t="s">
        <v>1866</v>
      </c>
    </row>
    <row r="7948" spans="1:20" x14ac:dyDescent="0.25">
      <c r="A7948">
        <v>9</v>
      </c>
      <c r="B7948">
        <v>199</v>
      </c>
      <c r="C7948" t="str">
        <f>"34"</f>
        <v>34</v>
      </c>
      <c r="D7948">
        <v>6399</v>
      </c>
      <c r="E7948" t="str">
        <f>"11"</f>
        <v>11</v>
      </c>
      <c r="F7948" t="str">
        <f>"937"</f>
        <v>937</v>
      </c>
      <c r="G7948">
        <v>9</v>
      </c>
      <c r="H7948" t="str">
        <f t="shared" si="1797"/>
        <v>99</v>
      </c>
      <c r="I7948" t="str">
        <f t="shared" si="1798"/>
        <v>0</v>
      </c>
      <c r="J7948" t="str">
        <f>"82"</f>
        <v>82</v>
      </c>
      <c r="K7948">
        <v>20190823</v>
      </c>
      <c r="L7948" t="str">
        <f>"077758"</f>
        <v>077758</v>
      </c>
      <c r="M7948" t="str">
        <f>"19425"</f>
        <v>19425</v>
      </c>
      <c r="N7948" t="s">
        <v>2209</v>
      </c>
      <c r="O7948">
        <v>193.35</v>
      </c>
      <c r="P7948">
        <v>20190821</v>
      </c>
      <c r="Q7948" t="s">
        <v>2210</v>
      </c>
      <c r="R7948" t="s">
        <v>6247</v>
      </c>
      <c r="S7948" t="s">
        <v>1615</v>
      </c>
      <c r="T7948" t="s">
        <v>1810</v>
      </c>
    </row>
    <row r="7949" spans="1:20" x14ac:dyDescent="0.25">
      <c r="A7949">
        <v>9</v>
      </c>
      <c r="B7949">
        <v>199</v>
      </c>
      <c r="C7949" t="str">
        <f>"34"</f>
        <v>34</v>
      </c>
      <c r="D7949">
        <v>6399</v>
      </c>
      <c r="E7949" t="str">
        <f>"11"</f>
        <v>11</v>
      </c>
      <c r="F7949" t="str">
        <f>"937"</f>
        <v>937</v>
      </c>
      <c r="G7949">
        <v>9</v>
      </c>
      <c r="H7949" t="str">
        <f t="shared" si="1797"/>
        <v>99</v>
      </c>
      <c r="I7949" t="str">
        <f t="shared" si="1798"/>
        <v>0</v>
      </c>
      <c r="J7949" t="str">
        <f>"82"</f>
        <v>82</v>
      </c>
      <c r="K7949">
        <v>20190823</v>
      </c>
      <c r="L7949" t="str">
        <f>"077758"</f>
        <v>077758</v>
      </c>
      <c r="M7949" t="str">
        <f>"19425"</f>
        <v>19425</v>
      </c>
      <c r="N7949" t="s">
        <v>2209</v>
      </c>
      <c r="O7949">
        <v>75.62</v>
      </c>
      <c r="P7949">
        <v>20190821</v>
      </c>
      <c r="Q7949" t="s">
        <v>2210</v>
      </c>
      <c r="R7949" t="s">
        <v>6248</v>
      </c>
      <c r="S7949" t="s">
        <v>1615</v>
      </c>
      <c r="T7949" t="s">
        <v>1810</v>
      </c>
    </row>
    <row r="7950" spans="1:20" x14ac:dyDescent="0.25">
      <c r="A7950">
        <v>9</v>
      </c>
      <c r="B7950">
        <v>199</v>
      </c>
      <c r="C7950" t="str">
        <f>"34"</f>
        <v>34</v>
      </c>
      <c r="D7950">
        <v>6399</v>
      </c>
      <c r="E7950" t="str">
        <f>"11"</f>
        <v>11</v>
      </c>
      <c r="F7950" t="str">
        <f>"937"</f>
        <v>937</v>
      </c>
      <c r="G7950">
        <v>9</v>
      </c>
      <c r="H7950" t="str">
        <f t="shared" si="1797"/>
        <v>99</v>
      </c>
      <c r="I7950" t="str">
        <f t="shared" si="1798"/>
        <v>0</v>
      </c>
      <c r="J7950" t="str">
        <f>"82"</f>
        <v>82</v>
      </c>
      <c r="K7950">
        <v>20190823</v>
      </c>
      <c r="L7950" t="str">
        <f>"077758"</f>
        <v>077758</v>
      </c>
      <c r="M7950" t="str">
        <f>"19425"</f>
        <v>19425</v>
      </c>
      <c r="N7950" t="s">
        <v>2209</v>
      </c>
      <c r="O7950">
        <v>165.79</v>
      </c>
      <c r="P7950">
        <v>20190821</v>
      </c>
      <c r="Q7950" t="s">
        <v>2210</v>
      </c>
      <c r="R7950" t="s">
        <v>6249</v>
      </c>
      <c r="S7950" t="s">
        <v>1615</v>
      </c>
      <c r="T7950" t="s">
        <v>1810</v>
      </c>
    </row>
    <row r="7951" spans="1:20" x14ac:dyDescent="0.25">
      <c r="A7951">
        <v>9</v>
      </c>
      <c r="B7951">
        <v>199</v>
      </c>
      <c r="C7951" t="str">
        <f>"34"</f>
        <v>34</v>
      </c>
      <c r="D7951">
        <v>6399</v>
      </c>
      <c r="E7951" t="str">
        <f>"11"</f>
        <v>11</v>
      </c>
      <c r="F7951" t="str">
        <f>"937"</f>
        <v>937</v>
      </c>
      <c r="G7951">
        <v>9</v>
      </c>
      <c r="H7951" t="str">
        <f t="shared" si="1797"/>
        <v>99</v>
      </c>
      <c r="I7951" t="str">
        <f t="shared" si="1798"/>
        <v>0</v>
      </c>
      <c r="J7951" t="str">
        <f>"82"</f>
        <v>82</v>
      </c>
      <c r="K7951">
        <v>20190823</v>
      </c>
      <c r="L7951" t="str">
        <f>"077758"</f>
        <v>077758</v>
      </c>
      <c r="M7951" t="str">
        <f>"19425"</f>
        <v>19425</v>
      </c>
      <c r="N7951" t="s">
        <v>2209</v>
      </c>
      <c r="O7951">
        <v>192.21</v>
      </c>
      <c r="P7951">
        <v>20190821</v>
      </c>
      <c r="Q7951" t="s">
        <v>2210</v>
      </c>
      <c r="R7951" t="s">
        <v>6250</v>
      </c>
      <c r="S7951" t="s">
        <v>1615</v>
      </c>
      <c r="T7951" t="s">
        <v>1810</v>
      </c>
    </row>
    <row r="7952" spans="1:20" x14ac:dyDescent="0.25">
      <c r="A7952">
        <v>9</v>
      </c>
      <c r="B7952">
        <v>199</v>
      </c>
      <c r="C7952" t="str">
        <f>"52"</f>
        <v>52</v>
      </c>
      <c r="D7952">
        <v>6219</v>
      </c>
      <c r="E7952" t="str">
        <f>"10"</f>
        <v>10</v>
      </c>
      <c r="F7952" t="str">
        <f>"936"</f>
        <v>936</v>
      </c>
      <c r="G7952">
        <v>9</v>
      </c>
      <c r="H7952" t="str">
        <f t="shared" si="1797"/>
        <v>99</v>
      </c>
      <c r="I7952" t="str">
        <f t="shared" si="1798"/>
        <v>0</v>
      </c>
      <c r="J7952" t="str">
        <f>"81"</f>
        <v>81</v>
      </c>
      <c r="K7952">
        <v>20190823</v>
      </c>
      <c r="L7952" t="str">
        <f>"077761"</f>
        <v>077761</v>
      </c>
      <c r="M7952" t="str">
        <f>"20696"</f>
        <v>20696</v>
      </c>
      <c r="N7952" t="s">
        <v>4393</v>
      </c>
      <c r="O7952">
        <v>50</v>
      </c>
      <c r="P7952">
        <v>20190822</v>
      </c>
      <c r="Q7952" t="s">
        <v>5833</v>
      </c>
      <c r="R7952" t="s">
        <v>6251</v>
      </c>
      <c r="S7952" t="s">
        <v>1615</v>
      </c>
      <c r="T7952" t="s">
        <v>1713</v>
      </c>
    </row>
    <row r="7953" spans="1:20" x14ac:dyDescent="0.25">
      <c r="A7953">
        <v>9</v>
      </c>
      <c r="B7953">
        <v>199</v>
      </c>
      <c r="C7953" t="str">
        <f>"34"</f>
        <v>34</v>
      </c>
      <c r="D7953">
        <v>6249</v>
      </c>
      <c r="E7953" t="str">
        <f>"10"</f>
        <v>10</v>
      </c>
      <c r="F7953" t="str">
        <f>"937"</f>
        <v>937</v>
      </c>
      <c r="G7953">
        <v>9</v>
      </c>
      <c r="H7953" t="str">
        <f t="shared" si="1797"/>
        <v>99</v>
      </c>
      <c r="I7953" t="str">
        <f t="shared" si="1798"/>
        <v>0</v>
      </c>
      <c r="J7953" t="str">
        <f>"82"</f>
        <v>82</v>
      </c>
      <c r="K7953">
        <v>20190823</v>
      </c>
      <c r="L7953" t="str">
        <f>"077762"</f>
        <v>077762</v>
      </c>
      <c r="M7953" t="str">
        <f>"21091"</f>
        <v>21091</v>
      </c>
      <c r="N7953" t="s">
        <v>2035</v>
      </c>
      <c r="O7953">
        <v>118.22</v>
      </c>
      <c r="P7953">
        <v>20190821</v>
      </c>
      <c r="Q7953" t="s">
        <v>2036</v>
      </c>
      <c r="R7953" t="s">
        <v>6252</v>
      </c>
      <c r="S7953" t="s">
        <v>1615</v>
      </c>
      <c r="T7953" t="s">
        <v>1810</v>
      </c>
    </row>
    <row r="7954" spans="1:20" x14ac:dyDescent="0.25">
      <c r="A7954">
        <v>9</v>
      </c>
      <c r="B7954">
        <v>199</v>
      </c>
      <c r="C7954" t="str">
        <f>"11"</f>
        <v>11</v>
      </c>
      <c r="D7954">
        <v>6411</v>
      </c>
      <c r="E7954" t="str">
        <f>"LK"</f>
        <v>LK</v>
      </c>
      <c r="F7954" t="str">
        <f>"041"</f>
        <v>041</v>
      </c>
      <c r="G7954">
        <v>9</v>
      </c>
      <c r="H7954" t="str">
        <f>"11"</f>
        <v>11</v>
      </c>
      <c r="I7954" t="str">
        <f t="shared" si="1798"/>
        <v>0</v>
      </c>
      <c r="J7954" t="str">
        <f>"03"</f>
        <v>03</v>
      </c>
      <c r="K7954">
        <v>20190823</v>
      </c>
      <c r="L7954" t="str">
        <f>"077763"</f>
        <v>077763</v>
      </c>
      <c r="M7954" t="str">
        <f>"21358"</f>
        <v>21358</v>
      </c>
      <c r="N7954" t="s">
        <v>420</v>
      </c>
      <c r="O7954">
        <v>19.32</v>
      </c>
      <c r="P7954">
        <v>20190821</v>
      </c>
      <c r="Q7954" t="s">
        <v>3042</v>
      </c>
      <c r="R7954" t="s">
        <v>6239</v>
      </c>
      <c r="S7954" t="s">
        <v>1615</v>
      </c>
      <c r="T7954" t="s">
        <v>106</v>
      </c>
    </row>
    <row r="7955" spans="1:20" x14ac:dyDescent="0.25">
      <c r="A7955">
        <v>9</v>
      </c>
      <c r="B7955">
        <v>199</v>
      </c>
      <c r="C7955" t="str">
        <f>"34"</f>
        <v>34</v>
      </c>
      <c r="D7955">
        <v>6249</v>
      </c>
      <c r="E7955" t="str">
        <f>"10"</f>
        <v>10</v>
      </c>
      <c r="F7955" t="str">
        <f>"937"</f>
        <v>937</v>
      </c>
      <c r="G7955">
        <v>9</v>
      </c>
      <c r="H7955" t="str">
        <f>"99"</f>
        <v>99</v>
      </c>
      <c r="I7955" t="str">
        <f t="shared" si="1798"/>
        <v>0</v>
      </c>
      <c r="J7955" t="str">
        <f>"82"</f>
        <v>82</v>
      </c>
      <c r="K7955">
        <v>20190823</v>
      </c>
      <c r="L7955" t="str">
        <f>"077766"</f>
        <v>077766</v>
      </c>
      <c r="M7955" t="str">
        <f>"21901"</f>
        <v>21901</v>
      </c>
      <c r="N7955" t="s">
        <v>2046</v>
      </c>
      <c r="O7955">
        <v>336.94</v>
      </c>
      <c r="P7955">
        <v>20190821</v>
      </c>
      <c r="Q7955" t="s">
        <v>2036</v>
      </c>
      <c r="R7955" t="s">
        <v>6253</v>
      </c>
      <c r="S7955" t="s">
        <v>1615</v>
      </c>
      <c r="T7955" t="s">
        <v>1810</v>
      </c>
    </row>
    <row r="7956" spans="1:20" x14ac:dyDescent="0.25">
      <c r="A7956">
        <v>9</v>
      </c>
      <c r="B7956">
        <v>199</v>
      </c>
      <c r="C7956" t="str">
        <f>"34"</f>
        <v>34</v>
      </c>
      <c r="D7956">
        <v>6249</v>
      </c>
      <c r="E7956" t="str">
        <f>"10"</f>
        <v>10</v>
      </c>
      <c r="F7956" t="str">
        <f>"937"</f>
        <v>937</v>
      </c>
      <c r="G7956">
        <v>9</v>
      </c>
      <c r="H7956" t="str">
        <f>"99"</f>
        <v>99</v>
      </c>
      <c r="I7956" t="str">
        <f t="shared" si="1798"/>
        <v>0</v>
      </c>
      <c r="J7956" t="str">
        <f>"82"</f>
        <v>82</v>
      </c>
      <c r="K7956">
        <v>20190823</v>
      </c>
      <c r="L7956" t="str">
        <f>"077766"</f>
        <v>077766</v>
      </c>
      <c r="M7956" t="str">
        <f>"21901"</f>
        <v>21901</v>
      </c>
      <c r="N7956" t="s">
        <v>2046</v>
      </c>
      <c r="O7956">
        <v>864.16</v>
      </c>
      <c r="P7956">
        <v>20190821</v>
      </c>
      <c r="Q7956" t="s">
        <v>2036</v>
      </c>
      <c r="R7956" t="s">
        <v>6254</v>
      </c>
      <c r="S7956" t="s">
        <v>1615</v>
      </c>
      <c r="T7956" t="s">
        <v>1810</v>
      </c>
    </row>
    <row r="7957" spans="1:20" x14ac:dyDescent="0.25">
      <c r="A7957">
        <v>9</v>
      </c>
      <c r="B7957">
        <v>199</v>
      </c>
      <c r="C7957" t="str">
        <f>"34"</f>
        <v>34</v>
      </c>
      <c r="D7957">
        <v>6249</v>
      </c>
      <c r="E7957" t="str">
        <f>"10"</f>
        <v>10</v>
      </c>
      <c r="F7957" t="str">
        <f>"937"</f>
        <v>937</v>
      </c>
      <c r="G7957">
        <v>9</v>
      </c>
      <c r="H7957" t="str">
        <f>"99"</f>
        <v>99</v>
      </c>
      <c r="I7957" t="str">
        <f t="shared" si="1798"/>
        <v>0</v>
      </c>
      <c r="J7957" t="str">
        <f>"82"</f>
        <v>82</v>
      </c>
      <c r="K7957">
        <v>20190823</v>
      </c>
      <c r="L7957" t="str">
        <f>"077766"</f>
        <v>077766</v>
      </c>
      <c r="M7957" t="str">
        <f>"21901"</f>
        <v>21901</v>
      </c>
      <c r="N7957" t="s">
        <v>2046</v>
      </c>
      <c r="O7957" s="1">
        <v>1624.58</v>
      </c>
      <c r="P7957">
        <v>20190822</v>
      </c>
      <c r="Q7957" t="s">
        <v>2036</v>
      </c>
      <c r="R7957" t="s">
        <v>6255</v>
      </c>
      <c r="S7957" t="s">
        <v>1615</v>
      </c>
      <c r="T7957" t="s">
        <v>1810</v>
      </c>
    </row>
    <row r="7958" spans="1:20" x14ac:dyDescent="0.25">
      <c r="A7958">
        <v>9</v>
      </c>
      <c r="B7958">
        <v>199</v>
      </c>
      <c r="C7958" t="str">
        <f>"51"</f>
        <v>51</v>
      </c>
      <c r="D7958">
        <v>6249</v>
      </c>
      <c r="E7958" t="str">
        <f>"MC"</f>
        <v>MC</v>
      </c>
      <c r="F7958" t="str">
        <f>"001"</f>
        <v>001</v>
      </c>
      <c r="G7958">
        <v>9</v>
      </c>
      <c r="H7958" t="str">
        <f>"99"</f>
        <v>99</v>
      </c>
      <c r="I7958" t="str">
        <f t="shared" si="1798"/>
        <v>0</v>
      </c>
      <c r="J7958" t="str">
        <f>"81"</f>
        <v>81</v>
      </c>
      <c r="K7958">
        <v>20190823</v>
      </c>
      <c r="L7958" t="str">
        <f>"077767"</f>
        <v>077767</v>
      </c>
      <c r="M7958" t="str">
        <f>"24130"</f>
        <v>24130</v>
      </c>
      <c r="N7958" t="s">
        <v>567</v>
      </c>
      <c r="O7958" s="1">
        <v>19796.88</v>
      </c>
      <c r="P7958">
        <v>20190822</v>
      </c>
      <c r="Q7958" t="s">
        <v>2386</v>
      </c>
      <c r="R7958" t="s">
        <v>6256</v>
      </c>
      <c r="S7958" t="s">
        <v>1615</v>
      </c>
      <c r="T7958" t="s">
        <v>301</v>
      </c>
    </row>
    <row r="7959" spans="1:20" x14ac:dyDescent="0.25">
      <c r="A7959">
        <v>9</v>
      </c>
      <c r="B7959">
        <v>199</v>
      </c>
      <c r="C7959" t="str">
        <f t="shared" ref="C7959:C7968" si="1799">"11"</f>
        <v>11</v>
      </c>
      <c r="D7959">
        <v>6339</v>
      </c>
      <c r="E7959" t="str">
        <f t="shared" ref="E7959:E7968" si="1800">"00"</f>
        <v>00</v>
      </c>
      <c r="F7959" t="str">
        <f>"001"</f>
        <v>001</v>
      </c>
      <c r="G7959">
        <v>9</v>
      </c>
      <c r="H7959" t="str">
        <f>"23"</f>
        <v>23</v>
      </c>
      <c r="I7959" t="str">
        <f t="shared" si="1798"/>
        <v>0</v>
      </c>
      <c r="J7959" t="str">
        <f>"23"</f>
        <v>23</v>
      </c>
      <c r="K7959">
        <v>20190823</v>
      </c>
      <c r="L7959" t="str">
        <f t="shared" ref="L7959:L7968" si="1801">"077769"</f>
        <v>077769</v>
      </c>
      <c r="M7959" t="str">
        <f t="shared" ref="M7959:M7968" si="1802">"24704"</f>
        <v>24704</v>
      </c>
      <c r="N7959" t="s">
        <v>6257</v>
      </c>
      <c r="O7959">
        <v>120.65</v>
      </c>
      <c r="P7959">
        <v>20190821</v>
      </c>
      <c r="Q7959" t="s">
        <v>6258</v>
      </c>
      <c r="R7959" t="s">
        <v>6259</v>
      </c>
      <c r="S7959" t="s">
        <v>1615</v>
      </c>
      <c r="T7959" t="s">
        <v>301</v>
      </c>
    </row>
    <row r="7960" spans="1:20" x14ac:dyDescent="0.25">
      <c r="A7960">
        <v>9</v>
      </c>
      <c r="B7960">
        <v>199</v>
      </c>
      <c r="C7960" t="str">
        <f t="shared" si="1799"/>
        <v>11</v>
      </c>
      <c r="D7960">
        <v>6339</v>
      </c>
      <c r="E7960" t="str">
        <f t="shared" si="1800"/>
        <v>00</v>
      </c>
      <c r="F7960" t="str">
        <f>"001"</f>
        <v>001</v>
      </c>
      <c r="G7960">
        <v>9</v>
      </c>
      <c r="H7960" t="str">
        <f>"23"</f>
        <v>23</v>
      </c>
      <c r="I7960" t="str">
        <f t="shared" si="1798"/>
        <v>0</v>
      </c>
      <c r="J7960" t="str">
        <f>"23"</f>
        <v>23</v>
      </c>
      <c r="K7960">
        <v>20190823</v>
      </c>
      <c r="L7960" t="str">
        <f t="shared" si="1801"/>
        <v>077769</v>
      </c>
      <c r="M7960" t="str">
        <f t="shared" si="1802"/>
        <v>24704</v>
      </c>
      <c r="N7960" t="s">
        <v>6257</v>
      </c>
      <c r="O7960">
        <v>10.6</v>
      </c>
      <c r="P7960">
        <v>20190821</v>
      </c>
      <c r="Q7960" t="s">
        <v>6258</v>
      </c>
      <c r="R7960" t="s">
        <v>6260</v>
      </c>
      <c r="S7960" t="s">
        <v>1615</v>
      </c>
      <c r="T7960" t="s">
        <v>301</v>
      </c>
    </row>
    <row r="7961" spans="1:20" x14ac:dyDescent="0.25">
      <c r="A7961">
        <v>9</v>
      </c>
      <c r="B7961">
        <v>199</v>
      </c>
      <c r="C7961" t="str">
        <f t="shared" si="1799"/>
        <v>11</v>
      </c>
      <c r="D7961">
        <v>6339</v>
      </c>
      <c r="E7961" t="str">
        <f t="shared" si="1800"/>
        <v>00</v>
      </c>
      <c r="F7961" t="str">
        <f>"001"</f>
        <v>001</v>
      </c>
      <c r="G7961">
        <v>9</v>
      </c>
      <c r="H7961" t="str">
        <f t="shared" ref="H7961:H7968" si="1803">"25"</f>
        <v>25</v>
      </c>
      <c r="I7961" t="str">
        <f t="shared" si="1798"/>
        <v>0</v>
      </c>
      <c r="J7961" t="str">
        <f t="shared" ref="J7961:J7968" si="1804">"25"</f>
        <v>25</v>
      </c>
      <c r="K7961">
        <v>20190823</v>
      </c>
      <c r="L7961" t="str">
        <f t="shared" si="1801"/>
        <v>077769</v>
      </c>
      <c r="M7961" t="str">
        <f t="shared" si="1802"/>
        <v>24704</v>
      </c>
      <c r="N7961" t="s">
        <v>6257</v>
      </c>
      <c r="O7961">
        <v>120.65</v>
      </c>
      <c r="P7961">
        <v>20190821</v>
      </c>
      <c r="Q7961" t="s">
        <v>6261</v>
      </c>
      <c r="R7961" t="s">
        <v>6259</v>
      </c>
      <c r="S7961" t="s">
        <v>1615</v>
      </c>
      <c r="T7961" t="s">
        <v>301</v>
      </c>
    </row>
    <row r="7962" spans="1:20" x14ac:dyDescent="0.25">
      <c r="A7962">
        <v>9</v>
      </c>
      <c r="B7962">
        <v>199</v>
      </c>
      <c r="C7962" t="str">
        <f t="shared" si="1799"/>
        <v>11</v>
      </c>
      <c r="D7962">
        <v>6339</v>
      </c>
      <c r="E7962" t="str">
        <f t="shared" si="1800"/>
        <v>00</v>
      </c>
      <c r="F7962" t="str">
        <f>"001"</f>
        <v>001</v>
      </c>
      <c r="G7962">
        <v>9</v>
      </c>
      <c r="H7962" t="str">
        <f t="shared" si="1803"/>
        <v>25</v>
      </c>
      <c r="I7962" t="str">
        <f t="shared" si="1798"/>
        <v>0</v>
      </c>
      <c r="J7962" t="str">
        <f t="shared" si="1804"/>
        <v>25</v>
      </c>
      <c r="K7962">
        <v>20190823</v>
      </c>
      <c r="L7962" t="str">
        <f t="shared" si="1801"/>
        <v>077769</v>
      </c>
      <c r="M7962" t="str">
        <f t="shared" si="1802"/>
        <v>24704</v>
      </c>
      <c r="N7962" t="s">
        <v>6257</v>
      </c>
      <c r="O7962">
        <v>75.16</v>
      </c>
      <c r="P7962">
        <v>20190821</v>
      </c>
      <c r="Q7962" t="s">
        <v>6261</v>
      </c>
      <c r="R7962" t="s">
        <v>6260</v>
      </c>
      <c r="S7962" t="s">
        <v>1615</v>
      </c>
      <c r="T7962" t="s">
        <v>301</v>
      </c>
    </row>
    <row r="7963" spans="1:20" x14ac:dyDescent="0.25">
      <c r="A7963">
        <v>9</v>
      </c>
      <c r="B7963">
        <v>199</v>
      </c>
      <c r="C7963" t="str">
        <f t="shared" si="1799"/>
        <v>11</v>
      </c>
      <c r="D7963">
        <v>6339</v>
      </c>
      <c r="E7963" t="str">
        <f t="shared" si="1800"/>
        <v>00</v>
      </c>
      <c r="F7963" t="str">
        <f>"041"</f>
        <v>041</v>
      </c>
      <c r="G7963">
        <v>9</v>
      </c>
      <c r="H7963" t="str">
        <f t="shared" si="1803"/>
        <v>25</v>
      </c>
      <c r="I7963" t="str">
        <f t="shared" si="1798"/>
        <v>0</v>
      </c>
      <c r="J7963" t="str">
        <f t="shared" si="1804"/>
        <v>25</v>
      </c>
      <c r="K7963">
        <v>20190823</v>
      </c>
      <c r="L7963" t="str">
        <f t="shared" si="1801"/>
        <v>077769</v>
      </c>
      <c r="M7963" t="str">
        <f t="shared" si="1802"/>
        <v>24704</v>
      </c>
      <c r="N7963" t="s">
        <v>6257</v>
      </c>
      <c r="O7963">
        <v>120.65</v>
      </c>
      <c r="P7963">
        <v>20190821</v>
      </c>
      <c r="Q7963" t="s">
        <v>6262</v>
      </c>
      <c r="R7963" t="s">
        <v>6259</v>
      </c>
      <c r="S7963" t="s">
        <v>1615</v>
      </c>
      <c r="T7963" t="s">
        <v>106</v>
      </c>
    </row>
    <row r="7964" spans="1:20" x14ac:dyDescent="0.25">
      <c r="A7964">
        <v>9</v>
      </c>
      <c r="B7964">
        <v>199</v>
      </c>
      <c r="C7964" t="str">
        <f t="shared" si="1799"/>
        <v>11</v>
      </c>
      <c r="D7964">
        <v>6339</v>
      </c>
      <c r="E7964" t="str">
        <f t="shared" si="1800"/>
        <v>00</v>
      </c>
      <c r="F7964" t="str">
        <f>"041"</f>
        <v>041</v>
      </c>
      <c r="G7964">
        <v>9</v>
      </c>
      <c r="H7964" t="str">
        <f t="shared" si="1803"/>
        <v>25</v>
      </c>
      <c r="I7964" t="str">
        <f t="shared" si="1798"/>
        <v>0</v>
      </c>
      <c r="J7964" t="str">
        <f t="shared" si="1804"/>
        <v>25</v>
      </c>
      <c r="K7964">
        <v>20190823</v>
      </c>
      <c r="L7964" t="str">
        <f t="shared" si="1801"/>
        <v>077769</v>
      </c>
      <c r="M7964" t="str">
        <f t="shared" si="1802"/>
        <v>24704</v>
      </c>
      <c r="N7964" t="s">
        <v>6257</v>
      </c>
      <c r="O7964">
        <v>206.41</v>
      </c>
      <c r="P7964">
        <v>20190821</v>
      </c>
      <c r="Q7964" t="s">
        <v>6262</v>
      </c>
      <c r="R7964" t="s">
        <v>6260</v>
      </c>
      <c r="S7964" t="s">
        <v>1615</v>
      </c>
      <c r="T7964" t="s">
        <v>106</v>
      </c>
    </row>
    <row r="7965" spans="1:20" x14ac:dyDescent="0.25">
      <c r="A7965">
        <v>9</v>
      </c>
      <c r="B7965">
        <v>199</v>
      </c>
      <c r="C7965" t="str">
        <f t="shared" si="1799"/>
        <v>11</v>
      </c>
      <c r="D7965">
        <v>6339</v>
      </c>
      <c r="E7965" t="str">
        <f t="shared" si="1800"/>
        <v>00</v>
      </c>
      <c r="F7965" t="str">
        <f>"101"</f>
        <v>101</v>
      </c>
      <c r="G7965">
        <v>9</v>
      </c>
      <c r="H7965" t="str">
        <f t="shared" si="1803"/>
        <v>25</v>
      </c>
      <c r="I7965" t="str">
        <f t="shared" si="1798"/>
        <v>0</v>
      </c>
      <c r="J7965" t="str">
        <f t="shared" si="1804"/>
        <v>25</v>
      </c>
      <c r="K7965">
        <v>20190823</v>
      </c>
      <c r="L7965" t="str">
        <f t="shared" si="1801"/>
        <v>077769</v>
      </c>
      <c r="M7965" t="str">
        <f t="shared" si="1802"/>
        <v>24704</v>
      </c>
      <c r="N7965" t="s">
        <v>6257</v>
      </c>
      <c r="O7965">
        <v>120.65</v>
      </c>
      <c r="P7965">
        <v>20190821</v>
      </c>
      <c r="Q7965" t="s">
        <v>6263</v>
      </c>
      <c r="R7965" t="s">
        <v>6259</v>
      </c>
      <c r="S7965" t="s">
        <v>1615</v>
      </c>
      <c r="T7965" t="s">
        <v>1479</v>
      </c>
    </row>
    <row r="7966" spans="1:20" x14ac:dyDescent="0.25">
      <c r="A7966">
        <v>9</v>
      </c>
      <c r="B7966">
        <v>199</v>
      </c>
      <c r="C7966" t="str">
        <f t="shared" si="1799"/>
        <v>11</v>
      </c>
      <c r="D7966">
        <v>6339</v>
      </c>
      <c r="E7966" t="str">
        <f t="shared" si="1800"/>
        <v>00</v>
      </c>
      <c r="F7966" t="str">
        <f>"101"</f>
        <v>101</v>
      </c>
      <c r="G7966">
        <v>9</v>
      </c>
      <c r="H7966" t="str">
        <f t="shared" si="1803"/>
        <v>25</v>
      </c>
      <c r="I7966" t="str">
        <f t="shared" si="1798"/>
        <v>0</v>
      </c>
      <c r="J7966" t="str">
        <f t="shared" si="1804"/>
        <v>25</v>
      </c>
      <c r="K7966">
        <v>20190823</v>
      </c>
      <c r="L7966" t="str">
        <f t="shared" si="1801"/>
        <v>077769</v>
      </c>
      <c r="M7966" t="str">
        <f t="shared" si="1802"/>
        <v>24704</v>
      </c>
      <c r="N7966" t="s">
        <v>6257</v>
      </c>
      <c r="O7966">
        <v>206.41</v>
      </c>
      <c r="P7966">
        <v>20190821</v>
      </c>
      <c r="Q7966" t="s">
        <v>6263</v>
      </c>
      <c r="R7966" t="s">
        <v>6260</v>
      </c>
      <c r="S7966" t="s">
        <v>1615</v>
      </c>
      <c r="T7966" t="s">
        <v>1479</v>
      </c>
    </row>
    <row r="7967" spans="1:20" x14ac:dyDescent="0.25">
      <c r="A7967">
        <v>9</v>
      </c>
      <c r="B7967">
        <v>199</v>
      </c>
      <c r="C7967" t="str">
        <f t="shared" si="1799"/>
        <v>11</v>
      </c>
      <c r="D7967">
        <v>6339</v>
      </c>
      <c r="E7967" t="str">
        <f t="shared" si="1800"/>
        <v>00</v>
      </c>
      <c r="F7967" t="str">
        <f>"104"</f>
        <v>104</v>
      </c>
      <c r="G7967">
        <v>9</v>
      </c>
      <c r="H7967" t="str">
        <f t="shared" si="1803"/>
        <v>25</v>
      </c>
      <c r="I7967" t="str">
        <f t="shared" si="1798"/>
        <v>0</v>
      </c>
      <c r="J7967" t="str">
        <f t="shared" si="1804"/>
        <v>25</v>
      </c>
      <c r="K7967">
        <v>20190823</v>
      </c>
      <c r="L7967" t="str">
        <f t="shared" si="1801"/>
        <v>077769</v>
      </c>
      <c r="M7967" t="str">
        <f t="shared" si="1802"/>
        <v>24704</v>
      </c>
      <c r="N7967" t="s">
        <v>6257</v>
      </c>
      <c r="O7967">
        <v>120.65</v>
      </c>
      <c r="P7967">
        <v>20190821</v>
      </c>
      <c r="Q7967" t="s">
        <v>6264</v>
      </c>
      <c r="R7967" t="s">
        <v>6259</v>
      </c>
      <c r="S7967" t="s">
        <v>1615</v>
      </c>
      <c r="T7967" t="s">
        <v>46</v>
      </c>
    </row>
    <row r="7968" spans="1:20" x14ac:dyDescent="0.25">
      <c r="A7968">
        <v>9</v>
      </c>
      <c r="B7968">
        <v>199</v>
      </c>
      <c r="C7968" t="str">
        <f t="shared" si="1799"/>
        <v>11</v>
      </c>
      <c r="D7968">
        <v>6339</v>
      </c>
      <c r="E7968" t="str">
        <f t="shared" si="1800"/>
        <v>00</v>
      </c>
      <c r="F7968" t="str">
        <f>"104"</f>
        <v>104</v>
      </c>
      <c r="G7968">
        <v>9</v>
      </c>
      <c r="H7968" t="str">
        <f t="shared" si="1803"/>
        <v>25</v>
      </c>
      <c r="I7968" t="str">
        <f t="shared" si="1798"/>
        <v>0</v>
      </c>
      <c r="J7968" t="str">
        <f t="shared" si="1804"/>
        <v>25</v>
      </c>
      <c r="K7968">
        <v>20190823</v>
      </c>
      <c r="L7968" t="str">
        <f t="shared" si="1801"/>
        <v>077769</v>
      </c>
      <c r="M7968" t="str">
        <f t="shared" si="1802"/>
        <v>24704</v>
      </c>
      <c r="N7968" t="s">
        <v>6257</v>
      </c>
      <c r="O7968">
        <v>206.42</v>
      </c>
      <c r="P7968">
        <v>20190821</v>
      </c>
      <c r="Q7968" t="s">
        <v>6264</v>
      </c>
      <c r="R7968" t="s">
        <v>6260</v>
      </c>
      <c r="S7968" t="s">
        <v>1615</v>
      </c>
      <c r="T7968" t="s">
        <v>46</v>
      </c>
    </row>
    <row r="7969" spans="1:20" x14ac:dyDescent="0.25">
      <c r="A7969">
        <v>9</v>
      </c>
      <c r="B7969">
        <v>199</v>
      </c>
      <c r="C7969" t="str">
        <f>"21"</f>
        <v>21</v>
      </c>
      <c r="D7969">
        <v>6411</v>
      </c>
      <c r="E7969" t="str">
        <f>"10"</f>
        <v>10</v>
      </c>
      <c r="F7969" t="str">
        <f>"871"</f>
        <v>871</v>
      </c>
      <c r="G7969">
        <v>9</v>
      </c>
      <c r="H7969" t="str">
        <f>"99"</f>
        <v>99</v>
      </c>
      <c r="I7969" t="str">
        <f>"1"</f>
        <v>1</v>
      </c>
      <c r="J7969" t="str">
        <f>"94"</f>
        <v>94</v>
      </c>
      <c r="K7969">
        <v>20190823</v>
      </c>
      <c r="L7969" t="str">
        <f>"077770"</f>
        <v>077770</v>
      </c>
      <c r="M7969" t="str">
        <f>"24650"</f>
        <v>24650</v>
      </c>
      <c r="N7969" t="s">
        <v>3642</v>
      </c>
      <c r="O7969">
        <v>40.299999999999997</v>
      </c>
      <c r="P7969">
        <v>20190821</v>
      </c>
      <c r="Q7969" t="s">
        <v>3643</v>
      </c>
      <c r="R7969" t="s">
        <v>6265</v>
      </c>
      <c r="S7969" t="s">
        <v>1615</v>
      </c>
      <c r="T7969" t="s">
        <v>1932</v>
      </c>
    </row>
    <row r="7970" spans="1:20" x14ac:dyDescent="0.25">
      <c r="A7970">
        <v>9</v>
      </c>
      <c r="B7970">
        <v>199</v>
      </c>
      <c r="C7970" t="str">
        <f>"36"</f>
        <v>36</v>
      </c>
      <c r="D7970">
        <v>6399</v>
      </c>
      <c r="E7970" t="str">
        <f>"H1"</f>
        <v>H1</v>
      </c>
      <c r="F7970" t="str">
        <f>"001"</f>
        <v>001</v>
      </c>
      <c r="G7970">
        <v>9</v>
      </c>
      <c r="H7970" t="str">
        <f>"31"</f>
        <v>31</v>
      </c>
      <c r="I7970" t="str">
        <f t="shared" ref="I7970:I7997" si="1805">"0"</f>
        <v>0</v>
      </c>
      <c r="J7970" t="str">
        <f>"34"</f>
        <v>34</v>
      </c>
      <c r="K7970">
        <v>20190823</v>
      </c>
      <c r="L7970" t="str">
        <f>"077771"</f>
        <v>077771</v>
      </c>
      <c r="M7970" t="str">
        <f>"25222"</f>
        <v>25222</v>
      </c>
      <c r="N7970" t="s">
        <v>6180</v>
      </c>
      <c r="O7970">
        <v>500</v>
      </c>
      <c r="P7970">
        <v>20190821</v>
      </c>
      <c r="Q7970" t="s">
        <v>4871</v>
      </c>
      <c r="R7970" t="s">
        <v>6266</v>
      </c>
      <c r="S7970" t="s">
        <v>1615</v>
      </c>
      <c r="T7970" t="s">
        <v>301</v>
      </c>
    </row>
    <row r="7971" spans="1:20" x14ac:dyDescent="0.25">
      <c r="A7971">
        <v>9</v>
      </c>
      <c r="B7971">
        <v>199</v>
      </c>
      <c r="C7971" t="str">
        <f>"51"</f>
        <v>51</v>
      </c>
      <c r="D7971">
        <v>6256</v>
      </c>
      <c r="E7971" t="str">
        <f>"15"</f>
        <v>15</v>
      </c>
      <c r="F7971" t="str">
        <f>"880"</f>
        <v>880</v>
      </c>
      <c r="G7971">
        <v>9</v>
      </c>
      <c r="H7971" t="str">
        <f>"99"</f>
        <v>99</v>
      </c>
      <c r="I7971" t="str">
        <f t="shared" si="1805"/>
        <v>0</v>
      </c>
      <c r="J7971" t="str">
        <f>"80"</f>
        <v>80</v>
      </c>
      <c r="K7971">
        <v>20190823</v>
      </c>
      <c r="L7971" t="str">
        <f>"077772"</f>
        <v>077772</v>
      </c>
      <c r="M7971" t="str">
        <f>"77113"</f>
        <v>77113</v>
      </c>
      <c r="N7971" t="s">
        <v>1880</v>
      </c>
      <c r="O7971">
        <v>100.92</v>
      </c>
      <c r="P7971">
        <v>20190821</v>
      </c>
      <c r="Q7971" t="s">
        <v>2487</v>
      </c>
      <c r="R7971" t="s">
        <v>5715</v>
      </c>
      <c r="S7971" t="s">
        <v>1615</v>
      </c>
      <c r="T7971" t="s">
        <v>1866</v>
      </c>
    </row>
    <row r="7972" spans="1:20" x14ac:dyDescent="0.25">
      <c r="A7972">
        <v>9</v>
      </c>
      <c r="B7972">
        <v>199</v>
      </c>
      <c r="C7972" t="str">
        <f>"13"</f>
        <v>13</v>
      </c>
      <c r="D7972">
        <v>6411</v>
      </c>
      <c r="E7972" t="str">
        <f>"10"</f>
        <v>10</v>
      </c>
      <c r="F7972" t="str">
        <f>"002"</f>
        <v>002</v>
      </c>
      <c r="G7972">
        <v>9</v>
      </c>
      <c r="H7972" t="str">
        <f>"11"</f>
        <v>11</v>
      </c>
      <c r="I7972" t="str">
        <f t="shared" si="1805"/>
        <v>0</v>
      </c>
      <c r="J7972" t="str">
        <f>"02"</f>
        <v>02</v>
      </c>
      <c r="K7972">
        <v>20190823</v>
      </c>
      <c r="L7972" t="str">
        <f>"077774"</f>
        <v>077774</v>
      </c>
      <c r="M7972" t="str">
        <f>"27900"</f>
        <v>27900</v>
      </c>
      <c r="N7972" t="s">
        <v>1490</v>
      </c>
      <c r="O7972">
        <v>450</v>
      </c>
      <c r="P7972">
        <v>20190821</v>
      </c>
      <c r="Q7972" t="s">
        <v>5294</v>
      </c>
      <c r="R7972" t="s">
        <v>6267</v>
      </c>
      <c r="S7972" t="s">
        <v>1615</v>
      </c>
      <c r="T7972" t="s">
        <v>1485</v>
      </c>
    </row>
    <row r="7973" spans="1:20" x14ac:dyDescent="0.25">
      <c r="A7973">
        <v>9</v>
      </c>
      <c r="B7973">
        <v>199</v>
      </c>
      <c r="C7973" t="str">
        <f>"13"</f>
        <v>13</v>
      </c>
      <c r="D7973">
        <v>6411</v>
      </c>
      <c r="E7973" t="str">
        <f>"VR"</f>
        <v>VR</v>
      </c>
      <c r="F7973" t="str">
        <f>"001"</f>
        <v>001</v>
      </c>
      <c r="G7973">
        <v>9</v>
      </c>
      <c r="H7973" t="str">
        <f>"22"</f>
        <v>22</v>
      </c>
      <c r="I7973" t="str">
        <f t="shared" si="1805"/>
        <v>0</v>
      </c>
      <c r="J7973" t="str">
        <f>"22"</f>
        <v>22</v>
      </c>
      <c r="K7973">
        <v>20190823</v>
      </c>
      <c r="L7973" t="str">
        <f>"077774"</f>
        <v>077774</v>
      </c>
      <c r="M7973" t="str">
        <f>"27900"</f>
        <v>27900</v>
      </c>
      <c r="N7973" t="s">
        <v>1490</v>
      </c>
      <c r="O7973">
        <v>350</v>
      </c>
      <c r="P7973">
        <v>20190821</v>
      </c>
      <c r="Q7973" t="s">
        <v>6268</v>
      </c>
      <c r="R7973" t="s">
        <v>6269</v>
      </c>
      <c r="S7973" t="s">
        <v>1615</v>
      </c>
      <c r="T7973" t="s">
        <v>301</v>
      </c>
    </row>
    <row r="7974" spans="1:20" x14ac:dyDescent="0.25">
      <c r="A7974">
        <v>9</v>
      </c>
      <c r="B7974">
        <v>199</v>
      </c>
      <c r="C7974" t="str">
        <f>"31"</f>
        <v>31</v>
      </c>
      <c r="D7974">
        <v>6411</v>
      </c>
      <c r="E7974" t="str">
        <f>"04"</f>
        <v>04</v>
      </c>
      <c r="F7974" t="str">
        <f>"104"</f>
        <v>104</v>
      </c>
      <c r="G7974">
        <v>9</v>
      </c>
      <c r="H7974" t="str">
        <f>"99"</f>
        <v>99</v>
      </c>
      <c r="I7974" t="str">
        <f t="shared" si="1805"/>
        <v>0</v>
      </c>
      <c r="J7974" t="str">
        <f>"23"</f>
        <v>23</v>
      </c>
      <c r="K7974">
        <v>20190823</v>
      </c>
      <c r="L7974" t="str">
        <f>"077774"</f>
        <v>077774</v>
      </c>
      <c r="M7974" t="str">
        <f>"27900"</f>
        <v>27900</v>
      </c>
      <c r="N7974" t="s">
        <v>1490</v>
      </c>
      <c r="O7974">
        <v>150</v>
      </c>
      <c r="P7974">
        <v>20190821</v>
      </c>
      <c r="Q7974" t="s">
        <v>6270</v>
      </c>
      <c r="R7974" t="s">
        <v>1603</v>
      </c>
      <c r="S7974" t="s">
        <v>1615</v>
      </c>
      <c r="T7974" t="s">
        <v>46</v>
      </c>
    </row>
    <row r="7975" spans="1:20" x14ac:dyDescent="0.25">
      <c r="A7975">
        <v>9</v>
      </c>
      <c r="B7975">
        <v>199</v>
      </c>
      <c r="C7975" t="str">
        <f>"34"</f>
        <v>34</v>
      </c>
      <c r="D7975">
        <v>6411</v>
      </c>
      <c r="E7975" t="str">
        <f>"10"</f>
        <v>10</v>
      </c>
      <c r="F7975" t="str">
        <f>"937"</f>
        <v>937</v>
      </c>
      <c r="G7975">
        <v>9</v>
      </c>
      <c r="H7975" t="str">
        <f>"99"</f>
        <v>99</v>
      </c>
      <c r="I7975" t="str">
        <f t="shared" si="1805"/>
        <v>0</v>
      </c>
      <c r="J7975" t="str">
        <f>"82"</f>
        <v>82</v>
      </c>
      <c r="K7975">
        <v>20190823</v>
      </c>
      <c r="L7975" t="str">
        <f>"077774"</f>
        <v>077774</v>
      </c>
      <c r="M7975" t="str">
        <f>"27900"</f>
        <v>27900</v>
      </c>
      <c r="N7975" t="s">
        <v>1490</v>
      </c>
      <c r="O7975">
        <v>240</v>
      </c>
      <c r="P7975">
        <v>20190821</v>
      </c>
      <c r="Q7975" t="s">
        <v>2604</v>
      </c>
      <c r="R7975" t="s">
        <v>6271</v>
      </c>
      <c r="S7975" t="s">
        <v>1615</v>
      </c>
      <c r="T7975" t="s">
        <v>1810</v>
      </c>
    </row>
    <row r="7976" spans="1:20" x14ac:dyDescent="0.25">
      <c r="A7976">
        <v>9</v>
      </c>
      <c r="B7976">
        <v>199</v>
      </c>
      <c r="C7976" t="str">
        <f>"13"</f>
        <v>13</v>
      </c>
      <c r="D7976">
        <v>6411</v>
      </c>
      <c r="E7976" t="str">
        <f>"R1"</f>
        <v>R1</v>
      </c>
      <c r="F7976" t="str">
        <f>"001"</f>
        <v>001</v>
      </c>
      <c r="G7976">
        <v>9</v>
      </c>
      <c r="H7976" t="str">
        <f>"11"</f>
        <v>11</v>
      </c>
      <c r="I7976" t="str">
        <f t="shared" si="1805"/>
        <v>0</v>
      </c>
      <c r="J7976" t="str">
        <f>"01"</f>
        <v>01</v>
      </c>
      <c r="K7976">
        <v>20190823</v>
      </c>
      <c r="L7976" t="str">
        <f>"077776"</f>
        <v>077776</v>
      </c>
      <c r="M7976" t="str">
        <f>"28680"</f>
        <v>28680</v>
      </c>
      <c r="N7976" t="s">
        <v>482</v>
      </c>
      <c r="O7976">
        <v>111</v>
      </c>
      <c r="P7976">
        <v>20190821</v>
      </c>
      <c r="Q7976" t="s">
        <v>6056</v>
      </c>
      <c r="R7976" t="s">
        <v>6221</v>
      </c>
      <c r="S7976" t="s">
        <v>1615</v>
      </c>
      <c r="T7976" t="s">
        <v>301</v>
      </c>
    </row>
    <row r="7977" spans="1:20" x14ac:dyDescent="0.25">
      <c r="A7977">
        <v>9</v>
      </c>
      <c r="B7977">
        <v>199</v>
      </c>
      <c r="C7977" t="str">
        <f>"51"</f>
        <v>51</v>
      </c>
      <c r="D7977">
        <v>6249</v>
      </c>
      <c r="E7977" t="str">
        <f>"MC"</f>
        <v>MC</v>
      </c>
      <c r="F7977" t="str">
        <f>"104"</f>
        <v>104</v>
      </c>
      <c r="G7977">
        <v>9</v>
      </c>
      <c r="H7977" t="str">
        <f t="shared" ref="H7977:H7996" si="1806">"99"</f>
        <v>99</v>
      </c>
      <c r="I7977" t="str">
        <f t="shared" si="1805"/>
        <v>0</v>
      </c>
      <c r="J7977" t="str">
        <f>"81"</f>
        <v>81</v>
      </c>
      <c r="K7977">
        <v>20190823</v>
      </c>
      <c r="L7977" t="str">
        <f>"077777"</f>
        <v>077777</v>
      </c>
      <c r="M7977" t="str">
        <f>"28688"</f>
        <v>28688</v>
      </c>
      <c r="N7977" t="s">
        <v>2869</v>
      </c>
      <c r="O7977" s="1">
        <v>1070</v>
      </c>
      <c r="P7977">
        <v>20190821</v>
      </c>
      <c r="Q7977" t="s">
        <v>1744</v>
      </c>
      <c r="R7977" t="s">
        <v>6272</v>
      </c>
      <c r="S7977" t="s">
        <v>1615</v>
      </c>
      <c r="T7977" t="s">
        <v>46</v>
      </c>
    </row>
    <row r="7978" spans="1:20" x14ac:dyDescent="0.25">
      <c r="A7978">
        <v>9</v>
      </c>
      <c r="B7978">
        <v>199</v>
      </c>
      <c r="C7978" t="str">
        <f>"41"</f>
        <v>41</v>
      </c>
      <c r="D7978">
        <v>6499</v>
      </c>
      <c r="E7978" t="str">
        <f>"12"</f>
        <v>12</v>
      </c>
      <c r="F7978" t="str">
        <f>"720"</f>
        <v>720</v>
      </c>
      <c r="G7978">
        <v>9</v>
      </c>
      <c r="H7978" t="str">
        <f t="shared" si="1806"/>
        <v>99</v>
      </c>
      <c r="I7978" t="str">
        <f t="shared" si="1805"/>
        <v>0</v>
      </c>
      <c r="J7978" t="str">
        <f>"91"</f>
        <v>91</v>
      </c>
      <c r="K7978">
        <v>20190823</v>
      </c>
      <c r="L7978" t="str">
        <f>"077778"</f>
        <v>077778</v>
      </c>
      <c r="M7978" t="str">
        <f>"28820"</f>
        <v>28820</v>
      </c>
      <c r="N7978" t="s">
        <v>2224</v>
      </c>
      <c r="O7978">
        <v>130.03</v>
      </c>
      <c r="P7978">
        <v>20190821</v>
      </c>
      <c r="Q7978" t="s">
        <v>2225</v>
      </c>
      <c r="R7978" t="s">
        <v>6273</v>
      </c>
      <c r="S7978" t="s">
        <v>1615</v>
      </c>
      <c r="T7978" t="s">
        <v>2045</v>
      </c>
    </row>
    <row r="7979" spans="1:20" x14ac:dyDescent="0.25">
      <c r="A7979">
        <v>9</v>
      </c>
      <c r="B7979">
        <v>199</v>
      </c>
      <c r="C7979" t="str">
        <f t="shared" ref="C7979:C7989" si="1807">"51"</f>
        <v>51</v>
      </c>
      <c r="D7979">
        <v>6319</v>
      </c>
      <c r="E7979" t="str">
        <f t="shared" ref="E7979:E7988" si="1808">"MC"</f>
        <v>MC</v>
      </c>
      <c r="F7979" t="str">
        <f t="shared" ref="F7979:F7989" si="1809">"936"</f>
        <v>936</v>
      </c>
      <c r="G7979">
        <v>9</v>
      </c>
      <c r="H7979" t="str">
        <f t="shared" si="1806"/>
        <v>99</v>
      </c>
      <c r="I7979" t="str">
        <f t="shared" si="1805"/>
        <v>0</v>
      </c>
      <c r="J7979" t="str">
        <f t="shared" ref="J7979:J7988" si="1810">"81"</f>
        <v>81</v>
      </c>
      <c r="K7979">
        <v>20190823</v>
      </c>
      <c r="L7979" t="str">
        <f t="shared" ref="L7979:L7984" si="1811">"077779"</f>
        <v>077779</v>
      </c>
      <c r="M7979" t="str">
        <f t="shared" ref="M7979:M7984" si="1812">"29500"</f>
        <v>29500</v>
      </c>
      <c r="N7979" t="s">
        <v>2059</v>
      </c>
      <c r="O7979" s="1">
        <v>1620</v>
      </c>
      <c r="P7979">
        <v>20190821</v>
      </c>
      <c r="Q7979" t="s">
        <v>2060</v>
      </c>
      <c r="R7979" t="s">
        <v>6274</v>
      </c>
      <c r="S7979" t="s">
        <v>1615</v>
      </c>
      <c r="T7979" t="s">
        <v>1713</v>
      </c>
    </row>
    <row r="7980" spans="1:20" x14ac:dyDescent="0.25">
      <c r="A7980">
        <v>9</v>
      </c>
      <c r="B7980">
        <v>199</v>
      </c>
      <c r="C7980" t="str">
        <f t="shared" si="1807"/>
        <v>51</v>
      </c>
      <c r="D7980">
        <v>6319</v>
      </c>
      <c r="E7980" t="str">
        <f t="shared" si="1808"/>
        <v>MC</v>
      </c>
      <c r="F7980" t="str">
        <f t="shared" si="1809"/>
        <v>936</v>
      </c>
      <c r="G7980">
        <v>9</v>
      </c>
      <c r="H7980" t="str">
        <f t="shared" si="1806"/>
        <v>99</v>
      </c>
      <c r="I7980" t="str">
        <f t="shared" si="1805"/>
        <v>0</v>
      </c>
      <c r="J7980" t="str">
        <f t="shared" si="1810"/>
        <v>81</v>
      </c>
      <c r="K7980">
        <v>20190823</v>
      </c>
      <c r="L7980" t="str">
        <f t="shared" si="1811"/>
        <v>077779</v>
      </c>
      <c r="M7980" t="str">
        <f t="shared" si="1812"/>
        <v>29500</v>
      </c>
      <c r="N7980" t="s">
        <v>2059</v>
      </c>
      <c r="O7980">
        <v>261</v>
      </c>
      <c r="P7980">
        <v>20190821</v>
      </c>
      <c r="Q7980" t="s">
        <v>2060</v>
      </c>
      <c r="R7980" t="s">
        <v>6275</v>
      </c>
      <c r="S7980" t="s">
        <v>1615</v>
      </c>
      <c r="T7980" t="s">
        <v>1713</v>
      </c>
    </row>
    <row r="7981" spans="1:20" x14ac:dyDescent="0.25">
      <c r="A7981">
        <v>9</v>
      </c>
      <c r="B7981">
        <v>199</v>
      </c>
      <c r="C7981" t="str">
        <f t="shared" si="1807"/>
        <v>51</v>
      </c>
      <c r="D7981">
        <v>6319</v>
      </c>
      <c r="E7981" t="str">
        <f t="shared" si="1808"/>
        <v>MC</v>
      </c>
      <c r="F7981" t="str">
        <f t="shared" si="1809"/>
        <v>936</v>
      </c>
      <c r="G7981">
        <v>9</v>
      </c>
      <c r="H7981" t="str">
        <f t="shared" si="1806"/>
        <v>99</v>
      </c>
      <c r="I7981" t="str">
        <f t="shared" si="1805"/>
        <v>0</v>
      </c>
      <c r="J7981" t="str">
        <f t="shared" si="1810"/>
        <v>81</v>
      </c>
      <c r="K7981">
        <v>20190823</v>
      </c>
      <c r="L7981" t="str">
        <f t="shared" si="1811"/>
        <v>077779</v>
      </c>
      <c r="M7981" t="str">
        <f t="shared" si="1812"/>
        <v>29500</v>
      </c>
      <c r="N7981" t="s">
        <v>2059</v>
      </c>
      <c r="O7981" s="1">
        <v>3424</v>
      </c>
      <c r="P7981">
        <v>20190821</v>
      </c>
      <c r="Q7981" t="s">
        <v>2060</v>
      </c>
      <c r="R7981" t="s">
        <v>6276</v>
      </c>
      <c r="S7981" t="s">
        <v>1615</v>
      </c>
      <c r="T7981" t="s">
        <v>1713</v>
      </c>
    </row>
    <row r="7982" spans="1:20" x14ac:dyDescent="0.25">
      <c r="A7982">
        <v>9</v>
      </c>
      <c r="B7982">
        <v>199</v>
      </c>
      <c r="C7982" t="str">
        <f t="shared" si="1807"/>
        <v>51</v>
      </c>
      <c r="D7982">
        <v>6319</v>
      </c>
      <c r="E7982" t="str">
        <f t="shared" si="1808"/>
        <v>MC</v>
      </c>
      <c r="F7982" t="str">
        <f t="shared" si="1809"/>
        <v>936</v>
      </c>
      <c r="G7982">
        <v>9</v>
      </c>
      <c r="H7982" t="str">
        <f t="shared" si="1806"/>
        <v>99</v>
      </c>
      <c r="I7982" t="str">
        <f t="shared" si="1805"/>
        <v>0</v>
      </c>
      <c r="J7982" t="str">
        <f t="shared" si="1810"/>
        <v>81</v>
      </c>
      <c r="K7982">
        <v>20190823</v>
      </c>
      <c r="L7982" t="str">
        <f t="shared" si="1811"/>
        <v>077779</v>
      </c>
      <c r="M7982" t="str">
        <f t="shared" si="1812"/>
        <v>29500</v>
      </c>
      <c r="N7982" t="s">
        <v>2059</v>
      </c>
      <c r="O7982" s="1">
        <v>3361.31</v>
      </c>
      <c r="P7982">
        <v>20190821</v>
      </c>
      <c r="Q7982" t="s">
        <v>2060</v>
      </c>
      <c r="R7982" t="s">
        <v>6277</v>
      </c>
      <c r="S7982" t="s">
        <v>1615</v>
      </c>
      <c r="T7982" t="s">
        <v>1713</v>
      </c>
    </row>
    <row r="7983" spans="1:20" x14ac:dyDescent="0.25">
      <c r="A7983">
        <v>9</v>
      </c>
      <c r="B7983">
        <v>199</v>
      </c>
      <c r="C7983" t="str">
        <f t="shared" si="1807"/>
        <v>51</v>
      </c>
      <c r="D7983">
        <v>6319</v>
      </c>
      <c r="E7983" t="str">
        <f t="shared" si="1808"/>
        <v>MC</v>
      </c>
      <c r="F7983" t="str">
        <f t="shared" si="1809"/>
        <v>936</v>
      </c>
      <c r="G7983">
        <v>9</v>
      </c>
      <c r="H7983" t="str">
        <f t="shared" si="1806"/>
        <v>99</v>
      </c>
      <c r="I7983" t="str">
        <f t="shared" si="1805"/>
        <v>0</v>
      </c>
      <c r="J7983" t="str">
        <f t="shared" si="1810"/>
        <v>81</v>
      </c>
      <c r="K7983">
        <v>20190823</v>
      </c>
      <c r="L7983" t="str">
        <f t="shared" si="1811"/>
        <v>077779</v>
      </c>
      <c r="M7983" t="str">
        <f t="shared" si="1812"/>
        <v>29500</v>
      </c>
      <c r="N7983" t="s">
        <v>2059</v>
      </c>
      <c r="O7983">
        <v>206.14</v>
      </c>
      <c r="P7983">
        <v>20190821</v>
      </c>
      <c r="Q7983" t="s">
        <v>2060</v>
      </c>
      <c r="R7983" t="s">
        <v>2188</v>
      </c>
      <c r="S7983" t="s">
        <v>1615</v>
      </c>
      <c r="T7983" t="s">
        <v>1713</v>
      </c>
    </row>
    <row r="7984" spans="1:20" x14ac:dyDescent="0.25">
      <c r="A7984">
        <v>9</v>
      </c>
      <c r="B7984">
        <v>199</v>
      </c>
      <c r="C7984" t="str">
        <f t="shared" si="1807"/>
        <v>51</v>
      </c>
      <c r="D7984">
        <v>6319</v>
      </c>
      <c r="E7984" t="str">
        <f t="shared" si="1808"/>
        <v>MC</v>
      </c>
      <c r="F7984" t="str">
        <f t="shared" si="1809"/>
        <v>936</v>
      </c>
      <c r="G7984">
        <v>9</v>
      </c>
      <c r="H7984" t="str">
        <f t="shared" si="1806"/>
        <v>99</v>
      </c>
      <c r="I7984" t="str">
        <f t="shared" si="1805"/>
        <v>0</v>
      </c>
      <c r="J7984" t="str">
        <f t="shared" si="1810"/>
        <v>81</v>
      </c>
      <c r="K7984">
        <v>20190823</v>
      </c>
      <c r="L7984" t="str">
        <f t="shared" si="1811"/>
        <v>077779</v>
      </c>
      <c r="M7984" t="str">
        <f t="shared" si="1812"/>
        <v>29500</v>
      </c>
      <c r="N7984" t="s">
        <v>2059</v>
      </c>
      <c r="O7984">
        <v>72.400000000000006</v>
      </c>
      <c r="P7984">
        <v>20190821</v>
      </c>
      <c r="Q7984" t="s">
        <v>2060</v>
      </c>
      <c r="R7984" t="s">
        <v>6278</v>
      </c>
      <c r="S7984" t="s">
        <v>1615</v>
      </c>
      <c r="T7984" t="s">
        <v>1713</v>
      </c>
    </row>
    <row r="7985" spans="1:20" x14ac:dyDescent="0.25">
      <c r="A7985">
        <v>9</v>
      </c>
      <c r="B7985">
        <v>199</v>
      </c>
      <c r="C7985" t="str">
        <f t="shared" si="1807"/>
        <v>51</v>
      </c>
      <c r="D7985">
        <v>6319</v>
      </c>
      <c r="E7985" t="str">
        <f t="shared" si="1808"/>
        <v>MC</v>
      </c>
      <c r="F7985" t="str">
        <f t="shared" si="1809"/>
        <v>936</v>
      </c>
      <c r="G7985">
        <v>9</v>
      </c>
      <c r="H7985" t="str">
        <f t="shared" si="1806"/>
        <v>99</v>
      </c>
      <c r="I7985" t="str">
        <f t="shared" si="1805"/>
        <v>0</v>
      </c>
      <c r="J7985" t="str">
        <f t="shared" si="1810"/>
        <v>81</v>
      </c>
      <c r="K7985">
        <v>20190823</v>
      </c>
      <c r="L7985" t="str">
        <f>"077780"</f>
        <v>077780</v>
      </c>
      <c r="M7985" t="str">
        <f>"29548"</f>
        <v>29548</v>
      </c>
      <c r="N7985" t="s">
        <v>2064</v>
      </c>
      <c r="O7985">
        <v>834.25</v>
      </c>
      <c r="P7985">
        <v>20190821</v>
      </c>
      <c r="Q7985" t="s">
        <v>2060</v>
      </c>
      <c r="R7985" t="s">
        <v>6279</v>
      </c>
      <c r="S7985" t="s">
        <v>1615</v>
      </c>
      <c r="T7985" t="s">
        <v>1713</v>
      </c>
    </row>
    <row r="7986" spans="1:20" x14ac:dyDescent="0.25">
      <c r="A7986">
        <v>9</v>
      </c>
      <c r="B7986">
        <v>199</v>
      </c>
      <c r="C7986" t="str">
        <f t="shared" si="1807"/>
        <v>51</v>
      </c>
      <c r="D7986">
        <v>6319</v>
      </c>
      <c r="E7986" t="str">
        <f t="shared" si="1808"/>
        <v>MC</v>
      </c>
      <c r="F7986" t="str">
        <f t="shared" si="1809"/>
        <v>936</v>
      </c>
      <c r="G7986">
        <v>9</v>
      </c>
      <c r="H7986" t="str">
        <f t="shared" si="1806"/>
        <v>99</v>
      </c>
      <c r="I7986" t="str">
        <f t="shared" si="1805"/>
        <v>0</v>
      </c>
      <c r="J7986" t="str">
        <f t="shared" si="1810"/>
        <v>81</v>
      </c>
      <c r="K7986">
        <v>20190823</v>
      </c>
      <c r="L7986" t="str">
        <f>"077780"</f>
        <v>077780</v>
      </c>
      <c r="M7986" t="str">
        <f>"29548"</f>
        <v>29548</v>
      </c>
      <c r="N7986" t="s">
        <v>2064</v>
      </c>
      <c r="O7986">
        <v>472.65</v>
      </c>
      <c r="P7986">
        <v>20190821</v>
      </c>
      <c r="Q7986" t="s">
        <v>2060</v>
      </c>
      <c r="R7986" t="s">
        <v>6280</v>
      </c>
      <c r="S7986" t="s">
        <v>1615</v>
      </c>
      <c r="T7986" t="s">
        <v>1713</v>
      </c>
    </row>
    <row r="7987" spans="1:20" x14ac:dyDescent="0.25">
      <c r="A7987">
        <v>9</v>
      </c>
      <c r="B7987">
        <v>199</v>
      </c>
      <c r="C7987" t="str">
        <f t="shared" si="1807"/>
        <v>51</v>
      </c>
      <c r="D7987">
        <v>6319</v>
      </c>
      <c r="E7987" t="str">
        <f t="shared" si="1808"/>
        <v>MC</v>
      </c>
      <c r="F7987" t="str">
        <f t="shared" si="1809"/>
        <v>936</v>
      </c>
      <c r="G7987">
        <v>9</v>
      </c>
      <c r="H7987" t="str">
        <f t="shared" si="1806"/>
        <v>99</v>
      </c>
      <c r="I7987" t="str">
        <f t="shared" si="1805"/>
        <v>0</v>
      </c>
      <c r="J7987" t="str">
        <f t="shared" si="1810"/>
        <v>81</v>
      </c>
      <c r="K7987">
        <v>20190823</v>
      </c>
      <c r="L7987" t="str">
        <f>"077780"</f>
        <v>077780</v>
      </c>
      <c r="M7987" t="str">
        <f>"29548"</f>
        <v>29548</v>
      </c>
      <c r="N7987" t="s">
        <v>2064</v>
      </c>
      <c r="O7987">
        <v>343.7</v>
      </c>
      <c r="P7987">
        <v>20190821</v>
      </c>
      <c r="Q7987" t="s">
        <v>2060</v>
      </c>
      <c r="R7987" t="s">
        <v>6281</v>
      </c>
      <c r="S7987" t="s">
        <v>1615</v>
      </c>
      <c r="T7987" t="s">
        <v>1713</v>
      </c>
    </row>
    <row r="7988" spans="1:20" x14ac:dyDescent="0.25">
      <c r="A7988">
        <v>9</v>
      </c>
      <c r="B7988">
        <v>199</v>
      </c>
      <c r="C7988" t="str">
        <f t="shared" si="1807"/>
        <v>51</v>
      </c>
      <c r="D7988">
        <v>6319</v>
      </c>
      <c r="E7988" t="str">
        <f t="shared" si="1808"/>
        <v>MC</v>
      </c>
      <c r="F7988" t="str">
        <f t="shared" si="1809"/>
        <v>936</v>
      </c>
      <c r="G7988">
        <v>9</v>
      </c>
      <c r="H7988" t="str">
        <f t="shared" si="1806"/>
        <v>99</v>
      </c>
      <c r="I7988" t="str">
        <f t="shared" si="1805"/>
        <v>0</v>
      </c>
      <c r="J7988" t="str">
        <f t="shared" si="1810"/>
        <v>81</v>
      </c>
      <c r="K7988">
        <v>20190823</v>
      </c>
      <c r="L7988" t="str">
        <f>"077780"</f>
        <v>077780</v>
      </c>
      <c r="M7988" t="str">
        <f>"29548"</f>
        <v>29548</v>
      </c>
      <c r="N7988" t="s">
        <v>2064</v>
      </c>
      <c r="O7988">
        <v>516.9</v>
      </c>
      <c r="P7988">
        <v>20190822</v>
      </c>
      <c r="Q7988" t="s">
        <v>2060</v>
      </c>
      <c r="R7988" t="s">
        <v>6282</v>
      </c>
      <c r="S7988" t="s">
        <v>1615</v>
      </c>
      <c r="T7988" t="s">
        <v>1713</v>
      </c>
    </row>
    <row r="7989" spans="1:20" x14ac:dyDescent="0.25">
      <c r="A7989">
        <v>9</v>
      </c>
      <c r="B7989">
        <v>199</v>
      </c>
      <c r="C7989" t="str">
        <f t="shared" si="1807"/>
        <v>51</v>
      </c>
      <c r="D7989">
        <v>6249</v>
      </c>
      <c r="E7989" t="str">
        <f>"WF"</f>
        <v>WF</v>
      </c>
      <c r="F7989" t="str">
        <f t="shared" si="1809"/>
        <v>936</v>
      </c>
      <c r="G7989">
        <v>9</v>
      </c>
      <c r="H7989" t="str">
        <f t="shared" si="1806"/>
        <v>99</v>
      </c>
      <c r="I7989" t="str">
        <f t="shared" si="1805"/>
        <v>0</v>
      </c>
      <c r="J7989" t="str">
        <f t="shared" ref="J7989:J7994" si="1813">"82"</f>
        <v>82</v>
      </c>
      <c r="K7989">
        <v>20190823</v>
      </c>
      <c r="L7989" t="str">
        <f>"077782"</f>
        <v>077782</v>
      </c>
      <c r="M7989" t="str">
        <f>"06470"</f>
        <v>06470</v>
      </c>
      <c r="N7989" t="s">
        <v>3144</v>
      </c>
      <c r="O7989">
        <v>110</v>
      </c>
      <c r="P7989">
        <v>20190821</v>
      </c>
      <c r="Q7989" t="s">
        <v>2127</v>
      </c>
      <c r="R7989" t="s">
        <v>6244</v>
      </c>
      <c r="S7989" t="s">
        <v>1615</v>
      </c>
      <c r="T7989" t="s">
        <v>1713</v>
      </c>
    </row>
    <row r="7990" spans="1:20" x14ac:dyDescent="0.25">
      <c r="A7990">
        <v>9</v>
      </c>
      <c r="B7990">
        <v>199</v>
      </c>
      <c r="C7990" t="str">
        <f>"34"</f>
        <v>34</v>
      </c>
      <c r="D7990">
        <v>6249</v>
      </c>
      <c r="E7990" t="str">
        <f>"10"</f>
        <v>10</v>
      </c>
      <c r="F7990" t="str">
        <f>"937"</f>
        <v>937</v>
      </c>
      <c r="G7990">
        <v>9</v>
      </c>
      <c r="H7990" t="str">
        <f t="shared" si="1806"/>
        <v>99</v>
      </c>
      <c r="I7990" t="str">
        <f t="shared" si="1805"/>
        <v>0</v>
      </c>
      <c r="J7990" t="str">
        <f t="shared" si="1813"/>
        <v>82</v>
      </c>
      <c r="K7990">
        <v>20190823</v>
      </c>
      <c r="L7990" t="str">
        <f>"077783"</f>
        <v>077783</v>
      </c>
      <c r="M7990" t="str">
        <f>"30130"</f>
        <v>30130</v>
      </c>
      <c r="N7990" t="s">
        <v>3025</v>
      </c>
      <c r="O7990" s="1">
        <v>1582.2</v>
      </c>
      <c r="P7990">
        <v>20190821</v>
      </c>
      <c r="Q7990" t="s">
        <v>2036</v>
      </c>
      <c r="R7990" t="s">
        <v>6283</v>
      </c>
      <c r="S7990" t="s">
        <v>1615</v>
      </c>
      <c r="T7990" t="s">
        <v>1810</v>
      </c>
    </row>
    <row r="7991" spans="1:20" x14ac:dyDescent="0.25">
      <c r="A7991">
        <v>9</v>
      </c>
      <c r="B7991">
        <v>199</v>
      </c>
      <c r="C7991" t="str">
        <f>"34"</f>
        <v>34</v>
      </c>
      <c r="D7991">
        <v>6249</v>
      </c>
      <c r="E7991" t="str">
        <f>"10"</f>
        <v>10</v>
      </c>
      <c r="F7991" t="str">
        <f>"937"</f>
        <v>937</v>
      </c>
      <c r="G7991">
        <v>9</v>
      </c>
      <c r="H7991" t="str">
        <f t="shared" si="1806"/>
        <v>99</v>
      </c>
      <c r="I7991" t="str">
        <f t="shared" si="1805"/>
        <v>0</v>
      </c>
      <c r="J7991" t="str">
        <f t="shared" si="1813"/>
        <v>82</v>
      </c>
      <c r="K7991">
        <v>20190823</v>
      </c>
      <c r="L7991" t="str">
        <f>"077783"</f>
        <v>077783</v>
      </c>
      <c r="M7991" t="str">
        <f>"30130"</f>
        <v>30130</v>
      </c>
      <c r="N7991" t="s">
        <v>3025</v>
      </c>
      <c r="O7991">
        <v>787.2</v>
      </c>
      <c r="P7991">
        <v>20190821</v>
      </c>
      <c r="Q7991" t="s">
        <v>2036</v>
      </c>
      <c r="R7991" t="s">
        <v>6284</v>
      </c>
      <c r="S7991" t="s">
        <v>1615</v>
      </c>
      <c r="T7991" t="s">
        <v>1810</v>
      </c>
    </row>
    <row r="7992" spans="1:20" x14ac:dyDescent="0.25">
      <c r="A7992">
        <v>9</v>
      </c>
      <c r="B7992">
        <v>199</v>
      </c>
      <c r="C7992" t="str">
        <f>"34"</f>
        <v>34</v>
      </c>
      <c r="D7992">
        <v>6399</v>
      </c>
      <c r="E7992" t="str">
        <f>"11"</f>
        <v>11</v>
      </c>
      <c r="F7992" t="str">
        <f>"937"</f>
        <v>937</v>
      </c>
      <c r="G7992">
        <v>9</v>
      </c>
      <c r="H7992" t="str">
        <f t="shared" si="1806"/>
        <v>99</v>
      </c>
      <c r="I7992" t="str">
        <f t="shared" si="1805"/>
        <v>0</v>
      </c>
      <c r="J7992" t="str">
        <f t="shared" si="1813"/>
        <v>82</v>
      </c>
      <c r="K7992">
        <v>20190823</v>
      </c>
      <c r="L7992" t="str">
        <f>"077783"</f>
        <v>077783</v>
      </c>
      <c r="M7992" t="str">
        <f>"30130"</f>
        <v>30130</v>
      </c>
      <c r="N7992" t="s">
        <v>3025</v>
      </c>
      <c r="O7992">
        <v>15.56</v>
      </c>
      <c r="P7992">
        <v>20190821</v>
      </c>
      <c r="Q7992" t="s">
        <v>2210</v>
      </c>
      <c r="R7992" t="s">
        <v>6285</v>
      </c>
      <c r="S7992" t="s">
        <v>1615</v>
      </c>
      <c r="T7992" t="s">
        <v>1810</v>
      </c>
    </row>
    <row r="7993" spans="1:20" x14ac:dyDescent="0.25">
      <c r="A7993">
        <v>9</v>
      </c>
      <c r="B7993">
        <v>199</v>
      </c>
      <c r="C7993" t="str">
        <f>"34"</f>
        <v>34</v>
      </c>
      <c r="D7993">
        <v>6311</v>
      </c>
      <c r="E7993" t="str">
        <f>"10"</f>
        <v>10</v>
      </c>
      <c r="F7993" t="str">
        <f>"937"</f>
        <v>937</v>
      </c>
      <c r="G7993">
        <v>9</v>
      </c>
      <c r="H7993" t="str">
        <f t="shared" si="1806"/>
        <v>99</v>
      </c>
      <c r="I7993" t="str">
        <f t="shared" si="1805"/>
        <v>0</v>
      </c>
      <c r="J7993" t="str">
        <f t="shared" si="1813"/>
        <v>82</v>
      </c>
      <c r="K7993">
        <v>20190823</v>
      </c>
      <c r="L7993" t="str">
        <f>"077784"</f>
        <v>077784</v>
      </c>
      <c r="M7993" t="str">
        <f>"30744"</f>
        <v>30744</v>
      </c>
      <c r="N7993" t="s">
        <v>422</v>
      </c>
      <c r="O7993">
        <v>42.13</v>
      </c>
      <c r="P7993">
        <v>20190821</v>
      </c>
      <c r="Q7993" t="s">
        <v>1914</v>
      </c>
      <c r="R7993" t="s">
        <v>6286</v>
      </c>
      <c r="S7993" t="s">
        <v>1615</v>
      </c>
      <c r="T7993" t="s">
        <v>1810</v>
      </c>
    </row>
    <row r="7994" spans="1:20" x14ac:dyDescent="0.25">
      <c r="A7994">
        <v>9</v>
      </c>
      <c r="B7994">
        <v>199</v>
      </c>
      <c r="C7994" t="str">
        <f>"34"</f>
        <v>34</v>
      </c>
      <c r="D7994">
        <v>6311</v>
      </c>
      <c r="E7994" t="str">
        <f>"10"</f>
        <v>10</v>
      </c>
      <c r="F7994" t="str">
        <f>"937"</f>
        <v>937</v>
      </c>
      <c r="G7994">
        <v>9</v>
      </c>
      <c r="H7994" t="str">
        <f t="shared" si="1806"/>
        <v>99</v>
      </c>
      <c r="I7994" t="str">
        <f t="shared" si="1805"/>
        <v>0</v>
      </c>
      <c r="J7994" t="str">
        <f t="shared" si="1813"/>
        <v>82</v>
      </c>
      <c r="K7994">
        <v>20190823</v>
      </c>
      <c r="L7994" t="str">
        <f>"077784"</f>
        <v>077784</v>
      </c>
      <c r="M7994" t="str">
        <f>"30744"</f>
        <v>30744</v>
      </c>
      <c r="N7994" t="s">
        <v>422</v>
      </c>
      <c r="O7994">
        <v>43.51</v>
      </c>
      <c r="P7994">
        <v>20190821</v>
      </c>
      <c r="Q7994" t="s">
        <v>1914</v>
      </c>
      <c r="R7994" t="s">
        <v>6287</v>
      </c>
      <c r="S7994" t="s">
        <v>1615</v>
      </c>
      <c r="T7994" t="s">
        <v>1810</v>
      </c>
    </row>
    <row r="7995" spans="1:20" x14ac:dyDescent="0.25">
      <c r="A7995">
        <v>9</v>
      </c>
      <c r="B7995">
        <v>199</v>
      </c>
      <c r="C7995" t="str">
        <f>"51"</f>
        <v>51</v>
      </c>
      <c r="D7995">
        <v>6319</v>
      </c>
      <c r="E7995" t="str">
        <f>"M2"</f>
        <v>M2</v>
      </c>
      <c r="F7995" t="str">
        <f>"936"</f>
        <v>936</v>
      </c>
      <c r="G7995">
        <v>9</v>
      </c>
      <c r="H7995" t="str">
        <f t="shared" si="1806"/>
        <v>99</v>
      </c>
      <c r="I7995" t="str">
        <f t="shared" si="1805"/>
        <v>0</v>
      </c>
      <c r="J7995" t="str">
        <f>"81"</f>
        <v>81</v>
      </c>
      <c r="K7995">
        <v>20190823</v>
      </c>
      <c r="L7995" t="str">
        <f>"077786"</f>
        <v>077786</v>
      </c>
      <c r="M7995" t="str">
        <f>"31500"</f>
        <v>31500</v>
      </c>
      <c r="N7995" t="s">
        <v>2073</v>
      </c>
      <c r="O7995">
        <v>406.76</v>
      </c>
      <c r="P7995">
        <v>20190821</v>
      </c>
      <c r="Q7995" t="s">
        <v>2074</v>
      </c>
      <c r="R7995" t="s">
        <v>6288</v>
      </c>
      <c r="S7995" t="s">
        <v>1615</v>
      </c>
      <c r="T7995" t="s">
        <v>1713</v>
      </c>
    </row>
    <row r="7996" spans="1:20" x14ac:dyDescent="0.25">
      <c r="A7996">
        <v>9</v>
      </c>
      <c r="B7996">
        <v>199</v>
      </c>
      <c r="C7996" t="str">
        <f>"23"</f>
        <v>23</v>
      </c>
      <c r="D7996">
        <v>6498</v>
      </c>
      <c r="E7996" t="str">
        <f>"10"</f>
        <v>10</v>
      </c>
      <c r="F7996" t="str">
        <f>"001"</f>
        <v>001</v>
      </c>
      <c r="G7996">
        <v>9</v>
      </c>
      <c r="H7996" t="str">
        <f t="shared" si="1806"/>
        <v>99</v>
      </c>
      <c r="I7996" t="str">
        <f t="shared" si="1805"/>
        <v>0</v>
      </c>
      <c r="J7996" t="str">
        <f>"01"</f>
        <v>01</v>
      </c>
      <c r="K7996">
        <v>20190823</v>
      </c>
      <c r="L7996" t="str">
        <f>"077787"</f>
        <v>077787</v>
      </c>
      <c r="M7996" t="str">
        <f>"38853"</f>
        <v>38853</v>
      </c>
      <c r="N7996" t="s">
        <v>349</v>
      </c>
      <c r="O7996" s="1">
        <v>1199</v>
      </c>
      <c r="P7996">
        <v>20190821</v>
      </c>
      <c r="Q7996" t="s">
        <v>2108</v>
      </c>
      <c r="R7996" t="s">
        <v>6289</v>
      </c>
      <c r="S7996" t="s">
        <v>1615</v>
      </c>
      <c r="T7996" t="s">
        <v>301</v>
      </c>
    </row>
    <row r="7997" spans="1:20" x14ac:dyDescent="0.25">
      <c r="A7997">
        <v>9</v>
      </c>
      <c r="B7997">
        <v>199</v>
      </c>
      <c r="C7997" t="str">
        <f>"11"</f>
        <v>11</v>
      </c>
      <c r="D7997">
        <v>6399</v>
      </c>
      <c r="E7997" t="str">
        <f>"V1"</f>
        <v>V1</v>
      </c>
      <c r="F7997" t="str">
        <f>"001"</f>
        <v>001</v>
      </c>
      <c r="G7997">
        <v>9</v>
      </c>
      <c r="H7997" t="str">
        <f>"22"</f>
        <v>22</v>
      </c>
      <c r="I7997" t="str">
        <f t="shared" si="1805"/>
        <v>0</v>
      </c>
      <c r="J7997" t="str">
        <f>"22"</f>
        <v>22</v>
      </c>
      <c r="K7997">
        <v>20190823</v>
      </c>
      <c r="L7997" t="str">
        <f>"077788"</f>
        <v>077788</v>
      </c>
      <c r="M7997" t="str">
        <f>"00827"</f>
        <v>00827</v>
      </c>
      <c r="N7997" t="s">
        <v>5656</v>
      </c>
      <c r="O7997">
        <v>83.97</v>
      </c>
      <c r="P7997">
        <v>20190821</v>
      </c>
      <c r="Q7997" t="s">
        <v>5437</v>
      </c>
      <c r="R7997" t="s">
        <v>6290</v>
      </c>
      <c r="S7997" t="s">
        <v>1615</v>
      </c>
      <c r="T7997" t="s">
        <v>301</v>
      </c>
    </row>
    <row r="7998" spans="1:20" x14ac:dyDescent="0.25">
      <c r="A7998">
        <v>9</v>
      </c>
      <c r="B7998">
        <v>199</v>
      </c>
      <c r="C7998" t="str">
        <f>"34"</f>
        <v>34</v>
      </c>
      <c r="D7998">
        <v>6411</v>
      </c>
      <c r="E7998" t="str">
        <f>"10"</f>
        <v>10</v>
      </c>
      <c r="F7998" t="str">
        <f>"937"</f>
        <v>937</v>
      </c>
      <c r="G7998">
        <v>9</v>
      </c>
      <c r="H7998" t="str">
        <f>"99"</f>
        <v>99</v>
      </c>
      <c r="I7998" t="str">
        <f>"1"</f>
        <v>1</v>
      </c>
      <c r="J7998" t="str">
        <f>"82"</f>
        <v>82</v>
      </c>
      <c r="K7998">
        <v>20190823</v>
      </c>
      <c r="L7998" t="str">
        <f>"077789"</f>
        <v>077789</v>
      </c>
      <c r="M7998" t="str">
        <f>"39425"</f>
        <v>39425</v>
      </c>
      <c r="N7998" t="s">
        <v>2495</v>
      </c>
      <c r="O7998">
        <v>257.43</v>
      </c>
      <c r="P7998">
        <v>20190822</v>
      </c>
      <c r="Q7998" t="s">
        <v>4885</v>
      </c>
      <c r="R7998" t="s">
        <v>6291</v>
      </c>
      <c r="S7998" t="s">
        <v>1615</v>
      </c>
      <c r="T7998" t="s">
        <v>1810</v>
      </c>
    </row>
    <row r="7999" spans="1:20" x14ac:dyDescent="0.25">
      <c r="A7999">
        <v>9</v>
      </c>
      <c r="B7999">
        <v>199</v>
      </c>
      <c r="C7999" t="str">
        <f>"11"</f>
        <v>11</v>
      </c>
      <c r="D7999">
        <v>6399</v>
      </c>
      <c r="E7999" t="str">
        <f>"7B"</f>
        <v>7B</v>
      </c>
      <c r="F7999" t="str">
        <f>"001"</f>
        <v>001</v>
      </c>
      <c r="G7999">
        <v>9</v>
      </c>
      <c r="H7999" t="str">
        <f>"11"</f>
        <v>11</v>
      </c>
      <c r="I7999" t="str">
        <f t="shared" ref="I7999:I8006" si="1814">"0"</f>
        <v>0</v>
      </c>
      <c r="J7999" t="str">
        <f>"32"</f>
        <v>32</v>
      </c>
      <c r="K7999">
        <v>20190823</v>
      </c>
      <c r="L7999" t="str">
        <f>"077790"</f>
        <v>077790</v>
      </c>
      <c r="M7999" t="str">
        <f>"39572"</f>
        <v>39572</v>
      </c>
      <c r="N7999" t="s">
        <v>2233</v>
      </c>
      <c r="O7999" s="1">
        <v>1391.53</v>
      </c>
      <c r="P7999">
        <v>20190822</v>
      </c>
      <c r="Q7999" t="s">
        <v>2239</v>
      </c>
      <c r="R7999" t="s">
        <v>6292</v>
      </c>
      <c r="S7999" t="s">
        <v>1615</v>
      </c>
      <c r="T7999" t="s">
        <v>301</v>
      </c>
    </row>
    <row r="8000" spans="1:20" x14ac:dyDescent="0.25">
      <c r="A8000">
        <v>9</v>
      </c>
      <c r="B8000">
        <v>199</v>
      </c>
      <c r="C8000" t="str">
        <f>"34"</f>
        <v>34</v>
      </c>
      <c r="D8000">
        <v>6399</v>
      </c>
      <c r="E8000" t="str">
        <f>"11"</f>
        <v>11</v>
      </c>
      <c r="F8000" t="str">
        <f>"937"</f>
        <v>937</v>
      </c>
      <c r="G8000">
        <v>9</v>
      </c>
      <c r="H8000" t="str">
        <f t="shared" ref="H8000:H8017" si="1815">"99"</f>
        <v>99</v>
      </c>
      <c r="I8000" t="str">
        <f t="shared" si="1814"/>
        <v>0</v>
      </c>
      <c r="J8000" t="str">
        <f>"82"</f>
        <v>82</v>
      </c>
      <c r="K8000">
        <v>20190823</v>
      </c>
      <c r="L8000" t="str">
        <f t="shared" ref="L8000:L8006" si="1816">"077791"</f>
        <v>077791</v>
      </c>
      <c r="M8000" t="str">
        <f t="shared" ref="M8000:M8006" si="1817">"00125"</f>
        <v>00125</v>
      </c>
      <c r="N8000" t="s">
        <v>2245</v>
      </c>
      <c r="O8000">
        <v>794.83</v>
      </c>
      <c r="P8000">
        <v>20190822</v>
      </c>
      <c r="Q8000" t="s">
        <v>2210</v>
      </c>
      <c r="R8000" t="s">
        <v>2211</v>
      </c>
      <c r="S8000" t="s">
        <v>1615</v>
      </c>
      <c r="T8000" t="s">
        <v>1810</v>
      </c>
    </row>
    <row r="8001" spans="1:20" x14ac:dyDescent="0.25">
      <c r="A8001">
        <v>9</v>
      </c>
      <c r="B8001">
        <v>199</v>
      </c>
      <c r="C8001" t="str">
        <f>"34"</f>
        <v>34</v>
      </c>
      <c r="D8001">
        <v>6399</v>
      </c>
      <c r="E8001" t="str">
        <f>"11"</f>
        <v>11</v>
      </c>
      <c r="F8001" t="str">
        <f>"937"</f>
        <v>937</v>
      </c>
      <c r="G8001">
        <v>9</v>
      </c>
      <c r="H8001" t="str">
        <f t="shared" si="1815"/>
        <v>99</v>
      </c>
      <c r="I8001" t="str">
        <f t="shared" si="1814"/>
        <v>0</v>
      </c>
      <c r="J8001" t="str">
        <f>"82"</f>
        <v>82</v>
      </c>
      <c r="K8001">
        <v>20190823</v>
      </c>
      <c r="L8001" t="str">
        <f t="shared" si="1816"/>
        <v>077791</v>
      </c>
      <c r="M8001" t="str">
        <f t="shared" si="1817"/>
        <v>00125</v>
      </c>
      <c r="N8001" t="s">
        <v>2245</v>
      </c>
      <c r="O8001">
        <v>35.22</v>
      </c>
      <c r="P8001">
        <v>20190822</v>
      </c>
      <c r="Q8001" t="s">
        <v>2210</v>
      </c>
      <c r="R8001" t="s">
        <v>6293</v>
      </c>
      <c r="S8001" t="s">
        <v>1615</v>
      </c>
      <c r="T8001" t="s">
        <v>1810</v>
      </c>
    </row>
    <row r="8002" spans="1:20" x14ac:dyDescent="0.25">
      <c r="A8002">
        <v>9</v>
      </c>
      <c r="B8002">
        <v>199</v>
      </c>
      <c r="C8002" t="str">
        <f>"34"</f>
        <v>34</v>
      </c>
      <c r="D8002">
        <v>6399</v>
      </c>
      <c r="E8002" t="str">
        <f>"11"</f>
        <v>11</v>
      </c>
      <c r="F8002" t="str">
        <f>"937"</f>
        <v>937</v>
      </c>
      <c r="G8002">
        <v>9</v>
      </c>
      <c r="H8002" t="str">
        <f t="shared" si="1815"/>
        <v>99</v>
      </c>
      <c r="I8002" t="str">
        <f t="shared" si="1814"/>
        <v>0</v>
      </c>
      <c r="J8002" t="str">
        <f>"82"</f>
        <v>82</v>
      </c>
      <c r="K8002">
        <v>20190823</v>
      </c>
      <c r="L8002" t="str">
        <f t="shared" si="1816"/>
        <v>077791</v>
      </c>
      <c r="M8002" t="str">
        <f t="shared" si="1817"/>
        <v>00125</v>
      </c>
      <c r="N8002" t="s">
        <v>2245</v>
      </c>
      <c r="O8002">
        <v>15.7</v>
      </c>
      <c r="P8002">
        <v>20190822</v>
      </c>
      <c r="Q8002" t="s">
        <v>2210</v>
      </c>
      <c r="R8002" t="s">
        <v>6294</v>
      </c>
      <c r="S8002" t="s">
        <v>1615</v>
      </c>
      <c r="T8002" t="s">
        <v>1810</v>
      </c>
    </row>
    <row r="8003" spans="1:20" x14ac:dyDescent="0.25">
      <c r="A8003">
        <v>9</v>
      </c>
      <c r="B8003">
        <v>199</v>
      </c>
      <c r="C8003" t="str">
        <f>"34"</f>
        <v>34</v>
      </c>
      <c r="D8003">
        <v>6399</v>
      </c>
      <c r="E8003" t="str">
        <f>"11"</f>
        <v>11</v>
      </c>
      <c r="F8003" t="str">
        <f>"937"</f>
        <v>937</v>
      </c>
      <c r="G8003">
        <v>9</v>
      </c>
      <c r="H8003" t="str">
        <f t="shared" si="1815"/>
        <v>99</v>
      </c>
      <c r="I8003" t="str">
        <f t="shared" si="1814"/>
        <v>0</v>
      </c>
      <c r="J8003" t="str">
        <f>"82"</f>
        <v>82</v>
      </c>
      <c r="K8003">
        <v>20190823</v>
      </c>
      <c r="L8003" t="str">
        <f t="shared" si="1816"/>
        <v>077791</v>
      </c>
      <c r="M8003" t="str">
        <f t="shared" si="1817"/>
        <v>00125</v>
      </c>
      <c r="N8003" t="s">
        <v>2245</v>
      </c>
      <c r="O8003">
        <v>-67.5</v>
      </c>
      <c r="P8003">
        <v>20190801</v>
      </c>
      <c r="Q8003" t="s">
        <v>2210</v>
      </c>
      <c r="R8003" t="s">
        <v>6295</v>
      </c>
      <c r="S8003" t="s">
        <v>1615</v>
      </c>
      <c r="T8003" t="s">
        <v>1810</v>
      </c>
    </row>
    <row r="8004" spans="1:20" x14ac:dyDescent="0.25">
      <c r="A8004">
        <v>9</v>
      </c>
      <c r="B8004">
        <v>199</v>
      </c>
      <c r="C8004" t="str">
        <f t="shared" ref="C8004:C8009" si="1818">"51"</f>
        <v>51</v>
      </c>
      <c r="D8004">
        <v>6319</v>
      </c>
      <c r="E8004" t="str">
        <f>"M3"</f>
        <v>M3</v>
      </c>
      <c r="F8004" t="str">
        <f t="shared" ref="F8004:F8009" si="1819">"936"</f>
        <v>936</v>
      </c>
      <c r="G8004">
        <v>9</v>
      </c>
      <c r="H8004" t="str">
        <f t="shared" si="1815"/>
        <v>99</v>
      </c>
      <c r="I8004" t="str">
        <f t="shared" si="1814"/>
        <v>0</v>
      </c>
      <c r="J8004" t="str">
        <f>"81"</f>
        <v>81</v>
      </c>
      <c r="K8004">
        <v>20190823</v>
      </c>
      <c r="L8004" t="str">
        <f t="shared" si="1816"/>
        <v>077791</v>
      </c>
      <c r="M8004" t="str">
        <f t="shared" si="1817"/>
        <v>00125</v>
      </c>
      <c r="N8004" t="s">
        <v>2245</v>
      </c>
      <c r="O8004" s="1">
        <v>18941.09</v>
      </c>
      <c r="P8004">
        <v>20190822</v>
      </c>
      <c r="Q8004" t="s">
        <v>2246</v>
      </c>
      <c r="R8004" t="s">
        <v>2249</v>
      </c>
      <c r="S8004" t="s">
        <v>1615</v>
      </c>
      <c r="T8004" t="s">
        <v>1713</v>
      </c>
    </row>
    <row r="8005" spans="1:20" x14ac:dyDescent="0.25">
      <c r="A8005">
        <v>9</v>
      </c>
      <c r="B8005">
        <v>199</v>
      </c>
      <c r="C8005" t="str">
        <f t="shared" si="1818"/>
        <v>51</v>
      </c>
      <c r="D8005">
        <v>6319</v>
      </c>
      <c r="E8005" t="str">
        <f>"M3"</f>
        <v>M3</v>
      </c>
      <c r="F8005" t="str">
        <f t="shared" si="1819"/>
        <v>936</v>
      </c>
      <c r="G8005">
        <v>9</v>
      </c>
      <c r="H8005" t="str">
        <f t="shared" si="1815"/>
        <v>99</v>
      </c>
      <c r="I8005" t="str">
        <f t="shared" si="1814"/>
        <v>0</v>
      </c>
      <c r="J8005" t="str">
        <f>"81"</f>
        <v>81</v>
      </c>
      <c r="K8005">
        <v>20190823</v>
      </c>
      <c r="L8005" t="str">
        <f t="shared" si="1816"/>
        <v>077791</v>
      </c>
      <c r="M8005" t="str">
        <f t="shared" si="1817"/>
        <v>00125</v>
      </c>
      <c r="N8005" t="s">
        <v>2245</v>
      </c>
      <c r="O8005">
        <v>240.12</v>
      </c>
      <c r="P8005">
        <v>20190822</v>
      </c>
      <c r="Q8005" t="s">
        <v>2246</v>
      </c>
      <c r="R8005" t="s">
        <v>6296</v>
      </c>
      <c r="S8005" t="s">
        <v>1615</v>
      </c>
      <c r="T8005" t="s">
        <v>1713</v>
      </c>
    </row>
    <row r="8006" spans="1:20" x14ac:dyDescent="0.25">
      <c r="A8006">
        <v>9</v>
      </c>
      <c r="B8006">
        <v>199</v>
      </c>
      <c r="C8006" t="str">
        <f t="shared" si="1818"/>
        <v>51</v>
      </c>
      <c r="D8006">
        <v>6319</v>
      </c>
      <c r="E8006" t="str">
        <f>"M3"</f>
        <v>M3</v>
      </c>
      <c r="F8006" t="str">
        <f t="shared" si="1819"/>
        <v>936</v>
      </c>
      <c r="G8006">
        <v>9</v>
      </c>
      <c r="H8006" t="str">
        <f t="shared" si="1815"/>
        <v>99</v>
      </c>
      <c r="I8006" t="str">
        <f t="shared" si="1814"/>
        <v>0</v>
      </c>
      <c r="J8006" t="str">
        <f>"81"</f>
        <v>81</v>
      </c>
      <c r="K8006">
        <v>20190823</v>
      </c>
      <c r="L8006" t="str">
        <f t="shared" si="1816"/>
        <v>077791</v>
      </c>
      <c r="M8006" t="str">
        <f t="shared" si="1817"/>
        <v>00125</v>
      </c>
      <c r="N8006" t="s">
        <v>2245</v>
      </c>
      <c r="O8006">
        <v>440.22</v>
      </c>
      <c r="P8006">
        <v>20190822</v>
      </c>
      <c r="Q8006" t="s">
        <v>2246</v>
      </c>
      <c r="R8006" t="s">
        <v>6296</v>
      </c>
      <c r="S8006" t="s">
        <v>1615</v>
      </c>
      <c r="T8006" t="s">
        <v>1713</v>
      </c>
    </row>
    <row r="8007" spans="1:20" x14ac:dyDescent="0.25">
      <c r="A8007">
        <v>9</v>
      </c>
      <c r="B8007">
        <v>199</v>
      </c>
      <c r="C8007" t="str">
        <f t="shared" si="1818"/>
        <v>51</v>
      </c>
      <c r="D8007">
        <v>6254</v>
      </c>
      <c r="E8007" t="str">
        <f>"ME"</f>
        <v>ME</v>
      </c>
      <c r="F8007" t="str">
        <f t="shared" si="1819"/>
        <v>936</v>
      </c>
      <c r="G8007">
        <v>9</v>
      </c>
      <c r="H8007" t="str">
        <f t="shared" si="1815"/>
        <v>99</v>
      </c>
      <c r="I8007" t="str">
        <f>"1"</f>
        <v>1</v>
      </c>
      <c r="J8007" t="str">
        <f>"73"</f>
        <v>73</v>
      </c>
      <c r="K8007">
        <v>20190823</v>
      </c>
      <c r="L8007" t="str">
        <f>"077792"</f>
        <v>077792</v>
      </c>
      <c r="M8007" t="str">
        <f>"42194"</f>
        <v>42194</v>
      </c>
      <c r="N8007" t="s">
        <v>1736</v>
      </c>
      <c r="O8007" s="1">
        <v>2245.67</v>
      </c>
      <c r="P8007">
        <v>20190821</v>
      </c>
      <c r="Q8007" t="s">
        <v>1891</v>
      </c>
      <c r="R8007" t="s">
        <v>6297</v>
      </c>
      <c r="S8007" t="s">
        <v>1615</v>
      </c>
      <c r="T8007" t="s">
        <v>1713</v>
      </c>
    </row>
    <row r="8008" spans="1:20" x14ac:dyDescent="0.25">
      <c r="A8008">
        <v>9</v>
      </c>
      <c r="B8008">
        <v>199</v>
      </c>
      <c r="C8008" t="str">
        <f t="shared" si="1818"/>
        <v>51</v>
      </c>
      <c r="D8008">
        <v>6254</v>
      </c>
      <c r="E8008" t="str">
        <f>"ME"</f>
        <v>ME</v>
      </c>
      <c r="F8008" t="str">
        <f t="shared" si="1819"/>
        <v>936</v>
      </c>
      <c r="G8008">
        <v>9</v>
      </c>
      <c r="H8008" t="str">
        <f t="shared" si="1815"/>
        <v>99</v>
      </c>
      <c r="I8008" t="str">
        <f>"1"</f>
        <v>1</v>
      </c>
      <c r="J8008" t="str">
        <f>"73"</f>
        <v>73</v>
      </c>
      <c r="K8008">
        <v>20190823</v>
      </c>
      <c r="L8008" t="str">
        <f>"077792"</f>
        <v>077792</v>
      </c>
      <c r="M8008" t="str">
        <f>"42194"</f>
        <v>42194</v>
      </c>
      <c r="N8008" t="s">
        <v>1736</v>
      </c>
      <c r="O8008" s="1">
        <v>-2245.67</v>
      </c>
      <c r="P8008">
        <v>20190823</v>
      </c>
      <c r="Q8008" t="s">
        <v>1891</v>
      </c>
      <c r="R8008" t="s">
        <v>138</v>
      </c>
      <c r="S8008" t="s">
        <v>1615</v>
      </c>
      <c r="T8008" t="s">
        <v>1713</v>
      </c>
    </row>
    <row r="8009" spans="1:20" x14ac:dyDescent="0.25">
      <c r="A8009">
        <v>9</v>
      </c>
      <c r="B8009">
        <v>199</v>
      </c>
      <c r="C8009" t="str">
        <f t="shared" si="1818"/>
        <v>51</v>
      </c>
      <c r="D8009">
        <v>6254</v>
      </c>
      <c r="E8009" t="str">
        <f>"ME"</f>
        <v>ME</v>
      </c>
      <c r="F8009" t="str">
        <f t="shared" si="1819"/>
        <v>936</v>
      </c>
      <c r="G8009">
        <v>9</v>
      </c>
      <c r="H8009" t="str">
        <f t="shared" si="1815"/>
        <v>99</v>
      </c>
      <c r="I8009" t="str">
        <f>"1"</f>
        <v>1</v>
      </c>
      <c r="J8009" t="str">
        <f>"73"</f>
        <v>73</v>
      </c>
      <c r="K8009">
        <v>20190823</v>
      </c>
      <c r="L8009" t="str">
        <f>"077792"</f>
        <v>077792</v>
      </c>
      <c r="M8009" t="str">
        <f>"42194"</f>
        <v>42194</v>
      </c>
      <c r="N8009" t="s">
        <v>1736</v>
      </c>
      <c r="O8009" s="1">
        <v>1190.8699999999999</v>
      </c>
      <c r="P8009">
        <v>20190823</v>
      </c>
      <c r="Q8009" t="s">
        <v>1891</v>
      </c>
      <c r="R8009" t="s">
        <v>6297</v>
      </c>
      <c r="S8009" t="s">
        <v>1615</v>
      </c>
      <c r="T8009" t="s">
        <v>1713</v>
      </c>
    </row>
    <row r="8010" spans="1:20" x14ac:dyDescent="0.25">
      <c r="A8010">
        <v>9</v>
      </c>
      <c r="B8010">
        <v>199</v>
      </c>
      <c r="C8010" t="str">
        <f>"41"</f>
        <v>41</v>
      </c>
      <c r="D8010">
        <v>6649</v>
      </c>
      <c r="E8010" t="str">
        <f>"10"</f>
        <v>10</v>
      </c>
      <c r="F8010" t="str">
        <f>"730"</f>
        <v>730</v>
      </c>
      <c r="G8010">
        <v>9</v>
      </c>
      <c r="H8010" t="str">
        <f t="shared" si="1815"/>
        <v>99</v>
      </c>
      <c r="I8010" t="str">
        <f t="shared" ref="I8010:I8018" si="1820">"0"</f>
        <v>0</v>
      </c>
      <c r="J8010" t="str">
        <f>"95"</f>
        <v>95</v>
      </c>
      <c r="K8010">
        <v>20190823</v>
      </c>
      <c r="L8010" t="str">
        <f>"077793"</f>
        <v>077793</v>
      </c>
      <c r="M8010" t="str">
        <f>"00858"</f>
        <v>00858</v>
      </c>
      <c r="N8010" t="s">
        <v>6298</v>
      </c>
      <c r="O8010" s="1">
        <v>1145</v>
      </c>
      <c r="P8010">
        <v>20190821</v>
      </c>
      <c r="Q8010" t="s">
        <v>6178</v>
      </c>
      <c r="R8010" t="s">
        <v>6299</v>
      </c>
      <c r="S8010" t="s">
        <v>1615</v>
      </c>
      <c r="T8010" t="s">
        <v>1794</v>
      </c>
    </row>
    <row r="8011" spans="1:20" x14ac:dyDescent="0.25">
      <c r="A8011">
        <v>9</v>
      </c>
      <c r="B8011">
        <v>199</v>
      </c>
      <c r="C8011" t="str">
        <f>"41"</f>
        <v>41</v>
      </c>
      <c r="D8011">
        <v>6498</v>
      </c>
      <c r="E8011" t="str">
        <f>"10"</f>
        <v>10</v>
      </c>
      <c r="F8011" t="str">
        <f>"701"</f>
        <v>701</v>
      </c>
      <c r="G8011">
        <v>9</v>
      </c>
      <c r="H8011" t="str">
        <f t="shared" si="1815"/>
        <v>99</v>
      </c>
      <c r="I8011" t="str">
        <f t="shared" si="1820"/>
        <v>0</v>
      </c>
      <c r="J8011" t="str">
        <f>"92"</f>
        <v>92</v>
      </c>
      <c r="K8011">
        <v>20190823</v>
      </c>
      <c r="L8011" t="str">
        <f>"077794"</f>
        <v>077794</v>
      </c>
      <c r="M8011" t="str">
        <f>"45093"</f>
        <v>45093</v>
      </c>
      <c r="N8011" t="s">
        <v>885</v>
      </c>
      <c r="O8011">
        <v>187.62</v>
      </c>
      <c r="P8011">
        <v>20190821</v>
      </c>
      <c r="Q8011" t="s">
        <v>2202</v>
      </c>
      <c r="R8011" t="s">
        <v>6300</v>
      </c>
      <c r="S8011" t="s">
        <v>1615</v>
      </c>
      <c r="T8011" t="s">
        <v>1841</v>
      </c>
    </row>
    <row r="8012" spans="1:20" x14ac:dyDescent="0.25">
      <c r="A8012">
        <v>9</v>
      </c>
      <c r="B8012">
        <v>199</v>
      </c>
      <c r="C8012" t="str">
        <f>"51"</f>
        <v>51</v>
      </c>
      <c r="D8012">
        <v>6319</v>
      </c>
      <c r="E8012" t="str">
        <f>"MC"</f>
        <v>MC</v>
      </c>
      <c r="F8012" t="str">
        <f>"936"</f>
        <v>936</v>
      </c>
      <c r="G8012">
        <v>9</v>
      </c>
      <c r="H8012" t="str">
        <f t="shared" si="1815"/>
        <v>99</v>
      </c>
      <c r="I8012" t="str">
        <f t="shared" si="1820"/>
        <v>0</v>
      </c>
      <c r="J8012" t="str">
        <f>"81"</f>
        <v>81</v>
      </c>
      <c r="K8012">
        <v>20190823</v>
      </c>
      <c r="L8012" t="str">
        <f>"077795"</f>
        <v>077795</v>
      </c>
      <c r="M8012" t="str">
        <f>"45492"</f>
        <v>45492</v>
      </c>
      <c r="N8012" t="s">
        <v>3410</v>
      </c>
      <c r="O8012">
        <v>285.19</v>
      </c>
      <c r="P8012">
        <v>20190821</v>
      </c>
      <c r="Q8012" t="s">
        <v>2060</v>
      </c>
      <c r="R8012" t="s">
        <v>6301</v>
      </c>
      <c r="S8012" t="s">
        <v>1615</v>
      </c>
      <c r="T8012" t="s">
        <v>1713</v>
      </c>
    </row>
    <row r="8013" spans="1:20" x14ac:dyDescent="0.25">
      <c r="A8013">
        <v>9</v>
      </c>
      <c r="B8013">
        <v>199</v>
      </c>
      <c r="C8013" t="str">
        <f>"51"</f>
        <v>51</v>
      </c>
      <c r="D8013">
        <v>6319</v>
      </c>
      <c r="E8013" t="str">
        <f>"MC"</f>
        <v>MC</v>
      </c>
      <c r="F8013" t="str">
        <f>"936"</f>
        <v>936</v>
      </c>
      <c r="G8013">
        <v>9</v>
      </c>
      <c r="H8013" t="str">
        <f t="shared" si="1815"/>
        <v>99</v>
      </c>
      <c r="I8013" t="str">
        <f t="shared" si="1820"/>
        <v>0</v>
      </c>
      <c r="J8013" t="str">
        <f>"81"</f>
        <v>81</v>
      </c>
      <c r="K8013">
        <v>20190823</v>
      </c>
      <c r="L8013" t="str">
        <f>"077795"</f>
        <v>077795</v>
      </c>
      <c r="M8013" t="str">
        <f>"45492"</f>
        <v>45492</v>
      </c>
      <c r="N8013" t="s">
        <v>3410</v>
      </c>
      <c r="O8013">
        <v>568.13</v>
      </c>
      <c r="P8013">
        <v>20190822</v>
      </c>
      <c r="Q8013" t="s">
        <v>2060</v>
      </c>
      <c r="R8013" t="s">
        <v>2188</v>
      </c>
      <c r="S8013" t="s">
        <v>1615</v>
      </c>
      <c r="T8013" t="s">
        <v>1713</v>
      </c>
    </row>
    <row r="8014" spans="1:20" x14ac:dyDescent="0.25">
      <c r="A8014">
        <v>9</v>
      </c>
      <c r="B8014">
        <v>199</v>
      </c>
      <c r="C8014" t="str">
        <f>"41"</f>
        <v>41</v>
      </c>
      <c r="D8014">
        <v>6219</v>
      </c>
      <c r="E8014" t="str">
        <f>"11"</f>
        <v>11</v>
      </c>
      <c r="F8014" t="str">
        <f>"730"</f>
        <v>730</v>
      </c>
      <c r="G8014">
        <v>9</v>
      </c>
      <c r="H8014" t="str">
        <f t="shared" si="1815"/>
        <v>99</v>
      </c>
      <c r="I8014" t="str">
        <f t="shared" si="1820"/>
        <v>0</v>
      </c>
      <c r="J8014" t="str">
        <f>"95"</f>
        <v>95</v>
      </c>
      <c r="K8014">
        <v>20190823</v>
      </c>
      <c r="L8014" t="str">
        <f>"077796"</f>
        <v>077796</v>
      </c>
      <c r="M8014" t="str">
        <f>"46025"</f>
        <v>46025</v>
      </c>
      <c r="N8014" t="s">
        <v>1741</v>
      </c>
      <c r="O8014">
        <v>433.75</v>
      </c>
      <c r="P8014">
        <v>20190821</v>
      </c>
      <c r="Q8014" t="s">
        <v>2385</v>
      </c>
      <c r="R8014" s="2">
        <v>43647</v>
      </c>
      <c r="S8014" t="s">
        <v>1615</v>
      </c>
      <c r="T8014" t="s">
        <v>1794</v>
      </c>
    </row>
    <row r="8015" spans="1:20" x14ac:dyDescent="0.25">
      <c r="A8015">
        <v>9</v>
      </c>
      <c r="B8015">
        <v>199</v>
      </c>
      <c r="C8015" t="str">
        <f>"51"</f>
        <v>51</v>
      </c>
      <c r="D8015">
        <v>6219</v>
      </c>
      <c r="E8015" t="str">
        <f>"M7"</f>
        <v>M7</v>
      </c>
      <c r="F8015" t="str">
        <f>"936"</f>
        <v>936</v>
      </c>
      <c r="G8015">
        <v>9</v>
      </c>
      <c r="H8015" t="str">
        <f t="shared" si="1815"/>
        <v>99</v>
      </c>
      <c r="I8015" t="str">
        <f t="shared" si="1820"/>
        <v>0</v>
      </c>
      <c r="J8015" t="str">
        <f>"81"</f>
        <v>81</v>
      </c>
      <c r="K8015">
        <v>20190823</v>
      </c>
      <c r="L8015" t="str">
        <f>"077797"</f>
        <v>077797</v>
      </c>
      <c r="M8015" t="str">
        <f>"46369"</f>
        <v>46369</v>
      </c>
      <c r="N8015" t="s">
        <v>2086</v>
      </c>
      <c r="O8015">
        <v>560</v>
      </c>
      <c r="P8015">
        <v>20190821</v>
      </c>
      <c r="Q8015" t="s">
        <v>2259</v>
      </c>
      <c r="R8015" t="s">
        <v>4643</v>
      </c>
      <c r="S8015" t="s">
        <v>1615</v>
      </c>
      <c r="T8015" t="s">
        <v>1713</v>
      </c>
    </row>
    <row r="8016" spans="1:20" x14ac:dyDescent="0.25">
      <c r="A8016">
        <v>9</v>
      </c>
      <c r="B8016">
        <v>199</v>
      </c>
      <c r="C8016" t="str">
        <f>"51"</f>
        <v>51</v>
      </c>
      <c r="D8016">
        <v>6249</v>
      </c>
      <c r="E8016" t="str">
        <f>"MC"</f>
        <v>MC</v>
      </c>
      <c r="F8016" t="str">
        <f>"001"</f>
        <v>001</v>
      </c>
      <c r="G8016">
        <v>9</v>
      </c>
      <c r="H8016" t="str">
        <f t="shared" si="1815"/>
        <v>99</v>
      </c>
      <c r="I8016" t="str">
        <f t="shared" si="1820"/>
        <v>0</v>
      </c>
      <c r="J8016" t="str">
        <f>"81"</f>
        <v>81</v>
      </c>
      <c r="K8016">
        <v>20190823</v>
      </c>
      <c r="L8016" t="str">
        <f>"077798"</f>
        <v>077798</v>
      </c>
      <c r="M8016" t="str">
        <f>"00518"</f>
        <v>00518</v>
      </c>
      <c r="N8016" t="s">
        <v>1742</v>
      </c>
      <c r="O8016">
        <v>405</v>
      </c>
      <c r="P8016">
        <v>20190821</v>
      </c>
      <c r="Q8016" t="s">
        <v>2386</v>
      </c>
      <c r="R8016" t="s">
        <v>6302</v>
      </c>
      <c r="S8016" t="s">
        <v>1615</v>
      </c>
      <c r="T8016" t="s">
        <v>301</v>
      </c>
    </row>
    <row r="8017" spans="1:20" x14ac:dyDescent="0.25">
      <c r="A8017">
        <v>9</v>
      </c>
      <c r="B8017">
        <v>199</v>
      </c>
      <c r="C8017" t="str">
        <f>"51"</f>
        <v>51</v>
      </c>
      <c r="D8017">
        <v>6249</v>
      </c>
      <c r="E8017" t="str">
        <f>"MC"</f>
        <v>MC</v>
      </c>
      <c r="F8017" t="str">
        <f>"104"</f>
        <v>104</v>
      </c>
      <c r="G8017">
        <v>9</v>
      </c>
      <c r="H8017" t="str">
        <f t="shared" si="1815"/>
        <v>99</v>
      </c>
      <c r="I8017" t="str">
        <f t="shared" si="1820"/>
        <v>0</v>
      </c>
      <c r="J8017" t="str">
        <f>"81"</f>
        <v>81</v>
      </c>
      <c r="K8017">
        <v>20190823</v>
      </c>
      <c r="L8017" t="str">
        <f>"077798"</f>
        <v>077798</v>
      </c>
      <c r="M8017" t="str">
        <f>"00518"</f>
        <v>00518</v>
      </c>
      <c r="N8017" t="s">
        <v>1742</v>
      </c>
      <c r="O8017">
        <v>405</v>
      </c>
      <c r="P8017">
        <v>20190821</v>
      </c>
      <c r="Q8017" t="s">
        <v>1744</v>
      </c>
      <c r="R8017" t="s">
        <v>6302</v>
      </c>
      <c r="S8017" t="s">
        <v>1615</v>
      </c>
      <c r="T8017" t="s">
        <v>46</v>
      </c>
    </row>
    <row r="8018" spans="1:20" x14ac:dyDescent="0.25">
      <c r="A8018">
        <v>9</v>
      </c>
      <c r="B8018">
        <v>199</v>
      </c>
      <c r="C8018" t="str">
        <f>"11"</f>
        <v>11</v>
      </c>
      <c r="D8018">
        <v>6411</v>
      </c>
      <c r="E8018" t="str">
        <f>"LK"</f>
        <v>LK</v>
      </c>
      <c r="F8018" t="str">
        <f>"041"</f>
        <v>041</v>
      </c>
      <c r="G8018">
        <v>9</v>
      </c>
      <c r="H8018" t="str">
        <f>"11"</f>
        <v>11</v>
      </c>
      <c r="I8018" t="str">
        <f t="shared" si="1820"/>
        <v>0</v>
      </c>
      <c r="J8018" t="str">
        <f>"03"</f>
        <v>03</v>
      </c>
      <c r="K8018">
        <v>20190823</v>
      </c>
      <c r="L8018" t="str">
        <f>"077799"</f>
        <v>077799</v>
      </c>
      <c r="M8018" t="str">
        <f>"00054"</f>
        <v>00054</v>
      </c>
      <c r="N8018" t="s">
        <v>1746</v>
      </c>
      <c r="O8018">
        <v>25.76</v>
      </c>
      <c r="P8018">
        <v>20190821</v>
      </c>
      <c r="Q8018" t="s">
        <v>3042</v>
      </c>
      <c r="R8018" t="s">
        <v>6239</v>
      </c>
      <c r="S8018" t="s">
        <v>1615</v>
      </c>
      <c r="T8018" t="s">
        <v>106</v>
      </c>
    </row>
    <row r="8019" spans="1:20" x14ac:dyDescent="0.25">
      <c r="A8019">
        <v>9</v>
      </c>
      <c r="B8019">
        <v>199</v>
      </c>
      <c r="C8019" t="str">
        <f>"23"</f>
        <v>23</v>
      </c>
      <c r="D8019">
        <v>6411</v>
      </c>
      <c r="E8019" t="str">
        <f>"10"</f>
        <v>10</v>
      </c>
      <c r="F8019" t="str">
        <f>"001"</f>
        <v>001</v>
      </c>
      <c r="G8019">
        <v>9</v>
      </c>
      <c r="H8019" t="str">
        <f>"99"</f>
        <v>99</v>
      </c>
      <c r="I8019" t="str">
        <f>"1"</f>
        <v>1</v>
      </c>
      <c r="J8019" t="str">
        <f>"01"</f>
        <v>01</v>
      </c>
      <c r="K8019">
        <v>20190823</v>
      </c>
      <c r="L8019" t="str">
        <f>"077800"</f>
        <v>077800</v>
      </c>
      <c r="M8019" t="str">
        <f>"48972"</f>
        <v>48972</v>
      </c>
      <c r="N8019" t="s">
        <v>2388</v>
      </c>
      <c r="O8019">
        <v>29.49</v>
      </c>
      <c r="P8019">
        <v>20190821</v>
      </c>
      <c r="Q8019" t="s">
        <v>2464</v>
      </c>
      <c r="R8019" t="s">
        <v>6303</v>
      </c>
      <c r="S8019" t="s">
        <v>1615</v>
      </c>
      <c r="T8019" t="s">
        <v>301</v>
      </c>
    </row>
    <row r="8020" spans="1:20" x14ac:dyDescent="0.25">
      <c r="A8020">
        <v>9</v>
      </c>
      <c r="B8020">
        <v>199</v>
      </c>
      <c r="C8020" t="str">
        <f>"23"</f>
        <v>23</v>
      </c>
      <c r="D8020">
        <v>6411</v>
      </c>
      <c r="E8020" t="str">
        <f>"10"</f>
        <v>10</v>
      </c>
      <c r="F8020" t="str">
        <f>"001"</f>
        <v>001</v>
      </c>
      <c r="G8020">
        <v>9</v>
      </c>
      <c r="H8020" t="str">
        <f>"99"</f>
        <v>99</v>
      </c>
      <c r="I8020" t="str">
        <f t="shared" ref="I8020:I8053" si="1821">"0"</f>
        <v>0</v>
      </c>
      <c r="J8020" t="str">
        <f>"01"</f>
        <v>01</v>
      </c>
      <c r="K8020">
        <v>20190823</v>
      </c>
      <c r="L8020" t="str">
        <f>"077801"</f>
        <v>077801</v>
      </c>
      <c r="M8020" t="str">
        <f>"49748"</f>
        <v>49748</v>
      </c>
      <c r="N8020" t="s">
        <v>3044</v>
      </c>
      <c r="O8020">
        <v>191.8</v>
      </c>
      <c r="P8020">
        <v>20190821</v>
      </c>
      <c r="Q8020" t="s">
        <v>2389</v>
      </c>
      <c r="R8020" t="s">
        <v>6304</v>
      </c>
      <c r="S8020" t="s">
        <v>1615</v>
      </c>
      <c r="T8020" t="s">
        <v>301</v>
      </c>
    </row>
    <row r="8021" spans="1:20" x14ac:dyDescent="0.25">
      <c r="A8021">
        <v>9</v>
      </c>
      <c r="B8021">
        <v>199</v>
      </c>
      <c r="C8021" t="str">
        <f>"21"</f>
        <v>21</v>
      </c>
      <c r="D8021">
        <v>6216</v>
      </c>
      <c r="E8021" t="str">
        <f>"00"</f>
        <v>00</v>
      </c>
      <c r="F8021" t="str">
        <f>"875"</f>
        <v>875</v>
      </c>
      <c r="G8021">
        <v>9</v>
      </c>
      <c r="H8021" t="str">
        <f>"23"</f>
        <v>23</v>
      </c>
      <c r="I8021" t="str">
        <f t="shared" si="1821"/>
        <v>0</v>
      </c>
      <c r="J8021" t="str">
        <f>"23"</f>
        <v>23</v>
      </c>
      <c r="K8021">
        <v>20190823</v>
      </c>
      <c r="L8021" t="str">
        <f>"077803"</f>
        <v>077803</v>
      </c>
      <c r="M8021" t="str">
        <f>"51475"</f>
        <v>51475</v>
      </c>
      <c r="N8021" t="s">
        <v>3195</v>
      </c>
      <c r="O8021" s="1">
        <v>2430.9699999999998</v>
      </c>
      <c r="P8021">
        <v>20190821</v>
      </c>
      <c r="Q8021" t="s">
        <v>3196</v>
      </c>
      <c r="R8021" t="s">
        <v>6305</v>
      </c>
      <c r="S8021" t="s">
        <v>1615</v>
      </c>
      <c r="T8021" t="s">
        <v>2041</v>
      </c>
    </row>
    <row r="8022" spans="1:20" x14ac:dyDescent="0.25">
      <c r="A8022">
        <v>9</v>
      </c>
      <c r="B8022">
        <v>199</v>
      </c>
      <c r="C8022" t="str">
        <f>"51"</f>
        <v>51</v>
      </c>
      <c r="D8022">
        <v>6249</v>
      </c>
      <c r="E8022" t="str">
        <f>"M8"</f>
        <v>M8</v>
      </c>
      <c r="F8022" t="str">
        <f>"936"</f>
        <v>936</v>
      </c>
      <c r="G8022">
        <v>9</v>
      </c>
      <c r="H8022" t="str">
        <f t="shared" ref="H8022:H8028" si="1822">"99"</f>
        <v>99</v>
      </c>
      <c r="I8022" t="str">
        <f t="shared" si="1821"/>
        <v>0</v>
      </c>
      <c r="J8022" t="str">
        <f>"81"</f>
        <v>81</v>
      </c>
      <c r="K8022">
        <v>20190823</v>
      </c>
      <c r="L8022" t="str">
        <f>"077804"</f>
        <v>077804</v>
      </c>
      <c r="M8022" t="str">
        <f>"52185"</f>
        <v>52185</v>
      </c>
      <c r="N8022" t="s">
        <v>1748</v>
      </c>
      <c r="O8022">
        <v>490.08</v>
      </c>
      <c r="P8022">
        <v>20190822</v>
      </c>
      <c r="Q8022" t="s">
        <v>2096</v>
      </c>
      <c r="R8022" t="s">
        <v>6306</v>
      </c>
      <c r="S8022" t="s">
        <v>1615</v>
      </c>
      <c r="T8022" t="s">
        <v>1713</v>
      </c>
    </row>
    <row r="8023" spans="1:20" x14ac:dyDescent="0.25">
      <c r="A8023">
        <v>9</v>
      </c>
      <c r="B8023">
        <v>199</v>
      </c>
      <c r="C8023" t="str">
        <f>"51"</f>
        <v>51</v>
      </c>
      <c r="D8023">
        <v>6249</v>
      </c>
      <c r="E8023" t="str">
        <f>"M8"</f>
        <v>M8</v>
      </c>
      <c r="F8023" t="str">
        <f>"936"</f>
        <v>936</v>
      </c>
      <c r="G8023">
        <v>9</v>
      </c>
      <c r="H8023" t="str">
        <f t="shared" si="1822"/>
        <v>99</v>
      </c>
      <c r="I8023" t="str">
        <f t="shared" si="1821"/>
        <v>0</v>
      </c>
      <c r="J8023" t="str">
        <f>"81"</f>
        <v>81</v>
      </c>
      <c r="K8023">
        <v>20190823</v>
      </c>
      <c r="L8023" t="str">
        <f>"077804"</f>
        <v>077804</v>
      </c>
      <c r="M8023" t="str">
        <f>"52185"</f>
        <v>52185</v>
      </c>
      <c r="N8023" t="s">
        <v>1748</v>
      </c>
      <c r="O8023">
        <v>122.52</v>
      </c>
      <c r="P8023">
        <v>20190822</v>
      </c>
      <c r="Q8023" t="s">
        <v>2096</v>
      </c>
      <c r="R8023" t="s">
        <v>6307</v>
      </c>
      <c r="S8023" t="s">
        <v>1615</v>
      </c>
      <c r="T8023" t="s">
        <v>1713</v>
      </c>
    </row>
    <row r="8024" spans="1:20" x14ac:dyDescent="0.25">
      <c r="A8024">
        <v>9</v>
      </c>
      <c r="B8024">
        <v>199</v>
      </c>
      <c r="C8024" t="str">
        <f>"52"</f>
        <v>52</v>
      </c>
      <c r="D8024">
        <v>6219</v>
      </c>
      <c r="E8024" t="str">
        <f>"00"</f>
        <v>00</v>
      </c>
      <c r="F8024" t="str">
        <f>"101"</f>
        <v>101</v>
      </c>
      <c r="G8024">
        <v>9</v>
      </c>
      <c r="H8024" t="str">
        <f t="shared" si="1822"/>
        <v>99</v>
      </c>
      <c r="I8024" t="str">
        <f t="shared" si="1821"/>
        <v>0</v>
      </c>
      <c r="J8024" t="str">
        <f>"00"</f>
        <v>00</v>
      </c>
      <c r="K8024">
        <v>20190823</v>
      </c>
      <c r="L8024" t="str">
        <f>"077805"</f>
        <v>077805</v>
      </c>
      <c r="M8024" t="str">
        <f>"00755"</f>
        <v>00755</v>
      </c>
      <c r="N8024" t="s">
        <v>4268</v>
      </c>
      <c r="O8024">
        <v>300</v>
      </c>
      <c r="P8024">
        <v>20190821</v>
      </c>
      <c r="Q8024" t="s">
        <v>1854</v>
      </c>
      <c r="R8024" t="s">
        <v>6308</v>
      </c>
      <c r="S8024" t="s">
        <v>1615</v>
      </c>
      <c r="T8024" t="s">
        <v>1479</v>
      </c>
    </row>
    <row r="8025" spans="1:20" x14ac:dyDescent="0.25">
      <c r="A8025">
        <v>9</v>
      </c>
      <c r="B8025">
        <v>199</v>
      </c>
      <c r="C8025" t="str">
        <f>"36"</f>
        <v>36</v>
      </c>
      <c r="D8025">
        <v>6399</v>
      </c>
      <c r="E8025" t="str">
        <f>"8S"</f>
        <v>8S</v>
      </c>
      <c r="F8025" t="str">
        <f>"001"</f>
        <v>001</v>
      </c>
      <c r="G8025">
        <v>9</v>
      </c>
      <c r="H8025" t="str">
        <f t="shared" si="1822"/>
        <v>99</v>
      </c>
      <c r="I8025" t="str">
        <f t="shared" si="1821"/>
        <v>0</v>
      </c>
      <c r="J8025" t="str">
        <f>"01"</f>
        <v>01</v>
      </c>
      <c r="K8025">
        <v>20190823</v>
      </c>
      <c r="L8025" t="str">
        <f>"077806"</f>
        <v>077806</v>
      </c>
      <c r="M8025" t="str">
        <f>"54221"</f>
        <v>54221</v>
      </c>
      <c r="N8025" t="s">
        <v>2659</v>
      </c>
      <c r="O8025">
        <v>128.84</v>
      </c>
      <c r="P8025">
        <v>20190821</v>
      </c>
      <c r="Q8025" t="s">
        <v>1780</v>
      </c>
      <c r="R8025" t="s">
        <v>6309</v>
      </c>
      <c r="S8025" t="s">
        <v>1615</v>
      </c>
      <c r="T8025" t="s">
        <v>301</v>
      </c>
    </row>
    <row r="8026" spans="1:20" x14ac:dyDescent="0.25">
      <c r="A8026">
        <v>9</v>
      </c>
      <c r="B8026">
        <v>199</v>
      </c>
      <c r="C8026" t="str">
        <f>"41"</f>
        <v>41</v>
      </c>
      <c r="D8026">
        <v>6213</v>
      </c>
      <c r="E8026" t="str">
        <f>"11"</f>
        <v>11</v>
      </c>
      <c r="F8026" t="str">
        <f>"703"</f>
        <v>703</v>
      </c>
      <c r="G8026">
        <v>9</v>
      </c>
      <c r="H8026" t="str">
        <f t="shared" si="1822"/>
        <v>99</v>
      </c>
      <c r="I8026" t="str">
        <f t="shared" si="1821"/>
        <v>0</v>
      </c>
      <c r="J8026" t="str">
        <f>"91"</f>
        <v>91</v>
      </c>
      <c r="K8026">
        <v>20190823</v>
      </c>
      <c r="L8026" t="str">
        <f>"077807"</f>
        <v>077807</v>
      </c>
      <c r="M8026" t="str">
        <f>"61166"</f>
        <v>61166</v>
      </c>
      <c r="N8026" t="s">
        <v>2892</v>
      </c>
      <c r="O8026">
        <v>741.59</v>
      </c>
      <c r="P8026">
        <v>20190821</v>
      </c>
      <c r="Q8026" t="s">
        <v>2893</v>
      </c>
      <c r="R8026" t="s">
        <v>2894</v>
      </c>
      <c r="S8026" t="s">
        <v>1615</v>
      </c>
      <c r="T8026" t="s">
        <v>1761</v>
      </c>
    </row>
    <row r="8027" spans="1:20" x14ac:dyDescent="0.25">
      <c r="A8027">
        <v>9</v>
      </c>
      <c r="B8027">
        <v>199</v>
      </c>
      <c r="C8027" t="str">
        <f>"53"</f>
        <v>53</v>
      </c>
      <c r="D8027">
        <v>6411</v>
      </c>
      <c r="E8027" t="str">
        <f>"10"</f>
        <v>10</v>
      </c>
      <c r="F8027" t="str">
        <f>"880"</f>
        <v>880</v>
      </c>
      <c r="G8027">
        <v>9</v>
      </c>
      <c r="H8027" t="str">
        <f t="shared" si="1822"/>
        <v>99</v>
      </c>
      <c r="I8027" t="str">
        <f t="shared" si="1821"/>
        <v>0</v>
      </c>
      <c r="J8027" t="str">
        <f>"80"</f>
        <v>80</v>
      </c>
      <c r="K8027">
        <v>20190823</v>
      </c>
      <c r="L8027" t="str">
        <f>"077808"</f>
        <v>077808</v>
      </c>
      <c r="M8027" t="str">
        <f>"56570"</f>
        <v>56570</v>
      </c>
      <c r="N8027" t="s">
        <v>4542</v>
      </c>
      <c r="O8027">
        <v>41.6</v>
      </c>
      <c r="P8027">
        <v>20190821</v>
      </c>
      <c r="Q8027" t="s">
        <v>1901</v>
      </c>
      <c r="R8027" t="s">
        <v>6310</v>
      </c>
      <c r="S8027" t="s">
        <v>1615</v>
      </c>
      <c r="T8027" t="s">
        <v>1866</v>
      </c>
    </row>
    <row r="8028" spans="1:20" x14ac:dyDescent="0.25">
      <c r="A8028">
        <v>9</v>
      </c>
      <c r="B8028">
        <v>199</v>
      </c>
      <c r="C8028" t="str">
        <f>"41"</f>
        <v>41</v>
      </c>
      <c r="D8028">
        <v>6399</v>
      </c>
      <c r="E8028" t="str">
        <f>"10"</f>
        <v>10</v>
      </c>
      <c r="F8028" t="str">
        <f>"702"</f>
        <v>702</v>
      </c>
      <c r="G8028">
        <v>9</v>
      </c>
      <c r="H8028" t="str">
        <f t="shared" si="1822"/>
        <v>99</v>
      </c>
      <c r="I8028" t="str">
        <f t="shared" si="1821"/>
        <v>0</v>
      </c>
      <c r="J8028" t="str">
        <f>"93"</f>
        <v>93</v>
      </c>
      <c r="K8028">
        <v>20190823</v>
      </c>
      <c r="L8028" t="str">
        <f>"077810"</f>
        <v>077810</v>
      </c>
      <c r="M8028" t="str">
        <f>"58200"</f>
        <v>58200</v>
      </c>
      <c r="N8028" t="s">
        <v>1765</v>
      </c>
      <c r="O8028">
        <v>33.94</v>
      </c>
      <c r="P8028">
        <v>20190821</v>
      </c>
      <c r="Q8028" t="s">
        <v>2195</v>
      </c>
      <c r="R8028" t="s">
        <v>641</v>
      </c>
      <c r="S8028" t="s">
        <v>1615</v>
      </c>
      <c r="T8028" t="s">
        <v>1611</v>
      </c>
    </row>
    <row r="8029" spans="1:20" x14ac:dyDescent="0.25">
      <c r="A8029">
        <v>9</v>
      </c>
      <c r="B8029">
        <v>199</v>
      </c>
      <c r="C8029" t="str">
        <f>"11"</f>
        <v>11</v>
      </c>
      <c r="D8029">
        <v>6399</v>
      </c>
      <c r="E8029" t="str">
        <f>"10"</f>
        <v>10</v>
      </c>
      <c r="F8029" t="str">
        <f>"001"</f>
        <v>001</v>
      </c>
      <c r="G8029">
        <v>9</v>
      </c>
      <c r="H8029" t="str">
        <f>"11"</f>
        <v>11</v>
      </c>
      <c r="I8029" t="str">
        <f t="shared" si="1821"/>
        <v>0</v>
      </c>
      <c r="J8029" t="str">
        <f>"01"</f>
        <v>01</v>
      </c>
      <c r="K8029">
        <v>20190823</v>
      </c>
      <c r="L8029" t="str">
        <f>"077812"</f>
        <v>077812</v>
      </c>
      <c r="M8029" t="str">
        <f>"58204"</f>
        <v>58204</v>
      </c>
      <c r="N8029" t="s">
        <v>1767</v>
      </c>
      <c r="O8029">
        <v>34.99</v>
      </c>
      <c r="P8029">
        <v>20190822</v>
      </c>
      <c r="Q8029" t="s">
        <v>1675</v>
      </c>
      <c r="R8029" t="s">
        <v>6311</v>
      </c>
      <c r="S8029" t="s">
        <v>1615</v>
      </c>
      <c r="T8029" t="s">
        <v>301</v>
      </c>
    </row>
    <row r="8030" spans="1:20" x14ac:dyDescent="0.25">
      <c r="A8030">
        <v>9</v>
      </c>
      <c r="B8030">
        <v>199</v>
      </c>
      <c r="C8030" t="str">
        <f>"23"</f>
        <v>23</v>
      </c>
      <c r="D8030">
        <v>6411</v>
      </c>
      <c r="E8030" t="str">
        <f>"10"</f>
        <v>10</v>
      </c>
      <c r="F8030" t="str">
        <f>"001"</f>
        <v>001</v>
      </c>
      <c r="G8030">
        <v>9</v>
      </c>
      <c r="H8030" t="str">
        <f>"99"</f>
        <v>99</v>
      </c>
      <c r="I8030" t="str">
        <f t="shared" si="1821"/>
        <v>0</v>
      </c>
      <c r="J8030" t="str">
        <f>"01"</f>
        <v>01</v>
      </c>
      <c r="K8030">
        <v>20190823</v>
      </c>
      <c r="L8030" t="str">
        <f>"077813"</f>
        <v>077813</v>
      </c>
      <c r="M8030" t="str">
        <f>"59018"</f>
        <v>59018</v>
      </c>
      <c r="N8030" t="s">
        <v>2526</v>
      </c>
      <c r="O8030">
        <v>30.75</v>
      </c>
      <c r="P8030">
        <v>20190821</v>
      </c>
      <c r="Q8030" t="s">
        <v>2389</v>
      </c>
      <c r="R8030" t="s">
        <v>6312</v>
      </c>
      <c r="S8030" t="s">
        <v>1615</v>
      </c>
      <c r="T8030" t="s">
        <v>301</v>
      </c>
    </row>
    <row r="8031" spans="1:20" x14ac:dyDescent="0.25">
      <c r="A8031">
        <v>9</v>
      </c>
      <c r="B8031">
        <v>199</v>
      </c>
      <c r="C8031" t="str">
        <f>"41"</f>
        <v>41</v>
      </c>
      <c r="D8031">
        <v>6491</v>
      </c>
      <c r="E8031" t="str">
        <f>"10"</f>
        <v>10</v>
      </c>
      <c r="F8031" t="str">
        <f>"726"</f>
        <v>726</v>
      </c>
      <c r="G8031">
        <v>9</v>
      </c>
      <c r="H8031" t="str">
        <f>"99"</f>
        <v>99</v>
      </c>
      <c r="I8031" t="str">
        <f t="shared" si="1821"/>
        <v>0</v>
      </c>
      <c r="J8031" t="str">
        <f>"91"</f>
        <v>91</v>
      </c>
      <c r="K8031">
        <v>20190823</v>
      </c>
      <c r="L8031" t="str">
        <f>"077815"</f>
        <v>077815</v>
      </c>
      <c r="M8031" t="str">
        <f>"00355"</f>
        <v>00355</v>
      </c>
      <c r="N8031" t="s">
        <v>2304</v>
      </c>
      <c r="O8031">
        <v>360</v>
      </c>
      <c r="P8031">
        <v>20190822</v>
      </c>
      <c r="Q8031" t="s">
        <v>2895</v>
      </c>
      <c r="R8031" t="s">
        <v>6313</v>
      </c>
      <c r="S8031" t="s">
        <v>1615</v>
      </c>
      <c r="T8031" t="s">
        <v>2608</v>
      </c>
    </row>
    <row r="8032" spans="1:20" x14ac:dyDescent="0.25">
      <c r="A8032">
        <v>9</v>
      </c>
      <c r="B8032">
        <v>199</v>
      </c>
      <c r="C8032" t="str">
        <f>"11"</f>
        <v>11</v>
      </c>
      <c r="D8032">
        <v>6411</v>
      </c>
      <c r="E8032" t="str">
        <f>"LK"</f>
        <v>LK</v>
      </c>
      <c r="F8032" t="str">
        <f>"002"</f>
        <v>002</v>
      </c>
      <c r="G8032">
        <v>9</v>
      </c>
      <c r="H8032" t="str">
        <f>"11"</f>
        <v>11</v>
      </c>
      <c r="I8032" t="str">
        <f t="shared" si="1821"/>
        <v>0</v>
      </c>
      <c r="J8032" t="str">
        <f>"02"</f>
        <v>02</v>
      </c>
      <c r="K8032">
        <v>20190823</v>
      </c>
      <c r="L8032" t="str">
        <f>"077816"</f>
        <v>077816</v>
      </c>
      <c r="M8032" t="str">
        <f>"62686"</f>
        <v>62686</v>
      </c>
      <c r="N8032" t="s">
        <v>3233</v>
      </c>
      <c r="O8032">
        <v>50.3</v>
      </c>
      <c r="P8032">
        <v>20190822</v>
      </c>
      <c r="Q8032" t="s">
        <v>3234</v>
      </c>
      <c r="R8032" t="s">
        <v>6314</v>
      </c>
      <c r="S8032" t="s">
        <v>1615</v>
      </c>
      <c r="T8032" t="s">
        <v>1485</v>
      </c>
    </row>
    <row r="8033" spans="1:20" x14ac:dyDescent="0.25">
      <c r="A8033">
        <v>9</v>
      </c>
      <c r="B8033">
        <v>199</v>
      </c>
      <c r="C8033" t="str">
        <f>"13"</f>
        <v>13</v>
      </c>
      <c r="D8033">
        <v>6411</v>
      </c>
      <c r="E8033" t="str">
        <f>"7E"</f>
        <v>7E</v>
      </c>
      <c r="F8033" t="str">
        <f>"001"</f>
        <v>001</v>
      </c>
      <c r="G8033">
        <v>9</v>
      </c>
      <c r="H8033" t="str">
        <f>"11"</f>
        <v>11</v>
      </c>
      <c r="I8033" t="str">
        <f t="shared" si="1821"/>
        <v>0</v>
      </c>
      <c r="J8033" t="str">
        <f>"31"</f>
        <v>31</v>
      </c>
      <c r="K8033">
        <v>20190823</v>
      </c>
      <c r="L8033" t="str">
        <f>"077817"</f>
        <v>077817</v>
      </c>
      <c r="M8033" t="str">
        <f>"63053"</f>
        <v>63053</v>
      </c>
      <c r="N8033" t="s">
        <v>2309</v>
      </c>
      <c r="O8033">
        <v>225.82</v>
      </c>
      <c r="P8033">
        <v>20190822</v>
      </c>
      <c r="Q8033" t="s">
        <v>5521</v>
      </c>
      <c r="R8033" t="s">
        <v>5522</v>
      </c>
      <c r="S8033" t="s">
        <v>1615</v>
      </c>
      <c r="T8033" t="s">
        <v>301</v>
      </c>
    </row>
    <row r="8034" spans="1:20" x14ac:dyDescent="0.25">
      <c r="A8034">
        <v>9</v>
      </c>
      <c r="B8034">
        <v>199</v>
      </c>
      <c r="C8034" t="str">
        <f>"51"</f>
        <v>51</v>
      </c>
      <c r="D8034">
        <v>6319</v>
      </c>
      <c r="E8034" t="str">
        <f>"M2"</f>
        <v>M2</v>
      </c>
      <c r="F8034" t="str">
        <f>"936"</f>
        <v>936</v>
      </c>
      <c r="G8034">
        <v>9</v>
      </c>
      <c r="H8034" t="str">
        <f>"99"</f>
        <v>99</v>
      </c>
      <c r="I8034" t="str">
        <f t="shared" si="1821"/>
        <v>0</v>
      </c>
      <c r="J8034" t="str">
        <f>"81"</f>
        <v>81</v>
      </c>
      <c r="K8034">
        <v>20190823</v>
      </c>
      <c r="L8034" t="str">
        <f>"077818"</f>
        <v>077818</v>
      </c>
      <c r="M8034" t="str">
        <f>"63608"</f>
        <v>63608</v>
      </c>
      <c r="N8034" t="s">
        <v>2122</v>
      </c>
      <c r="O8034">
        <v>130.08000000000001</v>
      </c>
      <c r="P8034">
        <v>20190822</v>
      </c>
      <c r="Q8034" t="s">
        <v>2074</v>
      </c>
      <c r="R8034" t="s">
        <v>6315</v>
      </c>
      <c r="S8034" t="s">
        <v>1615</v>
      </c>
      <c r="T8034" t="s">
        <v>1713</v>
      </c>
    </row>
    <row r="8035" spans="1:20" x14ac:dyDescent="0.25">
      <c r="A8035">
        <v>9</v>
      </c>
      <c r="B8035">
        <v>199</v>
      </c>
      <c r="C8035" t="str">
        <f>"23"</f>
        <v>23</v>
      </c>
      <c r="D8035">
        <v>6498</v>
      </c>
      <c r="E8035" t="str">
        <f>"10"</f>
        <v>10</v>
      </c>
      <c r="F8035" t="str">
        <f>"001"</f>
        <v>001</v>
      </c>
      <c r="G8035">
        <v>9</v>
      </c>
      <c r="H8035" t="str">
        <f>"99"</f>
        <v>99</v>
      </c>
      <c r="I8035" t="str">
        <f t="shared" si="1821"/>
        <v>0</v>
      </c>
      <c r="J8035" t="str">
        <f>"01"</f>
        <v>01</v>
      </c>
      <c r="K8035">
        <v>20190823</v>
      </c>
      <c r="L8035" t="str">
        <f>"077819"</f>
        <v>077819</v>
      </c>
      <c r="M8035" t="str">
        <f>"64610"</f>
        <v>64610</v>
      </c>
      <c r="N8035" t="s">
        <v>1062</v>
      </c>
      <c r="O8035">
        <v>970</v>
      </c>
      <c r="P8035">
        <v>20190822</v>
      </c>
      <c r="Q8035" t="s">
        <v>2108</v>
      </c>
      <c r="R8035" t="s">
        <v>6291</v>
      </c>
      <c r="S8035" t="s">
        <v>1615</v>
      </c>
      <c r="T8035" t="s">
        <v>301</v>
      </c>
    </row>
    <row r="8036" spans="1:20" x14ac:dyDescent="0.25">
      <c r="A8036">
        <v>9</v>
      </c>
      <c r="B8036">
        <v>199</v>
      </c>
      <c r="C8036" t="str">
        <f>"23"</f>
        <v>23</v>
      </c>
      <c r="D8036">
        <v>6411</v>
      </c>
      <c r="E8036" t="str">
        <f>"10"</f>
        <v>10</v>
      </c>
      <c r="F8036" t="str">
        <f>"041"</f>
        <v>041</v>
      </c>
      <c r="G8036">
        <v>9</v>
      </c>
      <c r="H8036" t="str">
        <f>"99"</f>
        <v>99</v>
      </c>
      <c r="I8036" t="str">
        <f t="shared" si="1821"/>
        <v>0</v>
      </c>
      <c r="J8036" t="str">
        <f>"03"</f>
        <v>03</v>
      </c>
      <c r="K8036">
        <v>20190823</v>
      </c>
      <c r="L8036" t="str">
        <f>"077820"</f>
        <v>077820</v>
      </c>
      <c r="M8036" t="str">
        <f>"65235"</f>
        <v>65235</v>
      </c>
      <c r="N8036" t="s">
        <v>3250</v>
      </c>
      <c r="O8036">
        <v>57.5</v>
      </c>
      <c r="P8036">
        <v>20190822</v>
      </c>
      <c r="Q8036" t="s">
        <v>3251</v>
      </c>
      <c r="R8036" t="s">
        <v>6316</v>
      </c>
      <c r="S8036" t="s">
        <v>1615</v>
      </c>
      <c r="T8036" t="s">
        <v>106</v>
      </c>
    </row>
    <row r="8037" spans="1:20" x14ac:dyDescent="0.25">
      <c r="A8037">
        <v>9</v>
      </c>
      <c r="B8037">
        <v>199</v>
      </c>
      <c r="C8037" t="str">
        <f>"51"</f>
        <v>51</v>
      </c>
      <c r="D8037">
        <v>6249</v>
      </c>
      <c r="E8037" t="str">
        <f>"MC"</f>
        <v>MC</v>
      </c>
      <c r="F8037" t="str">
        <f>"002"</f>
        <v>002</v>
      </c>
      <c r="G8037">
        <v>9</v>
      </c>
      <c r="H8037" t="str">
        <f>"99"</f>
        <v>99</v>
      </c>
      <c r="I8037" t="str">
        <f t="shared" si="1821"/>
        <v>0</v>
      </c>
      <c r="J8037" t="str">
        <f>"81"</f>
        <v>81</v>
      </c>
      <c r="K8037">
        <v>20190823</v>
      </c>
      <c r="L8037" t="str">
        <f>"077821"</f>
        <v>077821</v>
      </c>
      <c r="M8037" t="str">
        <f>"00266"</f>
        <v>00266</v>
      </c>
      <c r="N8037" t="s">
        <v>5987</v>
      </c>
      <c r="O8037">
        <v>535</v>
      </c>
      <c r="P8037">
        <v>20190822</v>
      </c>
      <c r="Q8037" t="s">
        <v>5710</v>
      </c>
      <c r="R8037" t="s">
        <v>6317</v>
      </c>
      <c r="S8037" t="s">
        <v>1615</v>
      </c>
      <c r="T8037" t="s">
        <v>1485</v>
      </c>
    </row>
    <row r="8038" spans="1:20" x14ac:dyDescent="0.25">
      <c r="A8038">
        <v>9</v>
      </c>
      <c r="B8038">
        <v>199</v>
      </c>
      <c r="C8038" t="str">
        <f>"11"</f>
        <v>11</v>
      </c>
      <c r="D8038">
        <v>6399</v>
      </c>
      <c r="E8038" t="str">
        <f>"V8"</f>
        <v>V8</v>
      </c>
      <c r="F8038" t="str">
        <f>"001"</f>
        <v>001</v>
      </c>
      <c r="G8038">
        <v>9</v>
      </c>
      <c r="H8038" t="str">
        <f>"22"</f>
        <v>22</v>
      </c>
      <c r="I8038" t="str">
        <f t="shared" si="1821"/>
        <v>0</v>
      </c>
      <c r="J8038" t="str">
        <f>"22"</f>
        <v>22</v>
      </c>
      <c r="K8038">
        <v>20190823</v>
      </c>
      <c r="L8038" t="str">
        <f>"077822"</f>
        <v>077822</v>
      </c>
      <c r="M8038" t="str">
        <f>"71250"</f>
        <v>71250</v>
      </c>
      <c r="N8038" t="s">
        <v>1389</v>
      </c>
      <c r="O8038">
        <v>231.23</v>
      </c>
      <c r="P8038">
        <v>20190822</v>
      </c>
      <c r="Q8038" t="s">
        <v>2001</v>
      </c>
      <c r="R8038" t="s">
        <v>2646</v>
      </c>
      <c r="S8038" t="s">
        <v>1615</v>
      </c>
      <c r="T8038" t="s">
        <v>301</v>
      </c>
    </row>
    <row r="8039" spans="1:20" x14ac:dyDescent="0.25">
      <c r="A8039">
        <v>9</v>
      </c>
      <c r="B8039">
        <v>199</v>
      </c>
      <c r="C8039" t="str">
        <f>"34"</f>
        <v>34</v>
      </c>
      <c r="D8039">
        <v>6249</v>
      </c>
      <c r="E8039" t="str">
        <f t="shared" ref="E8039:E8046" si="1823">"10"</f>
        <v>10</v>
      </c>
      <c r="F8039" t="str">
        <f>"937"</f>
        <v>937</v>
      </c>
      <c r="G8039">
        <v>9</v>
      </c>
      <c r="H8039" t="str">
        <f>"99"</f>
        <v>99</v>
      </c>
      <c r="I8039" t="str">
        <f t="shared" si="1821"/>
        <v>0</v>
      </c>
      <c r="J8039" t="str">
        <f>"82"</f>
        <v>82</v>
      </c>
      <c r="K8039">
        <v>20190823</v>
      </c>
      <c r="L8039" t="str">
        <f>"077823"</f>
        <v>077823</v>
      </c>
      <c r="M8039" t="str">
        <f>"71225"</f>
        <v>71225</v>
      </c>
      <c r="N8039" t="s">
        <v>1803</v>
      </c>
      <c r="O8039">
        <v>220</v>
      </c>
      <c r="P8039">
        <v>20190822</v>
      </c>
      <c r="Q8039" t="s">
        <v>2036</v>
      </c>
      <c r="R8039" t="s">
        <v>6318</v>
      </c>
      <c r="S8039" t="s">
        <v>1615</v>
      </c>
      <c r="T8039" t="s">
        <v>1810</v>
      </c>
    </row>
    <row r="8040" spans="1:20" x14ac:dyDescent="0.25">
      <c r="A8040">
        <v>9</v>
      </c>
      <c r="B8040">
        <v>199</v>
      </c>
      <c r="C8040" t="str">
        <f>"34"</f>
        <v>34</v>
      </c>
      <c r="D8040">
        <v>6249</v>
      </c>
      <c r="E8040" t="str">
        <f t="shared" si="1823"/>
        <v>10</v>
      </c>
      <c r="F8040" t="str">
        <f>"937"</f>
        <v>937</v>
      </c>
      <c r="G8040">
        <v>9</v>
      </c>
      <c r="H8040" t="str">
        <f>"99"</f>
        <v>99</v>
      </c>
      <c r="I8040" t="str">
        <f t="shared" si="1821"/>
        <v>0</v>
      </c>
      <c r="J8040" t="str">
        <f>"82"</f>
        <v>82</v>
      </c>
      <c r="K8040">
        <v>20190823</v>
      </c>
      <c r="L8040" t="str">
        <f>"077823"</f>
        <v>077823</v>
      </c>
      <c r="M8040" t="str">
        <f>"71225"</f>
        <v>71225</v>
      </c>
      <c r="N8040" t="s">
        <v>1803</v>
      </c>
      <c r="O8040">
        <v>294.99</v>
      </c>
      <c r="P8040">
        <v>20190822</v>
      </c>
      <c r="Q8040" t="s">
        <v>2036</v>
      </c>
      <c r="R8040" t="s">
        <v>6319</v>
      </c>
      <c r="S8040" t="s">
        <v>1615</v>
      </c>
      <c r="T8040" t="s">
        <v>1810</v>
      </c>
    </row>
    <row r="8041" spans="1:20" x14ac:dyDescent="0.25">
      <c r="A8041">
        <v>9</v>
      </c>
      <c r="B8041">
        <v>199</v>
      </c>
      <c r="C8041" t="str">
        <f>"34"</f>
        <v>34</v>
      </c>
      <c r="D8041">
        <v>6249</v>
      </c>
      <c r="E8041" t="str">
        <f t="shared" si="1823"/>
        <v>10</v>
      </c>
      <c r="F8041" t="str">
        <f>"937"</f>
        <v>937</v>
      </c>
      <c r="G8041">
        <v>9</v>
      </c>
      <c r="H8041" t="str">
        <f>"99"</f>
        <v>99</v>
      </c>
      <c r="I8041" t="str">
        <f t="shared" si="1821"/>
        <v>0</v>
      </c>
      <c r="J8041" t="str">
        <f>"82"</f>
        <v>82</v>
      </c>
      <c r="K8041">
        <v>20190823</v>
      </c>
      <c r="L8041" t="str">
        <f>"077823"</f>
        <v>077823</v>
      </c>
      <c r="M8041" t="str">
        <f>"71225"</f>
        <v>71225</v>
      </c>
      <c r="N8041" t="s">
        <v>1803</v>
      </c>
      <c r="O8041" s="1">
        <v>2030</v>
      </c>
      <c r="P8041">
        <v>20190822</v>
      </c>
      <c r="Q8041" t="s">
        <v>2036</v>
      </c>
      <c r="R8041" t="s">
        <v>6320</v>
      </c>
      <c r="S8041" t="s">
        <v>1615</v>
      </c>
      <c r="T8041" t="s">
        <v>1810</v>
      </c>
    </row>
    <row r="8042" spans="1:20" x14ac:dyDescent="0.25">
      <c r="A8042">
        <v>9</v>
      </c>
      <c r="B8042">
        <v>199</v>
      </c>
      <c r="C8042" t="str">
        <f>"34"</f>
        <v>34</v>
      </c>
      <c r="D8042">
        <v>6249</v>
      </c>
      <c r="E8042" t="str">
        <f t="shared" si="1823"/>
        <v>10</v>
      </c>
      <c r="F8042" t="str">
        <f>"937"</f>
        <v>937</v>
      </c>
      <c r="G8042">
        <v>9</v>
      </c>
      <c r="H8042" t="str">
        <f>"99"</f>
        <v>99</v>
      </c>
      <c r="I8042" t="str">
        <f t="shared" si="1821"/>
        <v>0</v>
      </c>
      <c r="J8042" t="str">
        <f>"82"</f>
        <v>82</v>
      </c>
      <c r="K8042">
        <v>20190823</v>
      </c>
      <c r="L8042" t="str">
        <f>"077823"</f>
        <v>077823</v>
      </c>
      <c r="M8042" t="str">
        <f>"71225"</f>
        <v>71225</v>
      </c>
      <c r="N8042" t="s">
        <v>1803</v>
      </c>
      <c r="O8042">
        <v>50</v>
      </c>
      <c r="P8042">
        <v>20190822</v>
      </c>
      <c r="Q8042" t="s">
        <v>2036</v>
      </c>
      <c r="R8042" t="s">
        <v>6321</v>
      </c>
      <c r="S8042" t="s">
        <v>1615</v>
      </c>
      <c r="T8042" t="s">
        <v>1810</v>
      </c>
    </row>
    <row r="8043" spans="1:20" x14ac:dyDescent="0.25">
      <c r="A8043">
        <v>9</v>
      </c>
      <c r="B8043">
        <v>199</v>
      </c>
      <c r="C8043" t="str">
        <f>"11"</f>
        <v>11</v>
      </c>
      <c r="D8043">
        <v>6395</v>
      </c>
      <c r="E8043" t="str">
        <f t="shared" si="1823"/>
        <v>10</v>
      </c>
      <c r="F8043" t="str">
        <f>"001"</f>
        <v>001</v>
      </c>
      <c r="G8043">
        <v>9</v>
      </c>
      <c r="H8043" t="str">
        <f>"11"</f>
        <v>11</v>
      </c>
      <c r="I8043" t="str">
        <f t="shared" si="1821"/>
        <v>0</v>
      </c>
      <c r="J8043" t="str">
        <f>"01"</f>
        <v>01</v>
      </c>
      <c r="K8043">
        <v>20190823</v>
      </c>
      <c r="L8043" t="str">
        <f t="shared" ref="L8043:L8049" si="1824">"077824"</f>
        <v>077824</v>
      </c>
      <c r="M8043" t="str">
        <f t="shared" ref="M8043:M8049" si="1825">"81303"</f>
        <v>81303</v>
      </c>
      <c r="N8043" t="s">
        <v>66</v>
      </c>
      <c r="O8043">
        <v>30</v>
      </c>
      <c r="P8043">
        <v>20190821</v>
      </c>
      <c r="Q8043" t="s">
        <v>1929</v>
      </c>
      <c r="R8043" t="s">
        <v>4301</v>
      </c>
      <c r="S8043" t="s">
        <v>1615</v>
      </c>
      <c r="T8043" t="s">
        <v>301</v>
      </c>
    </row>
    <row r="8044" spans="1:20" x14ac:dyDescent="0.25">
      <c r="A8044">
        <v>9</v>
      </c>
      <c r="B8044">
        <v>199</v>
      </c>
      <c r="C8044" t="str">
        <f>"11"</f>
        <v>11</v>
      </c>
      <c r="D8044">
        <v>6395</v>
      </c>
      <c r="E8044" t="str">
        <f t="shared" si="1823"/>
        <v>10</v>
      </c>
      <c r="F8044" t="str">
        <f>"001"</f>
        <v>001</v>
      </c>
      <c r="G8044">
        <v>9</v>
      </c>
      <c r="H8044" t="str">
        <f>"11"</f>
        <v>11</v>
      </c>
      <c r="I8044" t="str">
        <f t="shared" si="1821"/>
        <v>0</v>
      </c>
      <c r="J8044" t="str">
        <f>"01"</f>
        <v>01</v>
      </c>
      <c r="K8044">
        <v>20190823</v>
      </c>
      <c r="L8044" t="str">
        <f t="shared" si="1824"/>
        <v>077824</v>
      </c>
      <c r="M8044" t="str">
        <f t="shared" si="1825"/>
        <v>81303</v>
      </c>
      <c r="N8044" t="s">
        <v>66</v>
      </c>
      <c r="O8044">
        <v>32.5</v>
      </c>
      <c r="P8044">
        <v>20190821</v>
      </c>
      <c r="Q8044" t="s">
        <v>1929</v>
      </c>
      <c r="R8044" t="s">
        <v>6322</v>
      </c>
      <c r="S8044" t="s">
        <v>1615</v>
      </c>
      <c r="T8044" t="s">
        <v>301</v>
      </c>
    </row>
    <row r="8045" spans="1:20" x14ac:dyDescent="0.25">
      <c r="A8045">
        <v>9</v>
      </c>
      <c r="B8045">
        <v>199</v>
      </c>
      <c r="C8045" t="str">
        <f>"11"</f>
        <v>11</v>
      </c>
      <c r="D8045">
        <v>6395</v>
      </c>
      <c r="E8045" t="str">
        <f t="shared" si="1823"/>
        <v>10</v>
      </c>
      <c r="F8045" t="str">
        <f>"001"</f>
        <v>001</v>
      </c>
      <c r="G8045">
        <v>9</v>
      </c>
      <c r="H8045" t="str">
        <f>"11"</f>
        <v>11</v>
      </c>
      <c r="I8045" t="str">
        <f t="shared" si="1821"/>
        <v>0</v>
      </c>
      <c r="J8045" t="str">
        <f>"01"</f>
        <v>01</v>
      </c>
      <c r="K8045">
        <v>20190823</v>
      </c>
      <c r="L8045" t="str">
        <f t="shared" si="1824"/>
        <v>077824</v>
      </c>
      <c r="M8045" t="str">
        <f t="shared" si="1825"/>
        <v>81303</v>
      </c>
      <c r="N8045" t="s">
        <v>66</v>
      </c>
      <c r="O8045">
        <v>46.24</v>
      </c>
      <c r="P8045">
        <v>20190821</v>
      </c>
      <c r="Q8045" t="s">
        <v>1929</v>
      </c>
      <c r="R8045" t="s">
        <v>6323</v>
      </c>
      <c r="S8045" t="s">
        <v>1615</v>
      </c>
      <c r="T8045" t="s">
        <v>301</v>
      </c>
    </row>
    <row r="8046" spans="1:20" x14ac:dyDescent="0.25">
      <c r="A8046">
        <v>9</v>
      </c>
      <c r="B8046">
        <v>199</v>
      </c>
      <c r="C8046" t="str">
        <f>"11"</f>
        <v>11</v>
      </c>
      <c r="D8046">
        <v>6395</v>
      </c>
      <c r="E8046" t="str">
        <f t="shared" si="1823"/>
        <v>10</v>
      </c>
      <c r="F8046" t="str">
        <f>"041"</f>
        <v>041</v>
      </c>
      <c r="G8046">
        <v>9</v>
      </c>
      <c r="H8046" t="str">
        <f>"11"</f>
        <v>11</v>
      </c>
      <c r="I8046" t="str">
        <f t="shared" si="1821"/>
        <v>0</v>
      </c>
      <c r="J8046" t="str">
        <f>"03"</f>
        <v>03</v>
      </c>
      <c r="K8046">
        <v>20190823</v>
      </c>
      <c r="L8046" t="str">
        <f t="shared" si="1824"/>
        <v>077824</v>
      </c>
      <c r="M8046" t="str">
        <f t="shared" si="1825"/>
        <v>81303</v>
      </c>
      <c r="N8046" t="s">
        <v>66</v>
      </c>
      <c r="O8046">
        <v>179.96</v>
      </c>
      <c r="P8046">
        <v>20190821</v>
      </c>
      <c r="Q8046" t="s">
        <v>2927</v>
      </c>
      <c r="R8046" t="s">
        <v>6324</v>
      </c>
      <c r="S8046" t="s">
        <v>1615</v>
      </c>
      <c r="T8046" t="s">
        <v>106</v>
      </c>
    </row>
    <row r="8047" spans="1:20" x14ac:dyDescent="0.25">
      <c r="A8047">
        <v>9</v>
      </c>
      <c r="B8047">
        <v>199</v>
      </c>
      <c r="C8047" t="str">
        <f>"21"</f>
        <v>21</v>
      </c>
      <c r="D8047">
        <v>6394</v>
      </c>
      <c r="E8047" t="str">
        <f>"00"</f>
        <v>00</v>
      </c>
      <c r="F8047" t="str">
        <f>"875"</f>
        <v>875</v>
      </c>
      <c r="G8047">
        <v>9</v>
      </c>
      <c r="H8047" t="str">
        <f>"23"</f>
        <v>23</v>
      </c>
      <c r="I8047" t="str">
        <f t="shared" si="1821"/>
        <v>0</v>
      </c>
      <c r="J8047" t="str">
        <f>"23"</f>
        <v>23</v>
      </c>
      <c r="K8047">
        <v>20190823</v>
      </c>
      <c r="L8047" t="str">
        <f t="shared" si="1824"/>
        <v>077824</v>
      </c>
      <c r="M8047" t="str">
        <f t="shared" si="1825"/>
        <v>81303</v>
      </c>
      <c r="N8047" t="s">
        <v>66</v>
      </c>
      <c r="O8047">
        <v>25</v>
      </c>
      <c r="P8047">
        <v>20190821</v>
      </c>
      <c r="Q8047" t="s">
        <v>2933</v>
      </c>
      <c r="R8047" t="s">
        <v>2145</v>
      </c>
      <c r="S8047" t="s">
        <v>1615</v>
      </c>
      <c r="T8047" t="s">
        <v>2041</v>
      </c>
    </row>
    <row r="8048" spans="1:20" x14ac:dyDescent="0.25">
      <c r="A8048">
        <v>9</v>
      </c>
      <c r="B8048">
        <v>199</v>
      </c>
      <c r="C8048" t="str">
        <f>"23"</f>
        <v>23</v>
      </c>
      <c r="D8048">
        <v>6399</v>
      </c>
      <c r="E8048" t="str">
        <f>"11"</f>
        <v>11</v>
      </c>
      <c r="F8048" t="str">
        <f>"041"</f>
        <v>041</v>
      </c>
      <c r="G8048">
        <v>9</v>
      </c>
      <c r="H8048" t="str">
        <f>"99"</f>
        <v>99</v>
      </c>
      <c r="I8048" t="str">
        <f t="shared" si="1821"/>
        <v>0</v>
      </c>
      <c r="J8048" t="str">
        <f>"03"</f>
        <v>03</v>
      </c>
      <c r="K8048">
        <v>20190823</v>
      </c>
      <c r="L8048" t="str">
        <f t="shared" si="1824"/>
        <v>077824</v>
      </c>
      <c r="M8048" t="str">
        <f t="shared" si="1825"/>
        <v>81303</v>
      </c>
      <c r="N8048" t="s">
        <v>66</v>
      </c>
      <c r="O8048">
        <v>25</v>
      </c>
      <c r="P8048">
        <v>20190821</v>
      </c>
      <c r="Q8048" t="s">
        <v>1955</v>
      </c>
      <c r="R8048" t="s">
        <v>2145</v>
      </c>
      <c r="S8048" t="s">
        <v>1615</v>
      </c>
      <c r="T8048" t="s">
        <v>106</v>
      </c>
    </row>
    <row r="8049" spans="1:20" x14ac:dyDescent="0.25">
      <c r="A8049">
        <v>9</v>
      </c>
      <c r="B8049">
        <v>199</v>
      </c>
      <c r="C8049" t="str">
        <f>"41"</f>
        <v>41</v>
      </c>
      <c r="D8049">
        <v>6395</v>
      </c>
      <c r="E8049" t="str">
        <f>"10"</f>
        <v>10</v>
      </c>
      <c r="F8049" t="str">
        <f>"730"</f>
        <v>730</v>
      </c>
      <c r="G8049">
        <v>9</v>
      </c>
      <c r="H8049" t="str">
        <f>"99"</f>
        <v>99</v>
      </c>
      <c r="I8049" t="str">
        <f t="shared" si="1821"/>
        <v>0</v>
      </c>
      <c r="J8049" t="str">
        <f>"95"</f>
        <v>95</v>
      </c>
      <c r="K8049">
        <v>20190823</v>
      </c>
      <c r="L8049" t="str">
        <f t="shared" si="1824"/>
        <v>077824</v>
      </c>
      <c r="M8049" t="str">
        <f t="shared" si="1825"/>
        <v>81303</v>
      </c>
      <c r="N8049" t="s">
        <v>66</v>
      </c>
      <c r="O8049" s="1">
        <v>1212</v>
      </c>
      <c r="P8049">
        <v>20190821</v>
      </c>
      <c r="Q8049" t="s">
        <v>2547</v>
      </c>
      <c r="R8049" t="s">
        <v>5758</v>
      </c>
      <c r="S8049" t="s">
        <v>1615</v>
      </c>
      <c r="T8049" t="s">
        <v>1794</v>
      </c>
    </row>
    <row r="8050" spans="1:20" x14ac:dyDescent="0.25">
      <c r="A8050">
        <v>9</v>
      </c>
      <c r="B8050">
        <v>199</v>
      </c>
      <c r="C8050" t="str">
        <f>"41"</f>
        <v>41</v>
      </c>
      <c r="D8050">
        <v>6411</v>
      </c>
      <c r="E8050" t="str">
        <f>"00"</f>
        <v>00</v>
      </c>
      <c r="F8050" t="str">
        <f>"709"</f>
        <v>709</v>
      </c>
      <c r="G8050">
        <v>9</v>
      </c>
      <c r="H8050" t="str">
        <f>"99"</f>
        <v>99</v>
      </c>
      <c r="I8050" t="str">
        <f t="shared" si="1821"/>
        <v>0</v>
      </c>
      <c r="J8050" t="str">
        <f>"83"</f>
        <v>83</v>
      </c>
      <c r="K8050">
        <v>20190823</v>
      </c>
      <c r="L8050" t="str">
        <f>"077826"</f>
        <v>077826</v>
      </c>
      <c r="M8050" t="str">
        <f>"83410"</f>
        <v>83410</v>
      </c>
      <c r="N8050" t="s">
        <v>6325</v>
      </c>
      <c r="O8050">
        <v>209.84</v>
      </c>
      <c r="P8050">
        <v>20190822</v>
      </c>
      <c r="Q8050" t="s">
        <v>1818</v>
      </c>
      <c r="R8050" t="s">
        <v>6326</v>
      </c>
      <c r="S8050" t="s">
        <v>1615</v>
      </c>
      <c r="T8050" t="s">
        <v>1820</v>
      </c>
    </row>
    <row r="8051" spans="1:20" x14ac:dyDescent="0.25">
      <c r="A8051">
        <v>9</v>
      </c>
      <c r="B8051">
        <v>199</v>
      </c>
      <c r="C8051" t="str">
        <f>"41"</f>
        <v>41</v>
      </c>
      <c r="D8051">
        <v>6411</v>
      </c>
      <c r="E8051" t="str">
        <f>"LK"</f>
        <v>LK</v>
      </c>
      <c r="F8051" t="str">
        <f>"709"</f>
        <v>709</v>
      </c>
      <c r="G8051">
        <v>9</v>
      </c>
      <c r="H8051" t="str">
        <f>"99"</f>
        <v>99</v>
      </c>
      <c r="I8051" t="str">
        <f t="shared" si="1821"/>
        <v>0</v>
      </c>
      <c r="J8051" t="str">
        <f>"83"</f>
        <v>83</v>
      </c>
      <c r="K8051">
        <v>20190823</v>
      </c>
      <c r="L8051" t="str">
        <f>"077826"</f>
        <v>077826</v>
      </c>
      <c r="M8051" t="str">
        <f>"83410"</f>
        <v>83410</v>
      </c>
      <c r="N8051" t="s">
        <v>6325</v>
      </c>
      <c r="O8051">
        <v>500</v>
      </c>
      <c r="P8051">
        <v>20190822</v>
      </c>
      <c r="Q8051" t="s">
        <v>6327</v>
      </c>
      <c r="R8051" t="s">
        <v>6326</v>
      </c>
      <c r="S8051" t="s">
        <v>1615</v>
      </c>
      <c r="T8051" t="s">
        <v>1820</v>
      </c>
    </row>
    <row r="8052" spans="1:20" x14ac:dyDescent="0.25">
      <c r="A8052">
        <v>9</v>
      </c>
      <c r="B8052">
        <v>199</v>
      </c>
      <c r="C8052" t="str">
        <f>"53"</f>
        <v>53</v>
      </c>
      <c r="D8052">
        <v>6411</v>
      </c>
      <c r="E8052" t="str">
        <f>"10"</f>
        <v>10</v>
      </c>
      <c r="F8052" t="str">
        <f>"880"</f>
        <v>880</v>
      </c>
      <c r="G8052">
        <v>9</v>
      </c>
      <c r="H8052" t="str">
        <f>"99"</f>
        <v>99</v>
      </c>
      <c r="I8052" t="str">
        <f t="shared" si="1821"/>
        <v>0</v>
      </c>
      <c r="J8052" t="str">
        <f>"80"</f>
        <v>80</v>
      </c>
      <c r="K8052">
        <v>20190823</v>
      </c>
      <c r="L8052" t="str">
        <f>"077827"</f>
        <v>077827</v>
      </c>
      <c r="M8052" t="str">
        <f>"84607"</f>
        <v>84607</v>
      </c>
      <c r="N8052" t="s">
        <v>2802</v>
      </c>
      <c r="O8052">
        <v>135.75</v>
      </c>
      <c r="P8052">
        <v>20190822</v>
      </c>
      <c r="Q8052" t="s">
        <v>1901</v>
      </c>
      <c r="R8052" t="s">
        <v>6328</v>
      </c>
      <c r="S8052" t="s">
        <v>1615</v>
      </c>
      <c r="T8052" t="s">
        <v>1866</v>
      </c>
    </row>
    <row r="8053" spans="1:20" x14ac:dyDescent="0.25">
      <c r="A8053">
        <v>9</v>
      </c>
      <c r="B8053">
        <v>199</v>
      </c>
      <c r="C8053" t="str">
        <f>"11"</f>
        <v>11</v>
      </c>
      <c r="D8053">
        <v>6399</v>
      </c>
      <c r="E8053" t="str">
        <f>"V1"</f>
        <v>V1</v>
      </c>
      <c r="F8053" t="str">
        <f>"001"</f>
        <v>001</v>
      </c>
      <c r="G8053">
        <v>9</v>
      </c>
      <c r="H8053" t="str">
        <f>"22"</f>
        <v>22</v>
      </c>
      <c r="I8053" t="str">
        <f t="shared" si="1821"/>
        <v>0</v>
      </c>
      <c r="J8053" t="str">
        <f>"22"</f>
        <v>22</v>
      </c>
      <c r="K8053">
        <v>20190823</v>
      </c>
      <c r="L8053" t="str">
        <f>"077828"</f>
        <v>077828</v>
      </c>
      <c r="M8053" t="str">
        <f>"86155"</f>
        <v>86155</v>
      </c>
      <c r="N8053" t="s">
        <v>5048</v>
      </c>
      <c r="O8053" s="1">
        <v>1688.57</v>
      </c>
      <c r="P8053">
        <v>20190822</v>
      </c>
      <c r="Q8053" t="s">
        <v>5437</v>
      </c>
      <c r="R8053" t="s">
        <v>5835</v>
      </c>
      <c r="S8053" t="s">
        <v>1615</v>
      </c>
      <c r="T8053" t="s">
        <v>301</v>
      </c>
    </row>
    <row r="8054" spans="1:20" x14ac:dyDescent="0.25">
      <c r="A8054">
        <v>9</v>
      </c>
      <c r="B8054">
        <v>199</v>
      </c>
      <c r="C8054" t="str">
        <f>"51"</f>
        <v>51</v>
      </c>
      <c r="D8054">
        <v>6249</v>
      </c>
      <c r="E8054" t="str">
        <f>"PM"</f>
        <v>PM</v>
      </c>
      <c r="F8054" t="str">
        <f>"936"</f>
        <v>936</v>
      </c>
      <c r="G8054">
        <v>9</v>
      </c>
      <c r="H8054" t="str">
        <f t="shared" ref="H8054:H8065" si="1826">"99"</f>
        <v>99</v>
      </c>
      <c r="I8054" t="str">
        <f>"1"</f>
        <v>1</v>
      </c>
      <c r="J8054" t="str">
        <f>"81"</f>
        <v>81</v>
      </c>
      <c r="K8054">
        <v>20190830</v>
      </c>
      <c r="L8054" t="str">
        <f>"077829"</f>
        <v>077829</v>
      </c>
      <c r="M8054" t="str">
        <f>"00306"</f>
        <v>00306</v>
      </c>
      <c r="N8054" t="s">
        <v>2810</v>
      </c>
      <c r="O8054">
        <v>113.45</v>
      </c>
      <c r="P8054">
        <v>20190829</v>
      </c>
      <c r="Q8054" t="s">
        <v>2811</v>
      </c>
      <c r="R8054" t="s">
        <v>6329</v>
      </c>
      <c r="S8054" t="s">
        <v>1615</v>
      </c>
      <c r="T8054" t="s">
        <v>1713</v>
      </c>
    </row>
    <row r="8055" spans="1:20" x14ac:dyDescent="0.25">
      <c r="A8055">
        <v>9</v>
      </c>
      <c r="B8055">
        <v>199</v>
      </c>
      <c r="C8055" t="str">
        <f>"51"</f>
        <v>51</v>
      </c>
      <c r="D8055">
        <v>6249</v>
      </c>
      <c r="E8055" t="str">
        <f>"PM"</f>
        <v>PM</v>
      </c>
      <c r="F8055" t="str">
        <f>"936"</f>
        <v>936</v>
      </c>
      <c r="G8055">
        <v>9</v>
      </c>
      <c r="H8055" t="str">
        <f t="shared" si="1826"/>
        <v>99</v>
      </c>
      <c r="I8055" t="str">
        <f>"1"</f>
        <v>1</v>
      </c>
      <c r="J8055" t="str">
        <f>"81"</f>
        <v>81</v>
      </c>
      <c r="K8055">
        <v>20190830</v>
      </c>
      <c r="L8055" t="str">
        <f>"077829"</f>
        <v>077829</v>
      </c>
      <c r="M8055" t="str">
        <f>"00306"</f>
        <v>00306</v>
      </c>
      <c r="N8055" t="s">
        <v>2810</v>
      </c>
      <c r="O8055">
        <v>411.12</v>
      </c>
      <c r="P8055">
        <v>20190829</v>
      </c>
      <c r="Q8055" t="s">
        <v>2811</v>
      </c>
      <c r="R8055" t="s">
        <v>6330</v>
      </c>
      <c r="S8055" t="s">
        <v>1615</v>
      </c>
      <c r="T8055" t="s">
        <v>1713</v>
      </c>
    </row>
    <row r="8056" spans="1:20" x14ac:dyDescent="0.25">
      <c r="A8056">
        <v>9</v>
      </c>
      <c r="B8056">
        <v>199</v>
      </c>
      <c r="C8056" t="str">
        <f>"34"</f>
        <v>34</v>
      </c>
      <c r="D8056">
        <v>6249</v>
      </c>
      <c r="E8056" t="str">
        <f>"10"</f>
        <v>10</v>
      </c>
      <c r="F8056" t="str">
        <f>"937"</f>
        <v>937</v>
      </c>
      <c r="G8056">
        <v>9</v>
      </c>
      <c r="H8056" t="str">
        <f t="shared" si="1826"/>
        <v>99</v>
      </c>
      <c r="I8056" t="str">
        <f t="shared" ref="I8056:I8087" si="1827">"0"</f>
        <v>0</v>
      </c>
      <c r="J8056" t="str">
        <f>"82"</f>
        <v>82</v>
      </c>
      <c r="K8056">
        <v>20190830</v>
      </c>
      <c r="L8056" t="str">
        <f>"077830"</f>
        <v>077830</v>
      </c>
      <c r="M8056" t="str">
        <f>"06267"</f>
        <v>06267</v>
      </c>
      <c r="N8056" t="s">
        <v>1867</v>
      </c>
      <c r="O8056" s="1">
        <v>2102.06</v>
      </c>
      <c r="P8056">
        <v>20190829</v>
      </c>
      <c r="Q8056" t="s">
        <v>2036</v>
      </c>
      <c r="R8056" t="s">
        <v>6331</v>
      </c>
      <c r="S8056" t="s">
        <v>1615</v>
      </c>
      <c r="T8056" t="s">
        <v>1810</v>
      </c>
    </row>
    <row r="8057" spans="1:20" x14ac:dyDescent="0.25">
      <c r="A8057">
        <v>9</v>
      </c>
      <c r="B8057">
        <v>199</v>
      </c>
      <c r="C8057" t="str">
        <f>"34"</f>
        <v>34</v>
      </c>
      <c r="D8057">
        <v>6249</v>
      </c>
      <c r="E8057" t="str">
        <f>"10"</f>
        <v>10</v>
      </c>
      <c r="F8057" t="str">
        <f>"937"</f>
        <v>937</v>
      </c>
      <c r="G8057">
        <v>9</v>
      </c>
      <c r="H8057" t="str">
        <f t="shared" si="1826"/>
        <v>99</v>
      </c>
      <c r="I8057" t="str">
        <f t="shared" si="1827"/>
        <v>0</v>
      </c>
      <c r="J8057" t="str">
        <f>"82"</f>
        <v>82</v>
      </c>
      <c r="K8057">
        <v>20190830</v>
      </c>
      <c r="L8057" t="str">
        <f>"077830"</f>
        <v>077830</v>
      </c>
      <c r="M8057" t="str">
        <f>"06267"</f>
        <v>06267</v>
      </c>
      <c r="N8057" t="s">
        <v>1867</v>
      </c>
      <c r="O8057">
        <v>80</v>
      </c>
      <c r="P8057">
        <v>20190829</v>
      </c>
      <c r="Q8057" t="s">
        <v>2036</v>
      </c>
      <c r="R8057" t="s">
        <v>6332</v>
      </c>
      <c r="S8057" t="s">
        <v>1615</v>
      </c>
      <c r="T8057" t="s">
        <v>1810</v>
      </c>
    </row>
    <row r="8058" spans="1:20" x14ac:dyDescent="0.25">
      <c r="A8058">
        <v>9</v>
      </c>
      <c r="B8058">
        <v>199</v>
      </c>
      <c r="C8058" t="str">
        <f>"34"</f>
        <v>34</v>
      </c>
      <c r="D8058">
        <v>6249</v>
      </c>
      <c r="E8058" t="str">
        <f>"10"</f>
        <v>10</v>
      </c>
      <c r="F8058" t="str">
        <f>"937"</f>
        <v>937</v>
      </c>
      <c r="G8058">
        <v>9</v>
      </c>
      <c r="H8058" t="str">
        <f t="shared" si="1826"/>
        <v>99</v>
      </c>
      <c r="I8058" t="str">
        <f t="shared" si="1827"/>
        <v>0</v>
      </c>
      <c r="J8058" t="str">
        <f>"82"</f>
        <v>82</v>
      </c>
      <c r="K8058">
        <v>20190830</v>
      </c>
      <c r="L8058" t="str">
        <f>"077831"</f>
        <v>077831</v>
      </c>
      <c r="M8058" t="str">
        <f>"24208"</f>
        <v>24208</v>
      </c>
      <c r="N8058" t="s">
        <v>2356</v>
      </c>
      <c r="O8058">
        <v>150</v>
      </c>
      <c r="P8058">
        <v>20190829</v>
      </c>
      <c r="Q8058" t="s">
        <v>2036</v>
      </c>
      <c r="R8058" t="s">
        <v>6333</v>
      </c>
      <c r="S8058" t="s">
        <v>1615</v>
      </c>
      <c r="T8058" t="s">
        <v>1810</v>
      </c>
    </row>
    <row r="8059" spans="1:20" x14ac:dyDescent="0.25">
      <c r="A8059">
        <v>9</v>
      </c>
      <c r="B8059">
        <v>199</v>
      </c>
      <c r="C8059" t="str">
        <f t="shared" ref="C8059:C8065" si="1828">"51"</f>
        <v>51</v>
      </c>
      <c r="D8059">
        <v>6256</v>
      </c>
      <c r="E8059" t="str">
        <f>"10"</f>
        <v>10</v>
      </c>
      <c r="F8059" t="str">
        <f>"880"</f>
        <v>880</v>
      </c>
      <c r="G8059">
        <v>9</v>
      </c>
      <c r="H8059" t="str">
        <f t="shared" si="1826"/>
        <v>99</v>
      </c>
      <c r="I8059" t="str">
        <f t="shared" si="1827"/>
        <v>0</v>
      </c>
      <c r="J8059" t="str">
        <f>"80"</f>
        <v>80</v>
      </c>
      <c r="K8059">
        <v>20190830</v>
      </c>
      <c r="L8059" t="str">
        <f>"077833"</f>
        <v>077833</v>
      </c>
      <c r="M8059" t="str">
        <f>"00390"</f>
        <v>00390</v>
      </c>
      <c r="N8059" t="s">
        <v>1869</v>
      </c>
      <c r="O8059">
        <v>87.86</v>
      </c>
      <c r="P8059">
        <v>20190829</v>
      </c>
      <c r="Q8059" t="s">
        <v>1870</v>
      </c>
      <c r="R8059" t="s">
        <v>6334</v>
      </c>
      <c r="S8059" t="s">
        <v>1615</v>
      </c>
      <c r="T8059" t="s">
        <v>1866</v>
      </c>
    </row>
    <row r="8060" spans="1:20" x14ac:dyDescent="0.25">
      <c r="A8060">
        <v>9</v>
      </c>
      <c r="B8060">
        <v>199</v>
      </c>
      <c r="C8060" t="str">
        <f t="shared" si="1828"/>
        <v>51</v>
      </c>
      <c r="D8060">
        <v>6256</v>
      </c>
      <c r="E8060" t="str">
        <f>"10"</f>
        <v>10</v>
      </c>
      <c r="F8060" t="str">
        <f>"880"</f>
        <v>880</v>
      </c>
      <c r="G8060">
        <v>9</v>
      </c>
      <c r="H8060" t="str">
        <f t="shared" si="1826"/>
        <v>99</v>
      </c>
      <c r="I8060" t="str">
        <f t="shared" si="1827"/>
        <v>0</v>
      </c>
      <c r="J8060" t="str">
        <f>"80"</f>
        <v>80</v>
      </c>
      <c r="K8060">
        <v>20190830</v>
      </c>
      <c r="L8060" t="str">
        <f>"077833"</f>
        <v>077833</v>
      </c>
      <c r="M8060" t="str">
        <f>"00390"</f>
        <v>00390</v>
      </c>
      <c r="N8060" t="s">
        <v>1869</v>
      </c>
      <c r="O8060" s="1">
        <v>4406.09</v>
      </c>
      <c r="P8060">
        <v>20190829</v>
      </c>
      <c r="Q8060" t="s">
        <v>1870</v>
      </c>
      <c r="R8060" t="s">
        <v>6334</v>
      </c>
      <c r="S8060" t="s">
        <v>1615</v>
      </c>
      <c r="T8060" t="s">
        <v>1866</v>
      </c>
    </row>
    <row r="8061" spans="1:20" x14ac:dyDescent="0.25">
      <c r="A8061">
        <v>9</v>
      </c>
      <c r="B8061">
        <v>199</v>
      </c>
      <c r="C8061" t="str">
        <f t="shared" si="1828"/>
        <v>51</v>
      </c>
      <c r="D8061">
        <v>6256</v>
      </c>
      <c r="E8061" t="str">
        <f>"11"</f>
        <v>11</v>
      </c>
      <c r="F8061" t="str">
        <f>"880"</f>
        <v>880</v>
      </c>
      <c r="G8061">
        <v>9</v>
      </c>
      <c r="H8061" t="str">
        <f t="shared" si="1826"/>
        <v>99</v>
      </c>
      <c r="I8061" t="str">
        <f t="shared" si="1827"/>
        <v>0</v>
      </c>
      <c r="J8061" t="str">
        <f>"80"</f>
        <v>80</v>
      </c>
      <c r="K8061">
        <v>20190830</v>
      </c>
      <c r="L8061" t="str">
        <f>"077834"</f>
        <v>077834</v>
      </c>
      <c r="M8061" t="str">
        <f>"00392"</f>
        <v>00392</v>
      </c>
      <c r="N8061" t="s">
        <v>1869</v>
      </c>
      <c r="O8061">
        <v>49.11</v>
      </c>
      <c r="P8061">
        <v>20190829</v>
      </c>
      <c r="Q8061" t="s">
        <v>1871</v>
      </c>
      <c r="R8061" t="s">
        <v>6334</v>
      </c>
      <c r="S8061" t="s">
        <v>1615</v>
      </c>
      <c r="T8061" t="s">
        <v>1866</v>
      </c>
    </row>
    <row r="8062" spans="1:20" x14ac:dyDescent="0.25">
      <c r="A8062">
        <v>9</v>
      </c>
      <c r="B8062">
        <v>199</v>
      </c>
      <c r="C8062" t="str">
        <f t="shared" si="1828"/>
        <v>51</v>
      </c>
      <c r="D8062">
        <v>6249</v>
      </c>
      <c r="E8062" t="str">
        <f>"MC"</f>
        <v>MC</v>
      </c>
      <c r="F8062" t="str">
        <f t="shared" ref="F8062:F8075" si="1829">"001"</f>
        <v>001</v>
      </c>
      <c r="G8062">
        <v>9</v>
      </c>
      <c r="H8062" t="str">
        <f t="shared" si="1826"/>
        <v>99</v>
      </c>
      <c r="I8062" t="str">
        <f t="shared" si="1827"/>
        <v>0</v>
      </c>
      <c r="J8062" t="str">
        <f>"81"</f>
        <v>81</v>
      </c>
      <c r="K8062">
        <v>20190830</v>
      </c>
      <c r="L8062" t="str">
        <f>"077835"</f>
        <v>077835</v>
      </c>
      <c r="M8062" t="str">
        <f>"10024"</f>
        <v>10024</v>
      </c>
      <c r="N8062" t="s">
        <v>5951</v>
      </c>
      <c r="O8062" s="1">
        <v>10910</v>
      </c>
      <c r="P8062">
        <v>20190830</v>
      </c>
      <c r="Q8062" t="s">
        <v>2386</v>
      </c>
      <c r="R8062" t="s">
        <v>6335</v>
      </c>
      <c r="S8062" t="s">
        <v>1615</v>
      </c>
      <c r="T8062" t="s">
        <v>301</v>
      </c>
    </row>
    <row r="8063" spans="1:20" x14ac:dyDescent="0.25">
      <c r="A8063">
        <v>9</v>
      </c>
      <c r="B8063">
        <v>199</v>
      </c>
      <c r="C8063" t="str">
        <f t="shared" si="1828"/>
        <v>51</v>
      </c>
      <c r="D8063">
        <v>6249</v>
      </c>
      <c r="E8063" t="str">
        <f>"MC"</f>
        <v>MC</v>
      </c>
      <c r="F8063" t="str">
        <f t="shared" si="1829"/>
        <v>001</v>
      </c>
      <c r="G8063">
        <v>9</v>
      </c>
      <c r="H8063" t="str">
        <f t="shared" si="1826"/>
        <v>99</v>
      </c>
      <c r="I8063" t="str">
        <f t="shared" si="1827"/>
        <v>0</v>
      </c>
      <c r="J8063" t="str">
        <f>"81"</f>
        <v>81</v>
      </c>
      <c r="K8063">
        <v>20190830</v>
      </c>
      <c r="L8063" t="str">
        <f>"077835"</f>
        <v>077835</v>
      </c>
      <c r="M8063" t="str">
        <f>"10024"</f>
        <v>10024</v>
      </c>
      <c r="N8063" t="s">
        <v>5951</v>
      </c>
      <c r="O8063" s="1">
        <v>4354</v>
      </c>
      <c r="P8063">
        <v>20190830</v>
      </c>
      <c r="Q8063" t="s">
        <v>2386</v>
      </c>
      <c r="R8063" t="s">
        <v>6336</v>
      </c>
      <c r="S8063" t="s">
        <v>1615</v>
      </c>
      <c r="T8063" t="s">
        <v>301</v>
      </c>
    </row>
    <row r="8064" spans="1:20" x14ac:dyDescent="0.25">
      <c r="A8064">
        <v>9</v>
      </c>
      <c r="B8064">
        <v>199</v>
      </c>
      <c r="C8064" t="str">
        <f t="shared" si="1828"/>
        <v>51</v>
      </c>
      <c r="D8064">
        <v>6249</v>
      </c>
      <c r="E8064" t="str">
        <f>"MC"</f>
        <v>MC</v>
      </c>
      <c r="F8064" t="str">
        <f t="shared" si="1829"/>
        <v>001</v>
      </c>
      <c r="G8064">
        <v>9</v>
      </c>
      <c r="H8064" t="str">
        <f t="shared" si="1826"/>
        <v>99</v>
      </c>
      <c r="I8064" t="str">
        <f t="shared" si="1827"/>
        <v>0</v>
      </c>
      <c r="J8064" t="str">
        <f>"81"</f>
        <v>81</v>
      </c>
      <c r="K8064">
        <v>20190830</v>
      </c>
      <c r="L8064" t="str">
        <f>"077835"</f>
        <v>077835</v>
      </c>
      <c r="M8064" t="str">
        <f>"10024"</f>
        <v>10024</v>
      </c>
      <c r="N8064" t="s">
        <v>5951</v>
      </c>
      <c r="O8064" s="1">
        <v>2802</v>
      </c>
      <c r="P8064">
        <v>20190830</v>
      </c>
      <c r="Q8064" t="s">
        <v>2386</v>
      </c>
      <c r="R8064" t="s">
        <v>6337</v>
      </c>
      <c r="S8064" t="s">
        <v>1615</v>
      </c>
      <c r="T8064" t="s">
        <v>301</v>
      </c>
    </row>
    <row r="8065" spans="1:20" x14ac:dyDescent="0.25">
      <c r="A8065">
        <v>9</v>
      </c>
      <c r="B8065">
        <v>199</v>
      </c>
      <c r="C8065" t="str">
        <f t="shared" si="1828"/>
        <v>51</v>
      </c>
      <c r="D8065">
        <v>6249</v>
      </c>
      <c r="E8065" t="str">
        <f>"MC"</f>
        <v>MC</v>
      </c>
      <c r="F8065" t="str">
        <f t="shared" si="1829"/>
        <v>001</v>
      </c>
      <c r="G8065">
        <v>9</v>
      </c>
      <c r="H8065" t="str">
        <f t="shared" si="1826"/>
        <v>99</v>
      </c>
      <c r="I8065" t="str">
        <f t="shared" si="1827"/>
        <v>0</v>
      </c>
      <c r="J8065" t="str">
        <f>"81"</f>
        <v>81</v>
      </c>
      <c r="K8065">
        <v>20190830</v>
      </c>
      <c r="L8065" t="str">
        <f>"077835"</f>
        <v>077835</v>
      </c>
      <c r="M8065" t="str">
        <f>"10024"</f>
        <v>10024</v>
      </c>
      <c r="N8065" t="s">
        <v>5951</v>
      </c>
      <c r="O8065" s="1">
        <v>7637</v>
      </c>
      <c r="P8065">
        <v>20190830</v>
      </c>
      <c r="Q8065" t="s">
        <v>2386</v>
      </c>
      <c r="R8065" t="s">
        <v>6338</v>
      </c>
      <c r="S8065" t="s">
        <v>1615</v>
      </c>
      <c r="T8065" t="s">
        <v>301</v>
      </c>
    </row>
    <row r="8066" spans="1:20" x14ac:dyDescent="0.25">
      <c r="A8066">
        <v>9</v>
      </c>
      <c r="B8066">
        <v>199</v>
      </c>
      <c r="C8066" t="str">
        <f t="shared" ref="C8066:C8075" si="1830">"11"</f>
        <v>11</v>
      </c>
      <c r="D8066">
        <v>6269</v>
      </c>
      <c r="E8066" t="str">
        <f>"VA"</f>
        <v>VA</v>
      </c>
      <c r="F8066" t="str">
        <f t="shared" si="1829"/>
        <v>001</v>
      </c>
      <c r="G8066">
        <v>9</v>
      </c>
      <c r="H8066" t="str">
        <f t="shared" ref="H8066:H8075" si="1831">"22"</f>
        <v>22</v>
      </c>
      <c r="I8066" t="str">
        <f t="shared" si="1827"/>
        <v>0</v>
      </c>
      <c r="J8066" t="str">
        <f t="shared" ref="J8066:J8075" si="1832">"22"</f>
        <v>22</v>
      </c>
      <c r="K8066">
        <v>20190830</v>
      </c>
      <c r="L8066" t="str">
        <f t="shared" ref="L8066:L8075" si="1833">"077842"</f>
        <v>077842</v>
      </c>
      <c r="M8066" t="str">
        <f t="shared" ref="M8066:M8075" si="1834">"20683"</f>
        <v>20683</v>
      </c>
      <c r="N8066" t="s">
        <v>1697</v>
      </c>
      <c r="O8066">
        <v>59.42</v>
      </c>
      <c r="P8066">
        <v>20190829</v>
      </c>
      <c r="Q8066" t="s">
        <v>2213</v>
      </c>
      <c r="R8066" t="s">
        <v>6339</v>
      </c>
      <c r="S8066" t="s">
        <v>1615</v>
      </c>
      <c r="T8066" t="s">
        <v>301</v>
      </c>
    </row>
    <row r="8067" spans="1:20" x14ac:dyDescent="0.25">
      <c r="A8067">
        <v>9</v>
      </c>
      <c r="B8067">
        <v>199</v>
      </c>
      <c r="C8067" t="str">
        <f t="shared" si="1830"/>
        <v>11</v>
      </c>
      <c r="D8067">
        <v>6269</v>
      </c>
      <c r="E8067" t="str">
        <f>"VA"</f>
        <v>VA</v>
      </c>
      <c r="F8067" t="str">
        <f t="shared" si="1829"/>
        <v>001</v>
      </c>
      <c r="G8067">
        <v>9</v>
      </c>
      <c r="H8067" t="str">
        <f t="shared" si="1831"/>
        <v>22</v>
      </c>
      <c r="I8067" t="str">
        <f t="shared" si="1827"/>
        <v>0</v>
      </c>
      <c r="J8067" t="str">
        <f t="shared" si="1832"/>
        <v>22</v>
      </c>
      <c r="K8067">
        <v>20190830</v>
      </c>
      <c r="L8067" t="str">
        <f t="shared" si="1833"/>
        <v>077842</v>
      </c>
      <c r="M8067" t="str">
        <f t="shared" si="1834"/>
        <v>20683</v>
      </c>
      <c r="N8067" t="s">
        <v>1697</v>
      </c>
      <c r="O8067">
        <v>113.7</v>
      </c>
      <c r="P8067">
        <v>20190829</v>
      </c>
      <c r="Q8067" t="s">
        <v>2213</v>
      </c>
      <c r="R8067" t="s">
        <v>6340</v>
      </c>
      <c r="S8067" t="s">
        <v>1615</v>
      </c>
      <c r="T8067" t="s">
        <v>301</v>
      </c>
    </row>
    <row r="8068" spans="1:20" x14ac:dyDescent="0.25">
      <c r="A8068">
        <v>9</v>
      </c>
      <c r="B8068">
        <v>199</v>
      </c>
      <c r="C8068" t="str">
        <f t="shared" si="1830"/>
        <v>11</v>
      </c>
      <c r="D8068">
        <v>6269</v>
      </c>
      <c r="E8068" t="str">
        <f>"VA"</f>
        <v>VA</v>
      </c>
      <c r="F8068" t="str">
        <f t="shared" si="1829"/>
        <v>001</v>
      </c>
      <c r="G8068">
        <v>9</v>
      </c>
      <c r="H8068" t="str">
        <f t="shared" si="1831"/>
        <v>22</v>
      </c>
      <c r="I8068" t="str">
        <f t="shared" si="1827"/>
        <v>0</v>
      </c>
      <c r="J8068" t="str">
        <f t="shared" si="1832"/>
        <v>22</v>
      </c>
      <c r="K8068">
        <v>20190830</v>
      </c>
      <c r="L8068" t="str">
        <f t="shared" si="1833"/>
        <v>077842</v>
      </c>
      <c r="M8068" t="str">
        <f t="shared" si="1834"/>
        <v>20683</v>
      </c>
      <c r="N8068" t="s">
        <v>1697</v>
      </c>
      <c r="O8068">
        <v>59.42</v>
      </c>
      <c r="P8068">
        <v>20190829</v>
      </c>
      <c r="Q8068" t="s">
        <v>2213</v>
      </c>
      <c r="R8068" t="s">
        <v>6341</v>
      </c>
      <c r="S8068" t="s">
        <v>1615</v>
      </c>
      <c r="T8068" t="s">
        <v>301</v>
      </c>
    </row>
    <row r="8069" spans="1:20" x14ac:dyDescent="0.25">
      <c r="A8069">
        <v>9</v>
      </c>
      <c r="B8069">
        <v>199</v>
      </c>
      <c r="C8069" t="str">
        <f t="shared" si="1830"/>
        <v>11</v>
      </c>
      <c r="D8069">
        <v>6269</v>
      </c>
      <c r="E8069" t="str">
        <f>"VA"</f>
        <v>VA</v>
      </c>
      <c r="F8069" t="str">
        <f t="shared" si="1829"/>
        <v>001</v>
      </c>
      <c r="G8069">
        <v>9</v>
      </c>
      <c r="H8069" t="str">
        <f t="shared" si="1831"/>
        <v>22</v>
      </c>
      <c r="I8069" t="str">
        <f t="shared" si="1827"/>
        <v>0</v>
      </c>
      <c r="J8069" t="str">
        <f t="shared" si="1832"/>
        <v>22</v>
      </c>
      <c r="K8069">
        <v>20190830</v>
      </c>
      <c r="L8069" t="str">
        <f t="shared" si="1833"/>
        <v>077842</v>
      </c>
      <c r="M8069" t="str">
        <f t="shared" si="1834"/>
        <v>20683</v>
      </c>
      <c r="N8069" t="s">
        <v>1697</v>
      </c>
      <c r="O8069">
        <v>59.42</v>
      </c>
      <c r="P8069">
        <v>20190829</v>
      </c>
      <c r="Q8069" t="s">
        <v>2213</v>
      </c>
      <c r="R8069" t="s">
        <v>6342</v>
      </c>
      <c r="S8069" t="s">
        <v>1615</v>
      </c>
      <c r="T8069" t="s">
        <v>301</v>
      </c>
    </row>
    <row r="8070" spans="1:20" x14ac:dyDescent="0.25">
      <c r="A8070">
        <v>9</v>
      </c>
      <c r="B8070">
        <v>199</v>
      </c>
      <c r="C8070" t="str">
        <f t="shared" si="1830"/>
        <v>11</v>
      </c>
      <c r="D8070">
        <v>6269</v>
      </c>
      <c r="E8070" t="str">
        <f>"VA"</f>
        <v>VA</v>
      </c>
      <c r="F8070" t="str">
        <f t="shared" si="1829"/>
        <v>001</v>
      </c>
      <c r="G8070">
        <v>9</v>
      </c>
      <c r="H8070" t="str">
        <f t="shared" si="1831"/>
        <v>22</v>
      </c>
      <c r="I8070" t="str">
        <f t="shared" si="1827"/>
        <v>0</v>
      </c>
      <c r="J8070" t="str">
        <f t="shared" si="1832"/>
        <v>22</v>
      </c>
      <c r="K8070">
        <v>20190830</v>
      </c>
      <c r="L8070" t="str">
        <f t="shared" si="1833"/>
        <v>077842</v>
      </c>
      <c r="M8070" t="str">
        <f t="shared" si="1834"/>
        <v>20683</v>
      </c>
      <c r="N8070" t="s">
        <v>1697</v>
      </c>
      <c r="O8070">
        <v>59.42</v>
      </c>
      <c r="P8070">
        <v>20190829</v>
      </c>
      <c r="Q8070" t="s">
        <v>2213</v>
      </c>
      <c r="R8070" t="s">
        <v>6343</v>
      </c>
      <c r="S8070" t="s">
        <v>1615</v>
      </c>
      <c r="T8070" t="s">
        <v>301</v>
      </c>
    </row>
    <row r="8071" spans="1:20" x14ac:dyDescent="0.25">
      <c r="A8071">
        <v>9</v>
      </c>
      <c r="B8071">
        <v>199</v>
      </c>
      <c r="C8071" t="str">
        <f t="shared" si="1830"/>
        <v>11</v>
      </c>
      <c r="D8071">
        <v>6399</v>
      </c>
      <c r="E8071" t="str">
        <f>"V8"</f>
        <v>V8</v>
      </c>
      <c r="F8071" t="str">
        <f t="shared" si="1829"/>
        <v>001</v>
      </c>
      <c r="G8071">
        <v>9</v>
      </c>
      <c r="H8071" t="str">
        <f t="shared" si="1831"/>
        <v>22</v>
      </c>
      <c r="I8071" t="str">
        <f t="shared" si="1827"/>
        <v>0</v>
      </c>
      <c r="J8071" t="str">
        <f t="shared" si="1832"/>
        <v>22</v>
      </c>
      <c r="K8071">
        <v>20190830</v>
      </c>
      <c r="L8071" t="str">
        <f t="shared" si="1833"/>
        <v>077842</v>
      </c>
      <c r="M8071" t="str">
        <f t="shared" si="1834"/>
        <v>20683</v>
      </c>
      <c r="N8071" t="s">
        <v>1697</v>
      </c>
      <c r="O8071">
        <v>13.69</v>
      </c>
      <c r="P8071">
        <v>20190829</v>
      </c>
      <c r="Q8071" t="s">
        <v>2001</v>
      </c>
      <c r="R8071" t="s">
        <v>6339</v>
      </c>
      <c r="S8071" t="s">
        <v>1615</v>
      </c>
      <c r="T8071" t="s">
        <v>301</v>
      </c>
    </row>
    <row r="8072" spans="1:20" x14ac:dyDescent="0.25">
      <c r="A8072">
        <v>9</v>
      </c>
      <c r="B8072">
        <v>199</v>
      </c>
      <c r="C8072" t="str">
        <f t="shared" si="1830"/>
        <v>11</v>
      </c>
      <c r="D8072">
        <v>6399</v>
      </c>
      <c r="E8072" t="str">
        <f>"V8"</f>
        <v>V8</v>
      </c>
      <c r="F8072" t="str">
        <f t="shared" si="1829"/>
        <v>001</v>
      </c>
      <c r="G8072">
        <v>9</v>
      </c>
      <c r="H8072" t="str">
        <f t="shared" si="1831"/>
        <v>22</v>
      </c>
      <c r="I8072" t="str">
        <f t="shared" si="1827"/>
        <v>0</v>
      </c>
      <c r="J8072" t="str">
        <f t="shared" si="1832"/>
        <v>22</v>
      </c>
      <c r="K8072">
        <v>20190830</v>
      </c>
      <c r="L8072" t="str">
        <f t="shared" si="1833"/>
        <v>077842</v>
      </c>
      <c r="M8072" t="str">
        <f t="shared" si="1834"/>
        <v>20683</v>
      </c>
      <c r="N8072" t="s">
        <v>1697</v>
      </c>
      <c r="O8072">
        <v>13.69</v>
      </c>
      <c r="P8072">
        <v>20190829</v>
      </c>
      <c r="Q8072" t="s">
        <v>2001</v>
      </c>
      <c r="R8072" t="s">
        <v>6340</v>
      </c>
      <c r="S8072" t="s">
        <v>1615</v>
      </c>
      <c r="T8072" t="s">
        <v>301</v>
      </c>
    </row>
    <row r="8073" spans="1:20" x14ac:dyDescent="0.25">
      <c r="A8073">
        <v>9</v>
      </c>
      <c r="B8073">
        <v>199</v>
      </c>
      <c r="C8073" t="str">
        <f t="shared" si="1830"/>
        <v>11</v>
      </c>
      <c r="D8073">
        <v>6399</v>
      </c>
      <c r="E8073" t="str">
        <f>"V8"</f>
        <v>V8</v>
      </c>
      <c r="F8073" t="str">
        <f t="shared" si="1829"/>
        <v>001</v>
      </c>
      <c r="G8073">
        <v>9</v>
      </c>
      <c r="H8073" t="str">
        <f t="shared" si="1831"/>
        <v>22</v>
      </c>
      <c r="I8073" t="str">
        <f t="shared" si="1827"/>
        <v>0</v>
      </c>
      <c r="J8073" t="str">
        <f t="shared" si="1832"/>
        <v>22</v>
      </c>
      <c r="K8073">
        <v>20190830</v>
      </c>
      <c r="L8073" t="str">
        <f t="shared" si="1833"/>
        <v>077842</v>
      </c>
      <c r="M8073" t="str">
        <f t="shared" si="1834"/>
        <v>20683</v>
      </c>
      <c r="N8073" t="s">
        <v>1697</v>
      </c>
      <c r="O8073">
        <v>13.69</v>
      </c>
      <c r="P8073">
        <v>20190829</v>
      </c>
      <c r="Q8073" t="s">
        <v>2001</v>
      </c>
      <c r="R8073" t="s">
        <v>6341</v>
      </c>
      <c r="S8073" t="s">
        <v>1615</v>
      </c>
      <c r="T8073" t="s">
        <v>301</v>
      </c>
    </row>
    <row r="8074" spans="1:20" x14ac:dyDescent="0.25">
      <c r="A8074">
        <v>9</v>
      </c>
      <c r="B8074">
        <v>199</v>
      </c>
      <c r="C8074" t="str">
        <f t="shared" si="1830"/>
        <v>11</v>
      </c>
      <c r="D8074">
        <v>6399</v>
      </c>
      <c r="E8074" t="str">
        <f>"V8"</f>
        <v>V8</v>
      </c>
      <c r="F8074" t="str">
        <f t="shared" si="1829"/>
        <v>001</v>
      </c>
      <c r="G8074">
        <v>9</v>
      </c>
      <c r="H8074" t="str">
        <f t="shared" si="1831"/>
        <v>22</v>
      </c>
      <c r="I8074" t="str">
        <f t="shared" si="1827"/>
        <v>0</v>
      </c>
      <c r="J8074" t="str">
        <f t="shared" si="1832"/>
        <v>22</v>
      </c>
      <c r="K8074">
        <v>20190830</v>
      </c>
      <c r="L8074" t="str">
        <f t="shared" si="1833"/>
        <v>077842</v>
      </c>
      <c r="M8074" t="str">
        <f t="shared" si="1834"/>
        <v>20683</v>
      </c>
      <c r="N8074" t="s">
        <v>1697</v>
      </c>
      <c r="O8074">
        <v>13.69</v>
      </c>
      <c r="P8074">
        <v>20190829</v>
      </c>
      <c r="Q8074" t="s">
        <v>2001</v>
      </c>
      <c r="R8074" t="s">
        <v>6342</v>
      </c>
      <c r="S8074" t="s">
        <v>1615</v>
      </c>
      <c r="T8074" t="s">
        <v>301</v>
      </c>
    </row>
    <row r="8075" spans="1:20" x14ac:dyDescent="0.25">
      <c r="A8075">
        <v>9</v>
      </c>
      <c r="B8075">
        <v>199</v>
      </c>
      <c r="C8075" t="str">
        <f t="shared" si="1830"/>
        <v>11</v>
      </c>
      <c r="D8075">
        <v>6399</v>
      </c>
      <c r="E8075" t="str">
        <f>"V8"</f>
        <v>V8</v>
      </c>
      <c r="F8075" t="str">
        <f t="shared" si="1829"/>
        <v>001</v>
      </c>
      <c r="G8075">
        <v>9</v>
      </c>
      <c r="H8075" t="str">
        <f t="shared" si="1831"/>
        <v>22</v>
      </c>
      <c r="I8075" t="str">
        <f t="shared" si="1827"/>
        <v>0</v>
      </c>
      <c r="J8075" t="str">
        <f t="shared" si="1832"/>
        <v>22</v>
      </c>
      <c r="K8075">
        <v>20190830</v>
      </c>
      <c r="L8075" t="str">
        <f t="shared" si="1833"/>
        <v>077842</v>
      </c>
      <c r="M8075" t="str">
        <f t="shared" si="1834"/>
        <v>20683</v>
      </c>
      <c r="N8075" t="s">
        <v>1697</v>
      </c>
      <c r="O8075">
        <v>13.69</v>
      </c>
      <c r="P8075">
        <v>20190829</v>
      </c>
      <c r="Q8075" t="s">
        <v>2001</v>
      </c>
      <c r="R8075" t="s">
        <v>6343</v>
      </c>
      <c r="S8075" t="s">
        <v>1615</v>
      </c>
      <c r="T8075" t="s">
        <v>301</v>
      </c>
    </row>
    <row r="8076" spans="1:20" x14ac:dyDescent="0.25">
      <c r="A8076">
        <v>9</v>
      </c>
      <c r="B8076">
        <v>199</v>
      </c>
      <c r="C8076" t="str">
        <f t="shared" ref="C8076:C8089" si="1835">"51"</f>
        <v>51</v>
      </c>
      <c r="D8076">
        <v>6255</v>
      </c>
      <c r="E8076" t="str">
        <f t="shared" ref="E8076:E8081" si="1836">"10"</f>
        <v>10</v>
      </c>
      <c r="F8076" t="str">
        <f>"002"</f>
        <v>002</v>
      </c>
      <c r="G8076">
        <v>9</v>
      </c>
      <c r="H8076" t="str">
        <f t="shared" ref="H8076:H8090" si="1837">"99"</f>
        <v>99</v>
      </c>
      <c r="I8076" t="str">
        <f t="shared" si="1827"/>
        <v>0</v>
      </c>
      <c r="J8076" t="str">
        <f t="shared" ref="J8076:J8085" si="1838">"73"</f>
        <v>73</v>
      </c>
      <c r="K8076">
        <v>20190830</v>
      </c>
      <c r="L8076" t="str">
        <f t="shared" ref="L8076:L8085" si="1839">"077843"</f>
        <v>077843</v>
      </c>
      <c r="M8076" t="str">
        <f t="shared" ref="M8076:M8085" si="1840">"20706"</f>
        <v>20706</v>
      </c>
      <c r="N8076" t="s">
        <v>2003</v>
      </c>
      <c r="O8076">
        <v>70.98</v>
      </c>
      <c r="P8076">
        <v>20190829</v>
      </c>
      <c r="Q8076" t="s">
        <v>2006</v>
      </c>
      <c r="R8076" t="s">
        <v>6344</v>
      </c>
      <c r="S8076" t="s">
        <v>1615</v>
      </c>
      <c r="T8076" t="s">
        <v>1485</v>
      </c>
    </row>
    <row r="8077" spans="1:20" x14ac:dyDescent="0.25">
      <c r="A8077">
        <v>9</v>
      </c>
      <c r="B8077">
        <v>199</v>
      </c>
      <c r="C8077" t="str">
        <f t="shared" si="1835"/>
        <v>51</v>
      </c>
      <c r="D8077">
        <v>6255</v>
      </c>
      <c r="E8077" t="str">
        <f t="shared" si="1836"/>
        <v>10</v>
      </c>
      <c r="F8077" t="str">
        <f>"041"</f>
        <v>041</v>
      </c>
      <c r="G8077">
        <v>9</v>
      </c>
      <c r="H8077" t="str">
        <f t="shared" si="1837"/>
        <v>99</v>
      </c>
      <c r="I8077" t="str">
        <f t="shared" si="1827"/>
        <v>0</v>
      </c>
      <c r="J8077" t="str">
        <f t="shared" si="1838"/>
        <v>73</v>
      </c>
      <c r="K8077">
        <v>20190830</v>
      </c>
      <c r="L8077" t="str">
        <f t="shared" si="1839"/>
        <v>077843</v>
      </c>
      <c r="M8077" t="str">
        <f t="shared" si="1840"/>
        <v>20706</v>
      </c>
      <c r="N8077" t="s">
        <v>2003</v>
      </c>
      <c r="O8077" s="1">
        <v>2709.5</v>
      </c>
      <c r="P8077">
        <v>20190829</v>
      </c>
      <c r="Q8077" t="s">
        <v>2008</v>
      </c>
      <c r="R8077" t="s">
        <v>6345</v>
      </c>
      <c r="S8077" t="s">
        <v>1615</v>
      </c>
      <c r="T8077" t="s">
        <v>106</v>
      </c>
    </row>
    <row r="8078" spans="1:20" x14ac:dyDescent="0.25">
      <c r="A8078">
        <v>9</v>
      </c>
      <c r="B8078">
        <v>199</v>
      </c>
      <c r="C8078" t="str">
        <f t="shared" si="1835"/>
        <v>51</v>
      </c>
      <c r="D8078">
        <v>6255</v>
      </c>
      <c r="E8078" t="str">
        <f t="shared" si="1836"/>
        <v>10</v>
      </c>
      <c r="F8078" t="str">
        <f>"101"</f>
        <v>101</v>
      </c>
      <c r="G8078">
        <v>9</v>
      </c>
      <c r="H8078" t="str">
        <f t="shared" si="1837"/>
        <v>99</v>
      </c>
      <c r="I8078" t="str">
        <f t="shared" si="1827"/>
        <v>0</v>
      </c>
      <c r="J8078" t="str">
        <f t="shared" si="1838"/>
        <v>73</v>
      </c>
      <c r="K8078">
        <v>20190830</v>
      </c>
      <c r="L8078" t="str">
        <f t="shared" si="1839"/>
        <v>077843</v>
      </c>
      <c r="M8078" t="str">
        <f t="shared" si="1840"/>
        <v>20706</v>
      </c>
      <c r="N8078" t="s">
        <v>2003</v>
      </c>
      <c r="O8078" s="1">
        <v>3303.6</v>
      </c>
      <c r="P8078">
        <v>20190829</v>
      </c>
      <c r="Q8078" t="s">
        <v>2010</v>
      </c>
      <c r="R8078" t="s">
        <v>6346</v>
      </c>
      <c r="S8078" t="s">
        <v>1615</v>
      </c>
      <c r="T8078" t="s">
        <v>1479</v>
      </c>
    </row>
    <row r="8079" spans="1:20" x14ac:dyDescent="0.25">
      <c r="A8079">
        <v>9</v>
      </c>
      <c r="B8079">
        <v>199</v>
      </c>
      <c r="C8079" t="str">
        <f t="shared" si="1835"/>
        <v>51</v>
      </c>
      <c r="D8079">
        <v>6255</v>
      </c>
      <c r="E8079" t="str">
        <f t="shared" si="1836"/>
        <v>10</v>
      </c>
      <c r="F8079" t="str">
        <f>"104"</f>
        <v>104</v>
      </c>
      <c r="G8079">
        <v>9</v>
      </c>
      <c r="H8079" t="str">
        <f t="shared" si="1837"/>
        <v>99</v>
      </c>
      <c r="I8079" t="str">
        <f t="shared" si="1827"/>
        <v>0</v>
      </c>
      <c r="J8079" t="str">
        <f t="shared" si="1838"/>
        <v>73</v>
      </c>
      <c r="K8079">
        <v>20190830</v>
      </c>
      <c r="L8079" t="str">
        <f t="shared" si="1839"/>
        <v>077843</v>
      </c>
      <c r="M8079" t="str">
        <f t="shared" si="1840"/>
        <v>20706</v>
      </c>
      <c r="N8079" t="s">
        <v>2003</v>
      </c>
      <c r="O8079" s="1">
        <v>1710.85</v>
      </c>
      <c r="P8079">
        <v>20190829</v>
      </c>
      <c r="Q8079" t="s">
        <v>2012</v>
      </c>
      <c r="R8079" t="s">
        <v>6347</v>
      </c>
      <c r="S8079" t="s">
        <v>1615</v>
      </c>
      <c r="T8079" t="s">
        <v>46</v>
      </c>
    </row>
    <row r="8080" spans="1:20" x14ac:dyDescent="0.25">
      <c r="A8080">
        <v>9</v>
      </c>
      <c r="B8080">
        <v>199</v>
      </c>
      <c r="C8080" t="str">
        <f t="shared" si="1835"/>
        <v>51</v>
      </c>
      <c r="D8080">
        <v>6255</v>
      </c>
      <c r="E8080" t="str">
        <f t="shared" si="1836"/>
        <v>10</v>
      </c>
      <c r="F8080" t="str">
        <f>"935"</f>
        <v>935</v>
      </c>
      <c r="G8080">
        <v>9</v>
      </c>
      <c r="H8080" t="str">
        <f t="shared" si="1837"/>
        <v>99</v>
      </c>
      <c r="I8080" t="str">
        <f t="shared" si="1827"/>
        <v>0</v>
      </c>
      <c r="J8080" t="str">
        <f t="shared" si="1838"/>
        <v>73</v>
      </c>
      <c r="K8080">
        <v>20190830</v>
      </c>
      <c r="L8080" t="str">
        <f t="shared" si="1839"/>
        <v>077843</v>
      </c>
      <c r="M8080" t="str">
        <f t="shared" si="1840"/>
        <v>20706</v>
      </c>
      <c r="N8080" t="s">
        <v>2003</v>
      </c>
      <c r="O8080">
        <v>632.55999999999995</v>
      </c>
      <c r="P8080">
        <v>20190829</v>
      </c>
      <c r="Q8080" t="s">
        <v>2014</v>
      </c>
      <c r="R8080" t="s">
        <v>6348</v>
      </c>
      <c r="S8080" t="s">
        <v>1615</v>
      </c>
      <c r="T8080" t="s">
        <v>1876</v>
      </c>
    </row>
    <row r="8081" spans="1:20" x14ac:dyDescent="0.25">
      <c r="A8081">
        <v>9</v>
      </c>
      <c r="B8081">
        <v>199</v>
      </c>
      <c r="C8081" t="str">
        <f t="shared" si="1835"/>
        <v>51</v>
      </c>
      <c r="D8081">
        <v>6255</v>
      </c>
      <c r="E8081" t="str">
        <f t="shared" si="1836"/>
        <v>10</v>
      </c>
      <c r="F8081" t="str">
        <f>"936"</f>
        <v>936</v>
      </c>
      <c r="G8081">
        <v>9</v>
      </c>
      <c r="H8081" t="str">
        <f t="shared" si="1837"/>
        <v>99</v>
      </c>
      <c r="I8081" t="str">
        <f t="shared" si="1827"/>
        <v>0</v>
      </c>
      <c r="J8081" t="str">
        <f t="shared" si="1838"/>
        <v>73</v>
      </c>
      <c r="K8081">
        <v>20190830</v>
      </c>
      <c r="L8081" t="str">
        <f t="shared" si="1839"/>
        <v>077843</v>
      </c>
      <c r="M8081" t="str">
        <f t="shared" si="1840"/>
        <v>20706</v>
      </c>
      <c r="N8081" t="s">
        <v>2003</v>
      </c>
      <c r="O8081">
        <v>143.36000000000001</v>
      </c>
      <c r="P8081">
        <v>20190829</v>
      </c>
      <c r="Q8081" t="s">
        <v>2016</v>
      </c>
      <c r="R8081" t="s">
        <v>6349</v>
      </c>
      <c r="S8081" t="s">
        <v>1615</v>
      </c>
      <c r="T8081" t="s">
        <v>1713</v>
      </c>
    </row>
    <row r="8082" spans="1:20" x14ac:dyDescent="0.25">
      <c r="A8082">
        <v>9</v>
      </c>
      <c r="B8082">
        <v>199</v>
      </c>
      <c r="C8082" t="str">
        <f t="shared" si="1835"/>
        <v>51</v>
      </c>
      <c r="D8082">
        <v>6255</v>
      </c>
      <c r="E8082" t="str">
        <f>"11"</f>
        <v>11</v>
      </c>
      <c r="F8082" t="str">
        <f>"104"</f>
        <v>104</v>
      </c>
      <c r="G8082">
        <v>9</v>
      </c>
      <c r="H8082" t="str">
        <f t="shared" si="1837"/>
        <v>99</v>
      </c>
      <c r="I8082" t="str">
        <f t="shared" si="1827"/>
        <v>0</v>
      </c>
      <c r="J8082" t="str">
        <f t="shared" si="1838"/>
        <v>73</v>
      </c>
      <c r="K8082">
        <v>20190830</v>
      </c>
      <c r="L8082" t="str">
        <f t="shared" si="1839"/>
        <v>077843</v>
      </c>
      <c r="M8082" t="str">
        <f t="shared" si="1840"/>
        <v>20706</v>
      </c>
      <c r="N8082" t="s">
        <v>2003</v>
      </c>
      <c r="O8082" s="1">
        <v>1400.36</v>
      </c>
      <c r="P8082">
        <v>20190829</v>
      </c>
      <c r="Q8082" t="s">
        <v>2020</v>
      </c>
      <c r="R8082" t="s">
        <v>6350</v>
      </c>
      <c r="S8082" t="s">
        <v>1615</v>
      </c>
      <c r="T8082" t="s">
        <v>46</v>
      </c>
    </row>
    <row r="8083" spans="1:20" x14ac:dyDescent="0.25">
      <c r="A8083">
        <v>9</v>
      </c>
      <c r="B8083">
        <v>199</v>
      </c>
      <c r="C8083" t="str">
        <f t="shared" si="1835"/>
        <v>51</v>
      </c>
      <c r="D8083">
        <v>6258</v>
      </c>
      <c r="E8083" t="str">
        <f>"10"</f>
        <v>10</v>
      </c>
      <c r="F8083" t="str">
        <f>"041"</f>
        <v>041</v>
      </c>
      <c r="G8083">
        <v>9</v>
      </c>
      <c r="H8083" t="str">
        <f t="shared" si="1837"/>
        <v>99</v>
      </c>
      <c r="I8083" t="str">
        <f t="shared" si="1827"/>
        <v>0</v>
      </c>
      <c r="J8083" t="str">
        <f t="shared" si="1838"/>
        <v>73</v>
      </c>
      <c r="K8083">
        <v>20190830</v>
      </c>
      <c r="L8083" t="str">
        <f t="shared" si="1839"/>
        <v>077843</v>
      </c>
      <c r="M8083" t="str">
        <f t="shared" si="1840"/>
        <v>20706</v>
      </c>
      <c r="N8083" t="s">
        <v>2003</v>
      </c>
      <c r="O8083">
        <v>266.76</v>
      </c>
      <c r="P8083">
        <v>20190829</v>
      </c>
      <c r="Q8083" t="s">
        <v>2027</v>
      </c>
      <c r="R8083" t="s">
        <v>6351</v>
      </c>
      <c r="S8083" t="s">
        <v>1615</v>
      </c>
      <c r="T8083" t="s">
        <v>106</v>
      </c>
    </row>
    <row r="8084" spans="1:20" x14ac:dyDescent="0.25">
      <c r="A8084">
        <v>9</v>
      </c>
      <c r="B8084">
        <v>199</v>
      </c>
      <c r="C8084" t="str">
        <f t="shared" si="1835"/>
        <v>51</v>
      </c>
      <c r="D8084">
        <v>6258</v>
      </c>
      <c r="E8084" t="str">
        <f>"10"</f>
        <v>10</v>
      </c>
      <c r="F8084" t="str">
        <f>"101"</f>
        <v>101</v>
      </c>
      <c r="G8084">
        <v>9</v>
      </c>
      <c r="H8084" t="str">
        <f t="shared" si="1837"/>
        <v>99</v>
      </c>
      <c r="I8084" t="str">
        <f t="shared" si="1827"/>
        <v>0</v>
      </c>
      <c r="J8084" t="str">
        <f t="shared" si="1838"/>
        <v>73</v>
      </c>
      <c r="K8084">
        <v>20190830</v>
      </c>
      <c r="L8084" t="str">
        <f t="shared" si="1839"/>
        <v>077843</v>
      </c>
      <c r="M8084" t="str">
        <f t="shared" si="1840"/>
        <v>20706</v>
      </c>
      <c r="N8084" t="s">
        <v>2003</v>
      </c>
      <c r="O8084">
        <v>201.38</v>
      </c>
      <c r="P8084">
        <v>20190829</v>
      </c>
      <c r="Q8084" t="s">
        <v>2029</v>
      </c>
      <c r="R8084" t="s">
        <v>6352</v>
      </c>
      <c r="S8084" t="s">
        <v>1615</v>
      </c>
      <c r="T8084" t="s">
        <v>1479</v>
      </c>
    </row>
    <row r="8085" spans="1:20" x14ac:dyDescent="0.25">
      <c r="A8085">
        <v>9</v>
      </c>
      <c r="B8085">
        <v>199</v>
      </c>
      <c r="C8085" t="str">
        <f t="shared" si="1835"/>
        <v>51</v>
      </c>
      <c r="D8085">
        <v>6258</v>
      </c>
      <c r="E8085" t="str">
        <f>"10"</f>
        <v>10</v>
      </c>
      <c r="F8085" t="str">
        <f>"104"</f>
        <v>104</v>
      </c>
      <c r="G8085">
        <v>9</v>
      </c>
      <c r="H8085" t="str">
        <f t="shared" si="1837"/>
        <v>99</v>
      </c>
      <c r="I8085" t="str">
        <f t="shared" si="1827"/>
        <v>0</v>
      </c>
      <c r="J8085" t="str">
        <f t="shared" si="1838"/>
        <v>73</v>
      </c>
      <c r="K8085">
        <v>20190830</v>
      </c>
      <c r="L8085" t="str">
        <f t="shared" si="1839"/>
        <v>077843</v>
      </c>
      <c r="M8085" t="str">
        <f t="shared" si="1840"/>
        <v>20706</v>
      </c>
      <c r="N8085" t="s">
        <v>2003</v>
      </c>
      <c r="O8085">
        <v>226.91</v>
      </c>
      <c r="P8085">
        <v>20190829</v>
      </c>
      <c r="Q8085" t="s">
        <v>2031</v>
      </c>
      <c r="R8085" t="s">
        <v>6353</v>
      </c>
      <c r="S8085" t="s">
        <v>1615</v>
      </c>
      <c r="T8085" t="s">
        <v>46</v>
      </c>
    </row>
    <row r="8086" spans="1:20" x14ac:dyDescent="0.25">
      <c r="A8086">
        <v>9</v>
      </c>
      <c r="B8086">
        <v>199</v>
      </c>
      <c r="C8086" t="str">
        <f t="shared" si="1835"/>
        <v>51</v>
      </c>
      <c r="D8086">
        <v>6219</v>
      </c>
      <c r="E8086" t="str">
        <f>"M7"</f>
        <v>M7</v>
      </c>
      <c r="F8086" t="str">
        <f>"936"</f>
        <v>936</v>
      </c>
      <c r="G8086">
        <v>9</v>
      </c>
      <c r="H8086" t="str">
        <f t="shared" si="1837"/>
        <v>99</v>
      </c>
      <c r="I8086" t="str">
        <f t="shared" si="1827"/>
        <v>0</v>
      </c>
      <c r="J8086" t="str">
        <f>"81"</f>
        <v>81</v>
      </c>
      <c r="K8086">
        <v>20190830</v>
      </c>
      <c r="L8086" t="str">
        <f>"077844"</f>
        <v>077844</v>
      </c>
      <c r="M8086" t="str">
        <f>"20696"</f>
        <v>20696</v>
      </c>
      <c r="N8086" t="s">
        <v>4393</v>
      </c>
      <c r="O8086">
        <v>75</v>
      </c>
      <c r="P8086">
        <v>20190829</v>
      </c>
      <c r="Q8086" t="s">
        <v>2259</v>
      </c>
      <c r="R8086" t="s">
        <v>6354</v>
      </c>
      <c r="S8086" t="s">
        <v>1615</v>
      </c>
      <c r="T8086" t="s">
        <v>1713</v>
      </c>
    </row>
    <row r="8087" spans="1:20" x14ac:dyDescent="0.25">
      <c r="A8087">
        <v>9</v>
      </c>
      <c r="B8087">
        <v>199</v>
      </c>
      <c r="C8087" t="str">
        <f t="shared" si="1835"/>
        <v>51</v>
      </c>
      <c r="D8087">
        <v>6256</v>
      </c>
      <c r="E8087" t="str">
        <f>"13"</f>
        <v>13</v>
      </c>
      <c r="F8087" t="str">
        <f>"880"</f>
        <v>880</v>
      </c>
      <c r="G8087">
        <v>9</v>
      </c>
      <c r="H8087" t="str">
        <f t="shared" si="1837"/>
        <v>99</v>
      </c>
      <c r="I8087" t="str">
        <f t="shared" si="1827"/>
        <v>0</v>
      </c>
      <c r="J8087" t="str">
        <f>"80"</f>
        <v>80</v>
      </c>
      <c r="K8087">
        <v>20190830</v>
      </c>
      <c r="L8087" t="str">
        <f>"077845"</f>
        <v>077845</v>
      </c>
      <c r="M8087" t="str">
        <f>"21146"</f>
        <v>21146</v>
      </c>
      <c r="N8087" t="s">
        <v>2367</v>
      </c>
      <c r="O8087" s="1">
        <v>1877.7</v>
      </c>
      <c r="P8087">
        <v>20190829</v>
      </c>
      <c r="Q8087" t="s">
        <v>2368</v>
      </c>
      <c r="R8087" t="s">
        <v>6121</v>
      </c>
      <c r="S8087" t="s">
        <v>1615</v>
      </c>
      <c r="T8087" t="s">
        <v>1866</v>
      </c>
    </row>
    <row r="8088" spans="1:20" x14ac:dyDescent="0.25">
      <c r="A8088">
        <v>9</v>
      </c>
      <c r="B8088">
        <v>199</v>
      </c>
      <c r="C8088" t="str">
        <f t="shared" si="1835"/>
        <v>51</v>
      </c>
      <c r="D8088">
        <v>6249</v>
      </c>
      <c r="E8088" t="str">
        <f>"MC"</f>
        <v>MC</v>
      </c>
      <c r="F8088" t="str">
        <f>"041"</f>
        <v>041</v>
      </c>
      <c r="G8088">
        <v>9</v>
      </c>
      <c r="H8088" t="str">
        <f t="shared" si="1837"/>
        <v>99</v>
      </c>
      <c r="I8088" t="str">
        <f t="shared" ref="I8088:I8120" si="1841">"0"</f>
        <v>0</v>
      </c>
      <c r="J8088" t="str">
        <f>"81"</f>
        <v>81</v>
      </c>
      <c r="K8088">
        <v>20190830</v>
      </c>
      <c r="L8088" t="str">
        <f>"077846"</f>
        <v>077846</v>
      </c>
      <c r="M8088" t="str">
        <f>"24130"</f>
        <v>24130</v>
      </c>
      <c r="N8088" t="s">
        <v>567</v>
      </c>
      <c r="O8088" s="1">
        <v>1388.48</v>
      </c>
      <c r="P8088">
        <v>20190829</v>
      </c>
      <c r="Q8088" t="s">
        <v>1707</v>
      </c>
      <c r="R8088" t="s">
        <v>6355</v>
      </c>
      <c r="S8088" t="s">
        <v>1615</v>
      </c>
      <c r="T8088" t="s">
        <v>106</v>
      </c>
    </row>
    <row r="8089" spans="1:20" x14ac:dyDescent="0.25">
      <c r="A8089">
        <v>9</v>
      </c>
      <c r="B8089">
        <v>199</v>
      </c>
      <c r="C8089" t="str">
        <f t="shared" si="1835"/>
        <v>51</v>
      </c>
      <c r="D8089">
        <v>6319</v>
      </c>
      <c r="E8089" t="str">
        <f>"MC"</f>
        <v>MC</v>
      </c>
      <c r="F8089" t="str">
        <f>"936"</f>
        <v>936</v>
      </c>
      <c r="G8089">
        <v>9</v>
      </c>
      <c r="H8089" t="str">
        <f t="shared" si="1837"/>
        <v>99</v>
      </c>
      <c r="I8089" t="str">
        <f t="shared" si="1841"/>
        <v>0</v>
      </c>
      <c r="J8089" t="str">
        <f>"81"</f>
        <v>81</v>
      </c>
      <c r="K8089">
        <v>20190830</v>
      </c>
      <c r="L8089" t="str">
        <f>"077850"</f>
        <v>077850</v>
      </c>
      <c r="M8089" t="str">
        <f>"29548"</f>
        <v>29548</v>
      </c>
      <c r="N8089" t="s">
        <v>2064</v>
      </c>
      <c r="O8089">
        <v>834.25</v>
      </c>
      <c r="P8089">
        <v>20190830</v>
      </c>
      <c r="Q8089" t="s">
        <v>2060</v>
      </c>
      <c r="R8089" t="s">
        <v>6356</v>
      </c>
      <c r="S8089" t="s">
        <v>1615</v>
      </c>
      <c r="T8089" t="s">
        <v>1713</v>
      </c>
    </row>
    <row r="8090" spans="1:20" x14ac:dyDescent="0.25">
      <c r="A8090">
        <v>9</v>
      </c>
      <c r="B8090">
        <v>199</v>
      </c>
      <c r="C8090" t="str">
        <f>"41"</f>
        <v>41</v>
      </c>
      <c r="D8090">
        <v>6639</v>
      </c>
      <c r="E8090" t="str">
        <f>"10"</f>
        <v>10</v>
      </c>
      <c r="F8090" t="str">
        <f>"933"</f>
        <v>933</v>
      </c>
      <c r="G8090">
        <v>9</v>
      </c>
      <c r="H8090" t="str">
        <f t="shared" si="1837"/>
        <v>99</v>
      </c>
      <c r="I8090" t="str">
        <f t="shared" si="1841"/>
        <v>0</v>
      </c>
      <c r="J8090" t="str">
        <f>"85"</f>
        <v>85</v>
      </c>
      <c r="K8090">
        <v>20190830</v>
      </c>
      <c r="L8090" t="str">
        <f>"077851"</f>
        <v>077851</v>
      </c>
      <c r="M8090" t="str">
        <f>"29610"</f>
        <v>29610</v>
      </c>
      <c r="N8090" t="s">
        <v>2067</v>
      </c>
      <c r="O8090" s="1">
        <v>15999</v>
      </c>
      <c r="P8090">
        <v>20190830</v>
      </c>
      <c r="Q8090" t="s">
        <v>6357</v>
      </c>
      <c r="R8090" t="s">
        <v>6358</v>
      </c>
      <c r="S8090" t="s">
        <v>1615</v>
      </c>
      <c r="T8090" t="s">
        <v>1643</v>
      </c>
    </row>
    <row r="8091" spans="1:20" x14ac:dyDescent="0.25">
      <c r="A8091">
        <v>9</v>
      </c>
      <c r="B8091">
        <v>199</v>
      </c>
      <c r="C8091" t="str">
        <f t="shared" ref="C8091:C8099" si="1842">"11"</f>
        <v>11</v>
      </c>
      <c r="D8091">
        <v>6399</v>
      </c>
      <c r="E8091" t="str">
        <f>"74"</f>
        <v>74</v>
      </c>
      <c r="F8091" t="str">
        <f>"041"</f>
        <v>041</v>
      </c>
      <c r="G8091">
        <v>9</v>
      </c>
      <c r="H8091" t="str">
        <f>"11"</f>
        <v>11</v>
      </c>
      <c r="I8091" t="str">
        <f t="shared" si="1841"/>
        <v>0</v>
      </c>
      <c r="J8091" t="str">
        <f>"03"</f>
        <v>03</v>
      </c>
      <c r="K8091">
        <v>20190830</v>
      </c>
      <c r="L8091" t="str">
        <f>"077852"</f>
        <v>077852</v>
      </c>
      <c r="M8091" t="str">
        <f>"30132"</f>
        <v>30132</v>
      </c>
      <c r="N8091" t="s">
        <v>2756</v>
      </c>
      <c r="O8091">
        <v>403.54</v>
      </c>
      <c r="P8091">
        <v>20190829</v>
      </c>
      <c r="Q8091" t="s">
        <v>2302</v>
      </c>
      <c r="R8091" t="s">
        <v>3456</v>
      </c>
      <c r="S8091" t="s">
        <v>1615</v>
      </c>
      <c r="T8091" t="s">
        <v>106</v>
      </c>
    </row>
    <row r="8092" spans="1:20" x14ac:dyDescent="0.25">
      <c r="A8092">
        <v>9</v>
      </c>
      <c r="B8092">
        <v>199</v>
      </c>
      <c r="C8092" t="str">
        <f t="shared" si="1842"/>
        <v>11</v>
      </c>
      <c r="D8092">
        <v>6399</v>
      </c>
      <c r="E8092" t="str">
        <f>"74"</f>
        <v>74</v>
      </c>
      <c r="F8092" t="str">
        <f>"041"</f>
        <v>041</v>
      </c>
      <c r="G8092">
        <v>9</v>
      </c>
      <c r="H8092" t="str">
        <f>"11"</f>
        <v>11</v>
      </c>
      <c r="I8092" t="str">
        <f t="shared" si="1841"/>
        <v>0</v>
      </c>
      <c r="J8092" t="str">
        <f>"03"</f>
        <v>03</v>
      </c>
      <c r="K8092">
        <v>20190830</v>
      </c>
      <c r="L8092" t="str">
        <f>"077852"</f>
        <v>077852</v>
      </c>
      <c r="M8092" t="str">
        <f>"30132"</f>
        <v>30132</v>
      </c>
      <c r="N8092" t="s">
        <v>2756</v>
      </c>
      <c r="O8092">
        <v>119.61</v>
      </c>
      <c r="P8092">
        <v>20190829</v>
      </c>
      <c r="Q8092" t="s">
        <v>2302</v>
      </c>
      <c r="R8092" t="s">
        <v>6359</v>
      </c>
      <c r="S8092" t="s">
        <v>1615</v>
      </c>
      <c r="T8092" t="s">
        <v>106</v>
      </c>
    </row>
    <row r="8093" spans="1:20" x14ac:dyDescent="0.25">
      <c r="A8093">
        <v>9</v>
      </c>
      <c r="B8093">
        <v>199</v>
      </c>
      <c r="C8093" t="str">
        <f t="shared" si="1842"/>
        <v>11</v>
      </c>
      <c r="D8093">
        <v>6321</v>
      </c>
      <c r="E8093" t="str">
        <f t="shared" ref="E8093:E8099" si="1843">"DC"</f>
        <v>DC</v>
      </c>
      <c r="F8093" t="str">
        <f t="shared" ref="F8093:F8099" si="1844">"001"</f>
        <v>001</v>
      </c>
      <c r="G8093">
        <v>9</v>
      </c>
      <c r="H8093" t="str">
        <f t="shared" ref="H8093:H8099" si="1845">"31"</f>
        <v>31</v>
      </c>
      <c r="I8093" t="str">
        <f t="shared" si="1841"/>
        <v>0</v>
      </c>
      <c r="J8093" t="str">
        <f t="shared" ref="J8093:J8099" si="1846">"34"</f>
        <v>34</v>
      </c>
      <c r="K8093">
        <v>20190830</v>
      </c>
      <c r="L8093" t="str">
        <f t="shared" ref="L8093:L8099" si="1847">"077854"</f>
        <v>077854</v>
      </c>
      <c r="M8093" t="str">
        <f t="shared" ref="M8093:M8099" si="1848">"30389"</f>
        <v>30389</v>
      </c>
      <c r="N8093" t="s">
        <v>3776</v>
      </c>
      <c r="O8093" s="1">
        <v>7985.25</v>
      </c>
      <c r="P8093">
        <v>20190829</v>
      </c>
      <c r="Q8093" t="s">
        <v>3777</v>
      </c>
      <c r="R8093" t="s">
        <v>6360</v>
      </c>
      <c r="S8093" t="s">
        <v>1615</v>
      </c>
      <c r="T8093" t="s">
        <v>301</v>
      </c>
    </row>
    <row r="8094" spans="1:20" x14ac:dyDescent="0.25">
      <c r="A8094">
        <v>9</v>
      </c>
      <c r="B8094">
        <v>199</v>
      </c>
      <c r="C8094" t="str">
        <f t="shared" si="1842"/>
        <v>11</v>
      </c>
      <c r="D8094">
        <v>6321</v>
      </c>
      <c r="E8094" t="str">
        <f t="shared" si="1843"/>
        <v>DC</v>
      </c>
      <c r="F8094" t="str">
        <f t="shared" si="1844"/>
        <v>001</v>
      </c>
      <c r="G8094">
        <v>9</v>
      </c>
      <c r="H8094" t="str">
        <f t="shared" si="1845"/>
        <v>31</v>
      </c>
      <c r="I8094" t="str">
        <f t="shared" si="1841"/>
        <v>0</v>
      </c>
      <c r="J8094" t="str">
        <f t="shared" si="1846"/>
        <v>34</v>
      </c>
      <c r="K8094">
        <v>20190830</v>
      </c>
      <c r="L8094" t="str">
        <f t="shared" si="1847"/>
        <v>077854</v>
      </c>
      <c r="M8094" t="str">
        <f t="shared" si="1848"/>
        <v>30389</v>
      </c>
      <c r="N8094" t="s">
        <v>3776</v>
      </c>
      <c r="O8094" s="1">
        <v>4494.6000000000004</v>
      </c>
      <c r="P8094">
        <v>20190829</v>
      </c>
      <c r="Q8094" t="s">
        <v>3777</v>
      </c>
      <c r="R8094" t="s">
        <v>6361</v>
      </c>
      <c r="S8094" t="s">
        <v>1615</v>
      </c>
      <c r="T8094" t="s">
        <v>301</v>
      </c>
    </row>
    <row r="8095" spans="1:20" x14ac:dyDescent="0.25">
      <c r="A8095">
        <v>9</v>
      </c>
      <c r="B8095">
        <v>199</v>
      </c>
      <c r="C8095" t="str">
        <f t="shared" si="1842"/>
        <v>11</v>
      </c>
      <c r="D8095">
        <v>6321</v>
      </c>
      <c r="E8095" t="str">
        <f t="shared" si="1843"/>
        <v>DC</v>
      </c>
      <c r="F8095" t="str">
        <f t="shared" si="1844"/>
        <v>001</v>
      </c>
      <c r="G8095">
        <v>9</v>
      </c>
      <c r="H8095" t="str">
        <f t="shared" si="1845"/>
        <v>31</v>
      </c>
      <c r="I8095" t="str">
        <f t="shared" si="1841"/>
        <v>0</v>
      </c>
      <c r="J8095" t="str">
        <f t="shared" si="1846"/>
        <v>34</v>
      </c>
      <c r="K8095">
        <v>20190830</v>
      </c>
      <c r="L8095" t="str">
        <f t="shared" si="1847"/>
        <v>077854</v>
      </c>
      <c r="M8095" t="str">
        <f t="shared" si="1848"/>
        <v>30389</v>
      </c>
      <c r="N8095" t="s">
        <v>3776</v>
      </c>
      <c r="O8095" s="1">
        <v>6486.6</v>
      </c>
      <c r="P8095">
        <v>20190829</v>
      </c>
      <c r="Q8095" t="s">
        <v>3777</v>
      </c>
      <c r="R8095" t="s">
        <v>6362</v>
      </c>
      <c r="S8095" t="s">
        <v>1615</v>
      </c>
      <c r="T8095" t="s">
        <v>301</v>
      </c>
    </row>
    <row r="8096" spans="1:20" x14ac:dyDescent="0.25">
      <c r="A8096">
        <v>9</v>
      </c>
      <c r="B8096">
        <v>199</v>
      </c>
      <c r="C8096" t="str">
        <f t="shared" si="1842"/>
        <v>11</v>
      </c>
      <c r="D8096">
        <v>6321</v>
      </c>
      <c r="E8096" t="str">
        <f t="shared" si="1843"/>
        <v>DC</v>
      </c>
      <c r="F8096" t="str">
        <f t="shared" si="1844"/>
        <v>001</v>
      </c>
      <c r="G8096">
        <v>9</v>
      </c>
      <c r="H8096" t="str">
        <f t="shared" si="1845"/>
        <v>31</v>
      </c>
      <c r="I8096" t="str">
        <f t="shared" si="1841"/>
        <v>0</v>
      </c>
      <c r="J8096" t="str">
        <f t="shared" si="1846"/>
        <v>34</v>
      </c>
      <c r="K8096">
        <v>20190830</v>
      </c>
      <c r="L8096" t="str">
        <f t="shared" si="1847"/>
        <v>077854</v>
      </c>
      <c r="M8096" t="str">
        <f t="shared" si="1848"/>
        <v>30389</v>
      </c>
      <c r="N8096" t="s">
        <v>3776</v>
      </c>
      <c r="O8096" s="1">
        <v>5373.9</v>
      </c>
      <c r="P8096">
        <v>20190829</v>
      </c>
      <c r="Q8096" t="s">
        <v>3777</v>
      </c>
      <c r="R8096" t="s">
        <v>6363</v>
      </c>
      <c r="S8096" t="s">
        <v>1615</v>
      </c>
      <c r="T8096" t="s">
        <v>301</v>
      </c>
    </row>
    <row r="8097" spans="1:20" x14ac:dyDescent="0.25">
      <c r="A8097">
        <v>9</v>
      </c>
      <c r="B8097">
        <v>199</v>
      </c>
      <c r="C8097" t="str">
        <f t="shared" si="1842"/>
        <v>11</v>
      </c>
      <c r="D8097">
        <v>6321</v>
      </c>
      <c r="E8097" t="str">
        <f t="shared" si="1843"/>
        <v>DC</v>
      </c>
      <c r="F8097" t="str">
        <f t="shared" si="1844"/>
        <v>001</v>
      </c>
      <c r="G8097">
        <v>9</v>
      </c>
      <c r="H8097" t="str">
        <f t="shared" si="1845"/>
        <v>31</v>
      </c>
      <c r="I8097" t="str">
        <f t="shared" si="1841"/>
        <v>0</v>
      </c>
      <c r="J8097" t="str">
        <f t="shared" si="1846"/>
        <v>34</v>
      </c>
      <c r="K8097">
        <v>20190830</v>
      </c>
      <c r="L8097" t="str">
        <f t="shared" si="1847"/>
        <v>077854</v>
      </c>
      <c r="M8097" t="str">
        <f t="shared" si="1848"/>
        <v>30389</v>
      </c>
      <c r="N8097" t="s">
        <v>3776</v>
      </c>
      <c r="O8097">
        <v>432.13</v>
      </c>
      <c r="P8097">
        <v>20190829</v>
      </c>
      <c r="Q8097" t="s">
        <v>3777</v>
      </c>
      <c r="R8097" t="s">
        <v>6364</v>
      </c>
      <c r="S8097" t="s">
        <v>1615</v>
      </c>
      <c r="T8097" t="s">
        <v>301</v>
      </c>
    </row>
    <row r="8098" spans="1:20" x14ac:dyDescent="0.25">
      <c r="A8098">
        <v>9</v>
      </c>
      <c r="B8098">
        <v>199</v>
      </c>
      <c r="C8098" t="str">
        <f t="shared" si="1842"/>
        <v>11</v>
      </c>
      <c r="D8098">
        <v>6321</v>
      </c>
      <c r="E8098" t="str">
        <f t="shared" si="1843"/>
        <v>DC</v>
      </c>
      <c r="F8098" t="str">
        <f t="shared" si="1844"/>
        <v>001</v>
      </c>
      <c r="G8098">
        <v>9</v>
      </c>
      <c r="H8098" t="str">
        <f t="shared" si="1845"/>
        <v>31</v>
      </c>
      <c r="I8098" t="str">
        <f t="shared" si="1841"/>
        <v>0</v>
      </c>
      <c r="J8098" t="str">
        <f t="shared" si="1846"/>
        <v>34</v>
      </c>
      <c r="K8098">
        <v>20190830</v>
      </c>
      <c r="L8098" t="str">
        <f t="shared" si="1847"/>
        <v>077854</v>
      </c>
      <c r="M8098" t="str">
        <f t="shared" si="1848"/>
        <v>30389</v>
      </c>
      <c r="N8098" t="s">
        <v>3776</v>
      </c>
      <c r="O8098" s="1">
        <v>13076.1</v>
      </c>
      <c r="P8098">
        <v>20190829</v>
      </c>
      <c r="Q8098" t="s">
        <v>3777</v>
      </c>
      <c r="R8098" t="s">
        <v>6365</v>
      </c>
      <c r="S8098" t="s">
        <v>1615</v>
      </c>
      <c r="T8098" t="s">
        <v>301</v>
      </c>
    </row>
    <row r="8099" spans="1:20" x14ac:dyDescent="0.25">
      <c r="A8099">
        <v>9</v>
      </c>
      <c r="B8099">
        <v>199</v>
      </c>
      <c r="C8099" t="str">
        <f t="shared" si="1842"/>
        <v>11</v>
      </c>
      <c r="D8099">
        <v>6321</v>
      </c>
      <c r="E8099" t="str">
        <f t="shared" si="1843"/>
        <v>DC</v>
      </c>
      <c r="F8099" t="str">
        <f t="shared" si="1844"/>
        <v>001</v>
      </c>
      <c r="G8099">
        <v>9</v>
      </c>
      <c r="H8099" t="str">
        <f t="shared" si="1845"/>
        <v>31</v>
      </c>
      <c r="I8099" t="str">
        <f t="shared" si="1841"/>
        <v>0</v>
      </c>
      <c r="J8099" t="str">
        <f t="shared" si="1846"/>
        <v>34</v>
      </c>
      <c r="K8099">
        <v>20190830</v>
      </c>
      <c r="L8099" t="str">
        <f t="shared" si="1847"/>
        <v>077854</v>
      </c>
      <c r="M8099" t="str">
        <f t="shared" si="1848"/>
        <v>30389</v>
      </c>
      <c r="N8099" t="s">
        <v>3776</v>
      </c>
      <c r="O8099">
        <v>135</v>
      </c>
      <c r="P8099">
        <v>20190829</v>
      </c>
      <c r="Q8099" t="s">
        <v>3777</v>
      </c>
      <c r="R8099" t="s">
        <v>6366</v>
      </c>
      <c r="S8099" t="s">
        <v>1615</v>
      </c>
      <c r="T8099" t="s">
        <v>301</v>
      </c>
    </row>
    <row r="8100" spans="1:20" x14ac:dyDescent="0.25">
      <c r="A8100">
        <v>9</v>
      </c>
      <c r="B8100">
        <v>199</v>
      </c>
      <c r="C8100" t="str">
        <f>"51"</f>
        <v>51</v>
      </c>
      <c r="D8100">
        <v>6319</v>
      </c>
      <c r="E8100" t="str">
        <f>"MC"</f>
        <v>MC</v>
      </c>
      <c r="F8100" t="str">
        <f>"936"</f>
        <v>936</v>
      </c>
      <c r="G8100">
        <v>9</v>
      </c>
      <c r="H8100" t="str">
        <f>"99"</f>
        <v>99</v>
      </c>
      <c r="I8100" t="str">
        <f t="shared" si="1841"/>
        <v>0</v>
      </c>
      <c r="J8100" t="str">
        <f>"81"</f>
        <v>81</v>
      </c>
      <c r="K8100">
        <v>20190830</v>
      </c>
      <c r="L8100" t="str">
        <f>"077856"</f>
        <v>077856</v>
      </c>
      <c r="M8100" t="str">
        <f>"41230"</f>
        <v>41230</v>
      </c>
      <c r="N8100" t="s">
        <v>1350</v>
      </c>
      <c r="O8100">
        <v>89.29</v>
      </c>
      <c r="P8100">
        <v>20190829</v>
      </c>
      <c r="Q8100" t="s">
        <v>2060</v>
      </c>
      <c r="R8100" t="s">
        <v>6367</v>
      </c>
      <c r="S8100" t="s">
        <v>1615</v>
      </c>
      <c r="T8100" t="s">
        <v>1713</v>
      </c>
    </row>
    <row r="8101" spans="1:20" x14ac:dyDescent="0.25">
      <c r="A8101">
        <v>9</v>
      </c>
      <c r="B8101">
        <v>199</v>
      </c>
      <c r="C8101" t="str">
        <f>"51"</f>
        <v>51</v>
      </c>
      <c r="D8101">
        <v>6319</v>
      </c>
      <c r="E8101" t="str">
        <f>"MC"</f>
        <v>MC</v>
      </c>
      <c r="F8101" t="str">
        <f>"936"</f>
        <v>936</v>
      </c>
      <c r="G8101">
        <v>9</v>
      </c>
      <c r="H8101" t="str">
        <f>"99"</f>
        <v>99</v>
      </c>
      <c r="I8101" t="str">
        <f t="shared" si="1841"/>
        <v>0</v>
      </c>
      <c r="J8101" t="str">
        <f>"81"</f>
        <v>81</v>
      </c>
      <c r="K8101">
        <v>20190830</v>
      </c>
      <c r="L8101" t="str">
        <f>"077856"</f>
        <v>077856</v>
      </c>
      <c r="M8101" t="str">
        <f>"41230"</f>
        <v>41230</v>
      </c>
      <c r="N8101" t="s">
        <v>1350</v>
      </c>
      <c r="O8101">
        <v>51.89</v>
      </c>
      <c r="P8101">
        <v>20190829</v>
      </c>
      <c r="Q8101" t="s">
        <v>2060</v>
      </c>
      <c r="R8101" t="s">
        <v>6368</v>
      </c>
      <c r="S8101" t="s">
        <v>1615</v>
      </c>
      <c r="T8101" t="s">
        <v>1713</v>
      </c>
    </row>
    <row r="8102" spans="1:20" x14ac:dyDescent="0.25">
      <c r="A8102">
        <v>9</v>
      </c>
      <c r="B8102">
        <v>199</v>
      </c>
      <c r="C8102" t="str">
        <f>"51"</f>
        <v>51</v>
      </c>
      <c r="D8102">
        <v>6319</v>
      </c>
      <c r="E8102" t="str">
        <f>"MC"</f>
        <v>MC</v>
      </c>
      <c r="F8102" t="str">
        <f>"936"</f>
        <v>936</v>
      </c>
      <c r="G8102">
        <v>9</v>
      </c>
      <c r="H8102" t="str">
        <f>"99"</f>
        <v>99</v>
      </c>
      <c r="I8102" t="str">
        <f t="shared" si="1841"/>
        <v>0</v>
      </c>
      <c r="J8102" t="str">
        <f>"81"</f>
        <v>81</v>
      </c>
      <c r="K8102">
        <v>20190830</v>
      </c>
      <c r="L8102" t="str">
        <f>"077856"</f>
        <v>077856</v>
      </c>
      <c r="M8102" t="str">
        <f>"41230"</f>
        <v>41230</v>
      </c>
      <c r="N8102" t="s">
        <v>1350</v>
      </c>
      <c r="O8102">
        <v>278.31</v>
      </c>
      <c r="P8102">
        <v>20190829</v>
      </c>
      <c r="Q8102" t="s">
        <v>2060</v>
      </c>
      <c r="R8102" t="s">
        <v>2188</v>
      </c>
      <c r="S8102" t="s">
        <v>1615</v>
      </c>
      <c r="T8102" t="s">
        <v>1713</v>
      </c>
    </row>
    <row r="8103" spans="1:20" x14ac:dyDescent="0.25">
      <c r="A8103">
        <v>9</v>
      </c>
      <c r="B8103">
        <v>199</v>
      </c>
      <c r="C8103" t="str">
        <f>"51"</f>
        <v>51</v>
      </c>
      <c r="D8103">
        <v>6319</v>
      </c>
      <c r="E8103" t="str">
        <f>"MC"</f>
        <v>MC</v>
      </c>
      <c r="F8103" t="str">
        <f>"936"</f>
        <v>936</v>
      </c>
      <c r="G8103">
        <v>9</v>
      </c>
      <c r="H8103" t="str">
        <f>"99"</f>
        <v>99</v>
      </c>
      <c r="I8103" t="str">
        <f t="shared" si="1841"/>
        <v>0</v>
      </c>
      <c r="J8103" t="str">
        <f>"81"</f>
        <v>81</v>
      </c>
      <c r="K8103">
        <v>20190830</v>
      </c>
      <c r="L8103" t="str">
        <f>"077856"</f>
        <v>077856</v>
      </c>
      <c r="M8103" t="str">
        <f>"41230"</f>
        <v>41230</v>
      </c>
      <c r="N8103" t="s">
        <v>1350</v>
      </c>
      <c r="O8103">
        <v>86.78</v>
      </c>
      <c r="P8103">
        <v>20190829</v>
      </c>
      <c r="Q8103" t="s">
        <v>2060</v>
      </c>
      <c r="R8103" t="s">
        <v>2188</v>
      </c>
      <c r="S8103" t="s">
        <v>1615</v>
      </c>
      <c r="T8103" t="s">
        <v>1713</v>
      </c>
    </row>
    <row r="8104" spans="1:20" x14ac:dyDescent="0.25">
      <c r="A8104">
        <v>9</v>
      </c>
      <c r="B8104">
        <v>199</v>
      </c>
      <c r="C8104" t="str">
        <f>"51"</f>
        <v>51</v>
      </c>
      <c r="D8104">
        <v>6319</v>
      </c>
      <c r="E8104" t="str">
        <f>"MC"</f>
        <v>MC</v>
      </c>
      <c r="F8104" t="str">
        <f>"936"</f>
        <v>936</v>
      </c>
      <c r="G8104">
        <v>9</v>
      </c>
      <c r="H8104" t="str">
        <f>"99"</f>
        <v>99</v>
      </c>
      <c r="I8104" t="str">
        <f t="shared" si="1841"/>
        <v>0</v>
      </c>
      <c r="J8104" t="str">
        <f>"81"</f>
        <v>81</v>
      </c>
      <c r="K8104">
        <v>20190830</v>
      </c>
      <c r="L8104" t="str">
        <f>"077856"</f>
        <v>077856</v>
      </c>
      <c r="M8104" t="str">
        <f>"41230"</f>
        <v>41230</v>
      </c>
      <c r="N8104" t="s">
        <v>1350</v>
      </c>
      <c r="O8104" s="1">
        <v>2423.58</v>
      </c>
      <c r="P8104">
        <v>20190829</v>
      </c>
      <c r="Q8104" t="s">
        <v>2060</v>
      </c>
      <c r="R8104" t="s">
        <v>6369</v>
      </c>
      <c r="S8104" t="s">
        <v>1615</v>
      </c>
      <c r="T8104" t="s">
        <v>1713</v>
      </c>
    </row>
    <row r="8105" spans="1:20" x14ac:dyDescent="0.25">
      <c r="A8105">
        <v>9</v>
      </c>
      <c r="B8105">
        <v>199</v>
      </c>
      <c r="C8105" t="str">
        <f>"13"</f>
        <v>13</v>
      </c>
      <c r="D8105">
        <v>6411</v>
      </c>
      <c r="E8105" t="str">
        <f>"VL"</f>
        <v>VL</v>
      </c>
      <c r="F8105" t="str">
        <f>"001"</f>
        <v>001</v>
      </c>
      <c r="G8105">
        <v>9</v>
      </c>
      <c r="H8105" t="str">
        <f>"22"</f>
        <v>22</v>
      </c>
      <c r="I8105" t="str">
        <f t="shared" si="1841"/>
        <v>0</v>
      </c>
      <c r="J8105" t="str">
        <f>"22"</f>
        <v>22</v>
      </c>
      <c r="K8105">
        <v>20190830</v>
      </c>
      <c r="L8105" t="str">
        <f>"077857"</f>
        <v>077857</v>
      </c>
      <c r="M8105" t="str">
        <f>"42212"</f>
        <v>42212</v>
      </c>
      <c r="N8105" t="s">
        <v>1892</v>
      </c>
      <c r="O8105">
        <v>129.34</v>
      </c>
      <c r="P8105">
        <v>20190829</v>
      </c>
      <c r="Q8105" t="s">
        <v>4756</v>
      </c>
      <c r="R8105" t="s">
        <v>5066</v>
      </c>
      <c r="S8105" t="s">
        <v>1615</v>
      </c>
      <c r="T8105" t="s">
        <v>301</v>
      </c>
    </row>
    <row r="8106" spans="1:20" x14ac:dyDescent="0.25">
      <c r="A8106">
        <v>9</v>
      </c>
      <c r="B8106">
        <v>199</v>
      </c>
      <c r="C8106" t="str">
        <f>"52"</f>
        <v>52</v>
      </c>
      <c r="D8106">
        <v>6299</v>
      </c>
      <c r="E8106" t="str">
        <f>"10"</f>
        <v>10</v>
      </c>
      <c r="F8106" t="str">
        <f>"001"</f>
        <v>001</v>
      </c>
      <c r="G8106">
        <v>9</v>
      </c>
      <c r="H8106" t="str">
        <f t="shared" ref="H8106:H8124" si="1849">"99"</f>
        <v>99</v>
      </c>
      <c r="I8106" t="str">
        <f t="shared" si="1841"/>
        <v>0</v>
      </c>
      <c r="J8106" t="str">
        <f>"87"</f>
        <v>87</v>
      </c>
      <c r="K8106">
        <v>20190830</v>
      </c>
      <c r="L8106" t="str">
        <f>"077858"</f>
        <v>077858</v>
      </c>
      <c r="M8106" t="str">
        <f>"44450"</f>
        <v>44450</v>
      </c>
      <c r="N8106" t="s">
        <v>2500</v>
      </c>
      <c r="O8106">
        <v>250</v>
      </c>
      <c r="P8106">
        <v>20190830</v>
      </c>
      <c r="Q8106" t="s">
        <v>2501</v>
      </c>
      <c r="R8106" t="s">
        <v>6370</v>
      </c>
      <c r="S8106" t="s">
        <v>1615</v>
      </c>
      <c r="T8106" t="s">
        <v>301</v>
      </c>
    </row>
    <row r="8107" spans="1:20" x14ac:dyDescent="0.25">
      <c r="A8107">
        <v>9</v>
      </c>
      <c r="B8107">
        <v>199</v>
      </c>
      <c r="C8107" t="str">
        <f>"51"</f>
        <v>51</v>
      </c>
      <c r="D8107">
        <v>6319</v>
      </c>
      <c r="E8107" t="str">
        <f>"MC"</f>
        <v>MC</v>
      </c>
      <c r="F8107" t="str">
        <f>"936"</f>
        <v>936</v>
      </c>
      <c r="G8107">
        <v>9</v>
      </c>
      <c r="H8107" t="str">
        <f t="shared" si="1849"/>
        <v>99</v>
      </c>
      <c r="I8107" t="str">
        <f t="shared" si="1841"/>
        <v>0</v>
      </c>
      <c r="J8107" t="str">
        <f>"81"</f>
        <v>81</v>
      </c>
      <c r="K8107">
        <v>20190830</v>
      </c>
      <c r="L8107" t="str">
        <f>"077859"</f>
        <v>077859</v>
      </c>
      <c r="M8107" t="str">
        <f>"45492"</f>
        <v>45492</v>
      </c>
      <c r="N8107" t="s">
        <v>3410</v>
      </c>
      <c r="O8107">
        <v>184.02</v>
      </c>
      <c r="P8107">
        <v>20190829</v>
      </c>
      <c r="Q8107" t="s">
        <v>2060</v>
      </c>
      <c r="R8107" t="s">
        <v>2188</v>
      </c>
      <c r="S8107" t="s">
        <v>1615</v>
      </c>
      <c r="T8107" t="s">
        <v>1713</v>
      </c>
    </row>
    <row r="8108" spans="1:20" x14ac:dyDescent="0.25">
      <c r="A8108">
        <v>9</v>
      </c>
      <c r="B8108">
        <v>199</v>
      </c>
      <c r="C8108" t="str">
        <f>"51"</f>
        <v>51</v>
      </c>
      <c r="D8108">
        <v>6249</v>
      </c>
      <c r="E8108" t="str">
        <f>"MC"</f>
        <v>MC</v>
      </c>
      <c r="F8108" t="str">
        <f>"001"</f>
        <v>001</v>
      </c>
      <c r="G8108">
        <v>9</v>
      </c>
      <c r="H8108" t="str">
        <f t="shared" si="1849"/>
        <v>99</v>
      </c>
      <c r="I8108" t="str">
        <f t="shared" si="1841"/>
        <v>0</v>
      </c>
      <c r="J8108" t="str">
        <f>"81"</f>
        <v>81</v>
      </c>
      <c r="K8108">
        <v>20190830</v>
      </c>
      <c r="L8108" t="str">
        <f>"077860"</f>
        <v>077860</v>
      </c>
      <c r="M8108" t="str">
        <f>"46369"</f>
        <v>46369</v>
      </c>
      <c r="N8108" t="s">
        <v>2086</v>
      </c>
      <c r="O8108" s="1">
        <v>2746.55</v>
      </c>
      <c r="P8108">
        <v>20190830</v>
      </c>
      <c r="Q8108" t="s">
        <v>2386</v>
      </c>
      <c r="R8108" t="s">
        <v>6371</v>
      </c>
      <c r="S8108" t="s">
        <v>1615</v>
      </c>
      <c r="T8108" t="s">
        <v>301</v>
      </c>
    </row>
    <row r="8109" spans="1:20" x14ac:dyDescent="0.25">
      <c r="A8109">
        <v>9</v>
      </c>
      <c r="B8109">
        <v>199</v>
      </c>
      <c r="C8109" t="str">
        <f>"51"</f>
        <v>51</v>
      </c>
      <c r="D8109">
        <v>6319</v>
      </c>
      <c r="E8109" t="str">
        <f>"MC"</f>
        <v>MC</v>
      </c>
      <c r="F8109" t="str">
        <f>"936"</f>
        <v>936</v>
      </c>
      <c r="G8109">
        <v>9</v>
      </c>
      <c r="H8109" t="str">
        <f t="shared" si="1849"/>
        <v>99</v>
      </c>
      <c r="I8109" t="str">
        <f t="shared" si="1841"/>
        <v>0</v>
      </c>
      <c r="J8109" t="str">
        <f>"81"</f>
        <v>81</v>
      </c>
      <c r="K8109">
        <v>20190830</v>
      </c>
      <c r="L8109" t="str">
        <f>"077861"</f>
        <v>077861</v>
      </c>
      <c r="M8109" t="str">
        <f>"47725"</f>
        <v>47725</v>
      </c>
      <c r="N8109" t="s">
        <v>2095</v>
      </c>
      <c r="O8109">
        <v>97</v>
      </c>
      <c r="P8109">
        <v>20190829</v>
      </c>
      <c r="Q8109" t="s">
        <v>2060</v>
      </c>
      <c r="R8109" t="s">
        <v>6372</v>
      </c>
      <c r="S8109" t="s">
        <v>1615</v>
      </c>
      <c r="T8109" t="s">
        <v>1713</v>
      </c>
    </row>
    <row r="8110" spans="1:20" x14ac:dyDescent="0.25">
      <c r="A8110">
        <v>9</v>
      </c>
      <c r="B8110">
        <v>199</v>
      </c>
      <c r="C8110" t="str">
        <f>"51"</f>
        <v>51</v>
      </c>
      <c r="D8110">
        <v>6319</v>
      </c>
      <c r="E8110" t="str">
        <f>"MC"</f>
        <v>MC</v>
      </c>
      <c r="F8110" t="str">
        <f>"936"</f>
        <v>936</v>
      </c>
      <c r="G8110">
        <v>9</v>
      </c>
      <c r="H8110" t="str">
        <f t="shared" si="1849"/>
        <v>99</v>
      </c>
      <c r="I8110" t="str">
        <f t="shared" si="1841"/>
        <v>0</v>
      </c>
      <c r="J8110" t="str">
        <f>"81"</f>
        <v>81</v>
      </c>
      <c r="K8110">
        <v>20190830</v>
      </c>
      <c r="L8110" t="str">
        <f>"077861"</f>
        <v>077861</v>
      </c>
      <c r="M8110" t="str">
        <f>"47725"</f>
        <v>47725</v>
      </c>
      <c r="N8110" t="s">
        <v>2095</v>
      </c>
      <c r="O8110">
        <v>261.7</v>
      </c>
      <c r="P8110">
        <v>20190830</v>
      </c>
      <c r="Q8110" t="s">
        <v>2060</v>
      </c>
      <c r="R8110" t="s">
        <v>6373</v>
      </c>
      <c r="S8110" t="s">
        <v>1615</v>
      </c>
      <c r="T8110" t="s">
        <v>1713</v>
      </c>
    </row>
    <row r="8111" spans="1:20" x14ac:dyDescent="0.25">
      <c r="A8111">
        <v>9</v>
      </c>
      <c r="B8111">
        <v>199</v>
      </c>
      <c r="C8111" t="str">
        <f>"34"</f>
        <v>34</v>
      </c>
      <c r="D8111">
        <v>6397</v>
      </c>
      <c r="E8111" t="str">
        <f>"10"</f>
        <v>10</v>
      </c>
      <c r="F8111" t="str">
        <f>"937"</f>
        <v>937</v>
      </c>
      <c r="G8111">
        <v>9</v>
      </c>
      <c r="H8111" t="str">
        <f t="shared" si="1849"/>
        <v>99</v>
      </c>
      <c r="I8111" t="str">
        <f t="shared" si="1841"/>
        <v>0</v>
      </c>
      <c r="J8111" t="str">
        <f>"82"</f>
        <v>82</v>
      </c>
      <c r="K8111">
        <v>20190830</v>
      </c>
      <c r="L8111" t="str">
        <f>"077863"</f>
        <v>077863</v>
      </c>
      <c r="M8111" t="str">
        <f>"49786"</f>
        <v>49786</v>
      </c>
      <c r="N8111" t="s">
        <v>3898</v>
      </c>
      <c r="O8111">
        <v>8.6199999999999992</v>
      </c>
      <c r="P8111">
        <v>20190829</v>
      </c>
      <c r="Q8111" t="s">
        <v>6374</v>
      </c>
      <c r="R8111" t="s">
        <v>6375</v>
      </c>
      <c r="S8111" t="s">
        <v>1615</v>
      </c>
      <c r="T8111" t="s">
        <v>1810</v>
      </c>
    </row>
    <row r="8112" spans="1:20" x14ac:dyDescent="0.25">
      <c r="A8112">
        <v>9</v>
      </c>
      <c r="B8112">
        <v>199</v>
      </c>
      <c r="C8112" t="str">
        <f>"51"</f>
        <v>51</v>
      </c>
      <c r="D8112">
        <v>6249</v>
      </c>
      <c r="E8112" t="str">
        <f>"M8"</f>
        <v>M8</v>
      </c>
      <c r="F8112" t="str">
        <f>"936"</f>
        <v>936</v>
      </c>
      <c r="G8112">
        <v>9</v>
      </c>
      <c r="H8112" t="str">
        <f t="shared" si="1849"/>
        <v>99</v>
      </c>
      <c r="I8112" t="str">
        <f t="shared" si="1841"/>
        <v>0</v>
      </c>
      <c r="J8112" t="str">
        <f>"81"</f>
        <v>81</v>
      </c>
      <c r="K8112">
        <v>20190830</v>
      </c>
      <c r="L8112" t="str">
        <f>"077865"</f>
        <v>077865</v>
      </c>
      <c r="M8112" t="str">
        <f>"52185"</f>
        <v>52185</v>
      </c>
      <c r="N8112" t="s">
        <v>1748</v>
      </c>
      <c r="O8112" s="1">
        <v>1337.51</v>
      </c>
      <c r="P8112">
        <v>20190829</v>
      </c>
      <c r="Q8112" t="s">
        <v>2096</v>
      </c>
      <c r="R8112" t="s">
        <v>6376</v>
      </c>
      <c r="S8112" t="s">
        <v>1615</v>
      </c>
      <c r="T8112" t="s">
        <v>1713</v>
      </c>
    </row>
    <row r="8113" spans="1:20" x14ac:dyDescent="0.25">
      <c r="A8113">
        <v>9</v>
      </c>
      <c r="B8113">
        <v>199</v>
      </c>
      <c r="C8113" t="str">
        <f>"51"</f>
        <v>51</v>
      </c>
      <c r="D8113">
        <v>6249</v>
      </c>
      <c r="E8113" t="str">
        <f>"M8"</f>
        <v>M8</v>
      </c>
      <c r="F8113" t="str">
        <f>"936"</f>
        <v>936</v>
      </c>
      <c r="G8113">
        <v>9</v>
      </c>
      <c r="H8113" t="str">
        <f t="shared" si="1849"/>
        <v>99</v>
      </c>
      <c r="I8113" t="str">
        <f t="shared" si="1841"/>
        <v>0</v>
      </c>
      <c r="J8113" t="str">
        <f>"81"</f>
        <v>81</v>
      </c>
      <c r="K8113">
        <v>20190830</v>
      </c>
      <c r="L8113" t="str">
        <f>"077865"</f>
        <v>077865</v>
      </c>
      <c r="M8113" t="str">
        <f>"52185"</f>
        <v>52185</v>
      </c>
      <c r="N8113" t="s">
        <v>1748</v>
      </c>
      <c r="O8113">
        <v>578.67999999999995</v>
      </c>
      <c r="P8113">
        <v>20190829</v>
      </c>
      <c r="Q8113" t="s">
        <v>2096</v>
      </c>
      <c r="R8113" t="s">
        <v>6377</v>
      </c>
      <c r="S8113" t="s">
        <v>1615</v>
      </c>
      <c r="T8113" t="s">
        <v>1713</v>
      </c>
    </row>
    <row r="8114" spans="1:20" x14ac:dyDescent="0.25">
      <c r="A8114">
        <v>9</v>
      </c>
      <c r="B8114">
        <v>199</v>
      </c>
      <c r="C8114" t="str">
        <f>"52"</f>
        <v>52</v>
      </c>
      <c r="D8114">
        <v>6219</v>
      </c>
      <c r="E8114" t="str">
        <f>"00"</f>
        <v>00</v>
      </c>
      <c r="F8114" t="str">
        <f>"101"</f>
        <v>101</v>
      </c>
      <c r="G8114">
        <v>9</v>
      </c>
      <c r="H8114" t="str">
        <f t="shared" si="1849"/>
        <v>99</v>
      </c>
      <c r="I8114" t="str">
        <f t="shared" si="1841"/>
        <v>0</v>
      </c>
      <c r="J8114" t="str">
        <f>"00"</f>
        <v>00</v>
      </c>
      <c r="K8114">
        <v>20190830</v>
      </c>
      <c r="L8114" t="str">
        <f>"077866"</f>
        <v>077866</v>
      </c>
      <c r="M8114" t="str">
        <f>"00755"</f>
        <v>00755</v>
      </c>
      <c r="N8114" t="s">
        <v>4268</v>
      </c>
      <c r="O8114">
        <v>300</v>
      </c>
      <c r="P8114">
        <v>20190829</v>
      </c>
      <c r="Q8114" t="s">
        <v>1854</v>
      </c>
      <c r="R8114" t="s">
        <v>6378</v>
      </c>
      <c r="S8114" t="s">
        <v>1615</v>
      </c>
      <c r="T8114" t="s">
        <v>1479</v>
      </c>
    </row>
    <row r="8115" spans="1:20" x14ac:dyDescent="0.25">
      <c r="A8115">
        <v>9</v>
      </c>
      <c r="B8115">
        <v>199</v>
      </c>
      <c r="C8115" t="str">
        <f>"52"</f>
        <v>52</v>
      </c>
      <c r="D8115">
        <v>6219</v>
      </c>
      <c r="E8115" t="str">
        <f>"00"</f>
        <v>00</v>
      </c>
      <c r="F8115" t="str">
        <f>"101"</f>
        <v>101</v>
      </c>
      <c r="G8115">
        <v>9</v>
      </c>
      <c r="H8115" t="str">
        <f t="shared" si="1849"/>
        <v>99</v>
      </c>
      <c r="I8115" t="str">
        <f t="shared" si="1841"/>
        <v>0</v>
      </c>
      <c r="J8115" t="str">
        <f>"00"</f>
        <v>00</v>
      </c>
      <c r="K8115">
        <v>20190830</v>
      </c>
      <c r="L8115" t="str">
        <f>"077866"</f>
        <v>077866</v>
      </c>
      <c r="M8115" t="str">
        <f>"00755"</f>
        <v>00755</v>
      </c>
      <c r="N8115" t="s">
        <v>4268</v>
      </c>
      <c r="O8115">
        <v>300</v>
      </c>
      <c r="P8115">
        <v>20190829</v>
      </c>
      <c r="Q8115" t="s">
        <v>1854</v>
      </c>
      <c r="R8115" t="s">
        <v>6379</v>
      </c>
      <c r="S8115" t="s">
        <v>1615</v>
      </c>
      <c r="T8115" t="s">
        <v>1479</v>
      </c>
    </row>
    <row r="8116" spans="1:20" x14ac:dyDescent="0.25">
      <c r="A8116">
        <v>9</v>
      </c>
      <c r="B8116">
        <v>199</v>
      </c>
      <c r="C8116" t="str">
        <f>"41"</f>
        <v>41</v>
      </c>
      <c r="D8116">
        <v>6498</v>
      </c>
      <c r="E8116" t="str">
        <f>"10"</f>
        <v>10</v>
      </c>
      <c r="F8116" t="str">
        <f>"701"</f>
        <v>701</v>
      </c>
      <c r="G8116">
        <v>9</v>
      </c>
      <c r="H8116" t="str">
        <f t="shared" si="1849"/>
        <v>99</v>
      </c>
      <c r="I8116" t="str">
        <f t="shared" si="1841"/>
        <v>0</v>
      </c>
      <c r="J8116" t="str">
        <f>"92"</f>
        <v>92</v>
      </c>
      <c r="K8116">
        <v>20190830</v>
      </c>
      <c r="L8116" t="str">
        <f>"077872"</f>
        <v>077872</v>
      </c>
      <c r="M8116" t="str">
        <f>"58200"</f>
        <v>58200</v>
      </c>
      <c r="N8116" t="s">
        <v>1765</v>
      </c>
      <c r="O8116">
        <v>97.5</v>
      </c>
      <c r="P8116">
        <v>20190829</v>
      </c>
      <c r="Q8116" t="s">
        <v>2202</v>
      </c>
      <c r="R8116" t="s">
        <v>6380</v>
      </c>
      <c r="S8116" t="s">
        <v>1615</v>
      </c>
      <c r="T8116" t="s">
        <v>1841</v>
      </c>
    </row>
    <row r="8117" spans="1:20" x14ac:dyDescent="0.25">
      <c r="A8117">
        <v>9</v>
      </c>
      <c r="B8117">
        <v>199</v>
      </c>
      <c r="C8117" t="str">
        <f>"41"</f>
        <v>41</v>
      </c>
      <c r="D8117">
        <v>6499</v>
      </c>
      <c r="E8117" t="str">
        <f>"10"</f>
        <v>10</v>
      </c>
      <c r="F8117" t="str">
        <f>"730"</f>
        <v>730</v>
      </c>
      <c r="G8117">
        <v>9</v>
      </c>
      <c r="H8117" t="str">
        <f t="shared" si="1849"/>
        <v>99</v>
      </c>
      <c r="I8117" t="str">
        <f t="shared" si="1841"/>
        <v>0</v>
      </c>
      <c r="J8117" t="str">
        <f>"95"</f>
        <v>95</v>
      </c>
      <c r="K8117">
        <v>20190830</v>
      </c>
      <c r="L8117" t="str">
        <f>"077872"</f>
        <v>077872</v>
      </c>
      <c r="M8117" t="str">
        <f>"58200"</f>
        <v>58200</v>
      </c>
      <c r="N8117" t="s">
        <v>1765</v>
      </c>
      <c r="O8117">
        <v>41.44</v>
      </c>
      <c r="P8117">
        <v>20190829</v>
      </c>
      <c r="Q8117" t="s">
        <v>1792</v>
      </c>
      <c r="R8117" t="s">
        <v>6381</v>
      </c>
      <c r="S8117" t="s">
        <v>1615</v>
      </c>
      <c r="T8117" t="s">
        <v>1794</v>
      </c>
    </row>
    <row r="8118" spans="1:20" x14ac:dyDescent="0.25">
      <c r="A8118">
        <v>9</v>
      </c>
      <c r="B8118">
        <v>199</v>
      </c>
      <c r="C8118" t="str">
        <f>"34"</f>
        <v>34</v>
      </c>
      <c r="D8118">
        <v>6299</v>
      </c>
      <c r="E8118" t="str">
        <f>"10"</f>
        <v>10</v>
      </c>
      <c r="F8118" t="str">
        <f>"937"</f>
        <v>937</v>
      </c>
      <c r="G8118">
        <v>9</v>
      </c>
      <c r="H8118" t="str">
        <f t="shared" si="1849"/>
        <v>99</v>
      </c>
      <c r="I8118" t="str">
        <f t="shared" si="1841"/>
        <v>0</v>
      </c>
      <c r="J8118" t="str">
        <f>"82"</f>
        <v>82</v>
      </c>
      <c r="K8118">
        <v>20190830</v>
      </c>
      <c r="L8118" t="str">
        <f>"077873"</f>
        <v>077873</v>
      </c>
      <c r="M8118" t="str">
        <f>"58927"</f>
        <v>58927</v>
      </c>
      <c r="N8118" t="s">
        <v>1772</v>
      </c>
      <c r="O8118">
        <v>110</v>
      </c>
      <c r="P8118">
        <v>20190829</v>
      </c>
      <c r="Q8118" t="s">
        <v>2292</v>
      </c>
      <c r="R8118" t="s">
        <v>1773</v>
      </c>
      <c r="S8118" t="s">
        <v>1615</v>
      </c>
      <c r="T8118" t="s">
        <v>1810</v>
      </c>
    </row>
    <row r="8119" spans="1:20" x14ac:dyDescent="0.25">
      <c r="A8119">
        <v>9</v>
      </c>
      <c r="B8119">
        <v>199</v>
      </c>
      <c r="C8119" t="str">
        <f>"34"</f>
        <v>34</v>
      </c>
      <c r="D8119">
        <v>6299</v>
      </c>
      <c r="E8119" t="str">
        <f>"10"</f>
        <v>10</v>
      </c>
      <c r="F8119" t="str">
        <f>"937"</f>
        <v>937</v>
      </c>
      <c r="G8119">
        <v>9</v>
      </c>
      <c r="H8119" t="str">
        <f t="shared" si="1849"/>
        <v>99</v>
      </c>
      <c r="I8119" t="str">
        <f t="shared" si="1841"/>
        <v>0</v>
      </c>
      <c r="J8119" t="str">
        <f>"82"</f>
        <v>82</v>
      </c>
      <c r="K8119">
        <v>20190830</v>
      </c>
      <c r="L8119" t="str">
        <f>"077873"</f>
        <v>077873</v>
      </c>
      <c r="M8119" t="str">
        <f>"58927"</f>
        <v>58927</v>
      </c>
      <c r="N8119" t="s">
        <v>1772</v>
      </c>
      <c r="O8119">
        <v>120</v>
      </c>
      <c r="P8119">
        <v>20190829</v>
      </c>
      <c r="Q8119" t="s">
        <v>2292</v>
      </c>
      <c r="R8119" t="s">
        <v>1774</v>
      </c>
      <c r="S8119" t="s">
        <v>1615</v>
      </c>
      <c r="T8119" t="s">
        <v>1810</v>
      </c>
    </row>
    <row r="8120" spans="1:20" x14ac:dyDescent="0.25">
      <c r="A8120">
        <v>9</v>
      </c>
      <c r="B8120">
        <v>199</v>
      </c>
      <c r="C8120" t="str">
        <f>"51"</f>
        <v>51</v>
      </c>
      <c r="D8120">
        <v>6248</v>
      </c>
      <c r="E8120" t="str">
        <f>"M3"</f>
        <v>M3</v>
      </c>
      <c r="F8120" t="str">
        <f>"936"</f>
        <v>936</v>
      </c>
      <c r="G8120">
        <v>9</v>
      </c>
      <c r="H8120" t="str">
        <f t="shared" si="1849"/>
        <v>99</v>
      </c>
      <c r="I8120" t="str">
        <f t="shared" si="1841"/>
        <v>0</v>
      </c>
      <c r="J8120" t="str">
        <f>"81"</f>
        <v>81</v>
      </c>
      <c r="K8120">
        <v>20190830</v>
      </c>
      <c r="L8120" t="str">
        <f>"077874"</f>
        <v>077874</v>
      </c>
      <c r="M8120" t="str">
        <f>"60190"</f>
        <v>60190</v>
      </c>
      <c r="N8120" t="s">
        <v>4277</v>
      </c>
      <c r="O8120">
        <v>246.97</v>
      </c>
      <c r="P8120">
        <v>20190830</v>
      </c>
      <c r="Q8120" t="s">
        <v>4278</v>
      </c>
      <c r="R8120" t="s">
        <v>4280</v>
      </c>
      <c r="S8120" t="s">
        <v>1615</v>
      </c>
      <c r="T8120" t="s">
        <v>1713</v>
      </c>
    </row>
    <row r="8121" spans="1:20" x14ac:dyDescent="0.25">
      <c r="A8121">
        <v>9</v>
      </c>
      <c r="B8121">
        <v>199</v>
      </c>
      <c r="C8121" t="str">
        <f>"51"</f>
        <v>51</v>
      </c>
      <c r="D8121">
        <v>6254</v>
      </c>
      <c r="E8121" t="str">
        <f>"ME"</f>
        <v>ME</v>
      </c>
      <c r="F8121" t="str">
        <f>"936"</f>
        <v>936</v>
      </c>
      <c r="G8121">
        <v>9</v>
      </c>
      <c r="H8121" t="str">
        <f t="shared" si="1849"/>
        <v>99</v>
      </c>
      <c r="I8121" t="str">
        <f>"1"</f>
        <v>1</v>
      </c>
      <c r="J8121" t="str">
        <f>"73"</f>
        <v>73</v>
      </c>
      <c r="K8121">
        <v>20190830</v>
      </c>
      <c r="L8121" t="str">
        <f>"077877"</f>
        <v>077877</v>
      </c>
      <c r="M8121" t="str">
        <f>"00867"</f>
        <v>00867</v>
      </c>
      <c r="N8121" t="s">
        <v>6128</v>
      </c>
      <c r="O8121" s="1">
        <v>3686.27</v>
      </c>
      <c r="P8121">
        <v>20190829</v>
      </c>
      <c r="Q8121" t="s">
        <v>1891</v>
      </c>
      <c r="R8121" t="s">
        <v>6382</v>
      </c>
      <c r="S8121" t="s">
        <v>1615</v>
      </c>
      <c r="T8121" t="s">
        <v>1713</v>
      </c>
    </row>
    <row r="8122" spans="1:20" x14ac:dyDescent="0.25">
      <c r="A8122">
        <v>9</v>
      </c>
      <c r="B8122">
        <v>199</v>
      </c>
      <c r="C8122" t="str">
        <f>"51"</f>
        <v>51</v>
      </c>
      <c r="D8122">
        <v>6254</v>
      </c>
      <c r="E8122" t="str">
        <f>"ME"</f>
        <v>ME</v>
      </c>
      <c r="F8122" t="str">
        <f>"936"</f>
        <v>936</v>
      </c>
      <c r="G8122">
        <v>9</v>
      </c>
      <c r="H8122" t="str">
        <f t="shared" si="1849"/>
        <v>99</v>
      </c>
      <c r="I8122" t="str">
        <f>"1"</f>
        <v>1</v>
      </c>
      <c r="J8122" t="str">
        <f>"73"</f>
        <v>73</v>
      </c>
      <c r="K8122">
        <v>20190830</v>
      </c>
      <c r="L8122" t="str">
        <f>"077877"</f>
        <v>077877</v>
      </c>
      <c r="M8122" t="str">
        <f>"00867"</f>
        <v>00867</v>
      </c>
      <c r="N8122" t="s">
        <v>6128</v>
      </c>
      <c r="O8122">
        <v>322.72000000000003</v>
      </c>
      <c r="P8122">
        <v>20190829</v>
      </c>
      <c r="Q8122" t="s">
        <v>1891</v>
      </c>
      <c r="R8122" t="s">
        <v>6383</v>
      </c>
      <c r="S8122" t="s">
        <v>1615</v>
      </c>
      <c r="T8122" t="s">
        <v>1713</v>
      </c>
    </row>
    <row r="8123" spans="1:20" x14ac:dyDescent="0.25">
      <c r="A8123">
        <v>9</v>
      </c>
      <c r="B8123">
        <v>199</v>
      </c>
      <c r="C8123" t="str">
        <f>"51"</f>
        <v>51</v>
      </c>
      <c r="D8123">
        <v>6249</v>
      </c>
      <c r="E8123" t="str">
        <f>"WF"</f>
        <v>WF</v>
      </c>
      <c r="F8123" t="str">
        <f>"936"</f>
        <v>936</v>
      </c>
      <c r="G8123">
        <v>9</v>
      </c>
      <c r="H8123" t="str">
        <f t="shared" si="1849"/>
        <v>99</v>
      </c>
      <c r="I8123" t="str">
        <f t="shared" ref="I8123:I8186" si="1850">"0"</f>
        <v>0</v>
      </c>
      <c r="J8123" t="str">
        <f>"82"</f>
        <v>82</v>
      </c>
      <c r="K8123">
        <v>20190830</v>
      </c>
      <c r="L8123" t="str">
        <f>"077880"</f>
        <v>077880</v>
      </c>
      <c r="M8123" t="str">
        <f>"71225"</f>
        <v>71225</v>
      </c>
      <c r="N8123" t="s">
        <v>1803</v>
      </c>
      <c r="O8123">
        <v>27.5</v>
      </c>
      <c r="P8123">
        <v>20190829</v>
      </c>
      <c r="Q8123" t="s">
        <v>2127</v>
      </c>
      <c r="R8123" t="s">
        <v>6384</v>
      </c>
      <c r="S8123" t="s">
        <v>1615</v>
      </c>
      <c r="T8123" t="s">
        <v>1713</v>
      </c>
    </row>
    <row r="8124" spans="1:20" x14ac:dyDescent="0.25">
      <c r="A8124">
        <v>9</v>
      </c>
      <c r="B8124">
        <v>199</v>
      </c>
      <c r="C8124" t="str">
        <f>"41"</f>
        <v>41</v>
      </c>
      <c r="D8124">
        <v>6639</v>
      </c>
      <c r="E8124" t="str">
        <f>"10"</f>
        <v>10</v>
      </c>
      <c r="F8124" t="str">
        <f>"933"</f>
        <v>933</v>
      </c>
      <c r="G8124">
        <v>9</v>
      </c>
      <c r="H8124" t="str">
        <f t="shared" si="1849"/>
        <v>99</v>
      </c>
      <c r="I8124" t="str">
        <f t="shared" si="1850"/>
        <v>0</v>
      </c>
      <c r="J8124" t="str">
        <f>"85"</f>
        <v>85</v>
      </c>
      <c r="K8124">
        <v>20190830</v>
      </c>
      <c r="L8124" t="str">
        <f>"077881"</f>
        <v>077881</v>
      </c>
      <c r="M8124" t="str">
        <f>"00822"</f>
        <v>00822</v>
      </c>
      <c r="N8124" t="s">
        <v>5331</v>
      </c>
      <c r="O8124" s="1">
        <v>14274</v>
      </c>
      <c r="P8124">
        <v>20190830</v>
      </c>
      <c r="Q8124" t="s">
        <v>6357</v>
      </c>
      <c r="R8124" t="s">
        <v>6385</v>
      </c>
      <c r="S8124" t="s">
        <v>1615</v>
      </c>
      <c r="T8124" t="s">
        <v>1643</v>
      </c>
    </row>
    <row r="8125" spans="1:20" x14ac:dyDescent="0.25">
      <c r="A8125">
        <v>9</v>
      </c>
      <c r="B8125">
        <v>199</v>
      </c>
      <c r="C8125" t="str">
        <f>"11"</f>
        <v>11</v>
      </c>
      <c r="D8125">
        <v>6399</v>
      </c>
      <c r="E8125" t="str">
        <f>"11"</f>
        <v>11</v>
      </c>
      <c r="F8125" t="str">
        <f>"041"</f>
        <v>041</v>
      </c>
      <c r="G8125">
        <v>9</v>
      </c>
      <c r="H8125" t="str">
        <f>"11"</f>
        <v>11</v>
      </c>
      <c r="I8125" t="str">
        <f t="shared" si="1850"/>
        <v>0</v>
      </c>
      <c r="J8125" t="str">
        <f>"03"</f>
        <v>03</v>
      </c>
      <c r="K8125">
        <v>20190830</v>
      </c>
      <c r="L8125" t="str">
        <f>"077886"</f>
        <v>077886</v>
      </c>
      <c r="M8125" t="str">
        <f>"83022"</f>
        <v>83022</v>
      </c>
      <c r="N8125" t="s">
        <v>691</v>
      </c>
      <c r="O8125">
        <v>138.82</v>
      </c>
      <c r="P8125">
        <v>20190829</v>
      </c>
      <c r="Q8125" t="s">
        <v>2941</v>
      </c>
      <c r="R8125" t="s">
        <v>6386</v>
      </c>
      <c r="S8125" t="s">
        <v>1615</v>
      </c>
      <c r="T8125" t="s">
        <v>106</v>
      </c>
    </row>
    <row r="8126" spans="1:20" x14ac:dyDescent="0.25">
      <c r="A8126">
        <v>9</v>
      </c>
      <c r="B8126">
        <v>199</v>
      </c>
      <c r="C8126" t="str">
        <f>"33"</f>
        <v>33</v>
      </c>
      <c r="D8126">
        <v>6399</v>
      </c>
      <c r="E8126" t="str">
        <f>"8F"</f>
        <v>8F</v>
      </c>
      <c r="F8126" t="str">
        <f>"002"</f>
        <v>002</v>
      </c>
      <c r="G8126">
        <v>9</v>
      </c>
      <c r="H8126" t="str">
        <f>"99"</f>
        <v>99</v>
      </c>
      <c r="I8126" t="str">
        <f t="shared" si="1850"/>
        <v>0</v>
      </c>
      <c r="J8126" t="str">
        <f>"02"</f>
        <v>02</v>
      </c>
      <c r="K8126">
        <v>20190830</v>
      </c>
      <c r="L8126" t="str">
        <f>"077886"</f>
        <v>077886</v>
      </c>
      <c r="M8126" t="str">
        <f>"83022"</f>
        <v>83022</v>
      </c>
      <c r="N8126" t="s">
        <v>691</v>
      </c>
      <c r="O8126">
        <v>230.13</v>
      </c>
      <c r="P8126">
        <v>20190829</v>
      </c>
      <c r="Q8126" t="s">
        <v>2277</v>
      </c>
      <c r="R8126" t="s">
        <v>6387</v>
      </c>
      <c r="S8126" t="s">
        <v>1615</v>
      </c>
      <c r="T8126" t="s">
        <v>1485</v>
      </c>
    </row>
    <row r="8127" spans="1:20" x14ac:dyDescent="0.25">
      <c r="A8127">
        <v>9</v>
      </c>
      <c r="B8127">
        <v>199</v>
      </c>
      <c r="C8127" t="str">
        <f>"41"</f>
        <v>41</v>
      </c>
      <c r="D8127">
        <v>6399</v>
      </c>
      <c r="E8127" t="str">
        <f>"10"</f>
        <v>10</v>
      </c>
      <c r="F8127" t="str">
        <f>"726"</f>
        <v>726</v>
      </c>
      <c r="G8127">
        <v>9</v>
      </c>
      <c r="H8127" t="str">
        <f>"99"</f>
        <v>99</v>
      </c>
      <c r="I8127" t="str">
        <f t="shared" si="1850"/>
        <v>0</v>
      </c>
      <c r="J8127" t="str">
        <f>"91"</f>
        <v>91</v>
      </c>
      <c r="K8127">
        <v>20190830</v>
      </c>
      <c r="L8127" t="str">
        <f>"077886"</f>
        <v>077886</v>
      </c>
      <c r="M8127" t="str">
        <f>"83022"</f>
        <v>83022</v>
      </c>
      <c r="N8127" t="s">
        <v>691</v>
      </c>
      <c r="O8127">
        <v>99.9</v>
      </c>
      <c r="P8127">
        <v>20190829</v>
      </c>
      <c r="Q8127" t="s">
        <v>2702</v>
      </c>
      <c r="R8127" t="s">
        <v>2133</v>
      </c>
      <c r="S8127" t="s">
        <v>1615</v>
      </c>
      <c r="T8127" t="s">
        <v>2608</v>
      </c>
    </row>
    <row r="8128" spans="1:20" x14ac:dyDescent="0.25">
      <c r="A8128">
        <v>9</v>
      </c>
      <c r="B8128">
        <v>199</v>
      </c>
      <c r="C8128" t="str">
        <f>"41"</f>
        <v>41</v>
      </c>
      <c r="D8128">
        <v>6498</v>
      </c>
      <c r="E8128" t="str">
        <f>"10"</f>
        <v>10</v>
      </c>
      <c r="F8128" t="str">
        <f>"701"</f>
        <v>701</v>
      </c>
      <c r="G8128">
        <v>9</v>
      </c>
      <c r="H8128" t="str">
        <f>"99"</f>
        <v>99</v>
      </c>
      <c r="I8128" t="str">
        <f t="shared" si="1850"/>
        <v>0</v>
      </c>
      <c r="J8128" t="str">
        <f>"92"</f>
        <v>92</v>
      </c>
      <c r="K8128">
        <v>20190830</v>
      </c>
      <c r="L8128" t="str">
        <f>"077887"</f>
        <v>077887</v>
      </c>
      <c r="M8128" t="str">
        <f>"84370"</f>
        <v>84370</v>
      </c>
      <c r="N8128" t="s">
        <v>395</v>
      </c>
      <c r="O8128">
        <v>64.37</v>
      </c>
      <c r="P8128">
        <v>20190829</v>
      </c>
      <c r="Q8128" t="s">
        <v>2202</v>
      </c>
      <c r="R8128" t="s">
        <v>6380</v>
      </c>
      <c r="S8128" t="s">
        <v>1615</v>
      </c>
      <c r="T8128" t="s">
        <v>1841</v>
      </c>
    </row>
    <row r="8129" spans="1:20" x14ac:dyDescent="0.25">
      <c r="A8129">
        <v>9</v>
      </c>
      <c r="B8129">
        <v>211</v>
      </c>
      <c r="C8129" t="str">
        <f t="shared" ref="C8129:C8135" si="1851">"13"</f>
        <v>13</v>
      </c>
      <c r="D8129">
        <v>6411</v>
      </c>
      <c r="E8129" t="str">
        <f t="shared" ref="E8129:E8160" si="1852">"00"</f>
        <v>00</v>
      </c>
      <c r="F8129" t="str">
        <f t="shared" ref="F8129:F8135" si="1853">"104"</f>
        <v>104</v>
      </c>
      <c r="G8129">
        <v>9</v>
      </c>
      <c r="H8129" t="str">
        <f t="shared" ref="H8129:H8160" si="1854">"30"</f>
        <v>30</v>
      </c>
      <c r="I8129" t="str">
        <f t="shared" si="1850"/>
        <v>0</v>
      </c>
      <c r="J8129" t="str">
        <f t="shared" ref="J8129:J8135" si="1855">"18"</f>
        <v>18</v>
      </c>
      <c r="K8129">
        <v>20180928</v>
      </c>
      <c r="L8129" t="str">
        <f>"073991"</f>
        <v>073991</v>
      </c>
      <c r="M8129" t="str">
        <f t="shared" ref="M8129:M8134" si="1856">"26392"</f>
        <v>26392</v>
      </c>
      <c r="N8129" t="s">
        <v>3547</v>
      </c>
      <c r="O8129">
        <v>-272.45</v>
      </c>
      <c r="P8129">
        <v>20180928</v>
      </c>
      <c r="Q8129" t="s">
        <v>6388</v>
      </c>
      <c r="R8129" t="s">
        <v>412</v>
      </c>
      <c r="S8129" t="s">
        <v>6389</v>
      </c>
      <c r="T8129" t="s">
        <v>46</v>
      </c>
    </row>
    <row r="8130" spans="1:20" x14ac:dyDescent="0.25">
      <c r="A8130">
        <v>9</v>
      </c>
      <c r="B8130">
        <v>211</v>
      </c>
      <c r="C8130" t="str">
        <f t="shared" si="1851"/>
        <v>13</v>
      </c>
      <c r="D8130">
        <v>6411</v>
      </c>
      <c r="E8130" t="str">
        <f t="shared" si="1852"/>
        <v>00</v>
      </c>
      <c r="F8130" t="str">
        <f t="shared" si="1853"/>
        <v>104</v>
      </c>
      <c r="G8130">
        <v>9</v>
      </c>
      <c r="H8130" t="str">
        <f t="shared" si="1854"/>
        <v>30</v>
      </c>
      <c r="I8130" t="str">
        <f t="shared" si="1850"/>
        <v>0</v>
      </c>
      <c r="J8130" t="str">
        <f t="shared" si="1855"/>
        <v>18</v>
      </c>
      <c r="K8130">
        <v>20180928</v>
      </c>
      <c r="L8130" t="str">
        <f>"073992"</f>
        <v>073992</v>
      </c>
      <c r="M8130" t="str">
        <f t="shared" si="1856"/>
        <v>26392</v>
      </c>
      <c r="N8130" t="s">
        <v>3547</v>
      </c>
      <c r="O8130">
        <v>-272.45</v>
      </c>
      <c r="P8130">
        <v>20180928</v>
      </c>
      <c r="Q8130" t="s">
        <v>6388</v>
      </c>
      <c r="R8130" t="s">
        <v>412</v>
      </c>
      <c r="S8130" t="s">
        <v>6389</v>
      </c>
      <c r="T8130" t="s">
        <v>46</v>
      </c>
    </row>
    <row r="8131" spans="1:20" x14ac:dyDescent="0.25">
      <c r="A8131">
        <v>9</v>
      </c>
      <c r="B8131">
        <v>211</v>
      </c>
      <c r="C8131" t="str">
        <f t="shared" si="1851"/>
        <v>13</v>
      </c>
      <c r="D8131">
        <v>6411</v>
      </c>
      <c r="E8131" t="str">
        <f t="shared" si="1852"/>
        <v>00</v>
      </c>
      <c r="F8131" t="str">
        <f t="shared" si="1853"/>
        <v>104</v>
      </c>
      <c r="G8131">
        <v>9</v>
      </c>
      <c r="H8131" t="str">
        <f t="shared" si="1854"/>
        <v>30</v>
      </c>
      <c r="I8131" t="str">
        <f t="shared" si="1850"/>
        <v>0</v>
      </c>
      <c r="J8131" t="str">
        <f t="shared" si="1855"/>
        <v>18</v>
      </c>
      <c r="K8131">
        <v>20180928</v>
      </c>
      <c r="L8131" t="str">
        <f>"073993"</f>
        <v>073993</v>
      </c>
      <c r="M8131" t="str">
        <f t="shared" si="1856"/>
        <v>26392</v>
      </c>
      <c r="N8131" t="s">
        <v>3547</v>
      </c>
      <c r="O8131">
        <v>-272.45</v>
      </c>
      <c r="P8131">
        <v>20180928</v>
      </c>
      <c r="Q8131" t="s">
        <v>6388</v>
      </c>
      <c r="R8131" t="s">
        <v>412</v>
      </c>
      <c r="S8131" t="s">
        <v>6389</v>
      </c>
      <c r="T8131" t="s">
        <v>46</v>
      </c>
    </row>
    <row r="8132" spans="1:20" x14ac:dyDescent="0.25">
      <c r="A8132">
        <v>9</v>
      </c>
      <c r="B8132">
        <v>211</v>
      </c>
      <c r="C8132" t="str">
        <f t="shared" si="1851"/>
        <v>13</v>
      </c>
      <c r="D8132">
        <v>6411</v>
      </c>
      <c r="E8132" t="str">
        <f t="shared" si="1852"/>
        <v>00</v>
      </c>
      <c r="F8132" t="str">
        <f t="shared" si="1853"/>
        <v>104</v>
      </c>
      <c r="G8132">
        <v>9</v>
      </c>
      <c r="H8132" t="str">
        <f t="shared" si="1854"/>
        <v>30</v>
      </c>
      <c r="I8132" t="str">
        <f t="shared" si="1850"/>
        <v>0</v>
      </c>
      <c r="J8132" t="str">
        <f t="shared" si="1855"/>
        <v>18</v>
      </c>
      <c r="K8132">
        <v>20180928</v>
      </c>
      <c r="L8132" t="str">
        <f>"074063"</f>
        <v>074063</v>
      </c>
      <c r="M8132" t="str">
        <f t="shared" si="1856"/>
        <v>26392</v>
      </c>
      <c r="N8132" t="s">
        <v>3547</v>
      </c>
      <c r="O8132">
        <v>272.45</v>
      </c>
      <c r="P8132">
        <v>20180928</v>
      </c>
      <c r="Q8132" t="s">
        <v>6388</v>
      </c>
      <c r="R8132" t="s">
        <v>6390</v>
      </c>
      <c r="S8132" t="s">
        <v>6389</v>
      </c>
      <c r="T8132" t="s">
        <v>46</v>
      </c>
    </row>
    <row r="8133" spans="1:20" x14ac:dyDescent="0.25">
      <c r="A8133">
        <v>9</v>
      </c>
      <c r="B8133">
        <v>211</v>
      </c>
      <c r="C8133" t="str">
        <f t="shared" si="1851"/>
        <v>13</v>
      </c>
      <c r="D8133">
        <v>6411</v>
      </c>
      <c r="E8133" t="str">
        <f t="shared" si="1852"/>
        <v>00</v>
      </c>
      <c r="F8133" t="str">
        <f t="shared" si="1853"/>
        <v>104</v>
      </c>
      <c r="G8133">
        <v>9</v>
      </c>
      <c r="H8133" t="str">
        <f t="shared" si="1854"/>
        <v>30</v>
      </c>
      <c r="I8133" t="str">
        <f t="shared" si="1850"/>
        <v>0</v>
      </c>
      <c r="J8133" t="str">
        <f t="shared" si="1855"/>
        <v>18</v>
      </c>
      <c r="K8133">
        <v>20180928</v>
      </c>
      <c r="L8133" t="str">
        <f>"074064"</f>
        <v>074064</v>
      </c>
      <c r="M8133" t="str">
        <f t="shared" si="1856"/>
        <v>26392</v>
      </c>
      <c r="N8133" t="s">
        <v>3547</v>
      </c>
      <c r="O8133">
        <v>272.45</v>
      </c>
      <c r="P8133">
        <v>20180928</v>
      </c>
      <c r="Q8133" t="s">
        <v>6388</v>
      </c>
      <c r="R8133" t="s">
        <v>6390</v>
      </c>
      <c r="S8133" t="s">
        <v>6389</v>
      </c>
      <c r="T8133" t="s">
        <v>46</v>
      </c>
    </row>
    <row r="8134" spans="1:20" x14ac:dyDescent="0.25">
      <c r="A8134">
        <v>9</v>
      </c>
      <c r="B8134">
        <v>211</v>
      </c>
      <c r="C8134" t="str">
        <f t="shared" si="1851"/>
        <v>13</v>
      </c>
      <c r="D8134">
        <v>6411</v>
      </c>
      <c r="E8134" t="str">
        <f t="shared" si="1852"/>
        <v>00</v>
      </c>
      <c r="F8134" t="str">
        <f t="shared" si="1853"/>
        <v>104</v>
      </c>
      <c r="G8134">
        <v>9</v>
      </c>
      <c r="H8134" t="str">
        <f t="shared" si="1854"/>
        <v>30</v>
      </c>
      <c r="I8134" t="str">
        <f t="shared" si="1850"/>
        <v>0</v>
      </c>
      <c r="J8134" t="str">
        <f t="shared" si="1855"/>
        <v>18</v>
      </c>
      <c r="K8134">
        <v>20180928</v>
      </c>
      <c r="L8134" t="str">
        <f>"074065"</f>
        <v>074065</v>
      </c>
      <c r="M8134" t="str">
        <f t="shared" si="1856"/>
        <v>26392</v>
      </c>
      <c r="N8134" t="s">
        <v>3547</v>
      </c>
      <c r="O8134">
        <v>272.45</v>
      </c>
      <c r="P8134">
        <v>20180928</v>
      </c>
      <c r="Q8134" t="s">
        <v>6388</v>
      </c>
      <c r="R8134" t="s">
        <v>6390</v>
      </c>
      <c r="S8134" t="s">
        <v>6389</v>
      </c>
      <c r="T8134" t="s">
        <v>46</v>
      </c>
    </row>
    <row r="8135" spans="1:20" x14ac:dyDescent="0.25">
      <c r="A8135">
        <v>9</v>
      </c>
      <c r="B8135">
        <v>211</v>
      </c>
      <c r="C8135" t="str">
        <f t="shared" si="1851"/>
        <v>13</v>
      </c>
      <c r="D8135">
        <v>6411</v>
      </c>
      <c r="E8135" t="str">
        <f t="shared" si="1852"/>
        <v>00</v>
      </c>
      <c r="F8135" t="str">
        <f t="shared" si="1853"/>
        <v>104</v>
      </c>
      <c r="G8135">
        <v>9</v>
      </c>
      <c r="H8135" t="str">
        <f t="shared" si="1854"/>
        <v>30</v>
      </c>
      <c r="I8135" t="str">
        <f t="shared" si="1850"/>
        <v>0</v>
      </c>
      <c r="J8135" t="str">
        <f t="shared" si="1855"/>
        <v>18</v>
      </c>
      <c r="K8135">
        <v>20181005</v>
      </c>
      <c r="L8135" t="str">
        <f>"074197"</f>
        <v>074197</v>
      </c>
      <c r="M8135" t="str">
        <f>"80511"</f>
        <v>80511</v>
      </c>
      <c r="N8135" t="s">
        <v>6391</v>
      </c>
      <c r="O8135" s="1">
        <v>2150</v>
      </c>
      <c r="P8135">
        <v>20181004</v>
      </c>
      <c r="Q8135" t="s">
        <v>6388</v>
      </c>
      <c r="R8135" t="s">
        <v>6390</v>
      </c>
      <c r="S8135" t="s">
        <v>6389</v>
      </c>
      <c r="T8135" t="s">
        <v>46</v>
      </c>
    </row>
    <row r="8136" spans="1:20" x14ac:dyDescent="0.25">
      <c r="A8136">
        <v>9</v>
      </c>
      <c r="B8136">
        <v>211</v>
      </c>
      <c r="C8136" t="str">
        <f>"11"</f>
        <v>11</v>
      </c>
      <c r="D8136">
        <v>6299</v>
      </c>
      <c r="E8136" t="str">
        <f t="shared" si="1852"/>
        <v>00</v>
      </c>
      <c r="F8136" t="str">
        <f>"101"</f>
        <v>101</v>
      </c>
      <c r="G8136">
        <v>9</v>
      </c>
      <c r="H8136" t="str">
        <f t="shared" si="1854"/>
        <v>30</v>
      </c>
      <c r="I8136" t="str">
        <f t="shared" si="1850"/>
        <v>0</v>
      </c>
      <c r="J8136" t="str">
        <f t="shared" ref="J8136:J8167" si="1857">"00"</f>
        <v>00</v>
      </c>
      <c r="K8136">
        <v>20181012</v>
      </c>
      <c r="L8136" t="str">
        <f>"074273"</f>
        <v>074273</v>
      </c>
      <c r="M8136" t="str">
        <f>"00583"</f>
        <v>00583</v>
      </c>
      <c r="N8136" t="s">
        <v>6392</v>
      </c>
      <c r="O8136" s="1">
        <v>4566.66</v>
      </c>
      <c r="P8136">
        <v>20181011</v>
      </c>
      <c r="Q8136" t="s">
        <v>6393</v>
      </c>
      <c r="R8136" t="s">
        <v>6394</v>
      </c>
      <c r="S8136" t="s">
        <v>6389</v>
      </c>
      <c r="T8136" t="s">
        <v>1479</v>
      </c>
    </row>
    <row r="8137" spans="1:20" x14ac:dyDescent="0.25">
      <c r="A8137">
        <v>9</v>
      </c>
      <c r="B8137">
        <v>211</v>
      </c>
      <c r="C8137" t="str">
        <f t="shared" ref="C8137:C8142" si="1858">"13"</f>
        <v>13</v>
      </c>
      <c r="D8137">
        <v>6411</v>
      </c>
      <c r="E8137" t="str">
        <f t="shared" si="1852"/>
        <v>00</v>
      </c>
      <c r="F8137" t="str">
        <f t="shared" ref="F8137:F8146" si="1859">"104"</f>
        <v>104</v>
      </c>
      <c r="G8137">
        <v>9</v>
      </c>
      <c r="H8137" t="str">
        <f t="shared" si="1854"/>
        <v>30</v>
      </c>
      <c r="I8137" t="str">
        <f t="shared" si="1850"/>
        <v>0</v>
      </c>
      <c r="J8137" t="str">
        <f t="shared" si="1857"/>
        <v>00</v>
      </c>
      <c r="K8137">
        <v>20181019</v>
      </c>
      <c r="L8137" t="str">
        <f>"074346"</f>
        <v>074346</v>
      </c>
      <c r="M8137" t="str">
        <f>"00595"</f>
        <v>00595</v>
      </c>
      <c r="N8137" t="s">
        <v>6395</v>
      </c>
      <c r="O8137">
        <v>48.73</v>
      </c>
      <c r="P8137">
        <v>20181018</v>
      </c>
      <c r="Q8137" t="s">
        <v>6396</v>
      </c>
      <c r="R8137" t="s">
        <v>6390</v>
      </c>
      <c r="S8137" t="s">
        <v>6389</v>
      </c>
      <c r="T8137" t="s">
        <v>46</v>
      </c>
    </row>
    <row r="8138" spans="1:20" x14ac:dyDescent="0.25">
      <c r="A8138">
        <v>9</v>
      </c>
      <c r="B8138">
        <v>211</v>
      </c>
      <c r="C8138" t="str">
        <f t="shared" si="1858"/>
        <v>13</v>
      </c>
      <c r="D8138">
        <v>6411</v>
      </c>
      <c r="E8138" t="str">
        <f t="shared" si="1852"/>
        <v>00</v>
      </c>
      <c r="F8138" t="str">
        <f t="shared" si="1859"/>
        <v>104</v>
      </c>
      <c r="G8138">
        <v>9</v>
      </c>
      <c r="H8138" t="str">
        <f t="shared" si="1854"/>
        <v>30</v>
      </c>
      <c r="I8138" t="str">
        <f t="shared" si="1850"/>
        <v>0</v>
      </c>
      <c r="J8138" t="str">
        <f t="shared" si="1857"/>
        <v>00</v>
      </c>
      <c r="K8138">
        <v>20181019</v>
      </c>
      <c r="L8138" t="str">
        <f>"074349"</f>
        <v>074349</v>
      </c>
      <c r="M8138" t="str">
        <f>"00596"</f>
        <v>00596</v>
      </c>
      <c r="N8138" t="s">
        <v>6397</v>
      </c>
      <c r="O8138">
        <v>58.34</v>
      </c>
      <c r="P8138">
        <v>20181018</v>
      </c>
      <c r="Q8138" t="s">
        <v>6396</v>
      </c>
      <c r="R8138" t="s">
        <v>6390</v>
      </c>
      <c r="S8138" t="s">
        <v>6389</v>
      </c>
      <c r="T8138" t="s">
        <v>46</v>
      </c>
    </row>
    <row r="8139" spans="1:20" x14ac:dyDescent="0.25">
      <c r="A8139">
        <v>9</v>
      </c>
      <c r="B8139">
        <v>211</v>
      </c>
      <c r="C8139" t="str">
        <f t="shared" si="1858"/>
        <v>13</v>
      </c>
      <c r="D8139">
        <v>6411</v>
      </c>
      <c r="E8139" t="str">
        <f t="shared" si="1852"/>
        <v>00</v>
      </c>
      <c r="F8139" t="str">
        <f t="shared" si="1859"/>
        <v>104</v>
      </c>
      <c r="G8139">
        <v>9</v>
      </c>
      <c r="H8139" t="str">
        <f t="shared" si="1854"/>
        <v>30</v>
      </c>
      <c r="I8139" t="str">
        <f t="shared" si="1850"/>
        <v>0</v>
      </c>
      <c r="J8139" t="str">
        <f t="shared" si="1857"/>
        <v>00</v>
      </c>
      <c r="K8139">
        <v>20181019</v>
      </c>
      <c r="L8139" t="str">
        <f>"074363"</f>
        <v>074363</v>
      </c>
      <c r="M8139" t="str">
        <f>"25421"</f>
        <v>25421</v>
      </c>
      <c r="N8139" t="s">
        <v>6398</v>
      </c>
      <c r="O8139">
        <v>46.47</v>
      </c>
      <c r="P8139">
        <v>20181018</v>
      </c>
      <c r="Q8139" t="s">
        <v>6396</v>
      </c>
      <c r="R8139" t="s">
        <v>6390</v>
      </c>
      <c r="S8139" t="s">
        <v>6389</v>
      </c>
      <c r="T8139" t="s">
        <v>46</v>
      </c>
    </row>
    <row r="8140" spans="1:20" x14ac:dyDescent="0.25">
      <c r="A8140">
        <v>9</v>
      </c>
      <c r="B8140">
        <v>211</v>
      </c>
      <c r="C8140" t="str">
        <f t="shared" si="1858"/>
        <v>13</v>
      </c>
      <c r="D8140">
        <v>6411</v>
      </c>
      <c r="E8140" t="str">
        <f t="shared" si="1852"/>
        <v>00</v>
      </c>
      <c r="F8140" t="str">
        <f t="shared" si="1859"/>
        <v>104</v>
      </c>
      <c r="G8140">
        <v>9</v>
      </c>
      <c r="H8140" t="str">
        <f t="shared" si="1854"/>
        <v>30</v>
      </c>
      <c r="I8140" t="str">
        <f t="shared" si="1850"/>
        <v>0</v>
      </c>
      <c r="J8140" t="str">
        <f t="shared" si="1857"/>
        <v>00</v>
      </c>
      <c r="K8140">
        <v>20181019</v>
      </c>
      <c r="L8140" t="str">
        <f>"074371"</f>
        <v>074371</v>
      </c>
      <c r="M8140" t="str">
        <f>"00597"</f>
        <v>00597</v>
      </c>
      <c r="N8140" t="s">
        <v>6399</v>
      </c>
      <c r="O8140">
        <v>45.25</v>
      </c>
      <c r="P8140">
        <v>20181018</v>
      </c>
      <c r="Q8140" t="s">
        <v>6396</v>
      </c>
      <c r="R8140" t="s">
        <v>6390</v>
      </c>
      <c r="S8140" t="s">
        <v>6389</v>
      </c>
      <c r="T8140" t="s">
        <v>46</v>
      </c>
    </row>
    <row r="8141" spans="1:20" x14ac:dyDescent="0.25">
      <c r="A8141">
        <v>9</v>
      </c>
      <c r="B8141">
        <v>211</v>
      </c>
      <c r="C8141" t="str">
        <f t="shared" si="1858"/>
        <v>13</v>
      </c>
      <c r="D8141">
        <v>6411</v>
      </c>
      <c r="E8141" t="str">
        <f t="shared" si="1852"/>
        <v>00</v>
      </c>
      <c r="F8141" t="str">
        <f t="shared" si="1859"/>
        <v>104</v>
      </c>
      <c r="G8141">
        <v>9</v>
      </c>
      <c r="H8141" t="str">
        <f t="shared" si="1854"/>
        <v>30</v>
      </c>
      <c r="I8141" t="str">
        <f t="shared" si="1850"/>
        <v>0</v>
      </c>
      <c r="J8141" t="str">
        <f t="shared" si="1857"/>
        <v>00</v>
      </c>
      <c r="K8141">
        <v>20181019</v>
      </c>
      <c r="L8141" t="str">
        <f>"074379"</f>
        <v>074379</v>
      </c>
      <c r="M8141" t="str">
        <f>"00598"</f>
        <v>00598</v>
      </c>
      <c r="N8141" t="s">
        <v>6400</v>
      </c>
      <c r="O8141">
        <v>99.45</v>
      </c>
      <c r="P8141">
        <v>20181018</v>
      </c>
      <c r="Q8141" t="s">
        <v>6396</v>
      </c>
      <c r="R8141" t="s">
        <v>6390</v>
      </c>
      <c r="S8141" t="s">
        <v>6389</v>
      </c>
      <c r="T8141" t="s">
        <v>46</v>
      </c>
    </row>
    <row r="8142" spans="1:20" x14ac:dyDescent="0.25">
      <c r="A8142">
        <v>9</v>
      </c>
      <c r="B8142">
        <v>211</v>
      </c>
      <c r="C8142" t="str">
        <f t="shared" si="1858"/>
        <v>13</v>
      </c>
      <c r="D8142">
        <v>6411</v>
      </c>
      <c r="E8142" t="str">
        <f t="shared" si="1852"/>
        <v>00</v>
      </c>
      <c r="F8142" t="str">
        <f t="shared" si="1859"/>
        <v>104</v>
      </c>
      <c r="G8142">
        <v>9</v>
      </c>
      <c r="H8142" t="str">
        <f t="shared" si="1854"/>
        <v>30</v>
      </c>
      <c r="I8142" t="str">
        <f t="shared" si="1850"/>
        <v>0</v>
      </c>
      <c r="J8142" t="str">
        <f t="shared" si="1857"/>
        <v>00</v>
      </c>
      <c r="K8142">
        <v>20181109</v>
      </c>
      <c r="L8142" t="str">
        <f>"074572"</f>
        <v>074572</v>
      </c>
      <c r="M8142" t="str">
        <f>"28680"</f>
        <v>28680</v>
      </c>
      <c r="N8142" t="s">
        <v>482</v>
      </c>
      <c r="O8142">
        <v>156</v>
      </c>
      <c r="P8142">
        <v>20181108</v>
      </c>
      <c r="Q8142" t="s">
        <v>6396</v>
      </c>
      <c r="R8142" t="s">
        <v>6390</v>
      </c>
      <c r="S8142" t="s">
        <v>6389</v>
      </c>
      <c r="T8142" t="s">
        <v>46</v>
      </c>
    </row>
    <row r="8143" spans="1:20" x14ac:dyDescent="0.25">
      <c r="A8143">
        <v>9</v>
      </c>
      <c r="B8143">
        <v>211</v>
      </c>
      <c r="C8143" t="str">
        <f>"61"</f>
        <v>61</v>
      </c>
      <c r="D8143">
        <v>6399</v>
      </c>
      <c r="E8143" t="str">
        <f t="shared" si="1852"/>
        <v>00</v>
      </c>
      <c r="F8143" t="str">
        <f t="shared" si="1859"/>
        <v>104</v>
      </c>
      <c r="G8143">
        <v>9</v>
      </c>
      <c r="H8143" t="str">
        <f t="shared" si="1854"/>
        <v>30</v>
      </c>
      <c r="I8143" t="str">
        <f t="shared" si="1850"/>
        <v>0</v>
      </c>
      <c r="J8143" t="str">
        <f t="shared" si="1857"/>
        <v>00</v>
      </c>
      <c r="K8143">
        <v>20181109</v>
      </c>
      <c r="L8143" t="str">
        <f>"074639"</f>
        <v>074639</v>
      </c>
      <c r="M8143" t="str">
        <f>"72730"</f>
        <v>72730</v>
      </c>
      <c r="N8143" t="s">
        <v>639</v>
      </c>
      <c r="O8143">
        <v>343.96</v>
      </c>
      <c r="P8143">
        <v>20181108</v>
      </c>
      <c r="Q8143" t="s">
        <v>6401</v>
      </c>
      <c r="R8143" t="s">
        <v>6402</v>
      </c>
      <c r="S8143" t="s">
        <v>6389</v>
      </c>
      <c r="T8143" t="s">
        <v>46</v>
      </c>
    </row>
    <row r="8144" spans="1:20" x14ac:dyDescent="0.25">
      <c r="A8144">
        <v>9</v>
      </c>
      <c r="B8144">
        <v>211</v>
      </c>
      <c r="C8144" t="str">
        <f>"61"</f>
        <v>61</v>
      </c>
      <c r="D8144">
        <v>6399</v>
      </c>
      <c r="E8144" t="str">
        <f t="shared" si="1852"/>
        <v>00</v>
      </c>
      <c r="F8144" t="str">
        <f t="shared" si="1859"/>
        <v>104</v>
      </c>
      <c r="G8144">
        <v>9</v>
      </c>
      <c r="H8144" t="str">
        <f t="shared" si="1854"/>
        <v>30</v>
      </c>
      <c r="I8144" t="str">
        <f t="shared" si="1850"/>
        <v>0</v>
      </c>
      <c r="J8144" t="str">
        <f t="shared" si="1857"/>
        <v>00</v>
      </c>
      <c r="K8144">
        <v>20181109</v>
      </c>
      <c r="L8144" t="str">
        <f>"074639"</f>
        <v>074639</v>
      </c>
      <c r="M8144" t="str">
        <f>"72730"</f>
        <v>72730</v>
      </c>
      <c r="N8144" t="s">
        <v>639</v>
      </c>
      <c r="O8144">
        <v>179.12</v>
      </c>
      <c r="P8144">
        <v>20181108</v>
      </c>
      <c r="Q8144" t="s">
        <v>6401</v>
      </c>
      <c r="R8144" t="s">
        <v>6403</v>
      </c>
      <c r="S8144" t="s">
        <v>6389</v>
      </c>
      <c r="T8144" t="s">
        <v>46</v>
      </c>
    </row>
    <row r="8145" spans="1:20" x14ac:dyDescent="0.25">
      <c r="A8145">
        <v>9</v>
      </c>
      <c r="B8145">
        <v>211</v>
      </c>
      <c r="C8145" t="str">
        <f>"61"</f>
        <v>61</v>
      </c>
      <c r="D8145">
        <v>6399</v>
      </c>
      <c r="E8145" t="str">
        <f t="shared" si="1852"/>
        <v>00</v>
      </c>
      <c r="F8145" t="str">
        <f t="shared" si="1859"/>
        <v>104</v>
      </c>
      <c r="G8145">
        <v>9</v>
      </c>
      <c r="H8145" t="str">
        <f t="shared" si="1854"/>
        <v>30</v>
      </c>
      <c r="I8145" t="str">
        <f t="shared" si="1850"/>
        <v>0</v>
      </c>
      <c r="J8145" t="str">
        <f t="shared" si="1857"/>
        <v>00</v>
      </c>
      <c r="K8145">
        <v>20181109</v>
      </c>
      <c r="L8145" t="str">
        <f>"074639"</f>
        <v>074639</v>
      </c>
      <c r="M8145" t="str">
        <f>"72730"</f>
        <v>72730</v>
      </c>
      <c r="N8145" t="s">
        <v>639</v>
      </c>
      <c r="O8145">
        <v>756.72</v>
      </c>
      <c r="P8145">
        <v>20181108</v>
      </c>
      <c r="Q8145" t="s">
        <v>6401</v>
      </c>
      <c r="R8145" t="s">
        <v>6402</v>
      </c>
      <c r="S8145" t="s">
        <v>6389</v>
      </c>
      <c r="T8145" t="s">
        <v>46</v>
      </c>
    </row>
    <row r="8146" spans="1:20" x14ac:dyDescent="0.25">
      <c r="A8146">
        <v>9</v>
      </c>
      <c r="B8146">
        <v>211</v>
      </c>
      <c r="C8146" t="str">
        <f>"11"</f>
        <v>11</v>
      </c>
      <c r="D8146">
        <v>6399</v>
      </c>
      <c r="E8146" t="str">
        <f t="shared" si="1852"/>
        <v>00</v>
      </c>
      <c r="F8146" t="str">
        <f t="shared" si="1859"/>
        <v>104</v>
      </c>
      <c r="G8146">
        <v>9</v>
      </c>
      <c r="H8146" t="str">
        <f t="shared" si="1854"/>
        <v>30</v>
      </c>
      <c r="I8146" t="str">
        <f t="shared" si="1850"/>
        <v>0</v>
      </c>
      <c r="J8146" t="str">
        <f t="shared" si="1857"/>
        <v>00</v>
      </c>
      <c r="K8146">
        <v>20181116</v>
      </c>
      <c r="L8146" t="str">
        <f>"074719"</f>
        <v>074719</v>
      </c>
      <c r="M8146" t="str">
        <f>"65780"</f>
        <v>65780</v>
      </c>
      <c r="N8146" t="s">
        <v>2318</v>
      </c>
      <c r="O8146" s="1">
        <v>4634.58</v>
      </c>
      <c r="P8146">
        <v>20181115</v>
      </c>
      <c r="Q8146" t="s">
        <v>6404</v>
      </c>
      <c r="R8146" t="s">
        <v>6405</v>
      </c>
      <c r="S8146" t="s">
        <v>6389</v>
      </c>
      <c r="T8146" t="s">
        <v>46</v>
      </c>
    </row>
    <row r="8147" spans="1:20" x14ac:dyDescent="0.25">
      <c r="A8147">
        <v>9</v>
      </c>
      <c r="B8147">
        <v>211</v>
      </c>
      <c r="C8147" t="str">
        <f>"13"</f>
        <v>13</v>
      </c>
      <c r="D8147">
        <v>6239</v>
      </c>
      <c r="E8147" t="str">
        <f t="shared" si="1852"/>
        <v>00</v>
      </c>
      <c r="F8147" t="str">
        <f>"101"</f>
        <v>101</v>
      </c>
      <c r="G8147">
        <v>9</v>
      </c>
      <c r="H8147" t="str">
        <f t="shared" si="1854"/>
        <v>30</v>
      </c>
      <c r="I8147" t="str">
        <f t="shared" si="1850"/>
        <v>0</v>
      </c>
      <c r="J8147" t="str">
        <f t="shared" si="1857"/>
        <v>00</v>
      </c>
      <c r="K8147">
        <v>20181214</v>
      </c>
      <c r="L8147" t="str">
        <f>"075012"</f>
        <v>075012</v>
      </c>
      <c r="M8147" t="str">
        <f>"27900"</f>
        <v>27900</v>
      </c>
      <c r="N8147" t="s">
        <v>1490</v>
      </c>
      <c r="O8147" s="1">
        <v>4676.0600000000004</v>
      </c>
      <c r="P8147">
        <v>20181212</v>
      </c>
      <c r="Q8147" t="s">
        <v>6406</v>
      </c>
      <c r="R8147" t="s">
        <v>1524</v>
      </c>
      <c r="S8147" t="s">
        <v>6389</v>
      </c>
      <c r="T8147" t="s">
        <v>1479</v>
      </c>
    </row>
    <row r="8148" spans="1:20" x14ac:dyDescent="0.25">
      <c r="A8148">
        <v>9</v>
      </c>
      <c r="B8148">
        <v>211</v>
      </c>
      <c r="C8148" t="str">
        <f>"13"</f>
        <v>13</v>
      </c>
      <c r="D8148">
        <v>6239</v>
      </c>
      <c r="E8148" t="str">
        <f t="shared" si="1852"/>
        <v>00</v>
      </c>
      <c r="F8148" t="str">
        <f>"104"</f>
        <v>104</v>
      </c>
      <c r="G8148">
        <v>9</v>
      </c>
      <c r="H8148" t="str">
        <f t="shared" si="1854"/>
        <v>30</v>
      </c>
      <c r="I8148" t="str">
        <f t="shared" si="1850"/>
        <v>0</v>
      </c>
      <c r="J8148" t="str">
        <f t="shared" si="1857"/>
        <v>00</v>
      </c>
      <c r="K8148">
        <v>20181214</v>
      </c>
      <c r="L8148" t="str">
        <f>"075012"</f>
        <v>075012</v>
      </c>
      <c r="M8148" t="str">
        <f>"27900"</f>
        <v>27900</v>
      </c>
      <c r="N8148" t="s">
        <v>1490</v>
      </c>
      <c r="O8148" s="1">
        <v>4696.99</v>
      </c>
      <c r="P8148">
        <v>20181212</v>
      </c>
      <c r="Q8148" t="s">
        <v>6407</v>
      </c>
      <c r="R8148" t="s">
        <v>1524</v>
      </c>
      <c r="S8148" t="s">
        <v>6389</v>
      </c>
      <c r="T8148" t="s">
        <v>46</v>
      </c>
    </row>
    <row r="8149" spans="1:20" x14ac:dyDescent="0.25">
      <c r="A8149">
        <v>9</v>
      </c>
      <c r="B8149">
        <v>211</v>
      </c>
      <c r="C8149" t="str">
        <f>"21"</f>
        <v>21</v>
      </c>
      <c r="D8149">
        <v>6239</v>
      </c>
      <c r="E8149" t="str">
        <f t="shared" si="1852"/>
        <v>00</v>
      </c>
      <c r="F8149" t="str">
        <f>"871"</f>
        <v>871</v>
      </c>
      <c r="G8149">
        <v>9</v>
      </c>
      <c r="H8149" t="str">
        <f t="shared" si="1854"/>
        <v>30</v>
      </c>
      <c r="I8149" t="str">
        <f t="shared" si="1850"/>
        <v>0</v>
      </c>
      <c r="J8149" t="str">
        <f t="shared" si="1857"/>
        <v>00</v>
      </c>
      <c r="K8149">
        <v>20181214</v>
      </c>
      <c r="L8149" t="str">
        <f>"075012"</f>
        <v>075012</v>
      </c>
      <c r="M8149" t="str">
        <f>"27900"</f>
        <v>27900</v>
      </c>
      <c r="N8149" t="s">
        <v>1490</v>
      </c>
      <c r="O8149" s="1">
        <v>1817.5</v>
      </c>
      <c r="P8149">
        <v>20181212</v>
      </c>
      <c r="Q8149" t="s">
        <v>6408</v>
      </c>
      <c r="R8149" t="s">
        <v>6409</v>
      </c>
      <c r="S8149" t="s">
        <v>6389</v>
      </c>
      <c r="T8149" t="s">
        <v>1932</v>
      </c>
    </row>
    <row r="8150" spans="1:20" x14ac:dyDescent="0.25">
      <c r="A8150">
        <v>9</v>
      </c>
      <c r="B8150">
        <v>211</v>
      </c>
      <c r="C8150" t="str">
        <f>"11"</f>
        <v>11</v>
      </c>
      <c r="D8150">
        <v>6399</v>
      </c>
      <c r="E8150" t="str">
        <f t="shared" si="1852"/>
        <v>00</v>
      </c>
      <c r="F8150" t="str">
        <f>"104"</f>
        <v>104</v>
      </c>
      <c r="G8150">
        <v>9</v>
      </c>
      <c r="H8150" t="str">
        <f t="shared" si="1854"/>
        <v>30</v>
      </c>
      <c r="I8150" t="str">
        <f t="shared" si="1850"/>
        <v>0</v>
      </c>
      <c r="J8150" t="str">
        <f t="shared" si="1857"/>
        <v>00</v>
      </c>
      <c r="K8150">
        <v>20190111</v>
      </c>
      <c r="L8150" t="str">
        <f>"075185"</f>
        <v>075185</v>
      </c>
      <c r="M8150" t="str">
        <f>"27119"</f>
        <v>27119</v>
      </c>
      <c r="N8150" t="s">
        <v>6410</v>
      </c>
      <c r="O8150" s="1">
        <v>1767.68</v>
      </c>
      <c r="P8150">
        <v>20190109</v>
      </c>
      <c r="Q8150" t="s">
        <v>6404</v>
      </c>
      <c r="R8150" t="s">
        <v>6411</v>
      </c>
      <c r="S8150" t="s">
        <v>6389</v>
      </c>
      <c r="T8150" t="s">
        <v>46</v>
      </c>
    </row>
    <row r="8151" spans="1:20" x14ac:dyDescent="0.25">
      <c r="A8151">
        <v>9</v>
      </c>
      <c r="B8151">
        <v>211</v>
      </c>
      <c r="C8151" t="str">
        <f>"13"</f>
        <v>13</v>
      </c>
      <c r="D8151">
        <v>6299</v>
      </c>
      <c r="E8151" t="str">
        <f t="shared" si="1852"/>
        <v>00</v>
      </c>
      <c r="F8151" t="str">
        <f>"104"</f>
        <v>104</v>
      </c>
      <c r="G8151">
        <v>9</v>
      </c>
      <c r="H8151" t="str">
        <f t="shared" si="1854"/>
        <v>30</v>
      </c>
      <c r="I8151" t="str">
        <f t="shared" si="1850"/>
        <v>0</v>
      </c>
      <c r="J8151" t="str">
        <f t="shared" si="1857"/>
        <v>00</v>
      </c>
      <c r="K8151">
        <v>20190111</v>
      </c>
      <c r="L8151" t="str">
        <f>"075193"</f>
        <v>075193</v>
      </c>
      <c r="M8151" t="str">
        <f>"00660"</f>
        <v>00660</v>
      </c>
      <c r="N8151" t="s">
        <v>6412</v>
      </c>
      <c r="O8151" s="1">
        <v>3200</v>
      </c>
      <c r="P8151">
        <v>20190109</v>
      </c>
      <c r="Q8151" t="s">
        <v>6413</v>
      </c>
      <c r="R8151" t="s">
        <v>6414</v>
      </c>
      <c r="S8151" t="s">
        <v>6389</v>
      </c>
      <c r="T8151" t="s">
        <v>46</v>
      </c>
    </row>
    <row r="8152" spans="1:20" x14ac:dyDescent="0.25">
      <c r="A8152">
        <v>9</v>
      </c>
      <c r="B8152">
        <v>211</v>
      </c>
      <c r="C8152" t="str">
        <f>"11"</f>
        <v>11</v>
      </c>
      <c r="D8152">
        <v>6399</v>
      </c>
      <c r="E8152" t="str">
        <f t="shared" si="1852"/>
        <v>00</v>
      </c>
      <c r="F8152" t="str">
        <f>"104"</f>
        <v>104</v>
      </c>
      <c r="G8152">
        <v>9</v>
      </c>
      <c r="H8152" t="str">
        <f t="shared" si="1854"/>
        <v>30</v>
      </c>
      <c r="I8152" t="str">
        <f t="shared" si="1850"/>
        <v>0</v>
      </c>
      <c r="J8152" t="str">
        <f t="shared" si="1857"/>
        <v>00</v>
      </c>
      <c r="K8152">
        <v>20190111</v>
      </c>
      <c r="L8152" t="str">
        <f>"075233"</f>
        <v>075233</v>
      </c>
      <c r="M8152" t="str">
        <f>"08932"</f>
        <v>08932</v>
      </c>
      <c r="N8152" t="s">
        <v>6415</v>
      </c>
      <c r="O8152">
        <v>490</v>
      </c>
      <c r="P8152">
        <v>20190110</v>
      </c>
      <c r="Q8152" t="s">
        <v>6404</v>
      </c>
      <c r="R8152" t="s">
        <v>6416</v>
      </c>
      <c r="S8152" t="s">
        <v>6389</v>
      </c>
      <c r="T8152" t="s">
        <v>46</v>
      </c>
    </row>
    <row r="8153" spans="1:20" x14ac:dyDescent="0.25">
      <c r="A8153">
        <v>9</v>
      </c>
      <c r="B8153">
        <v>211</v>
      </c>
      <c r="C8153" t="str">
        <f>"13"</f>
        <v>13</v>
      </c>
      <c r="D8153">
        <v>6239</v>
      </c>
      <c r="E8153" t="str">
        <f t="shared" si="1852"/>
        <v>00</v>
      </c>
      <c r="F8153" t="str">
        <f>"101"</f>
        <v>101</v>
      </c>
      <c r="G8153">
        <v>9</v>
      </c>
      <c r="H8153" t="str">
        <f t="shared" si="1854"/>
        <v>30</v>
      </c>
      <c r="I8153" t="str">
        <f t="shared" si="1850"/>
        <v>0</v>
      </c>
      <c r="J8153" t="str">
        <f t="shared" si="1857"/>
        <v>00</v>
      </c>
      <c r="K8153">
        <v>20190125</v>
      </c>
      <c r="L8153" t="str">
        <f>"075350"</f>
        <v>075350</v>
      </c>
      <c r="M8153" t="str">
        <f>"27900"</f>
        <v>27900</v>
      </c>
      <c r="N8153" t="s">
        <v>1490</v>
      </c>
      <c r="O8153" s="1">
        <v>2019.5</v>
      </c>
      <c r="P8153">
        <v>20190124</v>
      </c>
      <c r="Q8153" t="s">
        <v>6406</v>
      </c>
      <c r="R8153" t="s">
        <v>1535</v>
      </c>
      <c r="S8153" t="s">
        <v>6389</v>
      </c>
      <c r="T8153" t="s">
        <v>1479</v>
      </c>
    </row>
    <row r="8154" spans="1:20" x14ac:dyDescent="0.25">
      <c r="A8154">
        <v>9</v>
      </c>
      <c r="B8154">
        <v>211</v>
      </c>
      <c r="C8154" t="str">
        <f>"13"</f>
        <v>13</v>
      </c>
      <c r="D8154">
        <v>6239</v>
      </c>
      <c r="E8154" t="str">
        <f t="shared" si="1852"/>
        <v>00</v>
      </c>
      <c r="F8154" t="str">
        <f>"104"</f>
        <v>104</v>
      </c>
      <c r="G8154">
        <v>9</v>
      </c>
      <c r="H8154" t="str">
        <f t="shared" si="1854"/>
        <v>30</v>
      </c>
      <c r="I8154" t="str">
        <f t="shared" si="1850"/>
        <v>0</v>
      </c>
      <c r="J8154" t="str">
        <f t="shared" si="1857"/>
        <v>00</v>
      </c>
      <c r="K8154">
        <v>20190125</v>
      </c>
      <c r="L8154" t="str">
        <f>"075350"</f>
        <v>075350</v>
      </c>
      <c r="M8154" t="str">
        <f>"27900"</f>
        <v>27900</v>
      </c>
      <c r="N8154" t="s">
        <v>1490</v>
      </c>
      <c r="O8154" s="1">
        <v>2019.5</v>
      </c>
      <c r="P8154">
        <v>20190124</v>
      </c>
      <c r="Q8154" t="s">
        <v>6407</v>
      </c>
      <c r="R8154" t="s">
        <v>1535</v>
      </c>
      <c r="S8154" t="s">
        <v>6389</v>
      </c>
      <c r="T8154" t="s">
        <v>46</v>
      </c>
    </row>
    <row r="8155" spans="1:20" x14ac:dyDescent="0.25">
      <c r="A8155">
        <v>9</v>
      </c>
      <c r="B8155">
        <v>211</v>
      </c>
      <c r="C8155" t="str">
        <f>"11"</f>
        <v>11</v>
      </c>
      <c r="D8155">
        <v>6399</v>
      </c>
      <c r="E8155" t="str">
        <f t="shared" si="1852"/>
        <v>00</v>
      </c>
      <c r="F8155" t="str">
        <f>"104"</f>
        <v>104</v>
      </c>
      <c r="G8155">
        <v>9</v>
      </c>
      <c r="H8155" t="str">
        <f t="shared" si="1854"/>
        <v>30</v>
      </c>
      <c r="I8155" t="str">
        <f t="shared" si="1850"/>
        <v>0</v>
      </c>
      <c r="J8155" t="str">
        <f t="shared" si="1857"/>
        <v>00</v>
      </c>
      <c r="K8155">
        <v>20190125</v>
      </c>
      <c r="L8155" t="str">
        <f>"075384"</f>
        <v>075384</v>
      </c>
      <c r="M8155" t="str">
        <f>"46850"</f>
        <v>46850</v>
      </c>
      <c r="N8155" t="s">
        <v>4752</v>
      </c>
      <c r="O8155" s="1">
        <v>2487.3200000000002</v>
      </c>
      <c r="P8155">
        <v>20190124</v>
      </c>
      <c r="Q8155" t="s">
        <v>6404</v>
      </c>
      <c r="R8155" t="s">
        <v>6417</v>
      </c>
      <c r="S8155" t="s">
        <v>6389</v>
      </c>
      <c r="T8155" t="s">
        <v>46</v>
      </c>
    </row>
    <row r="8156" spans="1:20" x14ac:dyDescent="0.25">
      <c r="A8156">
        <v>9</v>
      </c>
      <c r="B8156">
        <v>211</v>
      </c>
      <c r="C8156" t="str">
        <f>"13"</f>
        <v>13</v>
      </c>
      <c r="D8156">
        <v>6299</v>
      </c>
      <c r="E8156" t="str">
        <f t="shared" si="1852"/>
        <v>00</v>
      </c>
      <c r="F8156" t="str">
        <f>"101"</f>
        <v>101</v>
      </c>
      <c r="G8156">
        <v>9</v>
      </c>
      <c r="H8156" t="str">
        <f t="shared" si="1854"/>
        <v>30</v>
      </c>
      <c r="I8156" t="str">
        <f t="shared" si="1850"/>
        <v>0</v>
      </c>
      <c r="J8156" t="str">
        <f t="shared" si="1857"/>
        <v>00</v>
      </c>
      <c r="K8156">
        <v>20190131</v>
      </c>
      <c r="L8156" t="str">
        <f>"075482"</f>
        <v>075482</v>
      </c>
      <c r="M8156" t="str">
        <f>"00583"</f>
        <v>00583</v>
      </c>
      <c r="N8156" t="s">
        <v>6392</v>
      </c>
      <c r="O8156" s="1">
        <v>2283.33</v>
      </c>
      <c r="P8156">
        <v>20190130</v>
      </c>
      <c r="Q8156" t="s">
        <v>6418</v>
      </c>
      <c r="R8156" t="s">
        <v>3786</v>
      </c>
      <c r="S8156" t="s">
        <v>6389</v>
      </c>
      <c r="T8156" t="s">
        <v>1479</v>
      </c>
    </row>
    <row r="8157" spans="1:20" x14ac:dyDescent="0.25">
      <c r="A8157">
        <v>9</v>
      </c>
      <c r="B8157">
        <v>211</v>
      </c>
      <c r="C8157" t="str">
        <f>"13"</f>
        <v>13</v>
      </c>
      <c r="D8157">
        <v>6299</v>
      </c>
      <c r="E8157" t="str">
        <f t="shared" si="1852"/>
        <v>00</v>
      </c>
      <c r="F8157" t="str">
        <f>"104"</f>
        <v>104</v>
      </c>
      <c r="G8157">
        <v>9</v>
      </c>
      <c r="H8157" t="str">
        <f t="shared" si="1854"/>
        <v>30</v>
      </c>
      <c r="I8157" t="str">
        <f t="shared" si="1850"/>
        <v>0</v>
      </c>
      <c r="J8157" t="str">
        <f t="shared" si="1857"/>
        <v>00</v>
      </c>
      <c r="K8157">
        <v>20190131</v>
      </c>
      <c r="L8157" t="str">
        <f>"075482"</f>
        <v>075482</v>
      </c>
      <c r="M8157" t="str">
        <f>"00583"</f>
        <v>00583</v>
      </c>
      <c r="N8157" t="s">
        <v>6392</v>
      </c>
      <c r="O8157" s="1">
        <v>2283.33</v>
      </c>
      <c r="P8157">
        <v>20190130</v>
      </c>
      <c r="Q8157" t="s">
        <v>6413</v>
      </c>
      <c r="R8157" t="s">
        <v>3786</v>
      </c>
      <c r="S8157" t="s">
        <v>6389</v>
      </c>
      <c r="T8157" t="s">
        <v>46</v>
      </c>
    </row>
    <row r="8158" spans="1:20" x14ac:dyDescent="0.25">
      <c r="A8158">
        <v>9</v>
      </c>
      <c r="B8158">
        <v>211</v>
      </c>
      <c r="C8158" t="str">
        <f>"61"</f>
        <v>61</v>
      </c>
      <c r="D8158">
        <v>6399</v>
      </c>
      <c r="E8158" t="str">
        <f t="shared" si="1852"/>
        <v>00</v>
      </c>
      <c r="F8158" t="str">
        <f>"104"</f>
        <v>104</v>
      </c>
      <c r="G8158">
        <v>9</v>
      </c>
      <c r="H8158" t="str">
        <f t="shared" si="1854"/>
        <v>30</v>
      </c>
      <c r="I8158" t="str">
        <f t="shared" si="1850"/>
        <v>0</v>
      </c>
      <c r="J8158" t="str">
        <f t="shared" si="1857"/>
        <v>00</v>
      </c>
      <c r="K8158">
        <v>20190208</v>
      </c>
      <c r="L8158" t="str">
        <f>"075532"</f>
        <v>075532</v>
      </c>
      <c r="M8158" t="str">
        <f>"04410"</f>
        <v>04410</v>
      </c>
      <c r="N8158" t="s">
        <v>410</v>
      </c>
      <c r="O8158">
        <v>638.4</v>
      </c>
      <c r="P8158">
        <v>20190207</v>
      </c>
      <c r="Q8158" t="s">
        <v>6401</v>
      </c>
      <c r="R8158" t="s">
        <v>5925</v>
      </c>
      <c r="S8158" t="s">
        <v>6389</v>
      </c>
      <c r="T8158" t="s">
        <v>46</v>
      </c>
    </row>
    <row r="8159" spans="1:20" x14ac:dyDescent="0.25">
      <c r="A8159">
        <v>9</v>
      </c>
      <c r="B8159">
        <v>211</v>
      </c>
      <c r="C8159" t="str">
        <f>"13"</f>
        <v>13</v>
      </c>
      <c r="D8159">
        <v>6411</v>
      </c>
      <c r="E8159" t="str">
        <f t="shared" si="1852"/>
        <v>00</v>
      </c>
      <c r="F8159" t="str">
        <f>"101"</f>
        <v>101</v>
      </c>
      <c r="G8159">
        <v>9</v>
      </c>
      <c r="H8159" t="str">
        <f t="shared" si="1854"/>
        <v>30</v>
      </c>
      <c r="I8159" t="str">
        <f t="shared" si="1850"/>
        <v>0</v>
      </c>
      <c r="J8159" t="str">
        <f t="shared" si="1857"/>
        <v>00</v>
      </c>
      <c r="K8159">
        <v>20190215</v>
      </c>
      <c r="L8159" t="str">
        <f>"075713"</f>
        <v>075713</v>
      </c>
      <c r="M8159" t="str">
        <f>"27900"</f>
        <v>27900</v>
      </c>
      <c r="N8159" t="s">
        <v>1490</v>
      </c>
      <c r="O8159">
        <v>300</v>
      </c>
      <c r="P8159">
        <v>20190213</v>
      </c>
      <c r="Q8159" t="s">
        <v>6419</v>
      </c>
      <c r="R8159" t="s">
        <v>6420</v>
      </c>
      <c r="S8159" t="s">
        <v>6389</v>
      </c>
      <c r="T8159" t="s">
        <v>1479</v>
      </c>
    </row>
    <row r="8160" spans="1:20" x14ac:dyDescent="0.25">
      <c r="A8160">
        <v>9</v>
      </c>
      <c r="B8160">
        <v>211</v>
      </c>
      <c r="C8160" t="str">
        <f>"21"</f>
        <v>21</v>
      </c>
      <c r="D8160">
        <v>6411</v>
      </c>
      <c r="E8160" t="str">
        <f t="shared" si="1852"/>
        <v>00</v>
      </c>
      <c r="F8160" t="str">
        <f>"871"</f>
        <v>871</v>
      </c>
      <c r="G8160">
        <v>9</v>
      </c>
      <c r="H8160" t="str">
        <f t="shared" si="1854"/>
        <v>30</v>
      </c>
      <c r="I8160" t="str">
        <f t="shared" si="1850"/>
        <v>0</v>
      </c>
      <c r="J8160" t="str">
        <f t="shared" si="1857"/>
        <v>00</v>
      </c>
      <c r="K8160">
        <v>20190215</v>
      </c>
      <c r="L8160" t="str">
        <f>"075713"</f>
        <v>075713</v>
      </c>
      <c r="M8160" t="str">
        <f>"27900"</f>
        <v>27900</v>
      </c>
      <c r="N8160" t="s">
        <v>1490</v>
      </c>
      <c r="O8160">
        <v>100</v>
      </c>
      <c r="P8160">
        <v>20190213</v>
      </c>
      <c r="Q8160" t="s">
        <v>6421</v>
      </c>
      <c r="R8160" t="s">
        <v>6420</v>
      </c>
      <c r="S8160" t="s">
        <v>6389</v>
      </c>
      <c r="T8160" t="s">
        <v>1932</v>
      </c>
    </row>
    <row r="8161" spans="1:20" x14ac:dyDescent="0.25">
      <c r="A8161">
        <v>9</v>
      </c>
      <c r="B8161">
        <v>211</v>
      </c>
      <c r="C8161" t="str">
        <f>"11"</f>
        <v>11</v>
      </c>
      <c r="D8161">
        <v>6399</v>
      </c>
      <c r="E8161" t="str">
        <f t="shared" ref="E8161:E8192" si="1860">"00"</f>
        <v>00</v>
      </c>
      <c r="F8161" t="str">
        <f t="shared" ref="F8161:F8171" si="1861">"104"</f>
        <v>104</v>
      </c>
      <c r="G8161">
        <v>9</v>
      </c>
      <c r="H8161" t="str">
        <f t="shared" ref="H8161:H8192" si="1862">"30"</f>
        <v>30</v>
      </c>
      <c r="I8161" t="str">
        <f t="shared" si="1850"/>
        <v>0</v>
      </c>
      <c r="J8161" t="str">
        <f t="shared" si="1857"/>
        <v>00</v>
      </c>
      <c r="K8161">
        <v>20190215</v>
      </c>
      <c r="L8161" t="str">
        <f>"075734"</f>
        <v>075734</v>
      </c>
      <c r="M8161" t="str">
        <f>"46850"</f>
        <v>46850</v>
      </c>
      <c r="N8161" t="s">
        <v>4752</v>
      </c>
      <c r="O8161">
        <v>237.45</v>
      </c>
      <c r="P8161">
        <v>20190213</v>
      </c>
      <c r="Q8161" t="s">
        <v>6404</v>
      </c>
      <c r="R8161" t="s">
        <v>6422</v>
      </c>
      <c r="S8161" t="s">
        <v>6389</v>
      </c>
      <c r="T8161" t="s">
        <v>46</v>
      </c>
    </row>
    <row r="8162" spans="1:20" x14ac:dyDescent="0.25">
      <c r="A8162">
        <v>9</v>
      </c>
      <c r="B8162">
        <v>211</v>
      </c>
      <c r="C8162" t="str">
        <f>"11"</f>
        <v>11</v>
      </c>
      <c r="D8162">
        <v>6399</v>
      </c>
      <c r="E8162" t="str">
        <f t="shared" si="1860"/>
        <v>00</v>
      </c>
      <c r="F8162" t="str">
        <f t="shared" si="1861"/>
        <v>104</v>
      </c>
      <c r="G8162">
        <v>9</v>
      </c>
      <c r="H8162" t="str">
        <f t="shared" si="1862"/>
        <v>30</v>
      </c>
      <c r="I8162" t="str">
        <f t="shared" si="1850"/>
        <v>0</v>
      </c>
      <c r="J8162" t="str">
        <f t="shared" si="1857"/>
        <v>00</v>
      </c>
      <c r="K8162">
        <v>20190215</v>
      </c>
      <c r="L8162" t="str">
        <f>"075734"</f>
        <v>075734</v>
      </c>
      <c r="M8162" t="str">
        <f>"46850"</f>
        <v>46850</v>
      </c>
      <c r="N8162" t="s">
        <v>4752</v>
      </c>
      <c r="O8162" s="1">
        <v>1284.5999999999999</v>
      </c>
      <c r="P8162">
        <v>20190213</v>
      </c>
      <c r="Q8162" t="s">
        <v>6404</v>
      </c>
      <c r="R8162" t="s">
        <v>6423</v>
      </c>
      <c r="S8162" t="s">
        <v>6389</v>
      </c>
      <c r="T8162" t="s">
        <v>46</v>
      </c>
    </row>
    <row r="8163" spans="1:20" x14ac:dyDescent="0.25">
      <c r="A8163">
        <v>9</v>
      </c>
      <c r="B8163">
        <v>211</v>
      </c>
      <c r="C8163" t="str">
        <f>"13"</f>
        <v>13</v>
      </c>
      <c r="D8163">
        <v>6299</v>
      </c>
      <c r="E8163" t="str">
        <f t="shared" si="1860"/>
        <v>00</v>
      </c>
      <c r="F8163" t="str">
        <f t="shared" si="1861"/>
        <v>104</v>
      </c>
      <c r="G8163">
        <v>9</v>
      </c>
      <c r="H8163" t="str">
        <f t="shared" si="1862"/>
        <v>30</v>
      </c>
      <c r="I8163" t="str">
        <f t="shared" si="1850"/>
        <v>0</v>
      </c>
      <c r="J8163" t="str">
        <f t="shared" si="1857"/>
        <v>00</v>
      </c>
      <c r="K8163">
        <v>20190215</v>
      </c>
      <c r="L8163" t="str">
        <f>"075735"</f>
        <v>075735</v>
      </c>
      <c r="M8163" t="str">
        <f>"00690"</f>
        <v>00690</v>
      </c>
      <c r="N8163" t="s">
        <v>6424</v>
      </c>
      <c r="O8163" s="1">
        <v>5250</v>
      </c>
      <c r="P8163">
        <v>20190213</v>
      </c>
      <c r="Q8163" t="s">
        <v>6413</v>
      </c>
      <c r="R8163" t="s">
        <v>6425</v>
      </c>
      <c r="S8163" t="s">
        <v>6389</v>
      </c>
      <c r="T8163" t="s">
        <v>46</v>
      </c>
    </row>
    <row r="8164" spans="1:20" x14ac:dyDescent="0.25">
      <c r="A8164">
        <v>9</v>
      </c>
      <c r="B8164">
        <v>211</v>
      </c>
      <c r="C8164" t="str">
        <f t="shared" ref="C8164:C8170" si="1863">"11"</f>
        <v>11</v>
      </c>
      <c r="D8164">
        <v>6399</v>
      </c>
      <c r="E8164" t="str">
        <f t="shared" si="1860"/>
        <v>00</v>
      </c>
      <c r="F8164" t="str">
        <f t="shared" si="1861"/>
        <v>104</v>
      </c>
      <c r="G8164">
        <v>9</v>
      </c>
      <c r="H8164" t="str">
        <f t="shared" si="1862"/>
        <v>30</v>
      </c>
      <c r="I8164" t="str">
        <f t="shared" si="1850"/>
        <v>0</v>
      </c>
      <c r="J8164" t="str">
        <f t="shared" si="1857"/>
        <v>00</v>
      </c>
      <c r="K8164">
        <v>20190308</v>
      </c>
      <c r="L8164" t="str">
        <f>"075855"</f>
        <v>075855</v>
      </c>
      <c r="M8164" t="str">
        <f>"00141"</f>
        <v>00141</v>
      </c>
      <c r="N8164" t="s">
        <v>6426</v>
      </c>
      <c r="O8164" s="1">
        <v>4777.5</v>
      </c>
      <c r="P8164">
        <v>20190305</v>
      </c>
      <c r="Q8164" t="s">
        <v>6404</v>
      </c>
      <c r="R8164" t="s">
        <v>6427</v>
      </c>
      <c r="S8164" t="s">
        <v>6389</v>
      </c>
      <c r="T8164" t="s">
        <v>46</v>
      </c>
    </row>
    <row r="8165" spans="1:20" x14ac:dyDescent="0.25">
      <c r="A8165">
        <v>9</v>
      </c>
      <c r="B8165">
        <v>211</v>
      </c>
      <c r="C8165" t="str">
        <f t="shared" si="1863"/>
        <v>11</v>
      </c>
      <c r="D8165">
        <v>6399</v>
      </c>
      <c r="E8165" t="str">
        <f t="shared" si="1860"/>
        <v>00</v>
      </c>
      <c r="F8165" t="str">
        <f t="shared" si="1861"/>
        <v>104</v>
      </c>
      <c r="G8165">
        <v>9</v>
      </c>
      <c r="H8165" t="str">
        <f t="shared" si="1862"/>
        <v>30</v>
      </c>
      <c r="I8165" t="str">
        <f t="shared" si="1850"/>
        <v>0</v>
      </c>
      <c r="J8165" t="str">
        <f t="shared" si="1857"/>
        <v>00</v>
      </c>
      <c r="K8165">
        <v>20190308</v>
      </c>
      <c r="L8165" t="str">
        <f>"075862"</f>
        <v>075862</v>
      </c>
      <c r="M8165" t="str">
        <f>"04410"</f>
        <v>04410</v>
      </c>
      <c r="N8165" t="s">
        <v>410</v>
      </c>
      <c r="O8165">
        <v>287.56</v>
      </c>
      <c r="P8165">
        <v>20190305</v>
      </c>
      <c r="Q8165" t="s">
        <v>6404</v>
      </c>
      <c r="R8165" t="s">
        <v>6428</v>
      </c>
      <c r="S8165" t="s">
        <v>6389</v>
      </c>
      <c r="T8165" t="s">
        <v>46</v>
      </c>
    </row>
    <row r="8166" spans="1:20" x14ac:dyDescent="0.25">
      <c r="A8166">
        <v>9</v>
      </c>
      <c r="B8166">
        <v>211</v>
      </c>
      <c r="C8166" t="str">
        <f t="shared" si="1863"/>
        <v>11</v>
      </c>
      <c r="D8166">
        <v>6399</v>
      </c>
      <c r="E8166" t="str">
        <f t="shared" si="1860"/>
        <v>00</v>
      </c>
      <c r="F8166" t="str">
        <f t="shared" si="1861"/>
        <v>104</v>
      </c>
      <c r="G8166">
        <v>9</v>
      </c>
      <c r="H8166" t="str">
        <f t="shared" si="1862"/>
        <v>30</v>
      </c>
      <c r="I8166" t="str">
        <f t="shared" si="1850"/>
        <v>0</v>
      </c>
      <c r="J8166" t="str">
        <f t="shared" si="1857"/>
        <v>00</v>
      </c>
      <c r="K8166">
        <v>20190308</v>
      </c>
      <c r="L8166" t="str">
        <f>"075869"</f>
        <v>075869</v>
      </c>
      <c r="M8166" t="str">
        <f>"09170"</f>
        <v>09170</v>
      </c>
      <c r="N8166" t="s">
        <v>679</v>
      </c>
      <c r="O8166">
        <v>494.48</v>
      </c>
      <c r="P8166">
        <v>20190305</v>
      </c>
      <c r="Q8166" t="s">
        <v>6404</v>
      </c>
      <c r="R8166" t="s">
        <v>6429</v>
      </c>
      <c r="S8166" t="s">
        <v>6389</v>
      </c>
      <c r="T8166" t="s">
        <v>46</v>
      </c>
    </row>
    <row r="8167" spans="1:20" x14ac:dyDescent="0.25">
      <c r="A8167">
        <v>9</v>
      </c>
      <c r="B8167">
        <v>211</v>
      </c>
      <c r="C8167" t="str">
        <f t="shared" si="1863"/>
        <v>11</v>
      </c>
      <c r="D8167">
        <v>6399</v>
      </c>
      <c r="E8167" t="str">
        <f t="shared" si="1860"/>
        <v>00</v>
      </c>
      <c r="F8167" t="str">
        <f t="shared" si="1861"/>
        <v>104</v>
      </c>
      <c r="G8167">
        <v>9</v>
      </c>
      <c r="H8167" t="str">
        <f t="shared" si="1862"/>
        <v>30</v>
      </c>
      <c r="I8167" t="str">
        <f t="shared" si="1850"/>
        <v>0</v>
      </c>
      <c r="J8167" t="str">
        <f t="shared" si="1857"/>
        <v>00</v>
      </c>
      <c r="K8167">
        <v>20190308</v>
      </c>
      <c r="L8167" t="str">
        <f>"075869"</f>
        <v>075869</v>
      </c>
      <c r="M8167" t="str">
        <f>"09170"</f>
        <v>09170</v>
      </c>
      <c r="N8167" t="s">
        <v>679</v>
      </c>
      <c r="O8167">
        <v>504.49</v>
      </c>
      <c r="P8167">
        <v>20190305</v>
      </c>
      <c r="Q8167" t="s">
        <v>6404</v>
      </c>
      <c r="R8167" t="s">
        <v>6429</v>
      </c>
      <c r="S8167" t="s">
        <v>6389</v>
      </c>
      <c r="T8167" t="s">
        <v>46</v>
      </c>
    </row>
    <row r="8168" spans="1:20" x14ac:dyDescent="0.25">
      <c r="A8168">
        <v>9</v>
      </c>
      <c r="B8168">
        <v>211</v>
      </c>
      <c r="C8168" t="str">
        <f t="shared" si="1863"/>
        <v>11</v>
      </c>
      <c r="D8168">
        <v>6399</v>
      </c>
      <c r="E8168" t="str">
        <f t="shared" si="1860"/>
        <v>00</v>
      </c>
      <c r="F8168" t="str">
        <f t="shared" si="1861"/>
        <v>104</v>
      </c>
      <c r="G8168">
        <v>9</v>
      </c>
      <c r="H8168" t="str">
        <f t="shared" si="1862"/>
        <v>30</v>
      </c>
      <c r="I8168" t="str">
        <f t="shared" si="1850"/>
        <v>0</v>
      </c>
      <c r="J8168" t="str">
        <f t="shared" ref="J8168:J8199" si="1864">"00"</f>
        <v>00</v>
      </c>
      <c r="K8168">
        <v>20190308</v>
      </c>
      <c r="L8168" t="str">
        <f>"075903"</f>
        <v>075903</v>
      </c>
      <c r="M8168" t="str">
        <f>"23974"</f>
        <v>23974</v>
      </c>
      <c r="N8168" t="s">
        <v>1506</v>
      </c>
      <c r="O8168" s="1">
        <v>20293.2</v>
      </c>
      <c r="P8168">
        <v>20190306</v>
      </c>
      <c r="Q8168" t="s">
        <v>6404</v>
      </c>
      <c r="R8168" t="s">
        <v>6430</v>
      </c>
      <c r="S8168" t="s">
        <v>6389</v>
      </c>
      <c r="T8168" t="s">
        <v>46</v>
      </c>
    </row>
    <row r="8169" spans="1:20" x14ac:dyDescent="0.25">
      <c r="A8169">
        <v>9</v>
      </c>
      <c r="B8169">
        <v>211</v>
      </c>
      <c r="C8169" t="str">
        <f t="shared" si="1863"/>
        <v>11</v>
      </c>
      <c r="D8169">
        <v>6399</v>
      </c>
      <c r="E8169" t="str">
        <f t="shared" si="1860"/>
        <v>00</v>
      </c>
      <c r="F8169" t="str">
        <f t="shared" si="1861"/>
        <v>104</v>
      </c>
      <c r="G8169">
        <v>9</v>
      </c>
      <c r="H8169" t="str">
        <f t="shared" si="1862"/>
        <v>30</v>
      </c>
      <c r="I8169" t="str">
        <f t="shared" si="1850"/>
        <v>0</v>
      </c>
      <c r="J8169" t="str">
        <f t="shared" si="1864"/>
        <v>00</v>
      </c>
      <c r="K8169">
        <v>20190315</v>
      </c>
      <c r="L8169" t="str">
        <f>"076034"</f>
        <v>076034</v>
      </c>
      <c r="M8169" t="str">
        <f>"11759"</f>
        <v>11759</v>
      </c>
      <c r="N8169" t="s">
        <v>2845</v>
      </c>
      <c r="O8169" s="1">
        <v>1484.56</v>
      </c>
      <c r="P8169">
        <v>20190313</v>
      </c>
      <c r="Q8169" t="s">
        <v>6404</v>
      </c>
      <c r="R8169" t="s">
        <v>1945</v>
      </c>
      <c r="S8169" t="s">
        <v>6389</v>
      </c>
      <c r="T8169" t="s">
        <v>46</v>
      </c>
    </row>
    <row r="8170" spans="1:20" x14ac:dyDescent="0.25">
      <c r="A8170">
        <v>9</v>
      </c>
      <c r="B8170">
        <v>211</v>
      </c>
      <c r="C8170" t="str">
        <f t="shared" si="1863"/>
        <v>11</v>
      </c>
      <c r="D8170">
        <v>6399</v>
      </c>
      <c r="E8170" t="str">
        <f t="shared" si="1860"/>
        <v>00</v>
      </c>
      <c r="F8170" t="str">
        <f t="shared" si="1861"/>
        <v>104</v>
      </c>
      <c r="G8170">
        <v>9</v>
      </c>
      <c r="H8170" t="str">
        <f t="shared" si="1862"/>
        <v>30</v>
      </c>
      <c r="I8170" t="str">
        <f t="shared" si="1850"/>
        <v>0</v>
      </c>
      <c r="J8170" t="str">
        <f t="shared" si="1864"/>
        <v>00</v>
      </c>
      <c r="K8170">
        <v>20190315</v>
      </c>
      <c r="L8170" t="str">
        <f>"076034"</f>
        <v>076034</v>
      </c>
      <c r="M8170" t="str">
        <f>"11759"</f>
        <v>11759</v>
      </c>
      <c r="N8170" t="s">
        <v>2845</v>
      </c>
      <c r="O8170" s="1">
        <v>11233.14</v>
      </c>
      <c r="P8170">
        <v>20190313</v>
      </c>
      <c r="Q8170" t="s">
        <v>6404</v>
      </c>
      <c r="R8170" t="s">
        <v>1945</v>
      </c>
      <c r="S8170" t="s">
        <v>6389</v>
      </c>
      <c r="T8170" t="s">
        <v>46</v>
      </c>
    </row>
    <row r="8171" spans="1:20" x14ac:dyDescent="0.25">
      <c r="A8171">
        <v>9</v>
      </c>
      <c r="B8171">
        <v>211</v>
      </c>
      <c r="C8171" t="str">
        <f>"13"</f>
        <v>13</v>
      </c>
      <c r="D8171">
        <v>6411</v>
      </c>
      <c r="E8171" t="str">
        <f t="shared" si="1860"/>
        <v>00</v>
      </c>
      <c r="F8171" t="str">
        <f t="shared" si="1861"/>
        <v>104</v>
      </c>
      <c r="G8171">
        <v>9</v>
      </c>
      <c r="H8171" t="str">
        <f t="shared" si="1862"/>
        <v>30</v>
      </c>
      <c r="I8171" t="str">
        <f t="shared" si="1850"/>
        <v>0</v>
      </c>
      <c r="J8171" t="str">
        <f t="shared" si="1864"/>
        <v>00</v>
      </c>
      <c r="K8171">
        <v>20190315</v>
      </c>
      <c r="L8171" t="str">
        <f>"076057"</f>
        <v>076057</v>
      </c>
      <c r="M8171" t="str">
        <f>"27900"</f>
        <v>27900</v>
      </c>
      <c r="N8171" t="s">
        <v>1490</v>
      </c>
      <c r="O8171">
        <v>300</v>
      </c>
      <c r="P8171">
        <v>20190313</v>
      </c>
      <c r="Q8171" t="s">
        <v>6396</v>
      </c>
      <c r="R8171" t="s">
        <v>6431</v>
      </c>
      <c r="S8171" t="s">
        <v>6389</v>
      </c>
      <c r="T8171" t="s">
        <v>46</v>
      </c>
    </row>
    <row r="8172" spans="1:20" x14ac:dyDescent="0.25">
      <c r="A8172">
        <v>9</v>
      </c>
      <c r="B8172">
        <v>211</v>
      </c>
      <c r="C8172" t="str">
        <f>"21"</f>
        <v>21</v>
      </c>
      <c r="D8172">
        <v>6411</v>
      </c>
      <c r="E8172" t="str">
        <f t="shared" si="1860"/>
        <v>00</v>
      </c>
      <c r="F8172" t="str">
        <f>"871"</f>
        <v>871</v>
      </c>
      <c r="G8172">
        <v>9</v>
      </c>
      <c r="H8172" t="str">
        <f t="shared" si="1862"/>
        <v>30</v>
      </c>
      <c r="I8172" t="str">
        <f t="shared" si="1850"/>
        <v>0</v>
      </c>
      <c r="J8172" t="str">
        <f t="shared" si="1864"/>
        <v>00</v>
      </c>
      <c r="K8172">
        <v>20190315</v>
      </c>
      <c r="L8172" t="str">
        <f>"076057"</f>
        <v>076057</v>
      </c>
      <c r="M8172" t="str">
        <f>"27900"</f>
        <v>27900</v>
      </c>
      <c r="N8172" t="s">
        <v>1490</v>
      </c>
      <c r="O8172">
        <v>100</v>
      </c>
      <c r="P8172">
        <v>20190313</v>
      </c>
      <c r="Q8172" t="s">
        <v>6421</v>
      </c>
      <c r="R8172" t="s">
        <v>6431</v>
      </c>
      <c r="S8172" t="s">
        <v>6389</v>
      </c>
      <c r="T8172" t="s">
        <v>1932</v>
      </c>
    </row>
    <row r="8173" spans="1:20" x14ac:dyDescent="0.25">
      <c r="A8173">
        <v>9</v>
      </c>
      <c r="B8173">
        <v>211</v>
      </c>
      <c r="C8173" t="str">
        <f>"11"</f>
        <v>11</v>
      </c>
      <c r="D8173">
        <v>6399</v>
      </c>
      <c r="E8173" t="str">
        <f t="shared" si="1860"/>
        <v>00</v>
      </c>
      <c r="F8173" t="str">
        <f>"104"</f>
        <v>104</v>
      </c>
      <c r="G8173">
        <v>9</v>
      </c>
      <c r="H8173" t="str">
        <f t="shared" si="1862"/>
        <v>30</v>
      </c>
      <c r="I8173" t="str">
        <f t="shared" si="1850"/>
        <v>0</v>
      </c>
      <c r="J8173" t="str">
        <f t="shared" si="1864"/>
        <v>00</v>
      </c>
      <c r="K8173">
        <v>20190315</v>
      </c>
      <c r="L8173" t="str">
        <f>"076058"</f>
        <v>076058</v>
      </c>
      <c r="M8173" t="str">
        <f>"27032"</f>
        <v>27032</v>
      </c>
      <c r="N8173" t="s">
        <v>6432</v>
      </c>
      <c r="O8173">
        <v>438.75</v>
      </c>
      <c r="P8173">
        <v>20190313</v>
      </c>
      <c r="Q8173" t="s">
        <v>6404</v>
      </c>
      <c r="R8173" t="s">
        <v>6433</v>
      </c>
      <c r="S8173" t="s">
        <v>6389</v>
      </c>
      <c r="T8173" t="s">
        <v>46</v>
      </c>
    </row>
    <row r="8174" spans="1:20" x14ac:dyDescent="0.25">
      <c r="A8174">
        <v>9</v>
      </c>
      <c r="B8174">
        <v>211</v>
      </c>
      <c r="C8174" t="str">
        <f>"11"</f>
        <v>11</v>
      </c>
      <c r="D8174">
        <v>6399</v>
      </c>
      <c r="E8174" t="str">
        <f t="shared" si="1860"/>
        <v>00</v>
      </c>
      <c r="F8174" t="str">
        <f>"104"</f>
        <v>104</v>
      </c>
      <c r="G8174">
        <v>9</v>
      </c>
      <c r="H8174" t="str">
        <f t="shared" si="1862"/>
        <v>30</v>
      </c>
      <c r="I8174" t="str">
        <f t="shared" si="1850"/>
        <v>0</v>
      </c>
      <c r="J8174" t="str">
        <f t="shared" si="1864"/>
        <v>00</v>
      </c>
      <c r="K8174">
        <v>20190315</v>
      </c>
      <c r="L8174" t="str">
        <f>"076059"</f>
        <v>076059</v>
      </c>
      <c r="M8174" t="str">
        <f>"28712"</f>
        <v>28712</v>
      </c>
      <c r="N8174" t="s">
        <v>6434</v>
      </c>
      <c r="O8174" s="1">
        <v>6452.6</v>
      </c>
      <c r="P8174">
        <v>20190313</v>
      </c>
      <c r="Q8174" t="s">
        <v>6404</v>
      </c>
      <c r="R8174" t="s">
        <v>2486</v>
      </c>
      <c r="S8174" t="s">
        <v>6389</v>
      </c>
      <c r="T8174" t="s">
        <v>46</v>
      </c>
    </row>
    <row r="8175" spans="1:20" x14ac:dyDescent="0.25">
      <c r="A8175">
        <v>9</v>
      </c>
      <c r="B8175">
        <v>211</v>
      </c>
      <c r="C8175" t="str">
        <f>"11"</f>
        <v>11</v>
      </c>
      <c r="D8175">
        <v>6399</v>
      </c>
      <c r="E8175" t="str">
        <f t="shared" si="1860"/>
        <v>00</v>
      </c>
      <c r="F8175" t="str">
        <f>"104"</f>
        <v>104</v>
      </c>
      <c r="G8175">
        <v>9</v>
      </c>
      <c r="H8175" t="str">
        <f t="shared" si="1862"/>
        <v>30</v>
      </c>
      <c r="I8175" t="str">
        <f t="shared" si="1850"/>
        <v>0</v>
      </c>
      <c r="J8175" t="str">
        <f t="shared" si="1864"/>
        <v>00</v>
      </c>
      <c r="K8175">
        <v>20190315</v>
      </c>
      <c r="L8175" t="str">
        <f>"076059"</f>
        <v>076059</v>
      </c>
      <c r="M8175" t="str">
        <f>"28712"</f>
        <v>28712</v>
      </c>
      <c r="N8175" t="s">
        <v>6434</v>
      </c>
      <c r="O8175" s="1">
        <v>4383.7299999999996</v>
      </c>
      <c r="P8175">
        <v>20190313</v>
      </c>
      <c r="Q8175" t="s">
        <v>6404</v>
      </c>
      <c r="R8175" t="s">
        <v>2486</v>
      </c>
      <c r="S8175" t="s">
        <v>6389</v>
      </c>
      <c r="T8175" t="s">
        <v>46</v>
      </c>
    </row>
    <row r="8176" spans="1:20" x14ac:dyDescent="0.25">
      <c r="A8176">
        <v>9</v>
      </c>
      <c r="B8176">
        <v>211</v>
      </c>
      <c r="C8176" t="str">
        <f t="shared" ref="C8176:C8181" si="1865">"23"</f>
        <v>23</v>
      </c>
      <c r="D8176">
        <v>6411</v>
      </c>
      <c r="E8176" t="str">
        <f t="shared" si="1860"/>
        <v>00</v>
      </c>
      <c r="F8176" t="str">
        <f>"101"</f>
        <v>101</v>
      </c>
      <c r="G8176">
        <v>9</v>
      </c>
      <c r="H8176" t="str">
        <f t="shared" si="1862"/>
        <v>30</v>
      </c>
      <c r="I8176" t="str">
        <f t="shared" si="1850"/>
        <v>0</v>
      </c>
      <c r="J8176" t="str">
        <f t="shared" si="1864"/>
        <v>00</v>
      </c>
      <c r="K8176">
        <v>20190315</v>
      </c>
      <c r="L8176" t="str">
        <f t="shared" ref="L8176:L8181" si="1866">"076123"</f>
        <v>076123</v>
      </c>
      <c r="M8176" t="str">
        <f t="shared" ref="M8176:M8181" si="1867">"78309"</f>
        <v>78309</v>
      </c>
      <c r="N8176" t="s">
        <v>3268</v>
      </c>
      <c r="O8176">
        <v>523</v>
      </c>
      <c r="P8176">
        <v>20190315</v>
      </c>
      <c r="Q8176" t="s">
        <v>6435</v>
      </c>
      <c r="R8176" t="s">
        <v>6436</v>
      </c>
      <c r="S8176" t="s">
        <v>6389</v>
      </c>
      <c r="T8176" t="s">
        <v>1479</v>
      </c>
    </row>
    <row r="8177" spans="1:20" x14ac:dyDescent="0.25">
      <c r="A8177">
        <v>9</v>
      </c>
      <c r="B8177">
        <v>211</v>
      </c>
      <c r="C8177" t="str">
        <f t="shared" si="1865"/>
        <v>23</v>
      </c>
      <c r="D8177">
        <v>6411</v>
      </c>
      <c r="E8177" t="str">
        <f t="shared" si="1860"/>
        <v>00</v>
      </c>
      <c r="F8177" t="str">
        <f>"101"</f>
        <v>101</v>
      </c>
      <c r="G8177">
        <v>9</v>
      </c>
      <c r="H8177" t="str">
        <f t="shared" si="1862"/>
        <v>30</v>
      </c>
      <c r="I8177" t="str">
        <f t="shared" si="1850"/>
        <v>0</v>
      </c>
      <c r="J8177" t="str">
        <f t="shared" si="1864"/>
        <v>00</v>
      </c>
      <c r="K8177">
        <v>20190315</v>
      </c>
      <c r="L8177" t="str">
        <f t="shared" si="1866"/>
        <v>076123</v>
      </c>
      <c r="M8177" t="str">
        <f t="shared" si="1867"/>
        <v>78309</v>
      </c>
      <c r="N8177" t="s">
        <v>3268</v>
      </c>
      <c r="O8177">
        <v>523</v>
      </c>
      <c r="P8177">
        <v>20190315</v>
      </c>
      <c r="Q8177" t="s">
        <v>6435</v>
      </c>
      <c r="R8177" t="s">
        <v>6436</v>
      </c>
      <c r="S8177" t="s">
        <v>6389</v>
      </c>
      <c r="T8177" t="s">
        <v>1479</v>
      </c>
    </row>
    <row r="8178" spans="1:20" x14ac:dyDescent="0.25">
      <c r="A8178">
        <v>9</v>
      </c>
      <c r="B8178">
        <v>211</v>
      </c>
      <c r="C8178" t="str">
        <f t="shared" si="1865"/>
        <v>23</v>
      </c>
      <c r="D8178">
        <v>6411</v>
      </c>
      <c r="E8178" t="str">
        <f t="shared" si="1860"/>
        <v>00</v>
      </c>
      <c r="F8178" t="str">
        <f>"101"</f>
        <v>101</v>
      </c>
      <c r="G8178">
        <v>9</v>
      </c>
      <c r="H8178" t="str">
        <f t="shared" si="1862"/>
        <v>30</v>
      </c>
      <c r="I8178" t="str">
        <f t="shared" si="1850"/>
        <v>0</v>
      </c>
      <c r="J8178" t="str">
        <f t="shared" si="1864"/>
        <v>00</v>
      </c>
      <c r="K8178">
        <v>20190315</v>
      </c>
      <c r="L8178" t="str">
        <f t="shared" si="1866"/>
        <v>076123</v>
      </c>
      <c r="M8178" t="str">
        <f t="shared" si="1867"/>
        <v>78309</v>
      </c>
      <c r="N8178" t="s">
        <v>3268</v>
      </c>
      <c r="O8178">
        <v>523</v>
      </c>
      <c r="P8178">
        <v>20190315</v>
      </c>
      <c r="Q8178" t="s">
        <v>6435</v>
      </c>
      <c r="R8178" t="s">
        <v>6436</v>
      </c>
      <c r="S8178" t="s">
        <v>6389</v>
      </c>
      <c r="T8178" t="s">
        <v>1479</v>
      </c>
    </row>
    <row r="8179" spans="1:20" x14ac:dyDescent="0.25">
      <c r="A8179">
        <v>9</v>
      </c>
      <c r="B8179">
        <v>211</v>
      </c>
      <c r="C8179" t="str">
        <f t="shared" si="1865"/>
        <v>23</v>
      </c>
      <c r="D8179">
        <v>6411</v>
      </c>
      <c r="E8179" t="str">
        <f t="shared" si="1860"/>
        <v>00</v>
      </c>
      <c r="F8179" t="str">
        <f t="shared" ref="F8179:F8185" si="1868">"104"</f>
        <v>104</v>
      </c>
      <c r="G8179">
        <v>9</v>
      </c>
      <c r="H8179" t="str">
        <f t="shared" si="1862"/>
        <v>30</v>
      </c>
      <c r="I8179" t="str">
        <f t="shared" si="1850"/>
        <v>0</v>
      </c>
      <c r="J8179" t="str">
        <f t="shared" si="1864"/>
        <v>00</v>
      </c>
      <c r="K8179">
        <v>20190315</v>
      </c>
      <c r="L8179" t="str">
        <f t="shared" si="1866"/>
        <v>076123</v>
      </c>
      <c r="M8179" t="str">
        <f t="shared" si="1867"/>
        <v>78309</v>
      </c>
      <c r="N8179" t="s">
        <v>3268</v>
      </c>
      <c r="O8179">
        <v>374</v>
      </c>
      <c r="P8179">
        <v>20190315</v>
      </c>
      <c r="Q8179" t="s">
        <v>6437</v>
      </c>
      <c r="R8179" t="s">
        <v>6436</v>
      </c>
      <c r="S8179" t="s">
        <v>6389</v>
      </c>
      <c r="T8179" t="s">
        <v>46</v>
      </c>
    </row>
    <row r="8180" spans="1:20" x14ac:dyDescent="0.25">
      <c r="A8180">
        <v>9</v>
      </c>
      <c r="B8180">
        <v>211</v>
      </c>
      <c r="C8180" t="str">
        <f t="shared" si="1865"/>
        <v>23</v>
      </c>
      <c r="D8180">
        <v>6411</v>
      </c>
      <c r="E8180" t="str">
        <f t="shared" si="1860"/>
        <v>00</v>
      </c>
      <c r="F8180" t="str">
        <f t="shared" si="1868"/>
        <v>104</v>
      </c>
      <c r="G8180">
        <v>9</v>
      </c>
      <c r="H8180" t="str">
        <f t="shared" si="1862"/>
        <v>30</v>
      </c>
      <c r="I8180" t="str">
        <f t="shared" si="1850"/>
        <v>0</v>
      </c>
      <c r="J8180" t="str">
        <f t="shared" si="1864"/>
        <v>00</v>
      </c>
      <c r="K8180">
        <v>20190315</v>
      </c>
      <c r="L8180" t="str">
        <f t="shared" si="1866"/>
        <v>076123</v>
      </c>
      <c r="M8180" t="str">
        <f t="shared" si="1867"/>
        <v>78309</v>
      </c>
      <c r="N8180" t="s">
        <v>3268</v>
      </c>
      <c r="O8180">
        <v>374</v>
      </c>
      <c r="P8180">
        <v>20190315</v>
      </c>
      <c r="Q8180" t="s">
        <v>6437</v>
      </c>
      <c r="R8180" t="s">
        <v>6436</v>
      </c>
      <c r="S8180" t="s">
        <v>6389</v>
      </c>
      <c r="T8180" t="s">
        <v>46</v>
      </c>
    </row>
    <row r="8181" spans="1:20" x14ac:dyDescent="0.25">
      <c r="A8181">
        <v>9</v>
      </c>
      <c r="B8181">
        <v>211</v>
      </c>
      <c r="C8181" t="str">
        <f t="shared" si="1865"/>
        <v>23</v>
      </c>
      <c r="D8181">
        <v>6411</v>
      </c>
      <c r="E8181" t="str">
        <f t="shared" si="1860"/>
        <v>00</v>
      </c>
      <c r="F8181" t="str">
        <f t="shared" si="1868"/>
        <v>104</v>
      </c>
      <c r="G8181">
        <v>9</v>
      </c>
      <c r="H8181" t="str">
        <f t="shared" si="1862"/>
        <v>30</v>
      </c>
      <c r="I8181" t="str">
        <f t="shared" si="1850"/>
        <v>0</v>
      </c>
      <c r="J8181" t="str">
        <f t="shared" si="1864"/>
        <v>00</v>
      </c>
      <c r="K8181">
        <v>20190315</v>
      </c>
      <c r="L8181" t="str">
        <f t="shared" si="1866"/>
        <v>076123</v>
      </c>
      <c r="M8181" t="str">
        <f t="shared" si="1867"/>
        <v>78309</v>
      </c>
      <c r="N8181" t="s">
        <v>3268</v>
      </c>
      <c r="O8181">
        <v>374</v>
      </c>
      <c r="P8181">
        <v>20190315</v>
      </c>
      <c r="Q8181" t="s">
        <v>6437</v>
      </c>
      <c r="R8181" t="s">
        <v>6436</v>
      </c>
      <c r="S8181" t="s">
        <v>6389</v>
      </c>
      <c r="T8181" t="s">
        <v>46</v>
      </c>
    </row>
    <row r="8182" spans="1:20" x14ac:dyDescent="0.25">
      <c r="A8182">
        <v>9</v>
      </c>
      <c r="B8182">
        <v>211</v>
      </c>
      <c r="C8182" t="str">
        <f>"11"</f>
        <v>11</v>
      </c>
      <c r="D8182">
        <v>6399</v>
      </c>
      <c r="E8182" t="str">
        <f t="shared" si="1860"/>
        <v>00</v>
      </c>
      <c r="F8182" t="str">
        <f t="shared" si="1868"/>
        <v>104</v>
      </c>
      <c r="G8182">
        <v>9</v>
      </c>
      <c r="H8182" t="str">
        <f t="shared" si="1862"/>
        <v>30</v>
      </c>
      <c r="I8182" t="str">
        <f t="shared" si="1850"/>
        <v>0</v>
      </c>
      <c r="J8182" t="str">
        <f t="shared" si="1864"/>
        <v>00</v>
      </c>
      <c r="K8182">
        <v>20190322</v>
      </c>
      <c r="L8182" t="str">
        <f>"076167"</f>
        <v>076167</v>
      </c>
      <c r="M8182" t="str">
        <f>"30390"</f>
        <v>30390</v>
      </c>
      <c r="N8182" t="s">
        <v>2624</v>
      </c>
      <c r="O8182" s="1">
        <v>2744.26</v>
      </c>
      <c r="P8182">
        <v>20190320</v>
      </c>
      <c r="Q8182" t="s">
        <v>6404</v>
      </c>
      <c r="R8182" t="s">
        <v>1945</v>
      </c>
      <c r="S8182" t="s">
        <v>6389</v>
      </c>
      <c r="T8182" t="s">
        <v>46</v>
      </c>
    </row>
    <row r="8183" spans="1:20" x14ac:dyDescent="0.25">
      <c r="A8183">
        <v>9</v>
      </c>
      <c r="B8183">
        <v>211</v>
      </c>
      <c r="C8183" t="str">
        <f>"11"</f>
        <v>11</v>
      </c>
      <c r="D8183">
        <v>6399</v>
      </c>
      <c r="E8183" t="str">
        <f t="shared" si="1860"/>
        <v>00</v>
      </c>
      <c r="F8183" t="str">
        <f t="shared" si="1868"/>
        <v>104</v>
      </c>
      <c r="G8183">
        <v>9</v>
      </c>
      <c r="H8183" t="str">
        <f t="shared" si="1862"/>
        <v>30</v>
      </c>
      <c r="I8183" t="str">
        <f t="shared" si="1850"/>
        <v>0</v>
      </c>
      <c r="J8183" t="str">
        <f t="shared" si="1864"/>
        <v>00</v>
      </c>
      <c r="K8183">
        <v>20190322</v>
      </c>
      <c r="L8183" t="str">
        <f>"076167"</f>
        <v>076167</v>
      </c>
      <c r="M8183" t="str">
        <f>"30390"</f>
        <v>30390</v>
      </c>
      <c r="N8183" t="s">
        <v>2624</v>
      </c>
      <c r="O8183">
        <v>279.58</v>
      </c>
      <c r="P8183">
        <v>20190320</v>
      </c>
      <c r="Q8183" t="s">
        <v>6404</v>
      </c>
      <c r="R8183" t="s">
        <v>1945</v>
      </c>
      <c r="S8183" t="s">
        <v>6389</v>
      </c>
      <c r="T8183" t="s">
        <v>46</v>
      </c>
    </row>
    <row r="8184" spans="1:20" x14ac:dyDescent="0.25">
      <c r="A8184">
        <v>9</v>
      </c>
      <c r="B8184">
        <v>211</v>
      </c>
      <c r="C8184" t="str">
        <f>"11"</f>
        <v>11</v>
      </c>
      <c r="D8184">
        <v>6399</v>
      </c>
      <c r="E8184" t="str">
        <f t="shared" si="1860"/>
        <v>00</v>
      </c>
      <c r="F8184" t="str">
        <f t="shared" si="1868"/>
        <v>104</v>
      </c>
      <c r="G8184">
        <v>9</v>
      </c>
      <c r="H8184" t="str">
        <f t="shared" si="1862"/>
        <v>30</v>
      </c>
      <c r="I8184" t="str">
        <f t="shared" si="1850"/>
        <v>0</v>
      </c>
      <c r="J8184" t="str">
        <f t="shared" si="1864"/>
        <v>00</v>
      </c>
      <c r="K8184">
        <v>20190322</v>
      </c>
      <c r="L8184" t="str">
        <f>"076180"</f>
        <v>076180</v>
      </c>
      <c r="M8184" t="str">
        <f>"46850"</f>
        <v>46850</v>
      </c>
      <c r="N8184" t="s">
        <v>4752</v>
      </c>
      <c r="O8184" s="1">
        <v>1092.26</v>
      </c>
      <c r="P8184">
        <v>20190320</v>
      </c>
      <c r="Q8184" t="s">
        <v>6404</v>
      </c>
      <c r="R8184" t="s">
        <v>6423</v>
      </c>
      <c r="S8184" t="s">
        <v>6389</v>
      </c>
      <c r="T8184" t="s">
        <v>46</v>
      </c>
    </row>
    <row r="8185" spans="1:20" x14ac:dyDescent="0.25">
      <c r="A8185">
        <v>9</v>
      </c>
      <c r="B8185">
        <v>211</v>
      </c>
      <c r="C8185" t="str">
        <f>"61"</f>
        <v>61</v>
      </c>
      <c r="D8185">
        <v>6399</v>
      </c>
      <c r="E8185" t="str">
        <f t="shared" si="1860"/>
        <v>00</v>
      </c>
      <c r="F8185" t="str">
        <f t="shared" si="1868"/>
        <v>104</v>
      </c>
      <c r="G8185">
        <v>9</v>
      </c>
      <c r="H8185" t="str">
        <f t="shared" si="1862"/>
        <v>30</v>
      </c>
      <c r="I8185" t="str">
        <f t="shared" si="1850"/>
        <v>0</v>
      </c>
      <c r="J8185" t="str">
        <f t="shared" si="1864"/>
        <v>00</v>
      </c>
      <c r="K8185">
        <v>20190322</v>
      </c>
      <c r="L8185" t="str">
        <f>"076201"</f>
        <v>076201</v>
      </c>
      <c r="M8185" t="str">
        <f>"69033"</f>
        <v>69033</v>
      </c>
      <c r="N8185" t="s">
        <v>1539</v>
      </c>
      <c r="O8185" s="1">
        <v>3760</v>
      </c>
      <c r="P8185">
        <v>20190320</v>
      </c>
      <c r="Q8185" t="s">
        <v>6401</v>
      </c>
      <c r="R8185" t="s">
        <v>6438</v>
      </c>
      <c r="S8185" t="s">
        <v>6389</v>
      </c>
      <c r="T8185" t="s">
        <v>46</v>
      </c>
    </row>
    <row r="8186" spans="1:20" x14ac:dyDescent="0.25">
      <c r="A8186">
        <v>9</v>
      </c>
      <c r="B8186">
        <v>211</v>
      </c>
      <c r="C8186" t="str">
        <f t="shared" ref="C8186:C8191" si="1869">"11"</f>
        <v>11</v>
      </c>
      <c r="D8186">
        <v>6399</v>
      </c>
      <c r="E8186" t="str">
        <f t="shared" si="1860"/>
        <v>00</v>
      </c>
      <c r="F8186" t="str">
        <f>"101"</f>
        <v>101</v>
      </c>
      <c r="G8186">
        <v>9</v>
      </c>
      <c r="H8186" t="str">
        <f t="shared" si="1862"/>
        <v>30</v>
      </c>
      <c r="I8186" t="str">
        <f t="shared" si="1850"/>
        <v>0</v>
      </c>
      <c r="J8186" t="str">
        <f t="shared" si="1864"/>
        <v>00</v>
      </c>
      <c r="K8186">
        <v>20190329</v>
      </c>
      <c r="L8186" t="str">
        <f>"076264"</f>
        <v>076264</v>
      </c>
      <c r="M8186" t="str">
        <f>"45069"</f>
        <v>45069</v>
      </c>
      <c r="N8186" t="s">
        <v>6439</v>
      </c>
      <c r="O8186" s="1">
        <v>10075</v>
      </c>
      <c r="P8186">
        <v>20190327</v>
      </c>
      <c r="Q8186" t="s">
        <v>6440</v>
      </c>
      <c r="R8186" t="s">
        <v>6441</v>
      </c>
      <c r="S8186" t="s">
        <v>6389</v>
      </c>
      <c r="T8186" t="s">
        <v>1479</v>
      </c>
    </row>
    <row r="8187" spans="1:20" x14ac:dyDescent="0.25">
      <c r="A8187">
        <v>9</v>
      </c>
      <c r="B8187">
        <v>211</v>
      </c>
      <c r="C8187" t="str">
        <f t="shared" si="1869"/>
        <v>11</v>
      </c>
      <c r="D8187">
        <v>6399</v>
      </c>
      <c r="E8187" t="str">
        <f t="shared" si="1860"/>
        <v>00</v>
      </c>
      <c r="F8187" t="str">
        <f>"104"</f>
        <v>104</v>
      </c>
      <c r="G8187">
        <v>9</v>
      </c>
      <c r="H8187" t="str">
        <f t="shared" si="1862"/>
        <v>30</v>
      </c>
      <c r="I8187" t="str">
        <f t="shared" ref="I8187:I8250" si="1870">"0"</f>
        <v>0</v>
      </c>
      <c r="J8187" t="str">
        <f t="shared" si="1864"/>
        <v>00</v>
      </c>
      <c r="K8187">
        <v>20190412</v>
      </c>
      <c r="L8187" t="str">
        <f>"076443"</f>
        <v>076443</v>
      </c>
      <c r="M8187" t="str">
        <f>"28712"</f>
        <v>28712</v>
      </c>
      <c r="N8187" t="s">
        <v>6434</v>
      </c>
      <c r="O8187" s="1">
        <v>2156.02</v>
      </c>
      <c r="P8187">
        <v>20190410</v>
      </c>
      <c r="Q8187" t="s">
        <v>6404</v>
      </c>
      <c r="R8187" t="s">
        <v>1945</v>
      </c>
      <c r="S8187" t="s">
        <v>6389</v>
      </c>
      <c r="T8187" t="s">
        <v>46</v>
      </c>
    </row>
    <row r="8188" spans="1:20" x14ac:dyDescent="0.25">
      <c r="A8188">
        <v>9</v>
      </c>
      <c r="B8188">
        <v>211</v>
      </c>
      <c r="C8188" t="str">
        <f t="shared" si="1869"/>
        <v>11</v>
      </c>
      <c r="D8188">
        <v>6399</v>
      </c>
      <c r="E8188" t="str">
        <f t="shared" si="1860"/>
        <v>00</v>
      </c>
      <c r="F8188" t="str">
        <f>"104"</f>
        <v>104</v>
      </c>
      <c r="G8188">
        <v>9</v>
      </c>
      <c r="H8188" t="str">
        <f t="shared" si="1862"/>
        <v>30</v>
      </c>
      <c r="I8188" t="str">
        <f t="shared" si="1870"/>
        <v>0</v>
      </c>
      <c r="J8188" t="str">
        <f t="shared" si="1864"/>
        <v>00</v>
      </c>
      <c r="K8188">
        <v>20190412</v>
      </c>
      <c r="L8188" t="str">
        <f>"076443"</f>
        <v>076443</v>
      </c>
      <c r="M8188" t="str">
        <f>"28712"</f>
        <v>28712</v>
      </c>
      <c r="N8188" t="s">
        <v>6434</v>
      </c>
      <c r="O8188" s="1">
        <v>2000</v>
      </c>
      <c r="P8188">
        <v>20190410</v>
      </c>
      <c r="Q8188" t="s">
        <v>6404</v>
      </c>
      <c r="R8188" t="s">
        <v>1945</v>
      </c>
      <c r="S8188" t="s">
        <v>6389</v>
      </c>
      <c r="T8188" t="s">
        <v>46</v>
      </c>
    </row>
    <row r="8189" spans="1:20" x14ac:dyDescent="0.25">
      <c r="A8189">
        <v>9</v>
      </c>
      <c r="B8189">
        <v>211</v>
      </c>
      <c r="C8189" t="str">
        <f t="shared" si="1869"/>
        <v>11</v>
      </c>
      <c r="D8189">
        <v>6399</v>
      </c>
      <c r="E8189" t="str">
        <f t="shared" si="1860"/>
        <v>00</v>
      </c>
      <c r="F8189" t="str">
        <f>"101"</f>
        <v>101</v>
      </c>
      <c r="G8189">
        <v>9</v>
      </c>
      <c r="H8189" t="str">
        <f t="shared" si="1862"/>
        <v>30</v>
      </c>
      <c r="I8189" t="str">
        <f t="shared" si="1870"/>
        <v>0</v>
      </c>
      <c r="J8189" t="str">
        <f t="shared" si="1864"/>
        <v>00</v>
      </c>
      <c r="K8189">
        <v>20190426</v>
      </c>
      <c r="L8189" t="str">
        <f>"076592"</f>
        <v>076592</v>
      </c>
      <c r="M8189" t="str">
        <f>"46850"</f>
        <v>46850</v>
      </c>
      <c r="N8189" t="s">
        <v>4752</v>
      </c>
      <c r="O8189" s="1">
        <v>4539.41</v>
      </c>
      <c r="P8189">
        <v>20190425</v>
      </c>
      <c r="Q8189" t="s">
        <v>6440</v>
      </c>
      <c r="R8189" t="s">
        <v>6442</v>
      </c>
      <c r="S8189" t="s">
        <v>6389</v>
      </c>
      <c r="T8189" t="s">
        <v>1479</v>
      </c>
    </row>
    <row r="8190" spans="1:20" x14ac:dyDescent="0.25">
      <c r="A8190">
        <v>9</v>
      </c>
      <c r="B8190">
        <v>211</v>
      </c>
      <c r="C8190" t="str">
        <f t="shared" si="1869"/>
        <v>11</v>
      </c>
      <c r="D8190">
        <v>6399</v>
      </c>
      <c r="E8190" t="str">
        <f t="shared" si="1860"/>
        <v>00</v>
      </c>
      <c r="F8190" t="str">
        <f t="shared" ref="F8190:F8196" si="1871">"104"</f>
        <v>104</v>
      </c>
      <c r="G8190">
        <v>9</v>
      </c>
      <c r="H8190" t="str">
        <f t="shared" si="1862"/>
        <v>30</v>
      </c>
      <c r="I8190" t="str">
        <f t="shared" si="1870"/>
        <v>0</v>
      </c>
      <c r="J8190" t="str">
        <f t="shared" si="1864"/>
        <v>00</v>
      </c>
      <c r="K8190">
        <v>20190426</v>
      </c>
      <c r="L8190" t="str">
        <f>"076597"</f>
        <v>076597</v>
      </c>
      <c r="M8190" t="str">
        <f>"50825"</f>
        <v>50825</v>
      </c>
      <c r="N8190" t="s">
        <v>5701</v>
      </c>
      <c r="O8190">
        <v>946.44</v>
      </c>
      <c r="P8190">
        <v>20190425</v>
      </c>
      <c r="Q8190" t="s">
        <v>6404</v>
      </c>
      <c r="R8190" t="s">
        <v>6443</v>
      </c>
      <c r="S8190" t="s">
        <v>6389</v>
      </c>
      <c r="T8190" t="s">
        <v>46</v>
      </c>
    </row>
    <row r="8191" spans="1:20" x14ac:dyDescent="0.25">
      <c r="A8191">
        <v>9</v>
      </c>
      <c r="B8191">
        <v>211</v>
      </c>
      <c r="C8191" t="str">
        <f t="shared" si="1869"/>
        <v>11</v>
      </c>
      <c r="D8191">
        <v>6399</v>
      </c>
      <c r="E8191" t="str">
        <f t="shared" si="1860"/>
        <v>00</v>
      </c>
      <c r="F8191" t="str">
        <f t="shared" si="1871"/>
        <v>104</v>
      </c>
      <c r="G8191">
        <v>9</v>
      </c>
      <c r="H8191" t="str">
        <f t="shared" si="1862"/>
        <v>30</v>
      </c>
      <c r="I8191" t="str">
        <f t="shared" si="1870"/>
        <v>0</v>
      </c>
      <c r="J8191" t="str">
        <f t="shared" si="1864"/>
        <v>00</v>
      </c>
      <c r="K8191">
        <v>20190426</v>
      </c>
      <c r="L8191" t="str">
        <f>"076597"</f>
        <v>076597</v>
      </c>
      <c r="M8191" t="str">
        <f>"50825"</f>
        <v>50825</v>
      </c>
      <c r="N8191" t="s">
        <v>5701</v>
      </c>
      <c r="O8191" s="1">
        <v>7103.14</v>
      </c>
      <c r="P8191">
        <v>20190425</v>
      </c>
      <c r="Q8191" t="s">
        <v>6404</v>
      </c>
      <c r="R8191" t="s">
        <v>6444</v>
      </c>
      <c r="S8191" t="s">
        <v>6389</v>
      </c>
      <c r="T8191" t="s">
        <v>46</v>
      </c>
    </row>
    <row r="8192" spans="1:20" x14ac:dyDescent="0.25">
      <c r="A8192">
        <v>9</v>
      </c>
      <c r="B8192">
        <v>211</v>
      </c>
      <c r="C8192" t="str">
        <f>"13"</f>
        <v>13</v>
      </c>
      <c r="D8192">
        <v>6299</v>
      </c>
      <c r="E8192" t="str">
        <f t="shared" si="1860"/>
        <v>00</v>
      </c>
      <c r="F8192" t="str">
        <f t="shared" si="1871"/>
        <v>104</v>
      </c>
      <c r="G8192">
        <v>9</v>
      </c>
      <c r="H8192" t="str">
        <f t="shared" si="1862"/>
        <v>30</v>
      </c>
      <c r="I8192" t="str">
        <f t="shared" si="1870"/>
        <v>0</v>
      </c>
      <c r="J8192" t="str">
        <f t="shared" si="1864"/>
        <v>00</v>
      </c>
      <c r="K8192">
        <v>20190426</v>
      </c>
      <c r="L8192" t="str">
        <f>"076597"</f>
        <v>076597</v>
      </c>
      <c r="M8192" t="str">
        <f>"50825"</f>
        <v>50825</v>
      </c>
      <c r="N8192" t="s">
        <v>5701</v>
      </c>
      <c r="O8192" s="1">
        <v>2500</v>
      </c>
      <c r="P8192">
        <v>20190425</v>
      </c>
      <c r="Q8192" t="s">
        <v>6413</v>
      </c>
      <c r="R8192" t="s">
        <v>6445</v>
      </c>
      <c r="S8192" t="s">
        <v>6389</v>
      </c>
      <c r="T8192" t="s">
        <v>46</v>
      </c>
    </row>
    <row r="8193" spans="1:20" x14ac:dyDescent="0.25">
      <c r="A8193">
        <v>9</v>
      </c>
      <c r="B8193">
        <v>211</v>
      </c>
      <c r="C8193" t="str">
        <f t="shared" ref="C8193:C8233" si="1872">"11"</f>
        <v>11</v>
      </c>
      <c r="D8193">
        <v>6399</v>
      </c>
      <c r="E8193" t="str">
        <f t="shared" ref="E8193:E8224" si="1873">"00"</f>
        <v>00</v>
      </c>
      <c r="F8193" t="str">
        <f t="shared" si="1871"/>
        <v>104</v>
      </c>
      <c r="G8193">
        <v>9</v>
      </c>
      <c r="H8193" t="str">
        <f t="shared" ref="H8193:H8224" si="1874">"30"</f>
        <v>30</v>
      </c>
      <c r="I8193" t="str">
        <f t="shared" si="1870"/>
        <v>0</v>
      </c>
      <c r="J8193" t="str">
        <f t="shared" si="1864"/>
        <v>00</v>
      </c>
      <c r="K8193">
        <v>20190503</v>
      </c>
      <c r="L8193" t="str">
        <f>"076648"</f>
        <v>076648</v>
      </c>
      <c r="M8193" t="str">
        <f>"11759"</f>
        <v>11759</v>
      </c>
      <c r="N8193" t="s">
        <v>2845</v>
      </c>
      <c r="O8193">
        <v>610.55999999999995</v>
      </c>
      <c r="P8193">
        <v>20190502</v>
      </c>
      <c r="Q8193" t="s">
        <v>6404</v>
      </c>
      <c r="R8193" t="s">
        <v>1945</v>
      </c>
      <c r="S8193" t="s">
        <v>6389</v>
      </c>
      <c r="T8193" t="s">
        <v>46</v>
      </c>
    </row>
    <row r="8194" spans="1:20" x14ac:dyDescent="0.25">
      <c r="A8194">
        <v>9</v>
      </c>
      <c r="B8194">
        <v>211</v>
      </c>
      <c r="C8194" t="str">
        <f t="shared" si="1872"/>
        <v>11</v>
      </c>
      <c r="D8194">
        <v>6399</v>
      </c>
      <c r="E8194" t="str">
        <f t="shared" si="1873"/>
        <v>00</v>
      </c>
      <c r="F8194" t="str">
        <f t="shared" si="1871"/>
        <v>104</v>
      </c>
      <c r="G8194">
        <v>9</v>
      </c>
      <c r="H8194" t="str">
        <f t="shared" si="1874"/>
        <v>30</v>
      </c>
      <c r="I8194" t="str">
        <f t="shared" si="1870"/>
        <v>0</v>
      </c>
      <c r="J8194" t="str">
        <f t="shared" si="1864"/>
        <v>00</v>
      </c>
      <c r="K8194">
        <v>20190503</v>
      </c>
      <c r="L8194" t="str">
        <f>"076648"</f>
        <v>076648</v>
      </c>
      <c r="M8194" t="str">
        <f>"11759"</f>
        <v>11759</v>
      </c>
      <c r="N8194" t="s">
        <v>2845</v>
      </c>
      <c r="O8194">
        <v>76.040000000000006</v>
      </c>
      <c r="P8194">
        <v>20190502</v>
      </c>
      <c r="Q8194" t="s">
        <v>6404</v>
      </c>
      <c r="R8194" t="s">
        <v>1945</v>
      </c>
      <c r="S8194" t="s">
        <v>6389</v>
      </c>
      <c r="T8194" t="s">
        <v>46</v>
      </c>
    </row>
    <row r="8195" spans="1:20" x14ac:dyDescent="0.25">
      <c r="A8195">
        <v>9</v>
      </c>
      <c r="B8195">
        <v>211</v>
      </c>
      <c r="C8195" t="str">
        <f t="shared" si="1872"/>
        <v>11</v>
      </c>
      <c r="D8195">
        <v>6399</v>
      </c>
      <c r="E8195" t="str">
        <f t="shared" si="1873"/>
        <v>00</v>
      </c>
      <c r="F8195" t="str">
        <f t="shared" si="1871"/>
        <v>104</v>
      </c>
      <c r="G8195">
        <v>9</v>
      </c>
      <c r="H8195" t="str">
        <f t="shared" si="1874"/>
        <v>30</v>
      </c>
      <c r="I8195" t="str">
        <f t="shared" si="1870"/>
        <v>0</v>
      </c>
      <c r="J8195" t="str">
        <f t="shared" si="1864"/>
        <v>00</v>
      </c>
      <c r="K8195">
        <v>20190503</v>
      </c>
      <c r="L8195" t="str">
        <f>"076665"</f>
        <v>076665</v>
      </c>
      <c r="M8195" t="str">
        <f>"28712"</f>
        <v>28712</v>
      </c>
      <c r="N8195" t="s">
        <v>6434</v>
      </c>
      <c r="O8195" s="1">
        <v>10729.8</v>
      </c>
      <c r="P8195">
        <v>20190502</v>
      </c>
      <c r="Q8195" t="s">
        <v>6404</v>
      </c>
      <c r="R8195" t="s">
        <v>1945</v>
      </c>
      <c r="S8195" t="s">
        <v>6389</v>
      </c>
      <c r="T8195" t="s">
        <v>46</v>
      </c>
    </row>
    <row r="8196" spans="1:20" x14ac:dyDescent="0.25">
      <c r="A8196">
        <v>9</v>
      </c>
      <c r="B8196">
        <v>211</v>
      </c>
      <c r="C8196" t="str">
        <f t="shared" si="1872"/>
        <v>11</v>
      </c>
      <c r="D8196">
        <v>6399</v>
      </c>
      <c r="E8196" t="str">
        <f t="shared" si="1873"/>
        <v>00</v>
      </c>
      <c r="F8196" t="str">
        <f t="shared" si="1871"/>
        <v>104</v>
      </c>
      <c r="G8196">
        <v>9</v>
      </c>
      <c r="H8196" t="str">
        <f t="shared" si="1874"/>
        <v>30</v>
      </c>
      <c r="I8196" t="str">
        <f t="shared" si="1870"/>
        <v>0</v>
      </c>
      <c r="J8196" t="str">
        <f t="shared" si="1864"/>
        <v>00</v>
      </c>
      <c r="K8196">
        <v>20190503</v>
      </c>
      <c r="L8196" t="str">
        <f>"076712"</f>
        <v>076712</v>
      </c>
      <c r="M8196" t="str">
        <f>"61912"</f>
        <v>61912</v>
      </c>
      <c r="N8196" t="s">
        <v>2301</v>
      </c>
      <c r="O8196" s="1">
        <v>4308.74</v>
      </c>
      <c r="P8196">
        <v>20190502</v>
      </c>
      <c r="Q8196" t="s">
        <v>6404</v>
      </c>
      <c r="R8196" t="s">
        <v>6446</v>
      </c>
      <c r="S8196" t="s">
        <v>6389</v>
      </c>
      <c r="T8196" t="s">
        <v>46</v>
      </c>
    </row>
    <row r="8197" spans="1:20" x14ac:dyDescent="0.25">
      <c r="A8197">
        <v>9</v>
      </c>
      <c r="B8197">
        <v>211</v>
      </c>
      <c r="C8197" t="str">
        <f t="shared" si="1872"/>
        <v>11</v>
      </c>
      <c r="D8197">
        <v>6399</v>
      </c>
      <c r="E8197" t="str">
        <f t="shared" si="1873"/>
        <v>00</v>
      </c>
      <c r="F8197" t="str">
        <f>"101"</f>
        <v>101</v>
      </c>
      <c r="G8197">
        <v>9</v>
      </c>
      <c r="H8197" t="str">
        <f t="shared" si="1874"/>
        <v>30</v>
      </c>
      <c r="I8197" t="str">
        <f t="shared" si="1870"/>
        <v>0</v>
      </c>
      <c r="J8197" t="str">
        <f t="shared" si="1864"/>
        <v>00</v>
      </c>
      <c r="K8197">
        <v>20190510</v>
      </c>
      <c r="L8197" t="str">
        <f>"076760"</f>
        <v>076760</v>
      </c>
      <c r="M8197" t="str">
        <f>"25221"</f>
        <v>25221</v>
      </c>
      <c r="N8197" t="s">
        <v>2484</v>
      </c>
      <c r="O8197" s="1">
        <v>3257.43</v>
      </c>
      <c r="P8197">
        <v>20190508</v>
      </c>
      <c r="Q8197" t="s">
        <v>6440</v>
      </c>
      <c r="R8197" t="s">
        <v>6447</v>
      </c>
      <c r="S8197" t="s">
        <v>6389</v>
      </c>
      <c r="T8197" t="s">
        <v>1479</v>
      </c>
    </row>
    <row r="8198" spans="1:20" x14ac:dyDescent="0.25">
      <c r="A8198">
        <v>9</v>
      </c>
      <c r="B8198">
        <v>211</v>
      </c>
      <c r="C8198" t="str">
        <f t="shared" si="1872"/>
        <v>11</v>
      </c>
      <c r="D8198">
        <v>6399</v>
      </c>
      <c r="E8198" t="str">
        <f t="shared" si="1873"/>
        <v>00</v>
      </c>
      <c r="F8198" t="str">
        <f>"101"</f>
        <v>101</v>
      </c>
      <c r="G8198">
        <v>9</v>
      </c>
      <c r="H8198" t="str">
        <f t="shared" si="1874"/>
        <v>30</v>
      </c>
      <c r="I8198" t="str">
        <f t="shared" si="1870"/>
        <v>0</v>
      </c>
      <c r="J8198" t="str">
        <f t="shared" si="1864"/>
        <v>00</v>
      </c>
      <c r="K8198">
        <v>20190510</v>
      </c>
      <c r="L8198" t="str">
        <f>"076773"</f>
        <v>076773</v>
      </c>
      <c r="M8198" t="str">
        <f>"39279"</f>
        <v>39279</v>
      </c>
      <c r="N8198" t="s">
        <v>6448</v>
      </c>
      <c r="O8198" s="1">
        <v>42315</v>
      </c>
      <c r="P8198">
        <v>20190508</v>
      </c>
      <c r="Q8198" t="s">
        <v>6440</v>
      </c>
      <c r="R8198" t="s">
        <v>6449</v>
      </c>
      <c r="S8198" t="s">
        <v>6389</v>
      </c>
      <c r="T8198" t="s">
        <v>1479</v>
      </c>
    </row>
    <row r="8199" spans="1:20" x14ac:dyDescent="0.25">
      <c r="A8199">
        <v>9</v>
      </c>
      <c r="B8199">
        <v>211</v>
      </c>
      <c r="C8199" t="str">
        <f t="shared" si="1872"/>
        <v>11</v>
      </c>
      <c r="D8199">
        <v>6399</v>
      </c>
      <c r="E8199" t="str">
        <f t="shared" si="1873"/>
        <v>00</v>
      </c>
      <c r="F8199" t="str">
        <f>"101"</f>
        <v>101</v>
      </c>
      <c r="G8199">
        <v>9</v>
      </c>
      <c r="H8199" t="str">
        <f t="shared" si="1874"/>
        <v>30</v>
      </c>
      <c r="I8199" t="str">
        <f t="shared" si="1870"/>
        <v>0</v>
      </c>
      <c r="J8199" t="str">
        <f t="shared" si="1864"/>
        <v>00</v>
      </c>
      <c r="K8199">
        <v>20190510</v>
      </c>
      <c r="L8199" t="str">
        <f>"076773"</f>
        <v>076773</v>
      </c>
      <c r="M8199" t="str">
        <f>"39279"</f>
        <v>39279</v>
      </c>
      <c r="N8199" t="s">
        <v>6448</v>
      </c>
      <c r="O8199" s="1">
        <v>3648.1</v>
      </c>
      <c r="P8199">
        <v>20190508</v>
      </c>
      <c r="Q8199" t="s">
        <v>6440</v>
      </c>
      <c r="R8199" t="s">
        <v>6450</v>
      </c>
      <c r="S8199" t="s">
        <v>6389</v>
      </c>
      <c r="T8199" t="s">
        <v>1479</v>
      </c>
    </row>
    <row r="8200" spans="1:20" x14ac:dyDescent="0.25">
      <c r="A8200">
        <v>9</v>
      </c>
      <c r="B8200">
        <v>211</v>
      </c>
      <c r="C8200" t="str">
        <f t="shared" si="1872"/>
        <v>11</v>
      </c>
      <c r="D8200">
        <v>6399</v>
      </c>
      <c r="E8200" t="str">
        <f t="shared" si="1873"/>
        <v>00</v>
      </c>
      <c r="F8200" t="str">
        <f>"104"</f>
        <v>104</v>
      </c>
      <c r="G8200">
        <v>9</v>
      </c>
      <c r="H8200" t="str">
        <f t="shared" si="1874"/>
        <v>30</v>
      </c>
      <c r="I8200" t="str">
        <f t="shared" si="1870"/>
        <v>0</v>
      </c>
      <c r="J8200" t="str">
        <f t="shared" ref="J8200:J8231" si="1875">"00"</f>
        <v>00</v>
      </c>
      <c r="K8200">
        <v>20190510</v>
      </c>
      <c r="L8200" t="str">
        <f>"076798"</f>
        <v>076798</v>
      </c>
      <c r="M8200" t="str">
        <f>"65767"</f>
        <v>65767</v>
      </c>
      <c r="N8200" t="s">
        <v>6451</v>
      </c>
      <c r="O8200" s="1">
        <v>4471.8999999999996</v>
      </c>
      <c r="P8200">
        <v>20190508</v>
      </c>
      <c r="Q8200" t="s">
        <v>6404</v>
      </c>
      <c r="R8200" t="s">
        <v>1945</v>
      </c>
      <c r="S8200" t="s">
        <v>6389</v>
      </c>
      <c r="T8200" t="s">
        <v>46</v>
      </c>
    </row>
    <row r="8201" spans="1:20" x14ac:dyDescent="0.25">
      <c r="A8201">
        <v>9</v>
      </c>
      <c r="B8201">
        <v>211</v>
      </c>
      <c r="C8201" t="str">
        <f t="shared" si="1872"/>
        <v>11</v>
      </c>
      <c r="D8201">
        <v>6399</v>
      </c>
      <c r="E8201" t="str">
        <f t="shared" si="1873"/>
        <v>00</v>
      </c>
      <c r="F8201" t="str">
        <f t="shared" ref="F8201:F8228" si="1876">"101"</f>
        <v>101</v>
      </c>
      <c r="G8201">
        <v>9</v>
      </c>
      <c r="H8201" t="str">
        <f t="shared" si="1874"/>
        <v>30</v>
      </c>
      <c r="I8201" t="str">
        <f t="shared" si="1870"/>
        <v>0</v>
      </c>
      <c r="J8201" t="str">
        <f t="shared" si="1875"/>
        <v>00</v>
      </c>
      <c r="K8201">
        <v>20190510</v>
      </c>
      <c r="L8201" t="str">
        <f t="shared" ref="L8201:L8228" si="1877">"076799"</f>
        <v>076799</v>
      </c>
      <c r="M8201" t="str">
        <f t="shared" ref="M8201:M8228" si="1878">"65780"</f>
        <v>65780</v>
      </c>
      <c r="N8201" t="s">
        <v>2318</v>
      </c>
      <c r="O8201">
        <v>140</v>
      </c>
      <c r="P8201">
        <v>20190508</v>
      </c>
      <c r="Q8201" t="s">
        <v>6440</v>
      </c>
      <c r="R8201" t="s">
        <v>6452</v>
      </c>
      <c r="S8201" t="s">
        <v>6389</v>
      </c>
      <c r="T8201" t="s">
        <v>1479</v>
      </c>
    </row>
    <row r="8202" spans="1:20" x14ac:dyDescent="0.25">
      <c r="A8202">
        <v>9</v>
      </c>
      <c r="B8202">
        <v>211</v>
      </c>
      <c r="C8202" t="str">
        <f t="shared" si="1872"/>
        <v>11</v>
      </c>
      <c r="D8202">
        <v>6399</v>
      </c>
      <c r="E8202" t="str">
        <f t="shared" si="1873"/>
        <v>00</v>
      </c>
      <c r="F8202" t="str">
        <f t="shared" si="1876"/>
        <v>101</v>
      </c>
      <c r="G8202">
        <v>9</v>
      </c>
      <c r="H8202" t="str">
        <f t="shared" si="1874"/>
        <v>30</v>
      </c>
      <c r="I8202" t="str">
        <f t="shared" si="1870"/>
        <v>0</v>
      </c>
      <c r="J8202" t="str">
        <f t="shared" si="1875"/>
        <v>00</v>
      </c>
      <c r="K8202">
        <v>20190510</v>
      </c>
      <c r="L8202" t="str">
        <f t="shared" si="1877"/>
        <v>076799</v>
      </c>
      <c r="M8202" t="str">
        <f t="shared" si="1878"/>
        <v>65780</v>
      </c>
      <c r="N8202" t="s">
        <v>2318</v>
      </c>
      <c r="O8202">
        <v>102</v>
      </c>
      <c r="P8202">
        <v>20190508</v>
      </c>
      <c r="Q8202" t="s">
        <v>6440</v>
      </c>
      <c r="R8202" t="s">
        <v>5190</v>
      </c>
      <c r="S8202" t="s">
        <v>6389</v>
      </c>
      <c r="T8202" t="s">
        <v>1479</v>
      </c>
    </row>
    <row r="8203" spans="1:20" x14ac:dyDescent="0.25">
      <c r="A8203">
        <v>9</v>
      </c>
      <c r="B8203">
        <v>211</v>
      </c>
      <c r="C8203" t="str">
        <f t="shared" si="1872"/>
        <v>11</v>
      </c>
      <c r="D8203">
        <v>6399</v>
      </c>
      <c r="E8203" t="str">
        <f t="shared" si="1873"/>
        <v>00</v>
      </c>
      <c r="F8203" t="str">
        <f t="shared" si="1876"/>
        <v>101</v>
      </c>
      <c r="G8203">
        <v>9</v>
      </c>
      <c r="H8203" t="str">
        <f t="shared" si="1874"/>
        <v>30</v>
      </c>
      <c r="I8203" t="str">
        <f t="shared" si="1870"/>
        <v>0</v>
      </c>
      <c r="J8203" t="str">
        <f t="shared" si="1875"/>
        <v>00</v>
      </c>
      <c r="K8203">
        <v>20190510</v>
      </c>
      <c r="L8203" t="str">
        <f t="shared" si="1877"/>
        <v>076799</v>
      </c>
      <c r="M8203" t="str">
        <f t="shared" si="1878"/>
        <v>65780</v>
      </c>
      <c r="N8203" t="s">
        <v>2318</v>
      </c>
      <c r="O8203">
        <v>140</v>
      </c>
      <c r="P8203">
        <v>20190508</v>
      </c>
      <c r="Q8203" t="s">
        <v>6440</v>
      </c>
      <c r="R8203" t="s">
        <v>6453</v>
      </c>
      <c r="S8203" t="s">
        <v>6389</v>
      </c>
      <c r="T8203" t="s">
        <v>1479</v>
      </c>
    </row>
    <row r="8204" spans="1:20" x14ac:dyDescent="0.25">
      <c r="A8204">
        <v>9</v>
      </c>
      <c r="B8204">
        <v>211</v>
      </c>
      <c r="C8204" t="str">
        <f t="shared" si="1872"/>
        <v>11</v>
      </c>
      <c r="D8204">
        <v>6399</v>
      </c>
      <c r="E8204" t="str">
        <f t="shared" si="1873"/>
        <v>00</v>
      </c>
      <c r="F8204" t="str">
        <f t="shared" si="1876"/>
        <v>101</v>
      </c>
      <c r="G8204">
        <v>9</v>
      </c>
      <c r="H8204" t="str">
        <f t="shared" si="1874"/>
        <v>30</v>
      </c>
      <c r="I8204" t="str">
        <f t="shared" si="1870"/>
        <v>0</v>
      </c>
      <c r="J8204" t="str">
        <f t="shared" si="1875"/>
        <v>00</v>
      </c>
      <c r="K8204">
        <v>20190510</v>
      </c>
      <c r="L8204" t="str">
        <f t="shared" si="1877"/>
        <v>076799</v>
      </c>
      <c r="M8204" t="str">
        <f t="shared" si="1878"/>
        <v>65780</v>
      </c>
      <c r="N8204" t="s">
        <v>2318</v>
      </c>
      <c r="O8204">
        <v>263</v>
      </c>
      <c r="P8204">
        <v>20190508</v>
      </c>
      <c r="Q8204" t="s">
        <v>6440</v>
      </c>
      <c r="R8204" t="s">
        <v>5190</v>
      </c>
      <c r="S8204" t="s">
        <v>6389</v>
      </c>
      <c r="T8204" t="s">
        <v>1479</v>
      </c>
    </row>
    <row r="8205" spans="1:20" x14ac:dyDescent="0.25">
      <c r="A8205">
        <v>9</v>
      </c>
      <c r="B8205">
        <v>211</v>
      </c>
      <c r="C8205" t="str">
        <f t="shared" si="1872"/>
        <v>11</v>
      </c>
      <c r="D8205">
        <v>6399</v>
      </c>
      <c r="E8205" t="str">
        <f t="shared" si="1873"/>
        <v>00</v>
      </c>
      <c r="F8205" t="str">
        <f t="shared" si="1876"/>
        <v>101</v>
      </c>
      <c r="G8205">
        <v>9</v>
      </c>
      <c r="H8205" t="str">
        <f t="shared" si="1874"/>
        <v>30</v>
      </c>
      <c r="I8205" t="str">
        <f t="shared" si="1870"/>
        <v>0</v>
      </c>
      <c r="J8205" t="str">
        <f t="shared" si="1875"/>
        <v>00</v>
      </c>
      <c r="K8205">
        <v>20190510</v>
      </c>
      <c r="L8205" t="str">
        <f t="shared" si="1877"/>
        <v>076799</v>
      </c>
      <c r="M8205" t="str">
        <f t="shared" si="1878"/>
        <v>65780</v>
      </c>
      <c r="N8205" t="s">
        <v>2318</v>
      </c>
      <c r="O8205" s="1">
        <v>1067.5</v>
      </c>
      <c r="P8205">
        <v>20190508</v>
      </c>
      <c r="Q8205" t="s">
        <v>6440</v>
      </c>
      <c r="R8205" t="s">
        <v>5190</v>
      </c>
      <c r="S8205" t="s">
        <v>6389</v>
      </c>
      <c r="T8205" t="s">
        <v>1479</v>
      </c>
    </row>
    <row r="8206" spans="1:20" x14ac:dyDescent="0.25">
      <c r="A8206">
        <v>9</v>
      </c>
      <c r="B8206">
        <v>211</v>
      </c>
      <c r="C8206" t="str">
        <f t="shared" si="1872"/>
        <v>11</v>
      </c>
      <c r="D8206">
        <v>6399</v>
      </c>
      <c r="E8206" t="str">
        <f t="shared" si="1873"/>
        <v>00</v>
      </c>
      <c r="F8206" t="str">
        <f t="shared" si="1876"/>
        <v>101</v>
      </c>
      <c r="G8206">
        <v>9</v>
      </c>
      <c r="H8206" t="str">
        <f t="shared" si="1874"/>
        <v>30</v>
      </c>
      <c r="I8206" t="str">
        <f t="shared" si="1870"/>
        <v>0</v>
      </c>
      <c r="J8206" t="str">
        <f t="shared" si="1875"/>
        <v>00</v>
      </c>
      <c r="K8206">
        <v>20190510</v>
      </c>
      <c r="L8206" t="str">
        <f t="shared" si="1877"/>
        <v>076799</v>
      </c>
      <c r="M8206" t="str">
        <f t="shared" si="1878"/>
        <v>65780</v>
      </c>
      <c r="N8206" t="s">
        <v>2318</v>
      </c>
      <c r="O8206" s="1">
        <v>1204</v>
      </c>
      <c r="P8206">
        <v>20190508</v>
      </c>
      <c r="Q8206" t="s">
        <v>6440</v>
      </c>
      <c r="R8206" t="s">
        <v>5190</v>
      </c>
      <c r="S8206" t="s">
        <v>6389</v>
      </c>
      <c r="T8206" t="s">
        <v>1479</v>
      </c>
    </row>
    <row r="8207" spans="1:20" x14ac:dyDescent="0.25">
      <c r="A8207">
        <v>9</v>
      </c>
      <c r="B8207">
        <v>211</v>
      </c>
      <c r="C8207" t="str">
        <f t="shared" si="1872"/>
        <v>11</v>
      </c>
      <c r="D8207">
        <v>6399</v>
      </c>
      <c r="E8207" t="str">
        <f t="shared" si="1873"/>
        <v>00</v>
      </c>
      <c r="F8207" t="str">
        <f t="shared" si="1876"/>
        <v>101</v>
      </c>
      <c r="G8207">
        <v>9</v>
      </c>
      <c r="H8207" t="str">
        <f t="shared" si="1874"/>
        <v>30</v>
      </c>
      <c r="I8207" t="str">
        <f t="shared" si="1870"/>
        <v>0</v>
      </c>
      <c r="J8207" t="str">
        <f t="shared" si="1875"/>
        <v>00</v>
      </c>
      <c r="K8207">
        <v>20190510</v>
      </c>
      <c r="L8207" t="str">
        <f t="shared" si="1877"/>
        <v>076799</v>
      </c>
      <c r="M8207" t="str">
        <f t="shared" si="1878"/>
        <v>65780</v>
      </c>
      <c r="N8207" t="s">
        <v>2318</v>
      </c>
      <c r="O8207">
        <v>350</v>
      </c>
      <c r="P8207">
        <v>20190508</v>
      </c>
      <c r="Q8207" t="s">
        <v>6440</v>
      </c>
      <c r="R8207" t="s">
        <v>5190</v>
      </c>
      <c r="S8207" t="s">
        <v>6389</v>
      </c>
      <c r="T8207" t="s">
        <v>1479</v>
      </c>
    </row>
    <row r="8208" spans="1:20" x14ac:dyDescent="0.25">
      <c r="A8208">
        <v>9</v>
      </c>
      <c r="B8208">
        <v>211</v>
      </c>
      <c r="C8208" t="str">
        <f t="shared" si="1872"/>
        <v>11</v>
      </c>
      <c r="D8208">
        <v>6399</v>
      </c>
      <c r="E8208" t="str">
        <f t="shared" si="1873"/>
        <v>00</v>
      </c>
      <c r="F8208" t="str">
        <f t="shared" si="1876"/>
        <v>101</v>
      </c>
      <c r="G8208">
        <v>9</v>
      </c>
      <c r="H8208" t="str">
        <f t="shared" si="1874"/>
        <v>30</v>
      </c>
      <c r="I8208" t="str">
        <f t="shared" si="1870"/>
        <v>0</v>
      </c>
      <c r="J8208" t="str">
        <f t="shared" si="1875"/>
        <v>00</v>
      </c>
      <c r="K8208">
        <v>20190510</v>
      </c>
      <c r="L8208" t="str">
        <f t="shared" si="1877"/>
        <v>076799</v>
      </c>
      <c r="M8208" t="str">
        <f t="shared" si="1878"/>
        <v>65780</v>
      </c>
      <c r="N8208" t="s">
        <v>2318</v>
      </c>
      <c r="O8208">
        <v>112</v>
      </c>
      <c r="P8208">
        <v>20190508</v>
      </c>
      <c r="Q8208" t="s">
        <v>6440</v>
      </c>
      <c r="R8208" t="s">
        <v>6454</v>
      </c>
      <c r="S8208" t="s">
        <v>6389</v>
      </c>
      <c r="T8208" t="s">
        <v>1479</v>
      </c>
    </row>
    <row r="8209" spans="1:20" x14ac:dyDescent="0.25">
      <c r="A8209">
        <v>9</v>
      </c>
      <c r="B8209">
        <v>211</v>
      </c>
      <c r="C8209" t="str">
        <f t="shared" si="1872"/>
        <v>11</v>
      </c>
      <c r="D8209">
        <v>6399</v>
      </c>
      <c r="E8209" t="str">
        <f t="shared" si="1873"/>
        <v>00</v>
      </c>
      <c r="F8209" t="str">
        <f t="shared" si="1876"/>
        <v>101</v>
      </c>
      <c r="G8209">
        <v>9</v>
      </c>
      <c r="H8209" t="str">
        <f t="shared" si="1874"/>
        <v>30</v>
      </c>
      <c r="I8209" t="str">
        <f t="shared" si="1870"/>
        <v>0</v>
      </c>
      <c r="J8209" t="str">
        <f t="shared" si="1875"/>
        <v>00</v>
      </c>
      <c r="K8209">
        <v>20190510</v>
      </c>
      <c r="L8209" t="str">
        <f t="shared" si="1877"/>
        <v>076799</v>
      </c>
      <c r="M8209" t="str">
        <f t="shared" si="1878"/>
        <v>65780</v>
      </c>
      <c r="N8209" t="s">
        <v>2318</v>
      </c>
      <c r="O8209">
        <v>98</v>
      </c>
      <c r="P8209">
        <v>20190508</v>
      </c>
      <c r="Q8209" t="s">
        <v>6440</v>
      </c>
      <c r="R8209" t="s">
        <v>6455</v>
      </c>
      <c r="S8209" t="s">
        <v>6389</v>
      </c>
      <c r="T8209" t="s">
        <v>1479</v>
      </c>
    </row>
    <row r="8210" spans="1:20" x14ac:dyDescent="0.25">
      <c r="A8210">
        <v>9</v>
      </c>
      <c r="B8210">
        <v>211</v>
      </c>
      <c r="C8210" t="str">
        <f t="shared" si="1872"/>
        <v>11</v>
      </c>
      <c r="D8210">
        <v>6399</v>
      </c>
      <c r="E8210" t="str">
        <f t="shared" si="1873"/>
        <v>00</v>
      </c>
      <c r="F8210" t="str">
        <f t="shared" si="1876"/>
        <v>101</v>
      </c>
      <c r="G8210">
        <v>9</v>
      </c>
      <c r="H8210" t="str">
        <f t="shared" si="1874"/>
        <v>30</v>
      </c>
      <c r="I8210" t="str">
        <f t="shared" si="1870"/>
        <v>0</v>
      </c>
      <c r="J8210" t="str">
        <f t="shared" si="1875"/>
        <v>00</v>
      </c>
      <c r="K8210">
        <v>20190510</v>
      </c>
      <c r="L8210" t="str">
        <f t="shared" si="1877"/>
        <v>076799</v>
      </c>
      <c r="M8210" t="str">
        <f t="shared" si="1878"/>
        <v>65780</v>
      </c>
      <c r="N8210" t="s">
        <v>2318</v>
      </c>
      <c r="O8210">
        <v>388</v>
      </c>
      <c r="P8210">
        <v>20190508</v>
      </c>
      <c r="Q8210" t="s">
        <v>6440</v>
      </c>
      <c r="R8210" t="s">
        <v>5190</v>
      </c>
      <c r="S8210" t="s">
        <v>6389</v>
      </c>
      <c r="T8210" t="s">
        <v>1479</v>
      </c>
    </row>
    <row r="8211" spans="1:20" x14ac:dyDescent="0.25">
      <c r="A8211">
        <v>9</v>
      </c>
      <c r="B8211">
        <v>211</v>
      </c>
      <c r="C8211" t="str">
        <f t="shared" si="1872"/>
        <v>11</v>
      </c>
      <c r="D8211">
        <v>6399</v>
      </c>
      <c r="E8211" t="str">
        <f t="shared" si="1873"/>
        <v>00</v>
      </c>
      <c r="F8211" t="str">
        <f t="shared" si="1876"/>
        <v>101</v>
      </c>
      <c r="G8211">
        <v>9</v>
      </c>
      <c r="H8211" t="str">
        <f t="shared" si="1874"/>
        <v>30</v>
      </c>
      <c r="I8211" t="str">
        <f t="shared" si="1870"/>
        <v>0</v>
      </c>
      <c r="J8211" t="str">
        <f t="shared" si="1875"/>
        <v>00</v>
      </c>
      <c r="K8211">
        <v>20190510</v>
      </c>
      <c r="L8211" t="str">
        <f t="shared" si="1877"/>
        <v>076799</v>
      </c>
      <c r="M8211" t="str">
        <f t="shared" si="1878"/>
        <v>65780</v>
      </c>
      <c r="N8211" t="s">
        <v>2318</v>
      </c>
      <c r="O8211">
        <v>147</v>
      </c>
      <c r="P8211">
        <v>20190508</v>
      </c>
      <c r="Q8211" t="s">
        <v>6440</v>
      </c>
      <c r="R8211" t="s">
        <v>5190</v>
      </c>
      <c r="S8211" t="s">
        <v>6389</v>
      </c>
      <c r="T8211" t="s">
        <v>1479</v>
      </c>
    </row>
    <row r="8212" spans="1:20" x14ac:dyDescent="0.25">
      <c r="A8212">
        <v>9</v>
      </c>
      <c r="B8212">
        <v>211</v>
      </c>
      <c r="C8212" t="str">
        <f t="shared" si="1872"/>
        <v>11</v>
      </c>
      <c r="D8212">
        <v>6399</v>
      </c>
      <c r="E8212" t="str">
        <f t="shared" si="1873"/>
        <v>00</v>
      </c>
      <c r="F8212" t="str">
        <f t="shared" si="1876"/>
        <v>101</v>
      </c>
      <c r="G8212">
        <v>9</v>
      </c>
      <c r="H8212" t="str">
        <f t="shared" si="1874"/>
        <v>30</v>
      </c>
      <c r="I8212" t="str">
        <f t="shared" si="1870"/>
        <v>0</v>
      </c>
      <c r="J8212" t="str">
        <f t="shared" si="1875"/>
        <v>00</v>
      </c>
      <c r="K8212">
        <v>20190510</v>
      </c>
      <c r="L8212" t="str">
        <f t="shared" si="1877"/>
        <v>076799</v>
      </c>
      <c r="M8212" t="str">
        <f t="shared" si="1878"/>
        <v>65780</v>
      </c>
      <c r="N8212" t="s">
        <v>2318</v>
      </c>
      <c r="O8212">
        <v>27</v>
      </c>
      <c r="P8212">
        <v>20190508</v>
      </c>
      <c r="Q8212" t="s">
        <v>6440</v>
      </c>
      <c r="R8212" t="s">
        <v>6456</v>
      </c>
      <c r="S8212" t="s">
        <v>6389</v>
      </c>
      <c r="T8212" t="s">
        <v>1479</v>
      </c>
    </row>
    <row r="8213" spans="1:20" x14ac:dyDescent="0.25">
      <c r="A8213">
        <v>9</v>
      </c>
      <c r="B8213">
        <v>211</v>
      </c>
      <c r="C8213" t="str">
        <f t="shared" si="1872"/>
        <v>11</v>
      </c>
      <c r="D8213">
        <v>6399</v>
      </c>
      <c r="E8213" t="str">
        <f t="shared" si="1873"/>
        <v>00</v>
      </c>
      <c r="F8213" t="str">
        <f t="shared" si="1876"/>
        <v>101</v>
      </c>
      <c r="G8213">
        <v>9</v>
      </c>
      <c r="H8213" t="str">
        <f t="shared" si="1874"/>
        <v>30</v>
      </c>
      <c r="I8213" t="str">
        <f t="shared" si="1870"/>
        <v>0</v>
      </c>
      <c r="J8213" t="str">
        <f t="shared" si="1875"/>
        <v>00</v>
      </c>
      <c r="K8213">
        <v>20190510</v>
      </c>
      <c r="L8213" t="str">
        <f t="shared" si="1877"/>
        <v>076799</v>
      </c>
      <c r="M8213" t="str">
        <f t="shared" si="1878"/>
        <v>65780</v>
      </c>
      <c r="N8213" t="s">
        <v>2318</v>
      </c>
      <c r="O8213">
        <v>486</v>
      </c>
      <c r="P8213">
        <v>20190508</v>
      </c>
      <c r="Q8213" t="s">
        <v>6440</v>
      </c>
      <c r="R8213" t="s">
        <v>5190</v>
      </c>
      <c r="S8213" t="s">
        <v>6389</v>
      </c>
      <c r="T8213" t="s">
        <v>1479</v>
      </c>
    </row>
    <row r="8214" spans="1:20" x14ac:dyDescent="0.25">
      <c r="A8214">
        <v>9</v>
      </c>
      <c r="B8214">
        <v>211</v>
      </c>
      <c r="C8214" t="str">
        <f t="shared" si="1872"/>
        <v>11</v>
      </c>
      <c r="D8214">
        <v>6399</v>
      </c>
      <c r="E8214" t="str">
        <f t="shared" si="1873"/>
        <v>00</v>
      </c>
      <c r="F8214" t="str">
        <f t="shared" si="1876"/>
        <v>101</v>
      </c>
      <c r="G8214">
        <v>9</v>
      </c>
      <c r="H8214" t="str">
        <f t="shared" si="1874"/>
        <v>30</v>
      </c>
      <c r="I8214" t="str">
        <f t="shared" si="1870"/>
        <v>0</v>
      </c>
      <c r="J8214" t="str">
        <f t="shared" si="1875"/>
        <v>00</v>
      </c>
      <c r="K8214">
        <v>20190510</v>
      </c>
      <c r="L8214" t="str">
        <f t="shared" si="1877"/>
        <v>076799</v>
      </c>
      <c r="M8214" t="str">
        <f t="shared" si="1878"/>
        <v>65780</v>
      </c>
      <c r="N8214" t="s">
        <v>2318</v>
      </c>
      <c r="O8214">
        <v>606</v>
      </c>
      <c r="P8214">
        <v>20190508</v>
      </c>
      <c r="Q8214" t="s">
        <v>6440</v>
      </c>
      <c r="R8214" t="s">
        <v>5190</v>
      </c>
      <c r="S8214" t="s">
        <v>6389</v>
      </c>
      <c r="T8214" t="s">
        <v>1479</v>
      </c>
    </row>
    <row r="8215" spans="1:20" x14ac:dyDescent="0.25">
      <c r="A8215">
        <v>9</v>
      </c>
      <c r="B8215">
        <v>211</v>
      </c>
      <c r="C8215" t="str">
        <f t="shared" si="1872"/>
        <v>11</v>
      </c>
      <c r="D8215">
        <v>6399</v>
      </c>
      <c r="E8215" t="str">
        <f t="shared" si="1873"/>
        <v>00</v>
      </c>
      <c r="F8215" t="str">
        <f t="shared" si="1876"/>
        <v>101</v>
      </c>
      <c r="G8215">
        <v>9</v>
      </c>
      <c r="H8215" t="str">
        <f t="shared" si="1874"/>
        <v>30</v>
      </c>
      <c r="I8215" t="str">
        <f t="shared" si="1870"/>
        <v>0</v>
      </c>
      <c r="J8215" t="str">
        <f t="shared" si="1875"/>
        <v>00</v>
      </c>
      <c r="K8215">
        <v>20190510</v>
      </c>
      <c r="L8215" t="str">
        <f t="shared" si="1877"/>
        <v>076799</v>
      </c>
      <c r="M8215" t="str">
        <f t="shared" si="1878"/>
        <v>65780</v>
      </c>
      <c r="N8215" t="s">
        <v>2318</v>
      </c>
      <c r="O8215">
        <v>12</v>
      </c>
      <c r="P8215">
        <v>20190508</v>
      </c>
      <c r="Q8215" t="s">
        <v>6440</v>
      </c>
      <c r="R8215" t="s">
        <v>6457</v>
      </c>
      <c r="S8215" t="s">
        <v>6389</v>
      </c>
      <c r="T8215" t="s">
        <v>1479</v>
      </c>
    </row>
    <row r="8216" spans="1:20" x14ac:dyDescent="0.25">
      <c r="A8216">
        <v>9</v>
      </c>
      <c r="B8216">
        <v>211</v>
      </c>
      <c r="C8216" t="str">
        <f t="shared" si="1872"/>
        <v>11</v>
      </c>
      <c r="D8216">
        <v>6399</v>
      </c>
      <c r="E8216" t="str">
        <f t="shared" si="1873"/>
        <v>00</v>
      </c>
      <c r="F8216" t="str">
        <f t="shared" si="1876"/>
        <v>101</v>
      </c>
      <c r="G8216">
        <v>9</v>
      </c>
      <c r="H8216" t="str">
        <f t="shared" si="1874"/>
        <v>30</v>
      </c>
      <c r="I8216" t="str">
        <f t="shared" si="1870"/>
        <v>0</v>
      </c>
      <c r="J8216" t="str">
        <f t="shared" si="1875"/>
        <v>00</v>
      </c>
      <c r="K8216">
        <v>20190510</v>
      </c>
      <c r="L8216" t="str">
        <f t="shared" si="1877"/>
        <v>076799</v>
      </c>
      <c r="M8216" t="str">
        <f t="shared" si="1878"/>
        <v>65780</v>
      </c>
      <c r="N8216" t="s">
        <v>2318</v>
      </c>
      <c r="O8216">
        <v>154</v>
      </c>
      <c r="P8216">
        <v>20190508</v>
      </c>
      <c r="Q8216" t="s">
        <v>6440</v>
      </c>
      <c r="R8216" t="s">
        <v>5190</v>
      </c>
      <c r="S8216" t="s">
        <v>6389</v>
      </c>
      <c r="T8216" t="s">
        <v>1479</v>
      </c>
    </row>
    <row r="8217" spans="1:20" x14ac:dyDescent="0.25">
      <c r="A8217">
        <v>9</v>
      </c>
      <c r="B8217">
        <v>211</v>
      </c>
      <c r="C8217" t="str">
        <f t="shared" si="1872"/>
        <v>11</v>
      </c>
      <c r="D8217">
        <v>6399</v>
      </c>
      <c r="E8217" t="str">
        <f t="shared" si="1873"/>
        <v>00</v>
      </c>
      <c r="F8217" t="str">
        <f t="shared" si="1876"/>
        <v>101</v>
      </c>
      <c r="G8217">
        <v>9</v>
      </c>
      <c r="H8217" t="str">
        <f t="shared" si="1874"/>
        <v>30</v>
      </c>
      <c r="I8217" t="str">
        <f t="shared" si="1870"/>
        <v>0</v>
      </c>
      <c r="J8217" t="str">
        <f t="shared" si="1875"/>
        <v>00</v>
      </c>
      <c r="K8217">
        <v>20190510</v>
      </c>
      <c r="L8217" t="str">
        <f t="shared" si="1877"/>
        <v>076799</v>
      </c>
      <c r="M8217" t="str">
        <f t="shared" si="1878"/>
        <v>65780</v>
      </c>
      <c r="N8217" t="s">
        <v>2318</v>
      </c>
      <c r="O8217">
        <v>307</v>
      </c>
      <c r="P8217">
        <v>20190508</v>
      </c>
      <c r="Q8217" t="s">
        <v>6440</v>
      </c>
      <c r="R8217" t="s">
        <v>5190</v>
      </c>
      <c r="S8217" t="s">
        <v>6389</v>
      </c>
      <c r="T8217" t="s">
        <v>1479</v>
      </c>
    </row>
    <row r="8218" spans="1:20" x14ac:dyDescent="0.25">
      <c r="A8218">
        <v>9</v>
      </c>
      <c r="B8218">
        <v>211</v>
      </c>
      <c r="C8218" t="str">
        <f t="shared" si="1872"/>
        <v>11</v>
      </c>
      <c r="D8218">
        <v>6399</v>
      </c>
      <c r="E8218" t="str">
        <f t="shared" si="1873"/>
        <v>00</v>
      </c>
      <c r="F8218" t="str">
        <f t="shared" si="1876"/>
        <v>101</v>
      </c>
      <c r="G8218">
        <v>9</v>
      </c>
      <c r="H8218" t="str">
        <f t="shared" si="1874"/>
        <v>30</v>
      </c>
      <c r="I8218" t="str">
        <f t="shared" si="1870"/>
        <v>0</v>
      </c>
      <c r="J8218" t="str">
        <f t="shared" si="1875"/>
        <v>00</v>
      </c>
      <c r="K8218">
        <v>20190510</v>
      </c>
      <c r="L8218" t="str">
        <f t="shared" si="1877"/>
        <v>076799</v>
      </c>
      <c r="M8218" t="str">
        <f t="shared" si="1878"/>
        <v>65780</v>
      </c>
      <c r="N8218" t="s">
        <v>2318</v>
      </c>
      <c r="O8218">
        <v>238</v>
      </c>
      <c r="P8218">
        <v>20190508</v>
      </c>
      <c r="Q8218" t="s">
        <v>6440</v>
      </c>
      <c r="R8218" t="s">
        <v>5190</v>
      </c>
      <c r="S8218" t="s">
        <v>6389</v>
      </c>
      <c r="T8218" t="s">
        <v>1479</v>
      </c>
    </row>
    <row r="8219" spans="1:20" x14ac:dyDescent="0.25">
      <c r="A8219">
        <v>9</v>
      </c>
      <c r="B8219">
        <v>211</v>
      </c>
      <c r="C8219" t="str">
        <f t="shared" si="1872"/>
        <v>11</v>
      </c>
      <c r="D8219">
        <v>6399</v>
      </c>
      <c r="E8219" t="str">
        <f t="shared" si="1873"/>
        <v>00</v>
      </c>
      <c r="F8219" t="str">
        <f t="shared" si="1876"/>
        <v>101</v>
      </c>
      <c r="G8219">
        <v>9</v>
      </c>
      <c r="H8219" t="str">
        <f t="shared" si="1874"/>
        <v>30</v>
      </c>
      <c r="I8219" t="str">
        <f t="shared" si="1870"/>
        <v>0</v>
      </c>
      <c r="J8219" t="str">
        <f t="shared" si="1875"/>
        <v>00</v>
      </c>
      <c r="K8219">
        <v>20190510</v>
      </c>
      <c r="L8219" t="str">
        <f t="shared" si="1877"/>
        <v>076799</v>
      </c>
      <c r="M8219" t="str">
        <f t="shared" si="1878"/>
        <v>65780</v>
      </c>
      <c r="N8219" t="s">
        <v>2318</v>
      </c>
      <c r="O8219">
        <v>378</v>
      </c>
      <c r="P8219">
        <v>20190508</v>
      </c>
      <c r="Q8219" t="s">
        <v>6440</v>
      </c>
      <c r="R8219" t="s">
        <v>5190</v>
      </c>
      <c r="S8219" t="s">
        <v>6389</v>
      </c>
      <c r="T8219" t="s">
        <v>1479</v>
      </c>
    </row>
    <row r="8220" spans="1:20" x14ac:dyDescent="0.25">
      <c r="A8220">
        <v>9</v>
      </c>
      <c r="B8220">
        <v>211</v>
      </c>
      <c r="C8220" t="str">
        <f t="shared" si="1872"/>
        <v>11</v>
      </c>
      <c r="D8220">
        <v>6399</v>
      </c>
      <c r="E8220" t="str">
        <f t="shared" si="1873"/>
        <v>00</v>
      </c>
      <c r="F8220" t="str">
        <f t="shared" si="1876"/>
        <v>101</v>
      </c>
      <c r="G8220">
        <v>9</v>
      </c>
      <c r="H8220" t="str">
        <f t="shared" si="1874"/>
        <v>30</v>
      </c>
      <c r="I8220" t="str">
        <f t="shared" si="1870"/>
        <v>0</v>
      </c>
      <c r="J8220" t="str">
        <f t="shared" si="1875"/>
        <v>00</v>
      </c>
      <c r="K8220">
        <v>20190510</v>
      </c>
      <c r="L8220" t="str">
        <f t="shared" si="1877"/>
        <v>076799</v>
      </c>
      <c r="M8220" t="str">
        <f t="shared" si="1878"/>
        <v>65780</v>
      </c>
      <c r="N8220" t="s">
        <v>2318</v>
      </c>
      <c r="O8220">
        <v>602</v>
      </c>
      <c r="P8220">
        <v>20190508</v>
      </c>
      <c r="Q8220" t="s">
        <v>6440</v>
      </c>
      <c r="R8220" t="s">
        <v>5190</v>
      </c>
      <c r="S8220" t="s">
        <v>6389</v>
      </c>
      <c r="T8220" t="s">
        <v>1479</v>
      </c>
    </row>
    <row r="8221" spans="1:20" x14ac:dyDescent="0.25">
      <c r="A8221">
        <v>9</v>
      </c>
      <c r="B8221">
        <v>211</v>
      </c>
      <c r="C8221" t="str">
        <f t="shared" si="1872"/>
        <v>11</v>
      </c>
      <c r="D8221">
        <v>6399</v>
      </c>
      <c r="E8221" t="str">
        <f t="shared" si="1873"/>
        <v>00</v>
      </c>
      <c r="F8221" t="str">
        <f t="shared" si="1876"/>
        <v>101</v>
      </c>
      <c r="G8221">
        <v>9</v>
      </c>
      <c r="H8221" t="str">
        <f t="shared" si="1874"/>
        <v>30</v>
      </c>
      <c r="I8221" t="str">
        <f t="shared" si="1870"/>
        <v>0</v>
      </c>
      <c r="J8221" t="str">
        <f t="shared" si="1875"/>
        <v>00</v>
      </c>
      <c r="K8221">
        <v>20190510</v>
      </c>
      <c r="L8221" t="str">
        <f t="shared" si="1877"/>
        <v>076799</v>
      </c>
      <c r="M8221" t="str">
        <f t="shared" si="1878"/>
        <v>65780</v>
      </c>
      <c r="N8221" t="s">
        <v>2318</v>
      </c>
      <c r="O8221">
        <v>588</v>
      </c>
      <c r="P8221">
        <v>20190508</v>
      </c>
      <c r="Q8221" t="s">
        <v>6440</v>
      </c>
      <c r="R8221" t="s">
        <v>5190</v>
      </c>
      <c r="S8221" t="s">
        <v>6389</v>
      </c>
      <c r="T8221" t="s">
        <v>1479</v>
      </c>
    </row>
    <row r="8222" spans="1:20" x14ac:dyDescent="0.25">
      <c r="A8222">
        <v>9</v>
      </c>
      <c r="B8222">
        <v>211</v>
      </c>
      <c r="C8222" t="str">
        <f t="shared" si="1872"/>
        <v>11</v>
      </c>
      <c r="D8222">
        <v>6399</v>
      </c>
      <c r="E8222" t="str">
        <f t="shared" si="1873"/>
        <v>00</v>
      </c>
      <c r="F8222" t="str">
        <f t="shared" si="1876"/>
        <v>101</v>
      </c>
      <c r="G8222">
        <v>9</v>
      </c>
      <c r="H8222" t="str">
        <f t="shared" si="1874"/>
        <v>30</v>
      </c>
      <c r="I8222" t="str">
        <f t="shared" si="1870"/>
        <v>0</v>
      </c>
      <c r="J8222" t="str">
        <f t="shared" si="1875"/>
        <v>00</v>
      </c>
      <c r="K8222">
        <v>20190510</v>
      </c>
      <c r="L8222" t="str">
        <f t="shared" si="1877"/>
        <v>076799</v>
      </c>
      <c r="M8222" t="str">
        <f t="shared" si="1878"/>
        <v>65780</v>
      </c>
      <c r="N8222" t="s">
        <v>2318</v>
      </c>
      <c r="O8222">
        <v>350</v>
      </c>
      <c r="P8222">
        <v>20190508</v>
      </c>
      <c r="Q8222" t="s">
        <v>6440</v>
      </c>
      <c r="R8222" t="s">
        <v>6458</v>
      </c>
      <c r="S8222" t="s">
        <v>6389</v>
      </c>
      <c r="T8222" t="s">
        <v>1479</v>
      </c>
    </row>
    <row r="8223" spans="1:20" x14ac:dyDescent="0.25">
      <c r="A8223">
        <v>9</v>
      </c>
      <c r="B8223">
        <v>211</v>
      </c>
      <c r="C8223" t="str">
        <f t="shared" si="1872"/>
        <v>11</v>
      </c>
      <c r="D8223">
        <v>6399</v>
      </c>
      <c r="E8223" t="str">
        <f t="shared" si="1873"/>
        <v>00</v>
      </c>
      <c r="F8223" t="str">
        <f t="shared" si="1876"/>
        <v>101</v>
      </c>
      <c r="G8223">
        <v>9</v>
      </c>
      <c r="H8223" t="str">
        <f t="shared" si="1874"/>
        <v>30</v>
      </c>
      <c r="I8223" t="str">
        <f t="shared" si="1870"/>
        <v>0</v>
      </c>
      <c r="J8223" t="str">
        <f t="shared" si="1875"/>
        <v>00</v>
      </c>
      <c r="K8223">
        <v>20190510</v>
      </c>
      <c r="L8223" t="str">
        <f t="shared" si="1877"/>
        <v>076799</v>
      </c>
      <c r="M8223" t="str">
        <f t="shared" si="1878"/>
        <v>65780</v>
      </c>
      <c r="N8223" t="s">
        <v>2318</v>
      </c>
      <c r="O8223">
        <v>518</v>
      </c>
      <c r="P8223">
        <v>20190508</v>
      </c>
      <c r="Q8223" t="s">
        <v>6440</v>
      </c>
      <c r="R8223" t="s">
        <v>5190</v>
      </c>
      <c r="S8223" t="s">
        <v>6389</v>
      </c>
      <c r="T8223" t="s">
        <v>1479</v>
      </c>
    </row>
    <row r="8224" spans="1:20" x14ac:dyDescent="0.25">
      <c r="A8224">
        <v>9</v>
      </c>
      <c r="B8224">
        <v>211</v>
      </c>
      <c r="C8224" t="str">
        <f t="shared" si="1872"/>
        <v>11</v>
      </c>
      <c r="D8224">
        <v>6399</v>
      </c>
      <c r="E8224" t="str">
        <f t="shared" si="1873"/>
        <v>00</v>
      </c>
      <c r="F8224" t="str">
        <f t="shared" si="1876"/>
        <v>101</v>
      </c>
      <c r="G8224">
        <v>9</v>
      </c>
      <c r="H8224" t="str">
        <f t="shared" si="1874"/>
        <v>30</v>
      </c>
      <c r="I8224" t="str">
        <f t="shared" si="1870"/>
        <v>0</v>
      </c>
      <c r="J8224" t="str">
        <f t="shared" si="1875"/>
        <v>00</v>
      </c>
      <c r="K8224">
        <v>20190510</v>
      </c>
      <c r="L8224" t="str">
        <f t="shared" si="1877"/>
        <v>076799</v>
      </c>
      <c r="M8224" t="str">
        <f t="shared" si="1878"/>
        <v>65780</v>
      </c>
      <c r="N8224" t="s">
        <v>2318</v>
      </c>
      <c r="O8224">
        <v>126</v>
      </c>
      <c r="P8224">
        <v>20190508</v>
      </c>
      <c r="Q8224" t="s">
        <v>6440</v>
      </c>
      <c r="R8224" t="s">
        <v>6459</v>
      </c>
      <c r="S8224" t="s">
        <v>6389</v>
      </c>
      <c r="T8224" t="s">
        <v>1479</v>
      </c>
    </row>
    <row r="8225" spans="1:20" x14ac:dyDescent="0.25">
      <c r="A8225">
        <v>9</v>
      </c>
      <c r="B8225">
        <v>211</v>
      </c>
      <c r="C8225" t="str">
        <f t="shared" si="1872"/>
        <v>11</v>
      </c>
      <c r="D8225">
        <v>6399</v>
      </c>
      <c r="E8225" t="str">
        <f t="shared" ref="E8225:E8256" si="1879">"00"</f>
        <v>00</v>
      </c>
      <c r="F8225" t="str">
        <f t="shared" si="1876"/>
        <v>101</v>
      </c>
      <c r="G8225">
        <v>9</v>
      </c>
      <c r="H8225" t="str">
        <f t="shared" ref="H8225:H8256" si="1880">"30"</f>
        <v>30</v>
      </c>
      <c r="I8225" t="str">
        <f t="shared" si="1870"/>
        <v>0</v>
      </c>
      <c r="J8225" t="str">
        <f t="shared" si="1875"/>
        <v>00</v>
      </c>
      <c r="K8225">
        <v>20190510</v>
      </c>
      <c r="L8225" t="str">
        <f t="shared" si="1877"/>
        <v>076799</v>
      </c>
      <c r="M8225" t="str">
        <f t="shared" si="1878"/>
        <v>65780</v>
      </c>
      <c r="N8225" t="s">
        <v>2318</v>
      </c>
      <c r="O8225">
        <v>56</v>
      </c>
      <c r="P8225">
        <v>20190508</v>
      </c>
      <c r="Q8225" t="s">
        <v>6440</v>
      </c>
      <c r="R8225" t="s">
        <v>6460</v>
      </c>
      <c r="S8225" t="s">
        <v>6389</v>
      </c>
      <c r="T8225" t="s">
        <v>1479</v>
      </c>
    </row>
    <row r="8226" spans="1:20" x14ac:dyDescent="0.25">
      <c r="A8226">
        <v>9</v>
      </c>
      <c r="B8226">
        <v>211</v>
      </c>
      <c r="C8226" t="str">
        <f t="shared" si="1872"/>
        <v>11</v>
      </c>
      <c r="D8226">
        <v>6399</v>
      </c>
      <c r="E8226" t="str">
        <f t="shared" si="1879"/>
        <v>00</v>
      </c>
      <c r="F8226" t="str">
        <f t="shared" si="1876"/>
        <v>101</v>
      </c>
      <c r="G8226">
        <v>9</v>
      </c>
      <c r="H8226" t="str">
        <f t="shared" si="1880"/>
        <v>30</v>
      </c>
      <c r="I8226" t="str">
        <f t="shared" si="1870"/>
        <v>0</v>
      </c>
      <c r="J8226" t="str">
        <f t="shared" si="1875"/>
        <v>00</v>
      </c>
      <c r="K8226">
        <v>20190510</v>
      </c>
      <c r="L8226" t="str">
        <f t="shared" si="1877"/>
        <v>076799</v>
      </c>
      <c r="M8226" t="str">
        <f t="shared" si="1878"/>
        <v>65780</v>
      </c>
      <c r="N8226" t="s">
        <v>2318</v>
      </c>
      <c r="O8226">
        <v>12</v>
      </c>
      <c r="P8226">
        <v>20190508</v>
      </c>
      <c r="Q8226" t="s">
        <v>6440</v>
      </c>
      <c r="R8226" t="s">
        <v>6461</v>
      </c>
      <c r="S8226" t="s">
        <v>6389</v>
      </c>
      <c r="T8226" t="s">
        <v>1479</v>
      </c>
    </row>
    <row r="8227" spans="1:20" x14ac:dyDescent="0.25">
      <c r="A8227">
        <v>9</v>
      </c>
      <c r="B8227">
        <v>211</v>
      </c>
      <c r="C8227" t="str">
        <f t="shared" si="1872"/>
        <v>11</v>
      </c>
      <c r="D8227">
        <v>6399</v>
      </c>
      <c r="E8227" t="str">
        <f t="shared" si="1879"/>
        <v>00</v>
      </c>
      <c r="F8227" t="str">
        <f t="shared" si="1876"/>
        <v>101</v>
      </c>
      <c r="G8227">
        <v>9</v>
      </c>
      <c r="H8227" t="str">
        <f t="shared" si="1880"/>
        <v>30</v>
      </c>
      <c r="I8227" t="str">
        <f t="shared" si="1870"/>
        <v>0</v>
      </c>
      <c r="J8227" t="str">
        <f t="shared" si="1875"/>
        <v>00</v>
      </c>
      <c r="K8227">
        <v>20190510</v>
      </c>
      <c r="L8227" t="str">
        <f t="shared" si="1877"/>
        <v>076799</v>
      </c>
      <c r="M8227" t="str">
        <f t="shared" si="1878"/>
        <v>65780</v>
      </c>
      <c r="N8227" t="s">
        <v>2318</v>
      </c>
      <c r="O8227" s="1">
        <v>3436</v>
      </c>
      <c r="P8227">
        <v>20190508</v>
      </c>
      <c r="Q8227" t="s">
        <v>6440</v>
      </c>
      <c r="R8227" t="s">
        <v>5190</v>
      </c>
      <c r="S8227" t="s">
        <v>6389</v>
      </c>
      <c r="T8227" t="s">
        <v>1479</v>
      </c>
    </row>
    <row r="8228" spans="1:20" x14ac:dyDescent="0.25">
      <c r="A8228">
        <v>9</v>
      </c>
      <c r="B8228">
        <v>211</v>
      </c>
      <c r="C8228" t="str">
        <f t="shared" si="1872"/>
        <v>11</v>
      </c>
      <c r="D8228">
        <v>6399</v>
      </c>
      <c r="E8228" t="str">
        <f t="shared" si="1879"/>
        <v>00</v>
      </c>
      <c r="F8228" t="str">
        <f t="shared" si="1876"/>
        <v>101</v>
      </c>
      <c r="G8228">
        <v>9</v>
      </c>
      <c r="H8228" t="str">
        <f t="shared" si="1880"/>
        <v>30</v>
      </c>
      <c r="I8228" t="str">
        <f t="shared" si="1870"/>
        <v>0</v>
      </c>
      <c r="J8228" t="str">
        <f t="shared" si="1875"/>
        <v>00</v>
      </c>
      <c r="K8228">
        <v>20190510</v>
      </c>
      <c r="L8228" t="str">
        <f t="shared" si="1877"/>
        <v>076799</v>
      </c>
      <c r="M8228" t="str">
        <f t="shared" si="1878"/>
        <v>65780</v>
      </c>
      <c r="N8228" t="s">
        <v>2318</v>
      </c>
      <c r="O8228">
        <v>119</v>
      </c>
      <c r="P8228">
        <v>20190508</v>
      </c>
      <c r="Q8228" t="s">
        <v>6440</v>
      </c>
      <c r="R8228" t="s">
        <v>6462</v>
      </c>
      <c r="S8228" t="s">
        <v>6389</v>
      </c>
      <c r="T8228" t="s">
        <v>1479</v>
      </c>
    </row>
    <row r="8229" spans="1:20" x14ac:dyDescent="0.25">
      <c r="A8229">
        <v>9</v>
      </c>
      <c r="B8229">
        <v>211</v>
      </c>
      <c r="C8229" t="str">
        <f t="shared" si="1872"/>
        <v>11</v>
      </c>
      <c r="D8229">
        <v>6399</v>
      </c>
      <c r="E8229" t="str">
        <f t="shared" si="1879"/>
        <v>00</v>
      </c>
      <c r="F8229" t="str">
        <f>"104"</f>
        <v>104</v>
      </c>
      <c r="G8229">
        <v>9</v>
      </c>
      <c r="H8229" t="str">
        <f t="shared" si="1880"/>
        <v>30</v>
      </c>
      <c r="I8229" t="str">
        <f t="shared" si="1870"/>
        <v>0</v>
      </c>
      <c r="J8229" t="str">
        <f t="shared" si="1875"/>
        <v>00</v>
      </c>
      <c r="K8229">
        <v>20190524</v>
      </c>
      <c r="L8229" t="str">
        <f>"076899"</f>
        <v>076899</v>
      </c>
      <c r="M8229" t="str">
        <f>"00802"</f>
        <v>00802</v>
      </c>
      <c r="N8229" t="s">
        <v>6463</v>
      </c>
      <c r="O8229" s="1">
        <v>29938.799999999999</v>
      </c>
      <c r="P8229">
        <v>20190522</v>
      </c>
      <c r="Q8229" t="s">
        <v>6404</v>
      </c>
      <c r="R8229" t="s">
        <v>5190</v>
      </c>
      <c r="S8229" t="s">
        <v>6389</v>
      </c>
      <c r="T8229" t="s">
        <v>46</v>
      </c>
    </row>
    <row r="8230" spans="1:20" x14ac:dyDescent="0.25">
      <c r="A8230">
        <v>9</v>
      </c>
      <c r="B8230">
        <v>211</v>
      </c>
      <c r="C8230" t="str">
        <f t="shared" si="1872"/>
        <v>11</v>
      </c>
      <c r="D8230">
        <v>6399</v>
      </c>
      <c r="E8230" t="str">
        <f t="shared" si="1879"/>
        <v>00</v>
      </c>
      <c r="F8230" t="str">
        <f>"104"</f>
        <v>104</v>
      </c>
      <c r="G8230">
        <v>9</v>
      </c>
      <c r="H8230" t="str">
        <f t="shared" si="1880"/>
        <v>30</v>
      </c>
      <c r="I8230" t="str">
        <f t="shared" si="1870"/>
        <v>0</v>
      </c>
      <c r="J8230" t="str">
        <f t="shared" si="1875"/>
        <v>00</v>
      </c>
      <c r="K8230">
        <v>20190524</v>
      </c>
      <c r="L8230" t="str">
        <f>"076899"</f>
        <v>076899</v>
      </c>
      <c r="M8230" t="str">
        <f>"00802"</f>
        <v>00802</v>
      </c>
      <c r="N8230" t="s">
        <v>6463</v>
      </c>
      <c r="O8230">
        <v>199.2</v>
      </c>
      <c r="P8230">
        <v>20190522</v>
      </c>
      <c r="Q8230" t="s">
        <v>6404</v>
      </c>
      <c r="R8230" t="s">
        <v>5190</v>
      </c>
      <c r="S8230" t="s">
        <v>6389</v>
      </c>
      <c r="T8230" t="s">
        <v>46</v>
      </c>
    </row>
    <row r="8231" spans="1:20" x14ac:dyDescent="0.25">
      <c r="A8231">
        <v>9</v>
      </c>
      <c r="B8231">
        <v>211</v>
      </c>
      <c r="C8231" t="str">
        <f t="shared" si="1872"/>
        <v>11</v>
      </c>
      <c r="D8231">
        <v>6399</v>
      </c>
      <c r="E8231" t="str">
        <f t="shared" si="1879"/>
        <v>00</v>
      </c>
      <c r="F8231" t="str">
        <f>"101"</f>
        <v>101</v>
      </c>
      <c r="G8231">
        <v>9</v>
      </c>
      <c r="H8231" t="str">
        <f t="shared" si="1880"/>
        <v>30</v>
      </c>
      <c r="I8231" t="str">
        <f t="shared" si="1870"/>
        <v>0</v>
      </c>
      <c r="J8231" t="str">
        <f t="shared" si="1875"/>
        <v>00</v>
      </c>
      <c r="K8231">
        <v>20190524</v>
      </c>
      <c r="L8231" t="str">
        <f>"076910"</f>
        <v>076910</v>
      </c>
      <c r="M8231" t="str">
        <f>"28712"</f>
        <v>28712</v>
      </c>
      <c r="N8231" t="s">
        <v>6434</v>
      </c>
      <c r="O8231" s="1">
        <v>7000</v>
      </c>
      <c r="P8231">
        <v>20190522</v>
      </c>
      <c r="Q8231" t="s">
        <v>6440</v>
      </c>
      <c r="R8231" t="s">
        <v>5190</v>
      </c>
      <c r="S8231" t="s">
        <v>6389</v>
      </c>
      <c r="T8231" t="s">
        <v>1479</v>
      </c>
    </row>
    <row r="8232" spans="1:20" x14ac:dyDescent="0.25">
      <c r="A8232">
        <v>9</v>
      </c>
      <c r="B8232">
        <v>211</v>
      </c>
      <c r="C8232" t="str">
        <f t="shared" si="1872"/>
        <v>11</v>
      </c>
      <c r="D8232">
        <v>6399</v>
      </c>
      <c r="E8232" t="str">
        <f t="shared" si="1879"/>
        <v>00</v>
      </c>
      <c r="F8232" t="str">
        <f>"104"</f>
        <v>104</v>
      </c>
      <c r="G8232">
        <v>9</v>
      </c>
      <c r="H8232" t="str">
        <f t="shared" si="1880"/>
        <v>30</v>
      </c>
      <c r="I8232" t="str">
        <f t="shared" si="1870"/>
        <v>0</v>
      </c>
      <c r="J8232" t="str">
        <f t="shared" ref="J8232:J8263" si="1881">"00"</f>
        <v>00</v>
      </c>
      <c r="K8232">
        <v>20190524</v>
      </c>
      <c r="L8232" t="str">
        <f>"076910"</f>
        <v>076910</v>
      </c>
      <c r="M8232" t="str">
        <f>"28712"</f>
        <v>28712</v>
      </c>
      <c r="N8232" t="s">
        <v>6434</v>
      </c>
      <c r="O8232" s="1">
        <v>1040.4000000000001</v>
      </c>
      <c r="P8232">
        <v>20190522</v>
      </c>
      <c r="Q8232" t="s">
        <v>6404</v>
      </c>
      <c r="R8232" t="s">
        <v>5190</v>
      </c>
      <c r="S8232" t="s">
        <v>6389</v>
      </c>
      <c r="T8232" t="s">
        <v>46</v>
      </c>
    </row>
    <row r="8233" spans="1:20" x14ac:dyDescent="0.25">
      <c r="A8233">
        <v>9</v>
      </c>
      <c r="B8233">
        <v>211</v>
      </c>
      <c r="C8233" t="str">
        <f t="shared" si="1872"/>
        <v>11</v>
      </c>
      <c r="D8233">
        <v>6399</v>
      </c>
      <c r="E8233" t="str">
        <f t="shared" si="1879"/>
        <v>00</v>
      </c>
      <c r="F8233" t="str">
        <f>"104"</f>
        <v>104</v>
      </c>
      <c r="G8233">
        <v>9</v>
      </c>
      <c r="H8233" t="str">
        <f t="shared" si="1880"/>
        <v>30</v>
      </c>
      <c r="I8233" t="str">
        <f t="shared" si="1870"/>
        <v>0</v>
      </c>
      <c r="J8233" t="str">
        <f t="shared" si="1881"/>
        <v>00</v>
      </c>
      <c r="K8233">
        <v>20190524</v>
      </c>
      <c r="L8233" t="str">
        <f>"076910"</f>
        <v>076910</v>
      </c>
      <c r="M8233" t="str">
        <f>"28712"</f>
        <v>28712</v>
      </c>
      <c r="N8233" t="s">
        <v>6434</v>
      </c>
      <c r="O8233">
        <v>917.9</v>
      </c>
      <c r="P8233">
        <v>20190522</v>
      </c>
      <c r="Q8233" t="s">
        <v>6404</v>
      </c>
      <c r="R8233" t="s">
        <v>5190</v>
      </c>
      <c r="S8233" t="s">
        <v>6389</v>
      </c>
      <c r="T8233" t="s">
        <v>46</v>
      </c>
    </row>
    <row r="8234" spans="1:20" x14ac:dyDescent="0.25">
      <c r="A8234">
        <v>9</v>
      </c>
      <c r="B8234">
        <v>211</v>
      </c>
      <c r="C8234" t="str">
        <f>"61"</f>
        <v>61</v>
      </c>
      <c r="D8234">
        <v>6399</v>
      </c>
      <c r="E8234" t="str">
        <f t="shared" si="1879"/>
        <v>00</v>
      </c>
      <c r="F8234" t="str">
        <f>"101"</f>
        <v>101</v>
      </c>
      <c r="G8234">
        <v>9</v>
      </c>
      <c r="H8234" t="str">
        <f t="shared" si="1880"/>
        <v>30</v>
      </c>
      <c r="I8234" t="str">
        <f t="shared" si="1870"/>
        <v>0</v>
      </c>
      <c r="J8234" t="str">
        <f t="shared" si="1881"/>
        <v>00</v>
      </c>
      <c r="K8234">
        <v>20190531</v>
      </c>
      <c r="L8234" t="str">
        <f>"076969"</f>
        <v>076969</v>
      </c>
      <c r="M8234" t="str">
        <f>"04410"</f>
        <v>04410</v>
      </c>
      <c r="N8234" t="s">
        <v>410</v>
      </c>
      <c r="O8234" s="1">
        <v>2430.8200000000002</v>
      </c>
      <c r="P8234">
        <v>20190529</v>
      </c>
      <c r="Q8234" t="s">
        <v>6464</v>
      </c>
      <c r="R8234" t="s">
        <v>6465</v>
      </c>
      <c r="S8234" t="s">
        <v>6389</v>
      </c>
      <c r="T8234" t="s">
        <v>1479</v>
      </c>
    </row>
    <row r="8235" spans="1:20" x14ac:dyDescent="0.25">
      <c r="A8235">
        <v>9</v>
      </c>
      <c r="B8235">
        <v>211</v>
      </c>
      <c r="C8235" t="str">
        <f>"11"</f>
        <v>11</v>
      </c>
      <c r="D8235">
        <v>6399</v>
      </c>
      <c r="E8235" t="str">
        <f t="shared" si="1879"/>
        <v>00</v>
      </c>
      <c r="F8235" t="str">
        <f>"101"</f>
        <v>101</v>
      </c>
      <c r="G8235">
        <v>9</v>
      </c>
      <c r="H8235" t="str">
        <f t="shared" si="1880"/>
        <v>30</v>
      </c>
      <c r="I8235" t="str">
        <f t="shared" si="1870"/>
        <v>0</v>
      </c>
      <c r="J8235" t="str">
        <f t="shared" si="1881"/>
        <v>00</v>
      </c>
      <c r="K8235">
        <v>20190531</v>
      </c>
      <c r="L8235" t="str">
        <f>"076999"</f>
        <v>076999</v>
      </c>
      <c r="M8235" t="str">
        <f>"27119"</f>
        <v>27119</v>
      </c>
      <c r="N8235" t="s">
        <v>6410</v>
      </c>
      <c r="O8235" s="1">
        <v>1784.44</v>
      </c>
      <c r="P8235">
        <v>20190530</v>
      </c>
      <c r="Q8235" t="s">
        <v>6440</v>
      </c>
      <c r="R8235" t="s">
        <v>6466</v>
      </c>
      <c r="S8235" t="s">
        <v>6389</v>
      </c>
      <c r="T8235" t="s">
        <v>1479</v>
      </c>
    </row>
    <row r="8236" spans="1:20" x14ac:dyDescent="0.25">
      <c r="A8236">
        <v>9</v>
      </c>
      <c r="B8236">
        <v>211</v>
      </c>
      <c r="C8236" t="str">
        <f>"11"</f>
        <v>11</v>
      </c>
      <c r="D8236">
        <v>6399</v>
      </c>
      <c r="E8236" t="str">
        <f t="shared" si="1879"/>
        <v>00</v>
      </c>
      <c r="F8236" t="str">
        <f>"101"</f>
        <v>101</v>
      </c>
      <c r="G8236">
        <v>9</v>
      </c>
      <c r="H8236" t="str">
        <f t="shared" si="1880"/>
        <v>30</v>
      </c>
      <c r="I8236" t="str">
        <f t="shared" si="1870"/>
        <v>0</v>
      </c>
      <c r="J8236" t="str">
        <f t="shared" si="1881"/>
        <v>00</v>
      </c>
      <c r="K8236">
        <v>20190531</v>
      </c>
      <c r="L8236" t="str">
        <f>"076999"</f>
        <v>076999</v>
      </c>
      <c r="M8236" t="str">
        <f>"27119"</f>
        <v>27119</v>
      </c>
      <c r="N8236" t="s">
        <v>6410</v>
      </c>
      <c r="O8236" s="1">
        <v>4164.72</v>
      </c>
      <c r="P8236">
        <v>20190530</v>
      </c>
      <c r="Q8236" t="s">
        <v>6440</v>
      </c>
      <c r="R8236" t="s">
        <v>6467</v>
      </c>
      <c r="S8236" t="s">
        <v>6389</v>
      </c>
      <c r="T8236" t="s">
        <v>1479</v>
      </c>
    </row>
    <row r="8237" spans="1:20" x14ac:dyDescent="0.25">
      <c r="A8237">
        <v>9</v>
      </c>
      <c r="B8237">
        <v>211</v>
      </c>
      <c r="C8237" t="str">
        <f t="shared" ref="C8237:C8242" si="1882">"23"</f>
        <v>23</v>
      </c>
      <c r="D8237">
        <v>6411</v>
      </c>
      <c r="E8237" t="str">
        <f t="shared" si="1879"/>
        <v>00</v>
      </c>
      <c r="F8237" t="str">
        <f>"104"</f>
        <v>104</v>
      </c>
      <c r="G8237">
        <v>9</v>
      </c>
      <c r="H8237" t="str">
        <f t="shared" si="1880"/>
        <v>30</v>
      </c>
      <c r="I8237" t="str">
        <f t="shared" si="1870"/>
        <v>0</v>
      </c>
      <c r="J8237" t="str">
        <f t="shared" si="1881"/>
        <v>00</v>
      </c>
      <c r="K8237">
        <v>20190531</v>
      </c>
      <c r="L8237" t="str">
        <f>"077009"</f>
        <v>077009</v>
      </c>
      <c r="M8237" t="str">
        <f t="shared" ref="M8237:M8242" si="1883">"41248"</f>
        <v>41248</v>
      </c>
      <c r="N8237" t="s">
        <v>6468</v>
      </c>
      <c r="O8237">
        <v>699.78</v>
      </c>
      <c r="P8237">
        <v>20190530</v>
      </c>
      <c r="Q8237" t="s">
        <v>6437</v>
      </c>
      <c r="R8237" t="s">
        <v>6436</v>
      </c>
      <c r="S8237" t="s">
        <v>6389</v>
      </c>
      <c r="T8237" t="s">
        <v>46</v>
      </c>
    </row>
    <row r="8238" spans="1:20" x14ac:dyDescent="0.25">
      <c r="A8238">
        <v>9</v>
      </c>
      <c r="B8238">
        <v>211</v>
      </c>
      <c r="C8238" t="str">
        <f t="shared" si="1882"/>
        <v>23</v>
      </c>
      <c r="D8238">
        <v>6411</v>
      </c>
      <c r="E8238" t="str">
        <f t="shared" si="1879"/>
        <v>00</v>
      </c>
      <c r="F8238" t="str">
        <f>"104"</f>
        <v>104</v>
      </c>
      <c r="G8238">
        <v>9</v>
      </c>
      <c r="H8238" t="str">
        <f t="shared" si="1880"/>
        <v>30</v>
      </c>
      <c r="I8238" t="str">
        <f t="shared" si="1870"/>
        <v>0</v>
      </c>
      <c r="J8238" t="str">
        <f t="shared" si="1881"/>
        <v>00</v>
      </c>
      <c r="K8238">
        <v>20190531</v>
      </c>
      <c r="L8238" t="str">
        <f>"077010"</f>
        <v>077010</v>
      </c>
      <c r="M8238" t="str">
        <f t="shared" si="1883"/>
        <v>41248</v>
      </c>
      <c r="N8238" t="s">
        <v>6468</v>
      </c>
      <c r="O8238">
        <v>699.78</v>
      </c>
      <c r="P8238">
        <v>20190530</v>
      </c>
      <c r="Q8238" t="s">
        <v>6437</v>
      </c>
      <c r="R8238" t="s">
        <v>6436</v>
      </c>
      <c r="S8238" t="s">
        <v>6389</v>
      </c>
      <c r="T8238" t="s">
        <v>46</v>
      </c>
    </row>
    <row r="8239" spans="1:20" x14ac:dyDescent="0.25">
      <c r="A8239">
        <v>9</v>
      </c>
      <c r="B8239">
        <v>211</v>
      </c>
      <c r="C8239" t="str">
        <f t="shared" si="1882"/>
        <v>23</v>
      </c>
      <c r="D8239">
        <v>6411</v>
      </c>
      <c r="E8239" t="str">
        <f t="shared" si="1879"/>
        <v>00</v>
      </c>
      <c r="F8239" t="str">
        <f>"104"</f>
        <v>104</v>
      </c>
      <c r="G8239">
        <v>9</v>
      </c>
      <c r="H8239" t="str">
        <f t="shared" si="1880"/>
        <v>30</v>
      </c>
      <c r="I8239" t="str">
        <f t="shared" si="1870"/>
        <v>0</v>
      </c>
      <c r="J8239" t="str">
        <f t="shared" si="1881"/>
        <v>00</v>
      </c>
      <c r="K8239">
        <v>20190531</v>
      </c>
      <c r="L8239" t="str">
        <f>"077011"</f>
        <v>077011</v>
      </c>
      <c r="M8239" t="str">
        <f t="shared" si="1883"/>
        <v>41248</v>
      </c>
      <c r="N8239" t="s">
        <v>6468</v>
      </c>
      <c r="O8239">
        <v>699.78</v>
      </c>
      <c r="P8239">
        <v>20190530</v>
      </c>
      <c r="Q8239" t="s">
        <v>6437</v>
      </c>
      <c r="R8239" t="s">
        <v>6436</v>
      </c>
      <c r="S8239" t="s">
        <v>6389</v>
      </c>
      <c r="T8239" t="s">
        <v>46</v>
      </c>
    </row>
    <row r="8240" spans="1:20" x14ac:dyDescent="0.25">
      <c r="A8240">
        <v>9</v>
      </c>
      <c r="B8240">
        <v>211</v>
      </c>
      <c r="C8240" t="str">
        <f t="shared" si="1882"/>
        <v>23</v>
      </c>
      <c r="D8240">
        <v>6411</v>
      </c>
      <c r="E8240" t="str">
        <f t="shared" si="1879"/>
        <v>00</v>
      </c>
      <c r="F8240" t="str">
        <f>"101"</f>
        <v>101</v>
      </c>
      <c r="G8240">
        <v>9</v>
      </c>
      <c r="H8240" t="str">
        <f t="shared" si="1880"/>
        <v>30</v>
      </c>
      <c r="I8240" t="str">
        <f t="shared" si="1870"/>
        <v>0</v>
      </c>
      <c r="J8240" t="str">
        <f t="shared" si="1881"/>
        <v>00</v>
      </c>
      <c r="K8240">
        <v>20190531</v>
      </c>
      <c r="L8240" t="str">
        <f>"077012"</f>
        <v>077012</v>
      </c>
      <c r="M8240" t="str">
        <f t="shared" si="1883"/>
        <v>41248</v>
      </c>
      <c r="N8240" t="s">
        <v>6468</v>
      </c>
      <c r="O8240">
        <v>699.78</v>
      </c>
      <c r="P8240">
        <v>20190530</v>
      </c>
      <c r="Q8240" t="s">
        <v>6435</v>
      </c>
      <c r="R8240" t="s">
        <v>6436</v>
      </c>
      <c r="S8240" t="s">
        <v>6389</v>
      </c>
      <c r="T8240" t="s">
        <v>1479</v>
      </c>
    </row>
    <row r="8241" spans="1:20" x14ac:dyDescent="0.25">
      <c r="A8241">
        <v>9</v>
      </c>
      <c r="B8241">
        <v>211</v>
      </c>
      <c r="C8241" t="str">
        <f t="shared" si="1882"/>
        <v>23</v>
      </c>
      <c r="D8241">
        <v>6411</v>
      </c>
      <c r="E8241" t="str">
        <f t="shared" si="1879"/>
        <v>00</v>
      </c>
      <c r="F8241" t="str">
        <f>"101"</f>
        <v>101</v>
      </c>
      <c r="G8241">
        <v>9</v>
      </c>
      <c r="H8241" t="str">
        <f t="shared" si="1880"/>
        <v>30</v>
      </c>
      <c r="I8241" t="str">
        <f t="shared" si="1870"/>
        <v>0</v>
      </c>
      <c r="J8241" t="str">
        <f t="shared" si="1881"/>
        <v>00</v>
      </c>
      <c r="K8241">
        <v>20190531</v>
      </c>
      <c r="L8241" t="str">
        <f>"077013"</f>
        <v>077013</v>
      </c>
      <c r="M8241" t="str">
        <f t="shared" si="1883"/>
        <v>41248</v>
      </c>
      <c r="N8241" t="s">
        <v>6468</v>
      </c>
      <c r="O8241">
        <v>699.78</v>
      </c>
      <c r="P8241">
        <v>20190530</v>
      </c>
      <c r="Q8241" t="s">
        <v>6435</v>
      </c>
      <c r="R8241" t="s">
        <v>6436</v>
      </c>
      <c r="S8241" t="s">
        <v>6389</v>
      </c>
      <c r="T8241" t="s">
        <v>1479</v>
      </c>
    </row>
    <row r="8242" spans="1:20" x14ac:dyDescent="0.25">
      <c r="A8242">
        <v>9</v>
      </c>
      <c r="B8242">
        <v>211</v>
      </c>
      <c r="C8242" t="str">
        <f t="shared" si="1882"/>
        <v>23</v>
      </c>
      <c r="D8242">
        <v>6411</v>
      </c>
      <c r="E8242" t="str">
        <f t="shared" si="1879"/>
        <v>00</v>
      </c>
      <c r="F8242" t="str">
        <f>"101"</f>
        <v>101</v>
      </c>
      <c r="G8242">
        <v>9</v>
      </c>
      <c r="H8242" t="str">
        <f t="shared" si="1880"/>
        <v>30</v>
      </c>
      <c r="I8242" t="str">
        <f t="shared" si="1870"/>
        <v>0</v>
      </c>
      <c r="J8242" t="str">
        <f t="shared" si="1881"/>
        <v>00</v>
      </c>
      <c r="K8242">
        <v>20190607</v>
      </c>
      <c r="L8242" t="str">
        <f>"077081"</f>
        <v>077081</v>
      </c>
      <c r="M8242" t="str">
        <f t="shared" si="1883"/>
        <v>41248</v>
      </c>
      <c r="N8242" t="s">
        <v>6468</v>
      </c>
      <c r="O8242">
        <v>699.78</v>
      </c>
      <c r="P8242">
        <v>20190605</v>
      </c>
      <c r="Q8242" t="s">
        <v>6435</v>
      </c>
      <c r="R8242" t="s">
        <v>6436</v>
      </c>
      <c r="S8242" t="s">
        <v>6389</v>
      </c>
      <c r="T8242" t="s">
        <v>1479</v>
      </c>
    </row>
    <row r="8243" spans="1:20" x14ac:dyDescent="0.25">
      <c r="A8243">
        <v>9</v>
      </c>
      <c r="B8243">
        <v>211</v>
      </c>
      <c r="C8243" t="str">
        <f>"11"</f>
        <v>11</v>
      </c>
      <c r="D8243">
        <v>6399</v>
      </c>
      <c r="E8243" t="str">
        <f t="shared" si="1879"/>
        <v>00</v>
      </c>
      <c r="F8243" t="str">
        <f>"101"</f>
        <v>101</v>
      </c>
      <c r="G8243">
        <v>9</v>
      </c>
      <c r="H8243" t="str">
        <f t="shared" si="1880"/>
        <v>30</v>
      </c>
      <c r="I8243" t="str">
        <f t="shared" si="1870"/>
        <v>0</v>
      </c>
      <c r="J8243" t="str">
        <f t="shared" si="1881"/>
        <v>00</v>
      </c>
      <c r="K8243">
        <v>20190607</v>
      </c>
      <c r="L8243" t="str">
        <f>"077102"</f>
        <v>077102</v>
      </c>
      <c r="M8243" t="str">
        <f>"00689"</f>
        <v>00689</v>
      </c>
      <c r="N8243" t="s">
        <v>6124</v>
      </c>
      <c r="O8243" s="1">
        <v>2000</v>
      </c>
      <c r="P8243">
        <v>20190606</v>
      </c>
      <c r="Q8243" t="s">
        <v>6440</v>
      </c>
      <c r="R8243" t="s">
        <v>6469</v>
      </c>
      <c r="S8243" t="s">
        <v>6389</v>
      </c>
      <c r="T8243" t="s">
        <v>1479</v>
      </c>
    </row>
    <row r="8244" spans="1:20" x14ac:dyDescent="0.25">
      <c r="A8244">
        <v>9</v>
      </c>
      <c r="B8244">
        <v>211</v>
      </c>
      <c r="C8244" t="str">
        <f>"11"</f>
        <v>11</v>
      </c>
      <c r="D8244">
        <v>6399</v>
      </c>
      <c r="E8244" t="str">
        <f t="shared" si="1879"/>
        <v>00</v>
      </c>
      <c r="F8244" t="str">
        <f>"101"</f>
        <v>101</v>
      </c>
      <c r="G8244">
        <v>9</v>
      </c>
      <c r="H8244" t="str">
        <f t="shared" si="1880"/>
        <v>30</v>
      </c>
      <c r="I8244" t="str">
        <f t="shared" si="1870"/>
        <v>0</v>
      </c>
      <c r="J8244" t="str">
        <f t="shared" si="1881"/>
        <v>00</v>
      </c>
      <c r="K8244">
        <v>20190614</v>
      </c>
      <c r="L8244" t="str">
        <f>"077131"</f>
        <v>077131</v>
      </c>
      <c r="M8244" t="str">
        <f>"11759"</f>
        <v>11759</v>
      </c>
      <c r="N8244" t="s">
        <v>2845</v>
      </c>
      <c r="O8244" s="1">
        <v>16312.85</v>
      </c>
      <c r="P8244">
        <v>20190612</v>
      </c>
      <c r="Q8244" t="s">
        <v>6440</v>
      </c>
      <c r="R8244" t="s">
        <v>1945</v>
      </c>
      <c r="S8244" t="s">
        <v>6389</v>
      </c>
      <c r="T8244" t="s">
        <v>1479</v>
      </c>
    </row>
    <row r="8245" spans="1:20" x14ac:dyDescent="0.25">
      <c r="A8245">
        <v>9</v>
      </c>
      <c r="B8245">
        <v>211</v>
      </c>
      <c r="C8245" t="str">
        <f>"21"</f>
        <v>21</v>
      </c>
      <c r="D8245">
        <v>6291</v>
      </c>
      <c r="E8245" t="str">
        <f t="shared" si="1879"/>
        <v>00</v>
      </c>
      <c r="F8245" t="str">
        <f>"871"</f>
        <v>871</v>
      </c>
      <c r="G8245">
        <v>9</v>
      </c>
      <c r="H8245" t="str">
        <f t="shared" si="1880"/>
        <v>30</v>
      </c>
      <c r="I8245" t="str">
        <f t="shared" si="1870"/>
        <v>0</v>
      </c>
      <c r="J8245" t="str">
        <f t="shared" si="1881"/>
        <v>00</v>
      </c>
      <c r="K8245">
        <v>20190614</v>
      </c>
      <c r="L8245" t="str">
        <f>"077154"</f>
        <v>077154</v>
      </c>
      <c r="M8245" t="str">
        <f>"00806"</f>
        <v>00806</v>
      </c>
      <c r="N8245" t="s">
        <v>6470</v>
      </c>
      <c r="O8245" s="1">
        <v>7500</v>
      </c>
      <c r="P8245">
        <v>20190612</v>
      </c>
      <c r="Q8245" t="s">
        <v>6471</v>
      </c>
      <c r="R8245" t="s">
        <v>6472</v>
      </c>
      <c r="S8245" t="s">
        <v>6389</v>
      </c>
      <c r="T8245" t="s">
        <v>1932</v>
      </c>
    </row>
    <row r="8246" spans="1:20" x14ac:dyDescent="0.25">
      <c r="A8246">
        <v>9</v>
      </c>
      <c r="B8246">
        <v>211</v>
      </c>
      <c r="C8246" t="str">
        <f>"11"</f>
        <v>11</v>
      </c>
      <c r="D8246">
        <v>6399</v>
      </c>
      <c r="E8246" t="str">
        <f t="shared" si="1879"/>
        <v>00</v>
      </c>
      <c r="F8246" t="str">
        <f>"101"</f>
        <v>101</v>
      </c>
      <c r="G8246">
        <v>9</v>
      </c>
      <c r="H8246" t="str">
        <f t="shared" si="1880"/>
        <v>30</v>
      </c>
      <c r="I8246" t="str">
        <f t="shared" si="1870"/>
        <v>0</v>
      </c>
      <c r="J8246" t="str">
        <f t="shared" si="1881"/>
        <v>00</v>
      </c>
      <c r="K8246">
        <v>20190621</v>
      </c>
      <c r="L8246" t="str">
        <f>"077234"</f>
        <v>077234</v>
      </c>
      <c r="M8246" t="str">
        <f>"28712"</f>
        <v>28712</v>
      </c>
      <c r="N8246" t="s">
        <v>6434</v>
      </c>
      <c r="O8246" s="1">
        <v>13892.86</v>
      </c>
      <c r="P8246">
        <v>20190619</v>
      </c>
      <c r="Q8246" t="s">
        <v>6440</v>
      </c>
      <c r="R8246" t="s">
        <v>1945</v>
      </c>
      <c r="S8246" t="s">
        <v>6389</v>
      </c>
      <c r="T8246" t="s">
        <v>1479</v>
      </c>
    </row>
    <row r="8247" spans="1:20" x14ac:dyDescent="0.25">
      <c r="A8247">
        <v>9</v>
      </c>
      <c r="B8247">
        <v>211</v>
      </c>
      <c r="C8247" t="str">
        <f>"11"</f>
        <v>11</v>
      </c>
      <c r="D8247">
        <v>6399</v>
      </c>
      <c r="E8247" t="str">
        <f t="shared" si="1879"/>
        <v>00</v>
      </c>
      <c r="F8247" t="str">
        <f>"101"</f>
        <v>101</v>
      </c>
      <c r="G8247">
        <v>9</v>
      </c>
      <c r="H8247" t="str">
        <f t="shared" si="1880"/>
        <v>30</v>
      </c>
      <c r="I8247" t="str">
        <f t="shared" si="1870"/>
        <v>0</v>
      </c>
      <c r="J8247" t="str">
        <f t="shared" si="1881"/>
        <v>00</v>
      </c>
      <c r="K8247">
        <v>20190621</v>
      </c>
      <c r="L8247" t="str">
        <f>"077237"</f>
        <v>077237</v>
      </c>
      <c r="M8247" t="str">
        <f>"30390"</f>
        <v>30390</v>
      </c>
      <c r="N8247" t="s">
        <v>2624</v>
      </c>
      <c r="O8247" s="1">
        <v>8945.26</v>
      </c>
      <c r="P8247">
        <v>20190619</v>
      </c>
      <c r="Q8247" t="s">
        <v>6440</v>
      </c>
      <c r="R8247" t="s">
        <v>1945</v>
      </c>
      <c r="S8247" t="s">
        <v>6389</v>
      </c>
      <c r="T8247" t="s">
        <v>1479</v>
      </c>
    </row>
    <row r="8248" spans="1:20" x14ac:dyDescent="0.25">
      <c r="A8248">
        <v>9</v>
      </c>
      <c r="B8248">
        <v>211</v>
      </c>
      <c r="C8248" t="str">
        <f>"61"</f>
        <v>61</v>
      </c>
      <c r="D8248">
        <v>6399</v>
      </c>
      <c r="E8248" t="str">
        <f t="shared" si="1879"/>
        <v>00</v>
      </c>
      <c r="F8248" t="str">
        <f>"101"</f>
        <v>101</v>
      </c>
      <c r="G8248">
        <v>9</v>
      </c>
      <c r="H8248" t="str">
        <f t="shared" si="1880"/>
        <v>30</v>
      </c>
      <c r="I8248" t="str">
        <f t="shared" si="1870"/>
        <v>0</v>
      </c>
      <c r="J8248" t="str">
        <f t="shared" si="1881"/>
        <v>00</v>
      </c>
      <c r="K8248">
        <v>20190621</v>
      </c>
      <c r="L8248" t="str">
        <f>"077268"</f>
        <v>077268</v>
      </c>
      <c r="M8248" t="str">
        <f>"00832"</f>
        <v>00832</v>
      </c>
      <c r="N8248" t="s">
        <v>6473</v>
      </c>
      <c r="O8248" s="1">
        <v>3500</v>
      </c>
      <c r="P8248">
        <v>20190619</v>
      </c>
      <c r="Q8248" t="s">
        <v>6464</v>
      </c>
      <c r="R8248" t="s">
        <v>6189</v>
      </c>
      <c r="S8248" t="s">
        <v>6389</v>
      </c>
      <c r="T8248" t="s">
        <v>1479</v>
      </c>
    </row>
    <row r="8249" spans="1:20" x14ac:dyDescent="0.25">
      <c r="A8249">
        <v>9</v>
      </c>
      <c r="B8249">
        <v>211</v>
      </c>
      <c r="C8249" t="str">
        <f>"13"</f>
        <v>13</v>
      </c>
      <c r="D8249">
        <v>6299</v>
      </c>
      <c r="E8249" t="str">
        <f t="shared" si="1879"/>
        <v>00</v>
      </c>
      <c r="F8249" t="str">
        <f>"104"</f>
        <v>104</v>
      </c>
      <c r="G8249">
        <v>9</v>
      </c>
      <c r="H8249" t="str">
        <f t="shared" si="1880"/>
        <v>30</v>
      </c>
      <c r="I8249" t="str">
        <f t="shared" si="1870"/>
        <v>0</v>
      </c>
      <c r="J8249" t="str">
        <f t="shared" si="1881"/>
        <v>00</v>
      </c>
      <c r="K8249">
        <v>20190710</v>
      </c>
      <c r="L8249" t="str">
        <f>"077289"</f>
        <v>077289</v>
      </c>
      <c r="M8249" t="str">
        <f>"00690"</f>
        <v>00690</v>
      </c>
      <c r="N8249" t="s">
        <v>6424</v>
      </c>
      <c r="O8249" s="1">
        <v>2050</v>
      </c>
      <c r="P8249">
        <v>20190709</v>
      </c>
      <c r="Q8249" t="s">
        <v>6413</v>
      </c>
      <c r="R8249" t="s">
        <v>6211</v>
      </c>
      <c r="S8249" t="s">
        <v>6389</v>
      </c>
      <c r="T8249" t="s">
        <v>46</v>
      </c>
    </row>
    <row r="8250" spans="1:20" x14ac:dyDescent="0.25">
      <c r="A8250">
        <v>9</v>
      </c>
      <c r="B8250">
        <v>211</v>
      </c>
      <c r="C8250" t="str">
        <f>"61"</f>
        <v>61</v>
      </c>
      <c r="D8250">
        <v>6399</v>
      </c>
      <c r="E8250" t="str">
        <f t="shared" si="1879"/>
        <v>00</v>
      </c>
      <c r="F8250" t="str">
        <f>"101"</f>
        <v>101</v>
      </c>
      <c r="G8250">
        <v>9</v>
      </c>
      <c r="H8250" t="str">
        <f t="shared" si="1880"/>
        <v>30</v>
      </c>
      <c r="I8250" t="str">
        <f t="shared" si="1870"/>
        <v>0</v>
      </c>
      <c r="J8250" t="str">
        <f t="shared" si="1881"/>
        <v>00</v>
      </c>
      <c r="K8250">
        <v>20190712</v>
      </c>
      <c r="L8250" t="str">
        <f>"077337"</f>
        <v>077337</v>
      </c>
      <c r="M8250" t="str">
        <f>"09170"</f>
        <v>09170</v>
      </c>
      <c r="N8250" t="s">
        <v>679</v>
      </c>
      <c r="O8250" s="1">
        <v>4555.6499999999996</v>
      </c>
      <c r="P8250">
        <v>20190711</v>
      </c>
      <c r="Q8250" t="s">
        <v>6464</v>
      </c>
      <c r="R8250" t="s">
        <v>6474</v>
      </c>
      <c r="S8250" t="s">
        <v>6389</v>
      </c>
      <c r="T8250" t="s">
        <v>1479</v>
      </c>
    </row>
    <row r="8251" spans="1:20" x14ac:dyDescent="0.25">
      <c r="A8251">
        <v>9</v>
      </c>
      <c r="B8251">
        <v>211</v>
      </c>
      <c r="C8251" t="str">
        <f>"13"</f>
        <v>13</v>
      </c>
      <c r="D8251">
        <v>6299</v>
      </c>
      <c r="E8251" t="str">
        <f t="shared" si="1879"/>
        <v>00</v>
      </c>
      <c r="F8251" t="str">
        <f>"104"</f>
        <v>104</v>
      </c>
      <c r="G8251">
        <v>9</v>
      </c>
      <c r="H8251" t="str">
        <f t="shared" si="1880"/>
        <v>30</v>
      </c>
      <c r="I8251" t="str">
        <f t="shared" ref="I8251:I8314" si="1884">"0"</f>
        <v>0</v>
      </c>
      <c r="J8251" t="str">
        <f t="shared" si="1881"/>
        <v>00</v>
      </c>
      <c r="K8251">
        <v>20190712</v>
      </c>
      <c r="L8251" t="str">
        <f>"077340"</f>
        <v>077340</v>
      </c>
      <c r="M8251" t="str">
        <f>"00843"</f>
        <v>00843</v>
      </c>
      <c r="N8251" t="s">
        <v>6475</v>
      </c>
      <c r="O8251" s="1">
        <v>2215</v>
      </c>
      <c r="P8251">
        <v>20190710</v>
      </c>
      <c r="Q8251" t="s">
        <v>6413</v>
      </c>
      <c r="R8251" t="s">
        <v>6476</v>
      </c>
      <c r="S8251" t="s">
        <v>6389</v>
      </c>
      <c r="T8251" t="s">
        <v>46</v>
      </c>
    </row>
    <row r="8252" spans="1:20" x14ac:dyDescent="0.25">
      <c r="A8252">
        <v>9</v>
      </c>
      <c r="B8252">
        <v>211</v>
      </c>
      <c r="C8252" t="str">
        <f>"11"</f>
        <v>11</v>
      </c>
      <c r="D8252">
        <v>6399</v>
      </c>
      <c r="E8252" t="str">
        <f t="shared" si="1879"/>
        <v>00</v>
      </c>
      <c r="F8252" t="str">
        <f>"104"</f>
        <v>104</v>
      </c>
      <c r="G8252">
        <v>9</v>
      </c>
      <c r="H8252" t="str">
        <f t="shared" si="1880"/>
        <v>30</v>
      </c>
      <c r="I8252" t="str">
        <f t="shared" si="1884"/>
        <v>0</v>
      </c>
      <c r="J8252" t="str">
        <f t="shared" si="1881"/>
        <v>00</v>
      </c>
      <c r="K8252">
        <v>20190712</v>
      </c>
      <c r="L8252" t="str">
        <f>"077343"</f>
        <v>077343</v>
      </c>
      <c r="M8252" t="str">
        <f>"00802"</f>
        <v>00802</v>
      </c>
      <c r="N8252" t="s">
        <v>6463</v>
      </c>
      <c r="O8252">
        <v>4</v>
      </c>
      <c r="P8252">
        <v>20190710</v>
      </c>
      <c r="Q8252" t="s">
        <v>6404</v>
      </c>
      <c r="R8252" t="s">
        <v>6477</v>
      </c>
      <c r="S8252" t="s">
        <v>6389</v>
      </c>
      <c r="T8252" t="s">
        <v>46</v>
      </c>
    </row>
    <row r="8253" spans="1:20" x14ac:dyDescent="0.25">
      <c r="A8253">
        <v>9</v>
      </c>
      <c r="B8253">
        <v>211</v>
      </c>
      <c r="C8253" t="str">
        <f>"23"</f>
        <v>23</v>
      </c>
      <c r="D8253">
        <v>6411</v>
      </c>
      <c r="E8253" t="str">
        <f t="shared" si="1879"/>
        <v>00</v>
      </c>
      <c r="F8253" t="str">
        <f>"101"</f>
        <v>101</v>
      </c>
      <c r="G8253">
        <v>9</v>
      </c>
      <c r="H8253" t="str">
        <f t="shared" si="1880"/>
        <v>30</v>
      </c>
      <c r="I8253" t="str">
        <f t="shared" si="1884"/>
        <v>0</v>
      </c>
      <c r="J8253" t="str">
        <f t="shared" si="1881"/>
        <v>00</v>
      </c>
      <c r="K8253">
        <v>20190712</v>
      </c>
      <c r="L8253" t="str">
        <f>"077354"</f>
        <v>077354</v>
      </c>
      <c r="M8253" t="str">
        <f>"00605"</f>
        <v>00605</v>
      </c>
      <c r="N8253" t="s">
        <v>2483</v>
      </c>
      <c r="O8253">
        <v>71.650000000000006</v>
      </c>
      <c r="P8253">
        <v>20190710</v>
      </c>
      <c r="Q8253" t="s">
        <v>6435</v>
      </c>
      <c r="R8253" t="s">
        <v>6436</v>
      </c>
      <c r="S8253" t="s">
        <v>6389</v>
      </c>
      <c r="T8253" t="s">
        <v>1479</v>
      </c>
    </row>
    <row r="8254" spans="1:20" x14ac:dyDescent="0.25">
      <c r="A8254">
        <v>9</v>
      </c>
      <c r="B8254">
        <v>211</v>
      </c>
      <c r="C8254" t="str">
        <f>"11"</f>
        <v>11</v>
      </c>
      <c r="D8254">
        <v>6399</v>
      </c>
      <c r="E8254" t="str">
        <f t="shared" si="1879"/>
        <v>00</v>
      </c>
      <c r="F8254" t="str">
        <f>"101"</f>
        <v>101</v>
      </c>
      <c r="G8254">
        <v>9</v>
      </c>
      <c r="H8254" t="str">
        <f t="shared" si="1880"/>
        <v>30</v>
      </c>
      <c r="I8254" t="str">
        <f t="shared" si="1884"/>
        <v>0</v>
      </c>
      <c r="J8254" t="str">
        <f t="shared" si="1881"/>
        <v>00</v>
      </c>
      <c r="K8254">
        <v>20190712</v>
      </c>
      <c r="L8254" t="str">
        <f>"077364"</f>
        <v>077364</v>
      </c>
      <c r="M8254" t="str">
        <f>"30622"</f>
        <v>30622</v>
      </c>
      <c r="N8254" t="s">
        <v>6478</v>
      </c>
      <c r="O8254" s="1">
        <v>10559.96</v>
      </c>
      <c r="P8254">
        <v>20190710</v>
      </c>
      <c r="Q8254" t="s">
        <v>6440</v>
      </c>
      <c r="R8254" t="s">
        <v>6479</v>
      </c>
      <c r="S8254" t="s">
        <v>6389</v>
      </c>
      <c r="T8254" t="s">
        <v>1479</v>
      </c>
    </row>
    <row r="8255" spans="1:20" x14ac:dyDescent="0.25">
      <c r="A8255">
        <v>9</v>
      </c>
      <c r="B8255">
        <v>211</v>
      </c>
      <c r="C8255" t="str">
        <f>"21"</f>
        <v>21</v>
      </c>
      <c r="D8255">
        <v>6411</v>
      </c>
      <c r="E8255" t="str">
        <f t="shared" si="1879"/>
        <v>00</v>
      </c>
      <c r="F8255" t="str">
        <f>"871"</f>
        <v>871</v>
      </c>
      <c r="G8255">
        <v>9</v>
      </c>
      <c r="H8255" t="str">
        <f t="shared" si="1880"/>
        <v>30</v>
      </c>
      <c r="I8255" t="str">
        <f t="shared" si="1884"/>
        <v>0</v>
      </c>
      <c r="J8255" t="str">
        <f t="shared" si="1881"/>
        <v>00</v>
      </c>
      <c r="K8255">
        <v>20190712</v>
      </c>
      <c r="L8255" t="str">
        <f>"077369"</f>
        <v>077369</v>
      </c>
      <c r="M8255" t="str">
        <f>"34575"</f>
        <v>34575</v>
      </c>
      <c r="N8255" t="s">
        <v>3650</v>
      </c>
      <c r="O8255">
        <v>423.37</v>
      </c>
      <c r="P8255">
        <v>20190710</v>
      </c>
      <c r="Q8255" t="s">
        <v>6421</v>
      </c>
      <c r="R8255" t="s">
        <v>6221</v>
      </c>
      <c r="S8255" t="s">
        <v>6389</v>
      </c>
      <c r="T8255" t="s">
        <v>1932</v>
      </c>
    </row>
    <row r="8256" spans="1:20" x14ac:dyDescent="0.25">
      <c r="A8256">
        <v>9</v>
      </c>
      <c r="B8256">
        <v>211</v>
      </c>
      <c r="C8256" t="str">
        <f>"21"</f>
        <v>21</v>
      </c>
      <c r="D8256">
        <v>6411</v>
      </c>
      <c r="E8256" t="str">
        <f t="shared" si="1879"/>
        <v>00</v>
      </c>
      <c r="F8256" t="str">
        <f>"871"</f>
        <v>871</v>
      </c>
      <c r="G8256">
        <v>9</v>
      </c>
      <c r="H8256" t="str">
        <f t="shared" si="1880"/>
        <v>30</v>
      </c>
      <c r="I8256" t="str">
        <f t="shared" si="1884"/>
        <v>0</v>
      </c>
      <c r="J8256" t="str">
        <f t="shared" si="1881"/>
        <v>00</v>
      </c>
      <c r="K8256">
        <v>20190712</v>
      </c>
      <c r="L8256" t="str">
        <f>"077370"</f>
        <v>077370</v>
      </c>
      <c r="M8256" t="str">
        <f>"34575"</f>
        <v>34575</v>
      </c>
      <c r="N8256" t="s">
        <v>3650</v>
      </c>
      <c r="O8256">
        <v>423.37</v>
      </c>
      <c r="P8256">
        <v>20190710</v>
      </c>
      <c r="Q8256" t="s">
        <v>6421</v>
      </c>
      <c r="R8256" t="s">
        <v>6221</v>
      </c>
      <c r="S8256" t="s">
        <v>6389</v>
      </c>
      <c r="T8256" t="s">
        <v>1932</v>
      </c>
    </row>
    <row r="8257" spans="1:20" x14ac:dyDescent="0.25">
      <c r="A8257">
        <v>9</v>
      </c>
      <c r="B8257">
        <v>211</v>
      </c>
      <c r="C8257" t="str">
        <f>"21"</f>
        <v>21</v>
      </c>
      <c r="D8257">
        <v>6411</v>
      </c>
      <c r="E8257" t="str">
        <f t="shared" ref="E8257:E8288" si="1885">"00"</f>
        <v>00</v>
      </c>
      <c r="F8257" t="str">
        <f>"871"</f>
        <v>871</v>
      </c>
      <c r="G8257">
        <v>9</v>
      </c>
      <c r="H8257" t="str">
        <f t="shared" ref="H8257:H8288" si="1886">"30"</f>
        <v>30</v>
      </c>
      <c r="I8257" t="str">
        <f t="shared" si="1884"/>
        <v>0</v>
      </c>
      <c r="J8257" t="str">
        <f t="shared" si="1881"/>
        <v>00</v>
      </c>
      <c r="K8257">
        <v>20190712</v>
      </c>
      <c r="L8257" t="str">
        <f>"077371"</f>
        <v>077371</v>
      </c>
      <c r="M8257" t="str">
        <f>"34575"</f>
        <v>34575</v>
      </c>
      <c r="N8257" t="s">
        <v>3650</v>
      </c>
      <c r="O8257">
        <v>423.37</v>
      </c>
      <c r="P8257">
        <v>20190710</v>
      </c>
      <c r="Q8257" t="s">
        <v>6421</v>
      </c>
      <c r="R8257" t="s">
        <v>6221</v>
      </c>
      <c r="S8257" t="s">
        <v>6389</v>
      </c>
      <c r="T8257" t="s">
        <v>1932</v>
      </c>
    </row>
    <row r="8258" spans="1:20" x14ac:dyDescent="0.25">
      <c r="A8258">
        <v>9</v>
      </c>
      <c r="B8258">
        <v>211</v>
      </c>
      <c r="C8258" t="str">
        <f>"23"</f>
        <v>23</v>
      </c>
      <c r="D8258">
        <v>6411</v>
      </c>
      <c r="E8258" t="str">
        <f t="shared" si="1885"/>
        <v>00</v>
      </c>
      <c r="F8258" t="str">
        <f>"104"</f>
        <v>104</v>
      </c>
      <c r="G8258">
        <v>9</v>
      </c>
      <c r="H8258" t="str">
        <f t="shared" si="1886"/>
        <v>30</v>
      </c>
      <c r="I8258" t="str">
        <f t="shared" si="1884"/>
        <v>0</v>
      </c>
      <c r="J8258" t="str">
        <f t="shared" si="1881"/>
        <v>00</v>
      </c>
      <c r="K8258">
        <v>20190712</v>
      </c>
      <c r="L8258" t="str">
        <f>"077389"</f>
        <v>077389</v>
      </c>
      <c r="M8258" t="str">
        <f>"47740"</f>
        <v>47740</v>
      </c>
      <c r="N8258" t="s">
        <v>6480</v>
      </c>
      <c r="O8258">
        <v>267.58</v>
      </c>
      <c r="P8258">
        <v>20190710</v>
      </c>
      <c r="Q8258" t="s">
        <v>6437</v>
      </c>
      <c r="R8258" t="s">
        <v>6436</v>
      </c>
      <c r="S8258" t="s">
        <v>6389</v>
      </c>
      <c r="T8258" t="s">
        <v>46</v>
      </c>
    </row>
    <row r="8259" spans="1:20" x14ac:dyDescent="0.25">
      <c r="A8259">
        <v>9</v>
      </c>
      <c r="B8259">
        <v>211</v>
      </c>
      <c r="C8259" t="str">
        <f>"61"</f>
        <v>61</v>
      </c>
      <c r="D8259">
        <v>6399</v>
      </c>
      <c r="E8259" t="str">
        <f t="shared" si="1885"/>
        <v>00</v>
      </c>
      <c r="F8259" t="str">
        <f t="shared" ref="F8259:F8276" si="1887">"101"</f>
        <v>101</v>
      </c>
      <c r="G8259">
        <v>9</v>
      </c>
      <c r="H8259" t="str">
        <f t="shared" si="1886"/>
        <v>30</v>
      </c>
      <c r="I8259" t="str">
        <f t="shared" si="1884"/>
        <v>0</v>
      </c>
      <c r="J8259" t="str">
        <f t="shared" si="1881"/>
        <v>00</v>
      </c>
      <c r="K8259">
        <v>20190712</v>
      </c>
      <c r="L8259" t="str">
        <f>"077425"</f>
        <v>077425</v>
      </c>
      <c r="M8259" t="str">
        <f>"81303"</f>
        <v>81303</v>
      </c>
      <c r="N8259" t="s">
        <v>66</v>
      </c>
      <c r="O8259" s="1">
        <v>1685</v>
      </c>
      <c r="P8259">
        <v>20190711</v>
      </c>
      <c r="Q8259" t="s">
        <v>6464</v>
      </c>
      <c r="R8259" t="s">
        <v>6481</v>
      </c>
      <c r="S8259" t="s">
        <v>6389</v>
      </c>
      <c r="T8259" t="s">
        <v>1479</v>
      </c>
    </row>
    <row r="8260" spans="1:20" x14ac:dyDescent="0.25">
      <c r="A8260">
        <v>9</v>
      </c>
      <c r="B8260">
        <v>211</v>
      </c>
      <c r="C8260" t="str">
        <f>"11"</f>
        <v>11</v>
      </c>
      <c r="D8260">
        <v>6399</v>
      </c>
      <c r="E8260" t="str">
        <f t="shared" si="1885"/>
        <v>00</v>
      </c>
      <c r="F8260" t="str">
        <f t="shared" si="1887"/>
        <v>101</v>
      </c>
      <c r="G8260">
        <v>9</v>
      </c>
      <c r="H8260" t="str">
        <f t="shared" si="1886"/>
        <v>30</v>
      </c>
      <c r="I8260" t="str">
        <f t="shared" si="1884"/>
        <v>0</v>
      </c>
      <c r="J8260" t="str">
        <f t="shared" si="1881"/>
        <v>00</v>
      </c>
      <c r="K8260">
        <v>20190712</v>
      </c>
      <c r="L8260" t="str">
        <f>"077430"</f>
        <v>077430</v>
      </c>
      <c r="M8260" t="str">
        <f>"00052"</f>
        <v>00052</v>
      </c>
      <c r="N8260" t="s">
        <v>6482</v>
      </c>
      <c r="O8260" s="1">
        <v>2592.48</v>
      </c>
      <c r="P8260">
        <v>20190711</v>
      </c>
      <c r="Q8260" t="s">
        <v>6440</v>
      </c>
      <c r="R8260" t="s">
        <v>1945</v>
      </c>
      <c r="S8260" t="s">
        <v>6389</v>
      </c>
      <c r="T8260" t="s">
        <v>1479</v>
      </c>
    </row>
    <row r="8261" spans="1:20" x14ac:dyDescent="0.25">
      <c r="A8261">
        <v>9</v>
      </c>
      <c r="B8261">
        <v>211</v>
      </c>
      <c r="C8261" t="str">
        <f>"11"</f>
        <v>11</v>
      </c>
      <c r="D8261">
        <v>6399</v>
      </c>
      <c r="E8261" t="str">
        <f t="shared" si="1885"/>
        <v>00</v>
      </c>
      <c r="F8261" t="str">
        <f t="shared" si="1887"/>
        <v>101</v>
      </c>
      <c r="G8261">
        <v>9</v>
      </c>
      <c r="H8261" t="str">
        <f t="shared" si="1886"/>
        <v>30</v>
      </c>
      <c r="I8261" t="str">
        <f t="shared" si="1884"/>
        <v>0</v>
      </c>
      <c r="J8261" t="str">
        <f t="shared" si="1881"/>
        <v>00</v>
      </c>
      <c r="K8261">
        <v>20190712</v>
      </c>
      <c r="L8261" t="str">
        <f>"077430"</f>
        <v>077430</v>
      </c>
      <c r="M8261" t="str">
        <f>"00052"</f>
        <v>00052</v>
      </c>
      <c r="N8261" t="s">
        <v>6482</v>
      </c>
      <c r="O8261">
        <v>32.94</v>
      </c>
      <c r="P8261">
        <v>20190711</v>
      </c>
      <c r="Q8261" t="s">
        <v>6440</v>
      </c>
      <c r="R8261" t="s">
        <v>6483</v>
      </c>
      <c r="S8261" t="s">
        <v>6389</v>
      </c>
      <c r="T8261" t="s">
        <v>1479</v>
      </c>
    </row>
    <row r="8262" spans="1:20" x14ac:dyDescent="0.25">
      <c r="A8262">
        <v>9</v>
      </c>
      <c r="B8262">
        <v>211</v>
      </c>
      <c r="C8262" t="str">
        <f>"11"</f>
        <v>11</v>
      </c>
      <c r="D8262">
        <v>6399</v>
      </c>
      <c r="E8262" t="str">
        <f t="shared" si="1885"/>
        <v>00</v>
      </c>
      <c r="F8262" t="str">
        <f t="shared" si="1887"/>
        <v>101</v>
      </c>
      <c r="G8262">
        <v>9</v>
      </c>
      <c r="H8262" t="str">
        <f t="shared" si="1886"/>
        <v>30</v>
      </c>
      <c r="I8262" t="str">
        <f t="shared" si="1884"/>
        <v>0</v>
      </c>
      <c r="J8262" t="str">
        <f t="shared" si="1881"/>
        <v>00</v>
      </c>
      <c r="K8262">
        <v>20190712</v>
      </c>
      <c r="L8262" t="str">
        <f>"077430"</f>
        <v>077430</v>
      </c>
      <c r="M8262" t="str">
        <f>"00052"</f>
        <v>00052</v>
      </c>
      <c r="N8262" t="s">
        <v>6482</v>
      </c>
      <c r="O8262">
        <v>6.5</v>
      </c>
      <c r="P8262">
        <v>20190711</v>
      </c>
      <c r="Q8262" t="s">
        <v>6440</v>
      </c>
      <c r="R8262" t="s">
        <v>6483</v>
      </c>
      <c r="S8262" t="s">
        <v>6389</v>
      </c>
      <c r="T8262" t="s">
        <v>1479</v>
      </c>
    </row>
    <row r="8263" spans="1:20" x14ac:dyDescent="0.25">
      <c r="A8263">
        <v>9</v>
      </c>
      <c r="B8263">
        <v>211</v>
      </c>
      <c r="C8263" t="str">
        <f t="shared" ref="C8263:C8278" si="1888">"13"</f>
        <v>13</v>
      </c>
      <c r="D8263">
        <v>6411</v>
      </c>
      <c r="E8263" t="str">
        <f t="shared" si="1885"/>
        <v>00</v>
      </c>
      <c r="F8263" t="str">
        <f t="shared" si="1887"/>
        <v>101</v>
      </c>
      <c r="G8263">
        <v>9</v>
      </c>
      <c r="H8263" t="str">
        <f t="shared" si="1886"/>
        <v>30</v>
      </c>
      <c r="I8263" t="str">
        <f t="shared" si="1884"/>
        <v>0</v>
      </c>
      <c r="J8263" t="str">
        <f t="shared" si="1881"/>
        <v>00</v>
      </c>
      <c r="K8263">
        <v>20190719</v>
      </c>
      <c r="L8263" t="str">
        <f t="shared" ref="L8263:L8279" si="1889">"077447"</f>
        <v>077447</v>
      </c>
      <c r="M8263" t="str">
        <f t="shared" ref="M8263:M8279" si="1890">"27900"</f>
        <v>27900</v>
      </c>
      <c r="N8263" t="s">
        <v>1490</v>
      </c>
      <c r="O8263" s="1">
        <v>1000</v>
      </c>
      <c r="P8263">
        <v>20190717</v>
      </c>
      <c r="Q8263" t="s">
        <v>6419</v>
      </c>
      <c r="R8263" t="s">
        <v>6484</v>
      </c>
      <c r="S8263" t="s">
        <v>6389</v>
      </c>
      <c r="T8263" t="s">
        <v>1479</v>
      </c>
    </row>
    <row r="8264" spans="1:20" x14ac:dyDescent="0.25">
      <c r="A8264">
        <v>9</v>
      </c>
      <c r="B8264">
        <v>211</v>
      </c>
      <c r="C8264" t="str">
        <f t="shared" si="1888"/>
        <v>13</v>
      </c>
      <c r="D8264">
        <v>6411</v>
      </c>
      <c r="E8264" t="str">
        <f t="shared" si="1885"/>
        <v>00</v>
      </c>
      <c r="F8264" t="str">
        <f t="shared" si="1887"/>
        <v>101</v>
      </c>
      <c r="G8264">
        <v>9</v>
      </c>
      <c r="H8264" t="str">
        <f t="shared" si="1886"/>
        <v>30</v>
      </c>
      <c r="I8264" t="str">
        <f t="shared" si="1884"/>
        <v>0</v>
      </c>
      <c r="J8264" t="str">
        <f t="shared" ref="J8264:J8295" si="1891">"00"</f>
        <v>00</v>
      </c>
      <c r="K8264">
        <v>20190719</v>
      </c>
      <c r="L8264" t="str">
        <f t="shared" si="1889"/>
        <v>077447</v>
      </c>
      <c r="M8264" t="str">
        <f t="shared" si="1890"/>
        <v>27900</v>
      </c>
      <c r="N8264" t="s">
        <v>1490</v>
      </c>
      <c r="O8264">
        <v>100</v>
      </c>
      <c r="P8264">
        <v>20190717</v>
      </c>
      <c r="Q8264" t="s">
        <v>6419</v>
      </c>
      <c r="R8264" t="s">
        <v>6485</v>
      </c>
      <c r="S8264" t="s">
        <v>6389</v>
      </c>
      <c r="T8264" t="s">
        <v>1479</v>
      </c>
    </row>
    <row r="8265" spans="1:20" x14ac:dyDescent="0.25">
      <c r="A8265">
        <v>9</v>
      </c>
      <c r="B8265">
        <v>211</v>
      </c>
      <c r="C8265" t="str">
        <f t="shared" si="1888"/>
        <v>13</v>
      </c>
      <c r="D8265">
        <v>6411</v>
      </c>
      <c r="E8265" t="str">
        <f t="shared" si="1885"/>
        <v>00</v>
      </c>
      <c r="F8265" t="str">
        <f t="shared" si="1887"/>
        <v>101</v>
      </c>
      <c r="G8265">
        <v>9</v>
      </c>
      <c r="H8265" t="str">
        <f t="shared" si="1886"/>
        <v>30</v>
      </c>
      <c r="I8265" t="str">
        <f t="shared" si="1884"/>
        <v>0</v>
      </c>
      <c r="J8265" t="str">
        <f t="shared" si="1891"/>
        <v>00</v>
      </c>
      <c r="K8265">
        <v>20190719</v>
      </c>
      <c r="L8265" t="str">
        <f t="shared" si="1889"/>
        <v>077447</v>
      </c>
      <c r="M8265" t="str">
        <f t="shared" si="1890"/>
        <v>27900</v>
      </c>
      <c r="N8265" t="s">
        <v>1490</v>
      </c>
      <c r="O8265">
        <v>300</v>
      </c>
      <c r="P8265">
        <v>20190717</v>
      </c>
      <c r="Q8265" t="s">
        <v>6419</v>
      </c>
      <c r="R8265" t="s">
        <v>6486</v>
      </c>
      <c r="S8265" t="s">
        <v>6389</v>
      </c>
      <c r="T8265" t="s">
        <v>1479</v>
      </c>
    </row>
    <row r="8266" spans="1:20" x14ac:dyDescent="0.25">
      <c r="A8266">
        <v>9</v>
      </c>
      <c r="B8266">
        <v>211</v>
      </c>
      <c r="C8266" t="str">
        <f t="shared" si="1888"/>
        <v>13</v>
      </c>
      <c r="D8266">
        <v>6411</v>
      </c>
      <c r="E8266" t="str">
        <f t="shared" si="1885"/>
        <v>00</v>
      </c>
      <c r="F8266" t="str">
        <f t="shared" si="1887"/>
        <v>101</v>
      </c>
      <c r="G8266">
        <v>9</v>
      </c>
      <c r="H8266" t="str">
        <f t="shared" si="1886"/>
        <v>30</v>
      </c>
      <c r="I8266" t="str">
        <f t="shared" si="1884"/>
        <v>0</v>
      </c>
      <c r="J8266" t="str">
        <f t="shared" si="1891"/>
        <v>00</v>
      </c>
      <c r="K8266">
        <v>20190719</v>
      </c>
      <c r="L8266" t="str">
        <f t="shared" si="1889"/>
        <v>077447</v>
      </c>
      <c r="M8266" t="str">
        <f t="shared" si="1890"/>
        <v>27900</v>
      </c>
      <c r="N8266" t="s">
        <v>1490</v>
      </c>
      <c r="O8266">
        <v>100</v>
      </c>
      <c r="P8266">
        <v>20190717</v>
      </c>
      <c r="Q8266" t="s">
        <v>6419</v>
      </c>
      <c r="R8266" t="s">
        <v>6487</v>
      </c>
      <c r="S8266" t="s">
        <v>6389</v>
      </c>
      <c r="T8266" t="s">
        <v>1479</v>
      </c>
    </row>
    <row r="8267" spans="1:20" x14ac:dyDescent="0.25">
      <c r="A8267">
        <v>9</v>
      </c>
      <c r="B8267">
        <v>211</v>
      </c>
      <c r="C8267" t="str">
        <f t="shared" si="1888"/>
        <v>13</v>
      </c>
      <c r="D8267">
        <v>6411</v>
      </c>
      <c r="E8267" t="str">
        <f t="shared" si="1885"/>
        <v>00</v>
      </c>
      <c r="F8267" t="str">
        <f t="shared" si="1887"/>
        <v>101</v>
      </c>
      <c r="G8267">
        <v>9</v>
      </c>
      <c r="H8267" t="str">
        <f t="shared" si="1886"/>
        <v>30</v>
      </c>
      <c r="I8267" t="str">
        <f t="shared" si="1884"/>
        <v>0</v>
      </c>
      <c r="J8267" t="str">
        <f t="shared" si="1891"/>
        <v>00</v>
      </c>
      <c r="K8267">
        <v>20190719</v>
      </c>
      <c r="L8267" t="str">
        <f t="shared" si="1889"/>
        <v>077447</v>
      </c>
      <c r="M8267" t="str">
        <f t="shared" si="1890"/>
        <v>27900</v>
      </c>
      <c r="N8267" t="s">
        <v>1490</v>
      </c>
      <c r="O8267">
        <v>100</v>
      </c>
      <c r="P8267">
        <v>20190717</v>
      </c>
      <c r="Q8267" t="s">
        <v>6419</v>
      </c>
      <c r="R8267" t="s">
        <v>6488</v>
      </c>
      <c r="S8267" t="s">
        <v>6389</v>
      </c>
      <c r="T8267" t="s">
        <v>1479</v>
      </c>
    </row>
    <row r="8268" spans="1:20" x14ac:dyDescent="0.25">
      <c r="A8268">
        <v>9</v>
      </c>
      <c r="B8268">
        <v>211</v>
      </c>
      <c r="C8268" t="str">
        <f t="shared" si="1888"/>
        <v>13</v>
      </c>
      <c r="D8268">
        <v>6411</v>
      </c>
      <c r="E8268" t="str">
        <f t="shared" si="1885"/>
        <v>00</v>
      </c>
      <c r="F8268" t="str">
        <f t="shared" si="1887"/>
        <v>101</v>
      </c>
      <c r="G8268">
        <v>9</v>
      </c>
      <c r="H8268" t="str">
        <f t="shared" si="1886"/>
        <v>30</v>
      </c>
      <c r="I8268" t="str">
        <f t="shared" si="1884"/>
        <v>0</v>
      </c>
      <c r="J8268" t="str">
        <f t="shared" si="1891"/>
        <v>00</v>
      </c>
      <c r="K8268">
        <v>20190719</v>
      </c>
      <c r="L8268" t="str">
        <f t="shared" si="1889"/>
        <v>077447</v>
      </c>
      <c r="M8268" t="str">
        <f t="shared" si="1890"/>
        <v>27900</v>
      </c>
      <c r="N8268" t="s">
        <v>1490</v>
      </c>
      <c r="O8268">
        <v>100</v>
      </c>
      <c r="P8268">
        <v>20190717</v>
      </c>
      <c r="Q8268" t="s">
        <v>6419</v>
      </c>
      <c r="R8268" t="s">
        <v>6488</v>
      </c>
      <c r="S8268" t="s">
        <v>6389</v>
      </c>
      <c r="T8268" t="s">
        <v>1479</v>
      </c>
    </row>
    <row r="8269" spans="1:20" x14ac:dyDescent="0.25">
      <c r="A8269">
        <v>9</v>
      </c>
      <c r="B8269">
        <v>211</v>
      </c>
      <c r="C8269" t="str">
        <f t="shared" si="1888"/>
        <v>13</v>
      </c>
      <c r="D8269">
        <v>6411</v>
      </c>
      <c r="E8269" t="str">
        <f t="shared" si="1885"/>
        <v>00</v>
      </c>
      <c r="F8269" t="str">
        <f t="shared" si="1887"/>
        <v>101</v>
      </c>
      <c r="G8269">
        <v>9</v>
      </c>
      <c r="H8269" t="str">
        <f t="shared" si="1886"/>
        <v>30</v>
      </c>
      <c r="I8269" t="str">
        <f t="shared" si="1884"/>
        <v>0</v>
      </c>
      <c r="J8269" t="str">
        <f t="shared" si="1891"/>
        <v>00</v>
      </c>
      <c r="K8269">
        <v>20190719</v>
      </c>
      <c r="L8269" t="str">
        <f t="shared" si="1889"/>
        <v>077447</v>
      </c>
      <c r="M8269" t="str">
        <f t="shared" si="1890"/>
        <v>27900</v>
      </c>
      <c r="N8269" t="s">
        <v>1490</v>
      </c>
      <c r="O8269">
        <v>700</v>
      </c>
      <c r="P8269">
        <v>20190717</v>
      </c>
      <c r="Q8269" t="s">
        <v>6419</v>
      </c>
      <c r="R8269" t="s">
        <v>6489</v>
      </c>
      <c r="S8269" t="s">
        <v>6389</v>
      </c>
      <c r="T8269" t="s">
        <v>1479</v>
      </c>
    </row>
    <row r="8270" spans="1:20" x14ac:dyDescent="0.25">
      <c r="A8270">
        <v>9</v>
      </c>
      <c r="B8270">
        <v>211</v>
      </c>
      <c r="C8270" t="str">
        <f t="shared" si="1888"/>
        <v>13</v>
      </c>
      <c r="D8270">
        <v>6411</v>
      </c>
      <c r="E8270" t="str">
        <f t="shared" si="1885"/>
        <v>00</v>
      </c>
      <c r="F8270" t="str">
        <f t="shared" si="1887"/>
        <v>101</v>
      </c>
      <c r="G8270">
        <v>9</v>
      </c>
      <c r="H8270" t="str">
        <f t="shared" si="1886"/>
        <v>30</v>
      </c>
      <c r="I8270" t="str">
        <f t="shared" si="1884"/>
        <v>0</v>
      </c>
      <c r="J8270" t="str">
        <f t="shared" si="1891"/>
        <v>00</v>
      </c>
      <c r="K8270">
        <v>20190719</v>
      </c>
      <c r="L8270" t="str">
        <f t="shared" si="1889"/>
        <v>077447</v>
      </c>
      <c r="M8270" t="str">
        <f t="shared" si="1890"/>
        <v>27900</v>
      </c>
      <c r="N8270" t="s">
        <v>1490</v>
      </c>
      <c r="O8270">
        <v>300</v>
      </c>
      <c r="P8270">
        <v>20190717</v>
      </c>
      <c r="Q8270" t="s">
        <v>6419</v>
      </c>
      <c r="R8270" t="s">
        <v>6490</v>
      </c>
      <c r="S8270" t="s">
        <v>6389</v>
      </c>
      <c r="T8270" t="s">
        <v>1479</v>
      </c>
    </row>
    <row r="8271" spans="1:20" x14ac:dyDescent="0.25">
      <c r="A8271">
        <v>9</v>
      </c>
      <c r="B8271">
        <v>211</v>
      </c>
      <c r="C8271" t="str">
        <f t="shared" si="1888"/>
        <v>13</v>
      </c>
      <c r="D8271">
        <v>6411</v>
      </c>
      <c r="E8271" t="str">
        <f t="shared" si="1885"/>
        <v>00</v>
      </c>
      <c r="F8271" t="str">
        <f t="shared" si="1887"/>
        <v>101</v>
      </c>
      <c r="G8271">
        <v>9</v>
      </c>
      <c r="H8271" t="str">
        <f t="shared" si="1886"/>
        <v>30</v>
      </c>
      <c r="I8271" t="str">
        <f t="shared" si="1884"/>
        <v>0</v>
      </c>
      <c r="J8271" t="str">
        <f t="shared" si="1891"/>
        <v>00</v>
      </c>
      <c r="K8271">
        <v>20190719</v>
      </c>
      <c r="L8271" t="str">
        <f t="shared" si="1889"/>
        <v>077447</v>
      </c>
      <c r="M8271" t="str">
        <f t="shared" si="1890"/>
        <v>27900</v>
      </c>
      <c r="N8271" t="s">
        <v>1490</v>
      </c>
      <c r="O8271">
        <v>100</v>
      </c>
      <c r="P8271">
        <v>20190717</v>
      </c>
      <c r="Q8271" t="s">
        <v>6419</v>
      </c>
      <c r="R8271" t="s">
        <v>6490</v>
      </c>
      <c r="S8271" t="s">
        <v>6389</v>
      </c>
      <c r="T8271" t="s">
        <v>1479</v>
      </c>
    </row>
    <row r="8272" spans="1:20" x14ac:dyDescent="0.25">
      <c r="A8272">
        <v>9</v>
      </c>
      <c r="B8272">
        <v>211</v>
      </c>
      <c r="C8272" t="str">
        <f t="shared" si="1888"/>
        <v>13</v>
      </c>
      <c r="D8272">
        <v>6411</v>
      </c>
      <c r="E8272" t="str">
        <f t="shared" si="1885"/>
        <v>00</v>
      </c>
      <c r="F8272" t="str">
        <f t="shared" si="1887"/>
        <v>101</v>
      </c>
      <c r="G8272">
        <v>9</v>
      </c>
      <c r="H8272" t="str">
        <f t="shared" si="1886"/>
        <v>30</v>
      </c>
      <c r="I8272" t="str">
        <f t="shared" si="1884"/>
        <v>0</v>
      </c>
      <c r="J8272" t="str">
        <f t="shared" si="1891"/>
        <v>00</v>
      </c>
      <c r="K8272">
        <v>20190719</v>
      </c>
      <c r="L8272" t="str">
        <f t="shared" si="1889"/>
        <v>077447</v>
      </c>
      <c r="M8272" t="str">
        <f t="shared" si="1890"/>
        <v>27900</v>
      </c>
      <c r="N8272" t="s">
        <v>1490</v>
      </c>
      <c r="O8272">
        <v>100</v>
      </c>
      <c r="P8272">
        <v>20190717</v>
      </c>
      <c r="Q8272" t="s">
        <v>6419</v>
      </c>
      <c r="R8272" t="s">
        <v>6490</v>
      </c>
      <c r="S8272" t="s">
        <v>6389</v>
      </c>
      <c r="T8272" t="s">
        <v>1479</v>
      </c>
    </row>
    <row r="8273" spans="1:20" x14ac:dyDescent="0.25">
      <c r="A8273">
        <v>9</v>
      </c>
      <c r="B8273">
        <v>211</v>
      </c>
      <c r="C8273" t="str">
        <f t="shared" si="1888"/>
        <v>13</v>
      </c>
      <c r="D8273">
        <v>6411</v>
      </c>
      <c r="E8273" t="str">
        <f t="shared" si="1885"/>
        <v>00</v>
      </c>
      <c r="F8273" t="str">
        <f t="shared" si="1887"/>
        <v>101</v>
      </c>
      <c r="G8273">
        <v>9</v>
      </c>
      <c r="H8273" t="str">
        <f t="shared" si="1886"/>
        <v>30</v>
      </c>
      <c r="I8273" t="str">
        <f t="shared" si="1884"/>
        <v>0</v>
      </c>
      <c r="J8273" t="str">
        <f t="shared" si="1891"/>
        <v>00</v>
      </c>
      <c r="K8273">
        <v>20190719</v>
      </c>
      <c r="L8273" t="str">
        <f t="shared" si="1889"/>
        <v>077447</v>
      </c>
      <c r="M8273" t="str">
        <f t="shared" si="1890"/>
        <v>27900</v>
      </c>
      <c r="N8273" t="s">
        <v>1490</v>
      </c>
      <c r="O8273">
        <v>100</v>
      </c>
      <c r="P8273">
        <v>20190717</v>
      </c>
      <c r="Q8273" t="s">
        <v>6419</v>
      </c>
      <c r="R8273" t="s">
        <v>6491</v>
      </c>
      <c r="S8273" t="s">
        <v>6389</v>
      </c>
      <c r="T8273" t="s">
        <v>1479</v>
      </c>
    </row>
    <row r="8274" spans="1:20" x14ac:dyDescent="0.25">
      <c r="A8274">
        <v>9</v>
      </c>
      <c r="B8274">
        <v>211</v>
      </c>
      <c r="C8274" t="str">
        <f t="shared" si="1888"/>
        <v>13</v>
      </c>
      <c r="D8274">
        <v>6411</v>
      </c>
      <c r="E8274" t="str">
        <f t="shared" si="1885"/>
        <v>00</v>
      </c>
      <c r="F8274" t="str">
        <f t="shared" si="1887"/>
        <v>101</v>
      </c>
      <c r="G8274">
        <v>9</v>
      </c>
      <c r="H8274" t="str">
        <f t="shared" si="1886"/>
        <v>30</v>
      </c>
      <c r="I8274" t="str">
        <f t="shared" si="1884"/>
        <v>0</v>
      </c>
      <c r="J8274" t="str">
        <f t="shared" si="1891"/>
        <v>00</v>
      </c>
      <c r="K8274">
        <v>20190719</v>
      </c>
      <c r="L8274" t="str">
        <f t="shared" si="1889"/>
        <v>077447</v>
      </c>
      <c r="M8274" t="str">
        <f t="shared" si="1890"/>
        <v>27900</v>
      </c>
      <c r="N8274" t="s">
        <v>1490</v>
      </c>
      <c r="O8274">
        <v>100</v>
      </c>
      <c r="P8274">
        <v>20190717</v>
      </c>
      <c r="Q8274" t="s">
        <v>6419</v>
      </c>
      <c r="R8274" t="s">
        <v>6490</v>
      </c>
      <c r="S8274" t="s">
        <v>6389</v>
      </c>
      <c r="T8274" t="s">
        <v>1479</v>
      </c>
    </row>
    <row r="8275" spans="1:20" x14ac:dyDescent="0.25">
      <c r="A8275">
        <v>9</v>
      </c>
      <c r="B8275">
        <v>211</v>
      </c>
      <c r="C8275" t="str">
        <f t="shared" si="1888"/>
        <v>13</v>
      </c>
      <c r="D8275">
        <v>6411</v>
      </c>
      <c r="E8275" t="str">
        <f t="shared" si="1885"/>
        <v>00</v>
      </c>
      <c r="F8275" t="str">
        <f t="shared" si="1887"/>
        <v>101</v>
      </c>
      <c r="G8275">
        <v>9</v>
      </c>
      <c r="H8275" t="str">
        <f t="shared" si="1886"/>
        <v>30</v>
      </c>
      <c r="I8275" t="str">
        <f t="shared" si="1884"/>
        <v>0</v>
      </c>
      <c r="J8275" t="str">
        <f t="shared" si="1891"/>
        <v>00</v>
      </c>
      <c r="K8275">
        <v>20190719</v>
      </c>
      <c r="L8275" t="str">
        <f t="shared" si="1889"/>
        <v>077447</v>
      </c>
      <c r="M8275" t="str">
        <f t="shared" si="1890"/>
        <v>27900</v>
      </c>
      <c r="N8275" t="s">
        <v>1490</v>
      </c>
      <c r="O8275">
        <v>100</v>
      </c>
      <c r="P8275">
        <v>20190717</v>
      </c>
      <c r="Q8275" t="s">
        <v>6419</v>
      </c>
      <c r="R8275" t="s">
        <v>6491</v>
      </c>
      <c r="S8275" t="s">
        <v>6389</v>
      </c>
      <c r="T8275" t="s">
        <v>1479</v>
      </c>
    </row>
    <row r="8276" spans="1:20" x14ac:dyDescent="0.25">
      <c r="A8276">
        <v>9</v>
      </c>
      <c r="B8276">
        <v>211</v>
      </c>
      <c r="C8276" t="str">
        <f t="shared" si="1888"/>
        <v>13</v>
      </c>
      <c r="D8276">
        <v>6411</v>
      </c>
      <c r="E8276" t="str">
        <f t="shared" si="1885"/>
        <v>00</v>
      </c>
      <c r="F8276" t="str">
        <f t="shared" si="1887"/>
        <v>101</v>
      </c>
      <c r="G8276">
        <v>9</v>
      </c>
      <c r="H8276" t="str">
        <f t="shared" si="1886"/>
        <v>30</v>
      </c>
      <c r="I8276" t="str">
        <f t="shared" si="1884"/>
        <v>0</v>
      </c>
      <c r="J8276" t="str">
        <f t="shared" si="1891"/>
        <v>00</v>
      </c>
      <c r="K8276">
        <v>20190719</v>
      </c>
      <c r="L8276" t="str">
        <f t="shared" si="1889"/>
        <v>077447</v>
      </c>
      <c r="M8276" t="str">
        <f t="shared" si="1890"/>
        <v>27900</v>
      </c>
      <c r="N8276" t="s">
        <v>1490</v>
      </c>
      <c r="O8276">
        <v>100</v>
      </c>
      <c r="P8276">
        <v>20190717</v>
      </c>
      <c r="Q8276" t="s">
        <v>6419</v>
      </c>
      <c r="R8276" t="s">
        <v>6491</v>
      </c>
      <c r="S8276" t="s">
        <v>6389</v>
      </c>
      <c r="T8276" t="s">
        <v>1479</v>
      </c>
    </row>
    <row r="8277" spans="1:20" x14ac:dyDescent="0.25">
      <c r="A8277">
        <v>9</v>
      </c>
      <c r="B8277">
        <v>211</v>
      </c>
      <c r="C8277" t="str">
        <f t="shared" si="1888"/>
        <v>13</v>
      </c>
      <c r="D8277">
        <v>6411</v>
      </c>
      <c r="E8277" t="str">
        <f t="shared" si="1885"/>
        <v>00</v>
      </c>
      <c r="F8277" t="str">
        <f>"104"</f>
        <v>104</v>
      </c>
      <c r="G8277">
        <v>9</v>
      </c>
      <c r="H8277" t="str">
        <f t="shared" si="1886"/>
        <v>30</v>
      </c>
      <c r="I8277" t="str">
        <f t="shared" si="1884"/>
        <v>0</v>
      </c>
      <c r="J8277" t="str">
        <f t="shared" si="1891"/>
        <v>00</v>
      </c>
      <c r="K8277">
        <v>20190719</v>
      </c>
      <c r="L8277" t="str">
        <f t="shared" si="1889"/>
        <v>077447</v>
      </c>
      <c r="M8277" t="str">
        <f t="shared" si="1890"/>
        <v>27900</v>
      </c>
      <c r="N8277" t="s">
        <v>1490</v>
      </c>
      <c r="O8277" s="1">
        <v>1600</v>
      </c>
      <c r="P8277">
        <v>20190717</v>
      </c>
      <c r="Q8277" t="s">
        <v>6396</v>
      </c>
      <c r="R8277" t="s">
        <v>6492</v>
      </c>
      <c r="S8277" t="s">
        <v>6389</v>
      </c>
      <c r="T8277" t="s">
        <v>46</v>
      </c>
    </row>
    <row r="8278" spans="1:20" x14ac:dyDescent="0.25">
      <c r="A8278">
        <v>9</v>
      </c>
      <c r="B8278">
        <v>211</v>
      </c>
      <c r="C8278" t="str">
        <f t="shared" si="1888"/>
        <v>13</v>
      </c>
      <c r="D8278">
        <v>6411</v>
      </c>
      <c r="E8278" t="str">
        <f t="shared" si="1885"/>
        <v>00</v>
      </c>
      <c r="F8278" t="str">
        <f>"104"</f>
        <v>104</v>
      </c>
      <c r="G8278">
        <v>9</v>
      </c>
      <c r="H8278" t="str">
        <f t="shared" si="1886"/>
        <v>30</v>
      </c>
      <c r="I8278" t="str">
        <f t="shared" si="1884"/>
        <v>0</v>
      </c>
      <c r="J8278" t="str">
        <f t="shared" si="1891"/>
        <v>00</v>
      </c>
      <c r="K8278">
        <v>20190719</v>
      </c>
      <c r="L8278" t="str">
        <f t="shared" si="1889"/>
        <v>077447</v>
      </c>
      <c r="M8278" t="str">
        <f t="shared" si="1890"/>
        <v>27900</v>
      </c>
      <c r="N8278" t="s">
        <v>1490</v>
      </c>
      <c r="O8278">
        <v>100</v>
      </c>
      <c r="P8278">
        <v>20190717</v>
      </c>
      <c r="Q8278" t="s">
        <v>6396</v>
      </c>
      <c r="R8278" t="s">
        <v>6493</v>
      </c>
      <c r="S8278" t="s">
        <v>6389</v>
      </c>
      <c r="T8278" t="s">
        <v>46</v>
      </c>
    </row>
    <row r="8279" spans="1:20" x14ac:dyDescent="0.25">
      <c r="A8279">
        <v>9</v>
      </c>
      <c r="B8279">
        <v>211</v>
      </c>
      <c r="C8279" t="str">
        <f>"23"</f>
        <v>23</v>
      </c>
      <c r="D8279">
        <v>6411</v>
      </c>
      <c r="E8279" t="str">
        <f t="shared" si="1885"/>
        <v>00</v>
      </c>
      <c r="F8279" t="str">
        <f>"101"</f>
        <v>101</v>
      </c>
      <c r="G8279">
        <v>9</v>
      </c>
      <c r="H8279" t="str">
        <f t="shared" si="1886"/>
        <v>30</v>
      </c>
      <c r="I8279" t="str">
        <f t="shared" si="1884"/>
        <v>0</v>
      </c>
      <c r="J8279" t="str">
        <f t="shared" si="1891"/>
        <v>00</v>
      </c>
      <c r="K8279">
        <v>20190719</v>
      </c>
      <c r="L8279" t="str">
        <f t="shared" si="1889"/>
        <v>077447</v>
      </c>
      <c r="M8279" t="str">
        <f t="shared" si="1890"/>
        <v>27900</v>
      </c>
      <c r="N8279" t="s">
        <v>1490</v>
      </c>
      <c r="O8279">
        <v>400</v>
      </c>
      <c r="P8279">
        <v>20190717</v>
      </c>
      <c r="Q8279" t="s">
        <v>6435</v>
      </c>
      <c r="R8279" t="s">
        <v>6489</v>
      </c>
      <c r="S8279" t="s">
        <v>6389</v>
      </c>
      <c r="T8279" t="s">
        <v>1479</v>
      </c>
    </row>
    <row r="8280" spans="1:20" x14ac:dyDescent="0.25">
      <c r="A8280">
        <v>9</v>
      </c>
      <c r="B8280">
        <v>211</v>
      </c>
      <c r="C8280" t="str">
        <f t="shared" ref="C8280:C8288" si="1892">"11"</f>
        <v>11</v>
      </c>
      <c r="D8280">
        <v>6399</v>
      </c>
      <c r="E8280" t="str">
        <f t="shared" si="1885"/>
        <v>00</v>
      </c>
      <c r="F8280" t="str">
        <f>"101"</f>
        <v>101</v>
      </c>
      <c r="G8280">
        <v>9</v>
      </c>
      <c r="H8280" t="str">
        <f t="shared" si="1886"/>
        <v>30</v>
      </c>
      <c r="I8280" t="str">
        <f t="shared" si="1884"/>
        <v>0</v>
      </c>
      <c r="J8280" t="str">
        <f t="shared" si="1891"/>
        <v>00</v>
      </c>
      <c r="K8280">
        <v>20190719</v>
      </c>
      <c r="L8280" t="str">
        <f>"077448"</f>
        <v>077448</v>
      </c>
      <c r="M8280" t="str">
        <f>"27119"</f>
        <v>27119</v>
      </c>
      <c r="N8280" t="s">
        <v>6410</v>
      </c>
      <c r="O8280">
        <v>683.13</v>
      </c>
      <c r="P8280">
        <v>20190717</v>
      </c>
      <c r="Q8280" t="s">
        <v>6440</v>
      </c>
      <c r="R8280" t="s">
        <v>6494</v>
      </c>
      <c r="S8280" t="s">
        <v>6389</v>
      </c>
      <c r="T8280" t="s">
        <v>1479</v>
      </c>
    </row>
    <row r="8281" spans="1:20" x14ac:dyDescent="0.25">
      <c r="A8281">
        <v>9</v>
      </c>
      <c r="B8281">
        <v>211</v>
      </c>
      <c r="C8281" t="str">
        <f t="shared" si="1892"/>
        <v>11</v>
      </c>
      <c r="D8281">
        <v>6399</v>
      </c>
      <c r="E8281" t="str">
        <f t="shared" si="1885"/>
        <v>00</v>
      </c>
      <c r="F8281" t="str">
        <f>"101"</f>
        <v>101</v>
      </c>
      <c r="G8281">
        <v>9</v>
      </c>
      <c r="H8281" t="str">
        <f t="shared" si="1886"/>
        <v>30</v>
      </c>
      <c r="I8281" t="str">
        <f t="shared" si="1884"/>
        <v>0</v>
      </c>
      <c r="J8281" t="str">
        <f t="shared" si="1891"/>
        <v>00</v>
      </c>
      <c r="K8281">
        <v>20190719</v>
      </c>
      <c r="L8281" t="str">
        <f>"077448"</f>
        <v>077448</v>
      </c>
      <c r="M8281" t="str">
        <f>"27119"</f>
        <v>27119</v>
      </c>
      <c r="N8281" t="s">
        <v>6410</v>
      </c>
      <c r="O8281">
        <v>59.43</v>
      </c>
      <c r="P8281">
        <v>20190717</v>
      </c>
      <c r="Q8281" t="s">
        <v>6440</v>
      </c>
      <c r="R8281" t="s">
        <v>6495</v>
      </c>
      <c r="S8281" t="s">
        <v>6389</v>
      </c>
      <c r="T8281" t="s">
        <v>1479</v>
      </c>
    </row>
    <row r="8282" spans="1:20" x14ac:dyDescent="0.25">
      <c r="A8282">
        <v>9</v>
      </c>
      <c r="B8282">
        <v>211</v>
      </c>
      <c r="C8282" t="str">
        <f t="shared" si="1892"/>
        <v>11</v>
      </c>
      <c r="D8282">
        <v>6399</v>
      </c>
      <c r="E8282" t="str">
        <f t="shared" si="1885"/>
        <v>00</v>
      </c>
      <c r="F8282" t="str">
        <f>"101"</f>
        <v>101</v>
      </c>
      <c r="G8282">
        <v>9</v>
      </c>
      <c r="H8282" t="str">
        <f t="shared" si="1886"/>
        <v>30</v>
      </c>
      <c r="I8282" t="str">
        <f t="shared" si="1884"/>
        <v>0</v>
      </c>
      <c r="J8282" t="str">
        <f t="shared" si="1891"/>
        <v>00</v>
      </c>
      <c r="K8282">
        <v>20190719</v>
      </c>
      <c r="L8282" t="str">
        <f>"077448"</f>
        <v>077448</v>
      </c>
      <c r="M8282" t="str">
        <f>"27119"</f>
        <v>27119</v>
      </c>
      <c r="N8282" t="s">
        <v>6410</v>
      </c>
      <c r="O8282">
        <v>195.79</v>
      </c>
      <c r="P8282">
        <v>20190717</v>
      </c>
      <c r="Q8282" t="s">
        <v>6440</v>
      </c>
      <c r="R8282" t="s">
        <v>6496</v>
      </c>
      <c r="S8282" t="s">
        <v>6389</v>
      </c>
      <c r="T8282" t="s">
        <v>1479</v>
      </c>
    </row>
    <row r="8283" spans="1:20" x14ac:dyDescent="0.25">
      <c r="A8283">
        <v>9</v>
      </c>
      <c r="B8283">
        <v>211</v>
      </c>
      <c r="C8283" t="str">
        <f t="shared" si="1892"/>
        <v>11</v>
      </c>
      <c r="D8283">
        <v>6399</v>
      </c>
      <c r="E8283" t="str">
        <f t="shared" si="1885"/>
        <v>00</v>
      </c>
      <c r="F8283" t="str">
        <f>"104"</f>
        <v>104</v>
      </c>
      <c r="G8283">
        <v>9</v>
      </c>
      <c r="H8283" t="str">
        <f t="shared" si="1886"/>
        <v>30</v>
      </c>
      <c r="I8283" t="str">
        <f t="shared" si="1884"/>
        <v>0</v>
      </c>
      <c r="J8283" t="str">
        <f t="shared" si="1891"/>
        <v>00</v>
      </c>
      <c r="K8283">
        <v>20190719</v>
      </c>
      <c r="L8283" t="str">
        <f>"077456"</f>
        <v>077456</v>
      </c>
      <c r="M8283" t="str">
        <f>"60601"</f>
        <v>60601</v>
      </c>
      <c r="N8283" t="s">
        <v>1571</v>
      </c>
      <c r="O8283" s="1">
        <v>14400</v>
      </c>
      <c r="P8283">
        <v>20190718</v>
      </c>
      <c r="Q8283" t="s">
        <v>6404</v>
      </c>
      <c r="R8283" t="s">
        <v>6497</v>
      </c>
      <c r="S8283" t="s">
        <v>6389</v>
      </c>
      <c r="T8283" t="s">
        <v>46</v>
      </c>
    </row>
    <row r="8284" spans="1:20" x14ac:dyDescent="0.25">
      <c r="A8284">
        <v>9</v>
      </c>
      <c r="B8284">
        <v>211</v>
      </c>
      <c r="C8284" t="str">
        <f t="shared" si="1892"/>
        <v>11</v>
      </c>
      <c r="D8284">
        <v>6399</v>
      </c>
      <c r="E8284" t="str">
        <f t="shared" si="1885"/>
        <v>00</v>
      </c>
      <c r="F8284" t="str">
        <f>"101"</f>
        <v>101</v>
      </c>
      <c r="G8284">
        <v>9</v>
      </c>
      <c r="H8284" t="str">
        <f t="shared" si="1886"/>
        <v>30</v>
      </c>
      <c r="I8284" t="str">
        <f t="shared" si="1884"/>
        <v>0</v>
      </c>
      <c r="J8284" t="str">
        <f t="shared" si="1891"/>
        <v>00</v>
      </c>
      <c r="K8284">
        <v>20190726</v>
      </c>
      <c r="L8284" t="str">
        <f>"077490"</f>
        <v>077490</v>
      </c>
      <c r="M8284" t="str">
        <f>"20620"</f>
        <v>20620</v>
      </c>
      <c r="N8284" t="s">
        <v>6498</v>
      </c>
      <c r="O8284" s="1">
        <v>11434.8</v>
      </c>
      <c r="P8284">
        <v>20190724</v>
      </c>
      <c r="Q8284" t="s">
        <v>6440</v>
      </c>
      <c r="R8284" t="s">
        <v>1945</v>
      </c>
      <c r="S8284" t="s">
        <v>6389</v>
      </c>
      <c r="T8284" t="s">
        <v>1479</v>
      </c>
    </row>
    <row r="8285" spans="1:20" x14ac:dyDescent="0.25">
      <c r="A8285">
        <v>9</v>
      </c>
      <c r="B8285">
        <v>211</v>
      </c>
      <c r="C8285" t="str">
        <f t="shared" si="1892"/>
        <v>11</v>
      </c>
      <c r="D8285">
        <v>6399</v>
      </c>
      <c r="E8285" t="str">
        <f t="shared" si="1885"/>
        <v>00</v>
      </c>
      <c r="F8285" t="str">
        <f>"101"</f>
        <v>101</v>
      </c>
      <c r="G8285">
        <v>9</v>
      </c>
      <c r="H8285" t="str">
        <f t="shared" si="1886"/>
        <v>30</v>
      </c>
      <c r="I8285" t="str">
        <f t="shared" si="1884"/>
        <v>0</v>
      </c>
      <c r="J8285" t="str">
        <f t="shared" si="1891"/>
        <v>00</v>
      </c>
      <c r="K8285">
        <v>20190726</v>
      </c>
      <c r="L8285" t="str">
        <f>"077505"</f>
        <v>077505</v>
      </c>
      <c r="M8285" t="str">
        <f>"47540"</f>
        <v>47540</v>
      </c>
      <c r="N8285" t="s">
        <v>6499</v>
      </c>
      <c r="O8285">
        <v>450</v>
      </c>
      <c r="P8285">
        <v>20190725</v>
      </c>
      <c r="Q8285" t="s">
        <v>6440</v>
      </c>
      <c r="R8285" t="s">
        <v>6500</v>
      </c>
      <c r="S8285" t="s">
        <v>6389</v>
      </c>
      <c r="T8285" t="s">
        <v>1479</v>
      </c>
    </row>
    <row r="8286" spans="1:20" x14ac:dyDescent="0.25">
      <c r="A8286">
        <v>9</v>
      </c>
      <c r="B8286">
        <v>211</v>
      </c>
      <c r="C8286" t="str">
        <f t="shared" si="1892"/>
        <v>11</v>
      </c>
      <c r="D8286">
        <v>6399</v>
      </c>
      <c r="E8286" t="str">
        <f t="shared" si="1885"/>
        <v>00</v>
      </c>
      <c r="F8286" t="str">
        <f>"104"</f>
        <v>104</v>
      </c>
      <c r="G8286">
        <v>9</v>
      </c>
      <c r="H8286" t="str">
        <f t="shared" si="1886"/>
        <v>30</v>
      </c>
      <c r="I8286" t="str">
        <f t="shared" si="1884"/>
        <v>0</v>
      </c>
      <c r="J8286" t="str">
        <f t="shared" si="1891"/>
        <v>00</v>
      </c>
      <c r="K8286">
        <v>20190726</v>
      </c>
      <c r="L8286" t="str">
        <f>"077505"</f>
        <v>077505</v>
      </c>
      <c r="M8286" t="str">
        <f>"47540"</f>
        <v>47540</v>
      </c>
      <c r="N8286" t="s">
        <v>6499</v>
      </c>
      <c r="O8286">
        <v>450</v>
      </c>
      <c r="P8286">
        <v>20190725</v>
      </c>
      <c r="Q8286" t="s">
        <v>6404</v>
      </c>
      <c r="R8286" t="s">
        <v>6500</v>
      </c>
      <c r="S8286" t="s">
        <v>6389</v>
      </c>
      <c r="T8286" t="s">
        <v>46</v>
      </c>
    </row>
    <row r="8287" spans="1:20" x14ac:dyDescent="0.25">
      <c r="A8287">
        <v>9</v>
      </c>
      <c r="B8287">
        <v>211</v>
      </c>
      <c r="C8287" t="str">
        <f t="shared" si="1892"/>
        <v>11</v>
      </c>
      <c r="D8287">
        <v>6399</v>
      </c>
      <c r="E8287" t="str">
        <f t="shared" si="1885"/>
        <v>00</v>
      </c>
      <c r="F8287" t="str">
        <f t="shared" ref="F8287:F8293" si="1893">"101"</f>
        <v>101</v>
      </c>
      <c r="G8287">
        <v>9</v>
      </c>
      <c r="H8287" t="str">
        <f t="shared" si="1886"/>
        <v>30</v>
      </c>
      <c r="I8287" t="str">
        <f t="shared" si="1884"/>
        <v>0</v>
      </c>
      <c r="J8287" t="str">
        <f t="shared" si="1891"/>
        <v>00</v>
      </c>
      <c r="K8287">
        <v>20190809</v>
      </c>
      <c r="L8287" t="str">
        <f>"077568"</f>
        <v>077568</v>
      </c>
      <c r="M8287" t="str">
        <f>"04410"</f>
        <v>04410</v>
      </c>
      <c r="N8287" t="s">
        <v>410</v>
      </c>
      <c r="O8287">
        <v>448.63</v>
      </c>
      <c r="P8287">
        <v>20190806</v>
      </c>
      <c r="Q8287" t="s">
        <v>6440</v>
      </c>
      <c r="R8287" t="s">
        <v>4760</v>
      </c>
      <c r="S8287" t="s">
        <v>6389</v>
      </c>
      <c r="T8287" t="s">
        <v>1479</v>
      </c>
    </row>
    <row r="8288" spans="1:20" x14ac:dyDescent="0.25">
      <c r="A8288">
        <v>9</v>
      </c>
      <c r="B8288">
        <v>211</v>
      </c>
      <c r="C8288" t="str">
        <f t="shared" si="1892"/>
        <v>11</v>
      </c>
      <c r="D8288">
        <v>6399</v>
      </c>
      <c r="E8288" t="str">
        <f t="shared" si="1885"/>
        <v>00</v>
      </c>
      <c r="F8288" t="str">
        <f t="shared" si="1893"/>
        <v>101</v>
      </c>
      <c r="G8288">
        <v>9</v>
      </c>
      <c r="H8288" t="str">
        <f t="shared" si="1886"/>
        <v>30</v>
      </c>
      <c r="I8288" t="str">
        <f t="shared" si="1884"/>
        <v>0</v>
      </c>
      <c r="J8288" t="str">
        <f t="shared" si="1891"/>
        <v>00</v>
      </c>
      <c r="K8288">
        <v>20190809</v>
      </c>
      <c r="L8288" t="str">
        <f>"077568"</f>
        <v>077568</v>
      </c>
      <c r="M8288" t="str">
        <f>"04410"</f>
        <v>04410</v>
      </c>
      <c r="N8288" t="s">
        <v>410</v>
      </c>
      <c r="O8288">
        <v>132.93</v>
      </c>
      <c r="P8288">
        <v>20190806</v>
      </c>
      <c r="Q8288" t="s">
        <v>6440</v>
      </c>
      <c r="R8288" t="s">
        <v>6501</v>
      </c>
      <c r="S8288" t="s">
        <v>6389</v>
      </c>
      <c r="T8288" t="s">
        <v>1479</v>
      </c>
    </row>
    <row r="8289" spans="1:20" x14ac:dyDescent="0.25">
      <c r="A8289">
        <v>9</v>
      </c>
      <c r="B8289">
        <v>211</v>
      </c>
      <c r="C8289" t="str">
        <f>"13"</f>
        <v>13</v>
      </c>
      <c r="D8289">
        <v>6411</v>
      </c>
      <c r="E8289" t="str">
        <f t="shared" ref="E8289:E8300" si="1894">"00"</f>
        <v>00</v>
      </c>
      <c r="F8289" t="str">
        <f t="shared" si="1893"/>
        <v>101</v>
      </c>
      <c r="G8289">
        <v>9</v>
      </c>
      <c r="H8289" t="str">
        <f t="shared" ref="H8289:H8300" si="1895">"30"</f>
        <v>30</v>
      </c>
      <c r="I8289" t="str">
        <f t="shared" si="1884"/>
        <v>0</v>
      </c>
      <c r="J8289" t="str">
        <f t="shared" si="1891"/>
        <v>00</v>
      </c>
      <c r="K8289">
        <v>20190809</v>
      </c>
      <c r="L8289" t="str">
        <f>"077601"</f>
        <v>077601</v>
      </c>
      <c r="M8289" t="str">
        <f>"27900"</f>
        <v>27900</v>
      </c>
      <c r="N8289" t="s">
        <v>1490</v>
      </c>
      <c r="O8289">
        <v>200</v>
      </c>
      <c r="P8289">
        <v>20190807</v>
      </c>
      <c r="Q8289" t="s">
        <v>6419</v>
      </c>
      <c r="R8289" t="s">
        <v>6502</v>
      </c>
      <c r="S8289" t="s">
        <v>6389</v>
      </c>
      <c r="T8289" t="s">
        <v>1479</v>
      </c>
    </row>
    <row r="8290" spans="1:20" x14ac:dyDescent="0.25">
      <c r="A8290">
        <v>9</v>
      </c>
      <c r="B8290">
        <v>211</v>
      </c>
      <c r="C8290" t="str">
        <f>"11"</f>
        <v>11</v>
      </c>
      <c r="D8290">
        <v>6399</v>
      </c>
      <c r="E8290" t="str">
        <f t="shared" si="1894"/>
        <v>00</v>
      </c>
      <c r="F8290" t="str">
        <f t="shared" si="1893"/>
        <v>101</v>
      </c>
      <c r="G8290">
        <v>9</v>
      </c>
      <c r="H8290" t="str">
        <f t="shared" si="1895"/>
        <v>30</v>
      </c>
      <c r="I8290" t="str">
        <f t="shared" si="1884"/>
        <v>0</v>
      </c>
      <c r="J8290" t="str">
        <f t="shared" si="1891"/>
        <v>00</v>
      </c>
      <c r="K8290">
        <v>20190809</v>
      </c>
      <c r="L8290" t="str">
        <f>"077633"</f>
        <v>077633</v>
      </c>
      <c r="M8290" t="str">
        <f>"46850"</f>
        <v>46850</v>
      </c>
      <c r="N8290" t="s">
        <v>4752</v>
      </c>
      <c r="O8290" s="1">
        <v>3556.77</v>
      </c>
      <c r="P8290">
        <v>20190807</v>
      </c>
      <c r="Q8290" t="s">
        <v>6440</v>
      </c>
      <c r="R8290" t="s">
        <v>6423</v>
      </c>
      <c r="S8290" t="s">
        <v>6389</v>
      </c>
      <c r="T8290" t="s">
        <v>1479</v>
      </c>
    </row>
    <row r="8291" spans="1:20" x14ac:dyDescent="0.25">
      <c r="A8291">
        <v>9</v>
      </c>
      <c r="B8291">
        <v>211</v>
      </c>
      <c r="C8291" t="str">
        <f>"23"</f>
        <v>23</v>
      </c>
      <c r="D8291">
        <v>6411</v>
      </c>
      <c r="E8291" t="str">
        <f t="shared" si="1894"/>
        <v>00</v>
      </c>
      <c r="F8291" t="str">
        <f t="shared" si="1893"/>
        <v>101</v>
      </c>
      <c r="G8291">
        <v>9</v>
      </c>
      <c r="H8291" t="str">
        <f t="shared" si="1895"/>
        <v>30</v>
      </c>
      <c r="I8291" t="str">
        <f t="shared" si="1884"/>
        <v>0</v>
      </c>
      <c r="J8291" t="str">
        <f t="shared" si="1891"/>
        <v>00</v>
      </c>
      <c r="K8291">
        <v>20190809</v>
      </c>
      <c r="L8291" t="str">
        <f>"077652"</f>
        <v>077652</v>
      </c>
      <c r="M8291" t="str">
        <f>"60610"</f>
        <v>60610</v>
      </c>
      <c r="N8291" t="s">
        <v>3051</v>
      </c>
      <c r="O8291">
        <v>108</v>
      </c>
      <c r="P8291">
        <v>20190807</v>
      </c>
      <c r="Q8291" t="s">
        <v>6435</v>
      </c>
      <c r="R8291" t="s">
        <v>6436</v>
      </c>
      <c r="S8291" t="s">
        <v>6389</v>
      </c>
      <c r="T8291" t="s">
        <v>1479</v>
      </c>
    </row>
    <row r="8292" spans="1:20" x14ac:dyDescent="0.25">
      <c r="A8292">
        <v>9</v>
      </c>
      <c r="B8292">
        <v>211</v>
      </c>
      <c r="C8292" t="str">
        <f>"23"</f>
        <v>23</v>
      </c>
      <c r="D8292">
        <v>6411</v>
      </c>
      <c r="E8292" t="str">
        <f t="shared" si="1894"/>
        <v>00</v>
      </c>
      <c r="F8292" t="str">
        <f t="shared" si="1893"/>
        <v>101</v>
      </c>
      <c r="G8292">
        <v>9</v>
      </c>
      <c r="H8292" t="str">
        <f t="shared" si="1895"/>
        <v>30</v>
      </c>
      <c r="I8292" t="str">
        <f t="shared" si="1884"/>
        <v>0</v>
      </c>
      <c r="J8292" t="str">
        <f t="shared" si="1891"/>
        <v>00</v>
      </c>
      <c r="K8292">
        <v>20190809</v>
      </c>
      <c r="L8292" t="str">
        <f>"077671"</f>
        <v>077671</v>
      </c>
      <c r="M8292" t="str">
        <f>"80561"</f>
        <v>80561</v>
      </c>
      <c r="N8292" t="s">
        <v>5990</v>
      </c>
      <c r="O8292">
        <v>174.91</v>
      </c>
      <c r="P8292">
        <v>20190807</v>
      </c>
      <c r="Q8292" t="s">
        <v>6435</v>
      </c>
      <c r="R8292" t="s">
        <v>6436</v>
      </c>
      <c r="S8292" t="s">
        <v>6389</v>
      </c>
      <c r="T8292" t="s">
        <v>1479</v>
      </c>
    </row>
    <row r="8293" spans="1:20" x14ac:dyDescent="0.25">
      <c r="A8293">
        <v>9</v>
      </c>
      <c r="B8293">
        <v>211</v>
      </c>
      <c r="C8293" t="str">
        <f>"11"</f>
        <v>11</v>
      </c>
      <c r="D8293">
        <v>6399</v>
      </c>
      <c r="E8293" t="str">
        <f t="shared" si="1894"/>
        <v>00</v>
      </c>
      <c r="F8293" t="str">
        <f t="shared" si="1893"/>
        <v>101</v>
      </c>
      <c r="G8293">
        <v>9</v>
      </c>
      <c r="H8293" t="str">
        <f t="shared" si="1895"/>
        <v>30</v>
      </c>
      <c r="I8293" t="str">
        <f t="shared" si="1884"/>
        <v>0</v>
      </c>
      <c r="J8293" t="str">
        <f t="shared" si="1891"/>
        <v>00</v>
      </c>
      <c r="K8293">
        <v>20190816</v>
      </c>
      <c r="L8293" t="str">
        <f>"077680"</f>
        <v>077680</v>
      </c>
      <c r="M8293" t="str">
        <f>"04410"</f>
        <v>04410</v>
      </c>
      <c r="N8293" t="s">
        <v>410</v>
      </c>
      <c r="O8293" s="1">
        <v>1030.82</v>
      </c>
      <c r="P8293">
        <v>20190815</v>
      </c>
      <c r="Q8293" t="s">
        <v>6440</v>
      </c>
      <c r="R8293" t="s">
        <v>6503</v>
      </c>
      <c r="S8293" t="s">
        <v>6389</v>
      </c>
      <c r="T8293" t="s">
        <v>1479</v>
      </c>
    </row>
    <row r="8294" spans="1:20" x14ac:dyDescent="0.25">
      <c r="A8294">
        <v>9</v>
      </c>
      <c r="B8294">
        <v>211</v>
      </c>
      <c r="C8294" t="str">
        <f>"21"</f>
        <v>21</v>
      </c>
      <c r="D8294">
        <v>6411</v>
      </c>
      <c r="E8294" t="str">
        <f t="shared" si="1894"/>
        <v>00</v>
      </c>
      <c r="F8294" t="str">
        <f>"871"</f>
        <v>871</v>
      </c>
      <c r="G8294">
        <v>9</v>
      </c>
      <c r="H8294" t="str">
        <f t="shared" si="1895"/>
        <v>30</v>
      </c>
      <c r="I8294" t="str">
        <f t="shared" si="1884"/>
        <v>0</v>
      </c>
      <c r="J8294" t="str">
        <f t="shared" si="1891"/>
        <v>00</v>
      </c>
      <c r="K8294">
        <v>20190816</v>
      </c>
      <c r="L8294" t="str">
        <f>"077684"</f>
        <v>077684</v>
      </c>
      <c r="M8294" t="str">
        <f>"10052"</f>
        <v>10052</v>
      </c>
      <c r="N8294" t="s">
        <v>6504</v>
      </c>
      <c r="O8294">
        <v>263.55</v>
      </c>
      <c r="P8294">
        <v>20190815</v>
      </c>
      <c r="Q8294" t="s">
        <v>6421</v>
      </c>
      <c r="R8294" t="s">
        <v>6221</v>
      </c>
      <c r="S8294" t="s">
        <v>6389</v>
      </c>
      <c r="T8294" t="s">
        <v>1932</v>
      </c>
    </row>
    <row r="8295" spans="1:20" x14ac:dyDescent="0.25">
      <c r="A8295">
        <v>9</v>
      </c>
      <c r="B8295">
        <v>211</v>
      </c>
      <c r="C8295" t="str">
        <f>"21"</f>
        <v>21</v>
      </c>
      <c r="D8295">
        <v>6411</v>
      </c>
      <c r="E8295" t="str">
        <f t="shared" si="1894"/>
        <v>00</v>
      </c>
      <c r="F8295" t="str">
        <f>"871"</f>
        <v>871</v>
      </c>
      <c r="G8295">
        <v>9</v>
      </c>
      <c r="H8295" t="str">
        <f t="shared" si="1895"/>
        <v>30</v>
      </c>
      <c r="I8295" t="str">
        <f t="shared" si="1884"/>
        <v>0</v>
      </c>
      <c r="J8295" t="str">
        <f t="shared" si="1891"/>
        <v>00</v>
      </c>
      <c r="K8295">
        <v>20190816</v>
      </c>
      <c r="L8295" t="str">
        <f>"077694"</f>
        <v>077694</v>
      </c>
      <c r="M8295" t="str">
        <f>"24650"</f>
        <v>24650</v>
      </c>
      <c r="N8295" t="s">
        <v>3642</v>
      </c>
      <c r="O8295">
        <v>271.62</v>
      </c>
      <c r="P8295">
        <v>20190814</v>
      </c>
      <c r="Q8295" t="s">
        <v>6421</v>
      </c>
      <c r="R8295" t="s">
        <v>6221</v>
      </c>
      <c r="S8295" t="s">
        <v>6389</v>
      </c>
      <c r="T8295" t="s">
        <v>1932</v>
      </c>
    </row>
    <row r="8296" spans="1:20" x14ac:dyDescent="0.25">
      <c r="A8296">
        <v>9</v>
      </c>
      <c r="B8296">
        <v>211</v>
      </c>
      <c r="C8296" t="str">
        <f>"11"</f>
        <v>11</v>
      </c>
      <c r="D8296">
        <v>6399</v>
      </c>
      <c r="E8296" t="str">
        <f t="shared" si="1894"/>
        <v>00</v>
      </c>
      <c r="F8296" t="str">
        <f>"101"</f>
        <v>101</v>
      </c>
      <c r="G8296">
        <v>9</v>
      </c>
      <c r="H8296" t="str">
        <f t="shared" si="1895"/>
        <v>30</v>
      </c>
      <c r="I8296" t="str">
        <f t="shared" si="1884"/>
        <v>0</v>
      </c>
      <c r="J8296" t="str">
        <f t="shared" ref="J8296:J8304" si="1896">"00"</f>
        <v>00</v>
      </c>
      <c r="K8296">
        <v>20190816</v>
      </c>
      <c r="L8296" t="str">
        <f>"077700"</f>
        <v>077700</v>
      </c>
      <c r="M8296" t="str">
        <f>"30622"</f>
        <v>30622</v>
      </c>
      <c r="N8296" t="s">
        <v>6478</v>
      </c>
      <c r="O8296" s="1">
        <v>3519.98</v>
      </c>
      <c r="P8296">
        <v>20190814</v>
      </c>
      <c r="Q8296" t="s">
        <v>6440</v>
      </c>
      <c r="R8296" t="s">
        <v>6505</v>
      </c>
      <c r="S8296" t="s">
        <v>6389</v>
      </c>
      <c r="T8296" t="s">
        <v>1479</v>
      </c>
    </row>
    <row r="8297" spans="1:20" x14ac:dyDescent="0.25">
      <c r="A8297">
        <v>9</v>
      </c>
      <c r="B8297">
        <v>211</v>
      </c>
      <c r="C8297" t="str">
        <f>"21"</f>
        <v>21</v>
      </c>
      <c r="D8297">
        <v>6411</v>
      </c>
      <c r="E8297" t="str">
        <f t="shared" si="1894"/>
        <v>00</v>
      </c>
      <c r="F8297" t="str">
        <f>"871"</f>
        <v>871</v>
      </c>
      <c r="G8297">
        <v>9</v>
      </c>
      <c r="H8297" t="str">
        <f t="shared" si="1895"/>
        <v>30</v>
      </c>
      <c r="I8297" t="str">
        <f t="shared" si="1884"/>
        <v>0</v>
      </c>
      <c r="J8297" t="str">
        <f t="shared" si="1896"/>
        <v>00</v>
      </c>
      <c r="K8297">
        <v>20190816</v>
      </c>
      <c r="L8297" t="str">
        <f>"077703"</f>
        <v>077703</v>
      </c>
      <c r="M8297" t="str">
        <f>"00874"</f>
        <v>00874</v>
      </c>
      <c r="N8297" t="s">
        <v>6506</v>
      </c>
      <c r="O8297">
        <v>53.46</v>
      </c>
      <c r="P8297">
        <v>20190815</v>
      </c>
      <c r="Q8297" t="s">
        <v>6421</v>
      </c>
      <c r="R8297" t="s">
        <v>6221</v>
      </c>
      <c r="S8297" t="s">
        <v>6389</v>
      </c>
      <c r="T8297" t="s">
        <v>1932</v>
      </c>
    </row>
    <row r="8298" spans="1:20" x14ac:dyDescent="0.25">
      <c r="A8298">
        <v>9</v>
      </c>
      <c r="B8298">
        <v>211</v>
      </c>
      <c r="C8298" t="str">
        <f>"21"</f>
        <v>21</v>
      </c>
      <c r="D8298">
        <v>6411</v>
      </c>
      <c r="E8298" t="str">
        <f t="shared" si="1894"/>
        <v>00</v>
      </c>
      <c r="F8298" t="str">
        <f>"871"</f>
        <v>871</v>
      </c>
      <c r="G8298">
        <v>9</v>
      </c>
      <c r="H8298" t="str">
        <f t="shared" si="1895"/>
        <v>30</v>
      </c>
      <c r="I8298" t="str">
        <f t="shared" si="1884"/>
        <v>0</v>
      </c>
      <c r="J8298" t="str">
        <f t="shared" si="1896"/>
        <v>00</v>
      </c>
      <c r="K8298">
        <v>20190823</v>
      </c>
      <c r="L8298" t="str">
        <f>"077775"</f>
        <v>077775</v>
      </c>
      <c r="M8298" t="str">
        <f>"27906"</f>
        <v>27906</v>
      </c>
      <c r="N8298" t="s">
        <v>1490</v>
      </c>
      <c r="O8298" s="1">
        <v>1995</v>
      </c>
      <c r="P8298">
        <v>20190821</v>
      </c>
      <c r="Q8298" t="s">
        <v>6421</v>
      </c>
      <c r="R8298" t="s">
        <v>6221</v>
      </c>
      <c r="S8298" t="s">
        <v>6389</v>
      </c>
      <c r="T8298" t="s">
        <v>1932</v>
      </c>
    </row>
    <row r="8299" spans="1:20" x14ac:dyDescent="0.25">
      <c r="A8299">
        <v>9</v>
      </c>
      <c r="B8299">
        <v>211</v>
      </c>
      <c r="C8299" t="str">
        <f>"61"</f>
        <v>61</v>
      </c>
      <c r="D8299">
        <v>6399</v>
      </c>
      <c r="E8299" t="str">
        <f t="shared" si="1894"/>
        <v>00</v>
      </c>
      <c r="F8299" t="str">
        <f>"101"</f>
        <v>101</v>
      </c>
      <c r="G8299">
        <v>9</v>
      </c>
      <c r="H8299" t="str">
        <f t="shared" si="1895"/>
        <v>30</v>
      </c>
      <c r="I8299" t="str">
        <f t="shared" si="1884"/>
        <v>0</v>
      </c>
      <c r="J8299" t="str">
        <f t="shared" si="1896"/>
        <v>00</v>
      </c>
      <c r="K8299">
        <v>20190823</v>
      </c>
      <c r="L8299" t="str">
        <f>"077824"</f>
        <v>077824</v>
      </c>
      <c r="M8299" t="str">
        <f>"81303"</f>
        <v>81303</v>
      </c>
      <c r="N8299" t="s">
        <v>66</v>
      </c>
      <c r="O8299">
        <v>130</v>
      </c>
      <c r="P8299">
        <v>20190821</v>
      </c>
      <c r="Q8299" t="s">
        <v>6464</v>
      </c>
      <c r="R8299" t="s">
        <v>6507</v>
      </c>
      <c r="S8299" t="s">
        <v>6389</v>
      </c>
      <c r="T8299" t="s">
        <v>1479</v>
      </c>
    </row>
    <row r="8300" spans="1:20" x14ac:dyDescent="0.25">
      <c r="A8300">
        <v>9</v>
      </c>
      <c r="B8300">
        <v>211</v>
      </c>
      <c r="C8300" t="str">
        <f>"61"</f>
        <v>61</v>
      </c>
      <c r="D8300">
        <v>6399</v>
      </c>
      <c r="E8300" t="str">
        <f t="shared" si="1894"/>
        <v>00</v>
      </c>
      <c r="F8300" t="str">
        <f>"101"</f>
        <v>101</v>
      </c>
      <c r="G8300">
        <v>9</v>
      </c>
      <c r="H8300" t="str">
        <f t="shared" si="1895"/>
        <v>30</v>
      </c>
      <c r="I8300" t="str">
        <f t="shared" si="1884"/>
        <v>0</v>
      </c>
      <c r="J8300" t="str">
        <f t="shared" si="1896"/>
        <v>00</v>
      </c>
      <c r="K8300">
        <v>20190823</v>
      </c>
      <c r="L8300" t="str">
        <f>"077824"</f>
        <v>077824</v>
      </c>
      <c r="M8300" t="str">
        <f>"81303"</f>
        <v>81303</v>
      </c>
      <c r="N8300" t="s">
        <v>66</v>
      </c>
      <c r="O8300">
        <v>160</v>
      </c>
      <c r="P8300">
        <v>20190821</v>
      </c>
      <c r="Q8300" t="s">
        <v>6464</v>
      </c>
      <c r="R8300" t="s">
        <v>6507</v>
      </c>
      <c r="S8300" t="s">
        <v>6389</v>
      </c>
      <c r="T8300" t="s">
        <v>1479</v>
      </c>
    </row>
    <row r="8301" spans="1:20" x14ac:dyDescent="0.25">
      <c r="A8301">
        <v>9</v>
      </c>
      <c r="B8301">
        <v>224</v>
      </c>
      <c r="C8301" t="str">
        <f>"00"</f>
        <v>00</v>
      </c>
      <c r="D8301">
        <v>2110</v>
      </c>
      <c r="E8301" t="str">
        <f>"18"</f>
        <v>18</v>
      </c>
      <c r="F8301" t="str">
        <f>"000"</f>
        <v>000</v>
      </c>
      <c r="G8301">
        <v>9</v>
      </c>
      <c r="H8301" t="str">
        <f>"00"</f>
        <v>00</v>
      </c>
      <c r="I8301" t="str">
        <f t="shared" si="1884"/>
        <v>0</v>
      </c>
      <c r="J8301" t="str">
        <f t="shared" si="1896"/>
        <v>00</v>
      </c>
      <c r="K8301">
        <v>20180914</v>
      </c>
      <c r="L8301" t="str">
        <f>"073795"</f>
        <v>073795</v>
      </c>
      <c r="M8301" t="str">
        <f>"49997"</f>
        <v>49997</v>
      </c>
      <c r="N8301" t="s">
        <v>6508</v>
      </c>
      <c r="O8301" s="1">
        <v>1195</v>
      </c>
      <c r="P8301">
        <v>20180913</v>
      </c>
      <c r="Q8301" t="s">
        <v>6509</v>
      </c>
      <c r="R8301" t="s">
        <v>6510</v>
      </c>
      <c r="S8301" t="s">
        <v>6511</v>
      </c>
      <c r="T8301" t="s">
        <v>296</v>
      </c>
    </row>
    <row r="8302" spans="1:20" x14ac:dyDescent="0.25">
      <c r="A8302">
        <v>9</v>
      </c>
      <c r="B8302">
        <v>224</v>
      </c>
      <c r="C8302" t="str">
        <f>"00"</f>
        <v>00</v>
      </c>
      <c r="D8302">
        <v>2110</v>
      </c>
      <c r="E8302" t="str">
        <f>"18"</f>
        <v>18</v>
      </c>
      <c r="F8302" t="str">
        <f>"000"</f>
        <v>000</v>
      </c>
      <c r="G8302">
        <v>9</v>
      </c>
      <c r="H8302" t="str">
        <f>"00"</f>
        <v>00</v>
      </c>
      <c r="I8302" t="str">
        <f t="shared" si="1884"/>
        <v>0</v>
      </c>
      <c r="J8302" t="str">
        <f t="shared" si="1896"/>
        <v>00</v>
      </c>
      <c r="K8302">
        <v>20180921</v>
      </c>
      <c r="L8302" t="str">
        <f>"073842"</f>
        <v>073842</v>
      </c>
      <c r="M8302" t="str">
        <f>"21769"</f>
        <v>21769</v>
      </c>
      <c r="N8302" t="s">
        <v>1701</v>
      </c>
      <c r="O8302" s="1">
        <v>3765.2</v>
      </c>
      <c r="P8302">
        <v>20180920</v>
      </c>
      <c r="Q8302" t="s">
        <v>6509</v>
      </c>
      <c r="R8302" t="s">
        <v>1702</v>
      </c>
      <c r="S8302" t="s">
        <v>6511</v>
      </c>
      <c r="T8302" t="s">
        <v>296</v>
      </c>
    </row>
    <row r="8303" spans="1:20" x14ac:dyDescent="0.25">
      <c r="A8303">
        <v>9</v>
      </c>
      <c r="B8303">
        <v>224</v>
      </c>
      <c r="C8303" t="str">
        <f>"00"</f>
        <v>00</v>
      </c>
      <c r="D8303">
        <v>2110</v>
      </c>
      <c r="E8303" t="str">
        <f>"18"</f>
        <v>18</v>
      </c>
      <c r="F8303" t="str">
        <f>"000"</f>
        <v>000</v>
      </c>
      <c r="G8303">
        <v>9</v>
      </c>
      <c r="H8303" t="str">
        <f>"00"</f>
        <v>00</v>
      </c>
      <c r="I8303" t="str">
        <f t="shared" si="1884"/>
        <v>0</v>
      </c>
      <c r="J8303" t="str">
        <f t="shared" si="1896"/>
        <v>00</v>
      </c>
      <c r="K8303">
        <v>20180921</v>
      </c>
      <c r="L8303" t="str">
        <f>"073893"</f>
        <v>073893</v>
      </c>
      <c r="M8303" t="str">
        <f>"54495"</f>
        <v>54495</v>
      </c>
      <c r="N8303" t="s">
        <v>2102</v>
      </c>
      <c r="O8303">
        <v>150</v>
      </c>
      <c r="P8303">
        <v>20180921</v>
      </c>
      <c r="Q8303" t="s">
        <v>6509</v>
      </c>
      <c r="R8303" t="s">
        <v>6512</v>
      </c>
      <c r="S8303" t="s">
        <v>6511</v>
      </c>
      <c r="T8303" t="s">
        <v>296</v>
      </c>
    </row>
    <row r="8304" spans="1:20" x14ac:dyDescent="0.25">
      <c r="A8304">
        <v>9</v>
      </c>
      <c r="B8304">
        <v>224</v>
      </c>
      <c r="C8304" t="str">
        <f>"31"</f>
        <v>31</v>
      </c>
      <c r="D8304">
        <v>6219</v>
      </c>
      <c r="E8304" t="str">
        <f>"00"</f>
        <v>00</v>
      </c>
      <c r="F8304" t="str">
        <f>"875"</f>
        <v>875</v>
      </c>
      <c r="G8304">
        <v>9</v>
      </c>
      <c r="H8304" t="str">
        <f t="shared" ref="H8304:H8367" si="1897">"23"</f>
        <v>23</v>
      </c>
      <c r="I8304" t="str">
        <f t="shared" si="1884"/>
        <v>0</v>
      </c>
      <c r="J8304" t="str">
        <f t="shared" si="1896"/>
        <v>00</v>
      </c>
      <c r="K8304">
        <v>20181012</v>
      </c>
      <c r="L8304" t="str">
        <f>"074282"</f>
        <v>074282</v>
      </c>
      <c r="M8304" t="str">
        <f>"49997"</f>
        <v>49997</v>
      </c>
      <c r="N8304" t="s">
        <v>6508</v>
      </c>
      <c r="O8304">
        <v>835</v>
      </c>
      <c r="P8304">
        <v>20181011</v>
      </c>
      <c r="Q8304" t="s">
        <v>6513</v>
      </c>
      <c r="R8304" t="s">
        <v>6514</v>
      </c>
      <c r="S8304" t="s">
        <v>6511</v>
      </c>
      <c r="T8304" t="s">
        <v>2041</v>
      </c>
    </row>
    <row r="8305" spans="1:20" x14ac:dyDescent="0.25">
      <c r="A8305">
        <v>9</v>
      </c>
      <c r="B8305">
        <v>224</v>
      </c>
      <c r="C8305" t="str">
        <f>"21"</f>
        <v>21</v>
      </c>
      <c r="D8305">
        <v>6411</v>
      </c>
      <c r="E8305" t="str">
        <f>"SH"</f>
        <v>SH</v>
      </c>
      <c r="F8305" t="str">
        <f>"878"</f>
        <v>878</v>
      </c>
      <c r="G8305">
        <v>9</v>
      </c>
      <c r="H8305" t="str">
        <f t="shared" si="1897"/>
        <v>23</v>
      </c>
      <c r="I8305" t="str">
        <f t="shared" si="1884"/>
        <v>0</v>
      </c>
      <c r="J8305" t="str">
        <f>"18"</f>
        <v>18</v>
      </c>
      <c r="K8305">
        <v>20181019</v>
      </c>
      <c r="L8305" t="str">
        <f>"074364"</f>
        <v>074364</v>
      </c>
      <c r="M8305" t="str">
        <f>"26389"</f>
        <v>26389</v>
      </c>
      <c r="N8305" t="s">
        <v>305</v>
      </c>
      <c r="O8305">
        <v>238.71</v>
      </c>
      <c r="P8305">
        <v>20181018</v>
      </c>
      <c r="Q8305" t="s">
        <v>6515</v>
      </c>
      <c r="R8305" t="s">
        <v>6516</v>
      </c>
      <c r="S8305" t="s">
        <v>6511</v>
      </c>
      <c r="T8305" t="s">
        <v>4465</v>
      </c>
    </row>
    <row r="8306" spans="1:20" x14ac:dyDescent="0.25">
      <c r="A8306">
        <v>9</v>
      </c>
      <c r="B8306">
        <v>224</v>
      </c>
      <c r="C8306" t="str">
        <f>"21"</f>
        <v>21</v>
      </c>
      <c r="D8306">
        <v>6411</v>
      </c>
      <c r="E8306" t="str">
        <f>"SH"</f>
        <v>SH</v>
      </c>
      <c r="F8306" t="str">
        <f>"878"</f>
        <v>878</v>
      </c>
      <c r="G8306">
        <v>9</v>
      </c>
      <c r="H8306" t="str">
        <f t="shared" si="1897"/>
        <v>23</v>
      </c>
      <c r="I8306" t="str">
        <f t="shared" si="1884"/>
        <v>0</v>
      </c>
      <c r="J8306" t="str">
        <f>"18"</f>
        <v>18</v>
      </c>
      <c r="K8306">
        <v>20190115</v>
      </c>
      <c r="L8306" t="str">
        <f>"074364"</f>
        <v>074364</v>
      </c>
      <c r="M8306" t="str">
        <f>"26389"</f>
        <v>26389</v>
      </c>
      <c r="N8306" t="s">
        <v>305</v>
      </c>
      <c r="O8306">
        <v>-238.71</v>
      </c>
      <c r="P8306">
        <v>20190115</v>
      </c>
      <c r="Q8306" t="s">
        <v>6515</v>
      </c>
      <c r="R8306" t="s">
        <v>138</v>
      </c>
      <c r="S8306" t="s">
        <v>6511</v>
      </c>
      <c r="T8306" t="s">
        <v>4465</v>
      </c>
    </row>
    <row r="8307" spans="1:20" x14ac:dyDescent="0.25">
      <c r="A8307">
        <v>9</v>
      </c>
      <c r="B8307">
        <v>224</v>
      </c>
      <c r="C8307" t="str">
        <f>"11"</f>
        <v>11</v>
      </c>
      <c r="D8307">
        <v>6399</v>
      </c>
      <c r="E8307" t="str">
        <f t="shared" ref="E8307:E8313" si="1898">"00"</f>
        <v>00</v>
      </c>
      <c r="F8307" t="str">
        <f>"001"</f>
        <v>001</v>
      </c>
      <c r="G8307">
        <v>9</v>
      </c>
      <c r="H8307" t="str">
        <f t="shared" si="1897"/>
        <v>23</v>
      </c>
      <c r="I8307" t="str">
        <f t="shared" si="1884"/>
        <v>0</v>
      </c>
      <c r="J8307" t="str">
        <f>"00"</f>
        <v>00</v>
      </c>
      <c r="K8307">
        <v>20181102</v>
      </c>
      <c r="L8307" t="str">
        <f>"074494"</f>
        <v>074494</v>
      </c>
      <c r="M8307" t="str">
        <f>"25862"</f>
        <v>25862</v>
      </c>
      <c r="N8307" t="s">
        <v>6517</v>
      </c>
      <c r="O8307">
        <v>763.59</v>
      </c>
      <c r="P8307">
        <v>20181031</v>
      </c>
      <c r="Q8307" t="s">
        <v>6518</v>
      </c>
      <c r="R8307" t="s">
        <v>6519</v>
      </c>
      <c r="S8307" t="s">
        <v>6511</v>
      </c>
      <c r="T8307" t="s">
        <v>301</v>
      </c>
    </row>
    <row r="8308" spans="1:20" x14ac:dyDescent="0.25">
      <c r="A8308">
        <v>9</v>
      </c>
      <c r="B8308">
        <v>224</v>
      </c>
      <c r="C8308" t="str">
        <f>"11"</f>
        <v>11</v>
      </c>
      <c r="D8308">
        <v>6399</v>
      </c>
      <c r="E8308" t="str">
        <f t="shared" si="1898"/>
        <v>00</v>
      </c>
      <c r="F8308" t="str">
        <f>"041"</f>
        <v>041</v>
      </c>
      <c r="G8308">
        <v>9</v>
      </c>
      <c r="H8308" t="str">
        <f t="shared" si="1897"/>
        <v>23</v>
      </c>
      <c r="I8308" t="str">
        <f t="shared" si="1884"/>
        <v>0</v>
      </c>
      <c r="J8308" t="str">
        <f>"00"</f>
        <v>00</v>
      </c>
      <c r="K8308">
        <v>20181102</v>
      </c>
      <c r="L8308" t="str">
        <f>"074494"</f>
        <v>074494</v>
      </c>
      <c r="M8308" t="str">
        <f>"25862"</f>
        <v>25862</v>
      </c>
      <c r="N8308" t="s">
        <v>6517</v>
      </c>
      <c r="O8308">
        <v>763.37</v>
      </c>
      <c r="P8308">
        <v>20181031</v>
      </c>
      <c r="Q8308" t="s">
        <v>6520</v>
      </c>
      <c r="R8308" t="s">
        <v>6519</v>
      </c>
      <c r="S8308" t="s">
        <v>6511</v>
      </c>
      <c r="T8308" t="s">
        <v>106</v>
      </c>
    </row>
    <row r="8309" spans="1:20" x14ac:dyDescent="0.25">
      <c r="A8309">
        <v>9</v>
      </c>
      <c r="B8309">
        <v>224</v>
      </c>
      <c r="C8309" t="str">
        <f>"11"</f>
        <v>11</v>
      </c>
      <c r="D8309">
        <v>6399</v>
      </c>
      <c r="E8309" t="str">
        <f t="shared" si="1898"/>
        <v>00</v>
      </c>
      <c r="F8309" t="str">
        <f>"104"</f>
        <v>104</v>
      </c>
      <c r="G8309">
        <v>9</v>
      </c>
      <c r="H8309" t="str">
        <f t="shared" si="1897"/>
        <v>23</v>
      </c>
      <c r="I8309" t="str">
        <f t="shared" si="1884"/>
        <v>0</v>
      </c>
      <c r="J8309" t="str">
        <f>"00"</f>
        <v>00</v>
      </c>
      <c r="K8309">
        <v>20181102</v>
      </c>
      <c r="L8309" t="str">
        <f>"074494"</f>
        <v>074494</v>
      </c>
      <c r="M8309" t="str">
        <f>"25862"</f>
        <v>25862</v>
      </c>
      <c r="N8309" t="s">
        <v>6517</v>
      </c>
      <c r="O8309">
        <v>763.36</v>
      </c>
      <c r="P8309">
        <v>20181031</v>
      </c>
      <c r="Q8309" t="s">
        <v>6521</v>
      </c>
      <c r="R8309" t="s">
        <v>6519</v>
      </c>
      <c r="S8309" t="s">
        <v>6511</v>
      </c>
      <c r="T8309" t="s">
        <v>46</v>
      </c>
    </row>
    <row r="8310" spans="1:20" x14ac:dyDescent="0.25">
      <c r="A8310">
        <v>9</v>
      </c>
      <c r="B8310">
        <v>224</v>
      </c>
      <c r="C8310" t="str">
        <f>"11"</f>
        <v>11</v>
      </c>
      <c r="D8310">
        <v>6339</v>
      </c>
      <c r="E8310" t="str">
        <f t="shared" si="1898"/>
        <v>00</v>
      </c>
      <c r="F8310" t="str">
        <f>"101"</f>
        <v>101</v>
      </c>
      <c r="G8310">
        <v>9</v>
      </c>
      <c r="H8310" t="str">
        <f t="shared" si="1897"/>
        <v>23</v>
      </c>
      <c r="I8310" t="str">
        <f t="shared" si="1884"/>
        <v>0</v>
      </c>
      <c r="J8310" t="str">
        <f>"18"</f>
        <v>18</v>
      </c>
      <c r="K8310">
        <v>20181102</v>
      </c>
      <c r="L8310" t="str">
        <f>"074496"</f>
        <v>074496</v>
      </c>
      <c r="M8310" t="str">
        <f>"60343"</f>
        <v>60343</v>
      </c>
      <c r="N8310" t="s">
        <v>6522</v>
      </c>
      <c r="O8310">
        <v>559.87</v>
      </c>
      <c r="P8310">
        <v>20181031</v>
      </c>
      <c r="Q8310" t="s">
        <v>6523</v>
      </c>
      <c r="R8310" t="s">
        <v>6524</v>
      </c>
      <c r="S8310" t="s">
        <v>6511</v>
      </c>
      <c r="T8310" t="s">
        <v>1479</v>
      </c>
    </row>
    <row r="8311" spans="1:20" x14ac:dyDescent="0.25">
      <c r="A8311">
        <v>9</v>
      </c>
      <c r="B8311">
        <v>224</v>
      </c>
      <c r="C8311" t="str">
        <f>"31"</f>
        <v>31</v>
      </c>
      <c r="D8311">
        <v>6339</v>
      </c>
      <c r="E8311" t="str">
        <f t="shared" si="1898"/>
        <v>00</v>
      </c>
      <c r="F8311" t="str">
        <f>"875"</f>
        <v>875</v>
      </c>
      <c r="G8311">
        <v>9</v>
      </c>
      <c r="H8311" t="str">
        <f t="shared" si="1897"/>
        <v>23</v>
      </c>
      <c r="I8311" t="str">
        <f t="shared" si="1884"/>
        <v>0</v>
      </c>
      <c r="J8311" t="str">
        <f>"00"</f>
        <v>00</v>
      </c>
      <c r="K8311">
        <v>20181102</v>
      </c>
      <c r="L8311" t="str">
        <f>"074506"</f>
        <v>074506</v>
      </c>
      <c r="M8311" t="str">
        <f>"60178"</f>
        <v>60178</v>
      </c>
      <c r="N8311" t="s">
        <v>3054</v>
      </c>
      <c r="O8311">
        <v>235.4</v>
      </c>
      <c r="P8311">
        <v>20181031</v>
      </c>
      <c r="Q8311" t="s">
        <v>6525</v>
      </c>
      <c r="R8311" t="s">
        <v>6526</v>
      </c>
      <c r="S8311" t="s">
        <v>6511</v>
      </c>
      <c r="T8311" t="s">
        <v>2041</v>
      </c>
    </row>
    <row r="8312" spans="1:20" x14ac:dyDescent="0.25">
      <c r="A8312">
        <v>9</v>
      </c>
      <c r="B8312">
        <v>224</v>
      </c>
      <c r="C8312" t="str">
        <f>"31"</f>
        <v>31</v>
      </c>
      <c r="D8312">
        <v>6219</v>
      </c>
      <c r="E8312" t="str">
        <f t="shared" si="1898"/>
        <v>00</v>
      </c>
      <c r="F8312" t="str">
        <f>"875"</f>
        <v>875</v>
      </c>
      <c r="G8312">
        <v>9</v>
      </c>
      <c r="H8312" t="str">
        <f t="shared" si="1897"/>
        <v>23</v>
      </c>
      <c r="I8312" t="str">
        <f t="shared" si="1884"/>
        <v>0</v>
      </c>
      <c r="J8312" t="str">
        <f>"18"</f>
        <v>18</v>
      </c>
      <c r="K8312">
        <v>20181109</v>
      </c>
      <c r="L8312" t="str">
        <f>"074562"</f>
        <v>074562</v>
      </c>
      <c r="M8312" t="str">
        <f>"21769"</f>
        <v>21769</v>
      </c>
      <c r="N8312" t="s">
        <v>1701</v>
      </c>
      <c r="O8312" s="1">
        <v>4665</v>
      </c>
      <c r="P8312">
        <v>20181107</v>
      </c>
      <c r="Q8312" t="s">
        <v>6527</v>
      </c>
      <c r="R8312" t="s">
        <v>6528</v>
      </c>
      <c r="S8312" t="s">
        <v>6511</v>
      </c>
      <c r="T8312" t="s">
        <v>2041</v>
      </c>
    </row>
    <row r="8313" spans="1:20" x14ac:dyDescent="0.25">
      <c r="A8313">
        <v>9</v>
      </c>
      <c r="B8313">
        <v>224</v>
      </c>
      <c r="C8313" t="str">
        <f>"13"</f>
        <v>13</v>
      </c>
      <c r="D8313">
        <v>6411</v>
      </c>
      <c r="E8313" t="str">
        <f t="shared" si="1898"/>
        <v>00</v>
      </c>
      <c r="F8313" t="str">
        <f>"101"</f>
        <v>101</v>
      </c>
      <c r="G8313">
        <v>9</v>
      </c>
      <c r="H8313" t="str">
        <f t="shared" si="1897"/>
        <v>23</v>
      </c>
      <c r="I8313" t="str">
        <f t="shared" si="1884"/>
        <v>0</v>
      </c>
      <c r="J8313" t="str">
        <f>"18"</f>
        <v>18</v>
      </c>
      <c r="K8313">
        <v>20181109</v>
      </c>
      <c r="L8313" t="str">
        <f>"074570"</f>
        <v>074570</v>
      </c>
      <c r="M8313" t="str">
        <f>"27900"</f>
        <v>27900</v>
      </c>
      <c r="N8313" t="s">
        <v>1490</v>
      </c>
      <c r="O8313">
        <v>150</v>
      </c>
      <c r="P8313">
        <v>20181108</v>
      </c>
      <c r="Q8313" t="s">
        <v>6529</v>
      </c>
      <c r="R8313" t="s">
        <v>6530</v>
      </c>
      <c r="S8313" t="s">
        <v>6511</v>
      </c>
      <c r="T8313" t="s">
        <v>1479</v>
      </c>
    </row>
    <row r="8314" spans="1:20" x14ac:dyDescent="0.25">
      <c r="A8314">
        <v>9</v>
      </c>
      <c r="B8314">
        <v>224</v>
      </c>
      <c r="C8314" t="str">
        <f>"31"</f>
        <v>31</v>
      </c>
      <c r="D8314">
        <v>6411</v>
      </c>
      <c r="E8314" t="str">
        <f>"SG"</f>
        <v>SG</v>
      </c>
      <c r="F8314" t="str">
        <f>"875"</f>
        <v>875</v>
      </c>
      <c r="G8314">
        <v>9</v>
      </c>
      <c r="H8314" t="str">
        <f t="shared" si="1897"/>
        <v>23</v>
      </c>
      <c r="I8314" t="str">
        <f t="shared" si="1884"/>
        <v>0</v>
      </c>
      <c r="J8314" t="str">
        <f>"00"</f>
        <v>00</v>
      </c>
      <c r="K8314">
        <v>20181109</v>
      </c>
      <c r="L8314" t="str">
        <f>"074570"</f>
        <v>074570</v>
      </c>
      <c r="M8314" t="str">
        <f>"27900"</f>
        <v>27900</v>
      </c>
      <c r="N8314" t="s">
        <v>1490</v>
      </c>
      <c r="O8314">
        <v>150</v>
      </c>
      <c r="P8314">
        <v>20181108</v>
      </c>
      <c r="Q8314" t="s">
        <v>6531</v>
      </c>
      <c r="R8314" t="s">
        <v>6532</v>
      </c>
      <c r="S8314" t="s">
        <v>6511</v>
      </c>
      <c r="T8314" t="s">
        <v>2041</v>
      </c>
    </row>
    <row r="8315" spans="1:20" x14ac:dyDescent="0.25">
      <c r="A8315">
        <v>9</v>
      </c>
      <c r="B8315">
        <v>224</v>
      </c>
      <c r="C8315" t="str">
        <f>"11"</f>
        <v>11</v>
      </c>
      <c r="D8315">
        <v>6399</v>
      </c>
      <c r="E8315" t="str">
        <f t="shared" ref="E8315:E8321" si="1899">"00"</f>
        <v>00</v>
      </c>
      <c r="F8315" t="str">
        <f>"001"</f>
        <v>001</v>
      </c>
      <c r="G8315">
        <v>9</v>
      </c>
      <c r="H8315" t="str">
        <f t="shared" si="1897"/>
        <v>23</v>
      </c>
      <c r="I8315" t="str">
        <f t="shared" ref="I8315:I8378" si="1900">"0"</f>
        <v>0</v>
      </c>
      <c r="J8315" t="str">
        <f>"00"</f>
        <v>00</v>
      </c>
      <c r="K8315">
        <v>20181109</v>
      </c>
      <c r="L8315" t="str">
        <f>"074593"</f>
        <v>074593</v>
      </c>
      <c r="M8315" t="str">
        <f>"37500"</f>
        <v>37500</v>
      </c>
      <c r="N8315" t="s">
        <v>2077</v>
      </c>
      <c r="O8315">
        <v>39.32</v>
      </c>
      <c r="P8315">
        <v>20181108</v>
      </c>
      <c r="Q8315" t="s">
        <v>6518</v>
      </c>
      <c r="R8315" t="s">
        <v>6533</v>
      </c>
      <c r="S8315" t="s">
        <v>6511</v>
      </c>
      <c r="T8315" t="s">
        <v>301</v>
      </c>
    </row>
    <row r="8316" spans="1:20" x14ac:dyDescent="0.25">
      <c r="A8316">
        <v>9</v>
      </c>
      <c r="B8316">
        <v>224</v>
      </c>
      <c r="C8316" t="str">
        <f>"31"</f>
        <v>31</v>
      </c>
      <c r="D8316">
        <v>6399</v>
      </c>
      <c r="E8316" t="str">
        <f t="shared" si="1899"/>
        <v>00</v>
      </c>
      <c r="F8316" t="str">
        <f>"875"</f>
        <v>875</v>
      </c>
      <c r="G8316">
        <v>9</v>
      </c>
      <c r="H8316" t="str">
        <f t="shared" si="1897"/>
        <v>23</v>
      </c>
      <c r="I8316" t="str">
        <f t="shared" si="1900"/>
        <v>0</v>
      </c>
      <c r="J8316" t="str">
        <f t="shared" ref="J8316:J8322" si="1901">"18"</f>
        <v>18</v>
      </c>
      <c r="K8316">
        <v>20181109</v>
      </c>
      <c r="L8316" t="str">
        <f>"074602"</f>
        <v>074602</v>
      </c>
      <c r="M8316" t="str">
        <f>"54050"</f>
        <v>54050</v>
      </c>
      <c r="N8316" t="s">
        <v>6534</v>
      </c>
      <c r="O8316">
        <v>440.64</v>
      </c>
      <c r="P8316">
        <v>20181108</v>
      </c>
      <c r="Q8316" t="s">
        <v>6535</v>
      </c>
      <c r="R8316" t="s">
        <v>6536</v>
      </c>
      <c r="S8316" t="s">
        <v>6511</v>
      </c>
      <c r="T8316" t="s">
        <v>2041</v>
      </c>
    </row>
    <row r="8317" spans="1:20" x14ac:dyDescent="0.25">
      <c r="A8317">
        <v>9</v>
      </c>
      <c r="B8317">
        <v>224</v>
      </c>
      <c r="C8317" t="str">
        <f>"31"</f>
        <v>31</v>
      </c>
      <c r="D8317">
        <v>6399</v>
      </c>
      <c r="E8317" t="str">
        <f t="shared" si="1899"/>
        <v>00</v>
      </c>
      <c r="F8317" t="str">
        <f>"875"</f>
        <v>875</v>
      </c>
      <c r="G8317">
        <v>9</v>
      </c>
      <c r="H8317" t="str">
        <f t="shared" si="1897"/>
        <v>23</v>
      </c>
      <c r="I8317" t="str">
        <f t="shared" si="1900"/>
        <v>0</v>
      </c>
      <c r="J8317" t="str">
        <f t="shared" si="1901"/>
        <v>18</v>
      </c>
      <c r="K8317">
        <v>20181109</v>
      </c>
      <c r="L8317" t="str">
        <f>"074650"</f>
        <v>074650</v>
      </c>
      <c r="M8317" t="str">
        <f>"84080"</f>
        <v>84080</v>
      </c>
      <c r="N8317" t="s">
        <v>6537</v>
      </c>
      <c r="O8317">
        <v>779.9</v>
      </c>
      <c r="P8317">
        <v>20181108</v>
      </c>
      <c r="Q8317" t="s">
        <v>6535</v>
      </c>
      <c r="R8317" t="s">
        <v>6538</v>
      </c>
      <c r="S8317" t="s">
        <v>6511</v>
      </c>
      <c r="T8317" t="s">
        <v>2041</v>
      </c>
    </row>
    <row r="8318" spans="1:20" x14ac:dyDescent="0.25">
      <c r="A8318">
        <v>9</v>
      </c>
      <c r="B8318">
        <v>224</v>
      </c>
      <c r="C8318" t="str">
        <f>"31"</f>
        <v>31</v>
      </c>
      <c r="D8318">
        <v>6399</v>
      </c>
      <c r="E8318" t="str">
        <f t="shared" si="1899"/>
        <v>00</v>
      </c>
      <c r="F8318" t="str">
        <f>"875"</f>
        <v>875</v>
      </c>
      <c r="G8318">
        <v>9</v>
      </c>
      <c r="H8318" t="str">
        <f t="shared" si="1897"/>
        <v>23</v>
      </c>
      <c r="I8318" t="str">
        <f t="shared" si="1900"/>
        <v>0</v>
      </c>
      <c r="J8318" t="str">
        <f t="shared" si="1901"/>
        <v>18</v>
      </c>
      <c r="K8318">
        <v>20181109</v>
      </c>
      <c r="L8318" t="str">
        <f>"074650"</f>
        <v>074650</v>
      </c>
      <c r="M8318" t="str">
        <f>"84080"</f>
        <v>84080</v>
      </c>
      <c r="N8318" t="s">
        <v>6537</v>
      </c>
      <c r="O8318">
        <v>-779.9</v>
      </c>
      <c r="P8318">
        <v>20181109</v>
      </c>
      <c r="Q8318" t="s">
        <v>6535</v>
      </c>
      <c r="R8318" t="s">
        <v>812</v>
      </c>
      <c r="S8318" t="s">
        <v>6511</v>
      </c>
      <c r="T8318" t="s">
        <v>2041</v>
      </c>
    </row>
    <row r="8319" spans="1:20" x14ac:dyDescent="0.25">
      <c r="A8319">
        <v>9</v>
      </c>
      <c r="B8319">
        <v>224</v>
      </c>
      <c r="C8319" t="str">
        <f>"31"</f>
        <v>31</v>
      </c>
      <c r="D8319">
        <v>6399</v>
      </c>
      <c r="E8319" t="str">
        <f t="shared" si="1899"/>
        <v>00</v>
      </c>
      <c r="F8319" t="str">
        <f>"875"</f>
        <v>875</v>
      </c>
      <c r="G8319">
        <v>9</v>
      </c>
      <c r="H8319" t="str">
        <f t="shared" si="1897"/>
        <v>23</v>
      </c>
      <c r="I8319" t="str">
        <f t="shared" si="1900"/>
        <v>0</v>
      </c>
      <c r="J8319" t="str">
        <f t="shared" si="1901"/>
        <v>18</v>
      </c>
      <c r="K8319">
        <v>20181109</v>
      </c>
      <c r="L8319" t="str">
        <f>"074651"</f>
        <v>074651</v>
      </c>
      <c r="M8319" t="str">
        <f>"84080"</f>
        <v>84080</v>
      </c>
      <c r="N8319" t="s">
        <v>6537</v>
      </c>
      <c r="O8319">
        <v>779.9</v>
      </c>
      <c r="P8319">
        <v>20181109</v>
      </c>
      <c r="Q8319" t="s">
        <v>6535</v>
      </c>
      <c r="R8319" t="s">
        <v>6538</v>
      </c>
      <c r="S8319" t="s">
        <v>6511</v>
      </c>
      <c r="T8319" t="s">
        <v>2041</v>
      </c>
    </row>
    <row r="8320" spans="1:20" x14ac:dyDescent="0.25">
      <c r="A8320">
        <v>9</v>
      </c>
      <c r="B8320">
        <v>224</v>
      </c>
      <c r="C8320" t="str">
        <f>"11"</f>
        <v>11</v>
      </c>
      <c r="D8320">
        <v>6411</v>
      </c>
      <c r="E8320" t="str">
        <f t="shared" si="1899"/>
        <v>00</v>
      </c>
      <c r="F8320" t="str">
        <f>"041"</f>
        <v>041</v>
      </c>
      <c r="G8320">
        <v>9</v>
      </c>
      <c r="H8320" t="str">
        <f t="shared" si="1897"/>
        <v>23</v>
      </c>
      <c r="I8320" t="str">
        <f t="shared" si="1900"/>
        <v>0</v>
      </c>
      <c r="J8320" t="str">
        <f t="shared" si="1901"/>
        <v>18</v>
      </c>
      <c r="K8320">
        <v>20181115</v>
      </c>
      <c r="L8320" t="str">
        <f>"074652"</f>
        <v>074652</v>
      </c>
      <c r="M8320" t="str">
        <f>"79426"</f>
        <v>79426</v>
      </c>
      <c r="N8320" t="s">
        <v>6539</v>
      </c>
      <c r="O8320">
        <v>46.5</v>
      </c>
      <c r="P8320">
        <v>20181114</v>
      </c>
      <c r="Q8320" t="s">
        <v>6540</v>
      </c>
      <c r="R8320" t="s">
        <v>6541</v>
      </c>
      <c r="S8320" t="s">
        <v>6511</v>
      </c>
      <c r="T8320" t="s">
        <v>106</v>
      </c>
    </row>
    <row r="8321" spans="1:20" x14ac:dyDescent="0.25">
      <c r="A8321">
        <v>9</v>
      </c>
      <c r="B8321">
        <v>224</v>
      </c>
      <c r="C8321" t="str">
        <f>"11"</f>
        <v>11</v>
      </c>
      <c r="D8321">
        <v>6412</v>
      </c>
      <c r="E8321" t="str">
        <f t="shared" si="1899"/>
        <v>00</v>
      </c>
      <c r="F8321" t="str">
        <f>"041"</f>
        <v>041</v>
      </c>
      <c r="G8321">
        <v>9</v>
      </c>
      <c r="H8321" t="str">
        <f t="shared" si="1897"/>
        <v>23</v>
      </c>
      <c r="I8321" t="str">
        <f t="shared" si="1900"/>
        <v>0</v>
      </c>
      <c r="J8321" t="str">
        <f t="shared" si="1901"/>
        <v>18</v>
      </c>
      <c r="K8321">
        <v>20181115</v>
      </c>
      <c r="L8321" t="str">
        <f>"074652"</f>
        <v>074652</v>
      </c>
      <c r="M8321" t="str">
        <f>"79426"</f>
        <v>79426</v>
      </c>
      <c r="N8321" t="s">
        <v>6539</v>
      </c>
      <c r="O8321">
        <v>180.5</v>
      </c>
      <c r="P8321">
        <v>20181114</v>
      </c>
      <c r="Q8321" t="s">
        <v>6542</v>
      </c>
      <c r="R8321" t="s">
        <v>6541</v>
      </c>
      <c r="S8321" t="s">
        <v>6511</v>
      </c>
      <c r="T8321" t="s">
        <v>106</v>
      </c>
    </row>
    <row r="8322" spans="1:20" x14ac:dyDescent="0.25">
      <c r="A8322">
        <v>9</v>
      </c>
      <c r="B8322">
        <v>224</v>
      </c>
      <c r="C8322" t="str">
        <f>"31"</f>
        <v>31</v>
      </c>
      <c r="D8322">
        <v>6411</v>
      </c>
      <c r="E8322" t="str">
        <f>"SG"</f>
        <v>SG</v>
      </c>
      <c r="F8322" t="str">
        <f>"875"</f>
        <v>875</v>
      </c>
      <c r="G8322">
        <v>9</v>
      </c>
      <c r="H8322" t="str">
        <f t="shared" si="1897"/>
        <v>23</v>
      </c>
      <c r="I8322" t="str">
        <f t="shared" si="1900"/>
        <v>0</v>
      </c>
      <c r="J8322" t="str">
        <f t="shared" si="1901"/>
        <v>18</v>
      </c>
      <c r="K8322">
        <v>20181116</v>
      </c>
      <c r="L8322" t="str">
        <f>"074675"</f>
        <v>074675</v>
      </c>
      <c r="M8322" t="str">
        <f>"22301"</f>
        <v>22301</v>
      </c>
      <c r="N8322" t="s">
        <v>6543</v>
      </c>
      <c r="O8322">
        <v>271.82</v>
      </c>
      <c r="P8322">
        <v>20181115</v>
      </c>
      <c r="Q8322" t="s">
        <v>6544</v>
      </c>
      <c r="R8322" t="s">
        <v>6545</v>
      </c>
      <c r="S8322" t="s">
        <v>6511</v>
      </c>
      <c r="T8322" t="s">
        <v>2041</v>
      </c>
    </row>
    <row r="8323" spans="1:20" x14ac:dyDescent="0.25">
      <c r="A8323">
        <v>9</v>
      </c>
      <c r="B8323">
        <v>224</v>
      </c>
      <c r="C8323" t="str">
        <f>"31"</f>
        <v>31</v>
      </c>
      <c r="D8323">
        <v>6339</v>
      </c>
      <c r="E8323" t="str">
        <f t="shared" ref="E8323:E8345" si="1902">"00"</f>
        <v>00</v>
      </c>
      <c r="F8323" t="str">
        <f>"875"</f>
        <v>875</v>
      </c>
      <c r="G8323">
        <v>9</v>
      </c>
      <c r="H8323" t="str">
        <f t="shared" si="1897"/>
        <v>23</v>
      </c>
      <c r="I8323" t="str">
        <f t="shared" si="1900"/>
        <v>0</v>
      </c>
      <c r="J8323" t="str">
        <f>"00"</f>
        <v>00</v>
      </c>
      <c r="K8323">
        <v>20181116</v>
      </c>
      <c r="L8323" t="str">
        <f>"074676"</f>
        <v>074676</v>
      </c>
      <c r="M8323" t="str">
        <f>"23974"</f>
        <v>23974</v>
      </c>
      <c r="N8323" t="s">
        <v>1506</v>
      </c>
      <c r="O8323">
        <v>90.99</v>
      </c>
      <c r="P8323">
        <v>20181115</v>
      </c>
      <c r="Q8323" t="s">
        <v>6525</v>
      </c>
      <c r="R8323" t="s">
        <v>6546</v>
      </c>
      <c r="S8323" t="s">
        <v>6511</v>
      </c>
      <c r="T8323" t="s">
        <v>2041</v>
      </c>
    </row>
    <row r="8324" spans="1:20" x14ac:dyDescent="0.25">
      <c r="A8324">
        <v>9</v>
      </c>
      <c r="B8324">
        <v>224</v>
      </c>
      <c r="C8324" t="str">
        <f>"13"</f>
        <v>13</v>
      </c>
      <c r="D8324">
        <v>6411</v>
      </c>
      <c r="E8324" t="str">
        <f t="shared" si="1902"/>
        <v>00</v>
      </c>
      <c r="F8324" t="str">
        <f>"041"</f>
        <v>041</v>
      </c>
      <c r="G8324">
        <v>9</v>
      </c>
      <c r="H8324" t="str">
        <f t="shared" si="1897"/>
        <v>23</v>
      </c>
      <c r="I8324" t="str">
        <f t="shared" si="1900"/>
        <v>0</v>
      </c>
      <c r="J8324" t="str">
        <f t="shared" ref="J8324:J8333" si="1903">"18"</f>
        <v>18</v>
      </c>
      <c r="K8324">
        <v>20181116</v>
      </c>
      <c r="L8324" t="str">
        <f>"074677"</f>
        <v>074677</v>
      </c>
      <c r="M8324" t="str">
        <f>"26389"</f>
        <v>26389</v>
      </c>
      <c r="N8324" t="s">
        <v>305</v>
      </c>
      <c r="O8324">
        <v>477.41</v>
      </c>
      <c r="P8324">
        <v>20181115</v>
      </c>
      <c r="Q8324" t="s">
        <v>6547</v>
      </c>
      <c r="R8324" t="s">
        <v>6516</v>
      </c>
      <c r="S8324" t="s">
        <v>6511</v>
      </c>
      <c r="T8324" t="s">
        <v>106</v>
      </c>
    </row>
    <row r="8325" spans="1:20" x14ac:dyDescent="0.25">
      <c r="A8325">
        <v>9</v>
      </c>
      <c r="B8325">
        <v>224</v>
      </c>
      <c r="C8325" t="str">
        <f>"31"</f>
        <v>31</v>
      </c>
      <c r="D8325">
        <v>6399</v>
      </c>
      <c r="E8325" t="str">
        <f t="shared" si="1902"/>
        <v>00</v>
      </c>
      <c r="F8325" t="str">
        <f>"875"</f>
        <v>875</v>
      </c>
      <c r="G8325">
        <v>9</v>
      </c>
      <c r="H8325" t="str">
        <f t="shared" si="1897"/>
        <v>23</v>
      </c>
      <c r="I8325" t="str">
        <f t="shared" si="1900"/>
        <v>0</v>
      </c>
      <c r="J8325" t="str">
        <f t="shared" si="1903"/>
        <v>18</v>
      </c>
      <c r="K8325">
        <v>20181116</v>
      </c>
      <c r="L8325" t="str">
        <f>"074695"</f>
        <v>074695</v>
      </c>
      <c r="M8325" t="str">
        <f>"63511"</f>
        <v>63511</v>
      </c>
      <c r="N8325" t="s">
        <v>6548</v>
      </c>
      <c r="O8325">
        <v>590.29999999999995</v>
      </c>
      <c r="P8325">
        <v>20181115</v>
      </c>
      <c r="Q8325" t="s">
        <v>6535</v>
      </c>
      <c r="R8325" t="s">
        <v>6549</v>
      </c>
      <c r="S8325" t="s">
        <v>6511</v>
      </c>
      <c r="T8325" t="s">
        <v>2041</v>
      </c>
    </row>
    <row r="8326" spans="1:20" x14ac:dyDescent="0.25">
      <c r="A8326">
        <v>9</v>
      </c>
      <c r="B8326">
        <v>224</v>
      </c>
      <c r="C8326" t="str">
        <f>"31"</f>
        <v>31</v>
      </c>
      <c r="D8326">
        <v>6219</v>
      </c>
      <c r="E8326" t="str">
        <f t="shared" si="1902"/>
        <v>00</v>
      </c>
      <c r="F8326" t="str">
        <f>"875"</f>
        <v>875</v>
      </c>
      <c r="G8326">
        <v>9</v>
      </c>
      <c r="H8326" t="str">
        <f t="shared" si="1897"/>
        <v>23</v>
      </c>
      <c r="I8326" t="str">
        <f t="shared" si="1900"/>
        <v>0</v>
      </c>
      <c r="J8326" t="str">
        <f t="shared" si="1903"/>
        <v>18</v>
      </c>
      <c r="K8326">
        <v>20181116</v>
      </c>
      <c r="L8326" t="str">
        <f>"074705"</f>
        <v>074705</v>
      </c>
      <c r="M8326" t="str">
        <f>"49997"</f>
        <v>49997</v>
      </c>
      <c r="N8326" t="s">
        <v>6508</v>
      </c>
      <c r="O8326">
        <v>930</v>
      </c>
      <c r="P8326">
        <v>20181115</v>
      </c>
      <c r="Q8326" t="s">
        <v>6527</v>
      </c>
      <c r="R8326" t="s">
        <v>6550</v>
      </c>
      <c r="S8326" t="s">
        <v>6511</v>
      </c>
      <c r="T8326" t="s">
        <v>2041</v>
      </c>
    </row>
    <row r="8327" spans="1:20" x14ac:dyDescent="0.25">
      <c r="A8327">
        <v>9</v>
      </c>
      <c r="B8327">
        <v>224</v>
      </c>
      <c r="C8327" t="str">
        <f>"61"</f>
        <v>61</v>
      </c>
      <c r="D8327">
        <v>6419</v>
      </c>
      <c r="E8327" t="str">
        <f t="shared" si="1902"/>
        <v>00</v>
      </c>
      <c r="F8327" t="str">
        <f>"001"</f>
        <v>001</v>
      </c>
      <c r="G8327">
        <v>9</v>
      </c>
      <c r="H8327" t="str">
        <f t="shared" si="1897"/>
        <v>23</v>
      </c>
      <c r="I8327" t="str">
        <f t="shared" si="1900"/>
        <v>0</v>
      </c>
      <c r="J8327" t="str">
        <f t="shared" si="1903"/>
        <v>18</v>
      </c>
      <c r="K8327">
        <v>20181116</v>
      </c>
      <c r="L8327" t="str">
        <f>"074716"</f>
        <v>074716</v>
      </c>
      <c r="M8327" t="str">
        <f>"00622"</f>
        <v>00622</v>
      </c>
      <c r="N8327" t="s">
        <v>6551</v>
      </c>
      <c r="O8327">
        <v>338.4</v>
      </c>
      <c r="P8327">
        <v>20181115</v>
      </c>
      <c r="Q8327" t="s">
        <v>6552</v>
      </c>
      <c r="R8327" t="s">
        <v>6553</v>
      </c>
      <c r="S8327" t="s">
        <v>6511</v>
      </c>
      <c r="T8327" t="s">
        <v>301</v>
      </c>
    </row>
    <row r="8328" spans="1:20" x14ac:dyDescent="0.25">
      <c r="A8328">
        <v>9</v>
      </c>
      <c r="B8328">
        <v>224</v>
      </c>
      <c r="C8328" t="str">
        <f>"11"</f>
        <v>11</v>
      </c>
      <c r="D8328">
        <v>6399</v>
      </c>
      <c r="E8328" t="str">
        <f t="shared" si="1902"/>
        <v>00</v>
      </c>
      <c r="F8328" t="str">
        <f>"001"</f>
        <v>001</v>
      </c>
      <c r="G8328">
        <v>9</v>
      </c>
      <c r="H8328" t="str">
        <f t="shared" si="1897"/>
        <v>23</v>
      </c>
      <c r="I8328" t="str">
        <f t="shared" si="1900"/>
        <v>0</v>
      </c>
      <c r="J8328" t="str">
        <f t="shared" si="1903"/>
        <v>18</v>
      </c>
      <c r="K8328">
        <v>20181130</v>
      </c>
      <c r="L8328" t="str">
        <f>"074746"</f>
        <v>074746</v>
      </c>
      <c r="M8328" t="str">
        <f>"04410"</f>
        <v>04410</v>
      </c>
      <c r="N8328" t="s">
        <v>410</v>
      </c>
      <c r="O8328">
        <v>59.82</v>
      </c>
      <c r="P8328">
        <v>20181128</v>
      </c>
      <c r="Q8328" t="s">
        <v>6554</v>
      </c>
      <c r="R8328" t="s">
        <v>6555</v>
      </c>
      <c r="S8328" t="s">
        <v>6511</v>
      </c>
      <c r="T8328" t="s">
        <v>301</v>
      </c>
    </row>
    <row r="8329" spans="1:20" x14ac:dyDescent="0.25">
      <c r="A8329">
        <v>9</v>
      </c>
      <c r="B8329">
        <v>224</v>
      </c>
      <c r="C8329" t="str">
        <f>"11"</f>
        <v>11</v>
      </c>
      <c r="D8329">
        <v>6399</v>
      </c>
      <c r="E8329" t="str">
        <f t="shared" si="1902"/>
        <v>00</v>
      </c>
      <c r="F8329" t="str">
        <f>"041"</f>
        <v>041</v>
      </c>
      <c r="G8329">
        <v>9</v>
      </c>
      <c r="H8329" t="str">
        <f t="shared" si="1897"/>
        <v>23</v>
      </c>
      <c r="I8329" t="str">
        <f t="shared" si="1900"/>
        <v>0</v>
      </c>
      <c r="J8329" t="str">
        <f t="shared" si="1903"/>
        <v>18</v>
      </c>
      <c r="K8329">
        <v>20181130</v>
      </c>
      <c r="L8329" t="str">
        <f>"074746"</f>
        <v>074746</v>
      </c>
      <c r="M8329" t="str">
        <f>"04410"</f>
        <v>04410</v>
      </c>
      <c r="N8329" t="s">
        <v>410</v>
      </c>
      <c r="O8329">
        <v>59.83</v>
      </c>
      <c r="P8329">
        <v>20181128</v>
      </c>
      <c r="Q8329" t="s">
        <v>6556</v>
      </c>
      <c r="R8329" t="s">
        <v>6555</v>
      </c>
      <c r="S8329" t="s">
        <v>6511</v>
      </c>
      <c r="T8329" t="s">
        <v>106</v>
      </c>
    </row>
    <row r="8330" spans="1:20" x14ac:dyDescent="0.25">
      <c r="A8330">
        <v>9</v>
      </c>
      <c r="B8330">
        <v>224</v>
      </c>
      <c r="C8330" t="str">
        <f>"11"</f>
        <v>11</v>
      </c>
      <c r="D8330">
        <v>6399</v>
      </c>
      <c r="E8330" t="str">
        <f t="shared" si="1902"/>
        <v>00</v>
      </c>
      <c r="F8330" t="str">
        <f>"101"</f>
        <v>101</v>
      </c>
      <c r="G8330">
        <v>9</v>
      </c>
      <c r="H8330" t="str">
        <f t="shared" si="1897"/>
        <v>23</v>
      </c>
      <c r="I8330" t="str">
        <f t="shared" si="1900"/>
        <v>0</v>
      </c>
      <c r="J8330" t="str">
        <f t="shared" si="1903"/>
        <v>18</v>
      </c>
      <c r="K8330">
        <v>20181130</v>
      </c>
      <c r="L8330" t="str">
        <f>"074746"</f>
        <v>074746</v>
      </c>
      <c r="M8330" t="str">
        <f>"04410"</f>
        <v>04410</v>
      </c>
      <c r="N8330" t="s">
        <v>410</v>
      </c>
      <c r="O8330">
        <v>59.83</v>
      </c>
      <c r="P8330">
        <v>20181128</v>
      </c>
      <c r="Q8330" t="s">
        <v>6557</v>
      </c>
      <c r="R8330" t="s">
        <v>6555</v>
      </c>
      <c r="S8330" t="s">
        <v>6511</v>
      </c>
      <c r="T8330" t="s">
        <v>1479</v>
      </c>
    </row>
    <row r="8331" spans="1:20" x14ac:dyDescent="0.25">
      <c r="A8331">
        <v>9</v>
      </c>
      <c r="B8331">
        <v>224</v>
      </c>
      <c r="C8331" t="str">
        <f>"11"</f>
        <v>11</v>
      </c>
      <c r="D8331">
        <v>6399</v>
      </c>
      <c r="E8331" t="str">
        <f t="shared" si="1902"/>
        <v>00</v>
      </c>
      <c r="F8331" t="str">
        <f>"104"</f>
        <v>104</v>
      </c>
      <c r="G8331">
        <v>9</v>
      </c>
      <c r="H8331" t="str">
        <f t="shared" si="1897"/>
        <v>23</v>
      </c>
      <c r="I8331" t="str">
        <f t="shared" si="1900"/>
        <v>0</v>
      </c>
      <c r="J8331" t="str">
        <f t="shared" si="1903"/>
        <v>18</v>
      </c>
      <c r="K8331">
        <v>20181130</v>
      </c>
      <c r="L8331" t="str">
        <f>"074746"</f>
        <v>074746</v>
      </c>
      <c r="M8331" t="str">
        <f>"04410"</f>
        <v>04410</v>
      </c>
      <c r="N8331" t="s">
        <v>410</v>
      </c>
      <c r="O8331">
        <v>59.82</v>
      </c>
      <c r="P8331">
        <v>20181128</v>
      </c>
      <c r="Q8331" t="s">
        <v>6558</v>
      </c>
      <c r="R8331" t="s">
        <v>6555</v>
      </c>
      <c r="S8331" t="s">
        <v>6511</v>
      </c>
      <c r="T8331" t="s">
        <v>46</v>
      </c>
    </row>
    <row r="8332" spans="1:20" x14ac:dyDescent="0.25">
      <c r="A8332">
        <v>9</v>
      </c>
      <c r="B8332">
        <v>224</v>
      </c>
      <c r="C8332" t="str">
        <f>"31"</f>
        <v>31</v>
      </c>
      <c r="D8332">
        <v>6219</v>
      </c>
      <c r="E8332" t="str">
        <f t="shared" si="1902"/>
        <v>00</v>
      </c>
      <c r="F8332" t="str">
        <f>"875"</f>
        <v>875</v>
      </c>
      <c r="G8332">
        <v>9</v>
      </c>
      <c r="H8332" t="str">
        <f t="shared" si="1897"/>
        <v>23</v>
      </c>
      <c r="I8332" t="str">
        <f t="shared" si="1900"/>
        <v>0</v>
      </c>
      <c r="J8332" t="str">
        <f t="shared" si="1903"/>
        <v>18</v>
      </c>
      <c r="K8332">
        <v>20181130</v>
      </c>
      <c r="L8332" t="str">
        <f>"074760"</f>
        <v>074760</v>
      </c>
      <c r="M8332" t="str">
        <f>"74150"</f>
        <v>74150</v>
      </c>
      <c r="N8332" t="s">
        <v>1691</v>
      </c>
      <c r="O8332" s="1">
        <v>3187.2</v>
      </c>
      <c r="P8332">
        <v>20181128</v>
      </c>
      <c r="Q8332" t="s">
        <v>6527</v>
      </c>
      <c r="R8332" t="s">
        <v>6559</v>
      </c>
      <c r="S8332" t="s">
        <v>6511</v>
      </c>
      <c r="T8332" t="s">
        <v>2041</v>
      </c>
    </row>
    <row r="8333" spans="1:20" x14ac:dyDescent="0.25">
      <c r="A8333">
        <v>9</v>
      </c>
      <c r="B8333">
        <v>224</v>
      </c>
      <c r="C8333" t="str">
        <f>"11"</f>
        <v>11</v>
      </c>
      <c r="D8333">
        <v>6339</v>
      </c>
      <c r="E8333" t="str">
        <f t="shared" si="1902"/>
        <v>00</v>
      </c>
      <c r="F8333" t="str">
        <f>"101"</f>
        <v>101</v>
      </c>
      <c r="G8333">
        <v>9</v>
      </c>
      <c r="H8333" t="str">
        <f t="shared" si="1897"/>
        <v>23</v>
      </c>
      <c r="I8333" t="str">
        <f t="shared" si="1900"/>
        <v>0</v>
      </c>
      <c r="J8333" t="str">
        <f t="shared" si="1903"/>
        <v>18</v>
      </c>
      <c r="K8333">
        <v>20181130</v>
      </c>
      <c r="L8333" t="str">
        <f>"074808"</f>
        <v>074808</v>
      </c>
      <c r="M8333" t="str">
        <f>"74117"</f>
        <v>74117</v>
      </c>
      <c r="N8333" t="s">
        <v>6560</v>
      </c>
      <c r="O8333">
        <v>101.98</v>
      </c>
      <c r="P8333">
        <v>20181129</v>
      </c>
      <c r="Q8333" t="s">
        <v>6523</v>
      </c>
      <c r="R8333" t="s">
        <v>6561</v>
      </c>
      <c r="S8333" t="s">
        <v>6511</v>
      </c>
      <c r="T8333" t="s">
        <v>1479</v>
      </c>
    </row>
    <row r="8334" spans="1:20" x14ac:dyDescent="0.25">
      <c r="A8334">
        <v>9</v>
      </c>
      <c r="B8334">
        <v>224</v>
      </c>
      <c r="C8334" t="str">
        <f>"11"</f>
        <v>11</v>
      </c>
      <c r="D8334">
        <v>6399</v>
      </c>
      <c r="E8334" t="str">
        <f t="shared" si="1902"/>
        <v>00</v>
      </c>
      <c r="F8334" t="str">
        <f>"001"</f>
        <v>001</v>
      </c>
      <c r="G8334">
        <v>9</v>
      </c>
      <c r="H8334" t="str">
        <f t="shared" si="1897"/>
        <v>23</v>
      </c>
      <c r="I8334" t="str">
        <f t="shared" si="1900"/>
        <v>0</v>
      </c>
      <c r="J8334" t="str">
        <f>"00"</f>
        <v>00</v>
      </c>
      <c r="K8334">
        <v>20181130</v>
      </c>
      <c r="L8334" t="str">
        <f>"074824"</f>
        <v>074824</v>
      </c>
      <c r="M8334" t="str">
        <f>"83022"</f>
        <v>83022</v>
      </c>
      <c r="N8334" t="s">
        <v>691</v>
      </c>
      <c r="O8334">
        <v>108.74</v>
      </c>
      <c r="P8334">
        <v>20181129</v>
      </c>
      <c r="Q8334" t="s">
        <v>6518</v>
      </c>
      <c r="R8334" t="s">
        <v>2793</v>
      </c>
      <c r="S8334" t="s">
        <v>6511</v>
      </c>
      <c r="T8334" t="s">
        <v>301</v>
      </c>
    </row>
    <row r="8335" spans="1:20" x14ac:dyDescent="0.25">
      <c r="A8335">
        <v>9</v>
      </c>
      <c r="B8335">
        <v>224</v>
      </c>
      <c r="C8335" t="str">
        <f>"11"</f>
        <v>11</v>
      </c>
      <c r="D8335">
        <v>6399</v>
      </c>
      <c r="E8335" t="str">
        <f t="shared" si="1902"/>
        <v>00</v>
      </c>
      <c r="F8335" t="str">
        <f>"041"</f>
        <v>041</v>
      </c>
      <c r="G8335">
        <v>9</v>
      </c>
      <c r="H8335" t="str">
        <f t="shared" si="1897"/>
        <v>23</v>
      </c>
      <c r="I8335" t="str">
        <f t="shared" si="1900"/>
        <v>0</v>
      </c>
      <c r="J8335" t="str">
        <f>"00"</f>
        <v>00</v>
      </c>
      <c r="K8335">
        <v>20181130</v>
      </c>
      <c r="L8335" t="str">
        <f>"074824"</f>
        <v>074824</v>
      </c>
      <c r="M8335" t="str">
        <f>"83022"</f>
        <v>83022</v>
      </c>
      <c r="N8335" t="s">
        <v>691</v>
      </c>
      <c r="O8335">
        <v>108.74</v>
      </c>
      <c r="P8335">
        <v>20181129</v>
      </c>
      <c r="Q8335" t="s">
        <v>6520</v>
      </c>
      <c r="R8335" t="s">
        <v>2793</v>
      </c>
      <c r="S8335" t="s">
        <v>6511</v>
      </c>
      <c r="T8335" t="s">
        <v>106</v>
      </c>
    </row>
    <row r="8336" spans="1:20" x14ac:dyDescent="0.25">
      <c r="A8336">
        <v>9</v>
      </c>
      <c r="B8336">
        <v>224</v>
      </c>
      <c r="C8336" t="str">
        <f>"11"</f>
        <v>11</v>
      </c>
      <c r="D8336">
        <v>6399</v>
      </c>
      <c r="E8336" t="str">
        <f t="shared" si="1902"/>
        <v>00</v>
      </c>
      <c r="F8336" t="str">
        <f>"101"</f>
        <v>101</v>
      </c>
      <c r="G8336">
        <v>9</v>
      </c>
      <c r="H8336" t="str">
        <f t="shared" si="1897"/>
        <v>23</v>
      </c>
      <c r="I8336" t="str">
        <f t="shared" si="1900"/>
        <v>0</v>
      </c>
      <c r="J8336" t="str">
        <f>"00"</f>
        <v>00</v>
      </c>
      <c r="K8336">
        <v>20181130</v>
      </c>
      <c r="L8336" t="str">
        <f>"074824"</f>
        <v>074824</v>
      </c>
      <c r="M8336" t="str">
        <f>"83022"</f>
        <v>83022</v>
      </c>
      <c r="N8336" t="s">
        <v>691</v>
      </c>
      <c r="O8336">
        <v>108.74</v>
      </c>
      <c r="P8336">
        <v>20181129</v>
      </c>
      <c r="Q8336" t="s">
        <v>6562</v>
      </c>
      <c r="R8336" t="s">
        <v>2793</v>
      </c>
      <c r="S8336" t="s">
        <v>6511</v>
      </c>
      <c r="T8336" t="s">
        <v>1479</v>
      </c>
    </row>
    <row r="8337" spans="1:20" x14ac:dyDescent="0.25">
      <c r="A8337">
        <v>9</v>
      </c>
      <c r="B8337">
        <v>224</v>
      </c>
      <c r="C8337" t="str">
        <f>"11"</f>
        <v>11</v>
      </c>
      <c r="D8337">
        <v>6399</v>
      </c>
      <c r="E8337" t="str">
        <f t="shared" si="1902"/>
        <v>00</v>
      </c>
      <c r="F8337" t="str">
        <f>"104"</f>
        <v>104</v>
      </c>
      <c r="G8337">
        <v>9</v>
      </c>
      <c r="H8337" t="str">
        <f t="shared" si="1897"/>
        <v>23</v>
      </c>
      <c r="I8337" t="str">
        <f t="shared" si="1900"/>
        <v>0</v>
      </c>
      <c r="J8337" t="str">
        <f>"00"</f>
        <v>00</v>
      </c>
      <c r="K8337">
        <v>20181130</v>
      </c>
      <c r="L8337" t="str">
        <f>"074824"</f>
        <v>074824</v>
      </c>
      <c r="M8337" t="str">
        <f>"83022"</f>
        <v>83022</v>
      </c>
      <c r="N8337" t="s">
        <v>691</v>
      </c>
      <c r="O8337">
        <v>108.74</v>
      </c>
      <c r="P8337">
        <v>20181129</v>
      </c>
      <c r="Q8337" t="s">
        <v>6521</v>
      </c>
      <c r="R8337" t="s">
        <v>2793</v>
      </c>
      <c r="S8337" t="s">
        <v>6511</v>
      </c>
      <c r="T8337" t="s">
        <v>46</v>
      </c>
    </row>
    <row r="8338" spans="1:20" x14ac:dyDescent="0.25">
      <c r="A8338">
        <v>9</v>
      </c>
      <c r="B8338">
        <v>224</v>
      </c>
      <c r="C8338" t="str">
        <f>"21"</f>
        <v>21</v>
      </c>
      <c r="D8338">
        <v>6399</v>
      </c>
      <c r="E8338" t="str">
        <f t="shared" si="1902"/>
        <v>00</v>
      </c>
      <c r="F8338" t="str">
        <f>"875"</f>
        <v>875</v>
      </c>
      <c r="G8338">
        <v>9</v>
      </c>
      <c r="H8338" t="str">
        <f t="shared" si="1897"/>
        <v>23</v>
      </c>
      <c r="I8338" t="str">
        <f t="shared" si="1900"/>
        <v>0</v>
      </c>
      <c r="J8338" t="str">
        <f>"18"</f>
        <v>18</v>
      </c>
      <c r="K8338">
        <v>20181207</v>
      </c>
      <c r="L8338" t="str">
        <f>"074858"</f>
        <v>074858</v>
      </c>
      <c r="M8338" t="str">
        <f>"14821"</f>
        <v>14821</v>
      </c>
      <c r="N8338" t="s">
        <v>1224</v>
      </c>
      <c r="O8338">
        <v>278.60000000000002</v>
      </c>
      <c r="P8338">
        <v>20181206</v>
      </c>
      <c r="Q8338" t="s">
        <v>6563</v>
      </c>
      <c r="R8338" t="s">
        <v>1225</v>
      </c>
      <c r="S8338" t="s">
        <v>6511</v>
      </c>
      <c r="T8338" t="s">
        <v>2041</v>
      </c>
    </row>
    <row r="8339" spans="1:20" x14ac:dyDescent="0.25">
      <c r="A8339">
        <v>9</v>
      </c>
      <c r="B8339">
        <v>224</v>
      </c>
      <c r="C8339" t="str">
        <f>"21"</f>
        <v>21</v>
      </c>
      <c r="D8339">
        <v>6399</v>
      </c>
      <c r="E8339" t="str">
        <f t="shared" si="1902"/>
        <v>00</v>
      </c>
      <c r="F8339" t="str">
        <f>"875"</f>
        <v>875</v>
      </c>
      <c r="G8339">
        <v>9</v>
      </c>
      <c r="H8339" t="str">
        <f t="shared" si="1897"/>
        <v>23</v>
      </c>
      <c r="I8339" t="str">
        <f t="shared" si="1900"/>
        <v>0</v>
      </c>
      <c r="J8339" t="str">
        <f>"18"</f>
        <v>18</v>
      </c>
      <c r="K8339">
        <v>20181207</v>
      </c>
      <c r="L8339" t="str">
        <f>"074865"</f>
        <v>074865</v>
      </c>
      <c r="M8339" t="str">
        <f>"21098"</f>
        <v>21098</v>
      </c>
      <c r="N8339" t="s">
        <v>2038</v>
      </c>
      <c r="O8339">
        <v>105.71</v>
      </c>
      <c r="P8339">
        <v>20181206</v>
      </c>
      <c r="Q8339" t="s">
        <v>6563</v>
      </c>
      <c r="R8339" t="s">
        <v>6564</v>
      </c>
      <c r="S8339" t="s">
        <v>6511</v>
      </c>
      <c r="T8339" t="s">
        <v>2041</v>
      </c>
    </row>
    <row r="8340" spans="1:20" x14ac:dyDescent="0.25">
      <c r="A8340">
        <v>9</v>
      </c>
      <c r="B8340">
        <v>224</v>
      </c>
      <c r="C8340" t="str">
        <f>"21"</f>
        <v>21</v>
      </c>
      <c r="D8340">
        <v>6399</v>
      </c>
      <c r="E8340" t="str">
        <f t="shared" si="1902"/>
        <v>00</v>
      </c>
      <c r="F8340" t="str">
        <f>"875"</f>
        <v>875</v>
      </c>
      <c r="G8340">
        <v>9</v>
      </c>
      <c r="H8340" t="str">
        <f t="shared" si="1897"/>
        <v>23</v>
      </c>
      <c r="I8340" t="str">
        <f t="shared" si="1900"/>
        <v>0</v>
      </c>
      <c r="J8340" t="str">
        <f>"18"</f>
        <v>18</v>
      </c>
      <c r="K8340">
        <v>20181207</v>
      </c>
      <c r="L8340" t="str">
        <f>"074865"</f>
        <v>074865</v>
      </c>
      <c r="M8340" t="str">
        <f>"21098"</f>
        <v>21098</v>
      </c>
      <c r="N8340" t="s">
        <v>2038</v>
      </c>
      <c r="O8340">
        <v>502.82</v>
      </c>
      <c r="P8340">
        <v>20181206</v>
      </c>
      <c r="Q8340" t="s">
        <v>6563</v>
      </c>
      <c r="R8340" t="s">
        <v>6565</v>
      </c>
      <c r="S8340" t="s">
        <v>6511</v>
      </c>
      <c r="T8340" t="s">
        <v>2041</v>
      </c>
    </row>
    <row r="8341" spans="1:20" x14ac:dyDescent="0.25">
      <c r="A8341">
        <v>9</v>
      </c>
      <c r="B8341">
        <v>224</v>
      </c>
      <c r="C8341" t="str">
        <f>"11"</f>
        <v>11</v>
      </c>
      <c r="D8341">
        <v>6229</v>
      </c>
      <c r="E8341" t="str">
        <f t="shared" si="1902"/>
        <v>00</v>
      </c>
      <c r="F8341" t="str">
        <f>"001"</f>
        <v>001</v>
      </c>
      <c r="G8341">
        <v>9</v>
      </c>
      <c r="H8341" t="str">
        <f t="shared" si="1897"/>
        <v>23</v>
      </c>
      <c r="I8341" t="str">
        <f t="shared" si="1900"/>
        <v>0</v>
      </c>
      <c r="J8341" t="str">
        <f>"00"</f>
        <v>00</v>
      </c>
      <c r="K8341">
        <v>20181207</v>
      </c>
      <c r="L8341" t="str">
        <f>"074868"</f>
        <v>074868</v>
      </c>
      <c r="M8341" t="str">
        <f>"22129"</f>
        <v>22129</v>
      </c>
      <c r="N8341" t="s">
        <v>775</v>
      </c>
      <c r="O8341" s="1">
        <v>8320</v>
      </c>
      <c r="P8341">
        <v>20181206</v>
      </c>
      <c r="Q8341" t="s">
        <v>6566</v>
      </c>
      <c r="R8341" t="s">
        <v>6567</v>
      </c>
      <c r="S8341" t="s">
        <v>6511</v>
      </c>
      <c r="T8341" t="s">
        <v>301</v>
      </c>
    </row>
    <row r="8342" spans="1:20" x14ac:dyDescent="0.25">
      <c r="A8342">
        <v>9</v>
      </c>
      <c r="B8342">
        <v>224</v>
      </c>
      <c r="C8342" t="str">
        <f>"11"</f>
        <v>11</v>
      </c>
      <c r="D8342">
        <v>6229</v>
      </c>
      <c r="E8342" t="str">
        <f t="shared" si="1902"/>
        <v>00</v>
      </c>
      <c r="F8342" t="str">
        <f>"041"</f>
        <v>041</v>
      </c>
      <c r="G8342">
        <v>9</v>
      </c>
      <c r="H8342" t="str">
        <f t="shared" si="1897"/>
        <v>23</v>
      </c>
      <c r="I8342" t="str">
        <f t="shared" si="1900"/>
        <v>0</v>
      </c>
      <c r="J8342" t="str">
        <f>"00"</f>
        <v>00</v>
      </c>
      <c r="K8342">
        <v>20181207</v>
      </c>
      <c r="L8342" t="str">
        <f>"074868"</f>
        <v>074868</v>
      </c>
      <c r="M8342" t="str">
        <f>"22129"</f>
        <v>22129</v>
      </c>
      <c r="N8342" t="s">
        <v>775</v>
      </c>
      <c r="O8342" s="1">
        <v>10629</v>
      </c>
      <c r="P8342">
        <v>20181206</v>
      </c>
      <c r="Q8342" t="s">
        <v>6568</v>
      </c>
      <c r="R8342" t="s">
        <v>6567</v>
      </c>
      <c r="S8342" t="s">
        <v>6511</v>
      </c>
      <c r="T8342" t="s">
        <v>106</v>
      </c>
    </row>
    <row r="8343" spans="1:20" x14ac:dyDescent="0.25">
      <c r="A8343">
        <v>9</v>
      </c>
      <c r="B8343">
        <v>224</v>
      </c>
      <c r="C8343" t="str">
        <f>"11"</f>
        <v>11</v>
      </c>
      <c r="D8343">
        <v>6229</v>
      </c>
      <c r="E8343" t="str">
        <f t="shared" si="1902"/>
        <v>00</v>
      </c>
      <c r="F8343" t="str">
        <f>"101"</f>
        <v>101</v>
      </c>
      <c r="G8343">
        <v>9</v>
      </c>
      <c r="H8343" t="str">
        <f t="shared" si="1897"/>
        <v>23</v>
      </c>
      <c r="I8343" t="str">
        <f t="shared" si="1900"/>
        <v>0</v>
      </c>
      <c r="J8343" t="str">
        <f>"00"</f>
        <v>00</v>
      </c>
      <c r="K8343">
        <v>20181207</v>
      </c>
      <c r="L8343" t="str">
        <f>"074868"</f>
        <v>074868</v>
      </c>
      <c r="M8343" t="str">
        <f>"22129"</f>
        <v>22129</v>
      </c>
      <c r="N8343" t="s">
        <v>775</v>
      </c>
      <c r="O8343" s="1">
        <v>35430</v>
      </c>
      <c r="P8343">
        <v>20181206</v>
      </c>
      <c r="Q8343" t="s">
        <v>6569</v>
      </c>
      <c r="R8343" t="s">
        <v>6567</v>
      </c>
      <c r="S8343" t="s">
        <v>6511</v>
      </c>
      <c r="T8343" t="s">
        <v>1479</v>
      </c>
    </row>
    <row r="8344" spans="1:20" x14ac:dyDescent="0.25">
      <c r="A8344">
        <v>9</v>
      </c>
      <c r="B8344">
        <v>224</v>
      </c>
      <c r="C8344" t="str">
        <f>"31"</f>
        <v>31</v>
      </c>
      <c r="D8344">
        <v>6399</v>
      </c>
      <c r="E8344" t="str">
        <f t="shared" si="1902"/>
        <v>00</v>
      </c>
      <c r="F8344" t="str">
        <f>"875"</f>
        <v>875</v>
      </c>
      <c r="G8344">
        <v>9</v>
      </c>
      <c r="H8344" t="str">
        <f t="shared" si="1897"/>
        <v>23</v>
      </c>
      <c r="I8344" t="str">
        <f t="shared" si="1900"/>
        <v>0</v>
      </c>
      <c r="J8344" t="str">
        <f>"18"</f>
        <v>18</v>
      </c>
      <c r="K8344">
        <v>20181207</v>
      </c>
      <c r="L8344" t="str">
        <f>"074923"</f>
        <v>074923</v>
      </c>
      <c r="M8344" t="str">
        <f>"60178"</f>
        <v>60178</v>
      </c>
      <c r="N8344" t="s">
        <v>3054</v>
      </c>
      <c r="O8344">
        <v>63.8</v>
      </c>
      <c r="P8344">
        <v>20181206</v>
      </c>
      <c r="Q8344" t="s">
        <v>6535</v>
      </c>
      <c r="R8344" t="s">
        <v>6570</v>
      </c>
      <c r="S8344" t="s">
        <v>6511</v>
      </c>
      <c r="T8344" t="s">
        <v>2041</v>
      </c>
    </row>
    <row r="8345" spans="1:20" x14ac:dyDescent="0.25">
      <c r="A8345">
        <v>9</v>
      </c>
      <c r="B8345">
        <v>224</v>
      </c>
      <c r="C8345" t="str">
        <f>"31"</f>
        <v>31</v>
      </c>
      <c r="D8345">
        <v>6219</v>
      </c>
      <c r="E8345" t="str">
        <f t="shared" si="1902"/>
        <v>00</v>
      </c>
      <c r="F8345" t="str">
        <f>"875"</f>
        <v>875</v>
      </c>
      <c r="G8345">
        <v>9</v>
      </c>
      <c r="H8345" t="str">
        <f t="shared" si="1897"/>
        <v>23</v>
      </c>
      <c r="I8345" t="str">
        <f t="shared" si="1900"/>
        <v>0</v>
      </c>
      <c r="J8345" t="str">
        <f>"00"</f>
        <v>00</v>
      </c>
      <c r="K8345">
        <v>20181214</v>
      </c>
      <c r="L8345" t="str">
        <f>"074988"</f>
        <v>074988</v>
      </c>
      <c r="M8345" t="str">
        <f>"74150"</f>
        <v>74150</v>
      </c>
      <c r="N8345" t="s">
        <v>1691</v>
      </c>
      <c r="O8345" s="1">
        <v>1107.8</v>
      </c>
      <c r="P8345">
        <v>20181212</v>
      </c>
      <c r="Q8345" t="s">
        <v>6513</v>
      </c>
      <c r="R8345" t="s">
        <v>3105</v>
      </c>
      <c r="S8345" t="s">
        <v>6511</v>
      </c>
      <c r="T8345" t="s">
        <v>2041</v>
      </c>
    </row>
    <row r="8346" spans="1:20" x14ac:dyDescent="0.25">
      <c r="A8346">
        <v>9</v>
      </c>
      <c r="B8346">
        <v>224</v>
      </c>
      <c r="C8346" t="str">
        <f>"31"</f>
        <v>31</v>
      </c>
      <c r="D8346">
        <v>6411</v>
      </c>
      <c r="E8346" t="str">
        <f>"SG"</f>
        <v>SG</v>
      </c>
      <c r="F8346" t="str">
        <f>"875"</f>
        <v>875</v>
      </c>
      <c r="G8346">
        <v>9</v>
      </c>
      <c r="H8346" t="str">
        <f t="shared" si="1897"/>
        <v>23</v>
      </c>
      <c r="I8346" t="str">
        <f t="shared" si="1900"/>
        <v>0</v>
      </c>
      <c r="J8346" t="str">
        <f>"18"</f>
        <v>18</v>
      </c>
      <c r="K8346">
        <v>20181214</v>
      </c>
      <c r="L8346" t="str">
        <f>"075000"</f>
        <v>075000</v>
      </c>
      <c r="M8346" t="str">
        <f>"21132"</f>
        <v>21132</v>
      </c>
      <c r="N8346" t="s">
        <v>5382</v>
      </c>
      <c r="O8346">
        <v>57.89</v>
      </c>
      <c r="P8346">
        <v>20181212</v>
      </c>
      <c r="Q8346" t="s">
        <v>6544</v>
      </c>
      <c r="R8346" t="s">
        <v>6545</v>
      </c>
      <c r="S8346" t="s">
        <v>6511</v>
      </c>
      <c r="T8346" t="s">
        <v>2041</v>
      </c>
    </row>
    <row r="8347" spans="1:20" x14ac:dyDescent="0.25">
      <c r="A8347">
        <v>9</v>
      </c>
      <c r="B8347">
        <v>224</v>
      </c>
      <c r="C8347" t="str">
        <f>"13"</f>
        <v>13</v>
      </c>
      <c r="D8347">
        <v>6411</v>
      </c>
      <c r="E8347" t="str">
        <f>"00"</f>
        <v>00</v>
      </c>
      <c r="F8347" t="str">
        <f>"001"</f>
        <v>001</v>
      </c>
      <c r="G8347">
        <v>9</v>
      </c>
      <c r="H8347" t="str">
        <f t="shared" si="1897"/>
        <v>23</v>
      </c>
      <c r="I8347" t="str">
        <f t="shared" si="1900"/>
        <v>0</v>
      </c>
      <c r="J8347" t="str">
        <f t="shared" ref="J8347:J8352" si="1904">"00"</f>
        <v>00</v>
      </c>
      <c r="K8347">
        <v>20181214</v>
      </c>
      <c r="L8347" t="str">
        <f t="shared" ref="L8347:L8352" si="1905">"075012"</f>
        <v>075012</v>
      </c>
      <c r="M8347" t="str">
        <f t="shared" ref="M8347:M8352" si="1906">"27900"</f>
        <v>27900</v>
      </c>
      <c r="N8347" t="s">
        <v>1490</v>
      </c>
      <c r="O8347">
        <v>675</v>
      </c>
      <c r="P8347">
        <v>20181212</v>
      </c>
      <c r="Q8347" t="s">
        <v>6571</v>
      </c>
      <c r="R8347" t="s">
        <v>6572</v>
      </c>
      <c r="S8347" t="s">
        <v>6511</v>
      </c>
      <c r="T8347" t="s">
        <v>301</v>
      </c>
    </row>
    <row r="8348" spans="1:20" x14ac:dyDescent="0.25">
      <c r="A8348">
        <v>9</v>
      </c>
      <c r="B8348">
        <v>224</v>
      </c>
      <c r="C8348" t="str">
        <f>"13"</f>
        <v>13</v>
      </c>
      <c r="D8348">
        <v>6411</v>
      </c>
      <c r="E8348" t="str">
        <f>"00"</f>
        <v>00</v>
      </c>
      <c r="F8348" t="str">
        <f>"101"</f>
        <v>101</v>
      </c>
      <c r="G8348">
        <v>9</v>
      </c>
      <c r="H8348" t="str">
        <f t="shared" si="1897"/>
        <v>23</v>
      </c>
      <c r="I8348" t="str">
        <f t="shared" si="1900"/>
        <v>0</v>
      </c>
      <c r="J8348" t="str">
        <f t="shared" si="1904"/>
        <v>00</v>
      </c>
      <c r="K8348">
        <v>20181214</v>
      </c>
      <c r="L8348" t="str">
        <f t="shared" si="1905"/>
        <v>075012</v>
      </c>
      <c r="M8348" t="str">
        <f t="shared" si="1906"/>
        <v>27900</v>
      </c>
      <c r="N8348" t="s">
        <v>1490</v>
      </c>
      <c r="O8348">
        <v>225</v>
      </c>
      <c r="P8348">
        <v>20181212</v>
      </c>
      <c r="Q8348" t="s">
        <v>6573</v>
      </c>
      <c r="R8348" t="s">
        <v>6572</v>
      </c>
      <c r="S8348" t="s">
        <v>6511</v>
      </c>
      <c r="T8348" t="s">
        <v>1479</v>
      </c>
    </row>
    <row r="8349" spans="1:20" x14ac:dyDescent="0.25">
      <c r="A8349">
        <v>9</v>
      </c>
      <c r="B8349">
        <v>224</v>
      </c>
      <c r="C8349" t="str">
        <f>"13"</f>
        <v>13</v>
      </c>
      <c r="D8349">
        <v>6411</v>
      </c>
      <c r="E8349" t="str">
        <f>"00"</f>
        <v>00</v>
      </c>
      <c r="F8349" t="str">
        <f>"101"</f>
        <v>101</v>
      </c>
      <c r="G8349">
        <v>9</v>
      </c>
      <c r="H8349" t="str">
        <f t="shared" si="1897"/>
        <v>23</v>
      </c>
      <c r="I8349" t="str">
        <f t="shared" si="1900"/>
        <v>0</v>
      </c>
      <c r="J8349" t="str">
        <f t="shared" si="1904"/>
        <v>00</v>
      </c>
      <c r="K8349">
        <v>20181214</v>
      </c>
      <c r="L8349" t="str">
        <f t="shared" si="1905"/>
        <v>075012</v>
      </c>
      <c r="M8349" t="str">
        <f t="shared" si="1906"/>
        <v>27900</v>
      </c>
      <c r="N8349" t="s">
        <v>1490</v>
      </c>
      <c r="O8349">
        <v>225</v>
      </c>
      <c r="P8349">
        <v>20181212</v>
      </c>
      <c r="Q8349" t="s">
        <v>6573</v>
      </c>
      <c r="R8349" t="s">
        <v>6572</v>
      </c>
      <c r="S8349" t="s">
        <v>6511</v>
      </c>
      <c r="T8349" t="s">
        <v>1479</v>
      </c>
    </row>
    <row r="8350" spans="1:20" x14ac:dyDescent="0.25">
      <c r="A8350">
        <v>9</v>
      </c>
      <c r="B8350">
        <v>224</v>
      </c>
      <c r="C8350" t="str">
        <f>"13"</f>
        <v>13</v>
      </c>
      <c r="D8350">
        <v>6411</v>
      </c>
      <c r="E8350" t="str">
        <f>"00"</f>
        <v>00</v>
      </c>
      <c r="F8350" t="str">
        <f>"101"</f>
        <v>101</v>
      </c>
      <c r="G8350">
        <v>9</v>
      </c>
      <c r="H8350" t="str">
        <f t="shared" si="1897"/>
        <v>23</v>
      </c>
      <c r="I8350" t="str">
        <f t="shared" si="1900"/>
        <v>0</v>
      </c>
      <c r="J8350" t="str">
        <f t="shared" si="1904"/>
        <v>00</v>
      </c>
      <c r="K8350">
        <v>20181214</v>
      </c>
      <c r="L8350" t="str">
        <f t="shared" si="1905"/>
        <v>075012</v>
      </c>
      <c r="M8350" t="str">
        <f t="shared" si="1906"/>
        <v>27900</v>
      </c>
      <c r="N8350" t="s">
        <v>1490</v>
      </c>
      <c r="O8350">
        <v>225</v>
      </c>
      <c r="P8350">
        <v>20181212</v>
      </c>
      <c r="Q8350" t="s">
        <v>6573</v>
      </c>
      <c r="R8350" t="s">
        <v>6572</v>
      </c>
      <c r="S8350" t="s">
        <v>6511</v>
      </c>
      <c r="T8350" t="s">
        <v>1479</v>
      </c>
    </row>
    <row r="8351" spans="1:20" x14ac:dyDescent="0.25">
      <c r="A8351">
        <v>9</v>
      </c>
      <c r="B8351">
        <v>224</v>
      </c>
      <c r="C8351" t="str">
        <f>"13"</f>
        <v>13</v>
      </c>
      <c r="D8351">
        <v>6411</v>
      </c>
      <c r="E8351" t="str">
        <f>"00"</f>
        <v>00</v>
      </c>
      <c r="F8351" t="str">
        <f>"104"</f>
        <v>104</v>
      </c>
      <c r="G8351">
        <v>9</v>
      </c>
      <c r="H8351" t="str">
        <f t="shared" si="1897"/>
        <v>23</v>
      </c>
      <c r="I8351" t="str">
        <f t="shared" si="1900"/>
        <v>0</v>
      </c>
      <c r="J8351" t="str">
        <f t="shared" si="1904"/>
        <v>00</v>
      </c>
      <c r="K8351">
        <v>20181214</v>
      </c>
      <c r="L8351" t="str">
        <f t="shared" si="1905"/>
        <v>075012</v>
      </c>
      <c r="M8351" t="str">
        <f t="shared" si="1906"/>
        <v>27900</v>
      </c>
      <c r="N8351" t="s">
        <v>1490</v>
      </c>
      <c r="O8351">
        <v>450</v>
      </c>
      <c r="P8351">
        <v>20181212</v>
      </c>
      <c r="Q8351" t="s">
        <v>6574</v>
      </c>
      <c r="R8351" t="s">
        <v>6572</v>
      </c>
      <c r="S8351" t="s">
        <v>6511</v>
      </c>
      <c r="T8351" t="s">
        <v>46</v>
      </c>
    </row>
    <row r="8352" spans="1:20" x14ac:dyDescent="0.25">
      <c r="A8352">
        <v>9</v>
      </c>
      <c r="B8352">
        <v>224</v>
      </c>
      <c r="C8352" t="str">
        <f>"31"</f>
        <v>31</v>
      </c>
      <c r="D8352">
        <v>6411</v>
      </c>
      <c r="E8352" t="str">
        <f>"SG"</f>
        <v>SG</v>
      </c>
      <c r="F8352" t="str">
        <f>"875"</f>
        <v>875</v>
      </c>
      <c r="G8352">
        <v>9</v>
      </c>
      <c r="H8352" t="str">
        <f t="shared" si="1897"/>
        <v>23</v>
      </c>
      <c r="I8352" t="str">
        <f t="shared" si="1900"/>
        <v>0</v>
      </c>
      <c r="J8352" t="str">
        <f t="shared" si="1904"/>
        <v>00</v>
      </c>
      <c r="K8352">
        <v>20181214</v>
      </c>
      <c r="L8352" t="str">
        <f t="shared" si="1905"/>
        <v>075012</v>
      </c>
      <c r="M8352" t="str">
        <f t="shared" si="1906"/>
        <v>27900</v>
      </c>
      <c r="N8352" t="s">
        <v>1490</v>
      </c>
      <c r="O8352">
        <v>20</v>
      </c>
      <c r="P8352">
        <v>20181212</v>
      </c>
      <c r="Q8352" t="s">
        <v>6531</v>
      </c>
      <c r="R8352" t="s">
        <v>6575</v>
      </c>
      <c r="S8352" t="s">
        <v>6511</v>
      </c>
      <c r="T8352" t="s">
        <v>2041</v>
      </c>
    </row>
    <row r="8353" spans="1:20" x14ac:dyDescent="0.25">
      <c r="A8353">
        <v>9</v>
      </c>
      <c r="B8353">
        <v>224</v>
      </c>
      <c r="C8353" t="str">
        <f t="shared" ref="C8353:C8359" si="1907">"11"</f>
        <v>11</v>
      </c>
      <c r="D8353">
        <v>6399</v>
      </c>
      <c r="E8353" t="str">
        <f t="shared" ref="E8353:E8359" si="1908">"00"</f>
        <v>00</v>
      </c>
      <c r="F8353" t="str">
        <f>"001"</f>
        <v>001</v>
      </c>
      <c r="G8353">
        <v>9</v>
      </c>
      <c r="H8353" t="str">
        <f t="shared" si="1897"/>
        <v>23</v>
      </c>
      <c r="I8353" t="str">
        <f t="shared" si="1900"/>
        <v>0</v>
      </c>
      <c r="J8353" t="str">
        <f t="shared" ref="J8353:J8360" si="1909">"18"</f>
        <v>18</v>
      </c>
      <c r="K8353">
        <v>20181214</v>
      </c>
      <c r="L8353" t="str">
        <f t="shared" ref="L8353:L8359" si="1910">"075030"</f>
        <v>075030</v>
      </c>
      <c r="M8353" t="str">
        <f t="shared" ref="M8353:M8359" si="1911">"37500"</f>
        <v>37500</v>
      </c>
      <c r="N8353" t="s">
        <v>2077</v>
      </c>
      <c r="O8353">
        <v>74.36</v>
      </c>
      <c r="P8353">
        <v>20181212</v>
      </c>
      <c r="Q8353" t="s">
        <v>6554</v>
      </c>
      <c r="R8353" t="s">
        <v>6576</v>
      </c>
      <c r="S8353" t="s">
        <v>6511</v>
      </c>
      <c r="T8353" t="s">
        <v>301</v>
      </c>
    </row>
    <row r="8354" spans="1:20" x14ac:dyDescent="0.25">
      <c r="A8354">
        <v>9</v>
      </c>
      <c r="B8354">
        <v>224</v>
      </c>
      <c r="C8354" t="str">
        <f t="shared" si="1907"/>
        <v>11</v>
      </c>
      <c r="D8354">
        <v>6399</v>
      </c>
      <c r="E8354" t="str">
        <f t="shared" si="1908"/>
        <v>00</v>
      </c>
      <c r="F8354" t="str">
        <f>"001"</f>
        <v>001</v>
      </c>
      <c r="G8354">
        <v>9</v>
      </c>
      <c r="H8354" t="str">
        <f t="shared" si="1897"/>
        <v>23</v>
      </c>
      <c r="I8354" t="str">
        <f t="shared" si="1900"/>
        <v>0</v>
      </c>
      <c r="J8354" t="str">
        <f t="shared" si="1909"/>
        <v>18</v>
      </c>
      <c r="K8354">
        <v>20181214</v>
      </c>
      <c r="L8354" t="str">
        <f t="shared" si="1910"/>
        <v>075030</v>
      </c>
      <c r="M8354" t="str">
        <f t="shared" si="1911"/>
        <v>37500</v>
      </c>
      <c r="N8354" t="s">
        <v>2077</v>
      </c>
      <c r="O8354">
        <v>23.22</v>
      </c>
      <c r="P8354">
        <v>20181212</v>
      </c>
      <c r="Q8354" t="s">
        <v>6554</v>
      </c>
      <c r="R8354" t="s">
        <v>2793</v>
      </c>
      <c r="S8354" t="s">
        <v>6511</v>
      </c>
      <c r="T8354" t="s">
        <v>301</v>
      </c>
    </row>
    <row r="8355" spans="1:20" x14ac:dyDescent="0.25">
      <c r="A8355">
        <v>9</v>
      </c>
      <c r="B8355">
        <v>224</v>
      </c>
      <c r="C8355" t="str">
        <f t="shared" si="1907"/>
        <v>11</v>
      </c>
      <c r="D8355">
        <v>6399</v>
      </c>
      <c r="E8355" t="str">
        <f t="shared" si="1908"/>
        <v>00</v>
      </c>
      <c r="F8355" t="str">
        <f>"041"</f>
        <v>041</v>
      </c>
      <c r="G8355">
        <v>9</v>
      </c>
      <c r="H8355" t="str">
        <f t="shared" si="1897"/>
        <v>23</v>
      </c>
      <c r="I8355" t="str">
        <f t="shared" si="1900"/>
        <v>0</v>
      </c>
      <c r="J8355" t="str">
        <f t="shared" si="1909"/>
        <v>18</v>
      </c>
      <c r="K8355">
        <v>20181214</v>
      </c>
      <c r="L8355" t="str">
        <f t="shared" si="1910"/>
        <v>075030</v>
      </c>
      <c r="M8355" t="str">
        <f t="shared" si="1911"/>
        <v>37500</v>
      </c>
      <c r="N8355" t="s">
        <v>2077</v>
      </c>
      <c r="O8355">
        <v>96.92</v>
      </c>
      <c r="P8355">
        <v>20181212</v>
      </c>
      <c r="Q8355" t="s">
        <v>6556</v>
      </c>
      <c r="R8355" t="s">
        <v>6577</v>
      </c>
      <c r="S8355" t="s">
        <v>6511</v>
      </c>
      <c r="T8355" t="s">
        <v>106</v>
      </c>
    </row>
    <row r="8356" spans="1:20" x14ac:dyDescent="0.25">
      <c r="A8356">
        <v>9</v>
      </c>
      <c r="B8356">
        <v>224</v>
      </c>
      <c r="C8356" t="str">
        <f t="shared" si="1907"/>
        <v>11</v>
      </c>
      <c r="D8356">
        <v>6399</v>
      </c>
      <c r="E8356" t="str">
        <f t="shared" si="1908"/>
        <v>00</v>
      </c>
      <c r="F8356" t="str">
        <f>"041"</f>
        <v>041</v>
      </c>
      <c r="G8356">
        <v>9</v>
      </c>
      <c r="H8356" t="str">
        <f t="shared" si="1897"/>
        <v>23</v>
      </c>
      <c r="I8356" t="str">
        <f t="shared" si="1900"/>
        <v>0</v>
      </c>
      <c r="J8356" t="str">
        <f t="shared" si="1909"/>
        <v>18</v>
      </c>
      <c r="K8356">
        <v>20181214</v>
      </c>
      <c r="L8356" t="str">
        <f t="shared" si="1910"/>
        <v>075030</v>
      </c>
      <c r="M8356" t="str">
        <f t="shared" si="1911"/>
        <v>37500</v>
      </c>
      <c r="N8356" t="s">
        <v>2077</v>
      </c>
      <c r="O8356">
        <v>-7.22</v>
      </c>
      <c r="P8356">
        <v>20181031</v>
      </c>
      <c r="Q8356" t="s">
        <v>6556</v>
      </c>
      <c r="R8356" t="s">
        <v>6577</v>
      </c>
      <c r="S8356" t="s">
        <v>6511</v>
      </c>
      <c r="T8356" t="s">
        <v>106</v>
      </c>
    </row>
    <row r="8357" spans="1:20" x14ac:dyDescent="0.25">
      <c r="A8357">
        <v>9</v>
      </c>
      <c r="B8357">
        <v>224</v>
      </c>
      <c r="C8357" t="str">
        <f t="shared" si="1907"/>
        <v>11</v>
      </c>
      <c r="D8357">
        <v>6399</v>
      </c>
      <c r="E8357" t="str">
        <f t="shared" si="1908"/>
        <v>00</v>
      </c>
      <c r="F8357" t="str">
        <f>"101"</f>
        <v>101</v>
      </c>
      <c r="G8357">
        <v>9</v>
      </c>
      <c r="H8357" t="str">
        <f t="shared" si="1897"/>
        <v>23</v>
      </c>
      <c r="I8357" t="str">
        <f t="shared" si="1900"/>
        <v>0</v>
      </c>
      <c r="J8357" t="str">
        <f t="shared" si="1909"/>
        <v>18</v>
      </c>
      <c r="K8357">
        <v>20181214</v>
      </c>
      <c r="L8357" t="str">
        <f t="shared" si="1910"/>
        <v>075030</v>
      </c>
      <c r="M8357" t="str">
        <f t="shared" si="1911"/>
        <v>37500</v>
      </c>
      <c r="N8357" t="s">
        <v>2077</v>
      </c>
      <c r="O8357">
        <v>49.35</v>
      </c>
      <c r="P8357">
        <v>20181212</v>
      </c>
      <c r="Q8357" t="s">
        <v>6557</v>
      </c>
      <c r="R8357" t="s">
        <v>6578</v>
      </c>
      <c r="S8357" t="s">
        <v>6511</v>
      </c>
      <c r="T8357" t="s">
        <v>1479</v>
      </c>
    </row>
    <row r="8358" spans="1:20" x14ac:dyDescent="0.25">
      <c r="A8358">
        <v>9</v>
      </c>
      <c r="B8358">
        <v>224</v>
      </c>
      <c r="C8358" t="str">
        <f t="shared" si="1907"/>
        <v>11</v>
      </c>
      <c r="D8358">
        <v>6399</v>
      </c>
      <c r="E8358" t="str">
        <f t="shared" si="1908"/>
        <v>00</v>
      </c>
      <c r="F8358" t="str">
        <f>"101"</f>
        <v>101</v>
      </c>
      <c r="G8358">
        <v>9</v>
      </c>
      <c r="H8358" t="str">
        <f t="shared" si="1897"/>
        <v>23</v>
      </c>
      <c r="I8358" t="str">
        <f t="shared" si="1900"/>
        <v>0</v>
      </c>
      <c r="J8358" t="str">
        <f t="shared" si="1909"/>
        <v>18</v>
      </c>
      <c r="K8358">
        <v>20181214</v>
      </c>
      <c r="L8358" t="str">
        <f t="shared" si="1910"/>
        <v>075030</v>
      </c>
      <c r="M8358" t="str">
        <f t="shared" si="1911"/>
        <v>37500</v>
      </c>
      <c r="N8358" t="s">
        <v>2077</v>
      </c>
      <c r="O8358">
        <v>49.85</v>
      </c>
      <c r="P8358">
        <v>20181212</v>
      </c>
      <c r="Q8358" t="s">
        <v>6557</v>
      </c>
      <c r="R8358" t="s">
        <v>6578</v>
      </c>
      <c r="S8358" t="s">
        <v>6511</v>
      </c>
      <c r="T8358" t="s">
        <v>1479</v>
      </c>
    </row>
    <row r="8359" spans="1:20" x14ac:dyDescent="0.25">
      <c r="A8359">
        <v>9</v>
      </c>
      <c r="B8359">
        <v>224</v>
      </c>
      <c r="C8359" t="str">
        <f t="shared" si="1907"/>
        <v>11</v>
      </c>
      <c r="D8359">
        <v>6399</v>
      </c>
      <c r="E8359" t="str">
        <f t="shared" si="1908"/>
        <v>00</v>
      </c>
      <c r="F8359" t="str">
        <f>"101"</f>
        <v>101</v>
      </c>
      <c r="G8359">
        <v>9</v>
      </c>
      <c r="H8359" t="str">
        <f t="shared" si="1897"/>
        <v>23</v>
      </c>
      <c r="I8359" t="str">
        <f t="shared" si="1900"/>
        <v>0</v>
      </c>
      <c r="J8359" t="str">
        <f t="shared" si="1909"/>
        <v>18</v>
      </c>
      <c r="K8359">
        <v>20181214</v>
      </c>
      <c r="L8359" t="str">
        <f t="shared" si="1910"/>
        <v>075030</v>
      </c>
      <c r="M8359" t="str">
        <f t="shared" si="1911"/>
        <v>37500</v>
      </c>
      <c r="N8359" t="s">
        <v>2077</v>
      </c>
      <c r="O8359">
        <v>49.46</v>
      </c>
      <c r="P8359">
        <v>20181212</v>
      </c>
      <c r="Q8359" t="s">
        <v>6557</v>
      </c>
      <c r="R8359" t="s">
        <v>2793</v>
      </c>
      <c r="S8359" t="s">
        <v>6511</v>
      </c>
      <c r="T8359" t="s">
        <v>1479</v>
      </c>
    </row>
    <row r="8360" spans="1:20" x14ac:dyDescent="0.25">
      <c r="A8360">
        <v>9</v>
      </c>
      <c r="B8360">
        <v>224</v>
      </c>
      <c r="C8360" t="str">
        <f>"21"</f>
        <v>21</v>
      </c>
      <c r="D8360">
        <v>6411</v>
      </c>
      <c r="E8360" t="str">
        <f>"SH"</f>
        <v>SH</v>
      </c>
      <c r="F8360" t="str">
        <f>"878"</f>
        <v>878</v>
      </c>
      <c r="G8360">
        <v>9</v>
      </c>
      <c r="H8360" t="str">
        <f t="shared" si="1897"/>
        <v>23</v>
      </c>
      <c r="I8360" t="str">
        <f t="shared" si="1900"/>
        <v>0</v>
      </c>
      <c r="J8360" t="str">
        <f t="shared" si="1909"/>
        <v>18</v>
      </c>
      <c r="K8360">
        <v>20181214</v>
      </c>
      <c r="L8360" t="str">
        <f>"075042"</f>
        <v>075042</v>
      </c>
      <c r="M8360" t="str">
        <f>"45054"</f>
        <v>45054</v>
      </c>
      <c r="N8360" t="s">
        <v>1905</v>
      </c>
      <c r="O8360">
        <v>303.60000000000002</v>
      </c>
      <c r="P8360">
        <v>20181212</v>
      </c>
      <c r="Q8360" t="s">
        <v>6515</v>
      </c>
      <c r="R8360" t="s">
        <v>6516</v>
      </c>
      <c r="S8360" t="s">
        <v>6511</v>
      </c>
      <c r="T8360" t="s">
        <v>4465</v>
      </c>
    </row>
    <row r="8361" spans="1:20" x14ac:dyDescent="0.25">
      <c r="A8361">
        <v>9</v>
      </c>
      <c r="B8361">
        <v>224</v>
      </c>
      <c r="C8361" t="str">
        <f>"31"</f>
        <v>31</v>
      </c>
      <c r="D8361">
        <v>6219</v>
      </c>
      <c r="E8361" t="str">
        <f t="shared" ref="E8361:E8367" si="1912">"00"</f>
        <v>00</v>
      </c>
      <c r="F8361" t="str">
        <f>"875"</f>
        <v>875</v>
      </c>
      <c r="G8361">
        <v>9</v>
      </c>
      <c r="H8361" t="str">
        <f t="shared" si="1897"/>
        <v>23</v>
      </c>
      <c r="I8361" t="str">
        <f t="shared" si="1900"/>
        <v>0</v>
      </c>
      <c r="J8361" t="str">
        <f>"00"</f>
        <v>00</v>
      </c>
      <c r="K8361">
        <v>20181214</v>
      </c>
      <c r="L8361" t="str">
        <f>"075054"</f>
        <v>075054</v>
      </c>
      <c r="M8361" t="str">
        <f>"49997"</f>
        <v>49997</v>
      </c>
      <c r="N8361" t="s">
        <v>6508</v>
      </c>
      <c r="O8361" s="1">
        <v>1090</v>
      </c>
      <c r="P8361">
        <v>20181212</v>
      </c>
      <c r="Q8361" t="s">
        <v>6513</v>
      </c>
      <c r="R8361" t="s">
        <v>6579</v>
      </c>
      <c r="S8361" t="s">
        <v>6511</v>
      </c>
      <c r="T8361" t="s">
        <v>2041</v>
      </c>
    </row>
    <row r="8362" spans="1:20" x14ac:dyDescent="0.25">
      <c r="A8362">
        <v>9</v>
      </c>
      <c r="B8362">
        <v>224</v>
      </c>
      <c r="C8362" t="str">
        <f>"11"</f>
        <v>11</v>
      </c>
      <c r="D8362">
        <v>6339</v>
      </c>
      <c r="E8362" t="str">
        <f t="shared" si="1912"/>
        <v>00</v>
      </c>
      <c r="F8362" t="str">
        <f>"101"</f>
        <v>101</v>
      </c>
      <c r="G8362">
        <v>9</v>
      </c>
      <c r="H8362" t="str">
        <f t="shared" si="1897"/>
        <v>23</v>
      </c>
      <c r="I8362" t="str">
        <f t="shared" si="1900"/>
        <v>0</v>
      </c>
      <c r="J8362" t="str">
        <f t="shared" ref="J8362:J8368" si="1913">"18"</f>
        <v>18</v>
      </c>
      <c r="K8362">
        <v>20181214</v>
      </c>
      <c r="L8362" t="str">
        <f>"075059"</f>
        <v>075059</v>
      </c>
      <c r="M8362" t="str">
        <f>"54495"</f>
        <v>54495</v>
      </c>
      <c r="N8362" t="s">
        <v>2102</v>
      </c>
      <c r="O8362">
        <v>529.79</v>
      </c>
      <c r="P8362">
        <v>20181212</v>
      </c>
      <c r="Q8362" t="s">
        <v>6523</v>
      </c>
      <c r="R8362" t="s">
        <v>6580</v>
      </c>
      <c r="S8362" t="s">
        <v>6511</v>
      </c>
      <c r="T8362" t="s">
        <v>1479</v>
      </c>
    </row>
    <row r="8363" spans="1:20" x14ac:dyDescent="0.25">
      <c r="A8363">
        <v>9</v>
      </c>
      <c r="B8363">
        <v>224</v>
      </c>
      <c r="C8363" t="str">
        <f>"31"</f>
        <v>31</v>
      </c>
      <c r="D8363">
        <v>6399</v>
      </c>
      <c r="E8363" t="str">
        <f t="shared" si="1912"/>
        <v>00</v>
      </c>
      <c r="F8363" t="str">
        <f>"875"</f>
        <v>875</v>
      </c>
      <c r="G8363">
        <v>9</v>
      </c>
      <c r="H8363" t="str">
        <f t="shared" si="1897"/>
        <v>23</v>
      </c>
      <c r="I8363" t="str">
        <f t="shared" si="1900"/>
        <v>0</v>
      </c>
      <c r="J8363" t="str">
        <f t="shared" si="1913"/>
        <v>18</v>
      </c>
      <c r="K8363">
        <v>20181214</v>
      </c>
      <c r="L8363" t="str">
        <f>"075059"</f>
        <v>075059</v>
      </c>
      <c r="M8363" t="str">
        <f>"54495"</f>
        <v>54495</v>
      </c>
      <c r="N8363" t="s">
        <v>2102</v>
      </c>
      <c r="O8363">
        <v>215.29</v>
      </c>
      <c r="P8363">
        <v>20181212</v>
      </c>
      <c r="Q8363" t="s">
        <v>6535</v>
      </c>
      <c r="R8363" t="s">
        <v>6581</v>
      </c>
      <c r="S8363" t="s">
        <v>6511</v>
      </c>
      <c r="T8363" t="s">
        <v>2041</v>
      </c>
    </row>
    <row r="8364" spans="1:20" x14ac:dyDescent="0.25">
      <c r="A8364">
        <v>9</v>
      </c>
      <c r="B8364">
        <v>224</v>
      </c>
      <c r="C8364" t="str">
        <f>"31"</f>
        <v>31</v>
      </c>
      <c r="D8364">
        <v>6399</v>
      </c>
      <c r="E8364" t="str">
        <f t="shared" si="1912"/>
        <v>00</v>
      </c>
      <c r="F8364" t="str">
        <f>"875"</f>
        <v>875</v>
      </c>
      <c r="G8364">
        <v>9</v>
      </c>
      <c r="H8364" t="str">
        <f t="shared" si="1897"/>
        <v>23</v>
      </c>
      <c r="I8364" t="str">
        <f t="shared" si="1900"/>
        <v>0</v>
      </c>
      <c r="J8364" t="str">
        <f t="shared" si="1913"/>
        <v>18</v>
      </c>
      <c r="K8364">
        <v>20181214</v>
      </c>
      <c r="L8364" t="str">
        <f>"075059"</f>
        <v>075059</v>
      </c>
      <c r="M8364" t="str">
        <f>"54495"</f>
        <v>54495</v>
      </c>
      <c r="N8364" t="s">
        <v>2102</v>
      </c>
      <c r="O8364">
        <v>348.21</v>
      </c>
      <c r="P8364">
        <v>20181212</v>
      </c>
      <c r="Q8364" t="s">
        <v>6535</v>
      </c>
      <c r="R8364" t="s">
        <v>6582</v>
      </c>
      <c r="S8364" t="s">
        <v>6511</v>
      </c>
      <c r="T8364" t="s">
        <v>2041</v>
      </c>
    </row>
    <row r="8365" spans="1:20" x14ac:dyDescent="0.25">
      <c r="A8365">
        <v>9</v>
      </c>
      <c r="B8365">
        <v>224</v>
      </c>
      <c r="C8365" t="str">
        <f>"11"</f>
        <v>11</v>
      </c>
      <c r="D8365">
        <v>6399</v>
      </c>
      <c r="E8365" t="str">
        <f t="shared" si="1912"/>
        <v>00</v>
      </c>
      <c r="F8365" t="str">
        <f>"001"</f>
        <v>001</v>
      </c>
      <c r="G8365">
        <v>9</v>
      </c>
      <c r="H8365" t="str">
        <f t="shared" si="1897"/>
        <v>23</v>
      </c>
      <c r="I8365" t="str">
        <f t="shared" si="1900"/>
        <v>0</v>
      </c>
      <c r="J8365" t="str">
        <f t="shared" si="1913"/>
        <v>18</v>
      </c>
      <c r="K8365">
        <v>20190104</v>
      </c>
      <c r="L8365" t="str">
        <f>"075122"</f>
        <v>075122</v>
      </c>
      <c r="M8365" t="str">
        <f>"37500"</f>
        <v>37500</v>
      </c>
      <c r="N8365" t="s">
        <v>2077</v>
      </c>
      <c r="O8365">
        <v>68.22</v>
      </c>
      <c r="P8365">
        <v>20190104</v>
      </c>
      <c r="Q8365" t="s">
        <v>6554</v>
      </c>
      <c r="R8365" t="s">
        <v>6583</v>
      </c>
      <c r="S8365" t="s">
        <v>6511</v>
      </c>
      <c r="T8365" t="s">
        <v>301</v>
      </c>
    </row>
    <row r="8366" spans="1:20" x14ac:dyDescent="0.25">
      <c r="A8366">
        <v>9</v>
      </c>
      <c r="B8366">
        <v>224</v>
      </c>
      <c r="C8366" t="str">
        <f>"11"</f>
        <v>11</v>
      </c>
      <c r="D8366">
        <v>6399</v>
      </c>
      <c r="E8366" t="str">
        <f t="shared" si="1912"/>
        <v>00</v>
      </c>
      <c r="F8366" t="str">
        <f>"101"</f>
        <v>101</v>
      </c>
      <c r="G8366">
        <v>9</v>
      </c>
      <c r="H8366" t="str">
        <f t="shared" si="1897"/>
        <v>23</v>
      </c>
      <c r="I8366" t="str">
        <f t="shared" si="1900"/>
        <v>0</v>
      </c>
      <c r="J8366" t="str">
        <f t="shared" si="1913"/>
        <v>18</v>
      </c>
      <c r="K8366">
        <v>20190104</v>
      </c>
      <c r="L8366" t="str">
        <f>"075122"</f>
        <v>075122</v>
      </c>
      <c r="M8366" t="str">
        <f>"37500"</f>
        <v>37500</v>
      </c>
      <c r="N8366" t="s">
        <v>2077</v>
      </c>
      <c r="O8366">
        <v>44.65</v>
      </c>
      <c r="P8366">
        <v>20190104</v>
      </c>
      <c r="Q8366" t="s">
        <v>6557</v>
      </c>
      <c r="R8366" t="s">
        <v>6583</v>
      </c>
      <c r="S8366" t="s">
        <v>6511</v>
      </c>
      <c r="T8366" t="s">
        <v>1479</v>
      </c>
    </row>
    <row r="8367" spans="1:20" x14ac:dyDescent="0.25">
      <c r="A8367">
        <v>9</v>
      </c>
      <c r="B8367">
        <v>224</v>
      </c>
      <c r="C8367" t="str">
        <f>"11"</f>
        <v>11</v>
      </c>
      <c r="D8367">
        <v>6399</v>
      </c>
      <c r="E8367" t="str">
        <f t="shared" si="1912"/>
        <v>00</v>
      </c>
      <c r="F8367" t="str">
        <f>"101"</f>
        <v>101</v>
      </c>
      <c r="G8367">
        <v>9</v>
      </c>
      <c r="H8367" t="str">
        <f t="shared" si="1897"/>
        <v>23</v>
      </c>
      <c r="I8367" t="str">
        <f t="shared" si="1900"/>
        <v>0</v>
      </c>
      <c r="J8367" t="str">
        <f t="shared" si="1913"/>
        <v>18</v>
      </c>
      <c r="K8367">
        <v>20190104</v>
      </c>
      <c r="L8367" t="str">
        <f>"075122"</f>
        <v>075122</v>
      </c>
      <c r="M8367" t="str">
        <f>"37500"</f>
        <v>37500</v>
      </c>
      <c r="N8367" t="s">
        <v>2077</v>
      </c>
      <c r="O8367">
        <v>36.369999999999997</v>
      </c>
      <c r="P8367">
        <v>20190104</v>
      </c>
      <c r="Q8367" t="s">
        <v>6557</v>
      </c>
      <c r="R8367" t="s">
        <v>6583</v>
      </c>
      <c r="S8367" t="s">
        <v>6511</v>
      </c>
      <c r="T8367" t="s">
        <v>1479</v>
      </c>
    </row>
    <row r="8368" spans="1:20" x14ac:dyDescent="0.25">
      <c r="A8368">
        <v>9</v>
      </c>
      <c r="B8368">
        <v>224</v>
      </c>
      <c r="C8368" t="str">
        <f>"21"</f>
        <v>21</v>
      </c>
      <c r="D8368">
        <v>6411</v>
      </c>
      <c r="E8368" t="str">
        <f>"SH"</f>
        <v>SH</v>
      </c>
      <c r="F8368" t="str">
        <f>"878"</f>
        <v>878</v>
      </c>
      <c r="G8368">
        <v>9</v>
      </c>
      <c r="H8368" t="str">
        <f t="shared" ref="H8368:H8431" si="1914">"23"</f>
        <v>23</v>
      </c>
      <c r="I8368" t="str">
        <f t="shared" si="1900"/>
        <v>0</v>
      </c>
      <c r="J8368" t="str">
        <f t="shared" si="1913"/>
        <v>18</v>
      </c>
      <c r="K8368">
        <v>20190111</v>
      </c>
      <c r="L8368" t="str">
        <f>"075156"</f>
        <v>075156</v>
      </c>
      <c r="M8368" t="str">
        <f>"09170"</f>
        <v>09170</v>
      </c>
      <c r="N8368" t="s">
        <v>679</v>
      </c>
      <c r="O8368">
        <v>474.15</v>
      </c>
      <c r="P8368">
        <v>20190109</v>
      </c>
      <c r="Q8368" t="s">
        <v>6515</v>
      </c>
      <c r="R8368" t="s">
        <v>6516</v>
      </c>
      <c r="S8368" t="s">
        <v>6511</v>
      </c>
      <c r="T8368" t="s">
        <v>4465</v>
      </c>
    </row>
    <row r="8369" spans="1:20" x14ac:dyDescent="0.25">
      <c r="A8369">
        <v>9</v>
      </c>
      <c r="B8369">
        <v>224</v>
      </c>
      <c r="C8369" t="str">
        <f>"31"</f>
        <v>31</v>
      </c>
      <c r="D8369">
        <v>6219</v>
      </c>
      <c r="E8369" t="str">
        <f>"00"</f>
        <v>00</v>
      </c>
      <c r="F8369" t="str">
        <f>"875"</f>
        <v>875</v>
      </c>
      <c r="G8369">
        <v>9</v>
      </c>
      <c r="H8369" t="str">
        <f t="shared" si="1914"/>
        <v>23</v>
      </c>
      <c r="I8369" t="str">
        <f t="shared" si="1900"/>
        <v>0</v>
      </c>
      <c r="J8369" t="str">
        <f>"00"</f>
        <v>00</v>
      </c>
      <c r="K8369">
        <v>20190111</v>
      </c>
      <c r="L8369" t="str">
        <f>"075167"</f>
        <v>075167</v>
      </c>
      <c r="M8369" t="str">
        <f>"00589"</f>
        <v>00589</v>
      </c>
      <c r="N8369" t="s">
        <v>2977</v>
      </c>
      <c r="O8369">
        <v>360</v>
      </c>
      <c r="P8369">
        <v>20190109</v>
      </c>
      <c r="Q8369" t="s">
        <v>6513</v>
      </c>
      <c r="R8369" t="s">
        <v>6584</v>
      </c>
      <c r="S8369" t="s">
        <v>6511</v>
      </c>
      <c r="T8369" t="s">
        <v>2041</v>
      </c>
    </row>
    <row r="8370" spans="1:20" x14ac:dyDescent="0.25">
      <c r="A8370">
        <v>9</v>
      </c>
      <c r="B8370">
        <v>224</v>
      </c>
      <c r="C8370" t="str">
        <f>"31"</f>
        <v>31</v>
      </c>
      <c r="D8370">
        <v>6411</v>
      </c>
      <c r="E8370" t="str">
        <f>"SG"</f>
        <v>SG</v>
      </c>
      <c r="F8370" t="str">
        <f>"875"</f>
        <v>875</v>
      </c>
      <c r="G8370">
        <v>9</v>
      </c>
      <c r="H8370" t="str">
        <f t="shared" si="1914"/>
        <v>23</v>
      </c>
      <c r="I8370" t="str">
        <f t="shared" si="1900"/>
        <v>0</v>
      </c>
      <c r="J8370" t="str">
        <f>"18"</f>
        <v>18</v>
      </c>
      <c r="K8370">
        <v>20190111</v>
      </c>
      <c r="L8370" t="str">
        <f>"075229"</f>
        <v>075229</v>
      </c>
      <c r="M8370" t="str">
        <f>"49780"</f>
        <v>49780</v>
      </c>
      <c r="N8370" t="s">
        <v>6585</v>
      </c>
      <c r="O8370">
        <v>353.03</v>
      </c>
      <c r="P8370">
        <v>20190110</v>
      </c>
      <c r="Q8370" t="s">
        <v>6544</v>
      </c>
      <c r="R8370" t="s">
        <v>6545</v>
      </c>
      <c r="S8370" t="s">
        <v>6511</v>
      </c>
      <c r="T8370" t="s">
        <v>2041</v>
      </c>
    </row>
    <row r="8371" spans="1:20" x14ac:dyDescent="0.25">
      <c r="A8371">
        <v>9</v>
      </c>
      <c r="B8371">
        <v>224</v>
      </c>
      <c r="C8371" t="str">
        <f>"31"</f>
        <v>31</v>
      </c>
      <c r="D8371">
        <v>6219</v>
      </c>
      <c r="E8371" t="str">
        <f>"00"</f>
        <v>00</v>
      </c>
      <c r="F8371" t="str">
        <f>"875"</f>
        <v>875</v>
      </c>
      <c r="G8371">
        <v>9</v>
      </c>
      <c r="H8371" t="str">
        <f t="shared" si="1914"/>
        <v>23</v>
      </c>
      <c r="I8371" t="str">
        <f t="shared" si="1900"/>
        <v>0</v>
      </c>
      <c r="J8371" t="str">
        <f>"00"</f>
        <v>00</v>
      </c>
      <c r="K8371">
        <v>20190111</v>
      </c>
      <c r="L8371" t="str">
        <f>"075231"</f>
        <v>075231</v>
      </c>
      <c r="M8371" t="str">
        <f>"49997"</f>
        <v>49997</v>
      </c>
      <c r="N8371" t="s">
        <v>6508</v>
      </c>
      <c r="O8371">
        <v>665</v>
      </c>
      <c r="P8371">
        <v>20190110</v>
      </c>
      <c r="Q8371" t="s">
        <v>6513</v>
      </c>
      <c r="R8371" t="s">
        <v>6586</v>
      </c>
      <c r="S8371" t="s">
        <v>6511</v>
      </c>
      <c r="T8371" t="s">
        <v>2041</v>
      </c>
    </row>
    <row r="8372" spans="1:20" x14ac:dyDescent="0.25">
      <c r="A8372">
        <v>9</v>
      </c>
      <c r="B8372">
        <v>224</v>
      </c>
      <c r="C8372" t="str">
        <f>"13"</f>
        <v>13</v>
      </c>
      <c r="D8372">
        <v>6411</v>
      </c>
      <c r="E8372" t="str">
        <f>"00"</f>
        <v>00</v>
      </c>
      <c r="F8372" t="str">
        <f>"041"</f>
        <v>041</v>
      </c>
      <c r="G8372">
        <v>9</v>
      </c>
      <c r="H8372" t="str">
        <f t="shared" si="1914"/>
        <v>23</v>
      </c>
      <c r="I8372" t="str">
        <f t="shared" si="1900"/>
        <v>0</v>
      </c>
      <c r="J8372" t="str">
        <f>"18"</f>
        <v>18</v>
      </c>
      <c r="K8372">
        <v>20190111</v>
      </c>
      <c r="L8372" t="str">
        <f>"075242"</f>
        <v>075242</v>
      </c>
      <c r="M8372" t="str">
        <f>"54218"</f>
        <v>54218</v>
      </c>
      <c r="N8372" t="s">
        <v>5716</v>
      </c>
      <c r="O8372">
        <v>410</v>
      </c>
      <c r="P8372">
        <v>20190110</v>
      </c>
      <c r="Q8372" t="s">
        <v>6547</v>
      </c>
      <c r="R8372" t="s">
        <v>6516</v>
      </c>
      <c r="S8372" t="s">
        <v>6511</v>
      </c>
      <c r="T8372" t="s">
        <v>106</v>
      </c>
    </row>
    <row r="8373" spans="1:20" x14ac:dyDescent="0.25">
      <c r="A8373">
        <v>9</v>
      </c>
      <c r="B8373">
        <v>224</v>
      </c>
      <c r="C8373" t="str">
        <f>"13"</f>
        <v>13</v>
      </c>
      <c r="D8373">
        <v>6411</v>
      </c>
      <c r="E8373" t="str">
        <f>"00"</f>
        <v>00</v>
      </c>
      <c r="F8373" t="str">
        <f>"101"</f>
        <v>101</v>
      </c>
      <c r="G8373">
        <v>9</v>
      </c>
      <c r="H8373" t="str">
        <f t="shared" si="1914"/>
        <v>23</v>
      </c>
      <c r="I8373" t="str">
        <f t="shared" si="1900"/>
        <v>0</v>
      </c>
      <c r="J8373" t="str">
        <f>"18"</f>
        <v>18</v>
      </c>
      <c r="K8373">
        <v>20190111</v>
      </c>
      <c r="L8373" t="str">
        <f>"075242"</f>
        <v>075242</v>
      </c>
      <c r="M8373" t="str">
        <f>"54218"</f>
        <v>54218</v>
      </c>
      <c r="N8373" t="s">
        <v>5716</v>
      </c>
      <c r="O8373">
        <v>410</v>
      </c>
      <c r="P8373">
        <v>20190110</v>
      </c>
      <c r="Q8373" t="s">
        <v>6529</v>
      </c>
      <c r="R8373" t="s">
        <v>6516</v>
      </c>
      <c r="S8373" t="s">
        <v>6511</v>
      </c>
      <c r="T8373" t="s">
        <v>1479</v>
      </c>
    </row>
    <row r="8374" spans="1:20" x14ac:dyDescent="0.25">
      <c r="A8374">
        <v>9</v>
      </c>
      <c r="B8374">
        <v>224</v>
      </c>
      <c r="C8374" t="str">
        <f>"21"</f>
        <v>21</v>
      </c>
      <c r="D8374">
        <v>6411</v>
      </c>
      <c r="E8374" t="str">
        <f>"SH"</f>
        <v>SH</v>
      </c>
      <c r="F8374" t="str">
        <f>"878"</f>
        <v>878</v>
      </c>
      <c r="G8374">
        <v>9</v>
      </c>
      <c r="H8374" t="str">
        <f t="shared" si="1914"/>
        <v>23</v>
      </c>
      <c r="I8374" t="str">
        <f t="shared" si="1900"/>
        <v>0</v>
      </c>
      <c r="J8374" t="str">
        <f>"18"</f>
        <v>18</v>
      </c>
      <c r="K8374">
        <v>20190111</v>
      </c>
      <c r="L8374" t="str">
        <f>"075242"</f>
        <v>075242</v>
      </c>
      <c r="M8374" t="str">
        <f>"54218"</f>
        <v>54218</v>
      </c>
      <c r="N8374" t="s">
        <v>5716</v>
      </c>
      <c r="O8374">
        <v>410</v>
      </c>
      <c r="P8374">
        <v>20190110</v>
      </c>
      <c r="Q8374" t="s">
        <v>6515</v>
      </c>
      <c r="R8374" t="s">
        <v>6516</v>
      </c>
      <c r="S8374" t="s">
        <v>6511</v>
      </c>
      <c r="T8374" t="s">
        <v>4465</v>
      </c>
    </row>
    <row r="8375" spans="1:20" x14ac:dyDescent="0.25">
      <c r="A8375">
        <v>9</v>
      </c>
      <c r="B8375">
        <v>224</v>
      </c>
      <c r="C8375" t="str">
        <f t="shared" ref="C8375:C8380" si="1915">"31"</f>
        <v>31</v>
      </c>
      <c r="D8375">
        <v>6339</v>
      </c>
      <c r="E8375" t="str">
        <f t="shared" ref="E8375:E8384" si="1916">"00"</f>
        <v>00</v>
      </c>
      <c r="F8375" t="str">
        <f t="shared" ref="F8375:F8380" si="1917">"875"</f>
        <v>875</v>
      </c>
      <c r="G8375">
        <v>9</v>
      </c>
      <c r="H8375" t="str">
        <f t="shared" si="1914"/>
        <v>23</v>
      </c>
      <c r="I8375" t="str">
        <f t="shared" si="1900"/>
        <v>0</v>
      </c>
      <c r="J8375" t="str">
        <f>"00"</f>
        <v>00</v>
      </c>
      <c r="K8375">
        <v>20190111</v>
      </c>
      <c r="L8375" t="str">
        <f>"075243"</f>
        <v>075243</v>
      </c>
      <c r="M8375" t="str">
        <f>"54495"</f>
        <v>54495</v>
      </c>
      <c r="N8375" t="s">
        <v>2102</v>
      </c>
      <c r="O8375">
        <v>32.17</v>
      </c>
      <c r="P8375">
        <v>20190110</v>
      </c>
      <c r="Q8375" t="s">
        <v>6525</v>
      </c>
      <c r="R8375" t="s">
        <v>6587</v>
      </c>
      <c r="S8375" t="s">
        <v>6511</v>
      </c>
      <c r="T8375" t="s">
        <v>2041</v>
      </c>
    </row>
    <row r="8376" spans="1:20" x14ac:dyDescent="0.25">
      <c r="A8376">
        <v>9</v>
      </c>
      <c r="B8376">
        <v>224</v>
      </c>
      <c r="C8376" t="str">
        <f t="shared" si="1915"/>
        <v>31</v>
      </c>
      <c r="D8376">
        <v>6339</v>
      </c>
      <c r="E8376" t="str">
        <f t="shared" si="1916"/>
        <v>00</v>
      </c>
      <c r="F8376" t="str">
        <f t="shared" si="1917"/>
        <v>875</v>
      </c>
      <c r="G8376">
        <v>9</v>
      </c>
      <c r="H8376" t="str">
        <f t="shared" si="1914"/>
        <v>23</v>
      </c>
      <c r="I8376" t="str">
        <f t="shared" si="1900"/>
        <v>0</v>
      </c>
      <c r="J8376" t="str">
        <f>"00"</f>
        <v>00</v>
      </c>
      <c r="K8376">
        <v>20190111</v>
      </c>
      <c r="L8376" t="str">
        <f>"075243"</f>
        <v>075243</v>
      </c>
      <c r="M8376" t="str">
        <f>"54495"</f>
        <v>54495</v>
      </c>
      <c r="N8376" t="s">
        <v>2102</v>
      </c>
      <c r="O8376">
        <v>18.100000000000001</v>
      </c>
      <c r="P8376">
        <v>20190110</v>
      </c>
      <c r="Q8376" t="s">
        <v>6525</v>
      </c>
      <c r="R8376" t="s">
        <v>6588</v>
      </c>
      <c r="S8376" t="s">
        <v>6511</v>
      </c>
      <c r="T8376" t="s">
        <v>2041</v>
      </c>
    </row>
    <row r="8377" spans="1:20" x14ac:dyDescent="0.25">
      <c r="A8377">
        <v>9</v>
      </c>
      <c r="B8377">
        <v>224</v>
      </c>
      <c r="C8377" t="str">
        <f t="shared" si="1915"/>
        <v>31</v>
      </c>
      <c r="D8377">
        <v>6339</v>
      </c>
      <c r="E8377" t="str">
        <f t="shared" si="1916"/>
        <v>00</v>
      </c>
      <c r="F8377" t="str">
        <f t="shared" si="1917"/>
        <v>875</v>
      </c>
      <c r="G8377">
        <v>9</v>
      </c>
      <c r="H8377" t="str">
        <f t="shared" si="1914"/>
        <v>23</v>
      </c>
      <c r="I8377" t="str">
        <f t="shared" si="1900"/>
        <v>0</v>
      </c>
      <c r="J8377" t="str">
        <f>"18"</f>
        <v>18</v>
      </c>
      <c r="K8377">
        <v>20190111</v>
      </c>
      <c r="L8377" t="str">
        <f>"075243"</f>
        <v>075243</v>
      </c>
      <c r="M8377" t="str">
        <f>"54495"</f>
        <v>54495</v>
      </c>
      <c r="N8377" t="s">
        <v>2102</v>
      </c>
      <c r="O8377">
        <v>149.26</v>
      </c>
      <c r="P8377">
        <v>20190110</v>
      </c>
      <c r="Q8377" t="s">
        <v>6589</v>
      </c>
      <c r="R8377" t="s">
        <v>6590</v>
      </c>
      <c r="S8377" t="s">
        <v>6511</v>
      </c>
      <c r="T8377" t="s">
        <v>2041</v>
      </c>
    </row>
    <row r="8378" spans="1:20" x14ac:dyDescent="0.25">
      <c r="A8378">
        <v>9</v>
      </c>
      <c r="B8378">
        <v>224</v>
      </c>
      <c r="C8378" t="str">
        <f t="shared" si="1915"/>
        <v>31</v>
      </c>
      <c r="D8378">
        <v>6399</v>
      </c>
      <c r="E8378" t="str">
        <f t="shared" si="1916"/>
        <v>00</v>
      </c>
      <c r="F8378" t="str">
        <f t="shared" si="1917"/>
        <v>875</v>
      </c>
      <c r="G8378">
        <v>9</v>
      </c>
      <c r="H8378" t="str">
        <f t="shared" si="1914"/>
        <v>23</v>
      </c>
      <c r="I8378" t="str">
        <f t="shared" si="1900"/>
        <v>0</v>
      </c>
      <c r="J8378" t="str">
        <f>"18"</f>
        <v>18</v>
      </c>
      <c r="K8378">
        <v>20190111</v>
      </c>
      <c r="L8378" t="str">
        <f>"075243"</f>
        <v>075243</v>
      </c>
      <c r="M8378" t="str">
        <f>"54495"</f>
        <v>54495</v>
      </c>
      <c r="N8378" t="s">
        <v>2102</v>
      </c>
      <c r="O8378">
        <v>32.979999999999997</v>
      </c>
      <c r="P8378">
        <v>20190110</v>
      </c>
      <c r="Q8378" t="s">
        <v>6535</v>
      </c>
      <c r="R8378" t="s">
        <v>6591</v>
      </c>
      <c r="S8378" t="s">
        <v>6511</v>
      </c>
      <c r="T8378" t="s">
        <v>2041</v>
      </c>
    </row>
    <row r="8379" spans="1:20" x14ac:dyDescent="0.25">
      <c r="A8379">
        <v>9</v>
      </c>
      <c r="B8379">
        <v>224</v>
      </c>
      <c r="C8379" t="str">
        <f t="shared" si="1915"/>
        <v>31</v>
      </c>
      <c r="D8379">
        <v>6219</v>
      </c>
      <c r="E8379" t="str">
        <f t="shared" si="1916"/>
        <v>00</v>
      </c>
      <c r="F8379" t="str">
        <f t="shared" si="1917"/>
        <v>875</v>
      </c>
      <c r="G8379">
        <v>9</v>
      </c>
      <c r="H8379" t="str">
        <f t="shared" si="1914"/>
        <v>23</v>
      </c>
      <c r="I8379" t="str">
        <f t="shared" ref="I8379:I8442" si="1918">"0"</f>
        <v>0</v>
      </c>
      <c r="J8379" t="str">
        <f>"00"</f>
        <v>00</v>
      </c>
      <c r="K8379">
        <v>20190125</v>
      </c>
      <c r="L8379" t="str">
        <f>"075331"</f>
        <v>075331</v>
      </c>
      <c r="M8379" t="str">
        <f>"74150"</f>
        <v>74150</v>
      </c>
      <c r="N8379" t="s">
        <v>1691</v>
      </c>
      <c r="O8379" s="1">
        <v>1000</v>
      </c>
      <c r="P8379">
        <v>20190124</v>
      </c>
      <c r="Q8379" t="s">
        <v>6513</v>
      </c>
      <c r="R8379" t="s">
        <v>3532</v>
      </c>
      <c r="S8379" t="s">
        <v>6511</v>
      </c>
      <c r="T8379" t="s">
        <v>2041</v>
      </c>
    </row>
    <row r="8380" spans="1:20" x14ac:dyDescent="0.25">
      <c r="A8380">
        <v>9</v>
      </c>
      <c r="B8380">
        <v>224</v>
      </c>
      <c r="C8380" t="str">
        <f t="shared" si="1915"/>
        <v>31</v>
      </c>
      <c r="D8380">
        <v>6219</v>
      </c>
      <c r="E8380" t="str">
        <f t="shared" si="1916"/>
        <v>00</v>
      </c>
      <c r="F8380" t="str">
        <f t="shared" si="1917"/>
        <v>875</v>
      </c>
      <c r="G8380">
        <v>9</v>
      </c>
      <c r="H8380" t="str">
        <f t="shared" si="1914"/>
        <v>23</v>
      </c>
      <c r="I8380" t="str">
        <f t="shared" si="1918"/>
        <v>0</v>
      </c>
      <c r="J8380" t="str">
        <f>"00"</f>
        <v>00</v>
      </c>
      <c r="K8380">
        <v>20190125</v>
      </c>
      <c r="L8380" t="str">
        <f>"075336"</f>
        <v>075336</v>
      </c>
      <c r="M8380" t="str">
        <f>"21769"</f>
        <v>21769</v>
      </c>
      <c r="N8380" t="s">
        <v>1701</v>
      </c>
      <c r="O8380" s="1">
        <v>1625</v>
      </c>
      <c r="P8380">
        <v>20190124</v>
      </c>
      <c r="Q8380" t="s">
        <v>6513</v>
      </c>
      <c r="R8380" t="s">
        <v>3536</v>
      </c>
      <c r="S8380" t="s">
        <v>6511</v>
      </c>
      <c r="T8380" t="s">
        <v>2041</v>
      </c>
    </row>
    <row r="8381" spans="1:20" x14ac:dyDescent="0.25">
      <c r="A8381">
        <v>9</v>
      </c>
      <c r="B8381">
        <v>224</v>
      </c>
      <c r="C8381" t="str">
        <f>"11"</f>
        <v>11</v>
      </c>
      <c r="D8381">
        <v>6411</v>
      </c>
      <c r="E8381" t="str">
        <f t="shared" si="1916"/>
        <v>00</v>
      </c>
      <c r="F8381" t="str">
        <f>"101"</f>
        <v>101</v>
      </c>
      <c r="G8381">
        <v>9</v>
      </c>
      <c r="H8381" t="str">
        <f t="shared" si="1914"/>
        <v>23</v>
      </c>
      <c r="I8381" t="str">
        <f t="shared" si="1918"/>
        <v>0</v>
      </c>
      <c r="J8381" t="str">
        <f>"00"</f>
        <v>00</v>
      </c>
      <c r="K8381">
        <v>20190125</v>
      </c>
      <c r="L8381" t="str">
        <f>"075350"</f>
        <v>075350</v>
      </c>
      <c r="M8381" t="str">
        <f>"27900"</f>
        <v>27900</v>
      </c>
      <c r="N8381" t="s">
        <v>1490</v>
      </c>
      <c r="O8381">
        <v>225</v>
      </c>
      <c r="P8381">
        <v>20190124</v>
      </c>
      <c r="Q8381" t="s">
        <v>6592</v>
      </c>
      <c r="R8381" t="s">
        <v>6593</v>
      </c>
      <c r="S8381" t="s">
        <v>6511</v>
      </c>
      <c r="T8381" t="s">
        <v>1479</v>
      </c>
    </row>
    <row r="8382" spans="1:20" x14ac:dyDescent="0.25">
      <c r="A8382">
        <v>9</v>
      </c>
      <c r="B8382">
        <v>224</v>
      </c>
      <c r="C8382" t="str">
        <f>"13"</f>
        <v>13</v>
      </c>
      <c r="D8382">
        <v>6411</v>
      </c>
      <c r="E8382" t="str">
        <f t="shared" si="1916"/>
        <v>00</v>
      </c>
      <c r="F8382" t="str">
        <f>"001"</f>
        <v>001</v>
      </c>
      <c r="G8382">
        <v>9</v>
      </c>
      <c r="H8382" t="str">
        <f t="shared" si="1914"/>
        <v>23</v>
      </c>
      <c r="I8382" t="str">
        <f t="shared" si="1918"/>
        <v>0</v>
      </c>
      <c r="J8382" t="str">
        <f>"18"</f>
        <v>18</v>
      </c>
      <c r="K8382">
        <v>20190125</v>
      </c>
      <c r="L8382" t="str">
        <f>"075350"</f>
        <v>075350</v>
      </c>
      <c r="M8382" t="str">
        <f>"27900"</f>
        <v>27900</v>
      </c>
      <c r="N8382" t="s">
        <v>1490</v>
      </c>
      <c r="O8382">
        <v>150</v>
      </c>
      <c r="P8382">
        <v>20190124</v>
      </c>
      <c r="Q8382" t="s">
        <v>6594</v>
      </c>
      <c r="R8382" t="s">
        <v>6595</v>
      </c>
      <c r="S8382" t="s">
        <v>6511</v>
      </c>
      <c r="T8382" t="s">
        <v>301</v>
      </c>
    </row>
    <row r="8383" spans="1:20" x14ac:dyDescent="0.25">
      <c r="A8383">
        <v>9</v>
      </c>
      <c r="B8383">
        <v>224</v>
      </c>
      <c r="C8383" t="str">
        <f>"13"</f>
        <v>13</v>
      </c>
      <c r="D8383">
        <v>6411</v>
      </c>
      <c r="E8383" t="str">
        <f t="shared" si="1916"/>
        <v>00</v>
      </c>
      <c r="F8383" t="str">
        <f>"104"</f>
        <v>104</v>
      </c>
      <c r="G8383">
        <v>9</v>
      </c>
      <c r="H8383" t="str">
        <f t="shared" si="1914"/>
        <v>23</v>
      </c>
      <c r="I8383" t="str">
        <f t="shared" si="1918"/>
        <v>0</v>
      </c>
      <c r="J8383" t="str">
        <f>"18"</f>
        <v>18</v>
      </c>
      <c r="K8383">
        <v>20190125</v>
      </c>
      <c r="L8383" t="str">
        <f>"075350"</f>
        <v>075350</v>
      </c>
      <c r="M8383" t="str">
        <f>"27900"</f>
        <v>27900</v>
      </c>
      <c r="N8383" t="s">
        <v>1490</v>
      </c>
      <c r="O8383">
        <v>225</v>
      </c>
      <c r="P8383">
        <v>20190125</v>
      </c>
      <c r="Q8383" t="s">
        <v>6596</v>
      </c>
      <c r="R8383" t="s">
        <v>6593</v>
      </c>
      <c r="S8383" t="s">
        <v>6511</v>
      </c>
      <c r="T8383" t="s">
        <v>46</v>
      </c>
    </row>
    <row r="8384" spans="1:20" x14ac:dyDescent="0.25">
      <c r="A8384">
        <v>9</v>
      </c>
      <c r="B8384">
        <v>224</v>
      </c>
      <c r="C8384" t="str">
        <f>"31"</f>
        <v>31</v>
      </c>
      <c r="D8384">
        <v>6399</v>
      </c>
      <c r="E8384" t="str">
        <f t="shared" si="1916"/>
        <v>00</v>
      </c>
      <c r="F8384" t="str">
        <f>"875"</f>
        <v>875</v>
      </c>
      <c r="G8384">
        <v>9</v>
      </c>
      <c r="H8384" t="str">
        <f t="shared" si="1914"/>
        <v>23</v>
      </c>
      <c r="I8384" t="str">
        <f t="shared" si="1918"/>
        <v>0</v>
      </c>
      <c r="J8384" t="str">
        <f>"00"</f>
        <v>00</v>
      </c>
      <c r="K8384">
        <v>20190125</v>
      </c>
      <c r="L8384" t="str">
        <f>"075424"</f>
        <v>075424</v>
      </c>
      <c r="M8384" t="str">
        <f>"84080"</f>
        <v>84080</v>
      </c>
      <c r="N8384" t="s">
        <v>6537</v>
      </c>
      <c r="O8384">
        <v>182.6</v>
      </c>
      <c r="P8384">
        <v>20190124</v>
      </c>
      <c r="Q8384" t="s">
        <v>6597</v>
      </c>
      <c r="R8384" t="s">
        <v>6598</v>
      </c>
      <c r="S8384" t="s">
        <v>6511</v>
      </c>
      <c r="T8384" t="s">
        <v>2041</v>
      </c>
    </row>
    <row r="8385" spans="1:20" x14ac:dyDescent="0.25">
      <c r="A8385">
        <v>9</v>
      </c>
      <c r="B8385">
        <v>224</v>
      </c>
      <c r="C8385" t="str">
        <f>"31"</f>
        <v>31</v>
      </c>
      <c r="D8385">
        <v>6411</v>
      </c>
      <c r="E8385" t="str">
        <f>"SG"</f>
        <v>SG</v>
      </c>
      <c r="F8385" t="str">
        <f>"875"</f>
        <v>875</v>
      </c>
      <c r="G8385">
        <v>9</v>
      </c>
      <c r="H8385" t="str">
        <f t="shared" si="1914"/>
        <v>23</v>
      </c>
      <c r="I8385" t="str">
        <f t="shared" si="1918"/>
        <v>0</v>
      </c>
      <c r="J8385" t="str">
        <f>"00"</f>
        <v>00</v>
      </c>
      <c r="K8385">
        <v>20190125</v>
      </c>
      <c r="L8385" t="str">
        <f>"075425"</f>
        <v>075425</v>
      </c>
      <c r="M8385" t="str">
        <f>"00675"</f>
        <v>00675</v>
      </c>
      <c r="N8385" t="s">
        <v>6599</v>
      </c>
      <c r="O8385">
        <v>434.85</v>
      </c>
      <c r="P8385">
        <v>20190125</v>
      </c>
      <c r="Q8385" t="s">
        <v>6531</v>
      </c>
      <c r="R8385" t="s">
        <v>6600</v>
      </c>
      <c r="S8385" t="s">
        <v>6511</v>
      </c>
      <c r="T8385" t="s">
        <v>2041</v>
      </c>
    </row>
    <row r="8386" spans="1:20" x14ac:dyDescent="0.25">
      <c r="A8386">
        <v>9</v>
      </c>
      <c r="B8386">
        <v>224</v>
      </c>
      <c r="C8386" t="str">
        <f>"13"</f>
        <v>13</v>
      </c>
      <c r="D8386">
        <v>6411</v>
      </c>
      <c r="E8386" t="str">
        <f t="shared" ref="E8386:E8402" si="1919">"00"</f>
        <v>00</v>
      </c>
      <c r="F8386" t="str">
        <f>"041"</f>
        <v>041</v>
      </c>
      <c r="G8386">
        <v>9</v>
      </c>
      <c r="H8386" t="str">
        <f t="shared" si="1914"/>
        <v>23</v>
      </c>
      <c r="I8386" t="str">
        <f t="shared" si="1918"/>
        <v>0</v>
      </c>
      <c r="J8386" t="str">
        <f>"18"</f>
        <v>18</v>
      </c>
      <c r="K8386">
        <v>20190131</v>
      </c>
      <c r="L8386" t="str">
        <f>"075434"</f>
        <v>075434</v>
      </c>
      <c r="M8386" t="str">
        <f>"00067"</f>
        <v>00067</v>
      </c>
      <c r="N8386" t="s">
        <v>4849</v>
      </c>
      <c r="O8386">
        <v>82.56</v>
      </c>
      <c r="P8386">
        <v>20190130</v>
      </c>
      <c r="Q8386" t="s">
        <v>6547</v>
      </c>
      <c r="R8386" t="s">
        <v>6516</v>
      </c>
      <c r="S8386" t="s">
        <v>6511</v>
      </c>
      <c r="T8386" t="s">
        <v>106</v>
      </c>
    </row>
    <row r="8387" spans="1:20" x14ac:dyDescent="0.25">
      <c r="A8387">
        <v>9</v>
      </c>
      <c r="B8387">
        <v>224</v>
      </c>
      <c r="C8387" t="str">
        <f>"13"</f>
        <v>13</v>
      </c>
      <c r="D8387">
        <v>6411</v>
      </c>
      <c r="E8387" t="str">
        <f t="shared" si="1919"/>
        <v>00</v>
      </c>
      <c r="F8387" t="str">
        <f>"041"</f>
        <v>041</v>
      </c>
      <c r="G8387">
        <v>9</v>
      </c>
      <c r="H8387" t="str">
        <f t="shared" si="1914"/>
        <v>23</v>
      </c>
      <c r="I8387" t="str">
        <f t="shared" si="1918"/>
        <v>0</v>
      </c>
      <c r="J8387" t="str">
        <f>"18"</f>
        <v>18</v>
      </c>
      <c r="K8387">
        <v>20190131</v>
      </c>
      <c r="L8387" t="str">
        <f>"075442"</f>
        <v>075442</v>
      </c>
      <c r="M8387" t="str">
        <f>"12969"</f>
        <v>12969</v>
      </c>
      <c r="N8387" t="s">
        <v>6601</v>
      </c>
      <c r="O8387">
        <v>52</v>
      </c>
      <c r="P8387">
        <v>20190130</v>
      </c>
      <c r="Q8387" t="s">
        <v>6547</v>
      </c>
      <c r="R8387" t="s">
        <v>6516</v>
      </c>
      <c r="S8387" t="s">
        <v>6511</v>
      </c>
      <c r="T8387" t="s">
        <v>106</v>
      </c>
    </row>
    <row r="8388" spans="1:20" x14ac:dyDescent="0.25">
      <c r="A8388">
        <v>9</v>
      </c>
      <c r="B8388">
        <v>224</v>
      </c>
      <c r="C8388" t="str">
        <f>"31"</f>
        <v>31</v>
      </c>
      <c r="D8388">
        <v>6219</v>
      </c>
      <c r="E8388" t="str">
        <f t="shared" si="1919"/>
        <v>00</v>
      </c>
      <c r="F8388" t="str">
        <f>"875"</f>
        <v>875</v>
      </c>
      <c r="G8388">
        <v>9</v>
      </c>
      <c r="H8388" t="str">
        <f t="shared" si="1914"/>
        <v>23</v>
      </c>
      <c r="I8388" t="str">
        <f t="shared" si="1918"/>
        <v>0</v>
      </c>
      <c r="J8388" t="str">
        <f t="shared" ref="J8388:J8393" si="1920">"00"</f>
        <v>00</v>
      </c>
      <c r="K8388">
        <v>20190208</v>
      </c>
      <c r="L8388" t="str">
        <f>"075613"</f>
        <v>075613</v>
      </c>
      <c r="M8388" t="str">
        <f>"49997"</f>
        <v>49997</v>
      </c>
      <c r="N8388" t="s">
        <v>6508</v>
      </c>
      <c r="O8388">
        <v>835</v>
      </c>
      <c r="P8388">
        <v>20190207</v>
      </c>
      <c r="Q8388" t="s">
        <v>6513</v>
      </c>
      <c r="R8388" t="s">
        <v>6602</v>
      </c>
      <c r="S8388" t="s">
        <v>6511</v>
      </c>
      <c r="T8388" t="s">
        <v>2041</v>
      </c>
    </row>
    <row r="8389" spans="1:20" x14ac:dyDescent="0.25">
      <c r="A8389">
        <v>9</v>
      </c>
      <c r="B8389">
        <v>224</v>
      </c>
      <c r="C8389" t="str">
        <f>"31"</f>
        <v>31</v>
      </c>
      <c r="D8389">
        <v>6219</v>
      </c>
      <c r="E8389" t="str">
        <f t="shared" si="1919"/>
        <v>00</v>
      </c>
      <c r="F8389" t="str">
        <f>"875"</f>
        <v>875</v>
      </c>
      <c r="G8389">
        <v>9</v>
      </c>
      <c r="H8389" t="str">
        <f t="shared" si="1914"/>
        <v>23</v>
      </c>
      <c r="I8389" t="str">
        <f t="shared" si="1918"/>
        <v>0</v>
      </c>
      <c r="J8389" t="str">
        <f t="shared" si="1920"/>
        <v>00</v>
      </c>
      <c r="K8389">
        <v>20190215</v>
      </c>
      <c r="L8389" t="str">
        <f>"075703"</f>
        <v>075703</v>
      </c>
      <c r="M8389" t="str">
        <f>"21769"</f>
        <v>21769</v>
      </c>
      <c r="N8389" t="s">
        <v>1701</v>
      </c>
      <c r="O8389" s="1">
        <v>1725</v>
      </c>
      <c r="P8389">
        <v>20190213</v>
      </c>
      <c r="Q8389" t="s">
        <v>6513</v>
      </c>
      <c r="R8389" t="s">
        <v>3859</v>
      </c>
      <c r="S8389" t="s">
        <v>6511</v>
      </c>
      <c r="T8389" t="s">
        <v>2041</v>
      </c>
    </row>
    <row r="8390" spans="1:20" x14ac:dyDescent="0.25">
      <c r="A8390">
        <v>9</v>
      </c>
      <c r="B8390">
        <v>224</v>
      </c>
      <c r="C8390" t="str">
        <f>"13"</f>
        <v>13</v>
      </c>
      <c r="D8390">
        <v>6411</v>
      </c>
      <c r="E8390" t="str">
        <f t="shared" si="1919"/>
        <v>00</v>
      </c>
      <c r="F8390" t="str">
        <f>"101"</f>
        <v>101</v>
      </c>
      <c r="G8390">
        <v>9</v>
      </c>
      <c r="H8390" t="str">
        <f t="shared" si="1914"/>
        <v>23</v>
      </c>
      <c r="I8390" t="str">
        <f t="shared" si="1918"/>
        <v>0</v>
      </c>
      <c r="J8390" t="str">
        <f t="shared" si="1920"/>
        <v>00</v>
      </c>
      <c r="K8390">
        <v>20190215</v>
      </c>
      <c r="L8390" t="str">
        <f>"075706"</f>
        <v>075706</v>
      </c>
      <c r="M8390" t="str">
        <f>"00724"</f>
        <v>00724</v>
      </c>
      <c r="N8390" t="s">
        <v>6603</v>
      </c>
      <c r="O8390">
        <v>218.55</v>
      </c>
      <c r="P8390">
        <v>20190213</v>
      </c>
      <c r="Q8390" t="s">
        <v>6573</v>
      </c>
      <c r="R8390" t="s">
        <v>6604</v>
      </c>
      <c r="S8390" t="s">
        <v>6511</v>
      </c>
      <c r="T8390" t="s">
        <v>1479</v>
      </c>
    </row>
    <row r="8391" spans="1:20" x14ac:dyDescent="0.25">
      <c r="A8391">
        <v>9</v>
      </c>
      <c r="B8391">
        <v>224</v>
      </c>
      <c r="C8391" t="str">
        <f>"13"</f>
        <v>13</v>
      </c>
      <c r="D8391">
        <v>6411</v>
      </c>
      <c r="E8391" t="str">
        <f t="shared" si="1919"/>
        <v>00</v>
      </c>
      <c r="F8391" t="str">
        <f>"104"</f>
        <v>104</v>
      </c>
      <c r="G8391">
        <v>9</v>
      </c>
      <c r="H8391" t="str">
        <f t="shared" si="1914"/>
        <v>23</v>
      </c>
      <c r="I8391" t="str">
        <f t="shared" si="1918"/>
        <v>0</v>
      </c>
      <c r="J8391" t="str">
        <f t="shared" si="1920"/>
        <v>00</v>
      </c>
      <c r="K8391">
        <v>20190215</v>
      </c>
      <c r="L8391" t="str">
        <f>"075706"</f>
        <v>075706</v>
      </c>
      <c r="M8391" t="str">
        <f>"00724"</f>
        <v>00724</v>
      </c>
      <c r="N8391" t="s">
        <v>6603</v>
      </c>
      <c r="O8391">
        <v>218.54</v>
      </c>
      <c r="P8391">
        <v>20190213</v>
      </c>
      <c r="Q8391" t="s">
        <v>6574</v>
      </c>
      <c r="R8391" t="s">
        <v>6604</v>
      </c>
      <c r="S8391" t="s">
        <v>6511</v>
      </c>
      <c r="T8391" t="s">
        <v>46</v>
      </c>
    </row>
    <row r="8392" spans="1:20" x14ac:dyDescent="0.25">
      <c r="A8392">
        <v>9</v>
      </c>
      <c r="B8392">
        <v>224</v>
      </c>
      <c r="C8392" t="str">
        <f>"13"</f>
        <v>13</v>
      </c>
      <c r="D8392">
        <v>6411</v>
      </c>
      <c r="E8392" t="str">
        <f t="shared" si="1919"/>
        <v>00</v>
      </c>
      <c r="F8392" t="str">
        <f>"101"</f>
        <v>101</v>
      </c>
      <c r="G8392">
        <v>9</v>
      </c>
      <c r="H8392" t="str">
        <f t="shared" si="1914"/>
        <v>23</v>
      </c>
      <c r="I8392" t="str">
        <f t="shared" si="1918"/>
        <v>0</v>
      </c>
      <c r="J8392" t="str">
        <f t="shared" si="1920"/>
        <v>00</v>
      </c>
      <c r="K8392">
        <v>20190215</v>
      </c>
      <c r="L8392" t="str">
        <f>"075758"</f>
        <v>075758</v>
      </c>
      <c r="M8392" t="str">
        <f>"79396"</f>
        <v>79396</v>
      </c>
      <c r="N8392" t="s">
        <v>6605</v>
      </c>
      <c r="O8392">
        <v>245</v>
      </c>
      <c r="P8392">
        <v>20190213</v>
      </c>
      <c r="Q8392" t="s">
        <v>6573</v>
      </c>
      <c r="R8392" t="s">
        <v>6604</v>
      </c>
      <c r="S8392" t="s">
        <v>6511</v>
      </c>
      <c r="T8392" t="s">
        <v>1479</v>
      </c>
    </row>
    <row r="8393" spans="1:20" x14ac:dyDescent="0.25">
      <c r="A8393">
        <v>9</v>
      </c>
      <c r="B8393">
        <v>224</v>
      </c>
      <c r="C8393" t="str">
        <f>"13"</f>
        <v>13</v>
      </c>
      <c r="D8393">
        <v>6411</v>
      </c>
      <c r="E8393" t="str">
        <f t="shared" si="1919"/>
        <v>00</v>
      </c>
      <c r="F8393" t="str">
        <f>"104"</f>
        <v>104</v>
      </c>
      <c r="G8393">
        <v>9</v>
      </c>
      <c r="H8393" t="str">
        <f t="shared" si="1914"/>
        <v>23</v>
      </c>
      <c r="I8393" t="str">
        <f t="shared" si="1918"/>
        <v>0</v>
      </c>
      <c r="J8393" t="str">
        <f t="shared" si="1920"/>
        <v>00</v>
      </c>
      <c r="K8393">
        <v>20190215</v>
      </c>
      <c r="L8393" t="str">
        <f>"075758"</f>
        <v>075758</v>
      </c>
      <c r="M8393" t="str">
        <f>"79396"</f>
        <v>79396</v>
      </c>
      <c r="N8393" t="s">
        <v>6605</v>
      </c>
      <c r="O8393">
        <v>245</v>
      </c>
      <c r="P8393">
        <v>20190213</v>
      </c>
      <c r="Q8393" t="s">
        <v>6574</v>
      </c>
      <c r="R8393" t="s">
        <v>6604</v>
      </c>
      <c r="S8393" t="s">
        <v>6511</v>
      </c>
      <c r="T8393" t="s">
        <v>46</v>
      </c>
    </row>
    <row r="8394" spans="1:20" x14ac:dyDescent="0.25">
      <c r="A8394">
        <v>9</v>
      </c>
      <c r="B8394">
        <v>224</v>
      </c>
      <c r="C8394" t="str">
        <f>"11"</f>
        <v>11</v>
      </c>
      <c r="D8394">
        <v>6399</v>
      </c>
      <c r="E8394" t="str">
        <f t="shared" si="1919"/>
        <v>00</v>
      </c>
      <c r="F8394" t="str">
        <f>"041"</f>
        <v>041</v>
      </c>
      <c r="G8394">
        <v>9</v>
      </c>
      <c r="H8394" t="str">
        <f t="shared" si="1914"/>
        <v>23</v>
      </c>
      <c r="I8394" t="str">
        <f t="shared" si="1918"/>
        <v>0</v>
      </c>
      <c r="J8394" t="str">
        <f>"18"</f>
        <v>18</v>
      </c>
      <c r="K8394">
        <v>20190222</v>
      </c>
      <c r="L8394" t="str">
        <f>"075771"</f>
        <v>075771</v>
      </c>
      <c r="M8394" t="str">
        <f>"00792"</f>
        <v>00792</v>
      </c>
      <c r="N8394" t="s">
        <v>6606</v>
      </c>
      <c r="O8394">
        <v>15</v>
      </c>
      <c r="P8394">
        <v>20190221</v>
      </c>
      <c r="Q8394" t="s">
        <v>6556</v>
      </c>
      <c r="R8394" t="s">
        <v>6607</v>
      </c>
      <c r="S8394" t="s">
        <v>6511</v>
      </c>
      <c r="T8394" t="s">
        <v>106</v>
      </c>
    </row>
    <row r="8395" spans="1:20" x14ac:dyDescent="0.25">
      <c r="A8395">
        <v>9</v>
      </c>
      <c r="B8395">
        <v>224</v>
      </c>
      <c r="C8395" t="str">
        <f>"11"</f>
        <v>11</v>
      </c>
      <c r="D8395">
        <v>6399</v>
      </c>
      <c r="E8395" t="str">
        <f t="shared" si="1919"/>
        <v>00</v>
      </c>
      <c r="F8395" t="str">
        <f>"101"</f>
        <v>101</v>
      </c>
      <c r="G8395">
        <v>9</v>
      </c>
      <c r="H8395" t="str">
        <f t="shared" si="1914"/>
        <v>23</v>
      </c>
      <c r="I8395" t="str">
        <f t="shared" si="1918"/>
        <v>0</v>
      </c>
      <c r="J8395" t="str">
        <f>"18"</f>
        <v>18</v>
      </c>
      <c r="K8395">
        <v>20190222</v>
      </c>
      <c r="L8395" t="str">
        <f>"075771"</f>
        <v>075771</v>
      </c>
      <c r="M8395" t="str">
        <f>"00792"</f>
        <v>00792</v>
      </c>
      <c r="N8395" t="s">
        <v>6606</v>
      </c>
      <c r="O8395">
        <v>15</v>
      </c>
      <c r="P8395">
        <v>20190221</v>
      </c>
      <c r="Q8395" t="s">
        <v>6557</v>
      </c>
      <c r="R8395" t="s">
        <v>6607</v>
      </c>
      <c r="S8395" t="s">
        <v>6511</v>
      </c>
      <c r="T8395" t="s">
        <v>1479</v>
      </c>
    </row>
    <row r="8396" spans="1:20" x14ac:dyDescent="0.25">
      <c r="A8396">
        <v>9</v>
      </c>
      <c r="B8396">
        <v>224</v>
      </c>
      <c r="C8396" t="str">
        <f>"11"</f>
        <v>11</v>
      </c>
      <c r="D8396">
        <v>6399</v>
      </c>
      <c r="E8396" t="str">
        <f t="shared" si="1919"/>
        <v>00</v>
      </c>
      <c r="F8396" t="str">
        <f>"104"</f>
        <v>104</v>
      </c>
      <c r="G8396">
        <v>9</v>
      </c>
      <c r="H8396" t="str">
        <f t="shared" si="1914"/>
        <v>23</v>
      </c>
      <c r="I8396" t="str">
        <f t="shared" si="1918"/>
        <v>0</v>
      </c>
      <c r="J8396" t="str">
        <f>"18"</f>
        <v>18</v>
      </c>
      <c r="K8396">
        <v>20190222</v>
      </c>
      <c r="L8396" t="str">
        <f>"075771"</f>
        <v>075771</v>
      </c>
      <c r="M8396" t="str">
        <f>"00792"</f>
        <v>00792</v>
      </c>
      <c r="N8396" t="s">
        <v>6606</v>
      </c>
      <c r="O8396">
        <v>15</v>
      </c>
      <c r="P8396">
        <v>20190221</v>
      </c>
      <c r="Q8396" t="s">
        <v>6558</v>
      </c>
      <c r="R8396" t="s">
        <v>6607</v>
      </c>
      <c r="S8396" t="s">
        <v>6511</v>
      </c>
      <c r="T8396" t="s">
        <v>46</v>
      </c>
    </row>
    <row r="8397" spans="1:20" x14ac:dyDescent="0.25">
      <c r="A8397">
        <v>9</v>
      </c>
      <c r="B8397">
        <v>224</v>
      </c>
      <c r="C8397" t="str">
        <f>"31"</f>
        <v>31</v>
      </c>
      <c r="D8397">
        <v>6219</v>
      </c>
      <c r="E8397" t="str">
        <f t="shared" si="1919"/>
        <v>00</v>
      </c>
      <c r="F8397" t="str">
        <f t="shared" ref="F8397:F8408" si="1921">"875"</f>
        <v>875</v>
      </c>
      <c r="G8397">
        <v>9</v>
      </c>
      <c r="H8397" t="str">
        <f t="shared" si="1914"/>
        <v>23</v>
      </c>
      <c r="I8397" t="str">
        <f t="shared" si="1918"/>
        <v>0</v>
      </c>
      <c r="J8397" t="str">
        <f>"00"</f>
        <v>00</v>
      </c>
      <c r="K8397">
        <v>20190222</v>
      </c>
      <c r="L8397" t="str">
        <f>"075778"</f>
        <v>075778</v>
      </c>
      <c r="M8397" t="str">
        <f>"00589"</f>
        <v>00589</v>
      </c>
      <c r="N8397" t="s">
        <v>2977</v>
      </c>
      <c r="O8397" s="1">
        <v>1080</v>
      </c>
      <c r="P8397">
        <v>20190221</v>
      </c>
      <c r="Q8397" t="s">
        <v>6513</v>
      </c>
      <c r="R8397" t="s">
        <v>6608</v>
      </c>
      <c r="S8397" t="s">
        <v>6511</v>
      </c>
      <c r="T8397" t="s">
        <v>2041</v>
      </c>
    </row>
    <row r="8398" spans="1:20" x14ac:dyDescent="0.25">
      <c r="A8398">
        <v>9</v>
      </c>
      <c r="B8398">
        <v>224</v>
      </c>
      <c r="C8398" t="str">
        <f>"31"</f>
        <v>31</v>
      </c>
      <c r="D8398">
        <v>6219</v>
      </c>
      <c r="E8398" t="str">
        <f t="shared" si="1919"/>
        <v>00</v>
      </c>
      <c r="F8398" t="str">
        <f t="shared" si="1921"/>
        <v>875</v>
      </c>
      <c r="G8398">
        <v>9</v>
      </c>
      <c r="H8398" t="str">
        <f t="shared" si="1914"/>
        <v>23</v>
      </c>
      <c r="I8398" t="str">
        <f t="shared" si="1918"/>
        <v>0</v>
      </c>
      <c r="J8398" t="str">
        <f>"00"</f>
        <v>00</v>
      </c>
      <c r="K8398">
        <v>20190222</v>
      </c>
      <c r="L8398" t="str">
        <f>"075779"</f>
        <v>075779</v>
      </c>
      <c r="M8398" t="str">
        <f>"74150"</f>
        <v>74150</v>
      </c>
      <c r="N8398" t="s">
        <v>1691</v>
      </c>
      <c r="O8398">
        <v>939.3</v>
      </c>
      <c r="P8398">
        <v>20190221</v>
      </c>
      <c r="Q8398" t="s">
        <v>6513</v>
      </c>
      <c r="R8398" t="s">
        <v>3937</v>
      </c>
      <c r="S8398" t="s">
        <v>6511</v>
      </c>
      <c r="T8398" t="s">
        <v>2041</v>
      </c>
    </row>
    <row r="8399" spans="1:20" x14ac:dyDescent="0.25">
      <c r="A8399">
        <v>9</v>
      </c>
      <c r="B8399">
        <v>224</v>
      </c>
      <c r="C8399" t="str">
        <f>"31"</f>
        <v>31</v>
      </c>
      <c r="D8399">
        <v>6399</v>
      </c>
      <c r="E8399" t="str">
        <f t="shared" si="1919"/>
        <v>00</v>
      </c>
      <c r="F8399" t="str">
        <f t="shared" si="1921"/>
        <v>875</v>
      </c>
      <c r="G8399">
        <v>9</v>
      </c>
      <c r="H8399" t="str">
        <f t="shared" si="1914"/>
        <v>23</v>
      </c>
      <c r="I8399" t="str">
        <f t="shared" si="1918"/>
        <v>0</v>
      </c>
      <c r="J8399" t="str">
        <f>"00"</f>
        <v>00</v>
      </c>
      <c r="K8399">
        <v>20190222</v>
      </c>
      <c r="L8399" t="str">
        <f>"075846"</f>
        <v>075846</v>
      </c>
      <c r="M8399" t="str">
        <f>"84080"</f>
        <v>84080</v>
      </c>
      <c r="N8399" t="s">
        <v>6537</v>
      </c>
      <c r="O8399">
        <v>345.4</v>
      </c>
      <c r="P8399">
        <v>20190221</v>
      </c>
      <c r="Q8399" t="s">
        <v>6597</v>
      </c>
      <c r="R8399" t="s">
        <v>6609</v>
      </c>
      <c r="S8399" t="s">
        <v>6511</v>
      </c>
      <c r="T8399" t="s">
        <v>2041</v>
      </c>
    </row>
    <row r="8400" spans="1:20" x14ac:dyDescent="0.25">
      <c r="A8400">
        <v>9</v>
      </c>
      <c r="B8400">
        <v>224</v>
      </c>
      <c r="C8400" t="str">
        <f>"31"</f>
        <v>31</v>
      </c>
      <c r="D8400">
        <v>6399</v>
      </c>
      <c r="E8400" t="str">
        <f t="shared" si="1919"/>
        <v>00</v>
      </c>
      <c r="F8400" t="str">
        <f t="shared" si="1921"/>
        <v>875</v>
      </c>
      <c r="G8400">
        <v>9</v>
      </c>
      <c r="H8400" t="str">
        <f t="shared" si="1914"/>
        <v>23</v>
      </c>
      <c r="I8400" t="str">
        <f t="shared" si="1918"/>
        <v>0</v>
      </c>
      <c r="J8400" t="str">
        <f>"00"</f>
        <v>00</v>
      </c>
      <c r="K8400">
        <v>20190222</v>
      </c>
      <c r="L8400" t="str">
        <f>"075846"</f>
        <v>075846</v>
      </c>
      <c r="M8400" t="str">
        <f>"84080"</f>
        <v>84080</v>
      </c>
      <c r="N8400" t="s">
        <v>6537</v>
      </c>
      <c r="O8400">
        <v>231</v>
      </c>
      <c r="P8400">
        <v>20190221</v>
      </c>
      <c r="Q8400" t="s">
        <v>6597</v>
      </c>
      <c r="R8400" t="s">
        <v>6610</v>
      </c>
      <c r="S8400" t="s">
        <v>6511</v>
      </c>
      <c r="T8400" t="s">
        <v>2041</v>
      </c>
    </row>
    <row r="8401" spans="1:20" x14ac:dyDescent="0.25">
      <c r="A8401">
        <v>9</v>
      </c>
      <c r="B8401">
        <v>224</v>
      </c>
      <c r="C8401" t="str">
        <f>"21"</f>
        <v>21</v>
      </c>
      <c r="D8401">
        <v>6399</v>
      </c>
      <c r="E8401" t="str">
        <f t="shared" si="1919"/>
        <v>00</v>
      </c>
      <c r="F8401" t="str">
        <f t="shared" si="1921"/>
        <v>875</v>
      </c>
      <c r="G8401">
        <v>9</v>
      </c>
      <c r="H8401" t="str">
        <f t="shared" si="1914"/>
        <v>23</v>
      </c>
      <c r="I8401" t="str">
        <f t="shared" si="1918"/>
        <v>0</v>
      </c>
      <c r="J8401" t="str">
        <f>"18"</f>
        <v>18</v>
      </c>
      <c r="K8401">
        <v>20190308</v>
      </c>
      <c r="L8401" t="str">
        <f>"075897"</f>
        <v>075897</v>
      </c>
      <c r="M8401" t="str">
        <f>"21098"</f>
        <v>21098</v>
      </c>
      <c r="N8401" t="s">
        <v>2038</v>
      </c>
      <c r="O8401">
        <v>209.13</v>
      </c>
      <c r="P8401">
        <v>20190306</v>
      </c>
      <c r="Q8401" t="s">
        <v>6563</v>
      </c>
      <c r="R8401" t="s">
        <v>641</v>
      </c>
      <c r="S8401" t="s">
        <v>6511</v>
      </c>
      <c r="T8401" t="s">
        <v>2041</v>
      </c>
    </row>
    <row r="8402" spans="1:20" x14ac:dyDescent="0.25">
      <c r="A8402">
        <v>9</v>
      </c>
      <c r="B8402">
        <v>224</v>
      </c>
      <c r="C8402" t="str">
        <f t="shared" ref="C8402:C8408" si="1922">"31"</f>
        <v>31</v>
      </c>
      <c r="D8402">
        <v>6399</v>
      </c>
      <c r="E8402" t="str">
        <f t="shared" si="1919"/>
        <v>00</v>
      </c>
      <c r="F8402" t="str">
        <f t="shared" si="1921"/>
        <v>875</v>
      </c>
      <c r="G8402">
        <v>9</v>
      </c>
      <c r="H8402" t="str">
        <f t="shared" si="1914"/>
        <v>23</v>
      </c>
      <c r="I8402" t="str">
        <f t="shared" si="1918"/>
        <v>0</v>
      </c>
      <c r="J8402" t="str">
        <f t="shared" ref="J8402:J8407" si="1923">"00"</f>
        <v>00</v>
      </c>
      <c r="K8402">
        <v>20190308</v>
      </c>
      <c r="L8402" t="str">
        <f>"075897"</f>
        <v>075897</v>
      </c>
      <c r="M8402" t="str">
        <f>"21098"</f>
        <v>21098</v>
      </c>
      <c r="N8402" t="s">
        <v>2038</v>
      </c>
      <c r="O8402">
        <v>282.72000000000003</v>
      </c>
      <c r="P8402">
        <v>20190306</v>
      </c>
      <c r="Q8402" t="s">
        <v>6597</v>
      </c>
      <c r="R8402" t="s">
        <v>641</v>
      </c>
      <c r="S8402" t="s">
        <v>6511</v>
      </c>
      <c r="T8402" t="s">
        <v>2041</v>
      </c>
    </row>
    <row r="8403" spans="1:20" x14ac:dyDescent="0.25">
      <c r="A8403">
        <v>9</v>
      </c>
      <c r="B8403">
        <v>224</v>
      </c>
      <c r="C8403" t="str">
        <f t="shared" si="1922"/>
        <v>31</v>
      </c>
      <c r="D8403">
        <v>6411</v>
      </c>
      <c r="E8403" t="str">
        <f>"SG"</f>
        <v>SG</v>
      </c>
      <c r="F8403" t="str">
        <f t="shared" si="1921"/>
        <v>875</v>
      </c>
      <c r="G8403">
        <v>9</v>
      </c>
      <c r="H8403" t="str">
        <f t="shared" si="1914"/>
        <v>23</v>
      </c>
      <c r="I8403" t="str">
        <f t="shared" si="1918"/>
        <v>0</v>
      </c>
      <c r="J8403" t="str">
        <f t="shared" si="1923"/>
        <v>00</v>
      </c>
      <c r="K8403">
        <v>20190308</v>
      </c>
      <c r="L8403" t="str">
        <f>"075902"</f>
        <v>075902</v>
      </c>
      <c r="M8403" t="str">
        <f>"00526"</f>
        <v>00526</v>
      </c>
      <c r="N8403" t="s">
        <v>6611</v>
      </c>
      <c r="O8403">
        <v>61.45</v>
      </c>
      <c r="P8403">
        <v>20190306</v>
      </c>
      <c r="Q8403" t="s">
        <v>6531</v>
      </c>
      <c r="R8403" t="s">
        <v>6600</v>
      </c>
      <c r="S8403" t="s">
        <v>6511</v>
      </c>
      <c r="T8403" t="s">
        <v>2041</v>
      </c>
    </row>
    <row r="8404" spans="1:20" x14ac:dyDescent="0.25">
      <c r="A8404">
        <v>9</v>
      </c>
      <c r="B8404">
        <v>224</v>
      </c>
      <c r="C8404" t="str">
        <f t="shared" si="1922"/>
        <v>31</v>
      </c>
      <c r="D8404">
        <v>6411</v>
      </c>
      <c r="E8404" t="str">
        <f>"SG"</f>
        <v>SG</v>
      </c>
      <c r="F8404" t="str">
        <f t="shared" si="1921"/>
        <v>875</v>
      </c>
      <c r="G8404">
        <v>9</v>
      </c>
      <c r="H8404" t="str">
        <f t="shared" si="1914"/>
        <v>23</v>
      </c>
      <c r="I8404" t="str">
        <f t="shared" si="1918"/>
        <v>0</v>
      </c>
      <c r="J8404" t="str">
        <f t="shared" si="1923"/>
        <v>00</v>
      </c>
      <c r="K8404">
        <v>20190308</v>
      </c>
      <c r="L8404" t="str">
        <f>"075914"</f>
        <v>075914</v>
      </c>
      <c r="M8404" t="str">
        <f>"27909"</f>
        <v>27909</v>
      </c>
      <c r="N8404" t="s">
        <v>1490</v>
      </c>
      <c r="O8404">
        <v>400</v>
      </c>
      <c r="P8404">
        <v>20190306</v>
      </c>
      <c r="Q8404" t="s">
        <v>6531</v>
      </c>
      <c r="R8404" t="s">
        <v>6600</v>
      </c>
      <c r="S8404" t="s">
        <v>6511</v>
      </c>
      <c r="T8404" t="s">
        <v>2041</v>
      </c>
    </row>
    <row r="8405" spans="1:20" x14ac:dyDescent="0.25">
      <c r="A8405">
        <v>9</v>
      </c>
      <c r="B8405">
        <v>224</v>
      </c>
      <c r="C8405" t="str">
        <f t="shared" si="1922"/>
        <v>31</v>
      </c>
      <c r="D8405">
        <v>6411</v>
      </c>
      <c r="E8405" t="str">
        <f>"SG"</f>
        <v>SG</v>
      </c>
      <c r="F8405" t="str">
        <f t="shared" si="1921"/>
        <v>875</v>
      </c>
      <c r="G8405">
        <v>9</v>
      </c>
      <c r="H8405" t="str">
        <f t="shared" si="1914"/>
        <v>23</v>
      </c>
      <c r="I8405" t="str">
        <f t="shared" si="1918"/>
        <v>0</v>
      </c>
      <c r="J8405" t="str">
        <f t="shared" si="1923"/>
        <v>00</v>
      </c>
      <c r="K8405">
        <v>20190308</v>
      </c>
      <c r="L8405" t="str">
        <f>"075915"</f>
        <v>075915</v>
      </c>
      <c r="M8405" t="str">
        <f>"28680"</f>
        <v>28680</v>
      </c>
      <c r="N8405" t="s">
        <v>482</v>
      </c>
      <c r="O8405">
        <v>136.83000000000001</v>
      </c>
      <c r="P8405">
        <v>20190306</v>
      </c>
      <c r="Q8405" t="s">
        <v>6531</v>
      </c>
      <c r="R8405" t="s">
        <v>6600</v>
      </c>
      <c r="S8405" t="s">
        <v>6511</v>
      </c>
      <c r="T8405" t="s">
        <v>2041</v>
      </c>
    </row>
    <row r="8406" spans="1:20" x14ac:dyDescent="0.25">
      <c r="A8406">
        <v>9</v>
      </c>
      <c r="B8406">
        <v>224</v>
      </c>
      <c r="C8406" t="str">
        <f t="shared" si="1922"/>
        <v>31</v>
      </c>
      <c r="D8406">
        <v>6411</v>
      </c>
      <c r="E8406" t="str">
        <f>"SG"</f>
        <v>SG</v>
      </c>
      <c r="F8406" t="str">
        <f t="shared" si="1921"/>
        <v>875</v>
      </c>
      <c r="G8406">
        <v>9</v>
      </c>
      <c r="H8406" t="str">
        <f t="shared" si="1914"/>
        <v>23</v>
      </c>
      <c r="I8406" t="str">
        <f t="shared" si="1918"/>
        <v>0</v>
      </c>
      <c r="J8406" t="str">
        <f t="shared" si="1923"/>
        <v>00</v>
      </c>
      <c r="K8406">
        <v>20190308</v>
      </c>
      <c r="L8406" t="str">
        <f>"075951"</f>
        <v>075951</v>
      </c>
      <c r="M8406" t="str">
        <f>"48958"</f>
        <v>48958</v>
      </c>
      <c r="N8406" t="s">
        <v>3655</v>
      </c>
      <c r="O8406">
        <v>59.6</v>
      </c>
      <c r="P8406">
        <v>20190306</v>
      </c>
      <c r="Q8406" t="s">
        <v>6531</v>
      </c>
      <c r="R8406" t="s">
        <v>6600</v>
      </c>
      <c r="S8406" t="s">
        <v>6511</v>
      </c>
      <c r="T8406" t="s">
        <v>2041</v>
      </c>
    </row>
    <row r="8407" spans="1:20" x14ac:dyDescent="0.25">
      <c r="A8407">
        <v>9</v>
      </c>
      <c r="B8407">
        <v>224</v>
      </c>
      <c r="C8407" t="str">
        <f t="shared" si="1922"/>
        <v>31</v>
      </c>
      <c r="D8407">
        <v>6399</v>
      </c>
      <c r="E8407" t="str">
        <f>"00"</f>
        <v>00</v>
      </c>
      <c r="F8407" t="str">
        <f t="shared" si="1921"/>
        <v>875</v>
      </c>
      <c r="G8407">
        <v>9</v>
      </c>
      <c r="H8407" t="str">
        <f t="shared" si="1914"/>
        <v>23</v>
      </c>
      <c r="I8407" t="str">
        <f t="shared" si="1918"/>
        <v>0</v>
      </c>
      <c r="J8407" t="str">
        <f t="shared" si="1923"/>
        <v>00</v>
      </c>
      <c r="K8407">
        <v>20190308</v>
      </c>
      <c r="L8407" t="str">
        <f>"075965"</f>
        <v>075965</v>
      </c>
      <c r="M8407" t="str">
        <f>"54495"</f>
        <v>54495</v>
      </c>
      <c r="N8407" t="s">
        <v>2102</v>
      </c>
      <c r="O8407">
        <v>87.7</v>
      </c>
      <c r="P8407">
        <v>20190306</v>
      </c>
      <c r="Q8407" t="s">
        <v>6597</v>
      </c>
      <c r="R8407" t="s">
        <v>6612</v>
      </c>
      <c r="S8407" t="s">
        <v>6511</v>
      </c>
      <c r="T8407" t="s">
        <v>2041</v>
      </c>
    </row>
    <row r="8408" spans="1:20" x14ac:dyDescent="0.25">
      <c r="A8408">
        <v>9</v>
      </c>
      <c r="B8408">
        <v>224</v>
      </c>
      <c r="C8408" t="str">
        <f t="shared" si="1922"/>
        <v>31</v>
      </c>
      <c r="D8408">
        <v>6399</v>
      </c>
      <c r="E8408" t="str">
        <f>"00"</f>
        <v>00</v>
      </c>
      <c r="F8408" t="str">
        <f t="shared" si="1921"/>
        <v>875</v>
      </c>
      <c r="G8408">
        <v>9</v>
      </c>
      <c r="H8408" t="str">
        <f t="shared" si="1914"/>
        <v>23</v>
      </c>
      <c r="I8408" t="str">
        <f t="shared" si="1918"/>
        <v>0</v>
      </c>
      <c r="J8408" t="str">
        <f>"18"</f>
        <v>18</v>
      </c>
      <c r="K8408">
        <v>20190308</v>
      </c>
      <c r="L8408" t="str">
        <f>"075965"</f>
        <v>075965</v>
      </c>
      <c r="M8408" t="str">
        <f>"54495"</f>
        <v>54495</v>
      </c>
      <c r="N8408" t="s">
        <v>2102</v>
      </c>
      <c r="O8408">
        <v>50</v>
      </c>
      <c r="P8408">
        <v>20190306</v>
      </c>
      <c r="Q8408" t="s">
        <v>6535</v>
      </c>
      <c r="R8408" t="s">
        <v>6613</v>
      </c>
      <c r="S8408" t="s">
        <v>6511</v>
      </c>
      <c r="T8408" t="s">
        <v>2041</v>
      </c>
    </row>
    <row r="8409" spans="1:20" x14ac:dyDescent="0.25">
      <c r="A8409">
        <v>9</v>
      </c>
      <c r="B8409">
        <v>224</v>
      </c>
      <c r="C8409" t="str">
        <f>"13"</f>
        <v>13</v>
      </c>
      <c r="D8409">
        <v>6411</v>
      </c>
      <c r="E8409" t="str">
        <f>"00"</f>
        <v>00</v>
      </c>
      <c r="F8409" t="str">
        <f>"101"</f>
        <v>101</v>
      </c>
      <c r="G8409">
        <v>9</v>
      </c>
      <c r="H8409" t="str">
        <f t="shared" si="1914"/>
        <v>23</v>
      </c>
      <c r="I8409" t="str">
        <f t="shared" si="1918"/>
        <v>0</v>
      </c>
      <c r="J8409" t="str">
        <f>"00"</f>
        <v>00</v>
      </c>
      <c r="K8409">
        <v>20190315</v>
      </c>
      <c r="L8409" t="str">
        <f>"076057"</f>
        <v>076057</v>
      </c>
      <c r="M8409" t="str">
        <f>"27900"</f>
        <v>27900</v>
      </c>
      <c r="N8409" t="s">
        <v>1490</v>
      </c>
      <c r="O8409">
        <v>225</v>
      </c>
      <c r="P8409">
        <v>20190313</v>
      </c>
      <c r="Q8409" t="s">
        <v>6573</v>
      </c>
      <c r="R8409" t="s">
        <v>6614</v>
      </c>
      <c r="S8409" t="s">
        <v>6511</v>
      </c>
      <c r="T8409" t="s">
        <v>1479</v>
      </c>
    </row>
    <row r="8410" spans="1:20" x14ac:dyDescent="0.25">
      <c r="A8410">
        <v>9</v>
      </c>
      <c r="B8410">
        <v>224</v>
      </c>
      <c r="C8410" t="str">
        <f>"13"</f>
        <v>13</v>
      </c>
      <c r="D8410">
        <v>6411</v>
      </c>
      <c r="E8410" t="str">
        <f>"00"</f>
        <v>00</v>
      </c>
      <c r="F8410" t="str">
        <f>"101"</f>
        <v>101</v>
      </c>
      <c r="G8410">
        <v>9</v>
      </c>
      <c r="H8410" t="str">
        <f t="shared" si="1914"/>
        <v>23</v>
      </c>
      <c r="I8410" t="str">
        <f t="shared" si="1918"/>
        <v>0</v>
      </c>
      <c r="J8410" t="str">
        <f>"00"</f>
        <v>00</v>
      </c>
      <c r="K8410">
        <v>20190315</v>
      </c>
      <c r="L8410" t="str">
        <f>"076057"</f>
        <v>076057</v>
      </c>
      <c r="M8410" t="str">
        <f>"27900"</f>
        <v>27900</v>
      </c>
      <c r="N8410" t="s">
        <v>1490</v>
      </c>
      <c r="O8410">
        <v>225</v>
      </c>
      <c r="P8410">
        <v>20190313</v>
      </c>
      <c r="Q8410" t="s">
        <v>6573</v>
      </c>
      <c r="R8410" t="s">
        <v>6614</v>
      </c>
      <c r="S8410" t="s">
        <v>6511</v>
      </c>
      <c r="T8410" t="s">
        <v>1479</v>
      </c>
    </row>
    <row r="8411" spans="1:20" x14ac:dyDescent="0.25">
      <c r="A8411">
        <v>9</v>
      </c>
      <c r="B8411">
        <v>224</v>
      </c>
      <c r="C8411" t="str">
        <f>"13"</f>
        <v>13</v>
      </c>
      <c r="D8411">
        <v>6411</v>
      </c>
      <c r="E8411" t="str">
        <f>"00"</f>
        <v>00</v>
      </c>
      <c r="F8411" t="str">
        <f>"104"</f>
        <v>104</v>
      </c>
      <c r="G8411">
        <v>9</v>
      </c>
      <c r="H8411" t="str">
        <f t="shared" si="1914"/>
        <v>23</v>
      </c>
      <c r="I8411" t="str">
        <f t="shared" si="1918"/>
        <v>0</v>
      </c>
      <c r="J8411" t="str">
        <f>"00"</f>
        <v>00</v>
      </c>
      <c r="K8411">
        <v>20190315</v>
      </c>
      <c r="L8411" t="str">
        <f>"076057"</f>
        <v>076057</v>
      </c>
      <c r="M8411" t="str">
        <f>"27900"</f>
        <v>27900</v>
      </c>
      <c r="N8411" t="s">
        <v>1490</v>
      </c>
      <c r="O8411">
        <v>225</v>
      </c>
      <c r="P8411">
        <v>20190313</v>
      </c>
      <c r="Q8411" t="s">
        <v>6574</v>
      </c>
      <c r="R8411" t="s">
        <v>6614</v>
      </c>
      <c r="S8411" t="s">
        <v>6511</v>
      </c>
      <c r="T8411" t="s">
        <v>46</v>
      </c>
    </row>
    <row r="8412" spans="1:20" x14ac:dyDescent="0.25">
      <c r="A8412">
        <v>9</v>
      </c>
      <c r="B8412">
        <v>224</v>
      </c>
      <c r="C8412" t="str">
        <f>"31"</f>
        <v>31</v>
      </c>
      <c r="D8412">
        <v>6411</v>
      </c>
      <c r="E8412" t="str">
        <f>"SG"</f>
        <v>SG</v>
      </c>
      <c r="F8412" t="str">
        <f>"875"</f>
        <v>875</v>
      </c>
      <c r="G8412">
        <v>9</v>
      </c>
      <c r="H8412" t="str">
        <f t="shared" si="1914"/>
        <v>23</v>
      </c>
      <c r="I8412" t="str">
        <f t="shared" si="1918"/>
        <v>0</v>
      </c>
      <c r="J8412" t="str">
        <f>"18"</f>
        <v>18</v>
      </c>
      <c r="K8412">
        <v>20190315</v>
      </c>
      <c r="L8412" t="str">
        <f>"076070"</f>
        <v>076070</v>
      </c>
      <c r="M8412" t="str">
        <f>"30744"</f>
        <v>30744</v>
      </c>
      <c r="N8412" t="s">
        <v>422</v>
      </c>
      <c r="O8412">
        <v>21.75</v>
      </c>
      <c r="P8412">
        <v>20190313</v>
      </c>
      <c r="Q8412" t="s">
        <v>6544</v>
      </c>
      <c r="R8412" t="s">
        <v>3385</v>
      </c>
      <c r="S8412" t="s">
        <v>6511</v>
      </c>
      <c r="T8412" t="s">
        <v>2041</v>
      </c>
    </row>
    <row r="8413" spans="1:20" x14ac:dyDescent="0.25">
      <c r="A8413">
        <v>9</v>
      </c>
      <c r="B8413">
        <v>224</v>
      </c>
      <c r="C8413" t="str">
        <f>"31"</f>
        <v>31</v>
      </c>
      <c r="D8413">
        <v>6411</v>
      </c>
      <c r="E8413" t="str">
        <f>"SG"</f>
        <v>SG</v>
      </c>
      <c r="F8413" t="str">
        <f>"875"</f>
        <v>875</v>
      </c>
      <c r="G8413">
        <v>9</v>
      </c>
      <c r="H8413" t="str">
        <f t="shared" si="1914"/>
        <v>23</v>
      </c>
      <c r="I8413" t="str">
        <f t="shared" si="1918"/>
        <v>0</v>
      </c>
      <c r="J8413" t="str">
        <f>"18"</f>
        <v>18</v>
      </c>
      <c r="K8413">
        <v>20190315</v>
      </c>
      <c r="L8413" t="str">
        <f>"076070"</f>
        <v>076070</v>
      </c>
      <c r="M8413" t="str">
        <f>"30744"</f>
        <v>30744</v>
      </c>
      <c r="N8413" t="s">
        <v>422</v>
      </c>
      <c r="O8413">
        <v>22.94</v>
      </c>
      <c r="P8413">
        <v>20190313</v>
      </c>
      <c r="Q8413" t="s">
        <v>6544</v>
      </c>
      <c r="R8413" t="s">
        <v>3385</v>
      </c>
      <c r="S8413" t="s">
        <v>6511</v>
      </c>
      <c r="T8413" t="s">
        <v>2041</v>
      </c>
    </row>
    <row r="8414" spans="1:20" x14ac:dyDescent="0.25">
      <c r="A8414">
        <v>9</v>
      </c>
      <c r="B8414">
        <v>224</v>
      </c>
      <c r="C8414" t="str">
        <f>"11"</f>
        <v>11</v>
      </c>
      <c r="D8414">
        <v>6399</v>
      </c>
      <c r="E8414" t="str">
        <f t="shared" ref="E8414:E8455" si="1924">"00"</f>
        <v>00</v>
      </c>
      <c r="F8414" t="str">
        <f>"101"</f>
        <v>101</v>
      </c>
      <c r="G8414">
        <v>9</v>
      </c>
      <c r="H8414" t="str">
        <f t="shared" si="1914"/>
        <v>23</v>
      </c>
      <c r="I8414" t="str">
        <f t="shared" si="1918"/>
        <v>0</v>
      </c>
      <c r="J8414" t="str">
        <f>"18"</f>
        <v>18</v>
      </c>
      <c r="K8414">
        <v>20190315</v>
      </c>
      <c r="L8414" t="str">
        <f>"076076"</f>
        <v>076076</v>
      </c>
      <c r="M8414" t="str">
        <f>"37500"</f>
        <v>37500</v>
      </c>
      <c r="N8414" t="s">
        <v>2077</v>
      </c>
      <c r="O8414">
        <v>39.33</v>
      </c>
      <c r="P8414">
        <v>20190314</v>
      </c>
      <c r="Q8414" t="s">
        <v>6557</v>
      </c>
      <c r="R8414" t="s">
        <v>6615</v>
      </c>
      <c r="S8414" t="s">
        <v>6511</v>
      </c>
      <c r="T8414" t="s">
        <v>1479</v>
      </c>
    </row>
    <row r="8415" spans="1:20" x14ac:dyDescent="0.25">
      <c r="A8415">
        <v>9</v>
      </c>
      <c r="B8415">
        <v>224</v>
      </c>
      <c r="C8415" t="str">
        <f>"11"</f>
        <v>11</v>
      </c>
      <c r="D8415">
        <v>6399</v>
      </c>
      <c r="E8415" t="str">
        <f t="shared" si="1924"/>
        <v>00</v>
      </c>
      <c r="F8415" t="str">
        <f>"101"</f>
        <v>101</v>
      </c>
      <c r="G8415">
        <v>9</v>
      </c>
      <c r="H8415" t="str">
        <f t="shared" si="1914"/>
        <v>23</v>
      </c>
      <c r="I8415" t="str">
        <f t="shared" si="1918"/>
        <v>0</v>
      </c>
      <c r="J8415" t="str">
        <f>"18"</f>
        <v>18</v>
      </c>
      <c r="K8415">
        <v>20190315</v>
      </c>
      <c r="L8415" t="str">
        <f>"076076"</f>
        <v>076076</v>
      </c>
      <c r="M8415" t="str">
        <f>"37500"</f>
        <v>37500</v>
      </c>
      <c r="N8415" t="s">
        <v>2077</v>
      </c>
      <c r="O8415">
        <v>49.52</v>
      </c>
      <c r="P8415">
        <v>20190314</v>
      </c>
      <c r="Q8415" t="s">
        <v>6557</v>
      </c>
      <c r="R8415" t="s">
        <v>6615</v>
      </c>
      <c r="S8415" t="s">
        <v>6511</v>
      </c>
      <c r="T8415" t="s">
        <v>1479</v>
      </c>
    </row>
    <row r="8416" spans="1:20" x14ac:dyDescent="0.25">
      <c r="A8416">
        <v>9</v>
      </c>
      <c r="B8416">
        <v>224</v>
      </c>
      <c r="C8416" t="str">
        <f>"31"</f>
        <v>31</v>
      </c>
      <c r="D8416">
        <v>6219</v>
      </c>
      <c r="E8416" t="str">
        <f t="shared" si="1924"/>
        <v>00</v>
      </c>
      <c r="F8416" t="str">
        <f>"875"</f>
        <v>875</v>
      </c>
      <c r="G8416">
        <v>9</v>
      </c>
      <c r="H8416" t="str">
        <f t="shared" si="1914"/>
        <v>23</v>
      </c>
      <c r="I8416" t="str">
        <f t="shared" si="1918"/>
        <v>0</v>
      </c>
      <c r="J8416" t="str">
        <f>"18"</f>
        <v>18</v>
      </c>
      <c r="K8416">
        <v>20190315</v>
      </c>
      <c r="L8416" t="str">
        <f>"076093"</f>
        <v>076093</v>
      </c>
      <c r="M8416" t="str">
        <f>"49997"</f>
        <v>49997</v>
      </c>
      <c r="N8416" t="s">
        <v>6508</v>
      </c>
      <c r="O8416" s="1">
        <v>1335</v>
      </c>
      <c r="P8416">
        <v>20190314</v>
      </c>
      <c r="Q8416" t="s">
        <v>6527</v>
      </c>
      <c r="R8416" t="s">
        <v>4335</v>
      </c>
      <c r="S8416" t="s">
        <v>6511</v>
      </c>
      <c r="T8416" t="s">
        <v>2041</v>
      </c>
    </row>
    <row r="8417" spans="1:20" x14ac:dyDescent="0.25">
      <c r="A8417">
        <v>9</v>
      </c>
      <c r="B8417">
        <v>224</v>
      </c>
      <c r="C8417" t="str">
        <f>"13"</f>
        <v>13</v>
      </c>
      <c r="D8417">
        <v>6411</v>
      </c>
      <c r="E8417" t="str">
        <f t="shared" si="1924"/>
        <v>00</v>
      </c>
      <c r="F8417" t="str">
        <f>"104"</f>
        <v>104</v>
      </c>
      <c r="G8417">
        <v>9</v>
      </c>
      <c r="H8417" t="str">
        <f t="shared" si="1914"/>
        <v>23</v>
      </c>
      <c r="I8417" t="str">
        <f t="shared" si="1918"/>
        <v>0</v>
      </c>
      <c r="J8417" t="str">
        <f>"00"</f>
        <v>00</v>
      </c>
      <c r="K8417">
        <v>20190322</v>
      </c>
      <c r="L8417" t="str">
        <f>"076146"</f>
        <v>076146</v>
      </c>
      <c r="M8417" t="str">
        <f>"19041"</f>
        <v>19041</v>
      </c>
      <c r="N8417" t="s">
        <v>4881</v>
      </c>
      <c r="O8417">
        <v>183.31</v>
      </c>
      <c r="P8417">
        <v>20190320</v>
      </c>
      <c r="Q8417" t="s">
        <v>6574</v>
      </c>
      <c r="R8417" t="s">
        <v>6604</v>
      </c>
      <c r="S8417" t="s">
        <v>6511</v>
      </c>
      <c r="T8417" t="s">
        <v>46</v>
      </c>
    </row>
    <row r="8418" spans="1:20" x14ac:dyDescent="0.25">
      <c r="A8418">
        <v>9</v>
      </c>
      <c r="B8418">
        <v>224</v>
      </c>
      <c r="C8418" t="str">
        <f>"31"</f>
        <v>31</v>
      </c>
      <c r="D8418">
        <v>6219</v>
      </c>
      <c r="E8418" t="str">
        <f t="shared" si="1924"/>
        <v>00</v>
      </c>
      <c r="F8418" t="str">
        <f>"875"</f>
        <v>875</v>
      </c>
      <c r="G8418">
        <v>9</v>
      </c>
      <c r="H8418" t="str">
        <f t="shared" si="1914"/>
        <v>23</v>
      </c>
      <c r="I8418" t="str">
        <f t="shared" si="1918"/>
        <v>0</v>
      </c>
      <c r="J8418" t="str">
        <f>"18"</f>
        <v>18</v>
      </c>
      <c r="K8418">
        <v>20190322</v>
      </c>
      <c r="L8418" t="str">
        <f>"076158"</f>
        <v>076158</v>
      </c>
      <c r="M8418" t="str">
        <f>"21769"</f>
        <v>21769</v>
      </c>
      <c r="N8418" t="s">
        <v>1701</v>
      </c>
      <c r="O8418" s="1">
        <v>1809.8</v>
      </c>
      <c r="P8418">
        <v>20190320</v>
      </c>
      <c r="Q8418" t="s">
        <v>6527</v>
      </c>
      <c r="R8418" t="s">
        <v>4335</v>
      </c>
      <c r="S8418" t="s">
        <v>6511</v>
      </c>
      <c r="T8418" t="s">
        <v>2041</v>
      </c>
    </row>
    <row r="8419" spans="1:20" x14ac:dyDescent="0.25">
      <c r="A8419">
        <v>9</v>
      </c>
      <c r="B8419">
        <v>224</v>
      </c>
      <c r="C8419" t="str">
        <f>"11"</f>
        <v>11</v>
      </c>
      <c r="D8419">
        <v>6411</v>
      </c>
      <c r="E8419" t="str">
        <f t="shared" si="1924"/>
        <v>00</v>
      </c>
      <c r="F8419" t="str">
        <f>"101"</f>
        <v>101</v>
      </c>
      <c r="G8419">
        <v>9</v>
      </c>
      <c r="H8419" t="str">
        <f t="shared" si="1914"/>
        <v>23</v>
      </c>
      <c r="I8419" t="str">
        <f t="shared" si="1918"/>
        <v>0</v>
      </c>
      <c r="J8419" t="str">
        <f>"00"</f>
        <v>00</v>
      </c>
      <c r="K8419">
        <v>20190322</v>
      </c>
      <c r="L8419" t="str">
        <f>"076168"</f>
        <v>076168</v>
      </c>
      <c r="M8419" t="str">
        <f>"33742"</f>
        <v>33742</v>
      </c>
      <c r="N8419" t="s">
        <v>3570</v>
      </c>
      <c r="O8419">
        <v>100</v>
      </c>
      <c r="P8419">
        <v>20190320</v>
      </c>
      <c r="Q8419" t="s">
        <v>6592</v>
      </c>
      <c r="R8419" t="s">
        <v>6604</v>
      </c>
      <c r="S8419" t="s">
        <v>6511</v>
      </c>
      <c r="T8419" t="s">
        <v>1479</v>
      </c>
    </row>
    <row r="8420" spans="1:20" x14ac:dyDescent="0.25">
      <c r="A8420">
        <v>9</v>
      </c>
      <c r="B8420">
        <v>224</v>
      </c>
      <c r="C8420" t="str">
        <f>"11"</f>
        <v>11</v>
      </c>
      <c r="D8420">
        <v>6339</v>
      </c>
      <c r="E8420" t="str">
        <f t="shared" si="1924"/>
        <v>00</v>
      </c>
      <c r="F8420" t="str">
        <f>"001"</f>
        <v>001</v>
      </c>
      <c r="G8420">
        <v>9</v>
      </c>
      <c r="H8420" t="str">
        <f t="shared" si="1914"/>
        <v>23</v>
      </c>
      <c r="I8420" t="str">
        <f t="shared" si="1918"/>
        <v>0</v>
      </c>
      <c r="J8420" t="str">
        <f>"18"</f>
        <v>18</v>
      </c>
      <c r="K8420">
        <v>20190322</v>
      </c>
      <c r="L8420" t="str">
        <f t="shared" ref="L8420:L8425" si="1925">"076188"</f>
        <v>076188</v>
      </c>
      <c r="M8420" t="str">
        <f t="shared" ref="M8420:M8425" si="1926">"54495"</f>
        <v>54495</v>
      </c>
      <c r="N8420" t="s">
        <v>2102</v>
      </c>
      <c r="O8420">
        <v>43.75</v>
      </c>
      <c r="P8420">
        <v>20190320</v>
      </c>
      <c r="Q8420" t="s">
        <v>6616</v>
      </c>
      <c r="R8420" t="s">
        <v>6617</v>
      </c>
      <c r="S8420" t="s">
        <v>6511</v>
      </c>
      <c r="T8420" t="s">
        <v>301</v>
      </c>
    </row>
    <row r="8421" spans="1:20" x14ac:dyDescent="0.25">
      <c r="A8421">
        <v>9</v>
      </c>
      <c r="B8421">
        <v>224</v>
      </c>
      <c r="C8421" t="str">
        <f>"11"</f>
        <v>11</v>
      </c>
      <c r="D8421">
        <v>6339</v>
      </c>
      <c r="E8421" t="str">
        <f t="shared" si="1924"/>
        <v>00</v>
      </c>
      <c r="F8421" t="str">
        <f>"041"</f>
        <v>041</v>
      </c>
      <c r="G8421">
        <v>9</v>
      </c>
      <c r="H8421" t="str">
        <f t="shared" si="1914"/>
        <v>23</v>
      </c>
      <c r="I8421" t="str">
        <f t="shared" si="1918"/>
        <v>0</v>
      </c>
      <c r="J8421" t="str">
        <f>"18"</f>
        <v>18</v>
      </c>
      <c r="K8421">
        <v>20190322</v>
      </c>
      <c r="L8421" t="str">
        <f t="shared" si="1925"/>
        <v>076188</v>
      </c>
      <c r="M8421" t="str">
        <f t="shared" si="1926"/>
        <v>54495</v>
      </c>
      <c r="N8421" t="s">
        <v>2102</v>
      </c>
      <c r="O8421">
        <v>43.75</v>
      </c>
      <c r="P8421">
        <v>20190320</v>
      </c>
      <c r="Q8421" t="s">
        <v>6618</v>
      </c>
      <c r="R8421" t="s">
        <v>6617</v>
      </c>
      <c r="S8421" t="s">
        <v>6511</v>
      </c>
      <c r="T8421" t="s">
        <v>106</v>
      </c>
    </row>
    <row r="8422" spans="1:20" x14ac:dyDescent="0.25">
      <c r="A8422">
        <v>9</v>
      </c>
      <c r="B8422">
        <v>224</v>
      </c>
      <c r="C8422" t="str">
        <f>"11"</f>
        <v>11</v>
      </c>
      <c r="D8422">
        <v>6339</v>
      </c>
      <c r="E8422" t="str">
        <f t="shared" si="1924"/>
        <v>00</v>
      </c>
      <c r="F8422" t="str">
        <f>"101"</f>
        <v>101</v>
      </c>
      <c r="G8422">
        <v>9</v>
      </c>
      <c r="H8422" t="str">
        <f t="shared" si="1914"/>
        <v>23</v>
      </c>
      <c r="I8422" t="str">
        <f t="shared" si="1918"/>
        <v>0</v>
      </c>
      <c r="J8422" t="str">
        <f>"18"</f>
        <v>18</v>
      </c>
      <c r="K8422">
        <v>20190322</v>
      </c>
      <c r="L8422" t="str">
        <f t="shared" si="1925"/>
        <v>076188</v>
      </c>
      <c r="M8422" t="str">
        <f t="shared" si="1926"/>
        <v>54495</v>
      </c>
      <c r="N8422" t="s">
        <v>2102</v>
      </c>
      <c r="O8422">
        <v>43.75</v>
      </c>
      <c r="P8422">
        <v>20190320</v>
      </c>
      <c r="Q8422" t="s">
        <v>6523</v>
      </c>
      <c r="R8422" t="s">
        <v>6617</v>
      </c>
      <c r="S8422" t="s">
        <v>6511</v>
      </c>
      <c r="T8422" t="s">
        <v>1479</v>
      </c>
    </row>
    <row r="8423" spans="1:20" x14ac:dyDescent="0.25">
      <c r="A8423">
        <v>9</v>
      </c>
      <c r="B8423">
        <v>224</v>
      </c>
      <c r="C8423" t="str">
        <f>"11"</f>
        <v>11</v>
      </c>
      <c r="D8423">
        <v>6339</v>
      </c>
      <c r="E8423" t="str">
        <f t="shared" si="1924"/>
        <v>00</v>
      </c>
      <c r="F8423" t="str">
        <f>"104"</f>
        <v>104</v>
      </c>
      <c r="G8423">
        <v>9</v>
      </c>
      <c r="H8423" t="str">
        <f t="shared" si="1914"/>
        <v>23</v>
      </c>
      <c r="I8423" t="str">
        <f t="shared" si="1918"/>
        <v>0</v>
      </c>
      <c r="J8423" t="str">
        <f>"18"</f>
        <v>18</v>
      </c>
      <c r="K8423">
        <v>20190322</v>
      </c>
      <c r="L8423" t="str">
        <f t="shared" si="1925"/>
        <v>076188</v>
      </c>
      <c r="M8423" t="str">
        <f t="shared" si="1926"/>
        <v>54495</v>
      </c>
      <c r="N8423" t="s">
        <v>2102</v>
      </c>
      <c r="O8423">
        <v>43.75</v>
      </c>
      <c r="P8423">
        <v>20190320</v>
      </c>
      <c r="Q8423" t="s">
        <v>6619</v>
      </c>
      <c r="R8423" t="s">
        <v>6617</v>
      </c>
      <c r="S8423" t="s">
        <v>6511</v>
      </c>
      <c r="T8423" t="s">
        <v>46</v>
      </c>
    </row>
    <row r="8424" spans="1:20" x14ac:dyDescent="0.25">
      <c r="A8424">
        <v>9</v>
      </c>
      <c r="B8424">
        <v>224</v>
      </c>
      <c r="C8424" t="str">
        <f>"31"</f>
        <v>31</v>
      </c>
      <c r="D8424">
        <v>6339</v>
      </c>
      <c r="E8424" t="str">
        <f t="shared" si="1924"/>
        <v>00</v>
      </c>
      <c r="F8424" t="str">
        <f>"875"</f>
        <v>875</v>
      </c>
      <c r="G8424">
        <v>9</v>
      </c>
      <c r="H8424" t="str">
        <f t="shared" si="1914"/>
        <v>23</v>
      </c>
      <c r="I8424" t="str">
        <f t="shared" si="1918"/>
        <v>0</v>
      </c>
      <c r="J8424" t="str">
        <f>"18"</f>
        <v>18</v>
      </c>
      <c r="K8424">
        <v>20190322</v>
      </c>
      <c r="L8424" t="str">
        <f t="shared" si="1925"/>
        <v>076188</v>
      </c>
      <c r="M8424" t="str">
        <f t="shared" si="1926"/>
        <v>54495</v>
      </c>
      <c r="N8424" t="s">
        <v>2102</v>
      </c>
      <c r="O8424" s="1">
        <v>1985</v>
      </c>
      <c r="P8424">
        <v>20190320</v>
      </c>
      <c r="Q8424" t="s">
        <v>6589</v>
      </c>
      <c r="R8424" t="s">
        <v>6617</v>
      </c>
      <c r="S8424" t="s">
        <v>6511</v>
      </c>
      <c r="T8424" t="s">
        <v>2041</v>
      </c>
    </row>
    <row r="8425" spans="1:20" x14ac:dyDescent="0.25">
      <c r="A8425">
        <v>9</v>
      </c>
      <c r="B8425">
        <v>224</v>
      </c>
      <c r="C8425" t="str">
        <f>"31"</f>
        <v>31</v>
      </c>
      <c r="D8425">
        <v>6399</v>
      </c>
      <c r="E8425" t="str">
        <f t="shared" si="1924"/>
        <v>00</v>
      </c>
      <c r="F8425" t="str">
        <f>"875"</f>
        <v>875</v>
      </c>
      <c r="G8425">
        <v>9</v>
      </c>
      <c r="H8425" t="str">
        <f t="shared" si="1914"/>
        <v>23</v>
      </c>
      <c r="I8425" t="str">
        <f t="shared" si="1918"/>
        <v>0</v>
      </c>
      <c r="J8425" t="str">
        <f>"00"</f>
        <v>00</v>
      </c>
      <c r="K8425">
        <v>20190322</v>
      </c>
      <c r="L8425" t="str">
        <f t="shared" si="1925"/>
        <v>076188</v>
      </c>
      <c r="M8425" t="str">
        <f t="shared" si="1926"/>
        <v>54495</v>
      </c>
      <c r="N8425" t="s">
        <v>2102</v>
      </c>
      <c r="O8425">
        <v>160.5</v>
      </c>
      <c r="P8425">
        <v>20190320</v>
      </c>
      <c r="Q8425" t="s">
        <v>6597</v>
      </c>
      <c r="R8425" t="s">
        <v>6620</v>
      </c>
      <c r="S8425" t="s">
        <v>6511</v>
      </c>
      <c r="T8425" t="s">
        <v>2041</v>
      </c>
    </row>
    <row r="8426" spans="1:20" x14ac:dyDescent="0.25">
      <c r="A8426">
        <v>9</v>
      </c>
      <c r="B8426">
        <v>224</v>
      </c>
      <c r="C8426" t="str">
        <f>"31"</f>
        <v>31</v>
      </c>
      <c r="D8426">
        <v>6219</v>
      </c>
      <c r="E8426" t="str">
        <f t="shared" si="1924"/>
        <v>00</v>
      </c>
      <c r="F8426" t="str">
        <f>"875"</f>
        <v>875</v>
      </c>
      <c r="G8426">
        <v>9</v>
      </c>
      <c r="H8426" t="str">
        <f t="shared" si="1914"/>
        <v>23</v>
      </c>
      <c r="I8426" t="str">
        <f t="shared" si="1918"/>
        <v>0</v>
      </c>
      <c r="J8426" t="str">
        <f>"00"</f>
        <v>00</v>
      </c>
      <c r="K8426">
        <v>20190329</v>
      </c>
      <c r="L8426" t="str">
        <f>"076231"</f>
        <v>076231</v>
      </c>
      <c r="M8426" t="str">
        <f>"74150"</f>
        <v>74150</v>
      </c>
      <c r="N8426" t="s">
        <v>1691</v>
      </c>
      <c r="O8426" s="1">
        <v>1710</v>
      </c>
      <c r="P8426">
        <v>20190327</v>
      </c>
      <c r="Q8426" t="s">
        <v>6513</v>
      </c>
      <c r="R8426" t="s">
        <v>6621</v>
      </c>
      <c r="S8426" t="s">
        <v>6511</v>
      </c>
      <c r="T8426" t="s">
        <v>2041</v>
      </c>
    </row>
    <row r="8427" spans="1:20" x14ac:dyDescent="0.25">
      <c r="A8427">
        <v>9</v>
      </c>
      <c r="B8427">
        <v>224</v>
      </c>
      <c r="C8427" t="str">
        <f>"31"</f>
        <v>31</v>
      </c>
      <c r="D8427">
        <v>6339</v>
      </c>
      <c r="E8427" t="str">
        <f t="shared" si="1924"/>
        <v>00</v>
      </c>
      <c r="F8427" t="str">
        <f>"875"</f>
        <v>875</v>
      </c>
      <c r="G8427">
        <v>9</v>
      </c>
      <c r="H8427" t="str">
        <f t="shared" si="1914"/>
        <v>23</v>
      </c>
      <c r="I8427" t="str">
        <f t="shared" si="1918"/>
        <v>0</v>
      </c>
      <c r="J8427" t="str">
        <f t="shared" ref="J8427:J8434" si="1927">"18"</f>
        <v>18</v>
      </c>
      <c r="K8427">
        <v>20190329</v>
      </c>
      <c r="L8427" t="str">
        <f>"076282"</f>
        <v>076282</v>
      </c>
      <c r="M8427" t="str">
        <f>"60343"</f>
        <v>60343</v>
      </c>
      <c r="N8427" t="s">
        <v>6522</v>
      </c>
      <c r="O8427" s="1">
        <v>1125.3599999999999</v>
      </c>
      <c r="P8427">
        <v>20190328</v>
      </c>
      <c r="Q8427" t="s">
        <v>6589</v>
      </c>
      <c r="R8427" t="s">
        <v>6622</v>
      </c>
      <c r="S8427" t="s">
        <v>6511</v>
      </c>
      <c r="T8427" t="s">
        <v>2041</v>
      </c>
    </row>
    <row r="8428" spans="1:20" x14ac:dyDescent="0.25">
      <c r="A8428">
        <v>9</v>
      </c>
      <c r="B8428">
        <v>224</v>
      </c>
      <c r="C8428" t="str">
        <f>"31"</f>
        <v>31</v>
      </c>
      <c r="D8428">
        <v>6339</v>
      </c>
      <c r="E8428" t="str">
        <f t="shared" si="1924"/>
        <v>00</v>
      </c>
      <c r="F8428" t="str">
        <f>"875"</f>
        <v>875</v>
      </c>
      <c r="G8428">
        <v>9</v>
      </c>
      <c r="H8428" t="str">
        <f t="shared" si="1914"/>
        <v>23</v>
      </c>
      <c r="I8428" t="str">
        <f t="shared" si="1918"/>
        <v>0</v>
      </c>
      <c r="J8428" t="str">
        <f t="shared" si="1927"/>
        <v>18</v>
      </c>
      <c r="K8428">
        <v>20190329</v>
      </c>
      <c r="L8428" t="str">
        <f>"076312"</f>
        <v>076312</v>
      </c>
      <c r="M8428" t="str">
        <f>"84080"</f>
        <v>84080</v>
      </c>
      <c r="N8428" t="s">
        <v>6537</v>
      </c>
      <c r="O8428">
        <v>924</v>
      </c>
      <c r="P8428">
        <v>20190328</v>
      </c>
      <c r="Q8428" t="s">
        <v>6589</v>
      </c>
      <c r="R8428" t="s">
        <v>6623</v>
      </c>
      <c r="S8428" t="s">
        <v>6511</v>
      </c>
      <c r="T8428" t="s">
        <v>2041</v>
      </c>
    </row>
    <row r="8429" spans="1:20" x14ac:dyDescent="0.25">
      <c r="A8429">
        <v>9</v>
      </c>
      <c r="B8429">
        <v>224</v>
      </c>
      <c r="C8429" t="str">
        <f t="shared" ref="C8429:C8434" si="1928">"11"</f>
        <v>11</v>
      </c>
      <c r="D8429">
        <v>6399</v>
      </c>
      <c r="E8429" t="str">
        <f t="shared" si="1924"/>
        <v>00</v>
      </c>
      <c r="F8429" t="str">
        <f>"001"</f>
        <v>001</v>
      </c>
      <c r="G8429">
        <v>9</v>
      </c>
      <c r="H8429" t="str">
        <f t="shared" si="1914"/>
        <v>23</v>
      </c>
      <c r="I8429" t="str">
        <f t="shared" si="1918"/>
        <v>0</v>
      </c>
      <c r="J8429" t="str">
        <f t="shared" si="1927"/>
        <v>18</v>
      </c>
      <c r="K8429">
        <v>20190405</v>
      </c>
      <c r="L8429" t="str">
        <f>"076321"</f>
        <v>076321</v>
      </c>
      <c r="M8429" t="str">
        <f>"04410"</f>
        <v>04410</v>
      </c>
      <c r="N8429" t="s">
        <v>410</v>
      </c>
      <c r="O8429">
        <v>50.93</v>
      </c>
      <c r="P8429">
        <v>20190404</v>
      </c>
      <c r="Q8429" t="s">
        <v>6554</v>
      </c>
      <c r="R8429" t="s">
        <v>6624</v>
      </c>
      <c r="S8429" t="s">
        <v>6511</v>
      </c>
      <c r="T8429" t="s">
        <v>301</v>
      </c>
    </row>
    <row r="8430" spans="1:20" x14ac:dyDescent="0.25">
      <c r="A8430">
        <v>9</v>
      </c>
      <c r="B8430">
        <v>224</v>
      </c>
      <c r="C8430" t="str">
        <f t="shared" si="1928"/>
        <v>11</v>
      </c>
      <c r="D8430">
        <v>6399</v>
      </c>
      <c r="E8430" t="str">
        <f t="shared" si="1924"/>
        <v>00</v>
      </c>
      <c r="F8430" t="str">
        <f>"041"</f>
        <v>041</v>
      </c>
      <c r="G8430">
        <v>9</v>
      </c>
      <c r="H8430" t="str">
        <f t="shared" si="1914"/>
        <v>23</v>
      </c>
      <c r="I8430" t="str">
        <f t="shared" si="1918"/>
        <v>0</v>
      </c>
      <c r="J8430" t="str">
        <f t="shared" si="1927"/>
        <v>18</v>
      </c>
      <c r="K8430">
        <v>20190405</v>
      </c>
      <c r="L8430" t="str">
        <f>"076321"</f>
        <v>076321</v>
      </c>
      <c r="M8430" t="str">
        <f>"04410"</f>
        <v>04410</v>
      </c>
      <c r="N8430" t="s">
        <v>410</v>
      </c>
      <c r="O8430">
        <v>77.069999999999993</v>
      </c>
      <c r="P8430">
        <v>20190404</v>
      </c>
      <c r="Q8430" t="s">
        <v>6556</v>
      </c>
      <c r="R8430" t="s">
        <v>6625</v>
      </c>
      <c r="S8430" t="s">
        <v>6511</v>
      </c>
      <c r="T8430" t="s">
        <v>106</v>
      </c>
    </row>
    <row r="8431" spans="1:20" x14ac:dyDescent="0.25">
      <c r="A8431">
        <v>9</v>
      </c>
      <c r="B8431">
        <v>224</v>
      </c>
      <c r="C8431" t="str">
        <f t="shared" si="1928"/>
        <v>11</v>
      </c>
      <c r="D8431">
        <v>6399</v>
      </c>
      <c r="E8431" t="str">
        <f t="shared" si="1924"/>
        <v>00</v>
      </c>
      <c r="F8431" t="str">
        <f>"001"</f>
        <v>001</v>
      </c>
      <c r="G8431">
        <v>9</v>
      </c>
      <c r="H8431" t="str">
        <f t="shared" si="1914"/>
        <v>23</v>
      </c>
      <c r="I8431" t="str">
        <f t="shared" si="1918"/>
        <v>0</v>
      </c>
      <c r="J8431" t="str">
        <f t="shared" si="1927"/>
        <v>18</v>
      </c>
      <c r="K8431">
        <v>20190405</v>
      </c>
      <c r="L8431" t="str">
        <f>"076341"</f>
        <v>076341</v>
      </c>
      <c r="M8431" t="str">
        <f>"21098"</f>
        <v>21098</v>
      </c>
      <c r="N8431" t="s">
        <v>2038</v>
      </c>
      <c r="O8431">
        <v>73.87</v>
      </c>
      <c r="P8431">
        <v>20190404</v>
      </c>
      <c r="Q8431" t="s">
        <v>6554</v>
      </c>
      <c r="R8431" t="s">
        <v>6626</v>
      </c>
      <c r="S8431" t="s">
        <v>6511</v>
      </c>
      <c r="T8431" t="s">
        <v>301</v>
      </c>
    </row>
    <row r="8432" spans="1:20" x14ac:dyDescent="0.25">
      <c r="A8432">
        <v>9</v>
      </c>
      <c r="B8432">
        <v>224</v>
      </c>
      <c r="C8432" t="str">
        <f t="shared" si="1928"/>
        <v>11</v>
      </c>
      <c r="D8432">
        <v>6399</v>
      </c>
      <c r="E8432" t="str">
        <f t="shared" si="1924"/>
        <v>00</v>
      </c>
      <c r="F8432" t="str">
        <f>"041"</f>
        <v>041</v>
      </c>
      <c r="G8432">
        <v>9</v>
      </c>
      <c r="H8432" t="str">
        <f t="shared" ref="H8432:H8495" si="1929">"23"</f>
        <v>23</v>
      </c>
      <c r="I8432" t="str">
        <f t="shared" si="1918"/>
        <v>0</v>
      </c>
      <c r="J8432" t="str">
        <f t="shared" si="1927"/>
        <v>18</v>
      </c>
      <c r="K8432">
        <v>20190405</v>
      </c>
      <c r="L8432" t="str">
        <f>"076341"</f>
        <v>076341</v>
      </c>
      <c r="M8432" t="str">
        <f>"21098"</f>
        <v>21098</v>
      </c>
      <c r="N8432" t="s">
        <v>2038</v>
      </c>
      <c r="O8432">
        <v>73.86</v>
      </c>
      <c r="P8432">
        <v>20190404</v>
      </c>
      <c r="Q8432" t="s">
        <v>6556</v>
      </c>
      <c r="R8432" t="s">
        <v>6626</v>
      </c>
      <c r="S8432" t="s">
        <v>6511</v>
      </c>
      <c r="T8432" t="s">
        <v>106</v>
      </c>
    </row>
    <row r="8433" spans="1:20" x14ac:dyDescent="0.25">
      <c r="A8433">
        <v>9</v>
      </c>
      <c r="B8433">
        <v>224</v>
      </c>
      <c r="C8433" t="str">
        <f t="shared" si="1928"/>
        <v>11</v>
      </c>
      <c r="D8433">
        <v>6399</v>
      </c>
      <c r="E8433" t="str">
        <f t="shared" si="1924"/>
        <v>00</v>
      </c>
      <c r="F8433" t="str">
        <f>"101"</f>
        <v>101</v>
      </c>
      <c r="G8433">
        <v>9</v>
      </c>
      <c r="H8433" t="str">
        <f t="shared" si="1929"/>
        <v>23</v>
      </c>
      <c r="I8433" t="str">
        <f t="shared" si="1918"/>
        <v>0</v>
      </c>
      <c r="J8433" t="str">
        <f t="shared" si="1927"/>
        <v>18</v>
      </c>
      <c r="K8433">
        <v>20190405</v>
      </c>
      <c r="L8433" t="str">
        <f>"076341"</f>
        <v>076341</v>
      </c>
      <c r="M8433" t="str">
        <f>"21098"</f>
        <v>21098</v>
      </c>
      <c r="N8433" t="s">
        <v>2038</v>
      </c>
      <c r="O8433">
        <v>73.86</v>
      </c>
      <c r="P8433">
        <v>20190404</v>
      </c>
      <c r="Q8433" t="s">
        <v>6557</v>
      </c>
      <c r="R8433" t="s">
        <v>6626</v>
      </c>
      <c r="S8433" t="s">
        <v>6511</v>
      </c>
      <c r="T8433" t="s">
        <v>1479</v>
      </c>
    </row>
    <row r="8434" spans="1:20" x14ac:dyDescent="0.25">
      <c r="A8434">
        <v>9</v>
      </c>
      <c r="B8434">
        <v>224</v>
      </c>
      <c r="C8434" t="str">
        <f t="shared" si="1928"/>
        <v>11</v>
      </c>
      <c r="D8434">
        <v>6399</v>
      </c>
      <c r="E8434" t="str">
        <f t="shared" si="1924"/>
        <v>00</v>
      </c>
      <c r="F8434" t="str">
        <f>"104"</f>
        <v>104</v>
      </c>
      <c r="G8434">
        <v>9</v>
      </c>
      <c r="H8434" t="str">
        <f t="shared" si="1929"/>
        <v>23</v>
      </c>
      <c r="I8434" t="str">
        <f t="shared" si="1918"/>
        <v>0</v>
      </c>
      <c r="J8434" t="str">
        <f t="shared" si="1927"/>
        <v>18</v>
      </c>
      <c r="K8434">
        <v>20190405</v>
      </c>
      <c r="L8434" t="str">
        <f>"076341"</f>
        <v>076341</v>
      </c>
      <c r="M8434" t="str">
        <f>"21098"</f>
        <v>21098</v>
      </c>
      <c r="N8434" t="s">
        <v>2038</v>
      </c>
      <c r="O8434">
        <v>73.86</v>
      </c>
      <c r="P8434">
        <v>20190404</v>
      </c>
      <c r="Q8434" t="s">
        <v>6558</v>
      </c>
      <c r="R8434" t="s">
        <v>6626</v>
      </c>
      <c r="S8434" t="s">
        <v>6511</v>
      </c>
      <c r="T8434" t="s">
        <v>46</v>
      </c>
    </row>
    <row r="8435" spans="1:20" x14ac:dyDescent="0.25">
      <c r="A8435">
        <v>9</v>
      </c>
      <c r="B8435">
        <v>224</v>
      </c>
      <c r="C8435" t="str">
        <f>"31"</f>
        <v>31</v>
      </c>
      <c r="D8435">
        <v>6219</v>
      </c>
      <c r="E8435" t="str">
        <f t="shared" si="1924"/>
        <v>00</v>
      </c>
      <c r="F8435" t="str">
        <f>"875"</f>
        <v>875</v>
      </c>
      <c r="G8435">
        <v>9</v>
      </c>
      <c r="H8435" t="str">
        <f t="shared" si="1929"/>
        <v>23</v>
      </c>
      <c r="I8435" t="str">
        <f t="shared" si="1918"/>
        <v>0</v>
      </c>
      <c r="J8435" t="str">
        <f t="shared" ref="J8435:J8440" si="1930">"00"</f>
        <v>00</v>
      </c>
      <c r="K8435">
        <v>20190412</v>
      </c>
      <c r="L8435" t="str">
        <f>"076426"</f>
        <v>076426</v>
      </c>
      <c r="M8435" t="str">
        <f>"21769"</f>
        <v>21769</v>
      </c>
      <c r="N8435" t="s">
        <v>1701</v>
      </c>
      <c r="O8435" s="1">
        <v>3000</v>
      </c>
      <c r="P8435">
        <v>20190410</v>
      </c>
      <c r="Q8435" t="s">
        <v>6513</v>
      </c>
      <c r="R8435" t="s">
        <v>4596</v>
      </c>
      <c r="S8435" t="s">
        <v>6511</v>
      </c>
      <c r="T8435" t="s">
        <v>2041</v>
      </c>
    </row>
    <row r="8436" spans="1:20" x14ac:dyDescent="0.25">
      <c r="A8436">
        <v>9</v>
      </c>
      <c r="B8436">
        <v>224</v>
      </c>
      <c r="C8436" t="str">
        <f>"31"</f>
        <v>31</v>
      </c>
      <c r="D8436">
        <v>6219</v>
      </c>
      <c r="E8436" t="str">
        <f t="shared" si="1924"/>
        <v>00</v>
      </c>
      <c r="F8436" t="str">
        <f>"875"</f>
        <v>875</v>
      </c>
      <c r="G8436">
        <v>9</v>
      </c>
      <c r="H8436" t="str">
        <f t="shared" si="1929"/>
        <v>23</v>
      </c>
      <c r="I8436" t="str">
        <f t="shared" si="1918"/>
        <v>0</v>
      </c>
      <c r="J8436" t="str">
        <f t="shared" si="1930"/>
        <v>00</v>
      </c>
      <c r="K8436">
        <v>20190412</v>
      </c>
      <c r="L8436" t="str">
        <f>"076439"</f>
        <v>076439</v>
      </c>
      <c r="M8436" t="str">
        <f>"27900"</f>
        <v>27900</v>
      </c>
      <c r="N8436" t="s">
        <v>1490</v>
      </c>
      <c r="O8436" s="1">
        <v>1830</v>
      </c>
      <c r="P8436">
        <v>20190410</v>
      </c>
      <c r="Q8436" t="s">
        <v>6513</v>
      </c>
      <c r="R8436" t="s">
        <v>6627</v>
      </c>
      <c r="S8436" t="s">
        <v>6511</v>
      </c>
      <c r="T8436" t="s">
        <v>2041</v>
      </c>
    </row>
    <row r="8437" spans="1:20" x14ac:dyDescent="0.25">
      <c r="A8437">
        <v>9</v>
      </c>
      <c r="B8437">
        <v>224</v>
      </c>
      <c r="C8437" t="str">
        <f>"13"</f>
        <v>13</v>
      </c>
      <c r="D8437">
        <v>6411</v>
      </c>
      <c r="E8437" t="str">
        <f t="shared" si="1924"/>
        <v>00</v>
      </c>
      <c r="F8437" t="str">
        <f>"104"</f>
        <v>104</v>
      </c>
      <c r="G8437">
        <v>9</v>
      </c>
      <c r="H8437" t="str">
        <f t="shared" si="1929"/>
        <v>23</v>
      </c>
      <c r="I8437" t="str">
        <f t="shared" si="1918"/>
        <v>0</v>
      </c>
      <c r="J8437" t="str">
        <f t="shared" si="1930"/>
        <v>00</v>
      </c>
      <c r="K8437">
        <v>20190412</v>
      </c>
      <c r="L8437" t="str">
        <f>"076442"</f>
        <v>076442</v>
      </c>
      <c r="M8437" t="str">
        <f>"28680"</f>
        <v>28680</v>
      </c>
      <c r="N8437" t="s">
        <v>482</v>
      </c>
      <c r="O8437">
        <v>182.44</v>
      </c>
      <c r="P8437">
        <v>20190410</v>
      </c>
      <c r="Q8437" t="s">
        <v>6574</v>
      </c>
      <c r="R8437" t="s">
        <v>6604</v>
      </c>
      <c r="S8437" t="s">
        <v>6511</v>
      </c>
      <c r="T8437" t="s">
        <v>46</v>
      </c>
    </row>
    <row r="8438" spans="1:20" x14ac:dyDescent="0.25">
      <c r="A8438">
        <v>9</v>
      </c>
      <c r="B8438">
        <v>224</v>
      </c>
      <c r="C8438" t="str">
        <f>"31"</f>
        <v>31</v>
      </c>
      <c r="D8438">
        <v>6399</v>
      </c>
      <c r="E8438" t="str">
        <f t="shared" si="1924"/>
        <v>00</v>
      </c>
      <c r="F8438" t="str">
        <f>"875"</f>
        <v>875</v>
      </c>
      <c r="G8438">
        <v>9</v>
      </c>
      <c r="H8438" t="str">
        <f t="shared" si="1929"/>
        <v>23</v>
      </c>
      <c r="I8438" t="str">
        <f t="shared" si="1918"/>
        <v>0</v>
      </c>
      <c r="J8438" t="str">
        <f t="shared" si="1930"/>
        <v>00</v>
      </c>
      <c r="K8438">
        <v>20190412</v>
      </c>
      <c r="L8438" t="str">
        <f>"076471"</f>
        <v>076471</v>
      </c>
      <c r="M8438" t="str">
        <f>"63511"</f>
        <v>63511</v>
      </c>
      <c r="N8438" t="s">
        <v>6548</v>
      </c>
      <c r="O8438">
        <v>349.61</v>
      </c>
      <c r="P8438">
        <v>20190410</v>
      </c>
      <c r="Q8438" t="s">
        <v>6597</v>
      </c>
      <c r="R8438" t="s">
        <v>6628</v>
      </c>
      <c r="S8438" t="s">
        <v>6511</v>
      </c>
      <c r="T8438" t="s">
        <v>2041</v>
      </c>
    </row>
    <row r="8439" spans="1:20" x14ac:dyDescent="0.25">
      <c r="A8439">
        <v>9</v>
      </c>
      <c r="B8439">
        <v>224</v>
      </c>
      <c r="C8439" t="str">
        <f>"31"</f>
        <v>31</v>
      </c>
      <c r="D8439">
        <v>6399</v>
      </c>
      <c r="E8439" t="str">
        <f t="shared" si="1924"/>
        <v>00</v>
      </c>
      <c r="F8439" t="str">
        <f>"875"</f>
        <v>875</v>
      </c>
      <c r="G8439">
        <v>9</v>
      </c>
      <c r="H8439" t="str">
        <f t="shared" si="1929"/>
        <v>23</v>
      </c>
      <c r="I8439" t="str">
        <f t="shared" si="1918"/>
        <v>0</v>
      </c>
      <c r="J8439" t="str">
        <f t="shared" si="1930"/>
        <v>00</v>
      </c>
      <c r="K8439">
        <v>20190412</v>
      </c>
      <c r="L8439" t="str">
        <f>"076471"</f>
        <v>076471</v>
      </c>
      <c r="M8439" t="str">
        <f>"63511"</f>
        <v>63511</v>
      </c>
      <c r="N8439" t="s">
        <v>6548</v>
      </c>
      <c r="O8439">
        <v>395.14</v>
      </c>
      <c r="P8439">
        <v>20190410</v>
      </c>
      <c r="Q8439" t="s">
        <v>6597</v>
      </c>
      <c r="R8439" t="s">
        <v>6629</v>
      </c>
      <c r="S8439" t="s">
        <v>6511</v>
      </c>
      <c r="T8439" t="s">
        <v>2041</v>
      </c>
    </row>
    <row r="8440" spans="1:20" x14ac:dyDescent="0.25">
      <c r="A8440">
        <v>9</v>
      </c>
      <c r="B8440">
        <v>224</v>
      </c>
      <c r="C8440" t="str">
        <f>"31"</f>
        <v>31</v>
      </c>
      <c r="D8440">
        <v>6219</v>
      </c>
      <c r="E8440" t="str">
        <f t="shared" si="1924"/>
        <v>00</v>
      </c>
      <c r="F8440" t="str">
        <f>"875"</f>
        <v>875</v>
      </c>
      <c r="G8440">
        <v>9</v>
      </c>
      <c r="H8440" t="str">
        <f t="shared" si="1929"/>
        <v>23</v>
      </c>
      <c r="I8440" t="str">
        <f t="shared" si="1918"/>
        <v>0</v>
      </c>
      <c r="J8440" t="str">
        <f t="shared" si="1930"/>
        <v>00</v>
      </c>
      <c r="K8440">
        <v>20190412</v>
      </c>
      <c r="L8440" t="str">
        <f>"076488"</f>
        <v>076488</v>
      </c>
      <c r="M8440" t="str">
        <f>"49997"</f>
        <v>49997</v>
      </c>
      <c r="N8440" t="s">
        <v>6508</v>
      </c>
      <c r="O8440" s="1">
        <v>1335</v>
      </c>
      <c r="P8440">
        <v>20190411</v>
      </c>
      <c r="Q8440" t="s">
        <v>6513</v>
      </c>
      <c r="R8440" t="s">
        <v>6630</v>
      </c>
      <c r="S8440" t="s">
        <v>6511</v>
      </c>
      <c r="T8440" t="s">
        <v>2041</v>
      </c>
    </row>
    <row r="8441" spans="1:20" x14ac:dyDescent="0.25">
      <c r="A8441">
        <v>9</v>
      </c>
      <c r="B8441">
        <v>224</v>
      </c>
      <c r="C8441" t="str">
        <f>"11"</f>
        <v>11</v>
      </c>
      <c r="D8441">
        <v>6339</v>
      </c>
      <c r="E8441" t="str">
        <f t="shared" si="1924"/>
        <v>00</v>
      </c>
      <c r="F8441" t="str">
        <f>"101"</f>
        <v>101</v>
      </c>
      <c r="G8441">
        <v>9</v>
      </c>
      <c r="H8441" t="str">
        <f t="shared" si="1929"/>
        <v>23</v>
      </c>
      <c r="I8441" t="str">
        <f t="shared" si="1918"/>
        <v>0</v>
      </c>
      <c r="J8441" t="str">
        <f>"18"</f>
        <v>18</v>
      </c>
      <c r="K8441">
        <v>20190412</v>
      </c>
      <c r="L8441" t="str">
        <f>"076504"</f>
        <v>076504</v>
      </c>
      <c r="M8441" t="str">
        <f>"60178"</f>
        <v>60178</v>
      </c>
      <c r="N8441" t="s">
        <v>3054</v>
      </c>
      <c r="O8441">
        <v>65.92</v>
      </c>
      <c r="P8441">
        <v>20190411</v>
      </c>
      <c r="Q8441" t="s">
        <v>6523</v>
      </c>
      <c r="R8441" t="s">
        <v>4674</v>
      </c>
      <c r="S8441" t="s">
        <v>6511</v>
      </c>
      <c r="T8441" t="s">
        <v>1479</v>
      </c>
    </row>
    <row r="8442" spans="1:20" x14ac:dyDescent="0.25">
      <c r="A8442">
        <v>9</v>
      </c>
      <c r="B8442">
        <v>224</v>
      </c>
      <c r="C8442" t="str">
        <f>"11"</f>
        <v>11</v>
      </c>
      <c r="D8442">
        <v>6339</v>
      </c>
      <c r="E8442" t="str">
        <f t="shared" si="1924"/>
        <v>00</v>
      </c>
      <c r="F8442" t="str">
        <f>"104"</f>
        <v>104</v>
      </c>
      <c r="G8442">
        <v>9</v>
      </c>
      <c r="H8442" t="str">
        <f t="shared" si="1929"/>
        <v>23</v>
      </c>
      <c r="I8442" t="str">
        <f t="shared" si="1918"/>
        <v>0</v>
      </c>
      <c r="J8442" t="str">
        <f>"18"</f>
        <v>18</v>
      </c>
      <c r="K8442">
        <v>20190412</v>
      </c>
      <c r="L8442" t="str">
        <f>"076504"</f>
        <v>076504</v>
      </c>
      <c r="M8442" t="str">
        <f>"60178"</f>
        <v>60178</v>
      </c>
      <c r="N8442" t="s">
        <v>3054</v>
      </c>
      <c r="O8442">
        <v>65.930000000000007</v>
      </c>
      <c r="P8442">
        <v>20190411</v>
      </c>
      <c r="Q8442" t="s">
        <v>6619</v>
      </c>
      <c r="R8442" t="s">
        <v>4674</v>
      </c>
      <c r="S8442" t="s">
        <v>6511</v>
      </c>
      <c r="T8442" t="s">
        <v>46</v>
      </c>
    </row>
    <row r="8443" spans="1:20" x14ac:dyDescent="0.25">
      <c r="A8443">
        <v>9</v>
      </c>
      <c r="B8443">
        <v>224</v>
      </c>
      <c r="C8443" t="str">
        <f>"11"</f>
        <v>11</v>
      </c>
      <c r="D8443">
        <v>6339</v>
      </c>
      <c r="E8443" t="str">
        <f t="shared" si="1924"/>
        <v>00</v>
      </c>
      <c r="F8443" t="str">
        <f>"101"</f>
        <v>101</v>
      </c>
      <c r="G8443">
        <v>9</v>
      </c>
      <c r="H8443" t="str">
        <f t="shared" si="1929"/>
        <v>23</v>
      </c>
      <c r="I8443" t="str">
        <f t="shared" ref="I8443:I8506" si="1931">"0"</f>
        <v>0</v>
      </c>
      <c r="J8443" t="str">
        <f>"00"</f>
        <v>00</v>
      </c>
      <c r="K8443">
        <v>20190412</v>
      </c>
      <c r="L8443" t="str">
        <f>"076518"</f>
        <v>076518</v>
      </c>
      <c r="M8443" t="str">
        <f>"74117"</f>
        <v>74117</v>
      </c>
      <c r="N8443" t="s">
        <v>6560</v>
      </c>
      <c r="O8443">
        <v>510.9</v>
      </c>
      <c r="P8443">
        <v>20190411</v>
      </c>
      <c r="Q8443" t="s">
        <v>6631</v>
      </c>
      <c r="R8443" t="s">
        <v>6632</v>
      </c>
      <c r="S8443" t="s">
        <v>6511</v>
      </c>
      <c r="T8443" t="s">
        <v>1479</v>
      </c>
    </row>
    <row r="8444" spans="1:20" x14ac:dyDescent="0.25">
      <c r="A8444">
        <v>9</v>
      </c>
      <c r="B8444">
        <v>224</v>
      </c>
      <c r="C8444" t="str">
        <f>"11"</f>
        <v>11</v>
      </c>
      <c r="D8444">
        <v>6339</v>
      </c>
      <c r="E8444" t="str">
        <f t="shared" si="1924"/>
        <v>00</v>
      </c>
      <c r="F8444" t="str">
        <f>"104"</f>
        <v>104</v>
      </c>
      <c r="G8444">
        <v>9</v>
      </c>
      <c r="H8444" t="str">
        <f t="shared" si="1929"/>
        <v>23</v>
      </c>
      <c r="I8444" t="str">
        <f t="shared" si="1931"/>
        <v>0</v>
      </c>
      <c r="J8444" t="str">
        <f>"18"</f>
        <v>18</v>
      </c>
      <c r="K8444">
        <v>20190412</v>
      </c>
      <c r="L8444" t="str">
        <f>"076518"</f>
        <v>076518</v>
      </c>
      <c r="M8444" t="str">
        <f>"74117"</f>
        <v>74117</v>
      </c>
      <c r="N8444" t="s">
        <v>6560</v>
      </c>
      <c r="O8444">
        <v>515.95000000000005</v>
      </c>
      <c r="P8444">
        <v>20190411</v>
      </c>
      <c r="Q8444" t="s">
        <v>6619</v>
      </c>
      <c r="R8444" t="s">
        <v>6633</v>
      </c>
      <c r="S8444" t="s">
        <v>6511</v>
      </c>
      <c r="T8444" t="s">
        <v>46</v>
      </c>
    </row>
    <row r="8445" spans="1:20" x14ac:dyDescent="0.25">
      <c r="A8445">
        <v>9</v>
      </c>
      <c r="B8445">
        <v>224</v>
      </c>
      <c r="C8445" t="str">
        <f>"11"</f>
        <v>11</v>
      </c>
      <c r="D8445">
        <v>6339</v>
      </c>
      <c r="E8445" t="str">
        <f t="shared" si="1924"/>
        <v>00</v>
      </c>
      <c r="F8445" t="str">
        <f>"101"</f>
        <v>101</v>
      </c>
      <c r="G8445">
        <v>9</v>
      </c>
      <c r="H8445" t="str">
        <f t="shared" si="1929"/>
        <v>23</v>
      </c>
      <c r="I8445" t="str">
        <f t="shared" si="1931"/>
        <v>0</v>
      </c>
      <c r="J8445" t="str">
        <f>"18"</f>
        <v>18</v>
      </c>
      <c r="K8445">
        <v>20190426</v>
      </c>
      <c r="L8445" t="str">
        <f>"076635"</f>
        <v>076635</v>
      </c>
      <c r="M8445" t="str">
        <f>"84080"</f>
        <v>84080</v>
      </c>
      <c r="N8445" t="s">
        <v>6537</v>
      </c>
      <c r="O8445">
        <v>183.7</v>
      </c>
      <c r="P8445">
        <v>20190425</v>
      </c>
      <c r="Q8445" t="s">
        <v>6523</v>
      </c>
      <c r="R8445" t="s">
        <v>6634</v>
      </c>
      <c r="S8445" t="s">
        <v>6511</v>
      </c>
      <c r="T8445" t="s">
        <v>1479</v>
      </c>
    </row>
    <row r="8446" spans="1:20" x14ac:dyDescent="0.25">
      <c r="A8446">
        <v>9</v>
      </c>
      <c r="B8446">
        <v>224</v>
      </c>
      <c r="C8446" t="str">
        <f>"31"</f>
        <v>31</v>
      </c>
      <c r="D8446">
        <v>6219</v>
      </c>
      <c r="E8446" t="str">
        <f t="shared" si="1924"/>
        <v>00</v>
      </c>
      <c r="F8446" t="str">
        <f>"875"</f>
        <v>875</v>
      </c>
      <c r="G8446">
        <v>9</v>
      </c>
      <c r="H8446" t="str">
        <f t="shared" si="1929"/>
        <v>23</v>
      </c>
      <c r="I8446" t="str">
        <f t="shared" si="1931"/>
        <v>0</v>
      </c>
      <c r="J8446" t="str">
        <f>"00"</f>
        <v>00</v>
      </c>
      <c r="K8446">
        <v>20190503</v>
      </c>
      <c r="L8446" t="str">
        <f>"076656"</f>
        <v>076656</v>
      </c>
      <c r="M8446" t="str">
        <f>"74150"</f>
        <v>74150</v>
      </c>
      <c r="N8446" t="s">
        <v>1691</v>
      </c>
      <c r="O8446" s="1">
        <v>1500</v>
      </c>
      <c r="P8446">
        <v>20190502</v>
      </c>
      <c r="Q8446" t="s">
        <v>6513</v>
      </c>
      <c r="R8446" t="s">
        <v>4822</v>
      </c>
      <c r="S8446" t="s">
        <v>6511</v>
      </c>
      <c r="T8446" t="s">
        <v>2041</v>
      </c>
    </row>
    <row r="8447" spans="1:20" x14ac:dyDescent="0.25">
      <c r="A8447">
        <v>9</v>
      </c>
      <c r="B8447">
        <v>224</v>
      </c>
      <c r="C8447" t="str">
        <f>"21"</f>
        <v>21</v>
      </c>
      <c r="D8447">
        <v>6399</v>
      </c>
      <c r="E8447" t="str">
        <f t="shared" si="1924"/>
        <v>00</v>
      </c>
      <c r="F8447" t="str">
        <f>"875"</f>
        <v>875</v>
      </c>
      <c r="G8447">
        <v>9</v>
      </c>
      <c r="H8447" t="str">
        <f t="shared" si="1929"/>
        <v>23</v>
      </c>
      <c r="I8447" t="str">
        <f t="shared" si="1931"/>
        <v>0</v>
      </c>
      <c r="J8447" t="str">
        <f>"18"</f>
        <v>18</v>
      </c>
      <c r="K8447">
        <v>20190503</v>
      </c>
      <c r="L8447" t="str">
        <f>"076660"</f>
        <v>076660</v>
      </c>
      <c r="M8447" t="str">
        <f>"21098"</f>
        <v>21098</v>
      </c>
      <c r="N8447" t="s">
        <v>2038</v>
      </c>
      <c r="O8447">
        <v>88.44</v>
      </c>
      <c r="P8447">
        <v>20190502</v>
      </c>
      <c r="Q8447" t="s">
        <v>6563</v>
      </c>
      <c r="R8447" t="s">
        <v>641</v>
      </c>
      <c r="S8447" t="s">
        <v>6511</v>
      </c>
      <c r="T8447" t="s">
        <v>2041</v>
      </c>
    </row>
    <row r="8448" spans="1:20" x14ac:dyDescent="0.25">
      <c r="A8448">
        <v>9</v>
      </c>
      <c r="B8448">
        <v>224</v>
      </c>
      <c r="C8448" t="str">
        <f>"11"</f>
        <v>11</v>
      </c>
      <c r="D8448">
        <v>6339</v>
      </c>
      <c r="E8448" t="str">
        <f t="shared" si="1924"/>
        <v>00</v>
      </c>
      <c r="F8448" t="str">
        <f>"104"</f>
        <v>104</v>
      </c>
      <c r="G8448">
        <v>9</v>
      </c>
      <c r="H8448" t="str">
        <f t="shared" si="1929"/>
        <v>23</v>
      </c>
      <c r="I8448" t="str">
        <f t="shared" si="1931"/>
        <v>0</v>
      </c>
      <c r="J8448" t="str">
        <f>"18"</f>
        <v>18</v>
      </c>
      <c r="K8448">
        <v>20190503</v>
      </c>
      <c r="L8448" t="str">
        <f>"076709"</f>
        <v>076709</v>
      </c>
      <c r="M8448" t="str">
        <f>"60178"</f>
        <v>60178</v>
      </c>
      <c r="N8448" t="s">
        <v>3054</v>
      </c>
      <c r="O8448">
        <v>86.5</v>
      </c>
      <c r="P8448">
        <v>20190502</v>
      </c>
      <c r="Q8448" t="s">
        <v>6619</v>
      </c>
      <c r="R8448" t="s">
        <v>6635</v>
      </c>
      <c r="S8448" t="s">
        <v>6511</v>
      </c>
      <c r="T8448" t="s">
        <v>46</v>
      </c>
    </row>
    <row r="8449" spans="1:20" x14ac:dyDescent="0.25">
      <c r="A8449">
        <v>9</v>
      </c>
      <c r="B8449">
        <v>224</v>
      </c>
      <c r="C8449" t="str">
        <f>"11"</f>
        <v>11</v>
      </c>
      <c r="D8449">
        <v>6399</v>
      </c>
      <c r="E8449" t="str">
        <f t="shared" si="1924"/>
        <v>00</v>
      </c>
      <c r="F8449" t="str">
        <f>"104"</f>
        <v>104</v>
      </c>
      <c r="G8449">
        <v>9</v>
      </c>
      <c r="H8449" t="str">
        <f t="shared" si="1929"/>
        <v>23</v>
      </c>
      <c r="I8449" t="str">
        <f t="shared" si="1931"/>
        <v>0</v>
      </c>
      <c r="J8449" t="str">
        <f>"18"</f>
        <v>18</v>
      </c>
      <c r="K8449">
        <v>20190503</v>
      </c>
      <c r="L8449" t="str">
        <f>"076709"</f>
        <v>076709</v>
      </c>
      <c r="M8449" t="str">
        <f>"60178"</f>
        <v>60178</v>
      </c>
      <c r="N8449" t="s">
        <v>3054</v>
      </c>
      <c r="O8449">
        <v>188.5</v>
      </c>
      <c r="P8449">
        <v>20190502</v>
      </c>
      <c r="Q8449" t="s">
        <v>6558</v>
      </c>
      <c r="R8449" t="s">
        <v>6636</v>
      </c>
      <c r="S8449" t="s">
        <v>6511</v>
      </c>
      <c r="T8449" t="s">
        <v>46</v>
      </c>
    </row>
    <row r="8450" spans="1:20" x14ac:dyDescent="0.25">
      <c r="A8450">
        <v>9</v>
      </c>
      <c r="B8450">
        <v>224</v>
      </c>
      <c r="C8450" t="str">
        <f>"31"</f>
        <v>31</v>
      </c>
      <c r="D8450">
        <v>6339</v>
      </c>
      <c r="E8450" t="str">
        <f t="shared" si="1924"/>
        <v>00</v>
      </c>
      <c r="F8450" t="str">
        <f>"875"</f>
        <v>875</v>
      </c>
      <c r="G8450">
        <v>9</v>
      </c>
      <c r="H8450" t="str">
        <f t="shared" si="1929"/>
        <v>23</v>
      </c>
      <c r="I8450" t="str">
        <f t="shared" si="1931"/>
        <v>0</v>
      </c>
      <c r="J8450" t="str">
        <f>"18"</f>
        <v>18</v>
      </c>
      <c r="K8450">
        <v>20190503</v>
      </c>
      <c r="L8450" t="str">
        <f>"076709"</f>
        <v>076709</v>
      </c>
      <c r="M8450" t="str">
        <f>"60178"</f>
        <v>60178</v>
      </c>
      <c r="N8450" t="s">
        <v>3054</v>
      </c>
      <c r="O8450">
        <v>68.2</v>
      </c>
      <c r="P8450">
        <v>20190502</v>
      </c>
      <c r="Q8450" t="s">
        <v>6589</v>
      </c>
      <c r="R8450" t="s">
        <v>6637</v>
      </c>
      <c r="S8450" t="s">
        <v>6511</v>
      </c>
      <c r="T8450" t="s">
        <v>2041</v>
      </c>
    </row>
    <row r="8451" spans="1:20" x14ac:dyDescent="0.25">
      <c r="A8451">
        <v>9</v>
      </c>
      <c r="B8451">
        <v>224</v>
      </c>
      <c r="C8451" t="str">
        <f>"11"</f>
        <v>11</v>
      </c>
      <c r="D8451">
        <v>6399</v>
      </c>
      <c r="E8451" t="str">
        <f t="shared" si="1924"/>
        <v>00</v>
      </c>
      <c r="F8451" t="str">
        <f>"001"</f>
        <v>001</v>
      </c>
      <c r="G8451">
        <v>9</v>
      </c>
      <c r="H8451" t="str">
        <f t="shared" si="1929"/>
        <v>23</v>
      </c>
      <c r="I8451" t="str">
        <f t="shared" si="1931"/>
        <v>0</v>
      </c>
      <c r="J8451" t="str">
        <f>"18"</f>
        <v>18</v>
      </c>
      <c r="K8451">
        <v>20190510</v>
      </c>
      <c r="L8451" t="str">
        <f>"076772"</f>
        <v>076772</v>
      </c>
      <c r="M8451" t="str">
        <f>"37500"</f>
        <v>37500</v>
      </c>
      <c r="N8451" t="s">
        <v>2077</v>
      </c>
      <c r="O8451">
        <v>34.04</v>
      </c>
      <c r="P8451">
        <v>20190508</v>
      </c>
      <c r="Q8451" t="s">
        <v>6554</v>
      </c>
      <c r="R8451" t="s">
        <v>6638</v>
      </c>
      <c r="S8451" t="s">
        <v>6511</v>
      </c>
      <c r="T8451" t="s">
        <v>301</v>
      </c>
    </row>
    <row r="8452" spans="1:20" x14ac:dyDescent="0.25">
      <c r="A8452">
        <v>9</v>
      </c>
      <c r="B8452">
        <v>224</v>
      </c>
      <c r="C8452" t="str">
        <f>"11"</f>
        <v>11</v>
      </c>
      <c r="D8452">
        <v>6399</v>
      </c>
      <c r="E8452" t="str">
        <f t="shared" si="1924"/>
        <v>00</v>
      </c>
      <c r="F8452" t="str">
        <f>"101"</f>
        <v>101</v>
      </c>
      <c r="G8452">
        <v>9</v>
      </c>
      <c r="H8452" t="str">
        <f t="shared" si="1929"/>
        <v>23</v>
      </c>
      <c r="I8452" t="str">
        <f t="shared" si="1931"/>
        <v>0</v>
      </c>
      <c r="J8452" t="str">
        <f>"00"</f>
        <v>00</v>
      </c>
      <c r="K8452">
        <v>20190510</v>
      </c>
      <c r="L8452" t="str">
        <f>"076772"</f>
        <v>076772</v>
      </c>
      <c r="M8452" t="str">
        <f>"37500"</f>
        <v>37500</v>
      </c>
      <c r="N8452" t="s">
        <v>2077</v>
      </c>
      <c r="O8452">
        <v>50.52</v>
      </c>
      <c r="P8452">
        <v>20190508</v>
      </c>
      <c r="Q8452" t="s">
        <v>6562</v>
      </c>
      <c r="R8452" t="s">
        <v>6583</v>
      </c>
      <c r="S8452" t="s">
        <v>6511</v>
      </c>
      <c r="T8452" t="s">
        <v>1479</v>
      </c>
    </row>
    <row r="8453" spans="1:20" x14ac:dyDescent="0.25">
      <c r="A8453">
        <v>9</v>
      </c>
      <c r="B8453">
        <v>224</v>
      </c>
      <c r="C8453" t="str">
        <f>"31"</f>
        <v>31</v>
      </c>
      <c r="D8453">
        <v>6219</v>
      </c>
      <c r="E8453" t="str">
        <f t="shared" si="1924"/>
        <v>00</v>
      </c>
      <c r="F8453" t="str">
        <f>"875"</f>
        <v>875</v>
      </c>
      <c r="G8453">
        <v>9</v>
      </c>
      <c r="H8453" t="str">
        <f t="shared" si="1929"/>
        <v>23</v>
      </c>
      <c r="I8453" t="str">
        <f t="shared" si="1931"/>
        <v>0</v>
      </c>
      <c r="J8453" t="str">
        <f>"00"</f>
        <v>00</v>
      </c>
      <c r="K8453">
        <v>20190510</v>
      </c>
      <c r="L8453" t="str">
        <f>"076783"</f>
        <v>076783</v>
      </c>
      <c r="M8453" t="str">
        <f>"49997"</f>
        <v>49997</v>
      </c>
      <c r="N8453" t="s">
        <v>6508</v>
      </c>
      <c r="O8453">
        <v>570</v>
      </c>
      <c r="P8453">
        <v>20190508</v>
      </c>
      <c r="Q8453" t="s">
        <v>6513</v>
      </c>
      <c r="R8453" t="s">
        <v>6639</v>
      </c>
      <c r="S8453" t="s">
        <v>6511</v>
      </c>
      <c r="T8453" t="s">
        <v>2041</v>
      </c>
    </row>
    <row r="8454" spans="1:20" x14ac:dyDescent="0.25">
      <c r="A8454">
        <v>9</v>
      </c>
      <c r="B8454">
        <v>224</v>
      </c>
      <c r="C8454" t="str">
        <f>"31"</f>
        <v>31</v>
      </c>
      <c r="D8454">
        <v>6219</v>
      </c>
      <c r="E8454" t="str">
        <f t="shared" si="1924"/>
        <v>00</v>
      </c>
      <c r="F8454" t="str">
        <f>"875"</f>
        <v>875</v>
      </c>
      <c r="G8454">
        <v>9</v>
      </c>
      <c r="H8454" t="str">
        <f t="shared" si="1929"/>
        <v>23</v>
      </c>
      <c r="I8454" t="str">
        <f t="shared" si="1931"/>
        <v>0</v>
      </c>
      <c r="J8454" t="str">
        <f>"00"</f>
        <v>00</v>
      </c>
      <c r="K8454">
        <v>20190517</v>
      </c>
      <c r="L8454" t="str">
        <f>"076841"</f>
        <v>076841</v>
      </c>
      <c r="M8454" t="str">
        <f>"21769"</f>
        <v>21769</v>
      </c>
      <c r="N8454" t="s">
        <v>1701</v>
      </c>
      <c r="O8454" s="1">
        <v>2565</v>
      </c>
      <c r="P8454">
        <v>20190515</v>
      </c>
      <c r="Q8454" t="s">
        <v>6513</v>
      </c>
      <c r="R8454" t="s">
        <v>4596</v>
      </c>
      <c r="S8454" t="s">
        <v>6511</v>
      </c>
      <c r="T8454" t="s">
        <v>2041</v>
      </c>
    </row>
    <row r="8455" spans="1:20" x14ac:dyDescent="0.25">
      <c r="A8455">
        <v>9</v>
      </c>
      <c r="B8455">
        <v>224</v>
      </c>
      <c r="C8455" t="str">
        <f>"23"</f>
        <v>23</v>
      </c>
      <c r="D8455">
        <v>6411</v>
      </c>
      <c r="E8455" t="str">
        <f t="shared" si="1924"/>
        <v>00</v>
      </c>
      <c r="F8455" t="str">
        <f>"104"</f>
        <v>104</v>
      </c>
      <c r="G8455">
        <v>9</v>
      </c>
      <c r="H8455" t="str">
        <f t="shared" si="1929"/>
        <v>23</v>
      </c>
      <c r="I8455" t="str">
        <f t="shared" si="1931"/>
        <v>0</v>
      </c>
      <c r="J8455" t="str">
        <f>"18"</f>
        <v>18</v>
      </c>
      <c r="K8455">
        <v>20190517</v>
      </c>
      <c r="L8455" t="str">
        <f>"076847"</f>
        <v>076847</v>
      </c>
      <c r="M8455" t="str">
        <f>"27900"</f>
        <v>27900</v>
      </c>
      <c r="N8455" t="s">
        <v>1490</v>
      </c>
      <c r="O8455">
        <v>150</v>
      </c>
      <c r="P8455">
        <v>20190515</v>
      </c>
      <c r="Q8455" t="s">
        <v>6640</v>
      </c>
      <c r="R8455" t="s">
        <v>6641</v>
      </c>
      <c r="S8455" t="s">
        <v>6511</v>
      </c>
      <c r="T8455" t="s">
        <v>46</v>
      </c>
    </row>
    <row r="8456" spans="1:20" x14ac:dyDescent="0.25">
      <c r="A8456">
        <v>9</v>
      </c>
      <c r="B8456">
        <v>224</v>
      </c>
      <c r="C8456" t="str">
        <f>"31"</f>
        <v>31</v>
      </c>
      <c r="D8456">
        <v>6411</v>
      </c>
      <c r="E8456" t="str">
        <f>"SG"</f>
        <v>SG</v>
      </c>
      <c r="F8456" t="str">
        <f>"875"</f>
        <v>875</v>
      </c>
      <c r="G8456">
        <v>9</v>
      </c>
      <c r="H8456" t="str">
        <f t="shared" si="1929"/>
        <v>23</v>
      </c>
      <c r="I8456" t="str">
        <f t="shared" si="1931"/>
        <v>0</v>
      </c>
      <c r="J8456" t="str">
        <f>"00"</f>
        <v>00</v>
      </c>
      <c r="K8456">
        <v>20190517</v>
      </c>
      <c r="L8456" t="str">
        <f>"076847"</f>
        <v>076847</v>
      </c>
      <c r="M8456" t="str">
        <f>"27900"</f>
        <v>27900</v>
      </c>
      <c r="N8456" t="s">
        <v>1490</v>
      </c>
      <c r="O8456">
        <v>40</v>
      </c>
      <c r="P8456">
        <v>20190515</v>
      </c>
      <c r="Q8456" t="s">
        <v>6531</v>
      </c>
      <c r="R8456" t="s">
        <v>6642</v>
      </c>
      <c r="S8456" t="s">
        <v>6511</v>
      </c>
      <c r="T8456" t="s">
        <v>2041</v>
      </c>
    </row>
    <row r="8457" spans="1:20" x14ac:dyDescent="0.25">
      <c r="A8457">
        <v>9</v>
      </c>
      <c r="B8457">
        <v>224</v>
      </c>
      <c r="C8457" t="str">
        <f>"31"</f>
        <v>31</v>
      </c>
      <c r="D8457">
        <v>6339</v>
      </c>
      <c r="E8457" t="str">
        <f>"00"</f>
        <v>00</v>
      </c>
      <c r="F8457" t="str">
        <f>"875"</f>
        <v>875</v>
      </c>
      <c r="G8457">
        <v>9</v>
      </c>
      <c r="H8457" t="str">
        <f t="shared" si="1929"/>
        <v>23</v>
      </c>
      <c r="I8457" t="str">
        <f t="shared" si="1931"/>
        <v>0</v>
      </c>
      <c r="J8457" t="str">
        <f>"18"</f>
        <v>18</v>
      </c>
      <c r="K8457">
        <v>20190517</v>
      </c>
      <c r="L8457" t="str">
        <f>"076855"</f>
        <v>076855</v>
      </c>
      <c r="M8457" t="str">
        <f>"63511"</f>
        <v>63511</v>
      </c>
      <c r="N8457" t="s">
        <v>6548</v>
      </c>
      <c r="O8457">
        <v>393.32</v>
      </c>
      <c r="P8457">
        <v>20190515</v>
      </c>
      <c r="Q8457" t="s">
        <v>6589</v>
      </c>
      <c r="R8457" t="s">
        <v>6643</v>
      </c>
      <c r="S8457" t="s">
        <v>6511</v>
      </c>
      <c r="T8457" t="s">
        <v>2041</v>
      </c>
    </row>
    <row r="8458" spans="1:20" x14ac:dyDescent="0.25">
      <c r="A8458">
        <v>9</v>
      </c>
      <c r="B8458">
        <v>224</v>
      </c>
      <c r="C8458" t="str">
        <f>"31"</f>
        <v>31</v>
      </c>
      <c r="D8458">
        <v>6219</v>
      </c>
      <c r="E8458" t="str">
        <f>"00"</f>
        <v>00</v>
      </c>
      <c r="F8458" t="str">
        <f>"875"</f>
        <v>875</v>
      </c>
      <c r="G8458">
        <v>9</v>
      </c>
      <c r="H8458" t="str">
        <f t="shared" si="1929"/>
        <v>23</v>
      </c>
      <c r="I8458" t="str">
        <f t="shared" si="1931"/>
        <v>0</v>
      </c>
      <c r="J8458" t="str">
        <f>"00"</f>
        <v>00</v>
      </c>
      <c r="K8458">
        <v>20190531</v>
      </c>
      <c r="L8458" t="str">
        <f>"076987"</f>
        <v>076987</v>
      </c>
      <c r="M8458" t="str">
        <f>"74150"</f>
        <v>74150</v>
      </c>
      <c r="N8458" t="s">
        <v>1691</v>
      </c>
      <c r="O8458" s="1">
        <v>1430.6</v>
      </c>
      <c r="P8458">
        <v>20190530</v>
      </c>
      <c r="Q8458" t="s">
        <v>6513</v>
      </c>
      <c r="R8458" t="s">
        <v>5160</v>
      </c>
      <c r="S8458" t="s">
        <v>6511</v>
      </c>
      <c r="T8458" t="s">
        <v>2041</v>
      </c>
    </row>
    <row r="8459" spans="1:20" x14ac:dyDescent="0.25">
      <c r="A8459">
        <v>9</v>
      </c>
      <c r="B8459">
        <v>224</v>
      </c>
      <c r="C8459" t="str">
        <f>"21"</f>
        <v>21</v>
      </c>
      <c r="D8459">
        <v>6411</v>
      </c>
      <c r="E8459" t="str">
        <f>"SH"</f>
        <v>SH</v>
      </c>
      <c r="F8459" t="str">
        <f>"878"</f>
        <v>878</v>
      </c>
      <c r="G8459">
        <v>9</v>
      </c>
      <c r="H8459" t="str">
        <f t="shared" si="1929"/>
        <v>23</v>
      </c>
      <c r="I8459" t="str">
        <f t="shared" si="1931"/>
        <v>0</v>
      </c>
      <c r="J8459" t="str">
        <f t="shared" ref="J8459:J8466" si="1932">"18"</f>
        <v>18</v>
      </c>
      <c r="K8459">
        <v>20190531</v>
      </c>
      <c r="L8459" t="str">
        <f>"077008"</f>
        <v>077008</v>
      </c>
      <c r="M8459" t="str">
        <f>"39914"</f>
        <v>39914</v>
      </c>
      <c r="N8459" t="s">
        <v>1328</v>
      </c>
      <c r="O8459">
        <v>341.88</v>
      </c>
      <c r="P8459">
        <v>20190530</v>
      </c>
      <c r="Q8459" t="s">
        <v>6515</v>
      </c>
      <c r="R8459" t="s">
        <v>6644</v>
      </c>
      <c r="S8459" t="s">
        <v>6511</v>
      </c>
      <c r="T8459" t="s">
        <v>4465</v>
      </c>
    </row>
    <row r="8460" spans="1:20" x14ac:dyDescent="0.25">
      <c r="A8460">
        <v>9</v>
      </c>
      <c r="B8460">
        <v>224</v>
      </c>
      <c r="C8460" t="str">
        <f>"21"</f>
        <v>21</v>
      </c>
      <c r="D8460">
        <v>6411</v>
      </c>
      <c r="E8460" t="str">
        <f>"SH"</f>
        <v>SH</v>
      </c>
      <c r="F8460" t="str">
        <f>"878"</f>
        <v>878</v>
      </c>
      <c r="G8460">
        <v>9</v>
      </c>
      <c r="H8460" t="str">
        <f t="shared" si="1929"/>
        <v>23</v>
      </c>
      <c r="I8460" t="str">
        <f t="shared" si="1931"/>
        <v>0</v>
      </c>
      <c r="J8460" t="str">
        <f t="shared" si="1932"/>
        <v>18</v>
      </c>
      <c r="K8460">
        <v>20190621</v>
      </c>
      <c r="L8460" t="str">
        <f>"077008"</f>
        <v>077008</v>
      </c>
      <c r="M8460" t="str">
        <f>"39914"</f>
        <v>39914</v>
      </c>
      <c r="N8460" t="s">
        <v>1328</v>
      </c>
      <c r="O8460">
        <v>-341.88</v>
      </c>
      <c r="P8460">
        <v>20190621</v>
      </c>
      <c r="Q8460" t="s">
        <v>6515</v>
      </c>
      <c r="R8460" t="s">
        <v>6645</v>
      </c>
      <c r="S8460" t="s">
        <v>6511</v>
      </c>
      <c r="T8460" t="s">
        <v>4465</v>
      </c>
    </row>
    <row r="8461" spans="1:20" x14ac:dyDescent="0.25">
      <c r="A8461">
        <v>9</v>
      </c>
      <c r="B8461">
        <v>224</v>
      </c>
      <c r="C8461" t="str">
        <f t="shared" ref="C8461:C8466" si="1933">"11"</f>
        <v>11</v>
      </c>
      <c r="D8461">
        <v>6399</v>
      </c>
      <c r="E8461" t="str">
        <f t="shared" ref="E8461:E8470" si="1934">"00"</f>
        <v>00</v>
      </c>
      <c r="F8461" t="str">
        <f>"001"</f>
        <v>001</v>
      </c>
      <c r="G8461">
        <v>9</v>
      </c>
      <c r="H8461" t="str">
        <f t="shared" si="1929"/>
        <v>23</v>
      </c>
      <c r="I8461" t="str">
        <f t="shared" si="1931"/>
        <v>0</v>
      </c>
      <c r="J8461" t="str">
        <f t="shared" si="1932"/>
        <v>18</v>
      </c>
      <c r="K8461">
        <v>20190607</v>
      </c>
      <c r="L8461" t="str">
        <f t="shared" ref="L8461:L8466" si="1935">"077079"</f>
        <v>077079</v>
      </c>
      <c r="M8461" t="str">
        <f t="shared" ref="M8461:M8466" si="1936">"37500"</f>
        <v>37500</v>
      </c>
      <c r="N8461" t="s">
        <v>2077</v>
      </c>
      <c r="O8461">
        <v>45.21</v>
      </c>
      <c r="P8461">
        <v>20190605</v>
      </c>
      <c r="Q8461" t="s">
        <v>6554</v>
      </c>
      <c r="R8461" t="s">
        <v>2793</v>
      </c>
      <c r="S8461" t="s">
        <v>6511</v>
      </c>
      <c r="T8461" t="s">
        <v>301</v>
      </c>
    </row>
    <row r="8462" spans="1:20" x14ac:dyDescent="0.25">
      <c r="A8462">
        <v>9</v>
      </c>
      <c r="B8462">
        <v>224</v>
      </c>
      <c r="C8462" t="str">
        <f t="shared" si="1933"/>
        <v>11</v>
      </c>
      <c r="D8462">
        <v>6399</v>
      </c>
      <c r="E8462" t="str">
        <f t="shared" si="1934"/>
        <v>00</v>
      </c>
      <c r="F8462" t="str">
        <f>"001"</f>
        <v>001</v>
      </c>
      <c r="G8462">
        <v>9</v>
      </c>
      <c r="H8462" t="str">
        <f t="shared" si="1929"/>
        <v>23</v>
      </c>
      <c r="I8462" t="str">
        <f t="shared" si="1931"/>
        <v>0</v>
      </c>
      <c r="J8462" t="str">
        <f t="shared" si="1932"/>
        <v>18</v>
      </c>
      <c r="K8462">
        <v>20190607</v>
      </c>
      <c r="L8462" t="str">
        <f t="shared" si="1935"/>
        <v>077079</v>
      </c>
      <c r="M8462" t="str">
        <f t="shared" si="1936"/>
        <v>37500</v>
      </c>
      <c r="N8462" t="s">
        <v>2077</v>
      </c>
      <c r="O8462">
        <v>16.88</v>
      </c>
      <c r="P8462">
        <v>20190605</v>
      </c>
      <c r="Q8462" t="s">
        <v>6554</v>
      </c>
      <c r="R8462" t="s">
        <v>6646</v>
      </c>
      <c r="S8462" t="s">
        <v>6511</v>
      </c>
      <c r="T8462" t="s">
        <v>301</v>
      </c>
    </row>
    <row r="8463" spans="1:20" x14ac:dyDescent="0.25">
      <c r="A8463">
        <v>9</v>
      </c>
      <c r="B8463">
        <v>224</v>
      </c>
      <c r="C8463" t="str">
        <f t="shared" si="1933"/>
        <v>11</v>
      </c>
      <c r="D8463">
        <v>6399</v>
      </c>
      <c r="E8463" t="str">
        <f t="shared" si="1934"/>
        <v>00</v>
      </c>
      <c r="F8463" t="str">
        <f>"001"</f>
        <v>001</v>
      </c>
      <c r="G8463">
        <v>9</v>
      </c>
      <c r="H8463" t="str">
        <f t="shared" si="1929"/>
        <v>23</v>
      </c>
      <c r="I8463" t="str">
        <f t="shared" si="1931"/>
        <v>0</v>
      </c>
      <c r="J8463" t="str">
        <f t="shared" si="1932"/>
        <v>18</v>
      </c>
      <c r="K8463">
        <v>20190607</v>
      </c>
      <c r="L8463" t="str">
        <f t="shared" si="1935"/>
        <v>077079</v>
      </c>
      <c r="M8463" t="str">
        <f t="shared" si="1936"/>
        <v>37500</v>
      </c>
      <c r="N8463" t="s">
        <v>2077</v>
      </c>
      <c r="O8463">
        <v>73.02</v>
      </c>
      <c r="P8463">
        <v>20190605</v>
      </c>
      <c r="Q8463" t="s">
        <v>6554</v>
      </c>
      <c r="R8463" t="s">
        <v>6646</v>
      </c>
      <c r="S8463" t="s">
        <v>6511</v>
      </c>
      <c r="T8463" t="s">
        <v>301</v>
      </c>
    </row>
    <row r="8464" spans="1:20" x14ac:dyDescent="0.25">
      <c r="A8464">
        <v>9</v>
      </c>
      <c r="B8464">
        <v>224</v>
      </c>
      <c r="C8464" t="str">
        <f t="shared" si="1933"/>
        <v>11</v>
      </c>
      <c r="D8464">
        <v>6399</v>
      </c>
      <c r="E8464" t="str">
        <f t="shared" si="1934"/>
        <v>00</v>
      </c>
      <c r="F8464" t="str">
        <f>"041"</f>
        <v>041</v>
      </c>
      <c r="G8464">
        <v>9</v>
      </c>
      <c r="H8464" t="str">
        <f t="shared" si="1929"/>
        <v>23</v>
      </c>
      <c r="I8464" t="str">
        <f t="shared" si="1931"/>
        <v>0</v>
      </c>
      <c r="J8464" t="str">
        <f t="shared" si="1932"/>
        <v>18</v>
      </c>
      <c r="K8464">
        <v>20190607</v>
      </c>
      <c r="L8464" t="str">
        <f t="shared" si="1935"/>
        <v>077079</v>
      </c>
      <c r="M8464" t="str">
        <f t="shared" si="1936"/>
        <v>37500</v>
      </c>
      <c r="N8464" t="s">
        <v>2077</v>
      </c>
      <c r="O8464">
        <v>100.93</v>
      </c>
      <c r="P8464">
        <v>20190605</v>
      </c>
      <c r="Q8464" t="s">
        <v>6556</v>
      </c>
      <c r="R8464" t="s">
        <v>6583</v>
      </c>
      <c r="S8464" t="s">
        <v>6511</v>
      </c>
      <c r="T8464" t="s">
        <v>106</v>
      </c>
    </row>
    <row r="8465" spans="1:20" x14ac:dyDescent="0.25">
      <c r="A8465">
        <v>9</v>
      </c>
      <c r="B8465">
        <v>224</v>
      </c>
      <c r="C8465" t="str">
        <f t="shared" si="1933"/>
        <v>11</v>
      </c>
      <c r="D8465">
        <v>6399</v>
      </c>
      <c r="E8465" t="str">
        <f t="shared" si="1934"/>
        <v>00</v>
      </c>
      <c r="F8465" t="str">
        <f>"101"</f>
        <v>101</v>
      </c>
      <c r="G8465">
        <v>9</v>
      </c>
      <c r="H8465" t="str">
        <f t="shared" si="1929"/>
        <v>23</v>
      </c>
      <c r="I8465" t="str">
        <f t="shared" si="1931"/>
        <v>0</v>
      </c>
      <c r="J8465" t="str">
        <f t="shared" si="1932"/>
        <v>18</v>
      </c>
      <c r="K8465">
        <v>20190607</v>
      </c>
      <c r="L8465" t="str">
        <f t="shared" si="1935"/>
        <v>077079</v>
      </c>
      <c r="M8465" t="str">
        <f t="shared" si="1936"/>
        <v>37500</v>
      </c>
      <c r="N8465" t="s">
        <v>2077</v>
      </c>
      <c r="O8465">
        <v>44.83</v>
      </c>
      <c r="P8465">
        <v>20190605</v>
      </c>
      <c r="Q8465" t="s">
        <v>6557</v>
      </c>
      <c r="R8465" t="s">
        <v>6583</v>
      </c>
      <c r="S8465" t="s">
        <v>6511</v>
      </c>
      <c r="T8465" t="s">
        <v>1479</v>
      </c>
    </row>
    <row r="8466" spans="1:20" x14ac:dyDescent="0.25">
      <c r="A8466">
        <v>9</v>
      </c>
      <c r="B8466">
        <v>224</v>
      </c>
      <c r="C8466" t="str">
        <f t="shared" si="1933"/>
        <v>11</v>
      </c>
      <c r="D8466">
        <v>6399</v>
      </c>
      <c r="E8466" t="str">
        <f t="shared" si="1934"/>
        <v>00</v>
      </c>
      <c r="F8466" t="str">
        <f>"101"</f>
        <v>101</v>
      </c>
      <c r="G8466">
        <v>9</v>
      </c>
      <c r="H8466" t="str">
        <f t="shared" si="1929"/>
        <v>23</v>
      </c>
      <c r="I8466" t="str">
        <f t="shared" si="1931"/>
        <v>0</v>
      </c>
      <c r="J8466" t="str">
        <f t="shared" si="1932"/>
        <v>18</v>
      </c>
      <c r="K8466">
        <v>20190607</v>
      </c>
      <c r="L8466" t="str">
        <f t="shared" si="1935"/>
        <v>077079</v>
      </c>
      <c r="M8466" t="str">
        <f t="shared" si="1936"/>
        <v>37500</v>
      </c>
      <c r="N8466" t="s">
        <v>2077</v>
      </c>
      <c r="O8466">
        <v>49.13</v>
      </c>
      <c r="P8466">
        <v>20190605</v>
      </c>
      <c r="Q8466" t="s">
        <v>6557</v>
      </c>
      <c r="R8466" t="s">
        <v>6583</v>
      </c>
      <c r="S8466" t="s">
        <v>6511</v>
      </c>
      <c r="T8466" t="s">
        <v>1479</v>
      </c>
    </row>
    <row r="8467" spans="1:20" x14ac:dyDescent="0.25">
      <c r="A8467">
        <v>9</v>
      </c>
      <c r="B8467">
        <v>224</v>
      </c>
      <c r="C8467" t="str">
        <f>"31"</f>
        <v>31</v>
      </c>
      <c r="D8467">
        <v>6219</v>
      </c>
      <c r="E8467" t="str">
        <f t="shared" si="1934"/>
        <v>00</v>
      </c>
      <c r="F8467" t="str">
        <f>"875"</f>
        <v>875</v>
      </c>
      <c r="G8467">
        <v>9</v>
      </c>
      <c r="H8467" t="str">
        <f t="shared" si="1929"/>
        <v>23</v>
      </c>
      <c r="I8467" t="str">
        <f t="shared" si="1931"/>
        <v>0</v>
      </c>
      <c r="J8467" t="str">
        <f t="shared" ref="J8467:J8473" si="1937">"00"</f>
        <v>00</v>
      </c>
      <c r="K8467">
        <v>20190607</v>
      </c>
      <c r="L8467" t="str">
        <f>"077090"</f>
        <v>077090</v>
      </c>
      <c r="M8467" t="str">
        <f>"49997"</f>
        <v>49997</v>
      </c>
      <c r="N8467" t="s">
        <v>6508</v>
      </c>
      <c r="O8467">
        <v>570</v>
      </c>
      <c r="P8467">
        <v>20190605</v>
      </c>
      <c r="Q8467" t="s">
        <v>6513</v>
      </c>
      <c r="R8467" t="s">
        <v>6647</v>
      </c>
      <c r="S8467" t="s">
        <v>6511</v>
      </c>
      <c r="T8467" t="s">
        <v>2041</v>
      </c>
    </row>
    <row r="8468" spans="1:20" x14ac:dyDescent="0.25">
      <c r="A8468">
        <v>9</v>
      </c>
      <c r="B8468">
        <v>224</v>
      </c>
      <c r="C8468" t="str">
        <f>"31"</f>
        <v>31</v>
      </c>
      <c r="D8468">
        <v>6219</v>
      </c>
      <c r="E8468" t="str">
        <f t="shared" si="1934"/>
        <v>00</v>
      </c>
      <c r="F8468" t="str">
        <f>"875"</f>
        <v>875</v>
      </c>
      <c r="G8468">
        <v>9</v>
      </c>
      <c r="H8468" t="str">
        <f t="shared" si="1929"/>
        <v>23</v>
      </c>
      <c r="I8468" t="str">
        <f t="shared" si="1931"/>
        <v>0</v>
      </c>
      <c r="J8468" t="str">
        <f t="shared" si="1937"/>
        <v>00</v>
      </c>
      <c r="K8468">
        <v>20190614</v>
      </c>
      <c r="L8468" t="str">
        <f>"077147"</f>
        <v>077147</v>
      </c>
      <c r="M8468" t="str">
        <f>"21769"</f>
        <v>21769</v>
      </c>
      <c r="N8468" t="s">
        <v>1701</v>
      </c>
      <c r="O8468" s="1">
        <v>3170</v>
      </c>
      <c r="P8468">
        <v>20190612</v>
      </c>
      <c r="Q8468" t="s">
        <v>6513</v>
      </c>
      <c r="R8468" t="s">
        <v>5384</v>
      </c>
      <c r="S8468" t="s">
        <v>6511</v>
      </c>
      <c r="T8468" t="s">
        <v>2041</v>
      </c>
    </row>
    <row r="8469" spans="1:20" x14ac:dyDescent="0.25">
      <c r="A8469">
        <v>9</v>
      </c>
      <c r="B8469">
        <v>224</v>
      </c>
      <c r="C8469" t="str">
        <f>"13"</f>
        <v>13</v>
      </c>
      <c r="D8469">
        <v>6411</v>
      </c>
      <c r="E8469" t="str">
        <f t="shared" si="1934"/>
        <v>00</v>
      </c>
      <c r="F8469" t="str">
        <f>"041"</f>
        <v>041</v>
      </c>
      <c r="G8469">
        <v>9</v>
      </c>
      <c r="H8469" t="str">
        <f t="shared" si="1929"/>
        <v>23</v>
      </c>
      <c r="I8469" t="str">
        <f t="shared" si="1931"/>
        <v>0</v>
      </c>
      <c r="J8469" t="str">
        <f t="shared" si="1937"/>
        <v>00</v>
      </c>
      <c r="K8469">
        <v>20190614</v>
      </c>
      <c r="L8469" t="str">
        <f>"077156"</f>
        <v>077156</v>
      </c>
      <c r="M8469" t="str">
        <f>"27900"</f>
        <v>27900</v>
      </c>
      <c r="N8469" t="s">
        <v>1490</v>
      </c>
      <c r="O8469">
        <v>450</v>
      </c>
      <c r="P8469">
        <v>20190612</v>
      </c>
      <c r="Q8469" t="s">
        <v>6648</v>
      </c>
      <c r="R8469" t="s">
        <v>6649</v>
      </c>
      <c r="S8469" t="s">
        <v>6511</v>
      </c>
      <c r="T8469" t="s">
        <v>106</v>
      </c>
    </row>
    <row r="8470" spans="1:20" x14ac:dyDescent="0.25">
      <c r="A8470">
        <v>9</v>
      </c>
      <c r="B8470">
        <v>224</v>
      </c>
      <c r="C8470" t="str">
        <f>"13"</f>
        <v>13</v>
      </c>
      <c r="D8470">
        <v>6411</v>
      </c>
      <c r="E8470" t="str">
        <f t="shared" si="1934"/>
        <v>00</v>
      </c>
      <c r="F8470" t="str">
        <f>"104"</f>
        <v>104</v>
      </c>
      <c r="G8470">
        <v>9</v>
      </c>
      <c r="H8470" t="str">
        <f t="shared" si="1929"/>
        <v>23</v>
      </c>
      <c r="I8470" t="str">
        <f t="shared" si="1931"/>
        <v>0</v>
      </c>
      <c r="J8470" t="str">
        <f t="shared" si="1937"/>
        <v>00</v>
      </c>
      <c r="K8470">
        <v>20190614</v>
      </c>
      <c r="L8470" t="str">
        <f>"077156"</f>
        <v>077156</v>
      </c>
      <c r="M8470" t="str">
        <f>"27900"</f>
        <v>27900</v>
      </c>
      <c r="N8470" t="s">
        <v>1490</v>
      </c>
      <c r="O8470">
        <v>225</v>
      </c>
      <c r="P8470">
        <v>20190612</v>
      </c>
      <c r="Q8470" t="s">
        <v>6574</v>
      </c>
      <c r="R8470" t="s">
        <v>6649</v>
      </c>
      <c r="S8470" t="s">
        <v>6511</v>
      </c>
      <c r="T8470" t="s">
        <v>46</v>
      </c>
    </row>
    <row r="8471" spans="1:20" x14ac:dyDescent="0.25">
      <c r="A8471">
        <v>9</v>
      </c>
      <c r="B8471">
        <v>224</v>
      </c>
      <c r="C8471" t="str">
        <f>"31"</f>
        <v>31</v>
      </c>
      <c r="D8471">
        <v>6411</v>
      </c>
      <c r="E8471" t="str">
        <f>"SG"</f>
        <v>SG</v>
      </c>
      <c r="F8471" t="str">
        <f>"875"</f>
        <v>875</v>
      </c>
      <c r="G8471">
        <v>9</v>
      </c>
      <c r="H8471" t="str">
        <f t="shared" si="1929"/>
        <v>23</v>
      </c>
      <c r="I8471" t="str">
        <f t="shared" si="1931"/>
        <v>0</v>
      </c>
      <c r="J8471" t="str">
        <f t="shared" si="1937"/>
        <v>00</v>
      </c>
      <c r="K8471">
        <v>20190614</v>
      </c>
      <c r="L8471" t="str">
        <f>"077156"</f>
        <v>077156</v>
      </c>
      <c r="M8471" t="str">
        <f>"27900"</f>
        <v>27900</v>
      </c>
      <c r="N8471" t="s">
        <v>1490</v>
      </c>
      <c r="O8471">
        <v>40</v>
      </c>
      <c r="P8471">
        <v>20190612</v>
      </c>
      <c r="Q8471" t="s">
        <v>6531</v>
      </c>
      <c r="R8471" t="s">
        <v>6650</v>
      </c>
      <c r="S8471" t="s">
        <v>6511</v>
      </c>
      <c r="T8471" t="s">
        <v>2041</v>
      </c>
    </row>
    <row r="8472" spans="1:20" x14ac:dyDescent="0.25">
      <c r="A8472">
        <v>9</v>
      </c>
      <c r="B8472">
        <v>224</v>
      </c>
      <c r="C8472" t="str">
        <f>"31"</f>
        <v>31</v>
      </c>
      <c r="D8472">
        <v>6399</v>
      </c>
      <c r="E8472" t="str">
        <f t="shared" ref="E8472:E8503" si="1938">"00"</f>
        <v>00</v>
      </c>
      <c r="F8472" t="str">
        <f>"875"</f>
        <v>875</v>
      </c>
      <c r="G8472">
        <v>9</v>
      </c>
      <c r="H8472" t="str">
        <f t="shared" si="1929"/>
        <v>23</v>
      </c>
      <c r="I8472" t="str">
        <f t="shared" si="1931"/>
        <v>0</v>
      </c>
      <c r="J8472" t="str">
        <f t="shared" si="1937"/>
        <v>00</v>
      </c>
      <c r="K8472">
        <v>20190621</v>
      </c>
      <c r="L8472" t="str">
        <f>"077217"</f>
        <v>077217</v>
      </c>
      <c r="M8472" t="str">
        <f>"04410"</f>
        <v>04410</v>
      </c>
      <c r="N8472" t="s">
        <v>410</v>
      </c>
      <c r="O8472">
        <v>38.25</v>
      </c>
      <c r="P8472">
        <v>20190619</v>
      </c>
      <c r="Q8472" t="s">
        <v>6597</v>
      </c>
      <c r="R8472" t="s">
        <v>6651</v>
      </c>
      <c r="S8472" t="s">
        <v>6511</v>
      </c>
      <c r="T8472" t="s">
        <v>2041</v>
      </c>
    </row>
    <row r="8473" spans="1:20" x14ac:dyDescent="0.25">
      <c r="A8473">
        <v>9</v>
      </c>
      <c r="B8473">
        <v>224</v>
      </c>
      <c r="C8473" t="str">
        <f>"31"</f>
        <v>31</v>
      </c>
      <c r="D8473">
        <v>6219</v>
      </c>
      <c r="E8473" t="str">
        <f t="shared" si="1938"/>
        <v>00</v>
      </c>
      <c r="F8473" t="str">
        <f>"875"</f>
        <v>875</v>
      </c>
      <c r="G8473">
        <v>9</v>
      </c>
      <c r="H8473" t="str">
        <f t="shared" si="1929"/>
        <v>23</v>
      </c>
      <c r="I8473" t="str">
        <f t="shared" si="1931"/>
        <v>0</v>
      </c>
      <c r="J8473" t="str">
        <f t="shared" si="1937"/>
        <v>00</v>
      </c>
      <c r="K8473">
        <v>20190621</v>
      </c>
      <c r="L8473" t="str">
        <f>"077224"</f>
        <v>077224</v>
      </c>
      <c r="M8473" t="str">
        <f>"74150"</f>
        <v>74150</v>
      </c>
      <c r="N8473" t="s">
        <v>1691</v>
      </c>
      <c r="O8473" s="1">
        <v>2500</v>
      </c>
      <c r="P8473">
        <v>20190619</v>
      </c>
      <c r="Q8473" t="s">
        <v>6513</v>
      </c>
      <c r="R8473" t="s">
        <v>5509</v>
      </c>
      <c r="S8473" t="s">
        <v>6511</v>
      </c>
      <c r="T8473" t="s">
        <v>2041</v>
      </c>
    </row>
    <row r="8474" spans="1:20" x14ac:dyDescent="0.25">
      <c r="A8474">
        <v>9</v>
      </c>
      <c r="B8474">
        <v>224</v>
      </c>
      <c r="C8474" t="str">
        <f>"11"</f>
        <v>11</v>
      </c>
      <c r="D8474">
        <v>6399</v>
      </c>
      <c r="E8474" t="str">
        <f t="shared" si="1938"/>
        <v>00</v>
      </c>
      <c r="F8474" t="str">
        <f>"041"</f>
        <v>041</v>
      </c>
      <c r="G8474">
        <v>9</v>
      </c>
      <c r="H8474" t="str">
        <f t="shared" si="1929"/>
        <v>23</v>
      </c>
      <c r="I8474" t="str">
        <f t="shared" si="1931"/>
        <v>0</v>
      </c>
      <c r="J8474" t="str">
        <f>"18"</f>
        <v>18</v>
      </c>
      <c r="K8474">
        <v>20190621</v>
      </c>
      <c r="L8474" t="str">
        <f>"077251"</f>
        <v>077251</v>
      </c>
      <c r="M8474" t="str">
        <f>"46850"</f>
        <v>46850</v>
      </c>
      <c r="N8474" t="s">
        <v>4752</v>
      </c>
      <c r="O8474">
        <v>82.63</v>
      </c>
      <c r="P8474">
        <v>20190619</v>
      </c>
      <c r="Q8474" t="s">
        <v>6556</v>
      </c>
      <c r="R8474" t="s">
        <v>6652</v>
      </c>
      <c r="S8474" t="s">
        <v>6511</v>
      </c>
      <c r="T8474" t="s">
        <v>106</v>
      </c>
    </row>
    <row r="8475" spans="1:20" x14ac:dyDescent="0.25">
      <c r="A8475">
        <v>9</v>
      </c>
      <c r="B8475">
        <v>224</v>
      </c>
      <c r="C8475" t="str">
        <f>"11"</f>
        <v>11</v>
      </c>
      <c r="D8475">
        <v>6399</v>
      </c>
      <c r="E8475" t="str">
        <f t="shared" si="1938"/>
        <v>00</v>
      </c>
      <c r="F8475" t="str">
        <f>"041"</f>
        <v>041</v>
      </c>
      <c r="G8475">
        <v>9</v>
      </c>
      <c r="H8475" t="str">
        <f t="shared" si="1929"/>
        <v>23</v>
      </c>
      <c r="I8475" t="str">
        <f t="shared" si="1931"/>
        <v>0</v>
      </c>
      <c r="J8475" t="str">
        <f>"18"</f>
        <v>18</v>
      </c>
      <c r="K8475">
        <v>20190621</v>
      </c>
      <c r="L8475" t="str">
        <f>"077277"</f>
        <v>077277</v>
      </c>
      <c r="M8475" t="str">
        <f>"65826"</f>
        <v>65826</v>
      </c>
      <c r="N8475" t="s">
        <v>2787</v>
      </c>
      <c r="O8475">
        <v>182.7</v>
      </c>
      <c r="P8475">
        <v>20190619</v>
      </c>
      <c r="Q8475" t="s">
        <v>6556</v>
      </c>
      <c r="R8475" t="s">
        <v>2793</v>
      </c>
      <c r="S8475" t="s">
        <v>6511</v>
      </c>
      <c r="T8475" t="s">
        <v>106</v>
      </c>
    </row>
    <row r="8476" spans="1:20" x14ac:dyDescent="0.25">
      <c r="A8476">
        <v>9</v>
      </c>
      <c r="B8476">
        <v>224</v>
      </c>
      <c r="C8476" t="str">
        <f>"11"</f>
        <v>11</v>
      </c>
      <c r="D8476">
        <v>6399</v>
      </c>
      <c r="E8476" t="str">
        <f t="shared" si="1938"/>
        <v>00</v>
      </c>
      <c r="F8476" t="str">
        <f>"101"</f>
        <v>101</v>
      </c>
      <c r="G8476">
        <v>9</v>
      </c>
      <c r="H8476" t="str">
        <f t="shared" si="1929"/>
        <v>23</v>
      </c>
      <c r="I8476" t="str">
        <f t="shared" si="1931"/>
        <v>0</v>
      </c>
      <c r="J8476" t="str">
        <f>"18"</f>
        <v>18</v>
      </c>
      <c r="K8476">
        <v>20190621</v>
      </c>
      <c r="L8476" t="str">
        <f>"077277"</f>
        <v>077277</v>
      </c>
      <c r="M8476" t="str">
        <f>"65826"</f>
        <v>65826</v>
      </c>
      <c r="N8476" t="s">
        <v>2787</v>
      </c>
      <c r="O8476">
        <v>372.51</v>
      </c>
      <c r="P8476">
        <v>20190619</v>
      </c>
      <c r="Q8476" t="s">
        <v>6557</v>
      </c>
      <c r="R8476" t="s">
        <v>2793</v>
      </c>
      <c r="S8476" t="s">
        <v>6511</v>
      </c>
      <c r="T8476" t="s">
        <v>1479</v>
      </c>
    </row>
    <row r="8477" spans="1:20" x14ac:dyDescent="0.25">
      <c r="A8477">
        <v>9</v>
      </c>
      <c r="B8477">
        <v>224</v>
      </c>
      <c r="C8477" t="str">
        <f>"11"</f>
        <v>11</v>
      </c>
      <c r="D8477">
        <v>6399</v>
      </c>
      <c r="E8477" t="str">
        <f t="shared" si="1938"/>
        <v>00</v>
      </c>
      <c r="F8477" t="str">
        <f>"101"</f>
        <v>101</v>
      </c>
      <c r="G8477">
        <v>9</v>
      </c>
      <c r="H8477" t="str">
        <f t="shared" si="1929"/>
        <v>23</v>
      </c>
      <c r="I8477" t="str">
        <f t="shared" si="1931"/>
        <v>0</v>
      </c>
      <c r="J8477" t="str">
        <f>"18"</f>
        <v>18</v>
      </c>
      <c r="K8477">
        <v>20190621</v>
      </c>
      <c r="L8477" t="str">
        <f>"077277"</f>
        <v>077277</v>
      </c>
      <c r="M8477" t="str">
        <f>"65826"</f>
        <v>65826</v>
      </c>
      <c r="N8477" t="s">
        <v>2787</v>
      </c>
      <c r="O8477">
        <v>220.82</v>
      </c>
      <c r="P8477">
        <v>20190619</v>
      </c>
      <c r="Q8477" t="s">
        <v>6557</v>
      </c>
      <c r="R8477" t="s">
        <v>2793</v>
      </c>
      <c r="S8477" t="s">
        <v>6511</v>
      </c>
      <c r="T8477" t="s">
        <v>1479</v>
      </c>
    </row>
    <row r="8478" spans="1:20" x14ac:dyDescent="0.25">
      <c r="A8478">
        <v>9</v>
      </c>
      <c r="B8478">
        <v>224</v>
      </c>
      <c r="C8478" t="str">
        <f>"11"</f>
        <v>11</v>
      </c>
      <c r="D8478">
        <v>6299</v>
      </c>
      <c r="E8478" t="str">
        <f t="shared" si="1938"/>
        <v>00</v>
      </c>
      <c r="F8478" t="str">
        <f>"001"</f>
        <v>001</v>
      </c>
      <c r="G8478">
        <v>9</v>
      </c>
      <c r="H8478" t="str">
        <f t="shared" si="1929"/>
        <v>23</v>
      </c>
      <c r="I8478" t="str">
        <f t="shared" si="1931"/>
        <v>0</v>
      </c>
      <c r="J8478" t="str">
        <f>"00"</f>
        <v>00</v>
      </c>
      <c r="K8478">
        <v>20190621</v>
      </c>
      <c r="L8478" t="str">
        <f>"077284"</f>
        <v>077284</v>
      </c>
      <c r="M8478" t="str">
        <f>"80754"</f>
        <v>80754</v>
      </c>
      <c r="N8478" t="s">
        <v>5110</v>
      </c>
      <c r="O8478">
        <v>320</v>
      </c>
      <c r="P8478">
        <v>20190619</v>
      </c>
      <c r="Q8478" t="s">
        <v>6653</v>
      </c>
      <c r="R8478" t="s">
        <v>6654</v>
      </c>
      <c r="S8478" t="s">
        <v>6511</v>
      </c>
      <c r="T8478" t="s">
        <v>301</v>
      </c>
    </row>
    <row r="8479" spans="1:20" x14ac:dyDescent="0.25">
      <c r="A8479">
        <v>9</v>
      </c>
      <c r="B8479">
        <v>224</v>
      </c>
      <c r="C8479" t="str">
        <f>"31"</f>
        <v>31</v>
      </c>
      <c r="D8479">
        <v>6399</v>
      </c>
      <c r="E8479" t="str">
        <f t="shared" si="1938"/>
        <v>00</v>
      </c>
      <c r="F8479" t="str">
        <f>"875"</f>
        <v>875</v>
      </c>
      <c r="G8479">
        <v>9</v>
      </c>
      <c r="H8479" t="str">
        <f t="shared" si="1929"/>
        <v>23</v>
      </c>
      <c r="I8479" t="str">
        <f t="shared" si="1931"/>
        <v>0</v>
      </c>
      <c r="J8479" t="str">
        <f>"00"</f>
        <v>00</v>
      </c>
      <c r="K8479">
        <v>20190621</v>
      </c>
      <c r="L8479" t="str">
        <f>"077285"</f>
        <v>077285</v>
      </c>
      <c r="M8479" t="str">
        <f>"80101"</f>
        <v>80101</v>
      </c>
      <c r="N8479" t="s">
        <v>6655</v>
      </c>
      <c r="O8479">
        <v>527.17999999999995</v>
      </c>
      <c r="P8479">
        <v>20190619</v>
      </c>
      <c r="Q8479" t="s">
        <v>6597</v>
      </c>
      <c r="R8479" t="s">
        <v>6656</v>
      </c>
      <c r="S8479" t="s">
        <v>6511</v>
      </c>
      <c r="T8479" t="s">
        <v>2041</v>
      </c>
    </row>
    <row r="8480" spans="1:20" x14ac:dyDescent="0.25">
      <c r="A8480">
        <v>9</v>
      </c>
      <c r="B8480">
        <v>224</v>
      </c>
      <c r="C8480" t="str">
        <f t="shared" ref="C8480:C8500" si="1939">"11"</f>
        <v>11</v>
      </c>
      <c r="D8480">
        <v>6399</v>
      </c>
      <c r="E8480" t="str">
        <f t="shared" si="1938"/>
        <v>00</v>
      </c>
      <c r="F8480" t="str">
        <f t="shared" ref="F8480:F8485" si="1940">"001"</f>
        <v>001</v>
      </c>
      <c r="G8480">
        <v>9</v>
      </c>
      <c r="H8480" t="str">
        <f t="shared" si="1929"/>
        <v>23</v>
      </c>
      <c r="I8480" t="str">
        <f t="shared" si="1931"/>
        <v>0</v>
      </c>
      <c r="J8480" t="str">
        <f>"18"</f>
        <v>18</v>
      </c>
      <c r="K8480">
        <v>20190712</v>
      </c>
      <c r="L8480" t="str">
        <f>"077342"</f>
        <v>077342</v>
      </c>
      <c r="M8480" t="str">
        <f>"10571"</f>
        <v>10571</v>
      </c>
      <c r="N8480" t="s">
        <v>6657</v>
      </c>
      <c r="O8480">
        <v>632.5</v>
      </c>
      <c r="P8480">
        <v>20190710</v>
      </c>
      <c r="Q8480" t="s">
        <v>6554</v>
      </c>
      <c r="R8480" t="s">
        <v>2793</v>
      </c>
      <c r="S8480" t="s">
        <v>6511</v>
      </c>
      <c r="T8480" t="s">
        <v>301</v>
      </c>
    </row>
    <row r="8481" spans="1:20" x14ac:dyDescent="0.25">
      <c r="A8481">
        <v>9</v>
      </c>
      <c r="B8481">
        <v>224</v>
      </c>
      <c r="C8481" t="str">
        <f t="shared" si="1939"/>
        <v>11</v>
      </c>
      <c r="D8481">
        <v>6399</v>
      </c>
      <c r="E8481" t="str">
        <f t="shared" si="1938"/>
        <v>00</v>
      </c>
      <c r="F8481" t="str">
        <f t="shared" si="1940"/>
        <v>001</v>
      </c>
      <c r="G8481">
        <v>9</v>
      </c>
      <c r="H8481" t="str">
        <f t="shared" si="1929"/>
        <v>23</v>
      </c>
      <c r="I8481" t="str">
        <f t="shared" si="1931"/>
        <v>0</v>
      </c>
      <c r="J8481" t="str">
        <f>"00"</f>
        <v>00</v>
      </c>
      <c r="K8481">
        <v>20190712</v>
      </c>
      <c r="L8481" t="str">
        <f t="shared" ref="L8481:L8497" si="1941">"077349"</f>
        <v>077349</v>
      </c>
      <c r="M8481" t="str">
        <f t="shared" ref="M8481:M8497" si="1942">"16807"</f>
        <v>16807</v>
      </c>
      <c r="N8481" t="s">
        <v>1581</v>
      </c>
      <c r="O8481">
        <v>345.1</v>
      </c>
      <c r="P8481">
        <v>20190710</v>
      </c>
      <c r="Q8481" t="s">
        <v>6518</v>
      </c>
      <c r="R8481" t="s">
        <v>6658</v>
      </c>
      <c r="S8481" t="s">
        <v>6511</v>
      </c>
      <c r="T8481" t="s">
        <v>301</v>
      </c>
    </row>
    <row r="8482" spans="1:20" x14ac:dyDescent="0.25">
      <c r="A8482">
        <v>9</v>
      </c>
      <c r="B8482">
        <v>224</v>
      </c>
      <c r="C8482" t="str">
        <f t="shared" si="1939"/>
        <v>11</v>
      </c>
      <c r="D8482">
        <v>6399</v>
      </c>
      <c r="E8482" t="str">
        <f t="shared" si="1938"/>
        <v>00</v>
      </c>
      <c r="F8482" t="str">
        <f t="shared" si="1940"/>
        <v>001</v>
      </c>
      <c r="G8482">
        <v>9</v>
      </c>
      <c r="H8482" t="str">
        <f t="shared" si="1929"/>
        <v>23</v>
      </c>
      <c r="I8482" t="str">
        <f t="shared" si="1931"/>
        <v>0</v>
      </c>
      <c r="J8482" t="str">
        <f>"00"</f>
        <v>00</v>
      </c>
      <c r="K8482">
        <v>20190712</v>
      </c>
      <c r="L8482" t="str">
        <f t="shared" si="1941"/>
        <v>077349</v>
      </c>
      <c r="M8482" t="str">
        <f t="shared" si="1942"/>
        <v>16807</v>
      </c>
      <c r="N8482" t="s">
        <v>1581</v>
      </c>
      <c r="O8482" s="1">
        <v>1219</v>
      </c>
      <c r="P8482">
        <v>20190710</v>
      </c>
      <c r="Q8482" t="s">
        <v>6518</v>
      </c>
      <c r="R8482" t="s">
        <v>1583</v>
      </c>
      <c r="S8482" t="s">
        <v>6511</v>
      </c>
      <c r="T8482" t="s">
        <v>301</v>
      </c>
    </row>
    <row r="8483" spans="1:20" x14ac:dyDescent="0.25">
      <c r="A8483">
        <v>9</v>
      </c>
      <c r="B8483">
        <v>224</v>
      </c>
      <c r="C8483" t="str">
        <f t="shared" si="1939"/>
        <v>11</v>
      </c>
      <c r="D8483">
        <v>6399</v>
      </c>
      <c r="E8483" t="str">
        <f t="shared" si="1938"/>
        <v>00</v>
      </c>
      <c r="F8483" t="str">
        <f t="shared" si="1940"/>
        <v>001</v>
      </c>
      <c r="G8483">
        <v>9</v>
      </c>
      <c r="H8483" t="str">
        <f t="shared" si="1929"/>
        <v>23</v>
      </c>
      <c r="I8483" t="str">
        <f t="shared" si="1931"/>
        <v>0</v>
      </c>
      <c r="J8483" t="str">
        <f>"00"</f>
        <v>00</v>
      </c>
      <c r="K8483">
        <v>20190712</v>
      </c>
      <c r="L8483" t="str">
        <f t="shared" si="1941"/>
        <v>077349</v>
      </c>
      <c r="M8483" t="str">
        <f t="shared" si="1942"/>
        <v>16807</v>
      </c>
      <c r="N8483" t="s">
        <v>1581</v>
      </c>
      <c r="O8483" s="1">
        <v>2822.8</v>
      </c>
      <c r="P8483">
        <v>20190710</v>
      </c>
      <c r="Q8483" t="s">
        <v>6518</v>
      </c>
      <c r="R8483" t="s">
        <v>1583</v>
      </c>
      <c r="S8483" t="s">
        <v>6511</v>
      </c>
      <c r="T8483" t="s">
        <v>301</v>
      </c>
    </row>
    <row r="8484" spans="1:20" x14ac:dyDescent="0.25">
      <c r="A8484">
        <v>9</v>
      </c>
      <c r="B8484">
        <v>224</v>
      </c>
      <c r="C8484" t="str">
        <f t="shared" si="1939"/>
        <v>11</v>
      </c>
      <c r="D8484">
        <v>6399</v>
      </c>
      <c r="E8484" t="str">
        <f t="shared" si="1938"/>
        <v>00</v>
      </c>
      <c r="F8484" t="str">
        <f t="shared" si="1940"/>
        <v>001</v>
      </c>
      <c r="G8484">
        <v>9</v>
      </c>
      <c r="H8484" t="str">
        <f t="shared" si="1929"/>
        <v>23</v>
      </c>
      <c r="I8484" t="str">
        <f t="shared" si="1931"/>
        <v>0</v>
      </c>
      <c r="J8484" t="str">
        <f>"18"</f>
        <v>18</v>
      </c>
      <c r="K8484">
        <v>20190712</v>
      </c>
      <c r="L8484" t="str">
        <f t="shared" si="1941"/>
        <v>077349</v>
      </c>
      <c r="M8484" t="str">
        <f t="shared" si="1942"/>
        <v>16807</v>
      </c>
      <c r="N8484" t="s">
        <v>1581</v>
      </c>
      <c r="O8484">
        <v>386.75</v>
      </c>
      <c r="P8484">
        <v>20190710</v>
      </c>
      <c r="Q8484" t="s">
        <v>6554</v>
      </c>
      <c r="R8484" t="s">
        <v>6659</v>
      </c>
      <c r="S8484" t="s">
        <v>6511</v>
      </c>
      <c r="T8484" t="s">
        <v>301</v>
      </c>
    </row>
    <row r="8485" spans="1:20" x14ac:dyDescent="0.25">
      <c r="A8485">
        <v>9</v>
      </c>
      <c r="B8485">
        <v>224</v>
      </c>
      <c r="C8485" t="str">
        <f t="shared" si="1939"/>
        <v>11</v>
      </c>
      <c r="D8485">
        <v>6399</v>
      </c>
      <c r="E8485" t="str">
        <f t="shared" si="1938"/>
        <v>00</v>
      </c>
      <c r="F8485" t="str">
        <f t="shared" si="1940"/>
        <v>001</v>
      </c>
      <c r="G8485">
        <v>9</v>
      </c>
      <c r="H8485" t="str">
        <f t="shared" si="1929"/>
        <v>23</v>
      </c>
      <c r="I8485" t="str">
        <f t="shared" si="1931"/>
        <v>0</v>
      </c>
      <c r="J8485" t="str">
        <f>"18"</f>
        <v>18</v>
      </c>
      <c r="K8485">
        <v>20190712</v>
      </c>
      <c r="L8485" t="str">
        <f t="shared" si="1941"/>
        <v>077349</v>
      </c>
      <c r="M8485" t="str">
        <f t="shared" si="1942"/>
        <v>16807</v>
      </c>
      <c r="N8485" t="s">
        <v>1581</v>
      </c>
      <c r="O8485">
        <v>77.349999999999994</v>
      </c>
      <c r="P8485">
        <v>20190710</v>
      </c>
      <c r="Q8485" t="s">
        <v>6554</v>
      </c>
      <c r="R8485" t="s">
        <v>6659</v>
      </c>
      <c r="S8485" t="s">
        <v>6511</v>
      </c>
      <c r="T8485" t="s">
        <v>301</v>
      </c>
    </row>
    <row r="8486" spans="1:20" x14ac:dyDescent="0.25">
      <c r="A8486">
        <v>9</v>
      </c>
      <c r="B8486">
        <v>224</v>
      </c>
      <c r="C8486" t="str">
        <f t="shared" si="1939"/>
        <v>11</v>
      </c>
      <c r="D8486">
        <v>6399</v>
      </c>
      <c r="E8486" t="str">
        <f t="shared" si="1938"/>
        <v>00</v>
      </c>
      <c r="F8486" t="str">
        <f>"041"</f>
        <v>041</v>
      </c>
      <c r="G8486">
        <v>9</v>
      </c>
      <c r="H8486" t="str">
        <f t="shared" si="1929"/>
        <v>23</v>
      </c>
      <c r="I8486" t="str">
        <f t="shared" si="1931"/>
        <v>0</v>
      </c>
      <c r="J8486" t="str">
        <f>"00"</f>
        <v>00</v>
      </c>
      <c r="K8486">
        <v>20190712</v>
      </c>
      <c r="L8486" t="str">
        <f t="shared" si="1941"/>
        <v>077349</v>
      </c>
      <c r="M8486" t="str">
        <f t="shared" si="1942"/>
        <v>16807</v>
      </c>
      <c r="N8486" t="s">
        <v>1581</v>
      </c>
      <c r="O8486">
        <v>345.1</v>
      </c>
      <c r="P8486">
        <v>20190710</v>
      </c>
      <c r="Q8486" t="s">
        <v>6520</v>
      </c>
      <c r="R8486" t="s">
        <v>6658</v>
      </c>
      <c r="S8486" t="s">
        <v>6511</v>
      </c>
      <c r="T8486" t="s">
        <v>106</v>
      </c>
    </row>
    <row r="8487" spans="1:20" x14ac:dyDescent="0.25">
      <c r="A8487">
        <v>9</v>
      </c>
      <c r="B8487">
        <v>224</v>
      </c>
      <c r="C8487" t="str">
        <f t="shared" si="1939"/>
        <v>11</v>
      </c>
      <c r="D8487">
        <v>6399</v>
      </c>
      <c r="E8487" t="str">
        <f t="shared" si="1938"/>
        <v>00</v>
      </c>
      <c r="F8487" t="str">
        <f>"041"</f>
        <v>041</v>
      </c>
      <c r="G8487">
        <v>9</v>
      </c>
      <c r="H8487" t="str">
        <f t="shared" si="1929"/>
        <v>23</v>
      </c>
      <c r="I8487" t="str">
        <f t="shared" si="1931"/>
        <v>0</v>
      </c>
      <c r="J8487" t="str">
        <f>"00"</f>
        <v>00</v>
      </c>
      <c r="K8487">
        <v>20190712</v>
      </c>
      <c r="L8487" t="str">
        <f t="shared" si="1941"/>
        <v>077349</v>
      </c>
      <c r="M8487" t="str">
        <f t="shared" si="1942"/>
        <v>16807</v>
      </c>
      <c r="N8487" t="s">
        <v>1581</v>
      </c>
      <c r="O8487" s="1">
        <v>2822.8</v>
      </c>
      <c r="P8487">
        <v>20190710</v>
      </c>
      <c r="Q8487" t="s">
        <v>6520</v>
      </c>
      <c r="R8487" t="s">
        <v>1583</v>
      </c>
      <c r="S8487" t="s">
        <v>6511</v>
      </c>
      <c r="T8487" t="s">
        <v>106</v>
      </c>
    </row>
    <row r="8488" spans="1:20" x14ac:dyDescent="0.25">
      <c r="A8488">
        <v>9</v>
      </c>
      <c r="B8488">
        <v>224</v>
      </c>
      <c r="C8488" t="str">
        <f t="shared" si="1939"/>
        <v>11</v>
      </c>
      <c r="D8488">
        <v>6399</v>
      </c>
      <c r="E8488" t="str">
        <f t="shared" si="1938"/>
        <v>00</v>
      </c>
      <c r="F8488" t="str">
        <f>"041"</f>
        <v>041</v>
      </c>
      <c r="G8488">
        <v>9</v>
      </c>
      <c r="H8488" t="str">
        <f t="shared" si="1929"/>
        <v>23</v>
      </c>
      <c r="I8488" t="str">
        <f t="shared" si="1931"/>
        <v>0</v>
      </c>
      <c r="J8488" t="str">
        <f>"18"</f>
        <v>18</v>
      </c>
      <c r="K8488">
        <v>20190712</v>
      </c>
      <c r="L8488" t="str">
        <f t="shared" si="1941"/>
        <v>077349</v>
      </c>
      <c r="M8488" t="str">
        <f t="shared" si="1942"/>
        <v>16807</v>
      </c>
      <c r="N8488" t="s">
        <v>1581</v>
      </c>
      <c r="O8488">
        <v>386.75</v>
      </c>
      <c r="P8488">
        <v>20190710</v>
      </c>
      <c r="Q8488" t="s">
        <v>6556</v>
      </c>
      <c r="R8488" t="s">
        <v>6659</v>
      </c>
      <c r="S8488" t="s">
        <v>6511</v>
      </c>
      <c r="T8488" t="s">
        <v>106</v>
      </c>
    </row>
    <row r="8489" spans="1:20" x14ac:dyDescent="0.25">
      <c r="A8489">
        <v>9</v>
      </c>
      <c r="B8489">
        <v>224</v>
      </c>
      <c r="C8489" t="str">
        <f t="shared" si="1939"/>
        <v>11</v>
      </c>
      <c r="D8489">
        <v>6399</v>
      </c>
      <c r="E8489" t="str">
        <f t="shared" si="1938"/>
        <v>00</v>
      </c>
      <c r="F8489" t="str">
        <f>"041"</f>
        <v>041</v>
      </c>
      <c r="G8489">
        <v>9</v>
      </c>
      <c r="H8489" t="str">
        <f t="shared" si="1929"/>
        <v>23</v>
      </c>
      <c r="I8489" t="str">
        <f t="shared" si="1931"/>
        <v>0</v>
      </c>
      <c r="J8489" t="str">
        <f>"18"</f>
        <v>18</v>
      </c>
      <c r="K8489">
        <v>20190712</v>
      </c>
      <c r="L8489" t="str">
        <f t="shared" si="1941"/>
        <v>077349</v>
      </c>
      <c r="M8489" t="str">
        <f t="shared" si="1942"/>
        <v>16807</v>
      </c>
      <c r="N8489" t="s">
        <v>1581</v>
      </c>
      <c r="O8489">
        <v>77.349999999999994</v>
      </c>
      <c r="P8489">
        <v>20190710</v>
      </c>
      <c r="Q8489" t="s">
        <v>6556</v>
      </c>
      <c r="R8489" t="s">
        <v>6659</v>
      </c>
      <c r="S8489" t="s">
        <v>6511</v>
      </c>
      <c r="T8489" t="s">
        <v>106</v>
      </c>
    </row>
    <row r="8490" spans="1:20" x14ac:dyDescent="0.25">
      <c r="A8490">
        <v>9</v>
      </c>
      <c r="B8490">
        <v>224</v>
      </c>
      <c r="C8490" t="str">
        <f t="shared" si="1939"/>
        <v>11</v>
      </c>
      <c r="D8490">
        <v>6399</v>
      </c>
      <c r="E8490" t="str">
        <f t="shared" si="1938"/>
        <v>00</v>
      </c>
      <c r="F8490" t="str">
        <f>"101"</f>
        <v>101</v>
      </c>
      <c r="G8490">
        <v>9</v>
      </c>
      <c r="H8490" t="str">
        <f t="shared" si="1929"/>
        <v>23</v>
      </c>
      <c r="I8490" t="str">
        <f t="shared" si="1931"/>
        <v>0</v>
      </c>
      <c r="J8490" t="str">
        <f>"00"</f>
        <v>00</v>
      </c>
      <c r="K8490">
        <v>20190712</v>
      </c>
      <c r="L8490" t="str">
        <f t="shared" si="1941"/>
        <v>077349</v>
      </c>
      <c r="M8490" t="str">
        <f t="shared" si="1942"/>
        <v>16807</v>
      </c>
      <c r="N8490" t="s">
        <v>1581</v>
      </c>
      <c r="O8490">
        <v>552.16</v>
      </c>
      <c r="P8490">
        <v>20190710</v>
      </c>
      <c r="Q8490" t="s">
        <v>6562</v>
      </c>
      <c r="R8490" t="s">
        <v>6658</v>
      </c>
      <c r="S8490" t="s">
        <v>6511</v>
      </c>
      <c r="T8490" t="s">
        <v>1479</v>
      </c>
    </row>
    <row r="8491" spans="1:20" x14ac:dyDescent="0.25">
      <c r="A8491">
        <v>9</v>
      </c>
      <c r="B8491">
        <v>224</v>
      </c>
      <c r="C8491" t="str">
        <f t="shared" si="1939"/>
        <v>11</v>
      </c>
      <c r="D8491">
        <v>6399</v>
      </c>
      <c r="E8491" t="str">
        <f t="shared" si="1938"/>
        <v>00</v>
      </c>
      <c r="F8491" t="str">
        <f>"101"</f>
        <v>101</v>
      </c>
      <c r="G8491">
        <v>9</v>
      </c>
      <c r="H8491" t="str">
        <f t="shared" si="1929"/>
        <v>23</v>
      </c>
      <c r="I8491" t="str">
        <f t="shared" si="1931"/>
        <v>0</v>
      </c>
      <c r="J8491" t="str">
        <f>"00"</f>
        <v>00</v>
      </c>
      <c r="K8491">
        <v>20190712</v>
      </c>
      <c r="L8491" t="str">
        <f t="shared" si="1941"/>
        <v>077349</v>
      </c>
      <c r="M8491" t="str">
        <f t="shared" si="1942"/>
        <v>16807</v>
      </c>
      <c r="N8491" t="s">
        <v>1581</v>
      </c>
      <c r="O8491" s="1">
        <v>4516.4799999999996</v>
      </c>
      <c r="P8491">
        <v>20190710</v>
      </c>
      <c r="Q8491" t="s">
        <v>6562</v>
      </c>
      <c r="R8491" t="s">
        <v>1583</v>
      </c>
      <c r="S8491" t="s">
        <v>6511</v>
      </c>
      <c r="T8491" t="s">
        <v>1479</v>
      </c>
    </row>
    <row r="8492" spans="1:20" x14ac:dyDescent="0.25">
      <c r="A8492">
        <v>9</v>
      </c>
      <c r="B8492">
        <v>224</v>
      </c>
      <c r="C8492" t="str">
        <f t="shared" si="1939"/>
        <v>11</v>
      </c>
      <c r="D8492">
        <v>6399</v>
      </c>
      <c r="E8492" t="str">
        <f t="shared" si="1938"/>
        <v>00</v>
      </c>
      <c r="F8492" t="str">
        <f>"101"</f>
        <v>101</v>
      </c>
      <c r="G8492">
        <v>9</v>
      </c>
      <c r="H8492" t="str">
        <f t="shared" si="1929"/>
        <v>23</v>
      </c>
      <c r="I8492" t="str">
        <f t="shared" si="1931"/>
        <v>0</v>
      </c>
      <c r="J8492" t="str">
        <f>"18"</f>
        <v>18</v>
      </c>
      <c r="K8492">
        <v>20190712</v>
      </c>
      <c r="L8492" t="str">
        <f t="shared" si="1941"/>
        <v>077349</v>
      </c>
      <c r="M8492" t="str">
        <f t="shared" si="1942"/>
        <v>16807</v>
      </c>
      <c r="N8492" t="s">
        <v>1581</v>
      </c>
      <c r="O8492">
        <v>386.75</v>
      </c>
      <c r="P8492">
        <v>20190710</v>
      </c>
      <c r="Q8492" t="s">
        <v>6557</v>
      </c>
      <c r="R8492" t="s">
        <v>6659</v>
      </c>
      <c r="S8492" t="s">
        <v>6511</v>
      </c>
      <c r="T8492" t="s">
        <v>1479</v>
      </c>
    </row>
    <row r="8493" spans="1:20" x14ac:dyDescent="0.25">
      <c r="A8493">
        <v>9</v>
      </c>
      <c r="B8493">
        <v>224</v>
      </c>
      <c r="C8493" t="str">
        <f t="shared" si="1939"/>
        <v>11</v>
      </c>
      <c r="D8493">
        <v>6399</v>
      </c>
      <c r="E8493" t="str">
        <f t="shared" si="1938"/>
        <v>00</v>
      </c>
      <c r="F8493" t="str">
        <f>"101"</f>
        <v>101</v>
      </c>
      <c r="G8493">
        <v>9</v>
      </c>
      <c r="H8493" t="str">
        <f t="shared" si="1929"/>
        <v>23</v>
      </c>
      <c r="I8493" t="str">
        <f t="shared" si="1931"/>
        <v>0</v>
      </c>
      <c r="J8493" t="str">
        <f>"18"</f>
        <v>18</v>
      </c>
      <c r="K8493">
        <v>20190712</v>
      </c>
      <c r="L8493" t="str">
        <f t="shared" si="1941"/>
        <v>077349</v>
      </c>
      <c r="M8493" t="str">
        <f t="shared" si="1942"/>
        <v>16807</v>
      </c>
      <c r="N8493" t="s">
        <v>1581</v>
      </c>
      <c r="O8493">
        <v>77.349999999999994</v>
      </c>
      <c r="P8493">
        <v>20190710</v>
      </c>
      <c r="Q8493" t="s">
        <v>6557</v>
      </c>
      <c r="R8493" t="s">
        <v>6659</v>
      </c>
      <c r="S8493" t="s">
        <v>6511</v>
      </c>
      <c r="T8493" t="s">
        <v>1479</v>
      </c>
    </row>
    <row r="8494" spans="1:20" x14ac:dyDescent="0.25">
      <c r="A8494">
        <v>9</v>
      </c>
      <c r="B8494">
        <v>224</v>
      </c>
      <c r="C8494" t="str">
        <f t="shared" si="1939"/>
        <v>11</v>
      </c>
      <c r="D8494">
        <v>6399</v>
      </c>
      <c r="E8494" t="str">
        <f t="shared" si="1938"/>
        <v>00</v>
      </c>
      <c r="F8494" t="str">
        <f>"104"</f>
        <v>104</v>
      </c>
      <c r="G8494">
        <v>9</v>
      </c>
      <c r="H8494" t="str">
        <f t="shared" si="1929"/>
        <v>23</v>
      </c>
      <c r="I8494" t="str">
        <f t="shared" si="1931"/>
        <v>0</v>
      </c>
      <c r="J8494" t="str">
        <f>"00"</f>
        <v>00</v>
      </c>
      <c r="K8494">
        <v>20190712</v>
      </c>
      <c r="L8494" t="str">
        <f t="shared" si="1941"/>
        <v>077349</v>
      </c>
      <c r="M8494" t="str">
        <f t="shared" si="1942"/>
        <v>16807</v>
      </c>
      <c r="N8494" t="s">
        <v>1581</v>
      </c>
      <c r="O8494">
        <v>345.1</v>
      </c>
      <c r="P8494">
        <v>20190710</v>
      </c>
      <c r="Q8494" t="s">
        <v>6521</v>
      </c>
      <c r="R8494" t="s">
        <v>6658</v>
      </c>
      <c r="S8494" t="s">
        <v>6511</v>
      </c>
      <c r="T8494" t="s">
        <v>46</v>
      </c>
    </row>
    <row r="8495" spans="1:20" x14ac:dyDescent="0.25">
      <c r="A8495">
        <v>9</v>
      </c>
      <c r="B8495">
        <v>224</v>
      </c>
      <c r="C8495" t="str">
        <f t="shared" si="1939"/>
        <v>11</v>
      </c>
      <c r="D8495">
        <v>6399</v>
      </c>
      <c r="E8495" t="str">
        <f t="shared" si="1938"/>
        <v>00</v>
      </c>
      <c r="F8495" t="str">
        <f>"104"</f>
        <v>104</v>
      </c>
      <c r="G8495">
        <v>9</v>
      </c>
      <c r="H8495" t="str">
        <f t="shared" si="1929"/>
        <v>23</v>
      </c>
      <c r="I8495" t="str">
        <f t="shared" si="1931"/>
        <v>0</v>
      </c>
      <c r="J8495" t="str">
        <f>"00"</f>
        <v>00</v>
      </c>
      <c r="K8495">
        <v>20190712</v>
      </c>
      <c r="L8495" t="str">
        <f t="shared" si="1941"/>
        <v>077349</v>
      </c>
      <c r="M8495" t="str">
        <f t="shared" si="1942"/>
        <v>16807</v>
      </c>
      <c r="N8495" t="s">
        <v>1581</v>
      </c>
      <c r="O8495" s="1">
        <v>2822.8</v>
      </c>
      <c r="P8495">
        <v>20190710</v>
      </c>
      <c r="Q8495" t="s">
        <v>6521</v>
      </c>
      <c r="R8495" t="s">
        <v>1583</v>
      </c>
      <c r="S8495" t="s">
        <v>6511</v>
      </c>
      <c r="T8495" t="s">
        <v>46</v>
      </c>
    </row>
    <row r="8496" spans="1:20" x14ac:dyDescent="0.25">
      <c r="A8496">
        <v>9</v>
      </c>
      <c r="B8496">
        <v>224</v>
      </c>
      <c r="C8496" t="str">
        <f t="shared" si="1939"/>
        <v>11</v>
      </c>
      <c r="D8496">
        <v>6399</v>
      </c>
      <c r="E8496" t="str">
        <f t="shared" si="1938"/>
        <v>00</v>
      </c>
      <c r="F8496" t="str">
        <f>"104"</f>
        <v>104</v>
      </c>
      <c r="G8496">
        <v>9</v>
      </c>
      <c r="H8496" t="str">
        <f t="shared" ref="H8496:H8559" si="1943">"23"</f>
        <v>23</v>
      </c>
      <c r="I8496" t="str">
        <f t="shared" si="1931"/>
        <v>0</v>
      </c>
      <c r="J8496" t="str">
        <f t="shared" ref="J8496:J8502" si="1944">"18"</f>
        <v>18</v>
      </c>
      <c r="K8496">
        <v>20190712</v>
      </c>
      <c r="L8496" t="str">
        <f t="shared" si="1941"/>
        <v>077349</v>
      </c>
      <c r="M8496" t="str">
        <f t="shared" si="1942"/>
        <v>16807</v>
      </c>
      <c r="N8496" t="s">
        <v>1581</v>
      </c>
      <c r="O8496">
        <v>386.75</v>
      </c>
      <c r="P8496">
        <v>20190710</v>
      </c>
      <c r="Q8496" t="s">
        <v>6558</v>
      </c>
      <c r="R8496" t="s">
        <v>6659</v>
      </c>
      <c r="S8496" t="s">
        <v>6511</v>
      </c>
      <c r="T8496" t="s">
        <v>46</v>
      </c>
    </row>
    <row r="8497" spans="1:20" x14ac:dyDescent="0.25">
      <c r="A8497">
        <v>9</v>
      </c>
      <c r="B8497">
        <v>224</v>
      </c>
      <c r="C8497" t="str">
        <f t="shared" si="1939"/>
        <v>11</v>
      </c>
      <c r="D8497">
        <v>6399</v>
      </c>
      <c r="E8497" t="str">
        <f t="shared" si="1938"/>
        <v>00</v>
      </c>
      <c r="F8497" t="str">
        <f>"104"</f>
        <v>104</v>
      </c>
      <c r="G8497">
        <v>9</v>
      </c>
      <c r="H8497" t="str">
        <f t="shared" si="1943"/>
        <v>23</v>
      </c>
      <c r="I8497" t="str">
        <f t="shared" si="1931"/>
        <v>0</v>
      </c>
      <c r="J8497" t="str">
        <f t="shared" si="1944"/>
        <v>18</v>
      </c>
      <c r="K8497">
        <v>20190712</v>
      </c>
      <c r="L8497" t="str">
        <f t="shared" si="1941"/>
        <v>077349</v>
      </c>
      <c r="M8497" t="str">
        <f t="shared" si="1942"/>
        <v>16807</v>
      </c>
      <c r="N8497" t="s">
        <v>1581</v>
      </c>
      <c r="O8497">
        <v>77.349999999999994</v>
      </c>
      <c r="P8497">
        <v>20190710</v>
      </c>
      <c r="Q8497" t="s">
        <v>6558</v>
      </c>
      <c r="R8497" t="s">
        <v>6659</v>
      </c>
      <c r="S8497" t="s">
        <v>6511</v>
      </c>
      <c r="T8497" t="s">
        <v>46</v>
      </c>
    </row>
    <row r="8498" spans="1:20" x14ac:dyDescent="0.25">
      <c r="A8498">
        <v>9</v>
      </c>
      <c r="B8498">
        <v>224</v>
      </c>
      <c r="C8498" t="str">
        <f t="shared" si="1939"/>
        <v>11</v>
      </c>
      <c r="D8498">
        <v>6399</v>
      </c>
      <c r="E8498" t="str">
        <f t="shared" si="1938"/>
        <v>00</v>
      </c>
      <c r="F8498" t="str">
        <f>"041"</f>
        <v>041</v>
      </c>
      <c r="G8498">
        <v>9</v>
      </c>
      <c r="H8498" t="str">
        <f t="shared" si="1943"/>
        <v>23</v>
      </c>
      <c r="I8498" t="str">
        <f t="shared" si="1931"/>
        <v>0</v>
      </c>
      <c r="J8498" t="str">
        <f t="shared" si="1944"/>
        <v>18</v>
      </c>
      <c r="K8498">
        <v>20190712</v>
      </c>
      <c r="L8498" t="str">
        <f>"077351"</f>
        <v>077351</v>
      </c>
      <c r="M8498" t="str">
        <f>"21098"</f>
        <v>21098</v>
      </c>
      <c r="N8498" t="s">
        <v>2038</v>
      </c>
      <c r="O8498">
        <v>188.85</v>
      </c>
      <c r="P8498">
        <v>20190710</v>
      </c>
      <c r="Q8498" t="s">
        <v>6556</v>
      </c>
      <c r="R8498" t="s">
        <v>2793</v>
      </c>
      <c r="S8498" t="s">
        <v>6511</v>
      </c>
      <c r="T8498" t="s">
        <v>106</v>
      </c>
    </row>
    <row r="8499" spans="1:20" x14ac:dyDescent="0.25">
      <c r="A8499">
        <v>9</v>
      </c>
      <c r="B8499">
        <v>224</v>
      </c>
      <c r="C8499" t="str">
        <f t="shared" si="1939"/>
        <v>11</v>
      </c>
      <c r="D8499">
        <v>6399</v>
      </c>
      <c r="E8499" t="str">
        <f t="shared" si="1938"/>
        <v>00</v>
      </c>
      <c r="F8499" t="str">
        <f>"101"</f>
        <v>101</v>
      </c>
      <c r="G8499">
        <v>9</v>
      </c>
      <c r="H8499" t="str">
        <f t="shared" si="1943"/>
        <v>23</v>
      </c>
      <c r="I8499" t="str">
        <f t="shared" si="1931"/>
        <v>0</v>
      </c>
      <c r="J8499" t="str">
        <f t="shared" si="1944"/>
        <v>18</v>
      </c>
      <c r="K8499">
        <v>20190712</v>
      </c>
      <c r="L8499" t="str">
        <f>"077351"</f>
        <v>077351</v>
      </c>
      <c r="M8499" t="str">
        <f>"21098"</f>
        <v>21098</v>
      </c>
      <c r="N8499" t="s">
        <v>2038</v>
      </c>
      <c r="O8499">
        <v>79.319999999999993</v>
      </c>
      <c r="P8499">
        <v>20190710</v>
      </c>
      <c r="Q8499" t="s">
        <v>6557</v>
      </c>
      <c r="R8499" t="s">
        <v>2793</v>
      </c>
      <c r="S8499" t="s">
        <v>6511</v>
      </c>
      <c r="T8499" t="s">
        <v>1479</v>
      </c>
    </row>
    <row r="8500" spans="1:20" x14ac:dyDescent="0.25">
      <c r="A8500">
        <v>9</v>
      </c>
      <c r="B8500">
        <v>224</v>
      </c>
      <c r="C8500" t="str">
        <f t="shared" si="1939"/>
        <v>11</v>
      </c>
      <c r="D8500">
        <v>6399</v>
      </c>
      <c r="E8500" t="str">
        <f t="shared" si="1938"/>
        <v>00</v>
      </c>
      <c r="F8500" t="str">
        <f>"101"</f>
        <v>101</v>
      </c>
      <c r="G8500">
        <v>9</v>
      </c>
      <c r="H8500" t="str">
        <f t="shared" si="1943"/>
        <v>23</v>
      </c>
      <c r="I8500" t="str">
        <f t="shared" si="1931"/>
        <v>0</v>
      </c>
      <c r="J8500" t="str">
        <f t="shared" si="1944"/>
        <v>18</v>
      </c>
      <c r="K8500">
        <v>20190712</v>
      </c>
      <c r="L8500" t="str">
        <f>"077351"</f>
        <v>077351</v>
      </c>
      <c r="M8500" t="str">
        <f>"21098"</f>
        <v>21098</v>
      </c>
      <c r="N8500" t="s">
        <v>2038</v>
      </c>
      <c r="O8500">
        <v>6.09</v>
      </c>
      <c r="P8500">
        <v>20190710</v>
      </c>
      <c r="Q8500" t="s">
        <v>6557</v>
      </c>
      <c r="R8500" t="s">
        <v>6660</v>
      </c>
      <c r="S8500" t="s">
        <v>6511</v>
      </c>
      <c r="T8500" t="s">
        <v>1479</v>
      </c>
    </row>
    <row r="8501" spans="1:20" x14ac:dyDescent="0.25">
      <c r="A8501">
        <v>9</v>
      </c>
      <c r="B8501">
        <v>224</v>
      </c>
      <c r="C8501" t="str">
        <f>"21"</f>
        <v>21</v>
      </c>
      <c r="D8501">
        <v>6399</v>
      </c>
      <c r="E8501" t="str">
        <f t="shared" si="1938"/>
        <v>00</v>
      </c>
      <c r="F8501" t="str">
        <f>"875"</f>
        <v>875</v>
      </c>
      <c r="G8501">
        <v>9</v>
      </c>
      <c r="H8501" t="str">
        <f t="shared" si="1943"/>
        <v>23</v>
      </c>
      <c r="I8501" t="str">
        <f t="shared" si="1931"/>
        <v>0</v>
      </c>
      <c r="J8501" t="str">
        <f t="shared" si="1944"/>
        <v>18</v>
      </c>
      <c r="K8501">
        <v>20190712</v>
      </c>
      <c r="L8501" t="str">
        <f>"077351"</f>
        <v>077351</v>
      </c>
      <c r="M8501" t="str">
        <f>"21098"</f>
        <v>21098</v>
      </c>
      <c r="N8501" t="s">
        <v>2038</v>
      </c>
      <c r="O8501">
        <v>525.87</v>
      </c>
      <c r="P8501">
        <v>20190710</v>
      </c>
      <c r="Q8501" t="s">
        <v>6563</v>
      </c>
      <c r="R8501" t="s">
        <v>641</v>
      </c>
      <c r="S8501" t="s">
        <v>6511</v>
      </c>
      <c r="T8501" t="s">
        <v>2041</v>
      </c>
    </row>
    <row r="8502" spans="1:20" x14ac:dyDescent="0.25">
      <c r="A8502">
        <v>9</v>
      </c>
      <c r="B8502">
        <v>224</v>
      </c>
      <c r="C8502" t="str">
        <f>"21"</f>
        <v>21</v>
      </c>
      <c r="D8502">
        <v>6399</v>
      </c>
      <c r="E8502" t="str">
        <f t="shared" si="1938"/>
        <v>00</v>
      </c>
      <c r="F8502" t="str">
        <f>"875"</f>
        <v>875</v>
      </c>
      <c r="G8502">
        <v>9</v>
      </c>
      <c r="H8502" t="str">
        <f t="shared" si="1943"/>
        <v>23</v>
      </c>
      <c r="I8502" t="str">
        <f t="shared" si="1931"/>
        <v>0</v>
      </c>
      <c r="J8502" t="str">
        <f t="shared" si="1944"/>
        <v>18</v>
      </c>
      <c r="K8502">
        <v>20190712</v>
      </c>
      <c r="L8502" t="str">
        <f>"077351"</f>
        <v>077351</v>
      </c>
      <c r="M8502" t="str">
        <f>"21098"</f>
        <v>21098</v>
      </c>
      <c r="N8502" t="s">
        <v>2038</v>
      </c>
      <c r="O8502">
        <v>159.58000000000001</v>
      </c>
      <c r="P8502">
        <v>20190710</v>
      </c>
      <c r="Q8502" t="s">
        <v>6563</v>
      </c>
      <c r="R8502" t="s">
        <v>641</v>
      </c>
      <c r="S8502" t="s">
        <v>6511</v>
      </c>
      <c r="T8502" t="s">
        <v>2041</v>
      </c>
    </row>
    <row r="8503" spans="1:20" x14ac:dyDescent="0.25">
      <c r="A8503">
        <v>9</v>
      </c>
      <c r="B8503">
        <v>224</v>
      </c>
      <c r="C8503" t="str">
        <f t="shared" ref="C8503:C8518" si="1945">"11"</f>
        <v>11</v>
      </c>
      <c r="D8503">
        <v>6399</v>
      </c>
      <c r="E8503" t="str">
        <f t="shared" si="1938"/>
        <v>00</v>
      </c>
      <c r="F8503" t="str">
        <f>"001"</f>
        <v>001</v>
      </c>
      <c r="G8503">
        <v>9</v>
      </c>
      <c r="H8503" t="str">
        <f t="shared" si="1943"/>
        <v>23</v>
      </c>
      <c r="I8503" t="str">
        <f t="shared" si="1931"/>
        <v>0</v>
      </c>
      <c r="J8503" t="str">
        <f>"00"</f>
        <v>00</v>
      </c>
      <c r="K8503">
        <v>20190712</v>
      </c>
      <c r="L8503" t="str">
        <f t="shared" ref="L8503:L8520" si="1946">"077355"</f>
        <v>077355</v>
      </c>
      <c r="M8503" t="str">
        <f t="shared" ref="M8503:M8520" si="1947">"25165"</f>
        <v>25165</v>
      </c>
      <c r="N8503" t="s">
        <v>2860</v>
      </c>
      <c r="O8503">
        <v>40.42</v>
      </c>
      <c r="P8503">
        <v>20190710</v>
      </c>
      <c r="Q8503" t="s">
        <v>6518</v>
      </c>
      <c r="R8503" t="s">
        <v>6661</v>
      </c>
      <c r="S8503" t="s">
        <v>6511</v>
      </c>
      <c r="T8503" t="s">
        <v>301</v>
      </c>
    </row>
    <row r="8504" spans="1:20" x14ac:dyDescent="0.25">
      <c r="A8504">
        <v>9</v>
      </c>
      <c r="B8504">
        <v>224</v>
      </c>
      <c r="C8504" t="str">
        <f t="shared" si="1945"/>
        <v>11</v>
      </c>
      <c r="D8504">
        <v>6399</v>
      </c>
      <c r="E8504" t="str">
        <f t="shared" ref="E8504:E8535" si="1948">"00"</f>
        <v>00</v>
      </c>
      <c r="F8504" t="str">
        <f>"001"</f>
        <v>001</v>
      </c>
      <c r="G8504">
        <v>9</v>
      </c>
      <c r="H8504" t="str">
        <f t="shared" si="1943"/>
        <v>23</v>
      </c>
      <c r="I8504" t="str">
        <f t="shared" si="1931"/>
        <v>0</v>
      </c>
      <c r="J8504" t="str">
        <f>"00"</f>
        <v>00</v>
      </c>
      <c r="K8504">
        <v>20190712</v>
      </c>
      <c r="L8504" t="str">
        <f t="shared" si="1946"/>
        <v>077355</v>
      </c>
      <c r="M8504" t="str">
        <f t="shared" si="1947"/>
        <v>25165</v>
      </c>
      <c r="N8504" t="s">
        <v>2860</v>
      </c>
      <c r="O8504" s="1">
        <v>1362.41</v>
      </c>
      <c r="P8504">
        <v>20190710</v>
      </c>
      <c r="Q8504" t="s">
        <v>6518</v>
      </c>
      <c r="R8504" t="s">
        <v>6177</v>
      </c>
      <c r="S8504" t="s">
        <v>6511</v>
      </c>
      <c r="T8504" t="s">
        <v>301</v>
      </c>
    </row>
    <row r="8505" spans="1:20" x14ac:dyDescent="0.25">
      <c r="A8505">
        <v>9</v>
      </c>
      <c r="B8505">
        <v>224</v>
      </c>
      <c r="C8505" t="str">
        <f t="shared" si="1945"/>
        <v>11</v>
      </c>
      <c r="D8505">
        <v>6399</v>
      </c>
      <c r="E8505" t="str">
        <f t="shared" si="1948"/>
        <v>00</v>
      </c>
      <c r="F8505" t="str">
        <f>"001"</f>
        <v>001</v>
      </c>
      <c r="G8505">
        <v>9</v>
      </c>
      <c r="H8505" t="str">
        <f t="shared" si="1943"/>
        <v>23</v>
      </c>
      <c r="I8505" t="str">
        <f t="shared" si="1931"/>
        <v>0</v>
      </c>
      <c r="J8505" t="str">
        <f>"00"</f>
        <v>00</v>
      </c>
      <c r="K8505">
        <v>20190712</v>
      </c>
      <c r="L8505" t="str">
        <f t="shared" si="1946"/>
        <v>077355</v>
      </c>
      <c r="M8505" t="str">
        <f t="shared" si="1947"/>
        <v>25165</v>
      </c>
      <c r="N8505" t="s">
        <v>2860</v>
      </c>
      <c r="O8505" s="1">
        <v>1805.64</v>
      </c>
      <c r="P8505">
        <v>20190710</v>
      </c>
      <c r="Q8505" t="s">
        <v>6518</v>
      </c>
      <c r="R8505" t="s">
        <v>6662</v>
      </c>
      <c r="S8505" t="s">
        <v>6511</v>
      </c>
      <c r="T8505" t="s">
        <v>301</v>
      </c>
    </row>
    <row r="8506" spans="1:20" x14ac:dyDescent="0.25">
      <c r="A8506">
        <v>9</v>
      </c>
      <c r="B8506">
        <v>224</v>
      </c>
      <c r="C8506" t="str">
        <f t="shared" si="1945"/>
        <v>11</v>
      </c>
      <c r="D8506">
        <v>6399</v>
      </c>
      <c r="E8506" t="str">
        <f t="shared" si="1948"/>
        <v>00</v>
      </c>
      <c r="F8506" t="str">
        <f>"001"</f>
        <v>001</v>
      </c>
      <c r="G8506">
        <v>9</v>
      </c>
      <c r="H8506" t="str">
        <f t="shared" si="1943"/>
        <v>23</v>
      </c>
      <c r="I8506" t="str">
        <f t="shared" si="1931"/>
        <v>0</v>
      </c>
      <c r="J8506" t="str">
        <f>"18"</f>
        <v>18</v>
      </c>
      <c r="K8506">
        <v>20190712</v>
      </c>
      <c r="L8506" t="str">
        <f t="shared" si="1946"/>
        <v>077355</v>
      </c>
      <c r="M8506" t="str">
        <f t="shared" si="1947"/>
        <v>25165</v>
      </c>
      <c r="N8506" t="s">
        <v>2860</v>
      </c>
      <c r="O8506" s="1">
        <v>1265.8499999999999</v>
      </c>
      <c r="P8506">
        <v>20190710</v>
      </c>
      <c r="Q8506" t="s">
        <v>6554</v>
      </c>
      <c r="R8506" t="s">
        <v>5638</v>
      </c>
      <c r="S8506" t="s">
        <v>6511</v>
      </c>
      <c r="T8506" t="s">
        <v>301</v>
      </c>
    </row>
    <row r="8507" spans="1:20" x14ac:dyDescent="0.25">
      <c r="A8507">
        <v>9</v>
      </c>
      <c r="B8507">
        <v>224</v>
      </c>
      <c r="C8507" t="str">
        <f t="shared" si="1945"/>
        <v>11</v>
      </c>
      <c r="D8507">
        <v>6399</v>
      </c>
      <c r="E8507" t="str">
        <f t="shared" si="1948"/>
        <v>00</v>
      </c>
      <c r="F8507" t="str">
        <f>"041"</f>
        <v>041</v>
      </c>
      <c r="G8507">
        <v>9</v>
      </c>
      <c r="H8507" t="str">
        <f t="shared" si="1943"/>
        <v>23</v>
      </c>
      <c r="I8507" t="str">
        <f t="shared" ref="I8507:I8570" si="1949">"0"</f>
        <v>0</v>
      </c>
      <c r="J8507" t="str">
        <f t="shared" ref="J8507:J8512" si="1950">"00"</f>
        <v>00</v>
      </c>
      <c r="K8507">
        <v>20190712</v>
      </c>
      <c r="L8507" t="str">
        <f t="shared" si="1946"/>
        <v>077355</v>
      </c>
      <c r="M8507" t="str">
        <f t="shared" si="1947"/>
        <v>25165</v>
      </c>
      <c r="N8507" t="s">
        <v>2860</v>
      </c>
      <c r="O8507">
        <v>40.42</v>
      </c>
      <c r="P8507">
        <v>20190710</v>
      </c>
      <c r="Q8507" t="s">
        <v>6520</v>
      </c>
      <c r="R8507" t="s">
        <v>6661</v>
      </c>
      <c r="S8507" t="s">
        <v>6511</v>
      </c>
      <c r="T8507" t="s">
        <v>106</v>
      </c>
    </row>
    <row r="8508" spans="1:20" x14ac:dyDescent="0.25">
      <c r="A8508">
        <v>9</v>
      </c>
      <c r="B8508">
        <v>224</v>
      </c>
      <c r="C8508" t="str">
        <f t="shared" si="1945"/>
        <v>11</v>
      </c>
      <c r="D8508">
        <v>6399</v>
      </c>
      <c r="E8508" t="str">
        <f t="shared" si="1948"/>
        <v>00</v>
      </c>
      <c r="F8508" t="str">
        <f>"041"</f>
        <v>041</v>
      </c>
      <c r="G8508">
        <v>9</v>
      </c>
      <c r="H8508" t="str">
        <f t="shared" si="1943"/>
        <v>23</v>
      </c>
      <c r="I8508" t="str">
        <f t="shared" si="1949"/>
        <v>0</v>
      </c>
      <c r="J8508" t="str">
        <f t="shared" si="1950"/>
        <v>00</v>
      </c>
      <c r="K8508">
        <v>20190712</v>
      </c>
      <c r="L8508" t="str">
        <f t="shared" si="1946"/>
        <v>077355</v>
      </c>
      <c r="M8508" t="str">
        <f t="shared" si="1947"/>
        <v>25165</v>
      </c>
      <c r="N8508" t="s">
        <v>2860</v>
      </c>
      <c r="O8508" s="1">
        <v>1362.41</v>
      </c>
      <c r="P8508">
        <v>20190710</v>
      </c>
      <c r="Q8508" t="s">
        <v>6520</v>
      </c>
      <c r="R8508" t="s">
        <v>6177</v>
      </c>
      <c r="S8508" t="s">
        <v>6511</v>
      </c>
      <c r="T8508" t="s">
        <v>106</v>
      </c>
    </row>
    <row r="8509" spans="1:20" x14ac:dyDescent="0.25">
      <c r="A8509">
        <v>9</v>
      </c>
      <c r="B8509">
        <v>224</v>
      </c>
      <c r="C8509" t="str">
        <f t="shared" si="1945"/>
        <v>11</v>
      </c>
      <c r="D8509">
        <v>6399</v>
      </c>
      <c r="E8509" t="str">
        <f t="shared" si="1948"/>
        <v>00</v>
      </c>
      <c r="F8509" t="str">
        <f>"041"</f>
        <v>041</v>
      </c>
      <c r="G8509">
        <v>9</v>
      </c>
      <c r="H8509" t="str">
        <f t="shared" si="1943"/>
        <v>23</v>
      </c>
      <c r="I8509" t="str">
        <f t="shared" si="1949"/>
        <v>0</v>
      </c>
      <c r="J8509" t="str">
        <f t="shared" si="1950"/>
        <v>00</v>
      </c>
      <c r="K8509">
        <v>20190712</v>
      </c>
      <c r="L8509" t="str">
        <f t="shared" si="1946"/>
        <v>077355</v>
      </c>
      <c r="M8509" t="str">
        <f t="shared" si="1947"/>
        <v>25165</v>
      </c>
      <c r="N8509" t="s">
        <v>2860</v>
      </c>
      <c r="O8509" s="1">
        <v>1805.65</v>
      </c>
      <c r="P8509">
        <v>20190710</v>
      </c>
      <c r="Q8509" t="s">
        <v>6520</v>
      </c>
      <c r="R8509" t="s">
        <v>6662</v>
      </c>
      <c r="S8509" t="s">
        <v>6511</v>
      </c>
      <c r="T8509" t="s">
        <v>106</v>
      </c>
    </row>
    <row r="8510" spans="1:20" x14ac:dyDescent="0.25">
      <c r="A8510">
        <v>9</v>
      </c>
      <c r="B8510">
        <v>224</v>
      </c>
      <c r="C8510" t="str">
        <f t="shared" si="1945"/>
        <v>11</v>
      </c>
      <c r="D8510">
        <v>6399</v>
      </c>
      <c r="E8510" t="str">
        <f t="shared" si="1948"/>
        <v>00</v>
      </c>
      <c r="F8510" t="str">
        <f>"101"</f>
        <v>101</v>
      </c>
      <c r="G8510">
        <v>9</v>
      </c>
      <c r="H8510" t="str">
        <f t="shared" si="1943"/>
        <v>23</v>
      </c>
      <c r="I8510" t="str">
        <f t="shared" si="1949"/>
        <v>0</v>
      </c>
      <c r="J8510" t="str">
        <f t="shared" si="1950"/>
        <v>00</v>
      </c>
      <c r="K8510">
        <v>20190712</v>
      </c>
      <c r="L8510" t="str">
        <f t="shared" si="1946"/>
        <v>077355</v>
      </c>
      <c r="M8510" t="str">
        <f t="shared" si="1947"/>
        <v>25165</v>
      </c>
      <c r="N8510" t="s">
        <v>2860</v>
      </c>
      <c r="O8510">
        <v>40.42</v>
      </c>
      <c r="P8510">
        <v>20190710</v>
      </c>
      <c r="Q8510" t="s">
        <v>6562</v>
      </c>
      <c r="R8510" t="s">
        <v>6661</v>
      </c>
      <c r="S8510" t="s">
        <v>6511</v>
      </c>
      <c r="T8510" t="s">
        <v>1479</v>
      </c>
    </row>
    <row r="8511" spans="1:20" x14ac:dyDescent="0.25">
      <c r="A8511">
        <v>9</v>
      </c>
      <c r="B8511">
        <v>224</v>
      </c>
      <c r="C8511" t="str">
        <f t="shared" si="1945"/>
        <v>11</v>
      </c>
      <c r="D8511">
        <v>6399</v>
      </c>
      <c r="E8511" t="str">
        <f t="shared" si="1948"/>
        <v>00</v>
      </c>
      <c r="F8511" t="str">
        <f>"101"</f>
        <v>101</v>
      </c>
      <c r="G8511">
        <v>9</v>
      </c>
      <c r="H8511" t="str">
        <f t="shared" si="1943"/>
        <v>23</v>
      </c>
      <c r="I8511" t="str">
        <f t="shared" si="1949"/>
        <v>0</v>
      </c>
      <c r="J8511" t="str">
        <f t="shared" si="1950"/>
        <v>00</v>
      </c>
      <c r="K8511">
        <v>20190712</v>
      </c>
      <c r="L8511" t="str">
        <f t="shared" si="1946"/>
        <v>077355</v>
      </c>
      <c r="M8511" t="str">
        <f t="shared" si="1947"/>
        <v>25165</v>
      </c>
      <c r="N8511" t="s">
        <v>2860</v>
      </c>
      <c r="O8511" s="1">
        <v>1362.41</v>
      </c>
      <c r="P8511">
        <v>20190710</v>
      </c>
      <c r="Q8511" t="s">
        <v>6562</v>
      </c>
      <c r="R8511" t="s">
        <v>6177</v>
      </c>
      <c r="S8511" t="s">
        <v>6511</v>
      </c>
      <c r="T8511" t="s">
        <v>1479</v>
      </c>
    </row>
    <row r="8512" spans="1:20" x14ac:dyDescent="0.25">
      <c r="A8512">
        <v>9</v>
      </c>
      <c r="B8512">
        <v>224</v>
      </c>
      <c r="C8512" t="str">
        <f t="shared" si="1945"/>
        <v>11</v>
      </c>
      <c r="D8512">
        <v>6399</v>
      </c>
      <c r="E8512" t="str">
        <f t="shared" si="1948"/>
        <v>00</v>
      </c>
      <c r="F8512" t="str">
        <f>"101"</f>
        <v>101</v>
      </c>
      <c r="G8512">
        <v>9</v>
      </c>
      <c r="H8512" t="str">
        <f t="shared" si="1943"/>
        <v>23</v>
      </c>
      <c r="I8512" t="str">
        <f t="shared" si="1949"/>
        <v>0</v>
      </c>
      <c r="J8512" t="str">
        <f t="shared" si="1950"/>
        <v>00</v>
      </c>
      <c r="K8512">
        <v>20190712</v>
      </c>
      <c r="L8512" t="str">
        <f t="shared" si="1946"/>
        <v>077355</v>
      </c>
      <c r="M8512" t="str">
        <f t="shared" si="1947"/>
        <v>25165</v>
      </c>
      <c r="N8512" t="s">
        <v>2860</v>
      </c>
      <c r="O8512" s="1">
        <v>1805.65</v>
      </c>
      <c r="P8512">
        <v>20190710</v>
      </c>
      <c r="Q8512" t="s">
        <v>6562</v>
      </c>
      <c r="R8512" t="s">
        <v>6662</v>
      </c>
      <c r="S8512" t="s">
        <v>6511</v>
      </c>
      <c r="T8512" t="s">
        <v>1479</v>
      </c>
    </row>
    <row r="8513" spans="1:20" x14ac:dyDescent="0.25">
      <c r="A8513">
        <v>9</v>
      </c>
      <c r="B8513">
        <v>224</v>
      </c>
      <c r="C8513" t="str">
        <f t="shared" si="1945"/>
        <v>11</v>
      </c>
      <c r="D8513">
        <v>6399</v>
      </c>
      <c r="E8513" t="str">
        <f t="shared" si="1948"/>
        <v>00</v>
      </c>
      <c r="F8513" t="str">
        <f>"101"</f>
        <v>101</v>
      </c>
      <c r="G8513">
        <v>9</v>
      </c>
      <c r="H8513" t="str">
        <f t="shared" si="1943"/>
        <v>23</v>
      </c>
      <c r="I8513" t="str">
        <f t="shared" si="1949"/>
        <v>0</v>
      </c>
      <c r="J8513" t="str">
        <f>"18"</f>
        <v>18</v>
      </c>
      <c r="K8513">
        <v>20190712</v>
      </c>
      <c r="L8513" t="str">
        <f t="shared" si="1946"/>
        <v>077355</v>
      </c>
      <c r="M8513" t="str">
        <f t="shared" si="1947"/>
        <v>25165</v>
      </c>
      <c r="N8513" t="s">
        <v>2860</v>
      </c>
      <c r="O8513" s="1">
        <v>1179.8699999999999</v>
      </c>
      <c r="P8513">
        <v>20190710</v>
      </c>
      <c r="Q8513" t="s">
        <v>6557</v>
      </c>
      <c r="R8513" t="s">
        <v>5638</v>
      </c>
      <c r="S8513" t="s">
        <v>6511</v>
      </c>
      <c r="T8513" t="s">
        <v>1479</v>
      </c>
    </row>
    <row r="8514" spans="1:20" x14ac:dyDescent="0.25">
      <c r="A8514">
        <v>9</v>
      </c>
      <c r="B8514">
        <v>224</v>
      </c>
      <c r="C8514" t="str">
        <f t="shared" si="1945"/>
        <v>11</v>
      </c>
      <c r="D8514">
        <v>6399</v>
      </c>
      <c r="E8514" t="str">
        <f t="shared" si="1948"/>
        <v>00</v>
      </c>
      <c r="F8514" t="str">
        <f>"101"</f>
        <v>101</v>
      </c>
      <c r="G8514">
        <v>9</v>
      </c>
      <c r="H8514" t="str">
        <f t="shared" si="1943"/>
        <v>23</v>
      </c>
      <c r="I8514" t="str">
        <f t="shared" si="1949"/>
        <v>0</v>
      </c>
      <c r="J8514" t="str">
        <f>"18"</f>
        <v>18</v>
      </c>
      <c r="K8514">
        <v>20190712</v>
      </c>
      <c r="L8514" t="str">
        <f t="shared" si="1946"/>
        <v>077355</v>
      </c>
      <c r="M8514" t="str">
        <f t="shared" si="1947"/>
        <v>25165</v>
      </c>
      <c r="N8514" t="s">
        <v>2860</v>
      </c>
      <c r="O8514">
        <v>85.98</v>
      </c>
      <c r="P8514">
        <v>20190710</v>
      </c>
      <c r="Q8514" t="s">
        <v>6557</v>
      </c>
      <c r="R8514" t="s">
        <v>3546</v>
      </c>
      <c r="S8514" t="s">
        <v>6511</v>
      </c>
      <c r="T8514" t="s">
        <v>1479</v>
      </c>
    </row>
    <row r="8515" spans="1:20" x14ac:dyDescent="0.25">
      <c r="A8515">
        <v>9</v>
      </c>
      <c r="B8515">
        <v>224</v>
      </c>
      <c r="C8515" t="str">
        <f t="shared" si="1945"/>
        <v>11</v>
      </c>
      <c r="D8515">
        <v>6399</v>
      </c>
      <c r="E8515" t="str">
        <f t="shared" si="1948"/>
        <v>00</v>
      </c>
      <c r="F8515" t="str">
        <f>"104"</f>
        <v>104</v>
      </c>
      <c r="G8515">
        <v>9</v>
      </c>
      <c r="H8515" t="str">
        <f t="shared" si="1943"/>
        <v>23</v>
      </c>
      <c r="I8515" t="str">
        <f t="shared" si="1949"/>
        <v>0</v>
      </c>
      <c r="J8515" t="str">
        <f>"00"</f>
        <v>00</v>
      </c>
      <c r="K8515">
        <v>20190712</v>
      </c>
      <c r="L8515" t="str">
        <f t="shared" si="1946"/>
        <v>077355</v>
      </c>
      <c r="M8515" t="str">
        <f t="shared" si="1947"/>
        <v>25165</v>
      </c>
      <c r="N8515" t="s">
        <v>2860</v>
      </c>
      <c r="O8515">
        <v>40.42</v>
      </c>
      <c r="P8515">
        <v>20190710</v>
      </c>
      <c r="Q8515" t="s">
        <v>6521</v>
      </c>
      <c r="R8515" t="s">
        <v>6661</v>
      </c>
      <c r="S8515" t="s">
        <v>6511</v>
      </c>
      <c r="T8515" t="s">
        <v>46</v>
      </c>
    </row>
    <row r="8516" spans="1:20" x14ac:dyDescent="0.25">
      <c r="A8516">
        <v>9</v>
      </c>
      <c r="B8516">
        <v>224</v>
      </c>
      <c r="C8516" t="str">
        <f t="shared" si="1945"/>
        <v>11</v>
      </c>
      <c r="D8516">
        <v>6399</v>
      </c>
      <c r="E8516" t="str">
        <f t="shared" si="1948"/>
        <v>00</v>
      </c>
      <c r="F8516" t="str">
        <f>"104"</f>
        <v>104</v>
      </c>
      <c r="G8516">
        <v>9</v>
      </c>
      <c r="H8516" t="str">
        <f t="shared" si="1943"/>
        <v>23</v>
      </c>
      <c r="I8516" t="str">
        <f t="shared" si="1949"/>
        <v>0</v>
      </c>
      <c r="J8516" t="str">
        <f>"00"</f>
        <v>00</v>
      </c>
      <c r="K8516">
        <v>20190712</v>
      </c>
      <c r="L8516" t="str">
        <f t="shared" si="1946"/>
        <v>077355</v>
      </c>
      <c r="M8516" t="str">
        <f t="shared" si="1947"/>
        <v>25165</v>
      </c>
      <c r="N8516" t="s">
        <v>2860</v>
      </c>
      <c r="O8516" s="1">
        <v>1362.41</v>
      </c>
      <c r="P8516">
        <v>20190710</v>
      </c>
      <c r="Q8516" t="s">
        <v>6521</v>
      </c>
      <c r="R8516" t="s">
        <v>6177</v>
      </c>
      <c r="S8516" t="s">
        <v>6511</v>
      </c>
      <c r="T8516" t="s">
        <v>46</v>
      </c>
    </row>
    <row r="8517" spans="1:20" x14ac:dyDescent="0.25">
      <c r="A8517">
        <v>9</v>
      </c>
      <c r="B8517">
        <v>224</v>
      </c>
      <c r="C8517" t="str">
        <f t="shared" si="1945"/>
        <v>11</v>
      </c>
      <c r="D8517">
        <v>6399</v>
      </c>
      <c r="E8517" t="str">
        <f t="shared" si="1948"/>
        <v>00</v>
      </c>
      <c r="F8517" t="str">
        <f>"104"</f>
        <v>104</v>
      </c>
      <c r="G8517">
        <v>9</v>
      </c>
      <c r="H8517" t="str">
        <f t="shared" si="1943"/>
        <v>23</v>
      </c>
      <c r="I8517" t="str">
        <f t="shared" si="1949"/>
        <v>0</v>
      </c>
      <c r="J8517" t="str">
        <f>"00"</f>
        <v>00</v>
      </c>
      <c r="K8517">
        <v>20190712</v>
      </c>
      <c r="L8517" t="str">
        <f t="shared" si="1946"/>
        <v>077355</v>
      </c>
      <c r="M8517" t="str">
        <f t="shared" si="1947"/>
        <v>25165</v>
      </c>
      <c r="N8517" t="s">
        <v>2860</v>
      </c>
      <c r="O8517" s="1">
        <v>1805.65</v>
      </c>
      <c r="P8517">
        <v>20190710</v>
      </c>
      <c r="Q8517" t="s">
        <v>6521</v>
      </c>
      <c r="R8517" t="s">
        <v>6662</v>
      </c>
      <c r="S8517" t="s">
        <v>6511</v>
      </c>
      <c r="T8517" t="s">
        <v>46</v>
      </c>
    </row>
    <row r="8518" spans="1:20" x14ac:dyDescent="0.25">
      <c r="A8518">
        <v>9</v>
      </c>
      <c r="B8518">
        <v>224</v>
      </c>
      <c r="C8518" t="str">
        <f t="shared" si="1945"/>
        <v>11</v>
      </c>
      <c r="D8518">
        <v>6399</v>
      </c>
      <c r="E8518" t="str">
        <f t="shared" si="1948"/>
        <v>00</v>
      </c>
      <c r="F8518" t="str">
        <f>"104"</f>
        <v>104</v>
      </c>
      <c r="G8518">
        <v>9</v>
      </c>
      <c r="H8518" t="str">
        <f t="shared" si="1943"/>
        <v>23</v>
      </c>
      <c r="I8518" t="str">
        <f t="shared" si="1949"/>
        <v>0</v>
      </c>
      <c r="J8518" t="str">
        <f>"18"</f>
        <v>18</v>
      </c>
      <c r="K8518">
        <v>20190712</v>
      </c>
      <c r="L8518" t="str">
        <f t="shared" si="1946"/>
        <v>077355</v>
      </c>
      <c r="M8518" t="str">
        <f t="shared" si="1947"/>
        <v>25165</v>
      </c>
      <c r="N8518" t="s">
        <v>2860</v>
      </c>
      <c r="O8518" s="1">
        <v>1265.8499999999999</v>
      </c>
      <c r="P8518">
        <v>20190710</v>
      </c>
      <c r="Q8518" t="s">
        <v>6558</v>
      </c>
      <c r="R8518" t="s">
        <v>3546</v>
      </c>
      <c r="S8518" t="s">
        <v>6511</v>
      </c>
      <c r="T8518" t="s">
        <v>46</v>
      </c>
    </row>
    <row r="8519" spans="1:20" x14ac:dyDescent="0.25">
      <c r="A8519">
        <v>9</v>
      </c>
      <c r="B8519">
        <v>224</v>
      </c>
      <c r="C8519" t="str">
        <f>"21"</f>
        <v>21</v>
      </c>
      <c r="D8519">
        <v>6399</v>
      </c>
      <c r="E8519" t="str">
        <f t="shared" si="1948"/>
        <v>00</v>
      </c>
      <c r="F8519" t="str">
        <f>"875"</f>
        <v>875</v>
      </c>
      <c r="G8519">
        <v>9</v>
      </c>
      <c r="H8519" t="str">
        <f t="shared" si="1943"/>
        <v>23</v>
      </c>
      <c r="I8519" t="str">
        <f t="shared" si="1949"/>
        <v>0</v>
      </c>
      <c r="J8519" t="str">
        <f>"18"</f>
        <v>18</v>
      </c>
      <c r="K8519">
        <v>20190712</v>
      </c>
      <c r="L8519" t="str">
        <f t="shared" si="1946"/>
        <v>077355</v>
      </c>
      <c r="M8519" t="str">
        <f t="shared" si="1947"/>
        <v>25165</v>
      </c>
      <c r="N8519" t="s">
        <v>2860</v>
      </c>
      <c r="O8519" s="1">
        <v>3797.55</v>
      </c>
      <c r="P8519">
        <v>20190710</v>
      </c>
      <c r="Q8519" t="s">
        <v>6563</v>
      </c>
      <c r="R8519" t="s">
        <v>3546</v>
      </c>
      <c r="S8519" t="s">
        <v>6511</v>
      </c>
      <c r="T8519" t="s">
        <v>2041</v>
      </c>
    </row>
    <row r="8520" spans="1:20" x14ac:dyDescent="0.25">
      <c r="A8520">
        <v>9</v>
      </c>
      <c r="B8520">
        <v>224</v>
      </c>
      <c r="C8520" t="str">
        <f>"31"</f>
        <v>31</v>
      </c>
      <c r="D8520">
        <v>6399</v>
      </c>
      <c r="E8520" t="str">
        <f t="shared" si="1948"/>
        <v>00</v>
      </c>
      <c r="F8520" t="str">
        <f>"875"</f>
        <v>875</v>
      </c>
      <c r="G8520">
        <v>9</v>
      </c>
      <c r="H8520" t="str">
        <f t="shared" si="1943"/>
        <v>23</v>
      </c>
      <c r="I8520" t="str">
        <f t="shared" si="1949"/>
        <v>0</v>
      </c>
      <c r="J8520" t="str">
        <f>"18"</f>
        <v>18</v>
      </c>
      <c r="K8520">
        <v>20190712</v>
      </c>
      <c r="L8520" t="str">
        <f t="shared" si="1946"/>
        <v>077355</v>
      </c>
      <c r="M8520" t="str">
        <f t="shared" si="1947"/>
        <v>25165</v>
      </c>
      <c r="N8520" t="s">
        <v>2860</v>
      </c>
      <c r="O8520" s="1">
        <v>7595.1</v>
      </c>
      <c r="P8520">
        <v>20190710</v>
      </c>
      <c r="Q8520" t="s">
        <v>6535</v>
      </c>
      <c r="R8520" t="s">
        <v>3546</v>
      </c>
      <c r="S8520" t="s">
        <v>6511</v>
      </c>
      <c r="T8520" t="s">
        <v>2041</v>
      </c>
    </row>
    <row r="8521" spans="1:20" x14ac:dyDescent="0.25">
      <c r="A8521">
        <v>9</v>
      </c>
      <c r="B8521">
        <v>224</v>
      </c>
      <c r="C8521" t="str">
        <f t="shared" ref="C8521:C8528" si="1951">"11"</f>
        <v>11</v>
      </c>
      <c r="D8521">
        <v>6399</v>
      </c>
      <c r="E8521" t="str">
        <f t="shared" si="1948"/>
        <v>00</v>
      </c>
      <c r="F8521" t="str">
        <f>"101"</f>
        <v>101</v>
      </c>
      <c r="G8521">
        <v>9</v>
      </c>
      <c r="H8521" t="str">
        <f t="shared" si="1943"/>
        <v>23</v>
      </c>
      <c r="I8521" t="str">
        <f t="shared" si="1949"/>
        <v>0</v>
      </c>
      <c r="J8521" t="str">
        <f>"00"</f>
        <v>00</v>
      </c>
      <c r="K8521">
        <v>20190712</v>
      </c>
      <c r="L8521" t="str">
        <f>"077364"</f>
        <v>077364</v>
      </c>
      <c r="M8521" t="str">
        <f>"30622"</f>
        <v>30622</v>
      </c>
      <c r="N8521" t="s">
        <v>6478</v>
      </c>
      <c r="O8521">
        <v>622.41999999999996</v>
      </c>
      <c r="P8521">
        <v>20190710</v>
      </c>
      <c r="Q8521" t="s">
        <v>6562</v>
      </c>
      <c r="R8521" t="s">
        <v>6479</v>
      </c>
      <c r="S8521" t="s">
        <v>6511</v>
      </c>
      <c r="T8521" t="s">
        <v>1479</v>
      </c>
    </row>
    <row r="8522" spans="1:20" x14ac:dyDescent="0.25">
      <c r="A8522">
        <v>9</v>
      </c>
      <c r="B8522">
        <v>224</v>
      </c>
      <c r="C8522" t="str">
        <f t="shared" si="1951"/>
        <v>11</v>
      </c>
      <c r="D8522">
        <v>6399</v>
      </c>
      <c r="E8522" t="str">
        <f t="shared" si="1948"/>
        <v>00</v>
      </c>
      <c r="F8522" t="str">
        <f>"101"</f>
        <v>101</v>
      </c>
      <c r="G8522">
        <v>9</v>
      </c>
      <c r="H8522" t="str">
        <f t="shared" si="1943"/>
        <v>23</v>
      </c>
      <c r="I8522" t="str">
        <f t="shared" si="1949"/>
        <v>0</v>
      </c>
      <c r="J8522" t="str">
        <f>"18"</f>
        <v>18</v>
      </c>
      <c r="K8522">
        <v>20190712</v>
      </c>
      <c r="L8522" t="str">
        <f>"077364"</f>
        <v>077364</v>
      </c>
      <c r="M8522" t="str">
        <f>"30622"</f>
        <v>30622</v>
      </c>
      <c r="N8522" t="s">
        <v>6478</v>
      </c>
      <c r="O8522" s="1">
        <v>2897.56</v>
      </c>
      <c r="P8522">
        <v>20190710</v>
      </c>
      <c r="Q8522" t="s">
        <v>6557</v>
      </c>
      <c r="R8522" t="s">
        <v>6479</v>
      </c>
      <c r="S8522" t="s">
        <v>6511</v>
      </c>
      <c r="T8522" t="s">
        <v>1479</v>
      </c>
    </row>
    <row r="8523" spans="1:20" x14ac:dyDescent="0.25">
      <c r="A8523">
        <v>9</v>
      </c>
      <c r="B8523">
        <v>224</v>
      </c>
      <c r="C8523" t="str">
        <f t="shared" si="1951"/>
        <v>11</v>
      </c>
      <c r="D8523">
        <v>6399</v>
      </c>
      <c r="E8523" t="str">
        <f t="shared" si="1948"/>
        <v>00</v>
      </c>
      <c r="F8523" t="str">
        <f>"001"</f>
        <v>001</v>
      </c>
      <c r="G8523">
        <v>9</v>
      </c>
      <c r="H8523" t="str">
        <f t="shared" si="1943"/>
        <v>23</v>
      </c>
      <c r="I8523" t="str">
        <f t="shared" si="1949"/>
        <v>0</v>
      </c>
      <c r="J8523" t="str">
        <f>"18"</f>
        <v>18</v>
      </c>
      <c r="K8523">
        <v>20190712</v>
      </c>
      <c r="L8523" t="str">
        <f>"077396"</f>
        <v>077396</v>
      </c>
      <c r="M8523" t="str">
        <f>"00845"</f>
        <v>00845</v>
      </c>
      <c r="N8523" t="s">
        <v>6663</v>
      </c>
      <c r="O8523">
        <v>199.11</v>
      </c>
      <c r="P8523">
        <v>20190710</v>
      </c>
      <c r="Q8523" t="s">
        <v>6554</v>
      </c>
      <c r="R8523" t="s">
        <v>2793</v>
      </c>
      <c r="S8523" t="s">
        <v>6511</v>
      </c>
      <c r="T8523" t="s">
        <v>301</v>
      </c>
    </row>
    <row r="8524" spans="1:20" x14ac:dyDescent="0.25">
      <c r="A8524">
        <v>9</v>
      </c>
      <c r="B8524">
        <v>224</v>
      </c>
      <c r="C8524" t="str">
        <f t="shared" si="1951"/>
        <v>11</v>
      </c>
      <c r="D8524">
        <v>6399</v>
      </c>
      <c r="E8524" t="str">
        <f t="shared" si="1948"/>
        <v>00</v>
      </c>
      <c r="F8524" t="str">
        <f>"041"</f>
        <v>041</v>
      </c>
      <c r="G8524">
        <v>9</v>
      </c>
      <c r="H8524" t="str">
        <f t="shared" si="1943"/>
        <v>23</v>
      </c>
      <c r="I8524" t="str">
        <f t="shared" si="1949"/>
        <v>0</v>
      </c>
      <c r="J8524" t="str">
        <f>"18"</f>
        <v>18</v>
      </c>
      <c r="K8524">
        <v>20190712</v>
      </c>
      <c r="L8524" t="str">
        <f>"077396"</f>
        <v>077396</v>
      </c>
      <c r="M8524" t="str">
        <f>"00845"</f>
        <v>00845</v>
      </c>
      <c r="N8524" t="s">
        <v>6663</v>
      </c>
      <c r="O8524">
        <v>199.11</v>
      </c>
      <c r="P8524">
        <v>20190710</v>
      </c>
      <c r="Q8524" t="s">
        <v>6556</v>
      </c>
      <c r="R8524" t="s">
        <v>2793</v>
      </c>
      <c r="S8524" t="s">
        <v>6511</v>
      </c>
      <c r="T8524" t="s">
        <v>106</v>
      </c>
    </row>
    <row r="8525" spans="1:20" x14ac:dyDescent="0.25">
      <c r="A8525">
        <v>9</v>
      </c>
      <c r="B8525">
        <v>224</v>
      </c>
      <c r="C8525" t="str">
        <f t="shared" si="1951"/>
        <v>11</v>
      </c>
      <c r="D8525">
        <v>6399</v>
      </c>
      <c r="E8525" t="str">
        <f t="shared" si="1948"/>
        <v>00</v>
      </c>
      <c r="F8525" t="str">
        <f>"101"</f>
        <v>101</v>
      </c>
      <c r="G8525">
        <v>9</v>
      </c>
      <c r="H8525" t="str">
        <f t="shared" si="1943"/>
        <v>23</v>
      </c>
      <c r="I8525" t="str">
        <f t="shared" si="1949"/>
        <v>0</v>
      </c>
      <c r="J8525" t="str">
        <f>"00"</f>
        <v>00</v>
      </c>
      <c r="K8525">
        <v>20190712</v>
      </c>
      <c r="L8525" t="str">
        <f>"077396"</f>
        <v>077396</v>
      </c>
      <c r="M8525" t="str">
        <f>"00845"</f>
        <v>00845</v>
      </c>
      <c r="N8525" t="s">
        <v>6663</v>
      </c>
      <c r="O8525">
        <v>199.11</v>
      </c>
      <c r="P8525">
        <v>20190710</v>
      </c>
      <c r="Q8525" t="s">
        <v>6562</v>
      </c>
      <c r="R8525" t="s">
        <v>2793</v>
      </c>
      <c r="S8525" t="s">
        <v>6511</v>
      </c>
      <c r="T8525" t="s">
        <v>1479</v>
      </c>
    </row>
    <row r="8526" spans="1:20" x14ac:dyDescent="0.25">
      <c r="A8526">
        <v>9</v>
      </c>
      <c r="B8526">
        <v>224</v>
      </c>
      <c r="C8526" t="str">
        <f t="shared" si="1951"/>
        <v>11</v>
      </c>
      <c r="D8526">
        <v>6399</v>
      </c>
      <c r="E8526" t="str">
        <f t="shared" si="1948"/>
        <v>00</v>
      </c>
      <c r="F8526" t="str">
        <f>"104"</f>
        <v>104</v>
      </c>
      <c r="G8526">
        <v>9</v>
      </c>
      <c r="H8526" t="str">
        <f t="shared" si="1943"/>
        <v>23</v>
      </c>
      <c r="I8526" t="str">
        <f t="shared" si="1949"/>
        <v>0</v>
      </c>
      <c r="J8526" t="str">
        <f t="shared" ref="J8526:J8531" si="1952">"18"</f>
        <v>18</v>
      </c>
      <c r="K8526">
        <v>20190712</v>
      </c>
      <c r="L8526" t="str">
        <f>"077396"</f>
        <v>077396</v>
      </c>
      <c r="M8526" t="str">
        <f>"00845"</f>
        <v>00845</v>
      </c>
      <c r="N8526" t="s">
        <v>6663</v>
      </c>
      <c r="O8526">
        <v>199.12</v>
      </c>
      <c r="P8526">
        <v>20190710</v>
      </c>
      <c r="Q8526" t="s">
        <v>6558</v>
      </c>
      <c r="R8526" t="s">
        <v>2793</v>
      </c>
      <c r="S8526" t="s">
        <v>6511</v>
      </c>
      <c r="T8526" t="s">
        <v>46</v>
      </c>
    </row>
    <row r="8527" spans="1:20" x14ac:dyDescent="0.25">
      <c r="A8527">
        <v>9</v>
      </c>
      <c r="B8527">
        <v>224</v>
      </c>
      <c r="C8527" t="str">
        <f t="shared" si="1951"/>
        <v>11</v>
      </c>
      <c r="D8527">
        <v>6399</v>
      </c>
      <c r="E8527" t="str">
        <f t="shared" si="1948"/>
        <v>00</v>
      </c>
      <c r="F8527" t="str">
        <f>"101"</f>
        <v>101</v>
      </c>
      <c r="G8527">
        <v>9</v>
      </c>
      <c r="H8527" t="str">
        <f t="shared" si="1943"/>
        <v>23</v>
      </c>
      <c r="I8527" t="str">
        <f t="shared" si="1949"/>
        <v>0</v>
      </c>
      <c r="J8527" t="str">
        <f t="shared" si="1952"/>
        <v>18</v>
      </c>
      <c r="K8527">
        <v>20190712</v>
      </c>
      <c r="L8527" t="str">
        <f>"077401"</f>
        <v>077401</v>
      </c>
      <c r="M8527" t="str">
        <f>"56564"</f>
        <v>56564</v>
      </c>
      <c r="N8527" t="s">
        <v>4765</v>
      </c>
      <c r="O8527">
        <v>148.13999999999999</v>
      </c>
      <c r="P8527">
        <v>20190710</v>
      </c>
      <c r="Q8527" t="s">
        <v>6557</v>
      </c>
      <c r="R8527" t="s">
        <v>2793</v>
      </c>
      <c r="S8527" t="s">
        <v>6511</v>
      </c>
      <c r="T8527" t="s">
        <v>1479</v>
      </c>
    </row>
    <row r="8528" spans="1:20" x14ac:dyDescent="0.25">
      <c r="A8528">
        <v>9</v>
      </c>
      <c r="B8528">
        <v>224</v>
      </c>
      <c r="C8528" t="str">
        <f t="shared" si="1951"/>
        <v>11</v>
      </c>
      <c r="D8528">
        <v>6399</v>
      </c>
      <c r="E8528" t="str">
        <f t="shared" si="1948"/>
        <v>00</v>
      </c>
      <c r="F8528" t="str">
        <f>"104"</f>
        <v>104</v>
      </c>
      <c r="G8528">
        <v>9</v>
      </c>
      <c r="H8528" t="str">
        <f t="shared" si="1943"/>
        <v>23</v>
      </c>
      <c r="I8528" t="str">
        <f t="shared" si="1949"/>
        <v>0</v>
      </c>
      <c r="J8528" t="str">
        <f t="shared" si="1952"/>
        <v>18</v>
      </c>
      <c r="K8528">
        <v>20190712</v>
      </c>
      <c r="L8528" t="str">
        <f>"077420"</f>
        <v>077420</v>
      </c>
      <c r="M8528" t="str">
        <f>"74117"</f>
        <v>74117</v>
      </c>
      <c r="N8528" t="s">
        <v>6560</v>
      </c>
      <c r="O8528">
        <v>324.3</v>
      </c>
      <c r="P8528">
        <v>20190711</v>
      </c>
      <c r="Q8528" t="s">
        <v>6558</v>
      </c>
      <c r="R8528" t="s">
        <v>2793</v>
      </c>
      <c r="S8528" t="s">
        <v>6511</v>
      </c>
      <c r="T8528" t="s">
        <v>46</v>
      </c>
    </row>
    <row r="8529" spans="1:20" x14ac:dyDescent="0.25">
      <c r="A8529">
        <v>9</v>
      </c>
      <c r="B8529">
        <v>224</v>
      </c>
      <c r="C8529" t="str">
        <f>"21"</f>
        <v>21</v>
      </c>
      <c r="D8529">
        <v>6399</v>
      </c>
      <c r="E8529" t="str">
        <f t="shared" si="1948"/>
        <v>00</v>
      </c>
      <c r="F8529" t="str">
        <f>"875"</f>
        <v>875</v>
      </c>
      <c r="G8529">
        <v>9</v>
      </c>
      <c r="H8529" t="str">
        <f t="shared" si="1943"/>
        <v>23</v>
      </c>
      <c r="I8529" t="str">
        <f t="shared" si="1949"/>
        <v>0</v>
      </c>
      <c r="J8529" t="str">
        <f t="shared" si="1952"/>
        <v>18</v>
      </c>
      <c r="K8529">
        <v>20190712</v>
      </c>
      <c r="L8529" t="str">
        <f>"077425"</f>
        <v>077425</v>
      </c>
      <c r="M8529" t="str">
        <f>"81303"</f>
        <v>81303</v>
      </c>
      <c r="N8529" t="s">
        <v>66</v>
      </c>
      <c r="O8529">
        <v>20.5</v>
      </c>
      <c r="P8529">
        <v>20190711</v>
      </c>
      <c r="Q8529" t="s">
        <v>6563</v>
      </c>
      <c r="R8529" t="s">
        <v>6664</v>
      </c>
      <c r="S8529" t="s">
        <v>6511</v>
      </c>
      <c r="T8529" t="s">
        <v>2041</v>
      </c>
    </row>
    <row r="8530" spans="1:20" x14ac:dyDescent="0.25">
      <c r="A8530">
        <v>9</v>
      </c>
      <c r="B8530">
        <v>224</v>
      </c>
      <c r="C8530" t="str">
        <f>"11"</f>
        <v>11</v>
      </c>
      <c r="D8530">
        <v>6399</v>
      </c>
      <c r="E8530" t="str">
        <f t="shared" si="1948"/>
        <v>00</v>
      </c>
      <c r="F8530" t="str">
        <f>"101"</f>
        <v>101</v>
      </c>
      <c r="G8530">
        <v>9</v>
      </c>
      <c r="H8530" t="str">
        <f t="shared" si="1943"/>
        <v>23</v>
      </c>
      <c r="I8530" t="str">
        <f t="shared" si="1949"/>
        <v>0</v>
      </c>
      <c r="J8530" t="str">
        <f t="shared" si="1952"/>
        <v>18</v>
      </c>
      <c r="K8530">
        <v>20190712</v>
      </c>
      <c r="L8530" t="str">
        <f>"077429"</f>
        <v>077429</v>
      </c>
      <c r="M8530" t="str">
        <f>"84080"</f>
        <v>84080</v>
      </c>
      <c r="N8530" t="s">
        <v>6537</v>
      </c>
      <c r="O8530">
        <v>110</v>
      </c>
      <c r="P8530">
        <v>20190711</v>
      </c>
      <c r="Q8530" t="s">
        <v>6557</v>
      </c>
      <c r="R8530" t="s">
        <v>6665</v>
      </c>
      <c r="S8530" t="s">
        <v>6511</v>
      </c>
      <c r="T8530" t="s">
        <v>1479</v>
      </c>
    </row>
    <row r="8531" spans="1:20" x14ac:dyDescent="0.25">
      <c r="A8531">
        <v>9</v>
      </c>
      <c r="B8531">
        <v>224</v>
      </c>
      <c r="C8531" t="str">
        <f>"11"</f>
        <v>11</v>
      </c>
      <c r="D8531">
        <v>6399</v>
      </c>
      <c r="E8531" t="str">
        <f t="shared" si="1948"/>
        <v>00</v>
      </c>
      <c r="F8531" t="str">
        <f>"101"</f>
        <v>101</v>
      </c>
      <c r="G8531">
        <v>9</v>
      </c>
      <c r="H8531" t="str">
        <f t="shared" si="1943"/>
        <v>23</v>
      </c>
      <c r="I8531" t="str">
        <f t="shared" si="1949"/>
        <v>0</v>
      </c>
      <c r="J8531" t="str">
        <f t="shared" si="1952"/>
        <v>18</v>
      </c>
      <c r="K8531">
        <v>20190712</v>
      </c>
      <c r="L8531" t="str">
        <f>"077429"</f>
        <v>077429</v>
      </c>
      <c r="M8531" t="str">
        <f>"84080"</f>
        <v>84080</v>
      </c>
      <c r="N8531" t="s">
        <v>6537</v>
      </c>
      <c r="O8531">
        <v>502.7</v>
      </c>
      <c r="P8531">
        <v>20190711</v>
      </c>
      <c r="Q8531" t="s">
        <v>6557</v>
      </c>
      <c r="R8531" t="s">
        <v>6666</v>
      </c>
      <c r="S8531" t="s">
        <v>6511</v>
      </c>
      <c r="T8531" t="s">
        <v>1479</v>
      </c>
    </row>
    <row r="8532" spans="1:20" x14ac:dyDescent="0.25">
      <c r="A8532">
        <v>9</v>
      </c>
      <c r="B8532">
        <v>224</v>
      </c>
      <c r="C8532" t="str">
        <f>"31"</f>
        <v>31</v>
      </c>
      <c r="D8532">
        <v>6219</v>
      </c>
      <c r="E8532" t="str">
        <f t="shared" si="1948"/>
        <v>00</v>
      </c>
      <c r="F8532" t="str">
        <f>"875"</f>
        <v>875</v>
      </c>
      <c r="G8532">
        <v>9</v>
      </c>
      <c r="H8532" t="str">
        <f t="shared" si="1943"/>
        <v>23</v>
      </c>
      <c r="I8532" t="str">
        <f t="shared" si="1949"/>
        <v>0</v>
      </c>
      <c r="J8532" t="str">
        <f t="shared" ref="J8532:J8537" si="1953">"00"</f>
        <v>00</v>
      </c>
      <c r="K8532">
        <v>20190719</v>
      </c>
      <c r="L8532" t="str">
        <f>"077440"</f>
        <v>077440</v>
      </c>
      <c r="M8532" t="str">
        <f>"00096"</f>
        <v>00096</v>
      </c>
      <c r="N8532" t="s">
        <v>4470</v>
      </c>
      <c r="O8532" s="1">
        <v>2700</v>
      </c>
      <c r="P8532">
        <v>20190717</v>
      </c>
      <c r="Q8532" t="s">
        <v>6513</v>
      </c>
      <c r="R8532" t="s">
        <v>6667</v>
      </c>
      <c r="S8532" t="s">
        <v>6511</v>
      </c>
      <c r="T8532" t="s">
        <v>2041</v>
      </c>
    </row>
    <row r="8533" spans="1:20" x14ac:dyDescent="0.25">
      <c r="A8533">
        <v>9</v>
      </c>
      <c r="B8533">
        <v>224</v>
      </c>
      <c r="C8533" t="str">
        <f>"31"</f>
        <v>31</v>
      </c>
      <c r="D8533">
        <v>6219</v>
      </c>
      <c r="E8533" t="str">
        <f t="shared" si="1948"/>
        <v>00</v>
      </c>
      <c r="F8533" t="str">
        <f>"875"</f>
        <v>875</v>
      </c>
      <c r="G8533">
        <v>9</v>
      </c>
      <c r="H8533" t="str">
        <f t="shared" si="1943"/>
        <v>23</v>
      </c>
      <c r="I8533" t="str">
        <f t="shared" si="1949"/>
        <v>0</v>
      </c>
      <c r="J8533" t="str">
        <f t="shared" si="1953"/>
        <v>00</v>
      </c>
      <c r="K8533">
        <v>20190719</v>
      </c>
      <c r="L8533" t="str">
        <f>"077447"</f>
        <v>077447</v>
      </c>
      <c r="M8533" t="str">
        <f>"27900"</f>
        <v>27900</v>
      </c>
      <c r="N8533" t="s">
        <v>1490</v>
      </c>
      <c r="O8533">
        <v>995</v>
      </c>
      <c r="P8533">
        <v>20190717</v>
      </c>
      <c r="Q8533" t="s">
        <v>6513</v>
      </c>
      <c r="R8533" t="s">
        <v>6668</v>
      </c>
      <c r="S8533" t="s">
        <v>6511</v>
      </c>
      <c r="T8533" t="s">
        <v>2041</v>
      </c>
    </row>
    <row r="8534" spans="1:20" x14ac:dyDescent="0.25">
      <c r="A8534">
        <v>9</v>
      </c>
      <c r="B8534">
        <v>224</v>
      </c>
      <c r="C8534" t="str">
        <f t="shared" ref="C8534:C8540" si="1954">"11"</f>
        <v>11</v>
      </c>
      <c r="D8534">
        <v>6399</v>
      </c>
      <c r="E8534" t="str">
        <f t="shared" si="1948"/>
        <v>00</v>
      </c>
      <c r="F8534" t="str">
        <f>"001"</f>
        <v>001</v>
      </c>
      <c r="G8534">
        <v>9</v>
      </c>
      <c r="H8534" t="str">
        <f t="shared" si="1943"/>
        <v>23</v>
      </c>
      <c r="I8534" t="str">
        <f t="shared" si="1949"/>
        <v>0</v>
      </c>
      <c r="J8534" t="str">
        <f t="shared" si="1953"/>
        <v>00</v>
      </c>
      <c r="K8534">
        <v>20190719</v>
      </c>
      <c r="L8534" t="str">
        <f>"077455"</f>
        <v>077455</v>
      </c>
      <c r="M8534" t="str">
        <f>"00050"</f>
        <v>00050</v>
      </c>
      <c r="N8534" t="s">
        <v>4636</v>
      </c>
      <c r="O8534" s="1">
        <v>3927</v>
      </c>
      <c r="P8534">
        <v>20190718</v>
      </c>
      <c r="Q8534" t="s">
        <v>6518</v>
      </c>
      <c r="R8534" t="s">
        <v>5822</v>
      </c>
      <c r="S8534" t="s">
        <v>6511</v>
      </c>
      <c r="T8534" t="s">
        <v>301</v>
      </c>
    </row>
    <row r="8535" spans="1:20" x14ac:dyDescent="0.25">
      <c r="A8535">
        <v>9</v>
      </c>
      <c r="B8535">
        <v>224</v>
      </c>
      <c r="C8535" t="str">
        <f t="shared" si="1954"/>
        <v>11</v>
      </c>
      <c r="D8535">
        <v>6399</v>
      </c>
      <c r="E8535" t="str">
        <f t="shared" si="1948"/>
        <v>00</v>
      </c>
      <c r="F8535" t="str">
        <f>"041"</f>
        <v>041</v>
      </c>
      <c r="G8535">
        <v>9</v>
      </c>
      <c r="H8535" t="str">
        <f t="shared" si="1943"/>
        <v>23</v>
      </c>
      <c r="I8535" t="str">
        <f t="shared" si="1949"/>
        <v>0</v>
      </c>
      <c r="J8535" t="str">
        <f t="shared" si="1953"/>
        <v>00</v>
      </c>
      <c r="K8535">
        <v>20190719</v>
      </c>
      <c r="L8535" t="str">
        <f>"077455"</f>
        <v>077455</v>
      </c>
      <c r="M8535" t="str">
        <f>"00050"</f>
        <v>00050</v>
      </c>
      <c r="N8535" t="s">
        <v>4636</v>
      </c>
      <c r="O8535" s="1">
        <v>3057</v>
      </c>
      <c r="P8535">
        <v>20190718</v>
      </c>
      <c r="Q8535" t="s">
        <v>6520</v>
      </c>
      <c r="R8535" t="s">
        <v>6669</v>
      </c>
      <c r="S8535" t="s">
        <v>6511</v>
      </c>
      <c r="T8535" t="s">
        <v>106</v>
      </c>
    </row>
    <row r="8536" spans="1:20" x14ac:dyDescent="0.25">
      <c r="A8536">
        <v>9</v>
      </c>
      <c r="B8536">
        <v>224</v>
      </c>
      <c r="C8536" t="str">
        <f t="shared" si="1954"/>
        <v>11</v>
      </c>
      <c r="D8536">
        <v>6399</v>
      </c>
      <c r="E8536" t="str">
        <f t="shared" ref="E8536:E8542" si="1955">"00"</f>
        <v>00</v>
      </c>
      <c r="F8536" t="str">
        <f>"101"</f>
        <v>101</v>
      </c>
      <c r="G8536">
        <v>9</v>
      </c>
      <c r="H8536" t="str">
        <f t="shared" si="1943"/>
        <v>23</v>
      </c>
      <c r="I8536" t="str">
        <f t="shared" si="1949"/>
        <v>0</v>
      </c>
      <c r="J8536" t="str">
        <f t="shared" si="1953"/>
        <v>00</v>
      </c>
      <c r="K8536">
        <v>20190719</v>
      </c>
      <c r="L8536" t="str">
        <f>"077455"</f>
        <v>077455</v>
      </c>
      <c r="M8536" t="str">
        <f>"00050"</f>
        <v>00050</v>
      </c>
      <c r="N8536" t="s">
        <v>4636</v>
      </c>
      <c r="O8536" s="1">
        <v>4362</v>
      </c>
      <c r="P8536">
        <v>20190718</v>
      </c>
      <c r="Q8536" t="s">
        <v>6562</v>
      </c>
      <c r="R8536" t="s">
        <v>5822</v>
      </c>
      <c r="S8536" t="s">
        <v>6511</v>
      </c>
      <c r="T8536" t="s">
        <v>1479</v>
      </c>
    </row>
    <row r="8537" spans="1:20" x14ac:dyDescent="0.25">
      <c r="A8537">
        <v>9</v>
      </c>
      <c r="B8537">
        <v>224</v>
      </c>
      <c r="C8537" t="str">
        <f t="shared" si="1954"/>
        <v>11</v>
      </c>
      <c r="D8537">
        <v>6399</v>
      </c>
      <c r="E8537" t="str">
        <f t="shared" si="1955"/>
        <v>00</v>
      </c>
      <c r="F8537" t="str">
        <f>"104"</f>
        <v>104</v>
      </c>
      <c r="G8537">
        <v>9</v>
      </c>
      <c r="H8537" t="str">
        <f t="shared" si="1943"/>
        <v>23</v>
      </c>
      <c r="I8537" t="str">
        <f t="shared" si="1949"/>
        <v>0</v>
      </c>
      <c r="J8537" t="str">
        <f t="shared" si="1953"/>
        <v>00</v>
      </c>
      <c r="K8537">
        <v>20190719</v>
      </c>
      <c r="L8537" t="str">
        <f>"077455"</f>
        <v>077455</v>
      </c>
      <c r="M8537" t="str">
        <f>"00050"</f>
        <v>00050</v>
      </c>
      <c r="N8537" t="s">
        <v>4636</v>
      </c>
      <c r="O8537" s="1">
        <v>5232</v>
      </c>
      <c r="P8537">
        <v>20190718</v>
      </c>
      <c r="Q8537" t="s">
        <v>6521</v>
      </c>
      <c r="R8537" t="s">
        <v>5822</v>
      </c>
      <c r="S8537" t="s">
        <v>6511</v>
      </c>
      <c r="T8537" t="s">
        <v>46</v>
      </c>
    </row>
    <row r="8538" spans="1:20" x14ac:dyDescent="0.25">
      <c r="A8538">
        <v>9</v>
      </c>
      <c r="B8538">
        <v>224</v>
      </c>
      <c r="C8538" t="str">
        <f t="shared" si="1954"/>
        <v>11</v>
      </c>
      <c r="D8538">
        <v>6399</v>
      </c>
      <c r="E8538" t="str">
        <f t="shared" si="1955"/>
        <v>00</v>
      </c>
      <c r="F8538" t="str">
        <f>"001"</f>
        <v>001</v>
      </c>
      <c r="G8538">
        <v>9</v>
      </c>
      <c r="H8538" t="str">
        <f t="shared" si="1943"/>
        <v>23</v>
      </c>
      <c r="I8538" t="str">
        <f t="shared" si="1949"/>
        <v>0</v>
      </c>
      <c r="J8538" t="str">
        <f t="shared" ref="J8538:J8578" si="1956">"19"</f>
        <v>19</v>
      </c>
      <c r="K8538">
        <v>20190719</v>
      </c>
      <c r="L8538" t="str">
        <f>"077470"</f>
        <v>077470</v>
      </c>
      <c r="M8538" t="str">
        <f>"65106"</f>
        <v>65106</v>
      </c>
      <c r="N8538" t="s">
        <v>1175</v>
      </c>
      <c r="O8538">
        <v>239.74</v>
      </c>
      <c r="P8538">
        <v>20190718</v>
      </c>
      <c r="Q8538" t="s">
        <v>6670</v>
      </c>
      <c r="R8538" t="s">
        <v>6671</v>
      </c>
      <c r="S8538" t="s">
        <v>6511</v>
      </c>
      <c r="T8538" t="s">
        <v>301</v>
      </c>
    </row>
    <row r="8539" spans="1:20" x14ac:dyDescent="0.25">
      <c r="A8539">
        <v>9</v>
      </c>
      <c r="B8539">
        <v>224</v>
      </c>
      <c r="C8539" t="str">
        <f t="shared" si="1954"/>
        <v>11</v>
      </c>
      <c r="D8539">
        <v>6399</v>
      </c>
      <c r="E8539" t="str">
        <f t="shared" si="1955"/>
        <v>00</v>
      </c>
      <c r="F8539" t="str">
        <f>"001"</f>
        <v>001</v>
      </c>
      <c r="G8539">
        <v>9</v>
      </c>
      <c r="H8539" t="str">
        <f t="shared" si="1943"/>
        <v>23</v>
      </c>
      <c r="I8539" t="str">
        <f t="shared" si="1949"/>
        <v>0</v>
      </c>
      <c r="J8539" t="str">
        <f t="shared" si="1956"/>
        <v>19</v>
      </c>
      <c r="K8539">
        <v>20190726</v>
      </c>
      <c r="L8539" t="str">
        <f>"077482"</f>
        <v>077482</v>
      </c>
      <c r="M8539" t="str">
        <f>"09170"</f>
        <v>09170</v>
      </c>
      <c r="N8539" t="s">
        <v>679</v>
      </c>
      <c r="O8539">
        <v>100</v>
      </c>
      <c r="P8539">
        <v>20190724</v>
      </c>
      <c r="Q8539" t="s">
        <v>6670</v>
      </c>
      <c r="R8539" t="s">
        <v>6672</v>
      </c>
      <c r="S8539" t="s">
        <v>6511</v>
      </c>
      <c r="T8539" t="s">
        <v>301</v>
      </c>
    </row>
    <row r="8540" spans="1:20" x14ac:dyDescent="0.25">
      <c r="A8540">
        <v>9</v>
      </c>
      <c r="B8540">
        <v>224</v>
      </c>
      <c r="C8540" t="str">
        <f t="shared" si="1954"/>
        <v>11</v>
      </c>
      <c r="D8540">
        <v>6399</v>
      </c>
      <c r="E8540" t="str">
        <f t="shared" si="1955"/>
        <v>00</v>
      </c>
      <c r="F8540" t="str">
        <f>"001"</f>
        <v>001</v>
      </c>
      <c r="G8540">
        <v>9</v>
      </c>
      <c r="H8540" t="str">
        <f t="shared" si="1943"/>
        <v>23</v>
      </c>
      <c r="I8540" t="str">
        <f t="shared" si="1949"/>
        <v>0</v>
      </c>
      <c r="J8540" t="str">
        <f t="shared" si="1956"/>
        <v>19</v>
      </c>
      <c r="K8540">
        <v>20190726</v>
      </c>
      <c r="L8540" t="str">
        <f>"077500"</f>
        <v>077500</v>
      </c>
      <c r="M8540" t="str">
        <f>"43551"</f>
        <v>43551</v>
      </c>
      <c r="N8540" t="s">
        <v>6673</v>
      </c>
      <c r="O8540">
        <v>203.06</v>
      </c>
      <c r="P8540">
        <v>20190725</v>
      </c>
      <c r="Q8540" t="s">
        <v>6670</v>
      </c>
      <c r="R8540" t="s">
        <v>2793</v>
      </c>
      <c r="S8540" t="s">
        <v>6511</v>
      </c>
      <c r="T8540" t="s">
        <v>301</v>
      </c>
    </row>
    <row r="8541" spans="1:20" x14ac:dyDescent="0.25">
      <c r="A8541">
        <v>9</v>
      </c>
      <c r="B8541">
        <v>224</v>
      </c>
      <c r="C8541" t="str">
        <f>"21"</f>
        <v>21</v>
      </c>
      <c r="D8541">
        <v>6411</v>
      </c>
      <c r="E8541" t="str">
        <f t="shared" si="1955"/>
        <v>00</v>
      </c>
      <c r="F8541" t="str">
        <f>"875"</f>
        <v>875</v>
      </c>
      <c r="G8541">
        <v>9</v>
      </c>
      <c r="H8541" t="str">
        <f t="shared" si="1943"/>
        <v>23</v>
      </c>
      <c r="I8541" t="str">
        <f t="shared" si="1949"/>
        <v>0</v>
      </c>
      <c r="J8541" t="str">
        <f t="shared" si="1956"/>
        <v>19</v>
      </c>
      <c r="K8541">
        <v>20190802</v>
      </c>
      <c r="L8541" t="str">
        <f>"077539"</f>
        <v>077539</v>
      </c>
      <c r="M8541" t="str">
        <f>"27890"</f>
        <v>27890</v>
      </c>
      <c r="N8541" t="s">
        <v>1490</v>
      </c>
      <c r="O8541">
        <v>75</v>
      </c>
      <c r="P8541">
        <v>20190801</v>
      </c>
      <c r="Q8541" t="s">
        <v>6674</v>
      </c>
      <c r="R8541" t="s">
        <v>6644</v>
      </c>
      <c r="S8541" t="s">
        <v>6511</v>
      </c>
      <c r="T8541" t="s">
        <v>2041</v>
      </c>
    </row>
    <row r="8542" spans="1:20" x14ac:dyDescent="0.25">
      <c r="A8542">
        <v>9</v>
      </c>
      <c r="B8542">
        <v>224</v>
      </c>
      <c r="C8542" t="str">
        <f>"11"</f>
        <v>11</v>
      </c>
      <c r="D8542">
        <v>6399</v>
      </c>
      <c r="E8542" t="str">
        <f t="shared" si="1955"/>
        <v>00</v>
      </c>
      <c r="F8542" t="str">
        <f>"101"</f>
        <v>101</v>
      </c>
      <c r="G8542">
        <v>9</v>
      </c>
      <c r="H8542" t="str">
        <f t="shared" si="1943"/>
        <v>23</v>
      </c>
      <c r="I8542" t="str">
        <f t="shared" si="1949"/>
        <v>0</v>
      </c>
      <c r="J8542" t="str">
        <f t="shared" si="1956"/>
        <v>19</v>
      </c>
      <c r="K8542">
        <v>20190809</v>
      </c>
      <c r="L8542" t="str">
        <f>"077568"</f>
        <v>077568</v>
      </c>
      <c r="M8542" t="str">
        <f>"04410"</f>
        <v>04410</v>
      </c>
      <c r="N8542" t="s">
        <v>410</v>
      </c>
      <c r="O8542">
        <v>101.12</v>
      </c>
      <c r="P8542">
        <v>20190806</v>
      </c>
      <c r="Q8542" t="s">
        <v>6675</v>
      </c>
      <c r="R8542" t="s">
        <v>6676</v>
      </c>
      <c r="S8542" t="s">
        <v>6511</v>
      </c>
      <c r="T8542" t="s">
        <v>1479</v>
      </c>
    </row>
    <row r="8543" spans="1:20" x14ac:dyDescent="0.25">
      <c r="A8543">
        <v>9</v>
      </c>
      <c r="B8543">
        <v>224</v>
      </c>
      <c r="C8543" t="str">
        <f>"11"</f>
        <v>11</v>
      </c>
      <c r="D8543">
        <v>6299</v>
      </c>
      <c r="E8543" t="str">
        <f>"10"</f>
        <v>10</v>
      </c>
      <c r="F8543" t="str">
        <f>"001"</f>
        <v>001</v>
      </c>
      <c r="G8543">
        <v>9</v>
      </c>
      <c r="H8543" t="str">
        <f t="shared" si="1943"/>
        <v>23</v>
      </c>
      <c r="I8543" t="str">
        <f t="shared" si="1949"/>
        <v>0</v>
      </c>
      <c r="J8543" t="str">
        <f t="shared" si="1956"/>
        <v>19</v>
      </c>
      <c r="K8543">
        <v>20190809</v>
      </c>
      <c r="L8543" t="str">
        <f>"077570"</f>
        <v>077570</v>
      </c>
      <c r="M8543" t="str">
        <f>"00381"</f>
        <v>00381</v>
      </c>
      <c r="N8543" t="s">
        <v>6018</v>
      </c>
      <c r="O8543">
        <v>62.28</v>
      </c>
      <c r="P8543">
        <v>20190807</v>
      </c>
      <c r="Q8543" t="s">
        <v>6677</v>
      </c>
      <c r="R8543" t="s">
        <v>6019</v>
      </c>
      <c r="S8543" t="s">
        <v>6511</v>
      </c>
      <c r="T8543" t="s">
        <v>301</v>
      </c>
    </row>
    <row r="8544" spans="1:20" x14ac:dyDescent="0.25">
      <c r="A8544">
        <v>9</v>
      </c>
      <c r="B8544">
        <v>224</v>
      </c>
      <c r="C8544" t="str">
        <f>"11"</f>
        <v>11</v>
      </c>
      <c r="D8544">
        <v>6299</v>
      </c>
      <c r="E8544" t="str">
        <f>"10"</f>
        <v>10</v>
      </c>
      <c r="F8544" t="str">
        <f>"041"</f>
        <v>041</v>
      </c>
      <c r="G8544">
        <v>9</v>
      </c>
      <c r="H8544" t="str">
        <f t="shared" si="1943"/>
        <v>23</v>
      </c>
      <c r="I8544" t="str">
        <f t="shared" si="1949"/>
        <v>0</v>
      </c>
      <c r="J8544" t="str">
        <f t="shared" si="1956"/>
        <v>19</v>
      </c>
      <c r="K8544">
        <v>20190809</v>
      </c>
      <c r="L8544" t="str">
        <f>"077570"</f>
        <v>077570</v>
      </c>
      <c r="M8544" t="str">
        <f>"00381"</f>
        <v>00381</v>
      </c>
      <c r="N8544" t="s">
        <v>6018</v>
      </c>
      <c r="O8544">
        <v>20.76</v>
      </c>
      <c r="P8544">
        <v>20190807</v>
      </c>
      <c r="Q8544" t="s">
        <v>6678</v>
      </c>
      <c r="R8544" t="s">
        <v>6019</v>
      </c>
      <c r="S8544" t="s">
        <v>6511</v>
      </c>
      <c r="T8544" t="s">
        <v>106</v>
      </c>
    </row>
    <row r="8545" spans="1:20" x14ac:dyDescent="0.25">
      <c r="A8545">
        <v>9</v>
      </c>
      <c r="B8545">
        <v>224</v>
      </c>
      <c r="C8545" t="str">
        <f>"11"</f>
        <v>11</v>
      </c>
      <c r="D8545">
        <v>6299</v>
      </c>
      <c r="E8545" t="str">
        <f>"10"</f>
        <v>10</v>
      </c>
      <c r="F8545" t="str">
        <f>"104"</f>
        <v>104</v>
      </c>
      <c r="G8545">
        <v>9</v>
      </c>
      <c r="H8545" t="str">
        <f t="shared" si="1943"/>
        <v>23</v>
      </c>
      <c r="I8545" t="str">
        <f t="shared" si="1949"/>
        <v>0</v>
      </c>
      <c r="J8545" t="str">
        <f t="shared" si="1956"/>
        <v>19</v>
      </c>
      <c r="K8545">
        <v>20190809</v>
      </c>
      <c r="L8545" t="str">
        <f>"077570"</f>
        <v>077570</v>
      </c>
      <c r="M8545" t="str">
        <f>"00381"</f>
        <v>00381</v>
      </c>
      <c r="N8545" t="s">
        <v>6018</v>
      </c>
      <c r="O8545">
        <v>134.94</v>
      </c>
      <c r="P8545">
        <v>20190807</v>
      </c>
      <c r="Q8545" t="s">
        <v>6679</v>
      </c>
      <c r="R8545" t="s">
        <v>6019</v>
      </c>
      <c r="S8545" t="s">
        <v>6511</v>
      </c>
      <c r="T8545" t="s">
        <v>46</v>
      </c>
    </row>
    <row r="8546" spans="1:20" x14ac:dyDescent="0.25">
      <c r="A8546">
        <v>9</v>
      </c>
      <c r="B8546">
        <v>224</v>
      </c>
      <c r="C8546" t="str">
        <f>"11"</f>
        <v>11</v>
      </c>
      <c r="D8546">
        <v>6639</v>
      </c>
      <c r="E8546" t="str">
        <f t="shared" ref="E8546:E8577" si="1957">"00"</f>
        <v>00</v>
      </c>
      <c r="F8546" t="str">
        <f>"001"</f>
        <v>001</v>
      </c>
      <c r="G8546">
        <v>9</v>
      </c>
      <c r="H8546" t="str">
        <f t="shared" si="1943"/>
        <v>23</v>
      </c>
      <c r="I8546" t="str">
        <f t="shared" si="1949"/>
        <v>0</v>
      </c>
      <c r="J8546" t="str">
        <f t="shared" si="1956"/>
        <v>19</v>
      </c>
      <c r="K8546">
        <v>20190809</v>
      </c>
      <c r="L8546" t="str">
        <f>"077589"</f>
        <v>077589</v>
      </c>
      <c r="M8546" t="str">
        <f>"20649"</f>
        <v>20649</v>
      </c>
      <c r="N8546" t="s">
        <v>6680</v>
      </c>
      <c r="O8546" s="1">
        <v>6230.1</v>
      </c>
      <c r="P8546">
        <v>20190807</v>
      </c>
      <c r="Q8546" t="s">
        <v>6681</v>
      </c>
      <c r="R8546" t="s">
        <v>6682</v>
      </c>
      <c r="S8546" t="s">
        <v>6511</v>
      </c>
      <c r="T8546" t="s">
        <v>301</v>
      </c>
    </row>
    <row r="8547" spans="1:20" x14ac:dyDescent="0.25">
      <c r="A8547">
        <v>9</v>
      </c>
      <c r="B8547">
        <v>224</v>
      </c>
      <c r="C8547" t="str">
        <f>"31"</f>
        <v>31</v>
      </c>
      <c r="D8547">
        <v>6219</v>
      </c>
      <c r="E8547" t="str">
        <f t="shared" si="1957"/>
        <v>00</v>
      </c>
      <c r="F8547" t="str">
        <f>"875"</f>
        <v>875</v>
      </c>
      <c r="G8547">
        <v>9</v>
      </c>
      <c r="H8547" t="str">
        <f t="shared" si="1943"/>
        <v>23</v>
      </c>
      <c r="I8547" t="str">
        <f t="shared" si="1949"/>
        <v>0</v>
      </c>
      <c r="J8547" t="str">
        <f t="shared" si="1956"/>
        <v>19</v>
      </c>
      <c r="K8547">
        <v>20190809</v>
      </c>
      <c r="L8547" t="str">
        <f>"077593"</f>
        <v>077593</v>
      </c>
      <c r="M8547" t="str">
        <f>"21769"</f>
        <v>21769</v>
      </c>
      <c r="N8547" t="s">
        <v>1701</v>
      </c>
      <c r="O8547" s="1">
        <v>2295</v>
      </c>
      <c r="P8547">
        <v>20190807</v>
      </c>
      <c r="Q8547" t="s">
        <v>6683</v>
      </c>
      <c r="R8547" t="s">
        <v>6047</v>
      </c>
      <c r="S8547" t="s">
        <v>6511</v>
      </c>
      <c r="T8547" t="s">
        <v>2041</v>
      </c>
    </row>
    <row r="8548" spans="1:20" x14ac:dyDescent="0.25">
      <c r="A8548">
        <v>9</v>
      </c>
      <c r="B8548">
        <v>224</v>
      </c>
      <c r="C8548" t="str">
        <f>"31"</f>
        <v>31</v>
      </c>
      <c r="D8548">
        <v>6219</v>
      </c>
      <c r="E8548" t="str">
        <f t="shared" si="1957"/>
        <v>00</v>
      </c>
      <c r="F8548" t="str">
        <f>"875"</f>
        <v>875</v>
      </c>
      <c r="G8548">
        <v>9</v>
      </c>
      <c r="H8548" t="str">
        <f t="shared" si="1943"/>
        <v>23</v>
      </c>
      <c r="I8548" t="str">
        <f t="shared" si="1949"/>
        <v>0</v>
      </c>
      <c r="J8548" t="str">
        <f t="shared" si="1956"/>
        <v>19</v>
      </c>
      <c r="K8548">
        <v>20190809</v>
      </c>
      <c r="L8548" t="str">
        <f>"077637"</f>
        <v>077637</v>
      </c>
      <c r="M8548" t="str">
        <f>"49997"</f>
        <v>49997</v>
      </c>
      <c r="N8548" t="s">
        <v>6508</v>
      </c>
      <c r="O8548">
        <v>925</v>
      </c>
      <c r="P8548">
        <v>20190807</v>
      </c>
      <c r="Q8548" t="s">
        <v>6683</v>
      </c>
      <c r="R8548" t="s">
        <v>6684</v>
      </c>
      <c r="S8548" t="s">
        <v>6511</v>
      </c>
      <c r="T8548" t="s">
        <v>2041</v>
      </c>
    </row>
    <row r="8549" spans="1:20" x14ac:dyDescent="0.25">
      <c r="A8549">
        <v>9</v>
      </c>
      <c r="B8549">
        <v>224</v>
      </c>
      <c r="C8549" t="str">
        <f>"11"</f>
        <v>11</v>
      </c>
      <c r="D8549">
        <v>6399</v>
      </c>
      <c r="E8549" t="str">
        <f t="shared" si="1957"/>
        <v>00</v>
      </c>
      <c r="F8549" t="str">
        <f>"001"</f>
        <v>001</v>
      </c>
      <c r="G8549">
        <v>9</v>
      </c>
      <c r="H8549" t="str">
        <f t="shared" si="1943"/>
        <v>23</v>
      </c>
      <c r="I8549" t="str">
        <f t="shared" si="1949"/>
        <v>0</v>
      </c>
      <c r="J8549" t="str">
        <f t="shared" si="1956"/>
        <v>19</v>
      </c>
      <c r="K8549">
        <v>20190809</v>
      </c>
      <c r="L8549" t="str">
        <f>"077643"</f>
        <v>077643</v>
      </c>
      <c r="M8549" t="str">
        <f>"25862"</f>
        <v>25862</v>
      </c>
      <c r="N8549" t="s">
        <v>6517</v>
      </c>
      <c r="O8549">
        <v>793.6</v>
      </c>
      <c r="P8549">
        <v>20190807</v>
      </c>
      <c r="Q8549" t="s">
        <v>6670</v>
      </c>
      <c r="R8549" t="s">
        <v>6685</v>
      </c>
      <c r="S8549" t="s">
        <v>6511</v>
      </c>
      <c r="T8549" t="s">
        <v>301</v>
      </c>
    </row>
    <row r="8550" spans="1:20" x14ac:dyDescent="0.25">
      <c r="A8550">
        <v>9</v>
      </c>
      <c r="B8550">
        <v>224</v>
      </c>
      <c r="C8550" t="str">
        <f>"11"</f>
        <v>11</v>
      </c>
      <c r="D8550">
        <v>6399</v>
      </c>
      <c r="E8550" t="str">
        <f t="shared" si="1957"/>
        <v>00</v>
      </c>
      <c r="F8550" t="str">
        <f>"041"</f>
        <v>041</v>
      </c>
      <c r="G8550">
        <v>9</v>
      </c>
      <c r="H8550" t="str">
        <f t="shared" si="1943"/>
        <v>23</v>
      </c>
      <c r="I8550" t="str">
        <f t="shared" si="1949"/>
        <v>0</v>
      </c>
      <c r="J8550" t="str">
        <f t="shared" si="1956"/>
        <v>19</v>
      </c>
      <c r="K8550">
        <v>20190809</v>
      </c>
      <c r="L8550" t="str">
        <f>"077643"</f>
        <v>077643</v>
      </c>
      <c r="M8550" t="str">
        <f>"25862"</f>
        <v>25862</v>
      </c>
      <c r="N8550" t="s">
        <v>6517</v>
      </c>
      <c r="O8550">
        <v>793.6</v>
      </c>
      <c r="P8550">
        <v>20190807</v>
      </c>
      <c r="Q8550" t="s">
        <v>6686</v>
      </c>
      <c r="R8550" t="s">
        <v>6687</v>
      </c>
      <c r="S8550" t="s">
        <v>6511</v>
      </c>
      <c r="T8550" t="s">
        <v>106</v>
      </c>
    </row>
    <row r="8551" spans="1:20" x14ac:dyDescent="0.25">
      <c r="A8551">
        <v>9</v>
      </c>
      <c r="B8551">
        <v>224</v>
      </c>
      <c r="C8551" t="str">
        <f>"11"</f>
        <v>11</v>
      </c>
      <c r="D8551">
        <v>6399</v>
      </c>
      <c r="E8551" t="str">
        <f t="shared" si="1957"/>
        <v>00</v>
      </c>
      <c r="F8551" t="str">
        <f>"104"</f>
        <v>104</v>
      </c>
      <c r="G8551">
        <v>9</v>
      </c>
      <c r="H8551" t="str">
        <f t="shared" si="1943"/>
        <v>23</v>
      </c>
      <c r="I8551" t="str">
        <f t="shared" si="1949"/>
        <v>0</v>
      </c>
      <c r="J8551" t="str">
        <f t="shared" si="1956"/>
        <v>19</v>
      </c>
      <c r="K8551">
        <v>20190809</v>
      </c>
      <c r="L8551" t="str">
        <f>"077643"</f>
        <v>077643</v>
      </c>
      <c r="M8551" t="str">
        <f>"25862"</f>
        <v>25862</v>
      </c>
      <c r="N8551" t="s">
        <v>6517</v>
      </c>
      <c r="O8551">
        <v>817.66</v>
      </c>
      <c r="P8551">
        <v>20190807</v>
      </c>
      <c r="Q8551" t="s">
        <v>6688</v>
      </c>
      <c r="R8551" t="s">
        <v>6689</v>
      </c>
      <c r="S8551" t="s">
        <v>6511</v>
      </c>
      <c r="T8551" t="s">
        <v>46</v>
      </c>
    </row>
    <row r="8552" spans="1:20" x14ac:dyDescent="0.25">
      <c r="A8552">
        <v>9</v>
      </c>
      <c r="B8552">
        <v>224</v>
      </c>
      <c r="C8552" t="str">
        <f>"31"</f>
        <v>31</v>
      </c>
      <c r="D8552">
        <v>6399</v>
      </c>
      <c r="E8552" t="str">
        <f t="shared" si="1957"/>
        <v>00</v>
      </c>
      <c r="F8552" t="str">
        <f>"875"</f>
        <v>875</v>
      </c>
      <c r="G8552">
        <v>9</v>
      </c>
      <c r="H8552" t="str">
        <f t="shared" si="1943"/>
        <v>23</v>
      </c>
      <c r="I8552" t="str">
        <f t="shared" si="1949"/>
        <v>0</v>
      </c>
      <c r="J8552" t="str">
        <f t="shared" si="1956"/>
        <v>19</v>
      </c>
      <c r="K8552">
        <v>20190809</v>
      </c>
      <c r="L8552" t="str">
        <f>"077644"</f>
        <v>077644</v>
      </c>
      <c r="M8552" t="str">
        <f>"54495"</f>
        <v>54495</v>
      </c>
      <c r="N8552" t="s">
        <v>2102</v>
      </c>
      <c r="O8552">
        <v>295.48</v>
      </c>
      <c r="P8552">
        <v>20190807</v>
      </c>
      <c r="Q8552" t="s">
        <v>6690</v>
      </c>
      <c r="R8552" t="s">
        <v>6691</v>
      </c>
      <c r="S8552" t="s">
        <v>6511</v>
      </c>
      <c r="T8552" t="s">
        <v>2041</v>
      </c>
    </row>
    <row r="8553" spans="1:20" x14ac:dyDescent="0.25">
      <c r="A8553">
        <v>9</v>
      </c>
      <c r="B8553">
        <v>224</v>
      </c>
      <c r="C8553" t="str">
        <f t="shared" ref="C8553:C8569" si="1958">"11"</f>
        <v>11</v>
      </c>
      <c r="D8553">
        <v>6399</v>
      </c>
      <c r="E8553" t="str">
        <f t="shared" si="1957"/>
        <v>00</v>
      </c>
      <c r="F8553" t="str">
        <f>"001"</f>
        <v>001</v>
      </c>
      <c r="G8553">
        <v>9</v>
      </c>
      <c r="H8553" t="str">
        <f t="shared" si="1943"/>
        <v>23</v>
      </c>
      <c r="I8553" t="str">
        <f t="shared" si="1949"/>
        <v>0</v>
      </c>
      <c r="J8553" t="str">
        <f t="shared" si="1956"/>
        <v>19</v>
      </c>
      <c r="K8553">
        <v>20190809</v>
      </c>
      <c r="L8553" t="str">
        <f>"077646"</f>
        <v>077646</v>
      </c>
      <c r="M8553" t="str">
        <f>"56217"</f>
        <v>56217</v>
      </c>
      <c r="N8553" t="s">
        <v>5185</v>
      </c>
      <c r="O8553">
        <v>27.01</v>
      </c>
      <c r="P8553">
        <v>20190807</v>
      </c>
      <c r="Q8553" t="s">
        <v>6670</v>
      </c>
      <c r="R8553" t="s">
        <v>2793</v>
      </c>
      <c r="S8553" t="s">
        <v>6511</v>
      </c>
      <c r="T8553" t="s">
        <v>301</v>
      </c>
    </row>
    <row r="8554" spans="1:20" x14ac:dyDescent="0.25">
      <c r="A8554">
        <v>9</v>
      </c>
      <c r="B8554">
        <v>224</v>
      </c>
      <c r="C8554" t="str">
        <f t="shared" si="1958"/>
        <v>11</v>
      </c>
      <c r="D8554">
        <v>6399</v>
      </c>
      <c r="E8554" t="str">
        <f t="shared" si="1957"/>
        <v>00</v>
      </c>
      <c r="F8554" t="str">
        <f>"041"</f>
        <v>041</v>
      </c>
      <c r="G8554">
        <v>9</v>
      </c>
      <c r="H8554" t="str">
        <f t="shared" si="1943"/>
        <v>23</v>
      </c>
      <c r="I8554" t="str">
        <f t="shared" si="1949"/>
        <v>0</v>
      </c>
      <c r="J8554" t="str">
        <f t="shared" si="1956"/>
        <v>19</v>
      </c>
      <c r="K8554">
        <v>20190809</v>
      </c>
      <c r="L8554" t="str">
        <f>"077646"</f>
        <v>077646</v>
      </c>
      <c r="M8554" t="str">
        <f>"56217"</f>
        <v>56217</v>
      </c>
      <c r="N8554" t="s">
        <v>5185</v>
      </c>
      <c r="O8554">
        <v>27.01</v>
      </c>
      <c r="P8554">
        <v>20190807</v>
      </c>
      <c r="Q8554" t="s">
        <v>6686</v>
      </c>
      <c r="R8554" t="s">
        <v>2793</v>
      </c>
      <c r="S8554" t="s">
        <v>6511</v>
      </c>
      <c r="T8554" t="s">
        <v>106</v>
      </c>
    </row>
    <row r="8555" spans="1:20" x14ac:dyDescent="0.25">
      <c r="A8555">
        <v>9</v>
      </c>
      <c r="B8555">
        <v>224</v>
      </c>
      <c r="C8555" t="str">
        <f t="shared" si="1958"/>
        <v>11</v>
      </c>
      <c r="D8555">
        <v>6399</v>
      </c>
      <c r="E8555" t="str">
        <f t="shared" si="1957"/>
        <v>00</v>
      </c>
      <c r="F8555" t="str">
        <f>"101"</f>
        <v>101</v>
      </c>
      <c r="G8555">
        <v>9</v>
      </c>
      <c r="H8555" t="str">
        <f t="shared" si="1943"/>
        <v>23</v>
      </c>
      <c r="I8555" t="str">
        <f t="shared" si="1949"/>
        <v>0</v>
      </c>
      <c r="J8555" t="str">
        <f t="shared" si="1956"/>
        <v>19</v>
      </c>
      <c r="K8555">
        <v>20190809</v>
      </c>
      <c r="L8555" t="str">
        <f>"077646"</f>
        <v>077646</v>
      </c>
      <c r="M8555" t="str">
        <f>"56217"</f>
        <v>56217</v>
      </c>
      <c r="N8555" t="s">
        <v>5185</v>
      </c>
      <c r="O8555">
        <v>27.01</v>
      </c>
      <c r="P8555">
        <v>20190807</v>
      </c>
      <c r="Q8555" t="s">
        <v>6675</v>
      </c>
      <c r="R8555" t="s">
        <v>2793</v>
      </c>
      <c r="S8555" t="s">
        <v>6511</v>
      </c>
      <c r="T8555" t="s">
        <v>1479</v>
      </c>
    </row>
    <row r="8556" spans="1:20" x14ac:dyDescent="0.25">
      <c r="A8556">
        <v>9</v>
      </c>
      <c r="B8556">
        <v>224</v>
      </c>
      <c r="C8556" t="str">
        <f t="shared" si="1958"/>
        <v>11</v>
      </c>
      <c r="D8556">
        <v>6399</v>
      </c>
      <c r="E8556" t="str">
        <f t="shared" si="1957"/>
        <v>00</v>
      </c>
      <c r="F8556" t="str">
        <f>"104"</f>
        <v>104</v>
      </c>
      <c r="G8556">
        <v>9</v>
      </c>
      <c r="H8556" t="str">
        <f t="shared" si="1943"/>
        <v>23</v>
      </c>
      <c r="I8556" t="str">
        <f t="shared" si="1949"/>
        <v>0</v>
      </c>
      <c r="J8556" t="str">
        <f t="shared" si="1956"/>
        <v>19</v>
      </c>
      <c r="K8556">
        <v>20190809</v>
      </c>
      <c r="L8556" t="str">
        <f>"077646"</f>
        <v>077646</v>
      </c>
      <c r="M8556" t="str">
        <f>"56217"</f>
        <v>56217</v>
      </c>
      <c r="N8556" t="s">
        <v>5185</v>
      </c>
      <c r="O8556">
        <v>27.01</v>
      </c>
      <c r="P8556">
        <v>20190807</v>
      </c>
      <c r="Q8556" t="s">
        <v>6688</v>
      </c>
      <c r="R8556" t="s">
        <v>2793</v>
      </c>
      <c r="S8556" t="s">
        <v>6511</v>
      </c>
      <c r="T8556" t="s">
        <v>46</v>
      </c>
    </row>
    <row r="8557" spans="1:20" x14ac:dyDescent="0.25">
      <c r="A8557">
        <v>9</v>
      </c>
      <c r="B8557">
        <v>224</v>
      </c>
      <c r="C8557" t="str">
        <f t="shared" si="1958"/>
        <v>11</v>
      </c>
      <c r="D8557">
        <v>6399</v>
      </c>
      <c r="E8557" t="str">
        <f t="shared" si="1957"/>
        <v>00</v>
      </c>
      <c r="F8557" t="str">
        <f>"101"</f>
        <v>101</v>
      </c>
      <c r="G8557">
        <v>9</v>
      </c>
      <c r="H8557" t="str">
        <f t="shared" si="1943"/>
        <v>23</v>
      </c>
      <c r="I8557" t="str">
        <f t="shared" si="1949"/>
        <v>0</v>
      </c>
      <c r="J8557" t="str">
        <f t="shared" si="1956"/>
        <v>19</v>
      </c>
      <c r="K8557">
        <v>20190809</v>
      </c>
      <c r="L8557" t="str">
        <f>"077658"</f>
        <v>077658</v>
      </c>
      <c r="M8557" t="str">
        <f>"65809"</f>
        <v>65809</v>
      </c>
      <c r="N8557" t="s">
        <v>3453</v>
      </c>
      <c r="O8557">
        <v>166.95</v>
      </c>
      <c r="P8557">
        <v>20190807</v>
      </c>
      <c r="Q8557" t="s">
        <v>6675</v>
      </c>
      <c r="R8557" t="s">
        <v>6692</v>
      </c>
      <c r="S8557" t="s">
        <v>6511</v>
      </c>
      <c r="T8557" t="s">
        <v>1479</v>
      </c>
    </row>
    <row r="8558" spans="1:20" x14ac:dyDescent="0.25">
      <c r="A8558">
        <v>9</v>
      </c>
      <c r="B8558">
        <v>224</v>
      </c>
      <c r="C8558" t="str">
        <f t="shared" si="1958"/>
        <v>11</v>
      </c>
      <c r="D8558">
        <v>6399</v>
      </c>
      <c r="E8558" t="str">
        <f t="shared" si="1957"/>
        <v>00</v>
      </c>
      <c r="F8558" t="str">
        <f>"001"</f>
        <v>001</v>
      </c>
      <c r="G8558">
        <v>9</v>
      </c>
      <c r="H8558" t="str">
        <f t="shared" si="1943"/>
        <v>23</v>
      </c>
      <c r="I8558" t="str">
        <f t="shared" si="1949"/>
        <v>0</v>
      </c>
      <c r="J8558" t="str">
        <f t="shared" si="1956"/>
        <v>19</v>
      </c>
      <c r="K8558">
        <v>20190809</v>
      </c>
      <c r="L8558" t="str">
        <f>"077667"</f>
        <v>077667</v>
      </c>
      <c r="M8558" t="str">
        <f>"43599"</f>
        <v>43599</v>
      </c>
      <c r="N8558" t="s">
        <v>6693</v>
      </c>
      <c r="O8558" s="1">
        <v>1396</v>
      </c>
      <c r="P8558">
        <v>20190807</v>
      </c>
      <c r="Q8558" t="s">
        <v>6670</v>
      </c>
      <c r="R8558" t="s">
        <v>6694</v>
      </c>
      <c r="S8558" t="s">
        <v>6511</v>
      </c>
      <c r="T8558" t="s">
        <v>301</v>
      </c>
    </row>
    <row r="8559" spans="1:20" x14ac:dyDescent="0.25">
      <c r="A8559">
        <v>9</v>
      </c>
      <c r="B8559">
        <v>224</v>
      </c>
      <c r="C8559" t="str">
        <f t="shared" si="1958"/>
        <v>11</v>
      </c>
      <c r="D8559">
        <v>6399</v>
      </c>
      <c r="E8559" t="str">
        <f t="shared" si="1957"/>
        <v>00</v>
      </c>
      <c r="F8559" t="str">
        <f>"041"</f>
        <v>041</v>
      </c>
      <c r="G8559">
        <v>9</v>
      </c>
      <c r="H8559" t="str">
        <f t="shared" si="1943"/>
        <v>23</v>
      </c>
      <c r="I8559" t="str">
        <f t="shared" si="1949"/>
        <v>0</v>
      </c>
      <c r="J8559" t="str">
        <f t="shared" si="1956"/>
        <v>19</v>
      </c>
      <c r="K8559">
        <v>20190809</v>
      </c>
      <c r="L8559" t="str">
        <f>"077667"</f>
        <v>077667</v>
      </c>
      <c r="M8559" t="str">
        <f>"43599"</f>
        <v>43599</v>
      </c>
      <c r="N8559" t="s">
        <v>6693</v>
      </c>
      <c r="O8559" s="1">
        <v>1396</v>
      </c>
      <c r="P8559">
        <v>20190807</v>
      </c>
      <c r="Q8559" t="s">
        <v>6686</v>
      </c>
      <c r="R8559" t="s">
        <v>6694</v>
      </c>
      <c r="S8559" t="s">
        <v>6511</v>
      </c>
      <c r="T8559" t="s">
        <v>106</v>
      </c>
    </row>
    <row r="8560" spans="1:20" x14ac:dyDescent="0.25">
      <c r="A8560">
        <v>9</v>
      </c>
      <c r="B8560">
        <v>224</v>
      </c>
      <c r="C8560" t="str">
        <f t="shared" si="1958"/>
        <v>11</v>
      </c>
      <c r="D8560">
        <v>6399</v>
      </c>
      <c r="E8560" t="str">
        <f t="shared" si="1957"/>
        <v>00</v>
      </c>
      <c r="F8560" t="str">
        <f>"101"</f>
        <v>101</v>
      </c>
      <c r="G8560">
        <v>9</v>
      </c>
      <c r="H8560" t="str">
        <f t="shared" ref="H8560:H8596" si="1959">"23"</f>
        <v>23</v>
      </c>
      <c r="I8560" t="str">
        <f t="shared" si="1949"/>
        <v>0</v>
      </c>
      <c r="J8560" t="str">
        <f t="shared" si="1956"/>
        <v>19</v>
      </c>
      <c r="K8560">
        <v>20190809</v>
      </c>
      <c r="L8560" t="str">
        <f>"077667"</f>
        <v>077667</v>
      </c>
      <c r="M8560" t="str">
        <f>"43599"</f>
        <v>43599</v>
      </c>
      <c r="N8560" t="s">
        <v>6693</v>
      </c>
      <c r="O8560" s="1">
        <v>1396</v>
      </c>
      <c r="P8560">
        <v>20190807</v>
      </c>
      <c r="Q8560" t="s">
        <v>6675</v>
      </c>
      <c r="R8560" t="s">
        <v>6694</v>
      </c>
      <c r="S8560" t="s">
        <v>6511</v>
      </c>
      <c r="T8560" t="s">
        <v>1479</v>
      </c>
    </row>
    <row r="8561" spans="1:20" x14ac:dyDescent="0.25">
      <c r="A8561">
        <v>9</v>
      </c>
      <c r="B8561">
        <v>224</v>
      </c>
      <c r="C8561" t="str">
        <f t="shared" si="1958"/>
        <v>11</v>
      </c>
      <c r="D8561">
        <v>6399</v>
      </c>
      <c r="E8561" t="str">
        <f t="shared" si="1957"/>
        <v>00</v>
      </c>
      <c r="F8561" t="str">
        <f>"104"</f>
        <v>104</v>
      </c>
      <c r="G8561">
        <v>9</v>
      </c>
      <c r="H8561" t="str">
        <f t="shared" si="1959"/>
        <v>23</v>
      </c>
      <c r="I8561" t="str">
        <f t="shared" si="1949"/>
        <v>0</v>
      </c>
      <c r="J8561" t="str">
        <f t="shared" si="1956"/>
        <v>19</v>
      </c>
      <c r="K8561">
        <v>20190809</v>
      </c>
      <c r="L8561" t="str">
        <f>"077667"</f>
        <v>077667</v>
      </c>
      <c r="M8561" t="str">
        <f>"43599"</f>
        <v>43599</v>
      </c>
      <c r="N8561" t="s">
        <v>6693</v>
      </c>
      <c r="O8561" s="1">
        <v>1396</v>
      </c>
      <c r="P8561">
        <v>20190807</v>
      </c>
      <c r="Q8561" t="s">
        <v>6688</v>
      </c>
      <c r="R8561" t="s">
        <v>6694</v>
      </c>
      <c r="S8561" t="s">
        <v>6511</v>
      </c>
      <c r="T8561" t="s">
        <v>46</v>
      </c>
    </row>
    <row r="8562" spans="1:20" x14ac:dyDescent="0.25">
      <c r="A8562">
        <v>9</v>
      </c>
      <c r="B8562">
        <v>224</v>
      </c>
      <c r="C8562" t="str">
        <f t="shared" si="1958"/>
        <v>11</v>
      </c>
      <c r="D8562">
        <v>6399</v>
      </c>
      <c r="E8562" t="str">
        <f t="shared" si="1957"/>
        <v>00</v>
      </c>
      <c r="F8562" t="str">
        <f>"001"</f>
        <v>001</v>
      </c>
      <c r="G8562">
        <v>9</v>
      </c>
      <c r="H8562" t="str">
        <f t="shared" si="1959"/>
        <v>23</v>
      </c>
      <c r="I8562" t="str">
        <f t="shared" si="1949"/>
        <v>0</v>
      </c>
      <c r="J8562" t="str">
        <f t="shared" si="1956"/>
        <v>19</v>
      </c>
      <c r="K8562">
        <v>20190809</v>
      </c>
      <c r="L8562" t="str">
        <f>"077670"</f>
        <v>077670</v>
      </c>
      <c r="M8562" t="str">
        <f>"80106"</f>
        <v>80106</v>
      </c>
      <c r="N8562" t="s">
        <v>6695</v>
      </c>
      <c r="O8562">
        <v>68.650000000000006</v>
      </c>
      <c r="P8562">
        <v>20190807</v>
      </c>
      <c r="Q8562" t="s">
        <v>6670</v>
      </c>
      <c r="R8562" t="s">
        <v>2793</v>
      </c>
      <c r="S8562" t="s">
        <v>6511</v>
      </c>
      <c r="T8562" t="s">
        <v>301</v>
      </c>
    </row>
    <row r="8563" spans="1:20" x14ac:dyDescent="0.25">
      <c r="A8563">
        <v>9</v>
      </c>
      <c r="B8563">
        <v>224</v>
      </c>
      <c r="C8563" t="str">
        <f t="shared" si="1958"/>
        <v>11</v>
      </c>
      <c r="D8563">
        <v>6399</v>
      </c>
      <c r="E8563" t="str">
        <f t="shared" si="1957"/>
        <v>00</v>
      </c>
      <c r="F8563" t="str">
        <f>"041"</f>
        <v>041</v>
      </c>
      <c r="G8563">
        <v>9</v>
      </c>
      <c r="H8563" t="str">
        <f t="shared" si="1959"/>
        <v>23</v>
      </c>
      <c r="I8563" t="str">
        <f t="shared" si="1949"/>
        <v>0</v>
      </c>
      <c r="J8563" t="str">
        <f t="shared" si="1956"/>
        <v>19</v>
      </c>
      <c r="K8563">
        <v>20190809</v>
      </c>
      <c r="L8563" t="str">
        <f>"077670"</f>
        <v>077670</v>
      </c>
      <c r="M8563" t="str">
        <f>"80106"</f>
        <v>80106</v>
      </c>
      <c r="N8563" t="s">
        <v>6695</v>
      </c>
      <c r="O8563">
        <v>68.650000000000006</v>
      </c>
      <c r="P8563">
        <v>20190807</v>
      </c>
      <c r="Q8563" t="s">
        <v>6686</v>
      </c>
      <c r="R8563" t="s">
        <v>2793</v>
      </c>
      <c r="S8563" t="s">
        <v>6511</v>
      </c>
      <c r="T8563" t="s">
        <v>106</v>
      </c>
    </row>
    <row r="8564" spans="1:20" x14ac:dyDescent="0.25">
      <c r="A8564">
        <v>9</v>
      </c>
      <c r="B8564">
        <v>224</v>
      </c>
      <c r="C8564" t="str">
        <f t="shared" si="1958"/>
        <v>11</v>
      </c>
      <c r="D8564">
        <v>6399</v>
      </c>
      <c r="E8564" t="str">
        <f t="shared" si="1957"/>
        <v>00</v>
      </c>
      <c r="F8564" t="str">
        <f>"101"</f>
        <v>101</v>
      </c>
      <c r="G8564">
        <v>9</v>
      </c>
      <c r="H8564" t="str">
        <f t="shared" si="1959"/>
        <v>23</v>
      </c>
      <c r="I8564" t="str">
        <f t="shared" si="1949"/>
        <v>0</v>
      </c>
      <c r="J8564" t="str">
        <f t="shared" si="1956"/>
        <v>19</v>
      </c>
      <c r="K8564">
        <v>20190809</v>
      </c>
      <c r="L8564" t="str">
        <f>"077670"</f>
        <v>077670</v>
      </c>
      <c r="M8564" t="str">
        <f>"80106"</f>
        <v>80106</v>
      </c>
      <c r="N8564" t="s">
        <v>6695</v>
      </c>
      <c r="O8564">
        <v>68.650000000000006</v>
      </c>
      <c r="P8564">
        <v>20190807</v>
      </c>
      <c r="Q8564" t="s">
        <v>6675</v>
      </c>
      <c r="R8564" t="s">
        <v>2793</v>
      </c>
      <c r="S8564" t="s">
        <v>6511</v>
      </c>
      <c r="T8564" t="s">
        <v>1479</v>
      </c>
    </row>
    <row r="8565" spans="1:20" x14ac:dyDescent="0.25">
      <c r="A8565">
        <v>9</v>
      </c>
      <c r="B8565">
        <v>224</v>
      </c>
      <c r="C8565" t="str">
        <f t="shared" si="1958"/>
        <v>11</v>
      </c>
      <c r="D8565">
        <v>6399</v>
      </c>
      <c r="E8565" t="str">
        <f t="shared" si="1957"/>
        <v>00</v>
      </c>
      <c r="F8565" t="str">
        <f>"104"</f>
        <v>104</v>
      </c>
      <c r="G8565">
        <v>9</v>
      </c>
      <c r="H8565" t="str">
        <f t="shared" si="1959"/>
        <v>23</v>
      </c>
      <c r="I8565" t="str">
        <f t="shared" si="1949"/>
        <v>0</v>
      </c>
      <c r="J8565" t="str">
        <f t="shared" si="1956"/>
        <v>19</v>
      </c>
      <c r="K8565">
        <v>20190809</v>
      </c>
      <c r="L8565" t="str">
        <f>"077670"</f>
        <v>077670</v>
      </c>
      <c r="M8565" t="str">
        <f>"80106"</f>
        <v>80106</v>
      </c>
      <c r="N8565" t="s">
        <v>6695</v>
      </c>
      <c r="O8565">
        <v>68.650000000000006</v>
      </c>
      <c r="P8565">
        <v>20190807</v>
      </c>
      <c r="Q8565" t="s">
        <v>6688</v>
      </c>
      <c r="R8565" t="s">
        <v>2793</v>
      </c>
      <c r="S8565" t="s">
        <v>6511</v>
      </c>
      <c r="T8565" t="s">
        <v>46</v>
      </c>
    </row>
    <row r="8566" spans="1:20" x14ac:dyDescent="0.25">
      <c r="A8566">
        <v>9</v>
      </c>
      <c r="B8566">
        <v>224</v>
      </c>
      <c r="C8566" t="str">
        <f t="shared" si="1958"/>
        <v>11</v>
      </c>
      <c r="D8566">
        <v>6399</v>
      </c>
      <c r="E8566" t="str">
        <f t="shared" si="1957"/>
        <v>00</v>
      </c>
      <c r="F8566" t="str">
        <f>"001"</f>
        <v>001</v>
      </c>
      <c r="G8566">
        <v>9</v>
      </c>
      <c r="H8566" t="str">
        <f t="shared" si="1959"/>
        <v>23</v>
      </c>
      <c r="I8566" t="str">
        <f t="shared" si="1949"/>
        <v>0</v>
      </c>
      <c r="J8566" t="str">
        <f t="shared" si="1956"/>
        <v>19</v>
      </c>
      <c r="K8566">
        <v>20190816</v>
      </c>
      <c r="L8566" t="str">
        <f>"077678"</f>
        <v>077678</v>
      </c>
      <c r="M8566" t="str">
        <f>"02251"</f>
        <v>02251</v>
      </c>
      <c r="N8566" t="s">
        <v>1569</v>
      </c>
      <c r="O8566" s="1">
        <v>3173.75</v>
      </c>
      <c r="P8566">
        <v>20190814</v>
      </c>
      <c r="Q8566" t="s">
        <v>6670</v>
      </c>
      <c r="R8566" t="s">
        <v>6696</v>
      </c>
      <c r="S8566" t="s">
        <v>6511</v>
      </c>
      <c r="T8566" t="s">
        <v>301</v>
      </c>
    </row>
    <row r="8567" spans="1:20" x14ac:dyDescent="0.25">
      <c r="A8567">
        <v>9</v>
      </c>
      <c r="B8567">
        <v>224</v>
      </c>
      <c r="C8567" t="str">
        <f t="shared" si="1958"/>
        <v>11</v>
      </c>
      <c r="D8567">
        <v>6399</v>
      </c>
      <c r="E8567" t="str">
        <f t="shared" si="1957"/>
        <v>00</v>
      </c>
      <c r="F8567" t="str">
        <f>"041"</f>
        <v>041</v>
      </c>
      <c r="G8567">
        <v>9</v>
      </c>
      <c r="H8567" t="str">
        <f t="shared" si="1959"/>
        <v>23</v>
      </c>
      <c r="I8567" t="str">
        <f t="shared" si="1949"/>
        <v>0</v>
      </c>
      <c r="J8567" t="str">
        <f t="shared" si="1956"/>
        <v>19</v>
      </c>
      <c r="K8567">
        <v>20190816</v>
      </c>
      <c r="L8567" t="str">
        <f>"077678"</f>
        <v>077678</v>
      </c>
      <c r="M8567" t="str">
        <f>"02251"</f>
        <v>02251</v>
      </c>
      <c r="N8567" t="s">
        <v>1569</v>
      </c>
      <c r="O8567" s="1">
        <v>3173.75</v>
      </c>
      <c r="P8567">
        <v>20190814</v>
      </c>
      <c r="Q8567" t="s">
        <v>6686</v>
      </c>
      <c r="R8567" t="s">
        <v>6696</v>
      </c>
      <c r="S8567" t="s">
        <v>6511</v>
      </c>
      <c r="T8567" t="s">
        <v>106</v>
      </c>
    </row>
    <row r="8568" spans="1:20" x14ac:dyDescent="0.25">
      <c r="A8568">
        <v>9</v>
      </c>
      <c r="B8568">
        <v>224</v>
      </c>
      <c r="C8568" t="str">
        <f t="shared" si="1958"/>
        <v>11</v>
      </c>
      <c r="D8568">
        <v>6399</v>
      </c>
      <c r="E8568" t="str">
        <f t="shared" si="1957"/>
        <v>00</v>
      </c>
      <c r="F8568" t="str">
        <f>"101"</f>
        <v>101</v>
      </c>
      <c r="G8568">
        <v>9</v>
      </c>
      <c r="H8568" t="str">
        <f t="shared" si="1959"/>
        <v>23</v>
      </c>
      <c r="I8568" t="str">
        <f t="shared" si="1949"/>
        <v>0</v>
      </c>
      <c r="J8568" t="str">
        <f t="shared" si="1956"/>
        <v>19</v>
      </c>
      <c r="K8568">
        <v>20190816</v>
      </c>
      <c r="L8568" t="str">
        <f>"077678"</f>
        <v>077678</v>
      </c>
      <c r="M8568" t="str">
        <f>"02251"</f>
        <v>02251</v>
      </c>
      <c r="N8568" t="s">
        <v>1569</v>
      </c>
      <c r="O8568" s="1">
        <v>3173.75</v>
      </c>
      <c r="P8568">
        <v>20190814</v>
      </c>
      <c r="Q8568" t="s">
        <v>6675</v>
      </c>
      <c r="R8568" t="s">
        <v>6696</v>
      </c>
      <c r="S8568" t="s">
        <v>6511</v>
      </c>
      <c r="T8568" t="s">
        <v>1479</v>
      </c>
    </row>
    <row r="8569" spans="1:20" x14ac:dyDescent="0.25">
      <c r="A8569">
        <v>9</v>
      </c>
      <c r="B8569">
        <v>224</v>
      </c>
      <c r="C8569" t="str">
        <f t="shared" si="1958"/>
        <v>11</v>
      </c>
      <c r="D8569">
        <v>6399</v>
      </c>
      <c r="E8569" t="str">
        <f t="shared" si="1957"/>
        <v>00</v>
      </c>
      <c r="F8569" t="str">
        <f>"104"</f>
        <v>104</v>
      </c>
      <c r="G8569">
        <v>9</v>
      </c>
      <c r="H8569" t="str">
        <f t="shared" si="1959"/>
        <v>23</v>
      </c>
      <c r="I8569" t="str">
        <f t="shared" si="1949"/>
        <v>0</v>
      </c>
      <c r="J8569" t="str">
        <f t="shared" si="1956"/>
        <v>19</v>
      </c>
      <c r="K8569">
        <v>20190816</v>
      </c>
      <c r="L8569" t="str">
        <f>"077678"</f>
        <v>077678</v>
      </c>
      <c r="M8569" t="str">
        <f>"02251"</f>
        <v>02251</v>
      </c>
      <c r="N8569" t="s">
        <v>1569</v>
      </c>
      <c r="O8569" s="1">
        <v>3173.75</v>
      </c>
      <c r="P8569">
        <v>20190814</v>
      </c>
      <c r="Q8569" t="s">
        <v>6688</v>
      </c>
      <c r="R8569" t="s">
        <v>6696</v>
      </c>
      <c r="S8569" t="s">
        <v>6511</v>
      </c>
      <c r="T8569" t="s">
        <v>46</v>
      </c>
    </row>
    <row r="8570" spans="1:20" x14ac:dyDescent="0.25">
      <c r="A8570">
        <v>9</v>
      </c>
      <c r="B8570">
        <v>224</v>
      </c>
      <c r="C8570" t="str">
        <f>"31"</f>
        <v>31</v>
      </c>
      <c r="D8570">
        <v>6219</v>
      </c>
      <c r="E8570" t="str">
        <f t="shared" si="1957"/>
        <v>00</v>
      </c>
      <c r="F8570" t="str">
        <f>"875"</f>
        <v>875</v>
      </c>
      <c r="G8570">
        <v>9</v>
      </c>
      <c r="H8570" t="str">
        <f t="shared" si="1959"/>
        <v>23</v>
      </c>
      <c r="I8570" t="str">
        <f t="shared" si="1949"/>
        <v>0</v>
      </c>
      <c r="J8570" t="str">
        <f t="shared" si="1956"/>
        <v>19</v>
      </c>
      <c r="K8570">
        <v>20190816</v>
      </c>
      <c r="L8570" t="str">
        <f>"077689"</f>
        <v>077689</v>
      </c>
      <c r="M8570" t="str">
        <f>"74150"</f>
        <v>74150</v>
      </c>
      <c r="N8570" t="s">
        <v>1691</v>
      </c>
      <c r="O8570" s="1">
        <v>2433</v>
      </c>
      <c r="P8570">
        <v>20190814</v>
      </c>
      <c r="Q8570" t="s">
        <v>6683</v>
      </c>
      <c r="R8570" t="s">
        <v>6697</v>
      </c>
      <c r="S8570" t="s">
        <v>6511</v>
      </c>
      <c r="T8570" t="s">
        <v>2041</v>
      </c>
    </row>
    <row r="8571" spans="1:20" x14ac:dyDescent="0.25">
      <c r="A8571">
        <v>9</v>
      </c>
      <c r="B8571">
        <v>224</v>
      </c>
      <c r="C8571" t="str">
        <f>"11"</f>
        <v>11</v>
      </c>
      <c r="D8571">
        <v>6399</v>
      </c>
      <c r="E8571" t="str">
        <f t="shared" si="1957"/>
        <v>00</v>
      </c>
      <c r="F8571" t="str">
        <f>"001"</f>
        <v>001</v>
      </c>
      <c r="G8571">
        <v>9</v>
      </c>
      <c r="H8571" t="str">
        <f t="shared" si="1959"/>
        <v>23</v>
      </c>
      <c r="I8571" t="str">
        <f t="shared" ref="I8571:I8634" si="1960">"0"</f>
        <v>0</v>
      </c>
      <c r="J8571" t="str">
        <f t="shared" si="1956"/>
        <v>19</v>
      </c>
      <c r="K8571">
        <v>20190816</v>
      </c>
      <c r="L8571" t="str">
        <f>"077726"</f>
        <v>077726</v>
      </c>
      <c r="M8571" t="str">
        <f>"65826"</f>
        <v>65826</v>
      </c>
      <c r="N8571" t="s">
        <v>2787</v>
      </c>
      <c r="O8571">
        <v>379.89</v>
      </c>
      <c r="P8571">
        <v>20190814</v>
      </c>
      <c r="Q8571" t="s">
        <v>6670</v>
      </c>
      <c r="R8571" t="s">
        <v>2793</v>
      </c>
      <c r="S8571" t="s">
        <v>6511</v>
      </c>
      <c r="T8571" t="s">
        <v>301</v>
      </c>
    </row>
    <row r="8572" spans="1:20" x14ac:dyDescent="0.25">
      <c r="A8572">
        <v>9</v>
      </c>
      <c r="B8572">
        <v>224</v>
      </c>
      <c r="C8572" t="str">
        <f>"11"</f>
        <v>11</v>
      </c>
      <c r="D8572">
        <v>6399</v>
      </c>
      <c r="E8572" t="str">
        <f t="shared" si="1957"/>
        <v>00</v>
      </c>
      <c r="F8572" t="str">
        <f>"041"</f>
        <v>041</v>
      </c>
      <c r="G8572">
        <v>9</v>
      </c>
      <c r="H8572" t="str">
        <f t="shared" si="1959"/>
        <v>23</v>
      </c>
      <c r="I8572" t="str">
        <f t="shared" si="1960"/>
        <v>0</v>
      </c>
      <c r="J8572" t="str">
        <f t="shared" si="1956"/>
        <v>19</v>
      </c>
      <c r="K8572">
        <v>20190816</v>
      </c>
      <c r="L8572" t="str">
        <f>"077726"</f>
        <v>077726</v>
      </c>
      <c r="M8572" t="str">
        <f>"65826"</f>
        <v>65826</v>
      </c>
      <c r="N8572" t="s">
        <v>2787</v>
      </c>
      <c r="O8572">
        <v>379.89</v>
      </c>
      <c r="P8572">
        <v>20190814</v>
      </c>
      <c r="Q8572" t="s">
        <v>6686</v>
      </c>
      <c r="R8572" t="s">
        <v>2793</v>
      </c>
      <c r="S8572" t="s">
        <v>6511</v>
      </c>
      <c r="T8572" t="s">
        <v>106</v>
      </c>
    </row>
    <row r="8573" spans="1:20" x14ac:dyDescent="0.25">
      <c r="A8573">
        <v>9</v>
      </c>
      <c r="B8573">
        <v>224</v>
      </c>
      <c r="C8573" t="str">
        <f>"11"</f>
        <v>11</v>
      </c>
      <c r="D8573">
        <v>6399</v>
      </c>
      <c r="E8573" t="str">
        <f t="shared" si="1957"/>
        <v>00</v>
      </c>
      <c r="F8573" t="str">
        <f>"101"</f>
        <v>101</v>
      </c>
      <c r="G8573">
        <v>9</v>
      </c>
      <c r="H8573" t="str">
        <f t="shared" si="1959"/>
        <v>23</v>
      </c>
      <c r="I8573" t="str">
        <f t="shared" si="1960"/>
        <v>0</v>
      </c>
      <c r="J8573" t="str">
        <f t="shared" si="1956"/>
        <v>19</v>
      </c>
      <c r="K8573">
        <v>20190816</v>
      </c>
      <c r="L8573" t="str">
        <f>"077726"</f>
        <v>077726</v>
      </c>
      <c r="M8573" t="str">
        <f>"65826"</f>
        <v>65826</v>
      </c>
      <c r="N8573" t="s">
        <v>2787</v>
      </c>
      <c r="O8573">
        <v>379.89</v>
      </c>
      <c r="P8573">
        <v>20190814</v>
      </c>
      <c r="Q8573" t="s">
        <v>6675</v>
      </c>
      <c r="R8573" t="s">
        <v>2793</v>
      </c>
      <c r="S8573" t="s">
        <v>6511</v>
      </c>
      <c r="T8573" t="s">
        <v>1479</v>
      </c>
    </row>
    <row r="8574" spans="1:20" x14ac:dyDescent="0.25">
      <c r="A8574">
        <v>9</v>
      </c>
      <c r="B8574">
        <v>224</v>
      </c>
      <c r="C8574" t="str">
        <f>"11"</f>
        <v>11</v>
      </c>
      <c r="D8574">
        <v>6399</v>
      </c>
      <c r="E8574" t="str">
        <f t="shared" si="1957"/>
        <v>00</v>
      </c>
      <c r="F8574" t="str">
        <f>"104"</f>
        <v>104</v>
      </c>
      <c r="G8574">
        <v>9</v>
      </c>
      <c r="H8574" t="str">
        <f t="shared" si="1959"/>
        <v>23</v>
      </c>
      <c r="I8574" t="str">
        <f t="shared" si="1960"/>
        <v>0</v>
      </c>
      <c r="J8574" t="str">
        <f t="shared" si="1956"/>
        <v>19</v>
      </c>
      <c r="K8574">
        <v>20190816</v>
      </c>
      <c r="L8574" t="str">
        <f>"077726"</f>
        <v>077726</v>
      </c>
      <c r="M8574" t="str">
        <f>"65826"</f>
        <v>65826</v>
      </c>
      <c r="N8574" t="s">
        <v>2787</v>
      </c>
      <c r="O8574">
        <v>379.89</v>
      </c>
      <c r="P8574">
        <v>20190814</v>
      </c>
      <c r="Q8574" t="s">
        <v>6688</v>
      </c>
      <c r="R8574" t="s">
        <v>2793</v>
      </c>
      <c r="S8574" t="s">
        <v>6511</v>
      </c>
      <c r="T8574" t="s">
        <v>46</v>
      </c>
    </row>
    <row r="8575" spans="1:20" x14ac:dyDescent="0.25">
      <c r="A8575">
        <v>9</v>
      </c>
      <c r="B8575">
        <v>224</v>
      </c>
      <c r="C8575" t="str">
        <f>"13"</f>
        <v>13</v>
      </c>
      <c r="D8575">
        <v>6411</v>
      </c>
      <c r="E8575" t="str">
        <f t="shared" si="1957"/>
        <v>00</v>
      </c>
      <c r="F8575" t="str">
        <f>"001"</f>
        <v>001</v>
      </c>
      <c r="G8575">
        <v>9</v>
      </c>
      <c r="H8575" t="str">
        <f t="shared" si="1959"/>
        <v>23</v>
      </c>
      <c r="I8575" t="str">
        <f t="shared" si="1960"/>
        <v>0</v>
      </c>
      <c r="J8575" t="str">
        <f t="shared" si="1956"/>
        <v>19</v>
      </c>
      <c r="K8575">
        <v>20190823</v>
      </c>
      <c r="L8575" t="str">
        <f>"077774"</f>
        <v>077774</v>
      </c>
      <c r="M8575" t="str">
        <f>"27900"</f>
        <v>27900</v>
      </c>
      <c r="N8575" t="s">
        <v>1490</v>
      </c>
      <c r="O8575">
        <v>225</v>
      </c>
      <c r="P8575">
        <v>20190821</v>
      </c>
      <c r="Q8575" t="s">
        <v>6698</v>
      </c>
      <c r="R8575" t="s">
        <v>6267</v>
      </c>
      <c r="S8575" t="s">
        <v>6511</v>
      </c>
      <c r="T8575" t="s">
        <v>301</v>
      </c>
    </row>
    <row r="8576" spans="1:20" x14ac:dyDescent="0.25">
      <c r="A8576">
        <v>9</v>
      </c>
      <c r="B8576">
        <v>224</v>
      </c>
      <c r="C8576" t="str">
        <f>"13"</f>
        <v>13</v>
      </c>
      <c r="D8576">
        <v>6411</v>
      </c>
      <c r="E8576" t="str">
        <f t="shared" si="1957"/>
        <v>00</v>
      </c>
      <c r="F8576" t="str">
        <f>"041"</f>
        <v>041</v>
      </c>
      <c r="G8576">
        <v>9</v>
      </c>
      <c r="H8576" t="str">
        <f t="shared" si="1959"/>
        <v>23</v>
      </c>
      <c r="I8576" t="str">
        <f t="shared" si="1960"/>
        <v>0</v>
      </c>
      <c r="J8576" t="str">
        <f t="shared" si="1956"/>
        <v>19</v>
      </c>
      <c r="K8576">
        <v>20190823</v>
      </c>
      <c r="L8576" t="str">
        <f>"077774"</f>
        <v>077774</v>
      </c>
      <c r="M8576" t="str">
        <f>"27900"</f>
        <v>27900</v>
      </c>
      <c r="N8576" t="s">
        <v>1490</v>
      </c>
      <c r="O8576">
        <v>20</v>
      </c>
      <c r="P8576">
        <v>20190821</v>
      </c>
      <c r="Q8576" t="s">
        <v>6699</v>
      </c>
      <c r="R8576" t="s">
        <v>6700</v>
      </c>
      <c r="S8576" t="s">
        <v>6511</v>
      </c>
      <c r="T8576" t="s">
        <v>106</v>
      </c>
    </row>
    <row r="8577" spans="1:20" x14ac:dyDescent="0.25">
      <c r="A8577">
        <v>9</v>
      </c>
      <c r="B8577">
        <v>224</v>
      </c>
      <c r="C8577" t="str">
        <f>"61"</f>
        <v>61</v>
      </c>
      <c r="D8577">
        <v>6419</v>
      </c>
      <c r="E8577" t="str">
        <f t="shared" si="1957"/>
        <v>00</v>
      </c>
      <c r="F8577" t="str">
        <f>"001"</f>
        <v>001</v>
      </c>
      <c r="G8577">
        <v>9</v>
      </c>
      <c r="H8577" t="str">
        <f t="shared" si="1959"/>
        <v>23</v>
      </c>
      <c r="I8577" t="str">
        <f t="shared" si="1960"/>
        <v>0</v>
      </c>
      <c r="J8577" t="str">
        <f t="shared" si="1956"/>
        <v>19</v>
      </c>
      <c r="K8577">
        <v>20190823</v>
      </c>
      <c r="L8577" t="str">
        <f>"077774"</f>
        <v>077774</v>
      </c>
      <c r="M8577" t="str">
        <f>"27900"</f>
        <v>27900</v>
      </c>
      <c r="N8577" t="s">
        <v>1490</v>
      </c>
      <c r="O8577">
        <v>125</v>
      </c>
      <c r="P8577">
        <v>20190821</v>
      </c>
      <c r="Q8577" t="s">
        <v>6701</v>
      </c>
      <c r="R8577" t="s">
        <v>6702</v>
      </c>
      <c r="S8577" t="s">
        <v>6511</v>
      </c>
      <c r="T8577" t="s">
        <v>301</v>
      </c>
    </row>
    <row r="8578" spans="1:20" x14ac:dyDescent="0.25">
      <c r="A8578">
        <v>9</v>
      </c>
      <c r="B8578">
        <v>224</v>
      </c>
      <c r="C8578" t="str">
        <f>"61"</f>
        <v>61</v>
      </c>
      <c r="D8578">
        <v>6419</v>
      </c>
      <c r="E8578" t="str">
        <f t="shared" ref="E8578:E8596" si="1961">"00"</f>
        <v>00</v>
      </c>
      <c r="F8578" t="str">
        <f>"041"</f>
        <v>041</v>
      </c>
      <c r="G8578">
        <v>9</v>
      </c>
      <c r="H8578" t="str">
        <f t="shared" si="1959"/>
        <v>23</v>
      </c>
      <c r="I8578" t="str">
        <f t="shared" si="1960"/>
        <v>0</v>
      </c>
      <c r="J8578" t="str">
        <f t="shared" si="1956"/>
        <v>19</v>
      </c>
      <c r="K8578">
        <v>20190823</v>
      </c>
      <c r="L8578" t="str">
        <f>"077774"</f>
        <v>077774</v>
      </c>
      <c r="M8578" t="str">
        <f>"27900"</f>
        <v>27900</v>
      </c>
      <c r="N8578" t="s">
        <v>1490</v>
      </c>
      <c r="O8578">
        <v>125</v>
      </c>
      <c r="P8578">
        <v>20190821</v>
      </c>
      <c r="Q8578" t="s">
        <v>6703</v>
      </c>
      <c r="R8578" t="s">
        <v>6702</v>
      </c>
      <c r="S8578" t="s">
        <v>6511</v>
      </c>
      <c r="T8578" t="s">
        <v>106</v>
      </c>
    </row>
    <row r="8579" spans="1:20" x14ac:dyDescent="0.25">
      <c r="A8579">
        <v>9</v>
      </c>
      <c r="B8579">
        <v>225</v>
      </c>
      <c r="C8579" t="str">
        <f t="shared" ref="C8579:C8591" si="1962">"11"</f>
        <v>11</v>
      </c>
      <c r="D8579">
        <v>6399</v>
      </c>
      <c r="E8579" t="str">
        <f t="shared" si="1961"/>
        <v>00</v>
      </c>
      <c r="F8579" t="str">
        <f t="shared" ref="F8579:F8591" si="1963">"101"</f>
        <v>101</v>
      </c>
      <c r="G8579">
        <v>9</v>
      </c>
      <c r="H8579" t="str">
        <f t="shared" si="1959"/>
        <v>23</v>
      </c>
      <c r="I8579" t="str">
        <f t="shared" si="1960"/>
        <v>0</v>
      </c>
      <c r="J8579" t="str">
        <f>"00"</f>
        <v>00</v>
      </c>
      <c r="K8579">
        <v>20181102</v>
      </c>
      <c r="L8579" t="str">
        <f>"074435"</f>
        <v>074435</v>
      </c>
      <c r="M8579" t="str">
        <f>"04410"</f>
        <v>04410</v>
      </c>
      <c r="N8579" t="s">
        <v>410</v>
      </c>
      <c r="O8579">
        <v>133.69999999999999</v>
      </c>
      <c r="P8579">
        <v>20181031</v>
      </c>
      <c r="Q8579" t="s">
        <v>6704</v>
      </c>
      <c r="R8579" t="s">
        <v>2793</v>
      </c>
      <c r="S8579" t="s">
        <v>6705</v>
      </c>
      <c r="T8579" t="s">
        <v>1479</v>
      </c>
    </row>
    <row r="8580" spans="1:20" x14ac:dyDescent="0.25">
      <c r="A8580">
        <v>9</v>
      </c>
      <c r="B8580">
        <v>225</v>
      </c>
      <c r="C8580" t="str">
        <f t="shared" si="1962"/>
        <v>11</v>
      </c>
      <c r="D8580">
        <v>6399</v>
      </c>
      <c r="E8580" t="str">
        <f t="shared" si="1961"/>
        <v>00</v>
      </c>
      <c r="F8580" t="str">
        <f t="shared" si="1963"/>
        <v>101</v>
      </c>
      <c r="G8580">
        <v>9</v>
      </c>
      <c r="H8580" t="str">
        <f t="shared" si="1959"/>
        <v>23</v>
      </c>
      <c r="I8580" t="str">
        <f t="shared" si="1960"/>
        <v>0</v>
      </c>
      <c r="J8580" t="str">
        <f>"18"</f>
        <v>18</v>
      </c>
      <c r="K8580">
        <v>20181102</v>
      </c>
      <c r="L8580" t="str">
        <f>"074435"</f>
        <v>074435</v>
      </c>
      <c r="M8580" t="str">
        <f>"04410"</f>
        <v>04410</v>
      </c>
      <c r="N8580" t="s">
        <v>410</v>
      </c>
      <c r="O8580">
        <v>51.39</v>
      </c>
      <c r="P8580">
        <v>20181031</v>
      </c>
      <c r="Q8580" t="s">
        <v>6706</v>
      </c>
      <c r="R8580" t="s">
        <v>2793</v>
      </c>
      <c r="S8580" t="s">
        <v>6705</v>
      </c>
      <c r="T8580" t="s">
        <v>1479</v>
      </c>
    </row>
    <row r="8581" spans="1:20" x14ac:dyDescent="0.25">
      <c r="A8581">
        <v>9</v>
      </c>
      <c r="B8581">
        <v>225</v>
      </c>
      <c r="C8581" t="str">
        <f t="shared" si="1962"/>
        <v>11</v>
      </c>
      <c r="D8581">
        <v>6399</v>
      </c>
      <c r="E8581" t="str">
        <f t="shared" si="1961"/>
        <v>00</v>
      </c>
      <c r="F8581" t="str">
        <f t="shared" si="1963"/>
        <v>101</v>
      </c>
      <c r="G8581">
        <v>9</v>
      </c>
      <c r="H8581" t="str">
        <f t="shared" si="1959"/>
        <v>23</v>
      </c>
      <c r="I8581" t="str">
        <f t="shared" si="1960"/>
        <v>0</v>
      </c>
      <c r="J8581" t="str">
        <f t="shared" ref="J8581:J8587" si="1964">"00"</f>
        <v>00</v>
      </c>
      <c r="K8581">
        <v>20190621</v>
      </c>
      <c r="L8581" t="str">
        <f>"077251"</f>
        <v>077251</v>
      </c>
      <c r="M8581" t="str">
        <f>"46850"</f>
        <v>46850</v>
      </c>
      <c r="N8581" t="s">
        <v>4752</v>
      </c>
      <c r="O8581">
        <v>94.98</v>
      </c>
      <c r="P8581">
        <v>20190619</v>
      </c>
      <c r="Q8581" t="s">
        <v>6704</v>
      </c>
      <c r="R8581" t="s">
        <v>6707</v>
      </c>
      <c r="S8581" t="s">
        <v>6705</v>
      </c>
      <c r="T8581" t="s">
        <v>1479</v>
      </c>
    </row>
    <row r="8582" spans="1:20" x14ac:dyDescent="0.25">
      <c r="A8582">
        <v>9</v>
      </c>
      <c r="B8582">
        <v>225</v>
      </c>
      <c r="C8582" t="str">
        <f t="shared" si="1962"/>
        <v>11</v>
      </c>
      <c r="D8582">
        <v>6399</v>
      </c>
      <c r="E8582" t="str">
        <f t="shared" si="1961"/>
        <v>00</v>
      </c>
      <c r="F8582" t="str">
        <f t="shared" si="1963"/>
        <v>101</v>
      </c>
      <c r="G8582">
        <v>9</v>
      </c>
      <c r="H8582" t="str">
        <f t="shared" si="1959"/>
        <v>23</v>
      </c>
      <c r="I8582" t="str">
        <f t="shared" si="1960"/>
        <v>0</v>
      </c>
      <c r="J8582" t="str">
        <f t="shared" si="1964"/>
        <v>00</v>
      </c>
      <c r="K8582">
        <v>20190712</v>
      </c>
      <c r="L8582" t="str">
        <f>"077364"</f>
        <v>077364</v>
      </c>
      <c r="M8582" t="str">
        <f>"30622"</f>
        <v>30622</v>
      </c>
      <c r="N8582" t="s">
        <v>6478</v>
      </c>
      <c r="O8582" s="1">
        <v>1979.98</v>
      </c>
      <c r="P8582">
        <v>20190710</v>
      </c>
      <c r="Q8582" t="s">
        <v>6704</v>
      </c>
      <c r="R8582" t="s">
        <v>6708</v>
      </c>
      <c r="S8582" t="s">
        <v>6705</v>
      </c>
      <c r="T8582" t="s">
        <v>1479</v>
      </c>
    </row>
    <row r="8583" spans="1:20" x14ac:dyDescent="0.25">
      <c r="A8583">
        <v>9</v>
      </c>
      <c r="B8583">
        <v>225</v>
      </c>
      <c r="C8583" t="str">
        <f t="shared" si="1962"/>
        <v>11</v>
      </c>
      <c r="D8583">
        <v>6399</v>
      </c>
      <c r="E8583" t="str">
        <f t="shared" si="1961"/>
        <v>00</v>
      </c>
      <c r="F8583" t="str">
        <f t="shared" si="1963"/>
        <v>101</v>
      </c>
      <c r="G8583">
        <v>9</v>
      </c>
      <c r="H8583" t="str">
        <f t="shared" si="1959"/>
        <v>23</v>
      </c>
      <c r="I8583" t="str">
        <f t="shared" si="1960"/>
        <v>0</v>
      </c>
      <c r="J8583" t="str">
        <f t="shared" si="1964"/>
        <v>00</v>
      </c>
      <c r="K8583">
        <v>20190726</v>
      </c>
      <c r="L8583" t="str">
        <f>"077517"</f>
        <v>077517</v>
      </c>
      <c r="M8583" t="str">
        <f>"65826"</f>
        <v>65826</v>
      </c>
      <c r="N8583" t="s">
        <v>2787</v>
      </c>
      <c r="O8583" s="1">
        <v>1149.01</v>
      </c>
      <c r="P8583">
        <v>20190725</v>
      </c>
      <c r="Q8583" t="s">
        <v>6704</v>
      </c>
      <c r="R8583" t="s">
        <v>2793</v>
      </c>
      <c r="S8583" t="s">
        <v>6705</v>
      </c>
      <c r="T8583" t="s">
        <v>1479</v>
      </c>
    </row>
    <row r="8584" spans="1:20" x14ac:dyDescent="0.25">
      <c r="A8584">
        <v>9</v>
      </c>
      <c r="B8584">
        <v>225</v>
      </c>
      <c r="C8584" t="str">
        <f t="shared" si="1962"/>
        <v>11</v>
      </c>
      <c r="D8584">
        <v>6399</v>
      </c>
      <c r="E8584" t="str">
        <f t="shared" si="1961"/>
        <v>00</v>
      </c>
      <c r="F8584" t="str">
        <f t="shared" si="1963"/>
        <v>101</v>
      </c>
      <c r="G8584">
        <v>9</v>
      </c>
      <c r="H8584" t="str">
        <f t="shared" si="1959"/>
        <v>23</v>
      </c>
      <c r="I8584" t="str">
        <f t="shared" si="1960"/>
        <v>0</v>
      </c>
      <c r="J8584" t="str">
        <f t="shared" si="1964"/>
        <v>00</v>
      </c>
      <c r="K8584">
        <v>20190726</v>
      </c>
      <c r="L8584" t="str">
        <f>"077517"</f>
        <v>077517</v>
      </c>
      <c r="M8584" t="str">
        <f>"65826"</f>
        <v>65826</v>
      </c>
      <c r="N8584" t="s">
        <v>2787</v>
      </c>
      <c r="O8584">
        <v>403.57</v>
      </c>
      <c r="P8584">
        <v>20190725</v>
      </c>
      <c r="Q8584" t="s">
        <v>6704</v>
      </c>
      <c r="R8584" t="s">
        <v>6709</v>
      </c>
      <c r="S8584" t="s">
        <v>6705</v>
      </c>
      <c r="T8584" t="s">
        <v>1479</v>
      </c>
    </row>
    <row r="8585" spans="1:20" x14ac:dyDescent="0.25">
      <c r="A8585">
        <v>9</v>
      </c>
      <c r="B8585">
        <v>225</v>
      </c>
      <c r="C8585" t="str">
        <f t="shared" si="1962"/>
        <v>11</v>
      </c>
      <c r="D8585">
        <v>6399</v>
      </c>
      <c r="E8585" t="str">
        <f t="shared" si="1961"/>
        <v>00</v>
      </c>
      <c r="F8585" t="str">
        <f t="shared" si="1963"/>
        <v>101</v>
      </c>
      <c r="G8585">
        <v>9</v>
      </c>
      <c r="H8585" t="str">
        <f t="shared" si="1959"/>
        <v>23</v>
      </c>
      <c r="I8585" t="str">
        <f t="shared" si="1960"/>
        <v>0</v>
      </c>
      <c r="J8585" t="str">
        <f t="shared" si="1964"/>
        <v>00</v>
      </c>
      <c r="K8585">
        <v>20190816</v>
      </c>
      <c r="L8585" t="str">
        <f>"077680"</f>
        <v>077680</v>
      </c>
      <c r="M8585" t="str">
        <f>"04410"</f>
        <v>04410</v>
      </c>
      <c r="N8585" t="s">
        <v>410</v>
      </c>
      <c r="O8585" s="1">
        <v>3694.49</v>
      </c>
      <c r="P8585">
        <v>20190815</v>
      </c>
      <c r="Q8585" t="s">
        <v>6704</v>
      </c>
      <c r="R8585" t="s">
        <v>6710</v>
      </c>
      <c r="S8585" t="s">
        <v>6705</v>
      </c>
      <c r="T8585" t="s">
        <v>1479</v>
      </c>
    </row>
    <row r="8586" spans="1:20" x14ac:dyDescent="0.25">
      <c r="A8586">
        <v>9</v>
      </c>
      <c r="B8586">
        <v>225</v>
      </c>
      <c r="C8586" t="str">
        <f t="shared" si="1962"/>
        <v>11</v>
      </c>
      <c r="D8586">
        <v>6399</v>
      </c>
      <c r="E8586" t="str">
        <f t="shared" si="1961"/>
        <v>00</v>
      </c>
      <c r="F8586" t="str">
        <f t="shared" si="1963"/>
        <v>101</v>
      </c>
      <c r="G8586">
        <v>9</v>
      </c>
      <c r="H8586" t="str">
        <f t="shared" si="1959"/>
        <v>23</v>
      </c>
      <c r="I8586" t="str">
        <f t="shared" si="1960"/>
        <v>0</v>
      </c>
      <c r="J8586" t="str">
        <f t="shared" si="1964"/>
        <v>00</v>
      </c>
      <c r="K8586">
        <v>20190816</v>
      </c>
      <c r="L8586" t="str">
        <f>"077680"</f>
        <v>077680</v>
      </c>
      <c r="M8586" t="str">
        <f>"04410"</f>
        <v>04410</v>
      </c>
      <c r="N8586" t="s">
        <v>410</v>
      </c>
      <c r="O8586">
        <v>281.69</v>
      </c>
      <c r="P8586">
        <v>20190815</v>
      </c>
      <c r="Q8586" t="s">
        <v>6704</v>
      </c>
      <c r="R8586" t="s">
        <v>6710</v>
      </c>
      <c r="S8586" t="s">
        <v>6705</v>
      </c>
      <c r="T8586" t="s">
        <v>1479</v>
      </c>
    </row>
    <row r="8587" spans="1:20" x14ac:dyDescent="0.25">
      <c r="A8587">
        <v>9</v>
      </c>
      <c r="B8587">
        <v>225</v>
      </c>
      <c r="C8587" t="str">
        <f t="shared" si="1962"/>
        <v>11</v>
      </c>
      <c r="D8587">
        <v>6399</v>
      </c>
      <c r="E8587" t="str">
        <f t="shared" si="1961"/>
        <v>00</v>
      </c>
      <c r="F8587" t="str">
        <f t="shared" si="1963"/>
        <v>101</v>
      </c>
      <c r="G8587">
        <v>9</v>
      </c>
      <c r="H8587" t="str">
        <f t="shared" si="1959"/>
        <v>23</v>
      </c>
      <c r="I8587" t="str">
        <f t="shared" si="1960"/>
        <v>0</v>
      </c>
      <c r="J8587" t="str">
        <f t="shared" si="1964"/>
        <v>00</v>
      </c>
      <c r="K8587">
        <v>20190816</v>
      </c>
      <c r="L8587" t="str">
        <f>"077702"</f>
        <v>077702</v>
      </c>
      <c r="M8587" t="str">
        <f>"00256"</f>
        <v>00256</v>
      </c>
      <c r="N8587" t="s">
        <v>6711</v>
      </c>
      <c r="O8587" s="1">
        <v>2682.79</v>
      </c>
      <c r="P8587">
        <v>20190814</v>
      </c>
      <c r="Q8587" t="s">
        <v>6704</v>
      </c>
      <c r="R8587" t="s">
        <v>6710</v>
      </c>
      <c r="S8587" t="s">
        <v>6705</v>
      </c>
      <c r="T8587" t="s">
        <v>1479</v>
      </c>
    </row>
    <row r="8588" spans="1:20" x14ac:dyDescent="0.25">
      <c r="A8588">
        <v>9</v>
      </c>
      <c r="B8588">
        <v>225</v>
      </c>
      <c r="C8588" t="str">
        <f t="shared" si="1962"/>
        <v>11</v>
      </c>
      <c r="D8588">
        <v>6399</v>
      </c>
      <c r="E8588" t="str">
        <f t="shared" si="1961"/>
        <v>00</v>
      </c>
      <c r="F8588" t="str">
        <f t="shared" si="1963"/>
        <v>101</v>
      </c>
      <c r="G8588">
        <v>9</v>
      </c>
      <c r="H8588" t="str">
        <f t="shared" si="1959"/>
        <v>23</v>
      </c>
      <c r="I8588" t="str">
        <f t="shared" si="1960"/>
        <v>0</v>
      </c>
      <c r="J8588" t="str">
        <f>"19"</f>
        <v>19</v>
      </c>
      <c r="K8588">
        <v>20190816</v>
      </c>
      <c r="L8588" t="str">
        <f>"077702"</f>
        <v>077702</v>
      </c>
      <c r="M8588" t="str">
        <f>"00256"</f>
        <v>00256</v>
      </c>
      <c r="N8588" t="s">
        <v>6711</v>
      </c>
      <c r="O8588">
        <v>35.630000000000003</v>
      </c>
      <c r="P8588">
        <v>20190814</v>
      </c>
      <c r="Q8588" t="s">
        <v>6712</v>
      </c>
      <c r="R8588" t="s">
        <v>6710</v>
      </c>
      <c r="S8588" t="s">
        <v>6705</v>
      </c>
      <c r="T8588" t="s">
        <v>1479</v>
      </c>
    </row>
    <row r="8589" spans="1:20" x14ac:dyDescent="0.25">
      <c r="A8589">
        <v>9</v>
      </c>
      <c r="B8589">
        <v>225</v>
      </c>
      <c r="C8589" t="str">
        <f t="shared" si="1962"/>
        <v>11</v>
      </c>
      <c r="D8589">
        <v>6399</v>
      </c>
      <c r="E8589" t="str">
        <f t="shared" si="1961"/>
        <v>00</v>
      </c>
      <c r="F8589" t="str">
        <f t="shared" si="1963"/>
        <v>101</v>
      </c>
      <c r="G8589">
        <v>9</v>
      </c>
      <c r="H8589" t="str">
        <f t="shared" si="1959"/>
        <v>23</v>
      </c>
      <c r="I8589" t="str">
        <f t="shared" si="1960"/>
        <v>0</v>
      </c>
      <c r="J8589" t="str">
        <f>"00"</f>
        <v>00</v>
      </c>
      <c r="K8589">
        <v>20190816</v>
      </c>
      <c r="L8589" t="str">
        <f>"077726"</f>
        <v>077726</v>
      </c>
      <c r="M8589" t="str">
        <f>"65826"</f>
        <v>65826</v>
      </c>
      <c r="N8589" t="s">
        <v>2787</v>
      </c>
      <c r="O8589" s="1">
        <v>1697.3</v>
      </c>
      <c r="P8589">
        <v>20190814</v>
      </c>
      <c r="Q8589" t="s">
        <v>6704</v>
      </c>
      <c r="R8589" t="s">
        <v>6713</v>
      </c>
      <c r="S8589" t="s">
        <v>6705</v>
      </c>
      <c r="T8589" t="s">
        <v>1479</v>
      </c>
    </row>
    <row r="8590" spans="1:20" x14ac:dyDescent="0.25">
      <c r="A8590">
        <v>9</v>
      </c>
      <c r="B8590">
        <v>225</v>
      </c>
      <c r="C8590" t="str">
        <f t="shared" si="1962"/>
        <v>11</v>
      </c>
      <c r="D8590">
        <v>6399</v>
      </c>
      <c r="E8590" t="str">
        <f t="shared" si="1961"/>
        <v>00</v>
      </c>
      <c r="F8590" t="str">
        <f t="shared" si="1963"/>
        <v>101</v>
      </c>
      <c r="G8590">
        <v>9</v>
      </c>
      <c r="H8590" t="str">
        <f t="shared" si="1959"/>
        <v>23</v>
      </c>
      <c r="I8590" t="str">
        <f t="shared" si="1960"/>
        <v>0</v>
      </c>
      <c r="J8590" t="str">
        <f>"19"</f>
        <v>19</v>
      </c>
      <c r="K8590">
        <v>20190823</v>
      </c>
      <c r="L8590" t="str">
        <f>"077740"</f>
        <v>077740</v>
      </c>
      <c r="M8590" t="str">
        <f>"04410"</f>
        <v>04410</v>
      </c>
      <c r="N8590" t="s">
        <v>410</v>
      </c>
      <c r="O8590">
        <v>756.02</v>
      </c>
      <c r="P8590">
        <v>20190822</v>
      </c>
      <c r="Q8590" t="s">
        <v>6712</v>
      </c>
      <c r="R8590" t="s">
        <v>6710</v>
      </c>
      <c r="S8590" t="s">
        <v>6705</v>
      </c>
      <c r="T8590" t="s">
        <v>1479</v>
      </c>
    </row>
    <row r="8591" spans="1:20" x14ac:dyDescent="0.25">
      <c r="A8591">
        <v>9</v>
      </c>
      <c r="B8591">
        <v>225</v>
      </c>
      <c r="C8591" t="str">
        <f t="shared" si="1962"/>
        <v>11</v>
      </c>
      <c r="D8591">
        <v>6399</v>
      </c>
      <c r="E8591" t="str">
        <f t="shared" si="1961"/>
        <v>00</v>
      </c>
      <c r="F8591" t="str">
        <f t="shared" si="1963"/>
        <v>101</v>
      </c>
      <c r="G8591">
        <v>9</v>
      </c>
      <c r="H8591" t="str">
        <f t="shared" si="1959"/>
        <v>23</v>
      </c>
      <c r="I8591" t="str">
        <f t="shared" si="1960"/>
        <v>0</v>
      </c>
      <c r="J8591" t="str">
        <f>"19"</f>
        <v>19</v>
      </c>
      <c r="K8591">
        <v>20190823</v>
      </c>
      <c r="L8591" t="str">
        <f>"077740"</f>
        <v>077740</v>
      </c>
      <c r="M8591" t="str">
        <f>"04410"</f>
        <v>04410</v>
      </c>
      <c r="N8591" t="s">
        <v>410</v>
      </c>
      <c r="O8591">
        <v>340.66</v>
      </c>
      <c r="P8591">
        <v>20190822</v>
      </c>
      <c r="Q8591" t="s">
        <v>6712</v>
      </c>
      <c r="R8591" t="s">
        <v>6710</v>
      </c>
      <c r="S8591" t="s">
        <v>6705</v>
      </c>
      <c r="T8591" t="s">
        <v>1479</v>
      </c>
    </row>
    <row r="8592" spans="1:20" x14ac:dyDescent="0.25">
      <c r="A8592">
        <v>9</v>
      </c>
      <c r="B8592">
        <v>226</v>
      </c>
      <c r="C8592" t="str">
        <f>"31"</f>
        <v>31</v>
      </c>
      <c r="D8592">
        <v>6219</v>
      </c>
      <c r="E8592" t="str">
        <f t="shared" si="1961"/>
        <v>00</v>
      </c>
      <c r="F8592" t="str">
        <f>"875"</f>
        <v>875</v>
      </c>
      <c r="G8592">
        <v>9</v>
      </c>
      <c r="H8592" t="str">
        <f t="shared" si="1959"/>
        <v>23</v>
      </c>
      <c r="I8592" t="str">
        <f t="shared" si="1960"/>
        <v>0</v>
      </c>
      <c r="J8592" t="str">
        <f t="shared" ref="J8592:J8655" si="1965">"00"</f>
        <v>00</v>
      </c>
      <c r="K8592">
        <v>20190412</v>
      </c>
      <c r="L8592" t="str">
        <f>"076422"</f>
        <v>076422</v>
      </c>
      <c r="M8592" t="str">
        <f>"00589"</f>
        <v>00589</v>
      </c>
      <c r="N8592" t="s">
        <v>2977</v>
      </c>
      <c r="O8592" s="1">
        <v>1800</v>
      </c>
      <c r="P8592">
        <v>20190410</v>
      </c>
      <c r="Q8592" t="s">
        <v>6714</v>
      </c>
      <c r="R8592" t="s">
        <v>6715</v>
      </c>
      <c r="S8592" t="s">
        <v>6716</v>
      </c>
      <c r="T8592" t="s">
        <v>2041</v>
      </c>
    </row>
    <row r="8593" spans="1:20" x14ac:dyDescent="0.25">
      <c r="A8593">
        <v>9</v>
      </c>
      <c r="B8593">
        <v>226</v>
      </c>
      <c r="C8593" t="str">
        <f>"31"</f>
        <v>31</v>
      </c>
      <c r="D8593">
        <v>6219</v>
      </c>
      <c r="E8593" t="str">
        <f t="shared" si="1961"/>
        <v>00</v>
      </c>
      <c r="F8593" t="str">
        <f>"875"</f>
        <v>875</v>
      </c>
      <c r="G8593">
        <v>9</v>
      </c>
      <c r="H8593" t="str">
        <f t="shared" si="1959"/>
        <v>23</v>
      </c>
      <c r="I8593" t="str">
        <f t="shared" si="1960"/>
        <v>0</v>
      </c>
      <c r="J8593" t="str">
        <f t="shared" si="1965"/>
        <v>00</v>
      </c>
      <c r="K8593">
        <v>20190510</v>
      </c>
      <c r="L8593" t="str">
        <f>"076742"</f>
        <v>076742</v>
      </c>
      <c r="M8593" t="str">
        <f>"00589"</f>
        <v>00589</v>
      </c>
      <c r="N8593" t="s">
        <v>2977</v>
      </c>
      <c r="O8593" s="1">
        <v>1900</v>
      </c>
      <c r="P8593">
        <v>20190508</v>
      </c>
      <c r="Q8593" t="s">
        <v>6714</v>
      </c>
      <c r="R8593" t="s">
        <v>6717</v>
      </c>
      <c r="S8593" t="s">
        <v>6716</v>
      </c>
      <c r="T8593" t="s">
        <v>2041</v>
      </c>
    </row>
    <row r="8594" spans="1:20" x14ac:dyDescent="0.25">
      <c r="A8594">
        <v>9</v>
      </c>
      <c r="B8594">
        <v>226</v>
      </c>
      <c r="C8594" t="str">
        <f>"31"</f>
        <v>31</v>
      </c>
      <c r="D8594">
        <v>6219</v>
      </c>
      <c r="E8594" t="str">
        <f t="shared" si="1961"/>
        <v>00</v>
      </c>
      <c r="F8594" t="str">
        <f>"875"</f>
        <v>875</v>
      </c>
      <c r="G8594">
        <v>9</v>
      </c>
      <c r="H8594" t="str">
        <f t="shared" si="1959"/>
        <v>23</v>
      </c>
      <c r="I8594" t="str">
        <f t="shared" si="1960"/>
        <v>0</v>
      </c>
      <c r="J8594" t="str">
        <f t="shared" si="1965"/>
        <v>00</v>
      </c>
      <c r="K8594">
        <v>20190531</v>
      </c>
      <c r="L8594" t="str">
        <f>"077004"</f>
        <v>077004</v>
      </c>
      <c r="M8594" t="str">
        <f>"00109"</f>
        <v>00109</v>
      </c>
      <c r="N8594" t="s">
        <v>6718</v>
      </c>
      <c r="O8594">
        <v>920</v>
      </c>
      <c r="P8594">
        <v>20190530</v>
      </c>
      <c r="Q8594" t="s">
        <v>6714</v>
      </c>
      <c r="R8594" t="s">
        <v>6719</v>
      </c>
      <c r="S8594" t="s">
        <v>6716</v>
      </c>
      <c r="T8594" t="s">
        <v>2041</v>
      </c>
    </row>
    <row r="8595" spans="1:20" x14ac:dyDescent="0.25">
      <c r="A8595">
        <v>9</v>
      </c>
      <c r="B8595">
        <v>226</v>
      </c>
      <c r="C8595" t="str">
        <f>"31"</f>
        <v>31</v>
      </c>
      <c r="D8595">
        <v>6219</v>
      </c>
      <c r="E8595" t="str">
        <f t="shared" si="1961"/>
        <v>00</v>
      </c>
      <c r="F8595" t="str">
        <f>"875"</f>
        <v>875</v>
      </c>
      <c r="G8595">
        <v>9</v>
      </c>
      <c r="H8595" t="str">
        <f t="shared" si="1959"/>
        <v>23</v>
      </c>
      <c r="I8595" t="str">
        <f t="shared" si="1960"/>
        <v>0</v>
      </c>
      <c r="J8595" t="str">
        <f t="shared" si="1965"/>
        <v>00</v>
      </c>
      <c r="K8595">
        <v>20190614</v>
      </c>
      <c r="L8595" t="str">
        <f>"077133"</f>
        <v>077133</v>
      </c>
      <c r="M8595" t="str">
        <f>"00589"</f>
        <v>00589</v>
      </c>
      <c r="N8595" t="s">
        <v>2977</v>
      </c>
      <c r="O8595" s="1">
        <v>1080</v>
      </c>
      <c r="P8595">
        <v>20190612</v>
      </c>
      <c r="Q8595" t="s">
        <v>6714</v>
      </c>
      <c r="R8595" t="s">
        <v>6720</v>
      </c>
      <c r="S8595" t="s">
        <v>6716</v>
      </c>
      <c r="T8595" t="s">
        <v>2041</v>
      </c>
    </row>
    <row r="8596" spans="1:20" x14ac:dyDescent="0.25">
      <c r="A8596">
        <v>9</v>
      </c>
      <c r="B8596">
        <v>226</v>
      </c>
      <c r="C8596" t="str">
        <f>"31"</f>
        <v>31</v>
      </c>
      <c r="D8596">
        <v>6219</v>
      </c>
      <c r="E8596" t="str">
        <f t="shared" si="1961"/>
        <v>00</v>
      </c>
      <c r="F8596" t="str">
        <f>"875"</f>
        <v>875</v>
      </c>
      <c r="G8596">
        <v>9</v>
      </c>
      <c r="H8596" t="str">
        <f t="shared" si="1959"/>
        <v>23</v>
      </c>
      <c r="I8596" t="str">
        <f t="shared" si="1960"/>
        <v>0</v>
      </c>
      <c r="J8596" t="str">
        <f t="shared" si="1965"/>
        <v>00</v>
      </c>
      <c r="K8596">
        <v>20190809</v>
      </c>
      <c r="L8596" t="str">
        <f>"077584"</f>
        <v>077584</v>
      </c>
      <c r="M8596" t="str">
        <f>"00589"</f>
        <v>00589</v>
      </c>
      <c r="N8596" t="s">
        <v>2977</v>
      </c>
      <c r="O8596">
        <v>720</v>
      </c>
      <c r="P8596">
        <v>20190807</v>
      </c>
      <c r="Q8596" t="s">
        <v>6714</v>
      </c>
      <c r="R8596" t="s">
        <v>6721</v>
      </c>
      <c r="S8596" t="s">
        <v>6716</v>
      </c>
      <c r="T8596" t="s">
        <v>2041</v>
      </c>
    </row>
    <row r="8597" spans="1:20" x14ac:dyDescent="0.25">
      <c r="A8597">
        <v>9</v>
      </c>
      <c r="B8597">
        <v>240</v>
      </c>
      <c r="C8597" t="str">
        <f>"00"</f>
        <v>00</v>
      </c>
      <c r="D8597">
        <v>2110</v>
      </c>
      <c r="E8597" t="str">
        <f>"18"</f>
        <v>18</v>
      </c>
      <c r="F8597" t="str">
        <f>"000"</f>
        <v>000</v>
      </c>
      <c r="G8597">
        <v>9</v>
      </c>
      <c r="H8597" t="str">
        <f>"00"</f>
        <v>00</v>
      </c>
      <c r="I8597" t="str">
        <f t="shared" si="1960"/>
        <v>0</v>
      </c>
      <c r="J8597" t="str">
        <f t="shared" si="1965"/>
        <v>00</v>
      </c>
      <c r="K8597">
        <v>20180914</v>
      </c>
      <c r="L8597" t="str">
        <f>"073771"</f>
        <v>073771</v>
      </c>
      <c r="M8597" t="str">
        <f>"00369"</f>
        <v>00369</v>
      </c>
      <c r="N8597" t="s">
        <v>6722</v>
      </c>
      <c r="O8597" s="1">
        <v>64076.08</v>
      </c>
      <c r="P8597">
        <v>20180913</v>
      </c>
      <c r="Q8597" t="s">
        <v>6723</v>
      </c>
      <c r="R8597" t="s">
        <v>6724</v>
      </c>
      <c r="S8597" t="s">
        <v>6725</v>
      </c>
      <c r="T8597" t="s">
        <v>296</v>
      </c>
    </row>
    <row r="8598" spans="1:20" x14ac:dyDescent="0.25">
      <c r="A8598">
        <v>9</v>
      </c>
      <c r="B8598">
        <v>240</v>
      </c>
      <c r="C8598" t="str">
        <f>"00"</f>
        <v>00</v>
      </c>
      <c r="D8598">
        <v>2110</v>
      </c>
      <c r="E8598" t="str">
        <f>"18"</f>
        <v>18</v>
      </c>
      <c r="F8598" t="str">
        <f>"000"</f>
        <v>000</v>
      </c>
      <c r="G8598">
        <v>9</v>
      </c>
      <c r="H8598" t="str">
        <f>"00"</f>
        <v>00</v>
      </c>
      <c r="I8598" t="str">
        <f t="shared" si="1960"/>
        <v>0</v>
      </c>
      <c r="J8598" t="str">
        <f t="shared" si="1965"/>
        <v>00</v>
      </c>
      <c r="K8598">
        <v>20180914</v>
      </c>
      <c r="L8598" t="str">
        <f>"073771"</f>
        <v>073771</v>
      </c>
      <c r="M8598" t="str">
        <f>"00369"</f>
        <v>00369</v>
      </c>
      <c r="N8598" t="s">
        <v>6722</v>
      </c>
      <c r="O8598" s="1">
        <v>121209.82</v>
      </c>
      <c r="P8598">
        <v>20180913</v>
      </c>
      <c r="Q8598" t="s">
        <v>6723</v>
      </c>
      <c r="R8598" t="s">
        <v>6726</v>
      </c>
      <c r="S8598" t="s">
        <v>6725</v>
      </c>
      <c r="T8598" t="s">
        <v>296</v>
      </c>
    </row>
    <row r="8599" spans="1:20" x14ac:dyDescent="0.25">
      <c r="A8599">
        <v>9</v>
      </c>
      <c r="B8599">
        <v>240</v>
      </c>
      <c r="C8599" t="str">
        <f>"00"</f>
        <v>00</v>
      </c>
      <c r="D8599">
        <v>2110</v>
      </c>
      <c r="E8599" t="str">
        <f>"18"</f>
        <v>18</v>
      </c>
      <c r="F8599" t="str">
        <f>"000"</f>
        <v>000</v>
      </c>
      <c r="G8599">
        <v>9</v>
      </c>
      <c r="H8599" t="str">
        <f>"00"</f>
        <v>00</v>
      </c>
      <c r="I8599" t="str">
        <f t="shared" si="1960"/>
        <v>0</v>
      </c>
      <c r="J8599" t="str">
        <f t="shared" si="1965"/>
        <v>00</v>
      </c>
      <c r="K8599">
        <v>20180914</v>
      </c>
      <c r="L8599" t="str">
        <f>"073771"</f>
        <v>073771</v>
      </c>
      <c r="M8599" t="str">
        <f>"00369"</f>
        <v>00369</v>
      </c>
      <c r="N8599" t="s">
        <v>6722</v>
      </c>
      <c r="O8599" s="1">
        <v>46218.01</v>
      </c>
      <c r="P8599">
        <v>20180913</v>
      </c>
      <c r="Q8599" t="s">
        <v>6723</v>
      </c>
      <c r="R8599" t="s">
        <v>6727</v>
      </c>
      <c r="S8599" t="s">
        <v>6725</v>
      </c>
      <c r="T8599" t="s">
        <v>296</v>
      </c>
    </row>
    <row r="8600" spans="1:20" x14ac:dyDescent="0.25">
      <c r="A8600">
        <v>9</v>
      </c>
      <c r="B8600">
        <v>240</v>
      </c>
      <c r="C8600" t="str">
        <f>"00"</f>
        <v>00</v>
      </c>
      <c r="D8600">
        <v>2110</v>
      </c>
      <c r="E8600" t="str">
        <f>"18"</f>
        <v>18</v>
      </c>
      <c r="F8600" t="str">
        <f>"000"</f>
        <v>000</v>
      </c>
      <c r="G8600">
        <v>9</v>
      </c>
      <c r="H8600" t="str">
        <f>"00"</f>
        <v>00</v>
      </c>
      <c r="I8600" t="str">
        <f t="shared" si="1960"/>
        <v>0</v>
      </c>
      <c r="J8600" t="str">
        <f t="shared" si="1965"/>
        <v>00</v>
      </c>
      <c r="K8600">
        <v>20180914</v>
      </c>
      <c r="L8600" t="str">
        <f>"073771"</f>
        <v>073771</v>
      </c>
      <c r="M8600" t="str">
        <f>"00369"</f>
        <v>00369</v>
      </c>
      <c r="N8600" t="s">
        <v>6722</v>
      </c>
      <c r="O8600" s="1">
        <v>5369.76</v>
      </c>
      <c r="P8600">
        <v>20180913</v>
      </c>
      <c r="Q8600" t="s">
        <v>6723</v>
      </c>
      <c r="R8600" t="s">
        <v>6728</v>
      </c>
      <c r="S8600" t="s">
        <v>6725</v>
      </c>
      <c r="T8600" t="s">
        <v>296</v>
      </c>
    </row>
    <row r="8601" spans="1:20" x14ac:dyDescent="0.25">
      <c r="A8601">
        <v>9</v>
      </c>
      <c r="B8601">
        <v>240</v>
      </c>
      <c r="C8601" t="str">
        <f>"35"</f>
        <v>35</v>
      </c>
      <c r="D8601">
        <v>6499</v>
      </c>
      <c r="E8601" t="str">
        <f>"93"</f>
        <v>93</v>
      </c>
      <c r="F8601" t="str">
        <f>"938"</f>
        <v>938</v>
      </c>
      <c r="G8601">
        <v>9</v>
      </c>
      <c r="H8601" t="str">
        <f>"99"</f>
        <v>99</v>
      </c>
      <c r="I8601" t="str">
        <f t="shared" si="1960"/>
        <v>0</v>
      </c>
      <c r="J8601" t="str">
        <f t="shared" si="1965"/>
        <v>00</v>
      </c>
      <c r="K8601">
        <v>20180921</v>
      </c>
      <c r="L8601" t="str">
        <f>"073873"</f>
        <v>073873</v>
      </c>
      <c r="M8601" t="str">
        <f>"39260"</f>
        <v>39260</v>
      </c>
      <c r="N8601" t="s">
        <v>6729</v>
      </c>
      <c r="O8601" s="1">
        <v>1938</v>
      </c>
      <c r="P8601">
        <v>20180921</v>
      </c>
      <c r="Q8601" t="s">
        <v>6730</v>
      </c>
      <c r="R8601" t="s">
        <v>6731</v>
      </c>
      <c r="S8601" t="s">
        <v>6725</v>
      </c>
      <c r="T8601" t="s">
        <v>6732</v>
      </c>
    </row>
    <row r="8602" spans="1:20" x14ac:dyDescent="0.25">
      <c r="A8602">
        <v>9</v>
      </c>
      <c r="B8602">
        <v>240</v>
      </c>
      <c r="C8602" t="str">
        <f>"00"</f>
        <v>00</v>
      </c>
      <c r="D8602">
        <v>2110</v>
      </c>
      <c r="E8602" t="str">
        <f>"18"</f>
        <v>18</v>
      </c>
      <c r="F8602" t="str">
        <f>"000"</f>
        <v>000</v>
      </c>
      <c r="G8602">
        <v>9</v>
      </c>
      <c r="H8602" t="str">
        <f>"00"</f>
        <v>00</v>
      </c>
      <c r="I8602" t="str">
        <f t="shared" si="1960"/>
        <v>0</v>
      </c>
      <c r="J8602" t="str">
        <f t="shared" si="1965"/>
        <v>00</v>
      </c>
      <c r="K8602">
        <v>20180921</v>
      </c>
      <c r="L8602" t="str">
        <f>"073909"</f>
        <v>073909</v>
      </c>
      <c r="M8602" t="str">
        <f>"60190"</f>
        <v>60190</v>
      </c>
      <c r="N8602" t="s">
        <v>4277</v>
      </c>
      <c r="O8602">
        <v>649.37</v>
      </c>
      <c r="P8602">
        <v>20180921</v>
      </c>
      <c r="Q8602" t="s">
        <v>6723</v>
      </c>
      <c r="R8602" t="s">
        <v>6733</v>
      </c>
      <c r="S8602" t="s">
        <v>6725</v>
      </c>
      <c r="T8602" t="s">
        <v>296</v>
      </c>
    </row>
    <row r="8603" spans="1:20" x14ac:dyDescent="0.25">
      <c r="A8603">
        <v>9</v>
      </c>
      <c r="B8603">
        <v>240</v>
      </c>
      <c r="C8603" t="str">
        <f>"00"</f>
        <v>00</v>
      </c>
      <c r="D8603">
        <v>2110</v>
      </c>
      <c r="E8603" t="str">
        <f>"18"</f>
        <v>18</v>
      </c>
      <c r="F8603" t="str">
        <f>"000"</f>
        <v>000</v>
      </c>
      <c r="G8603">
        <v>9</v>
      </c>
      <c r="H8603" t="str">
        <f>"00"</f>
        <v>00</v>
      </c>
      <c r="I8603" t="str">
        <f t="shared" si="1960"/>
        <v>0</v>
      </c>
      <c r="J8603" t="str">
        <f t="shared" si="1965"/>
        <v>00</v>
      </c>
      <c r="K8603">
        <v>20180921</v>
      </c>
      <c r="L8603" t="str">
        <f>"073927"</f>
        <v>073927</v>
      </c>
      <c r="M8603" t="str">
        <f>"00406"</f>
        <v>00406</v>
      </c>
      <c r="N8603" t="s">
        <v>1805</v>
      </c>
      <c r="O8603" s="1">
        <v>3150</v>
      </c>
      <c r="P8603">
        <v>20180921</v>
      </c>
      <c r="Q8603" t="s">
        <v>6723</v>
      </c>
      <c r="R8603" t="s">
        <v>6734</v>
      </c>
      <c r="S8603" t="s">
        <v>6725</v>
      </c>
      <c r="T8603" t="s">
        <v>296</v>
      </c>
    </row>
    <row r="8604" spans="1:20" x14ac:dyDescent="0.25">
      <c r="A8604">
        <v>9</v>
      </c>
      <c r="B8604">
        <v>240</v>
      </c>
      <c r="C8604" t="str">
        <f>"00"</f>
        <v>00</v>
      </c>
      <c r="D8604">
        <v>5751</v>
      </c>
      <c r="E8604" t="str">
        <f>"01"</f>
        <v>01</v>
      </c>
      <c r="F8604" t="str">
        <f>"000"</f>
        <v>000</v>
      </c>
      <c r="G8604">
        <v>9</v>
      </c>
      <c r="H8604" t="str">
        <f>"00"</f>
        <v>00</v>
      </c>
      <c r="I8604" t="str">
        <f t="shared" si="1960"/>
        <v>0</v>
      </c>
      <c r="J8604" t="str">
        <f t="shared" si="1965"/>
        <v>00</v>
      </c>
      <c r="K8604">
        <v>20181012</v>
      </c>
      <c r="L8604" t="str">
        <f>"074225"</f>
        <v>074225</v>
      </c>
      <c r="M8604" t="str">
        <f>"00369"</f>
        <v>00369</v>
      </c>
      <c r="N8604" t="s">
        <v>6722</v>
      </c>
      <c r="O8604" s="1">
        <v>-18365.939999999999</v>
      </c>
      <c r="P8604">
        <v>20180926</v>
      </c>
      <c r="Q8604" t="s">
        <v>6735</v>
      </c>
      <c r="R8604" t="s">
        <v>6736</v>
      </c>
      <c r="S8604" t="s">
        <v>6725</v>
      </c>
      <c r="T8604" t="s">
        <v>296</v>
      </c>
    </row>
    <row r="8605" spans="1:20" x14ac:dyDescent="0.25">
      <c r="A8605">
        <v>9</v>
      </c>
      <c r="B8605">
        <v>240</v>
      </c>
      <c r="C8605" t="str">
        <f t="shared" ref="C8605:C8611" si="1966">"35"</f>
        <v>35</v>
      </c>
      <c r="D8605">
        <v>6217</v>
      </c>
      <c r="E8605" t="str">
        <f>"10"</f>
        <v>10</v>
      </c>
      <c r="F8605" t="str">
        <f>"938"</f>
        <v>938</v>
      </c>
      <c r="G8605">
        <v>9</v>
      </c>
      <c r="H8605" t="str">
        <f t="shared" ref="H8605:H8611" si="1967">"99"</f>
        <v>99</v>
      </c>
      <c r="I8605" t="str">
        <f t="shared" si="1960"/>
        <v>0</v>
      </c>
      <c r="J8605" t="str">
        <f t="shared" si="1965"/>
        <v>00</v>
      </c>
      <c r="K8605">
        <v>20181012</v>
      </c>
      <c r="L8605" t="str">
        <f>"074225"</f>
        <v>074225</v>
      </c>
      <c r="M8605" t="str">
        <f>"00369"</f>
        <v>00369</v>
      </c>
      <c r="N8605" t="s">
        <v>6722</v>
      </c>
      <c r="O8605" s="1">
        <v>61580.47</v>
      </c>
      <c r="P8605">
        <v>20181011</v>
      </c>
      <c r="Q8605" t="s">
        <v>6737</v>
      </c>
      <c r="R8605" t="s">
        <v>6738</v>
      </c>
      <c r="S8605" t="s">
        <v>6725</v>
      </c>
      <c r="T8605" t="s">
        <v>6732</v>
      </c>
    </row>
    <row r="8606" spans="1:20" x14ac:dyDescent="0.25">
      <c r="A8606">
        <v>9</v>
      </c>
      <c r="B8606">
        <v>240</v>
      </c>
      <c r="C8606" t="str">
        <f t="shared" si="1966"/>
        <v>35</v>
      </c>
      <c r="D8606">
        <v>6217</v>
      </c>
      <c r="E8606" t="str">
        <f>"11"</f>
        <v>11</v>
      </c>
      <c r="F8606" t="str">
        <f>"938"</f>
        <v>938</v>
      </c>
      <c r="G8606">
        <v>9</v>
      </c>
      <c r="H8606" t="str">
        <f t="shared" si="1967"/>
        <v>99</v>
      </c>
      <c r="I8606" t="str">
        <f t="shared" si="1960"/>
        <v>0</v>
      </c>
      <c r="J8606" t="str">
        <f t="shared" si="1965"/>
        <v>00</v>
      </c>
      <c r="K8606">
        <v>20181012</v>
      </c>
      <c r="L8606" t="str">
        <f>"074225"</f>
        <v>074225</v>
      </c>
      <c r="M8606" t="str">
        <f>"00369"</f>
        <v>00369</v>
      </c>
      <c r="N8606" t="s">
        <v>6722</v>
      </c>
      <c r="O8606" s="1">
        <v>132900.44</v>
      </c>
      <c r="P8606">
        <v>20181011</v>
      </c>
      <c r="Q8606" t="s">
        <v>6739</v>
      </c>
      <c r="R8606" t="s">
        <v>6740</v>
      </c>
      <c r="S8606" t="s">
        <v>6725</v>
      </c>
      <c r="T8606" t="s">
        <v>6732</v>
      </c>
    </row>
    <row r="8607" spans="1:20" x14ac:dyDescent="0.25">
      <c r="A8607">
        <v>9</v>
      </c>
      <c r="B8607">
        <v>240</v>
      </c>
      <c r="C8607" t="str">
        <f t="shared" si="1966"/>
        <v>35</v>
      </c>
      <c r="D8607">
        <v>6217</v>
      </c>
      <c r="E8607" t="str">
        <f>"12"</f>
        <v>12</v>
      </c>
      <c r="F8607" t="str">
        <f>"938"</f>
        <v>938</v>
      </c>
      <c r="G8607">
        <v>9</v>
      </c>
      <c r="H8607" t="str">
        <f t="shared" si="1967"/>
        <v>99</v>
      </c>
      <c r="I8607" t="str">
        <f t="shared" si="1960"/>
        <v>0</v>
      </c>
      <c r="J8607" t="str">
        <f t="shared" si="1965"/>
        <v>00</v>
      </c>
      <c r="K8607">
        <v>20181012</v>
      </c>
      <c r="L8607" t="str">
        <f>"074225"</f>
        <v>074225</v>
      </c>
      <c r="M8607" t="str">
        <f>"00369"</f>
        <v>00369</v>
      </c>
      <c r="N8607" t="s">
        <v>6722</v>
      </c>
      <c r="O8607" s="1">
        <v>42152.01</v>
      </c>
      <c r="P8607">
        <v>20181011</v>
      </c>
      <c r="Q8607" t="s">
        <v>6741</v>
      </c>
      <c r="R8607" t="s">
        <v>6742</v>
      </c>
      <c r="S8607" t="s">
        <v>6725</v>
      </c>
      <c r="T8607" t="s">
        <v>6732</v>
      </c>
    </row>
    <row r="8608" spans="1:20" x14ac:dyDescent="0.25">
      <c r="A8608">
        <v>9</v>
      </c>
      <c r="B8608">
        <v>240</v>
      </c>
      <c r="C8608" t="str">
        <f t="shared" si="1966"/>
        <v>35</v>
      </c>
      <c r="D8608">
        <v>6217</v>
      </c>
      <c r="E8608" t="str">
        <f>"13"</f>
        <v>13</v>
      </c>
      <c r="F8608" t="str">
        <f>"938"</f>
        <v>938</v>
      </c>
      <c r="G8608">
        <v>9</v>
      </c>
      <c r="H8608" t="str">
        <f t="shared" si="1967"/>
        <v>99</v>
      </c>
      <c r="I8608" t="str">
        <f t="shared" si="1960"/>
        <v>0</v>
      </c>
      <c r="J8608" t="str">
        <f t="shared" si="1965"/>
        <v>00</v>
      </c>
      <c r="K8608">
        <v>20181012</v>
      </c>
      <c r="L8608" t="str">
        <f>"074225"</f>
        <v>074225</v>
      </c>
      <c r="M8608" t="str">
        <f>"00369"</f>
        <v>00369</v>
      </c>
      <c r="N8608" t="s">
        <v>6722</v>
      </c>
      <c r="O8608" s="1">
        <v>5825.44</v>
      </c>
      <c r="P8608">
        <v>20181011</v>
      </c>
      <c r="Q8608" t="s">
        <v>6743</v>
      </c>
      <c r="R8608" t="s">
        <v>6744</v>
      </c>
      <c r="S8608" t="s">
        <v>6725</v>
      </c>
      <c r="T8608" t="s">
        <v>6732</v>
      </c>
    </row>
    <row r="8609" spans="1:20" x14ac:dyDescent="0.25">
      <c r="A8609">
        <v>9</v>
      </c>
      <c r="B8609">
        <v>240</v>
      </c>
      <c r="C8609" t="str">
        <f t="shared" si="1966"/>
        <v>35</v>
      </c>
      <c r="D8609">
        <v>6399</v>
      </c>
      <c r="E8609" t="str">
        <f>"93"</f>
        <v>93</v>
      </c>
      <c r="F8609" t="str">
        <f>"001"</f>
        <v>001</v>
      </c>
      <c r="G8609">
        <v>9</v>
      </c>
      <c r="H8609" t="str">
        <f t="shared" si="1967"/>
        <v>99</v>
      </c>
      <c r="I8609" t="str">
        <f t="shared" si="1960"/>
        <v>0</v>
      </c>
      <c r="J8609" t="str">
        <f t="shared" si="1965"/>
        <v>00</v>
      </c>
      <c r="K8609">
        <v>20181012</v>
      </c>
      <c r="L8609" t="str">
        <f>"074240"</f>
        <v>074240</v>
      </c>
      <c r="M8609" t="str">
        <f>"14821"</f>
        <v>14821</v>
      </c>
      <c r="N8609" t="s">
        <v>1224</v>
      </c>
      <c r="O8609">
        <v>278.60000000000002</v>
      </c>
      <c r="P8609">
        <v>20181011</v>
      </c>
      <c r="Q8609" t="s">
        <v>6745</v>
      </c>
      <c r="R8609" t="s">
        <v>1225</v>
      </c>
      <c r="S8609" t="s">
        <v>6725</v>
      </c>
      <c r="T8609" t="s">
        <v>301</v>
      </c>
    </row>
    <row r="8610" spans="1:20" x14ac:dyDescent="0.25">
      <c r="A8610">
        <v>9</v>
      </c>
      <c r="B8610">
        <v>240</v>
      </c>
      <c r="C8610" t="str">
        <f t="shared" si="1966"/>
        <v>35</v>
      </c>
      <c r="D8610">
        <v>6249</v>
      </c>
      <c r="E8610" t="str">
        <f>"93"</f>
        <v>93</v>
      </c>
      <c r="F8610" t="str">
        <f>"001"</f>
        <v>001</v>
      </c>
      <c r="G8610">
        <v>9</v>
      </c>
      <c r="H8610" t="str">
        <f t="shared" si="1967"/>
        <v>99</v>
      </c>
      <c r="I8610" t="str">
        <f t="shared" si="1960"/>
        <v>0</v>
      </c>
      <c r="J8610" t="str">
        <f t="shared" si="1965"/>
        <v>00</v>
      </c>
      <c r="K8610">
        <v>20181019</v>
      </c>
      <c r="L8610" t="str">
        <f>"074396"</f>
        <v>074396</v>
      </c>
      <c r="M8610" t="str">
        <f>"60190"</f>
        <v>60190</v>
      </c>
      <c r="N8610" t="s">
        <v>4277</v>
      </c>
      <c r="O8610">
        <v>474.13</v>
      </c>
      <c r="P8610">
        <v>20181018</v>
      </c>
      <c r="Q8610" t="s">
        <v>6746</v>
      </c>
      <c r="R8610" t="s">
        <v>6747</v>
      </c>
      <c r="S8610" t="s">
        <v>6725</v>
      </c>
      <c r="T8610" t="s">
        <v>301</v>
      </c>
    </row>
    <row r="8611" spans="1:20" x14ac:dyDescent="0.25">
      <c r="A8611">
        <v>9</v>
      </c>
      <c r="B8611">
        <v>240</v>
      </c>
      <c r="C8611" t="str">
        <f t="shared" si="1966"/>
        <v>35</v>
      </c>
      <c r="D8611">
        <v>6249</v>
      </c>
      <c r="E8611" t="str">
        <f>"93"</f>
        <v>93</v>
      </c>
      <c r="F8611" t="str">
        <f>"041"</f>
        <v>041</v>
      </c>
      <c r="G8611">
        <v>9</v>
      </c>
      <c r="H8611" t="str">
        <f t="shared" si="1967"/>
        <v>99</v>
      </c>
      <c r="I8611" t="str">
        <f t="shared" si="1960"/>
        <v>0</v>
      </c>
      <c r="J8611" t="str">
        <f t="shared" si="1965"/>
        <v>00</v>
      </c>
      <c r="K8611">
        <v>20181019</v>
      </c>
      <c r="L8611" t="str">
        <f>"074396"</f>
        <v>074396</v>
      </c>
      <c r="M8611" t="str">
        <f>"60190"</f>
        <v>60190</v>
      </c>
      <c r="N8611" t="s">
        <v>4277</v>
      </c>
      <c r="O8611" s="1">
        <v>4317.3599999999997</v>
      </c>
      <c r="P8611">
        <v>20181018</v>
      </c>
      <c r="Q8611" t="s">
        <v>6748</v>
      </c>
      <c r="R8611" t="s">
        <v>6749</v>
      </c>
      <c r="S8611" t="s">
        <v>6725</v>
      </c>
      <c r="T8611" t="s">
        <v>106</v>
      </c>
    </row>
    <row r="8612" spans="1:20" x14ac:dyDescent="0.25">
      <c r="A8612">
        <v>9</v>
      </c>
      <c r="B8612">
        <v>240</v>
      </c>
      <c r="C8612" t="str">
        <f>"00"</f>
        <v>00</v>
      </c>
      <c r="D8612">
        <v>5751</v>
      </c>
      <c r="E8612" t="str">
        <f>"01"</f>
        <v>01</v>
      </c>
      <c r="F8612" t="str">
        <f>"000"</f>
        <v>000</v>
      </c>
      <c r="G8612">
        <v>9</v>
      </c>
      <c r="H8612" t="str">
        <f>"00"</f>
        <v>00</v>
      </c>
      <c r="I8612" t="str">
        <f t="shared" si="1960"/>
        <v>0</v>
      </c>
      <c r="J8612" t="str">
        <f t="shared" si="1965"/>
        <v>00</v>
      </c>
      <c r="K8612">
        <v>20181109</v>
      </c>
      <c r="L8612" t="str">
        <f>"074536"</f>
        <v>074536</v>
      </c>
      <c r="M8612" t="str">
        <f>"00369"</f>
        <v>00369</v>
      </c>
      <c r="N8612" t="s">
        <v>6722</v>
      </c>
      <c r="O8612" s="1">
        <v>-12126.59</v>
      </c>
      <c r="P8612">
        <v>20181024</v>
      </c>
      <c r="Q8612" t="s">
        <v>6735</v>
      </c>
      <c r="R8612" t="s">
        <v>6750</v>
      </c>
      <c r="S8612" t="s">
        <v>6725</v>
      </c>
      <c r="T8612" t="s">
        <v>296</v>
      </c>
    </row>
    <row r="8613" spans="1:20" x14ac:dyDescent="0.25">
      <c r="A8613">
        <v>9</v>
      </c>
      <c r="B8613">
        <v>240</v>
      </c>
      <c r="C8613" t="str">
        <f>"35"</f>
        <v>35</v>
      </c>
      <c r="D8613">
        <v>6217</v>
      </c>
      <c r="E8613" t="str">
        <f>"10"</f>
        <v>10</v>
      </c>
      <c r="F8613" t="str">
        <f>"938"</f>
        <v>938</v>
      </c>
      <c r="G8613">
        <v>9</v>
      </c>
      <c r="H8613" t="str">
        <f>"99"</f>
        <v>99</v>
      </c>
      <c r="I8613" t="str">
        <f t="shared" si="1960"/>
        <v>0</v>
      </c>
      <c r="J8613" t="str">
        <f t="shared" si="1965"/>
        <v>00</v>
      </c>
      <c r="K8613">
        <v>20181109</v>
      </c>
      <c r="L8613" t="str">
        <f>"074536"</f>
        <v>074536</v>
      </c>
      <c r="M8613" t="str">
        <f>"00369"</f>
        <v>00369</v>
      </c>
      <c r="N8613" t="s">
        <v>6722</v>
      </c>
      <c r="O8613" s="1">
        <v>55800.89</v>
      </c>
      <c r="P8613">
        <v>20181107</v>
      </c>
      <c r="Q8613" t="s">
        <v>6737</v>
      </c>
      <c r="R8613" t="s">
        <v>6751</v>
      </c>
      <c r="S8613" t="s">
        <v>6725</v>
      </c>
      <c r="T8613" t="s">
        <v>6732</v>
      </c>
    </row>
    <row r="8614" spans="1:20" x14ac:dyDescent="0.25">
      <c r="A8614">
        <v>9</v>
      </c>
      <c r="B8614">
        <v>240</v>
      </c>
      <c r="C8614" t="str">
        <f>"35"</f>
        <v>35</v>
      </c>
      <c r="D8614">
        <v>6217</v>
      </c>
      <c r="E8614" t="str">
        <f>"11"</f>
        <v>11</v>
      </c>
      <c r="F8614" t="str">
        <f>"938"</f>
        <v>938</v>
      </c>
      <c r="G8614">
        <v>9</v>
      </c>
      <c r="H8614" t="str">
        <f>"99"</f>
        <v>99</v>
      </c>
      <c r="I8614" t="str">
        <f t="shared" si="1960"/>
        <v>0</v>
      </c>
      <c r="J8614" t="str">
        <f t="shared" si="1965"/>
        <v>00</v>
      </c>
      <c r="K8614">
        <v>20181109</v>
      </c>
      <c r="L8614" t="str">
        <f>"074536"</f>
        <v>074536</v>
      </c>
      <c r="M8614" t="str">
        <f>"00369"</f>
        <v>00369</v>
      </c>
      <c r="N8614" t="s">
        <v>6722</v>
      </c>
      <c r="O8614" s="1">
        <v>119053.36</v>
      </c>
      <c r="P8614">
        <v>20181107</v>
      </c>
      <c r="Q8614" t="s">
        <v>6739</v>
      </c>
      <c r="R8614" t="s">
        <v>6752</v>
      </c>
      <c r="S8614" t="s">
        <v>6725</v>
      </c>
      <c r="T8614" t="s">
        <v>6732</v>
      </c>
    </row>
    <row r="8615" spans="1:20" x14ac:dyDescent="0.25">
      <c r="A8615">
        <v>9</v>
      </c>
      <c r="B8615">
        <v>240</v>
      </c>
      <c r="C8615" t="str">
        <f>"35"</f>
        <v>35</v>
      </c>
      <c r="D8615">
        <v>6217</v>
      </c>
      <c r="E8615" t="str">
        <f>"12"</f>
        <v>12</v>
      </c>
      <c r="F8615" t="str">
        <f>"938"</f>
        <v>938</v>
      </c>
      <c r="G8615">
        <v>9</v>
      </c>
      <c r="H8615" t="str">
        <f>"99"</f>
        <v>99</v>
      </c>
      <c r="I8615" t="str">
        <f t="shared" si="1960"/>
        <v>0</v>
      </c>
      <c r="J8615" t="str">
        <f t="shared" si="1965"/>
        <v>00</v>
      </c>
      <c r="K8615">
        <v>20181109</v>
      </c>
      <c r="L8615" t="str">
        <f>"074536"</f>
        <v>074536</v>
      </c>
      <c r="M8615" t="str">
        <f>"00369"</f>
        <v>00369</v>
      </c>
      <c r="N8615" t="s">
        <v>6722</v>
      </c>
      <c r="O8615" s="1">
        <v>41268.230000000003</v>
      </c>
      <c r="P8615">
        <v>20181107</v>
      </c>
      <c r="Q8615" t="s">
        <v>6741</v>
      </c>
      <c r="R8615" t="s">
        <v>6753</v>
      </c>
      <c r="S8615" t="s">
        <v>6725</v>
      </c>
      <c r="T8615" t="s">
        <v>6732</v>
      </c>
    </row>
    <row r="8616" spans="1:20" x14ac:dyDescent="0.25">
      <c r="A8616">
        <v>9</v>
      </c>
      <c r="B8616">
        <v>240</v>
      </c>
      <c r="C8616" t="str">
        <f>"35"</f>
        <v>35</v>
      </c>
      <c r="D8616">
        <v>6217</v>
      </c>
      <c r="E8616" t="str">
        <f>"13"</f>
        <v>13</v>
      </c>
      <c r="F8616" t="str">
        <f>"938"</f>
        <v>938</v>
      </c>
      <c r="G8616">
        <v>9</v>
      </c>
      <c r="H8616" t="str">
        <f>"99"</f>
        <v>99</v>
      </c>
      <c r="I8616" t="str">
        <f t="shared" si="1960"/>
        <v>0</v>
      </c>
      <c r="J8616" t="str">
        <f t="shared" si="1965"/>
        <v>00</v>
      </c>
      <c r="K8616">
        <v>20181109</v>
      </c>
      <c r="L8616" t="str">
        <f>"074536"</f>
        <v>074536</v>
      </c>
      <c r="M8616" t="str">
        <f>"00369"</f>
        <v>00369</v>
      </c>
      <c r="N8616" t="s">
        <v>6722</v>
      </c>
      <c r="O8616" s="1">
        <v>5381.69</v>
      </c>
      <c r="P8616">
        <v>20181107</v>
      </c>
      <c r="Q8616" t="s">
        <v>6743</v>
      </c>
      <c r="R8616" t="s">
        <v>6754</v>
      </c>
      <c r="S8616" t="s">
        <v>6725</v>
      </c>
      <c r="T8616" t="s">
        <v>6732</v>
      </c>
    </row>
    <row r="8617" spans="1:20" x14ac:dyDescent="0.25">
      <c r="A8617">
        <v>9</v>
      </c>
      <c r="B8617">
        <v>240</v>
      </c>
      <c r="C8617" t="str">
        <f>"35"</f>
        <v>35</v>
      </c>
      <c r="D8617">
        <v>6249</v>
      </c>
      <c r="E8617" t="str">
        <f>"93"</f>
        <v>93</v>
      </c>
      <c r="F8617" t="str">
        <f>"041"</f>
        <v>041</v>
      </c>
      <c r="G8617">
        <v>9</v>
      </c>
      <c r="H8617" t="str">
        <f>"99"</f>
        <v>99</v>
      </c>
      <c r="I8617" t="str">
        <f t="shared" si="1960"/>
        <v>0</v>
      </c>
      <c r="J8617" t="str">
        <f t="shared" si="1965"/>
        <v>00</v>
      </c>
      <c r="K8617">
        <v>20181116</v>
      </c>
      <c r="L8617" t="str">
        <f>"074712"</f>
        <v>074712</v>
      </c>
      <c r="M8617" t="str">
        <f>"60190"</f>
        <v>60190</v>
      </c>
      <c r="N8617" t="s">
        <v>4277</v>
      </c>
      <c r="O8617">
        <v>484.95</v>
      </c>
      <c r="P8617">
        <v>20181115</v>
      </c>
      <c r="Q8617" t="s">
        <v>6748</v>
      </c>
      <c r="R8617" t="s">
        <v>6755</v>
      </c>
      <c r="S8617" t="s">
        <v>6725</v>
      </c>
      <c r="T8617" t="s">
        <v>106</v>
      </c>
    </row>
    <row r="8618" spans="1:20" x14ac:dyDescent="0.25">
      <c r="A8618">
        <v>9</v>
      </c>
      <c r="B8618">
        <v>240</v>
      </c>
      <c r="C8618" t="str">
        <f>"00"</f>
        <v>00</v>
      </c>
      <c r="D8618">
        <v>5751</v>
      </c>
      <c r="E8618" t="str">
        <f>"01"</f>
        <v>01</v>
      </c>
      <c r="F8618" t="str">
        <f>"000"</f>
        <v>000</v>
      </c>
      <c r="G8618">
        <v>9</v>
      </c>
      <c r="H8618" t="str">
        <f>"00"</f>
        <v>00</v>
      </c>
      <c r="I8618" t="str">
        <f t="shared" si="1960"/>
        <v>0</v>
      </c>
      <c r="J8618" t="str">
        <f t="shared" si="1965"/>
        <v>00</v>
      </c>
      <c r="K8618">
        <v>20181207</v>
      </c>
      <c r="L8618" t="str">
        <f>"074837"</f>
        <v>074837</v>
      </c>
      <c r="M8618" t="str">
        <f>"00369"</f>
        <v>00369</v>
      </c>
      <c r="N8618" t="s">
        <v>6722</v>
      </c>
      <c r="O8618" s="1">
        <v>-12682.1</v>
      </c>
      <c r="P8618">
        <v>20181121</v>
      </c>
      <c r="Q8618" t="s">
        <v>6735</v>
      </c>
      <c r="R8618" t="s">
        <v>6756</v>
      </c>
      <c r="S8618" t="s">
        <v>6725</v>
      </c>
      <c r="T8618" t="s">
        <v>296</v>
      </c>
    </row>
    <row r="8619" spans="1:20" x14ac:dyDescent="0.25">
      <c r="A8619">
        <v>9</v>
      </c>
      <c r="B8619">
        <v>240</v>
      </c>
      <c r="C8619" t="str">
        <f t="shared" ref="C8619:C8626" si="1968">"35"</f>
        <v>35</v>
      </c>
      <c r="D8619">
        <v>6217</v>
      </c>
      <c r="E8619" t="str">
        <f>"10"</f>
        <v>10</v>
      </c>
      <c r="F8619" t="str">
        <f>"938"</f>
        <v>938</v>
      </c>
      <c r="G8619">
        <v>9</v>
      </c>
      <c r="H8619" t="str">
        <f t="shared" ref="H8619:H8626" si="1969">"99"</f>
        <v>99</v>
      </c>
      <c r="I8619" t="str">
        <f t="shared" si="1960"/>
        <v>0</v>
      </c>
      <c r="J8619" t="str">
        <f t="shared" si="1965"/>
        <v>00</v>
      </c>
      <c r="K8619">
        <v>20181207</v>
      </c>
      <c r="L8619" t="str">
        <f>"074837"</f>
        <v>074837</v>
      </c>
      <c r="M8619" t="str">
        <f>"00369"</f>
        <v>00369</v>
      </c>
      <c r="N8619" t="s">
        <v>6722</v>
      </c>
      <c r="O8619" s="1">
        <v>48370.01</v>
      </c>
      <c r="P8619">
        <v>20181206</v>
      </c>
      <c r="Q8619" t="s">
        <v>6737</v>
      </c>
      <c r="R8619" t="s">
        <v>6757</v>
      </c>
      <c r="S8619" t="s">
        <v>6725</v>
      </c>
      <c r="T8619" t="s">
        <v>6732</v>
      </c>
    </row>
    <row r="8620" spans="1:20" x14ac:dyDescent="0.25">
      <c r="A8620">
        <v>9</v>
      </c>
      <c r="B8620">
        <v>240</v>
      </c>
      <c r="C8620" t="str">
        <f t="shared" si="1968"/>
        <v>35</v>
      </c>
      <c r="D8620">
        <v>6217</v>
      </c>
      <c r="E8620" t="str">
        <f>"11"</f>
        <v>11</v>
      </c>
      <c r="F8620" t="str">
        <f>"938"</f>
        <v>938</v>
      </c>
      <c r="G8620">
        <v>9</v>
      </c>
      <c r="H8620" t="str">
        <f t="shared" si="1969"/>
        <v>99</v>
      </c>
      <c r="I8620" t="str">
        <f t="shared" si="1960"/>
        <v>0</v>
      </c>
      <c r="J8620" t="str">
        <f t="shared" si="1965"/>
        <v>00</v>
      </c>
      <c r="K8620">
        <v>20181207</v>
      </c>
      <c r="L8620" t="str">
        <f>"074837"</f>
        <v>074837</v>
      </c>
      <c r="M8620" t="str">
        <f>"00369"</f>
        <v>00369</v>
      </c>
      <c r="N8620" t="s">
        <v>6722</v>
      </c>
      <c r="O8620" s="1">
        <v>106483.1</v>
      </c>
      <c r="P8620">
        <v>20181206</v>
      </c>
      <c r="Q8620" t="s">
        <v>6739</v>
      </c>
      <c r="R8620" t="s">
        <v>6758</v>
      </c>
      <c r="S8620" t="s">
        <v>6725</v>
      </c>
      <c r="T8620" t="s">
        <v>6732</v>
      </c>
    </row>
    <row r="8621" spans="1:20" x14ac:dyDescent="0.25">
      <c r="A8621">
        <v>9</v>
      </c>
      <c r="B8621">
        <v>240</v>
      </c>
      <c r="C8621" t="str">
        <f t="shared" si="1968"/>
        <v>35</v>
      </c>
      <c r="D8621">
        <v>6217</v>
      </c>
      <c r="E8621" t="str">
        <f>"12"</f>
        <v>12</v>
      </c>
      <c r="F8621" t="str">
        <f>"938"</f>
        <v>938</v>
      </c>
      <c r="G8621">
        <v>9</v>
      </c>
      <c r="H8621" t="str">
        <f t="shared" si="1969"/>
        <v>99</v>
      </c>
      <c r="I8621" t="str">
        <f t="shared" si="1960"/>
        <v>0</v>
      </c>
      <c r="J8621" t="str">
        <f t="shared" si="1965"/>
        <v>00</v>
      </c>
      <c r="K8621">
        <v>20181207</v>
      </c>
      <c r="L8621" t="str">
        <f>"074837"</f>
        <v>074837</v>
      </c>
      <c r="M8621" t="str">
        <f>"00369"</f>
        <v>00369</v>
      </c>
      <c r="N8621" t="s">
        <v>6722</v>
      </c>
      <c r="O8621" s="1">
        <v>40747.58</v>
      </c>
      <c r="P8621">
        <v>20181206</v>
      </c>
      <c r="Q8621" t="s">
        <v>6741</v>
      </c>
      <c r="R8621" t="s">
        <v>6759</v>
      </c>
      <c r="S8621" t="s">
        <v>6725</v>
      </c>
      <c r="T8621" t="s">
        <v>6732</v>
      </c>
    </row>
    <row r="8622" spans="1:20" x14ac:dyDescent="0.25">
      <c r="A8622">
        <v>9</v>
      </c>
      <c r="B8622">
        <v>240</v>
      </c>
      <c r="C8622" t="str">
        <f t="shared" si="1968"/>
        <v>35</v>
      </c>
      <c r="D8622">
        <v>6217</v>
      </c>
      <c r="E8622" t="str">
        <f>"13"</f>
        <v>13</v>
      </c>
      <c r="F8622" t="str">
        <f>"938"</f>
        <v>938</v>
      </c>
      <c r="G8622">
        <v>9</v>
      </c>
      <c r="H8622" t="str">
        <f t="shared" si="1969"/>
        <v>99</v>
      </c>
      <c r="I8622" t="str">
        <f t="shared" si="1960"/>
        <v>0</v>
      </c>
      <c r="J8622" t="str">
        <f t="shared" si="1965"/>
        <v>00</v>
      </c>
      <c r="K8622">
        <v>20181207</v>
      </c>
      <c r="L8622" t="str">
        <f>"074837"</f>
        <v>074837</v>
      </c>
      <c r="M8622" t="str">
        <f>"00369"</f>
        <v>00369</v>
      </c>
      <c r="N8622" t="s">
        <v>6722</v>
      </c>
      <c r="O8622" s="1">
        <v>6478.76</v>
      </c>
      <c r="P8622">
        <v>20181206</v>
      </c>
      <c r="Q8622" t="s">
        <v>6743</v>
      </c>
      <c r="R8622" t="s">
        <v>6760</v>
      </c>
      <c r="S8622" t="s">
        <v>6725</v>
      </c>
      <c r="T8622" t="s">
        <v>6732</v>
      </c>
    </row>
    <row r="8623" spans="1:20" x14ac:dyDescent="0.25">
      <c r="A8623">
        <v>9</v>
      </c>
      <c r="B8623">
        <v>240</v>
      </c>
      <c r="C8623" t="str">
        <f t="shared" si="1968"/>
        <v>35</v>
      </c>
      <c r="D8623">
        <v>6249</v>
      </c>
      <c r="E8623" t="str">
        <f>"93"</f>
        <v>93</v>
      </c>
      <c r="F8623" t="str">
        <f>"001"</f>
        <v>001</v>
      </c>
      <c r="G8623">
        <v>9</v>
      </c>
      <c r="H8623" t="str">
        <f t="shared" si="1969"/>
        <v>99</v>
      </c>
      <c r="I8623" t="str">
        <f t="shared" si="1960"/>
        <v>0</v>
      </c>
      <c r="J8623" t="str">
        <f t="shared" si="1965"/>
        <v>00</v>
      </c>
      <c r="K8623">
        <v>20190111</v>
      </c>
      <c r="L8623" t="str">
        <f>"075257"</f>
        <v>075257</v>
      </c>
      <c r="M8623" t="str">
        <f>"60190"</f>
        <v>60190</v>
      </c>
      <c r="N8623" t="s">
        <v>4277</v>
      </c>
      <c r="O8623">
        <v>666.75</v>
      </c>
      <c r="P8623">
        <v>20190110</v>
      </c>
      <c r="Q8623" t="s">
        <v>6746</v>
      </c>
      <c r="R8623" t="s">
        <v>6761</v>
      </c>
      <c r="S8623" t="s">
        <v>6725</v>
      </c>
      <c r="T8623" t="s">
        <v>301</v>
      </c>
    </row>
    <row r="8624" spans="1:20" x14ac:dyDescent="0.25">
      <c r="A8624">
        <v>9</v>
      </c>
      <c r="B8624">
        <v>240</v>
      </c>
      <c r="C8624" t="str">
        <f t="shared" si="1968"/>
        <v>35</v>
      </c>
      <c r="D8624">
        <v>6249</v>
      </c>
      <c r="E8624" t="str">
        <f>"93"</f>
        <v>93</v>
      </c>
      <c r="F8624" t="str">
        <f>"101"</f>
        <v>101</v>
      </c>
      <c r="G8624">
        <v>9</v>
      </c>
      <c r="H8624" t="str">
        <f t="shared" si="1969"/>
        <v>99</v>
      </c>
      <c r="I8624" t="str">
        <f t="shared" si="1960"/>
        <v>0</v>
      </c>
      <c r="J8624" t="str">
        <f t="shared" si="1965"/>
        <v>00</v>
      </c>
      <c r="K8624">
        <v>20190111</v>
      </c>
      <c r="L8624" t="str">
        <f>"075257"</f>
        <v>075257</v>
      </c>
      <c r="M8624" t="str">
        <f>"60190"</f>
        <v>60190</v>
      </c>
      <c r="N8624" t="s">
        <v>4277</v>
      </c>
      <c r="O8624" s="1">
        <v>1090.73</v>
      </c>
      <c r="P8624">
        <v>20190110</v>
      </c>
      <c r="Q8624" t="s">
        <v>6762</v>
      </c>
      <c r="R8624" t="s">
        <v>6763</v>
      </c>
      <c r="S8624" t="s">
        <v>6725</v>
      </c>
      <c r="T8624" t="s">
        <v>1479</v>
      </c>
    </row>
    <row r="8625" spans="1:20" x14ac:dyDescent="0.25">
      <c r="A8625">
        <v>9</v>
      </c>
      <c r="B8625">
        <v>240</v>
      </c>
      <c r="C8625" t="str">
        <f t="shared" si="1968"/>
        <v>35</v>
      </c>
      <c r="D8625">
        <v>6249</v>
      </c>
      <c r="E8625" t="str">
        <f>"93"</f>
        <v>93</v>
      </c>
      <c r="F8625" t="str">
        <f>"101"</f>
        <v>101</v>
      </c>
      <c r="G8625">
        <v>9</v>
      </c>
      <c r="H8625" t="str">
        <f t="shared" si="1969"/>
        <v>99</v>
      </c>
      <c r="I8625" t="str">
        <f t="shared" si="1960"/>
        <v>0</v>
      </c>
      <c r="J8625" t="str">
        <f t="shared" si="1965"/>
        <v>00</v>
      </c>
      <c r="K8625">
        <v>20190111</v>
      </c>
      <c r="L8625" t="str">
        <f>"075257"</f>
        <v>075257</v>
      </c>
      <c r="M8625" t="str">
        <f>"60190"</f>
        <v>60190</v>
      </c>
      <c r="N8625" t="s">
        <v>4277</v>
      </c>
      <c r="O8625" s="1">
        <v>2519.77</v>
      </c>
      <c r="P8625">
        <v>20190110</v>
      </c>
      <c r="Q8625" t="s">
        <v>6762</v>
      </c>
      <c r="R8625" t="s">
        <v>6764</v>
      </c>
      <c r="S8625" t="s">
        <v>6725</v>
      </c>
      <c r="T8625" t="s">
        <v>1479</v>
      </c>
    </row>
    <row r="8626" spans="1:20" x14ac:dyDescent="0.25">
      <c r="A8626">
        <v>9</v>
      </c>
      <c r="B8626">
        <v>240</v>
      </c>
      <c r="C8626" t="str">
        <f t="shared" si="1968"/>
        <v>35</v>
      </c>
      <c r="D8626">
        <v>6249</v>
      </c>
      <c r="E8626" t="str">
        <f>"93"</f>
        <v>93</v>
      </c>
      <c r="F8626" t="str">
        <f>"104"</f>
        <v>104</v>
      </c>
      <c r="G8626">
        <v>9</v>
      </c>
      <c r="H8626" t="str">
        <f t="shared" si="1969"/>
        <v>99</v>
      </c>
      <c r="I8626" t="str">
        <f t="shared" si="1960"/>
        <v>0</v>
      </c>
      <c r="J8626" t="str">
        <f t="shared" si="1965"/>
        <v>00</v>
      </c>
      <c r="K8626">
        <v>20190111</v>
      </c>
      <c r="L8626" t="str">
        <f>"075257"</f>
        <v>075257</v>
      </c>
      <c r="M8626" t="str">
        <f>"60190"</f>
        <v>60190</v>
      </c>
      <c r="N8626" t="s">
        <v>4277</v>
      </c>
      <c r="O8626" s="1">
        <v>6233.12</v>
      </c>
      <c r="P8626">
        <v>20190110</v>
      </c>
      <c r="Q8626" t="s">
        <v>6765</v>
      </c>
      <c r="R8626" t="s">
        <v>6766</v>
      </c>
      <c r="S8626" t="s">
        <v>6725</v>
      </c>
      <c r="T8626" t="s">
        <v>46</v>
      </c>
    </row>
    <row r="8627" spans="1:20" x14ac:dyDescent="0.25">
      <c r="A8627">
        <v>9</v>
      </c>
      <c r="B8627">
        <v>240</v>
      </c>
      <c r="C8627" t="str">
        <f>"00"</f>
        <v>00</v>
      </c>
      <c r="D8627">
        <v>5751</v>
      </c>
      <c r="E8627" t="str">
        <f>"01"</f>
        <v>01</v>
      </c>
      <c r="F8627" t="str">
        <f>"000"</f>
        <v>000</v>
      </c>
      <c r="G8627">
        <v>9</v>
      </c>
      <c r="H8627" t="str">
        <f>"00"</f>
        <v>00</v>
      </c>
      <c r="I8627" t="str">
        <f t="shared" si="1960"/>
        <v>0</v>
      </c>
      <c r="J8627" t="str">
        <f t="shared" si="1965"/>
        <v>00</v>
      </c>
      <c r="K8627">
        <v>20190125</v>
      </c>
      <c r="L8627" t="str">
        <f>"075319"</f>
        <v>075319</v>
      </c>
      <c r="M8627" t="str">
        <f>"00369"</f>
        <v>00369</v>
      </c>
      <c r="N8627" t="s">
        <v>6722</v>
      </c>
      <c r="O8627" s="1">
        <v>-9451.9699999999993</v>
      </c>
      <c r="P8627">
        <v>20181226</v>
      </c>
      <c r="Q8627" t="s">
        <v>6735</v>
      </c>
      <c r="R8627" t="s">
        <v>6767</v>
      </c>
      <c r="S8627" t="s">
        <v>6725</v>
      </c>
      <c r="T8627" t="s">
        <v>296</v>
      </c>
    </row>
    <row r="8628" spans="1:20" x14ac:dyDescent="0.25">
      <c r="A8628">
        <v>9</v>
      </c>
      <c r="B8628">
        <v>240</v>
      </c>
      <c r="C8628" t="str">
        <f>"35"</f>
        <v>35</v>
      </c>
      <c r="D8628">
        <v>6217</v>
      </c>
      <c r="E8628" t="str">
        <f>"10"</f>
        <v>10</v>
      </c>
      <c r="F8628" t="str">
        <f>"938"</f>
        <v>938</v>
      </c>
      <c r="G8628">
        <v>9</v>
      </c>
      <c r="H8628" t="str">
        <f t="shared" ref="H8628:H8635" si="1970">"99"</f>
        <v>99</v>
      </c>
      <c r="I8628" t="str">
        <f t="shared" si="1960"/>
        <v>0</v>
      </c>
      <c r="J8628" t="str">
        <f t="shared" si="1965"/>
        <v>00</v>
      </c>
      <c r="K8628">
        <v>20190125</v>
      </c>
      <c r="L8628" t="str">
        <f>"075319"</f>
        <v>075319</v>
      </c>
      <c r="M8628" t="str">
        <f>"00369"</f>
        <v>00369</v>
      </c>
      <c r="N8628" t="s">
        <v>6722</v>
      </c>
      <c r="O8628" s="1">
        <v>49178.35</v>
      </c>
      <c r="P8628">
        <v>20190124</v>
      </c>
      <c r="Q8628" t="s">
        <v>6737</v>
      </c>
      <c r="R8628" t="s">
        <v>6768</v>
      </c>
      <c r="S8628" t="s">
        <v>6725</v>
      </c>
      <c r="T8628" t="s">
        <v>6732</v>
      </c>
    </row>
    <row r="8629" spans="1:20" x14ac:dyDescent="0.25">
      <c r="A8629">
        <v>9</v>
      </c>
      <c r="B8629">
        <v>240</v>
      </c>
      <c r="C8629" t="str">
        <f>"35"</f>
        <v>35</v>
      </c>
      <c r="D8629">
        <v>6217</v>
      </c>
      <c r="E8629" t="str">
        <f>"11"</f>
        <v>11</v>
      </c>
      <c r="F8629" t="str">
        <f>"938"</f>
        <v>938</v>
      </c>
      <c r="G8629">
        <v>9</v>
      </c>
      <c r="H8629" t="str">
        <f t="shared" si="1970"/>
        <v>99</v>
      </c>
      <c r="I8629" t="str">
        <f t="shared" si="1960"/>
        <v>0</v>
      </c>
      <c r="J8629" t="str">
        <f t="shared" si="1965"/>
        <v>00</v>
      </c>
      <c r="K8629">
        <v>20190125</v>
      </c>
      <c r="L8629" t="str">
        <f>"075319"</f>
        <v>075319</v>
      </c>
      <c r="M8629" t="str">
        <f>"00369"</f>
        <v>00369</v>
      </c>
      <c r="N8629" t="s">
        <v>6722</v>
      </c>
      <c r="O8629" s="1">
        <v>107430.69</v>
      </c>
      <c r="P8629">
        <v>20190124</v>
      </c>
      <c r="Q8629" t="s">
        <v>6739</v>
      </c>
      <c r="R8629" t="s">
        <v>6769</v>
      </c>
      <c r="S8629" t="s">
        <v>6725</v>
      </c>
      <c r="T8629" t="s">
        <v>6732</v>
      </c>
    </row>
    <row r="8630" spans="1:20" x14ac:dyDescent="0.25">
      <c r="A8630">
        <v>9</v>
      </c>
      <c r="B8630">
        <v>240</v>
      </c>
      <c r="C8630" t="str">
        <f>"35"</f>
        <v>35</v>
      </c>
      <c r="D8630">
        <v>6217</v>
      </c>
      <c r="E8630" t="str">
        <f>"12"</f>
        <v>12</v>
      </c>
      <c r="F8630" t="str">
        <f>"938"</f>
        <v>938</v>
      </c>
      <c r="G8630">
        <v>9</v>
      </c>
      <c r="H8630" t="str">
        <f t="shared" si="1970"/>
        <v>99</v>
      </c>
      <c r="I8630" t="str">
        <f t="shared" si="1960"/>
        <v>0</v>
      </c>
      <c r="J8630" t="str">
        <f t="shared" si="1965"/>
        <v>00</v>
      </c>
      <c r="K8630">
        <v>20190125</v>
      </c>
      <c r="L8630" t="str">
        <f>"075319"</f>
        <v>075319</v>
      </c>
      <c r="M8630" t="str">
        <f>"00369"</f>
        <v>00369</v>
      </c>
      <c r="N8630" t="s">
        <v>6722</v>
      </c>
      <c r="O8630" s="1">
        <v>34366.9</v>
      </c>
      <c r="P8630">
        <v>20190124</v>
      </c>
      <c r="Q8630" t="s">
        <v>6741</v>
      </c>
      <c r="R8630" t="s">
        <v>6770</v>
      </c>
      <c r="S8630" t="s">
        <v>6725</v>
      </c>
      <c r="T8630" t="s">
        <v>6732</v>
      </c>
    </row>
    <row r="8631" spans="1:20" x14ac:dyDescent="0.25">
      <c r="A8631">
        <v>9</v>
      </c>
      <c r="B8631">
        <v>240</v>
      </c>
      <c r="C8631" t="str">
        <f>"35"</f>
        <v>35</v>
      </c>
      <c r="D8631">
        <v>6217</v>
      </c>
      <c r="E8631" t="str">
        <f>"13"</f>
        <v>13</v>
      </c>
      <c r="F8631" t="str">
        <f>"938"</f>
        <v>938</v>
      </c>
      <c r="G8631">
        <v>9</v>
      </c>
      <c r="H8631" t="str">
        <f t="shared" si="1970"/>
        <v>99</v>
      </c>
      <c r="I8631" t="str">
        <f t="shared" si="1960"/>
        <v>0</v>
      </c>
      <c r="J8631" t="str">
        <f t="shared" si="1965"/>
        <v>00</v>
      </c>
      <c r="K8631">
        <v>20190125</v>
      </c>
      <c r="L8631" t="str">
        <f>"075319"</f>
        <v>075319</v>
      </c>
      <c r="M8631" t="str">
        <f>"00369"</f>
        <v>00369</v>
      </c>
      <c r="N8631" t="s">
        <v>6722</v>
      </c>
      <c r="O8631" s="1">
        <v>4732.1000000000004</v>
      </c>
      <c r="P8631">
        <v>20190124</v>
      </c>
      <c r="Q8631" t="s">
        <v>6743</v>
      </c>
      <c r="R8631" t="s">
        <v>6771</v>
      </c>
      <c r="S8631" t="s">
        <v>6725</v>
      </c>
      <c r="T8631" t="s">
        <v>6732</v>
      </c>
    </row>
    <row r="8632" spans="1:20" x14ac:dyDescent="0.25">
      <c r="A8632">
        <v>9</v>
      </c>
      <c r="B8632">
        <v>240</v>
      </c>
      <c r="C8632" t="str">
        <f>"51"</f>
        <v>51</v>
      </c>
      <c r="D8632">
        <v>6249</v>
      </c>
      <c r="E8632" t="str">
        <f>"00"</f>
        <v>00</v>
      </c>
      <c r="F8632" t="str">
        <f>"001"</f>
        <v>001</v>
      </c>
      <c r="G8632">
        <v>9</v>
      </c>
      <c r="H8632" t="str">
        <f t="shared" si="1970"/>
        <v>99</v>
      </c>
      <c r="I8632" t="str">
        <f t="shared" si="1960"/>
        <v>0</v>
      </c>
      <c r="J8632" t="str">
        <f t="shared" si="1965"/>
        <v>00</v>
      </c>
      <c r="K8632">
        <v>20190131</v>
      </c>
      <c r="L8632" t="str">
        <f>"075444"</f>
        <v>075444</v>
      </c>
      <c r="M8632" t="str">
        <f>"19076"</f>
        <v>19076</v>
      </c>
      <c r="N8632" t="s">
        <v>5370</v>
      </c>
      <c r="O8632">
        <v>395</v>
      </c>
      <c r="P8632">
        <v>20190131</v>
      </c>
      <c r="Q8632" t="s">
        <v>6772</v>
      </c>
      <c r="R8632" t="s">
        <v>5371</v>
      </c>
      <c r="S8632" t="s">
        <v>6725</v>
      </c>
      <c r="T8632" t="s">
        <v>301</v>
      </c>
    </row>
    <row r="8633" spans="1:20" x14ac:dyDescent="0.25">
      <c r="A8633">
        <v>9</v>
      </c>
      <c r="B8633">
        <v>240</v>
      </c>
      <c r="C8633" t="str">
        <f>"51"</f>
        <v>51</v>
      </c>
      <c r="D8633">
        <v>6249</v>
      </c>
      <c r="E8633" t="str">
        <f>"00"</f>
        <v>00</v>
      </c>
      <c r="F8633" t="str">
        <f>"041"</f>
        <v>041</v>
      </c>
      <c r="G8633">
        <v>9</v>
      </c>
      <c r="H8633" t="str">
        <f t="shared" si="1970"/>
        <v>99</v>
      </c>
      <c r="I8633" t="str">
        <f t="shared" si="1960"/>
        <v>0</v>
      </c>
      <c r="J8633" t="str">
        <f t="shared" si="1965"/>
        <v>00</v>
      </c>
      <c r="K8633">
        <v>20190131</v>
      </c>
      <c r="L8633" t="str">
        <f>"075444"</f>
        <v>075444</v>
      </c>
      <c r="M8633" t="str">
        <f>"19076"</f>
        <v>19076</v>
      </c>
      <c r="N8633" t="s">
        <v>5370</v>
      </c>
      <c r="O8633">
        <v>395</v>
      </c>
      <c r="P8633">
        <v>20190131</v>
      </c>
      <c r="Q8633" t="s">
        <v>6773</v>
      </c>
      <c r="R8633" t="s">
        <v>5371</v>
      </c>
      <c r="S8633" t="s">
        <v>6725</v>
      </c>
      <c r="T8633" t="s">
        <v>106</v>
      </c>
    </row>
    <row r="8634" spans="1:20" x14ac:dyDescent="0.25">
      <c r="A8634">
        <v>9</v>
      </c>
      <c r="B8634">
        <v>240</v>
      </c>
      <c r="C8634" t="str">
        <f>"51"</f>
        <v>51</v>
      </c>
      <c r="D8634">
        <v>6249</v>
      </c>
      <c r="E8634" t="str">
        <f>"00"</f>
        <v>00</v>
      </c>
      <c r="F8634" t="str">
        <f>"101"</f>
        <v>101</v>
      </c>
      <c r="G8634">
        <v>9</v>
      </c>
      <c r="H8634" t="str">
        <f t="shared" si="1970"/>
        <v>99</v>
      </c>
      <c r="I8634" t="str">
        <f t="shared" si="1960"/>
        <v>0</v>
      </c>
      <c r="J8634" t="str">
        <f t="shared" si="1965"/>
        <v>00</v>
      </c>
      <c r="K8634">
        <v>20190131</v>
      </c>
      <c r="L8634" t="str">
        <f>"075444"</f>
        <v>075444</v>
      </c>
      <c r="M8634" t="str">
        <f>"19076"</f>
        <v>19076</v>
      </c>
      <c r="N8634" t="s">
        <v>5370</v>
      </c>
      <c r="O8634">
        <v>395</v>
      </c>
      <c r="P8634">
        <v>20190131</v>
      </c>
      <c r="Q8634" t="s">
        <v>6774</v>
      </c>
      <c r="R8634" t="s">
        <v>5371</v>
      </c>
      <c r="S8634" t="s">
        <v>6725</v>
      </c>
      <c r="T8634" t="s">
        <v>1479</v>
      </c>
    </row>
    <row r="8635" spans="1:20" x14ac:dyDescent="0.25">
      <c r="A8635">
        <v>9</v>
      </c>
      <c r="B8635">
        <v>240</v>
      </c>
      <c r="C8635" t="str">
        <f>"51"</f>
        <v>51</v>
      </c>
      <c r="D8635">
        <v>6249</v>
      </c>
      <c r="E8635" t="str">
        <f>"00"</f>
        <v>00</v>
      </c>
      <c r="F8635" t="str">
        <f>"104"</f>
        <v>104</v>
      </c>
      <c r="G8635">
        <v>9</v>
      </c>
      <c r="H8635" t="str">
        <f t="shared" si="1970"/>
        <v>99</v>
      </c>
      <c r="I8635" t="str">
        <f t="shared" ref="I8635:I8698" si="1971">"0"</f>
        <v>0</v>
      </c>
      <c r="J8635" t="str">
        <f t="shared" si="1965"/>
        <v>00</v>
      </c>
      <c r="K8635">
        <v>20190131</v>
      </c>
      <c r="L8635" t="str">
        <f>"075444"</f>
        <v>075444</v>
      </c>
      <c r="M8635" t="str">
        <f>"19076"</f>
        <v>19076</v>
      </c>
      <c r="N8635" t="s">
        <v>5370</v>
      </c>
      <c r="O8635">
        <v>395</v>
      </c>
      <c r="P8635">
        <v>20190131</v>
      </c>
      <c r="Q8635" t="s">
        <v>6775</v>
      </c>
      <c r="R8635" t="s">
        <v>5371</v>
      </c>
      <c r="S8635" t="s">
        <v>6725</v>
      </c>
      <c r="T8635" t="s">
        <v>46</v>
      </c>
    </row>
    <row r="8636" spans="1:20" x14ac:dyDescent="0.25">
      <c r="A8636">
        <v>9</v>
      </c>
      <c r="B8636">
        <v>240</v>
      </c>
      <c r="C8636" t="str">
        <f>"00"</f>
        <v>00</v>
      </c>
      <c r="D8636">
        <v>5751</v>
      </c>
      <c r="E8636" t="str">
        <f>"01"</f>
        <v>01</v>
      </c>
      <c r="F8636" t="str">
        <f>"000"</f>
        <v>000</v>
      </c>
      <c r="G8636">
        <v>9</v>
      </c>
      <c r="H8636" t="str">
        <f>"00"</f>
        <v>00</v>
      </c>
      <c r="I8636" t="str">
        <f t="shared" si="1971"/>
        <v>0</v>
      </c>
      <c r="J8636" t="str">
        <f t="shared" si="1965"/>
        <v>00</v>
      </c>
      <c r="K8636">
        <v>20190215</v>
      </c>
      <c r="L8636" t="str">
        <f>"075683"</f>
        <v>075683</v>
      </c>
      <c r="M8636" t="str">
        <f>"00369"</f>
        <v>00369</v>
      </c>
      <c r="N8636" t="s">
        <v>6722</v>
      </c>
      <c r="O8636" s="1">
        <v>-4530.18</v>
      </c>
      <c r="P8636">
        <v>20190123</v>
      </c>
      <c r="Q8636" t="s">
        <v>6735</v>
      </c>
      <c r="R8636" t="s">
        <v>6776</v>
      </c>
      <c r="S8636" t="s">
        <v>6725</v>
      </c>
      <c r="T8636" t="s">
        <v>296</v>
      </c>
    </row>
    <row r="8637" spans="1:20" x14ac:dyDescent="0.25">
      <c r="A8637">
        <v>9</v>
      </c>
      <c r="B8637">
        <v>240</v>
      </c>
      <c r="C8637" t="str">
        <f t="shared" ref="C8637:C8648" si="1972">"35"</f>
        <v>35</v>
      </c>
      <c r="D8637">
        <v>6217</v>
      </c>
      <c r="E8637" t="str">
        <f>"10"</f>
        <v>10</v>
      </c>
      <c r="F8637" t="str">
        <f>"938"</f>
        <v>938</v>
      </c>
      <c r="G8637">
        <v>9</v>
      </c>
      <c r="H8637" t="str">
        <f t="shared" ref="H8637:H8651" si="1973">"99"</f>
        <v>99</v>
      </c>
      <c r="I8637" t="str">
        <f t="shared" si="1971"/>
        <v>0</v>
      </c>
      <c r="J8637" t="str">
        <f t="shared" si="1965"/>
        <v>00</v>
      </c>
      <c r="K8637">
        <v>20190215</v>
      </c>
      <c r="L8637" t="str">
        <f>"075683"</f>
        <v>075683</v>
      </c>
      <c r="M8637" t="str">
        <f>"00369"</f>
        <v>00369</v>
      </c>
      <c r="N8637" t="s">
        <v>6722</v>
      </c>
      <c r="O8637" s="1">
        <v>22821.34</v>
      </c>
      <c r="P8637">
        <v>20190213</v>
      </c>
      <c r="Q8637" t="s">
        <v>6737</v>
      </c>
      <c r="R8637" t="s">
        <v>6777</v>
      </c>
      <c r="S8637" t="s">
        <v>6725</v>
      </c>
      <c r="T8637" t="s">
        <v>6732</v>
      </c>
    </row>
    <row r="8638" spans="1:20" x14ac:dyDescent="0.25">
      <c r="A8638">
        <v>9</v>
      </c>
      <c r="B8638">
        <v>240</v>
      </c>
      <c r="C8638" t="str">
        <f t="shared" si="1972"/>
        <v>35</v>
      </c>
      <c r="D8638">
        <v>6217</v>
      </c>
      <c r="E8638" t="str">
        <f>"11"</f>
        <v>11</v>
      </c>
      <c r="F8638" t="str">
        <f>"938"</f>
        <v>938</v>
      </c>
      <c r="G8638">
        <v>9</v>
      </c>
      <c r="H8638" t="str">
        <f t="shared" si="1973"/>
        <v>99</v>
      </c>
      <c r="I8638" t="str">
        <f t="shared" si="1971"/>
        <v>0</v>
      </c>
      <c r="J8638" t="str">
        <f t="shared" si="1965"/>
        <v>00</v>
      </c>
      <c r="K8638">
        <v>20190215</v>
      </c>
      <c r="L8638" t="str">
        <f>"075683"</f>
        <v>075683</v>
      </c>
      <c r="M8638" t="str">
        <f>"00369"</f>
        <v>00369</v>
      </c>
      <c r="N8638" t="s">
        <v>6722</v>
      </c>
      <c r="O8638" s="1">
        <v>49239.74</v>
      </c>
      <c r="P8638">
        <v>20190213</v>
      </c>
      <c r="Q8638" t="s">
        <v>6739</v>
      </c>
      <c r="R8638" t="s">
        <v>6778</v>
      </c>
      <c r="S8638" t="s">
        <v>6725</v>
      </c>
      <c r="T8638" t="s">
        <v>6732</v>
      </c>
    </row>
    <row r="8639" spans="1:20" x14ac:dyDescent="0.25">
      <c r="A8639">
        <v>9</v>
      </c>
      <c r="B8639">
        <v>240</v>
      </c>
      <c r="C8639" t="str">
        <f t="shared" si="1972"/>
        <v>35</v>
      </c>
      <c r="D8639">
        <v>6217</v>
      </c>
      <c r="E8639" t="str">
        <f>"12"</f>
        <v>12</v>
      </c>
      <c r="F8639" t="str">
        <f>"938"</f>
        <v>938</v>
      </c>
      <c r="G8639">
        <v>9</v>
      </c>
      <c r="H8639" t="str">
        <f t="shared" si="1973"/>
        <v>99</v>
      </c>
      <c r="I8639" t="str">
        <f t="shared" si="1971"/>
        <v>0</v>
      </c>
      <c r="J8639" t="str">
        <f t="shared" si="1965"/>
        <v>00</v>
      </c>
      <c r="K8639">
        <v>20190215</v>
      </c>
      <c r="L8639" t="str">
        <f>"075683"</f>
        <v>075683</v>
      </c>
      <c r="M8639" t="str">
        <f>"00369"</f>
        <v>00369</v>
      </c>
      <c r="N8639" t="s">
        <v>6722</v>
      </c>
      <c r="O8639" s="1">
        <v>15254.14</v>
      </c>
      <c r="P8639">
        <v>20190213</v>
      </c>
      <c r="Q8639" t="s">
        <v>6741</v>
      </c>
      <c r="R8639" t="s">
        <v>6779</v>
      </c>
      <c r="S8639" t="s">
        <v>6725</v>
      </c>
      <c r="T8639" t="s">
        <v>6732</v>
      </c>
    </row>
    <row r="8640" spans="1:20" x14ac:dyDescent="0.25">
      <c r="A8640">
        <v>9</v>
      </c>
      <c r="B8640">
        <v>240</v>
      </c>
      <c r="C8640" t="str">
        <f t="shared" si="1972"/>
        <v>35</v>
      </c>
      <c r="D8640">
        <v>6217</v>
      </c>
      <c r="E8640" t="str">
        <f>"13"</f>
        <v>13</v>
      </c>
      <c r="F8640" t="str">
        <f>"938"</f>
        <v>938</v>
      </c>
      <c r="G8640">
        <v>9</v>
      </c>
      <c r="H8640" t="str">
        <f t="shared" si="1973"/>
        <v>99</v>
      </c>
      <c r="I8640" t="str">
        <f t="shared" si="1971"/>
        <v>0</v>
      </c>
      <c r="J8640" t="str">
        <f t="shared" si="1965"/>
        <v>00</v>
      </c>
      <c r="K8640">
        <v>20190215</v>
      </c>
      <c r="L8640" t="str">
        <f>"075683"</f>
        <v>075683</v>
      </c>
      <c r="M8640" t="str">
        <f>"00369"</f>
        <v>00369</v>
      </c>
      <c r="N8640" t="s">
        <v>6722</v>
      </c>
      <c r="O8640" s="1">
        <v>2171.02</v>
      </c>
      <c r="P8640">
        <v>20190213</v>
      </c>
      <c r="Q8640" t="s">
        <v>6743</v>
      </c>
      <c r="R8640" t="s">
        <v>6780</v>
      </c>
      <c r="S8640" t="s">
        <v>6725</v>
      </c>
      <c r="T8640" t="s">
        <v>6732</v>
      </c>
    </row>
    <row r="8641" spans="1:20" x14ac:dyDescent="0.25">
      <c r="A8641">
        <v>9</v>
      </c>
      <c r="B8641">
        <v>240</v>
      </c>
      <c r="C8641" t="str">
        <f t="shared" si="1972"/>
        <v>35</v>
      </c>
      <c r="D8641">
        <v>6249</v>
      </c>
      <c r="E8641" t="str">
        <f t="shared" ref="E8641:E8648" si="1974">"93"</f>
        <v>93</v>
      </c>
      <c r="F8641" t="str">
        <f>"001"</f>
        <v>001</v>
      </c>
      <c r="G8641">
        <v>9</v>
      </c>
      <c r="H8641" t="str">
        <f t="shared" si="1973"/>
        <v>99</v>
      </c>
      <c r="I8641" t="str">
        <f t="shared" si="1971"/>
        <v>0</v>
      </c>
      <c r="J8641" t="str">
        <f t="shared" si="1965"/>
        <v>00</v>
      </c>
      <c r="K8641">
        <v>20190215</v>
      </c>
      <c r="L8641" t="str">
        <f>"075730"</f>
        <v>075730</v>
      </c>
      <c r="M8641" t="str">
        <f>"46369"</f>
        <v>46369</v>
      </c>
      <c r="N8641" t="s">
        <v>2086</v>
      </c>
      <c r="O8641">
        <v>360</v>
      </c>
      <c r="P8641">
        <v>20190214</v>
      </c>
      <c r="Q8641" t="s">
        <v>6746</v>
      </c>
      <c r="R8641" t="s">
        <v>6781</v>
      </c>
      <c r="S8641" t="s">
        <v>6725</v>
      </c>
      <c r="T8641" t="s">
        <v>301</v>
      </c>
    </row>
    <row r="8642" spans="1:20" x14ac:dyDescent="0.25">
      <c r="A8642">
        <v>9</v>
      </c>
      <c r="B8642">
        <v>240</v>
      </c>
      <c r="C8642" t="str">
        <f t="shared" si="1972"/>
        <v>35</v>
      </c>
      <c r="D8642">
        <v>6249</v>
      </c>
      <c r="E8642" t="str">
        <f t="shared" si="1974"/>
        <v>93</v>
      </c>
      <c r="F8642" t="str">
        <f>"041"</f>
        <v>041</v>
      </c>
      <c r="G8642">
        <v>9</v>
      </c>
      <c r="H8642" t="str">
        <f t="shared" si="1973"/>
        <v>99</v>
      </c>
      <c r="I8642" t="str">
        <f t="shared" si="1971"/>
        <v>0</v>
      </c>
      <c r="J8642" t="str">
        <f t="shared" si="1965"/>
        <v>00</v>
      </c>
      <c r="K8642">
        <v>20190215</v>
      </c>
      <c r="L8642" t="str">
        <f>"075730"</f>
        <v>075730</v>
      </c>
      <c r="M8642" t="str">
        <f>"46369"</f>
        <v>46369</v>
      </c>
      <c r="N8642" t="s">
        <v>2086</v>
      </c>
      <c r="O8642">
        <v>280</v>
      </c>
      <c r="P8642">
        <v>20190214</v>
      </c>
      <c r="Q8642" t="s">
        <v>6748</v>
      </c>
      <c r="R8642" t="s">
        <v>6781</v>
      </c>
      <c r="S8642" t="s">
        <v>6725</v>
      </c>
      <c r="T8642" t="s">
        <v>106</v>
      </c>
    </row>
    <row r="8643" spans="1:20" x14ac:dyDescent="0.25">
      <c r="A8643">
        <v>9</v>
      </c>
      <c r="B8643">
        <v>240</v>
      </c>
      <c r="C8643" t="str">
        <f t="shared" si="1972"/>
        <v>35</v>
      </c>
      <c r="D8643">
        <v>6249</v>
      </c>
      <c r="E8643" t="str">
        <f t="shared" si="1974"/>
        <v>93</v>
      </c>
      <c r="F8643" t="str">
        <f>"101"</f>
        <v>101</v>
      </c>
      <c r="G8643">
        <v>9</v>
      </c>
      <c r="H8643" t="str">
        <f t="shared" si="1973"/>
        <v>99</v>
      </c>
      <c r="I8643" t="str">
        <f t="shared" si="1971"/>
        <v>0</v>
      </c>
      <c r="J8643" t="str">
        <f t="shared" si="1965"/>
        <v>00</v>
      </c>
      <c r="K8643">
        <v>20190215</v>
      </c>
      <c r="L8643" t="str">
        <f>"075730"</f>
        <v>075730</v>
      </c>
      <c r="M8643" t="str">
        <f>"46369"</f>
        <v>46369</v>
      </c>
      <c r="N8643" t="s">
        <v>2086</v>
      </c>
      <c r="O8643">
        <v>290</v>
      </c>
      <c r="P8643">
        <v>20190214</v>
      </c>
      <c r="Q8643" t="s">
        <v>6762</v>
      </c>
      <c r="R8643" t="s">
        <v>6781</v>
      </c>
      <c r="S8643" t="s">
        <v>6725</v>
      </c>
      <c r="T8643" t="s">
        <v>1479</v>
      </c>
    </row>
    <row r="8644" spans="1:20" x14ac:dyDescent="0.25">
      <c r="A8644">
        <v>9</v>
      </c>
      <c r="B8644">
        <v>240</v>
      </c>
      <c r="C8644" t="str">
        <f t="shared" si="1972"/>
        <v>35</v>
      </c>
      <c r="D8644">
        <v>6249</v>
      </c>
      <c r="E8644" t="str">
        <f t="shared" si="1974"/>
        <v>93</v>
      </c>
      <c r="F8644" t="str">
        <f>"104"</f>
        <v>104</v>
      </c>
      <c r="G8644">
        <v>9</v>
      </c>
      <c r="H8644" t="str">
        <f t="shared" si="1973"/>
        <v>99</v>
      </c>
      <c r="I8644" t="str">
        <f t="shared" si="1971"/>
        <v>0</v>
      </c>
      <c r="J8644" t="str">
        <f t="shared" si="1965"/>
        <v>00</v>
      </c>
      <c r="K8644">
        <v>20190215</v>
      </c>
      <c r="L8644" t="str">
        <f>"075730"</f>
        <v>075730</v>
      </c>
      <c r="M8644" t="str">
        <f>"46369"</f>
        <v>46369</v>
      </c>
      <c r="N8644" t="s">
        <v>2086</v>
      </c>
      <c r="O8644">
        <v>280</v>
      </c>
      <c r="P8644">
        <v>20190214</v>
      </c>
      <c r="Q8644" t="s">
        <v>6765</v>
      </c>
      <c r="R8644" t="s">
        <v>6781</v>
      </c>
      <c r="S8644" t="s">
        <v>6725</v>
      </c>
      <c r="T8644" t="s">
        <v>46</v>
      </c>
    </row>
    <row r="8645" spans="1:20" x14ac:dyDescent="0.25">
      <c r="A8645">
        <v>9</v>
      </c>
      <c r="B8645">
        <v>240</v>
      </c>
      <c r="C8645" t="str">
        <f t="shared" si="1972"/>
        <v>35</v>
      </c>
      <c r="D8645">
        <v>6249</v>
      </c>
      <c r="E8645" t="str">
        <f t="shared" si="1974"/>
        <v>93</v>
      </c>
      <c r="F8645" t="str">
        <f>"041"</f>
        <v>041</v>
      </c>
      <c r="G8645">
        <v>9</v>
      </c>
      <c r="H8645" t="str">
        <f t="shared" si="1973"/>
        <v>99</v>
      </c>
      <c r="I8645" t="str">
        <f t="shared" si="1971"/>
        <v>0</v>
      </c>
      <c r="J8645" t="str">
        <f t="shared" si="1965"/>
        <v>00</v>
      </c>
      <c r="K8645">
        <v>20190308</v>
      </c>
      <c r="L8645" t="str">
        <f>"075977"</f>
        <v>075977</v>
      </c>
      <c r="M8645" t="str">
        <f>"60190"</f>
        <v>60190</v>
      </c>
      <c r="N8645" t="s">
        <v>4277</v>
      </c>
      <c r="O8645" s="1">
        <v>2648.13</v>
      </c>
      <c r="P8645">
        <v>20190306</v>
      </c>
      <c r="Q8645" t="s">
        <v>6748</v>
      </c>
      <c r="R8645" t="s">
        <v>6749</v>
      </c>
      <c r="S8645" t="s">
        <v>6725</v>
      </c>
      <c r="T8645" t="s">
        <v>106</v>
      </c>
    </row>
    <row r="8646" spans="1:20" x14ac:dyDescent="0.25">
      <c r="A8646">
        <v>9</v>
      </c>
      <c r="B8646">
        <v>240</v>
      </c>
      <c r="C8646" t="str">
        <f t="shared" si="1972"/>
        <v>35</v>
      </c>
      <c r="D8646">
        <v>6249</v>
      </c>
      <c r="E8646" t="str">
        <f t="shared" si="1974"/>
        <v>93</v>
      </c>
      <c r="F8646" t="str">
        <f>"104"</f>
        <v>104</v>
      </c>
      <c r="G8646">
        <v>9</v>
      </c>
      <c r="H8646" t="str">
        <f t="shared" si="1973"/>
        <v>99</v>
      </c>
      <c r="I8646" t="str">
        <f t="shared" si="1971"/>
        <v>0</v>
      </c>
      <c r="J8646" t="str">
        <f t="shared" si="1965"/>
        <v>00</v>
      </c>
      <c r="K8646">
        <v>20190308</v>
      </c>
      <c r="L8646" t="str">
        <f>"075977"</f>
        <v>075977</v>
      </c>
      <c r="M8646" t="str">
        <f>"60190"</f>
        <v>60190</v>
      </c>
      <c r="N8646" t="s">
        <v>4277</v>
      </c>
      <c r="O8646">
        <v>673.83</v>
      </c>
      <c r="P8646">
        <v>20190306</v>
      </c>
      <c r="Q8646" t="s">
        <v>6765</v>
      </c>
      <c r="R8646" t="s">
        <v>6782</v>
      </c>
      <c r="S8646" t="s">
        <v>6725</v>
      </c>
      <c r="T8646" t="s">
        <v>46</v>
      </c>
    </row>
    <row r="8647" spans="1:20" x14ac:dyDescent="0.25">
      <c r="A8647">
        <v>9</v>
      </c>
      <c r="B8647">
        <v>240</v>
      </c>
      <c r="C8647" t="str">
        <f t="shared" si="1972"/>
        <v>35</v>
      </c>
      <c r="D8647">
        <v>6249</v>
      </c>
      <c r="E8647" t="str">
        <f t="shared" si="1974"/>
        <v>93</v>
      </c>
      <c r="F8647" t="str">
        <f>"104"</f>
        <v>104</v>
      </c>
      <c r="G8647">
        <v>9</v>
      </c>
      <c r="H8647" t="str">
        <f t="shared" si="1973"/>
        <v>99</v>
      </c>
      <c r="I8647" t="str">
        <f t="shared" si="1971"/>
        <v>0</v>
      </c>
      <c r="J8647" t="str">
        <f t="shared" si="1965"/>
        <v>00</v>
      </c>
      <c r="K8647">
        <v>20190315</v>
      </c>
      <c r="L8647" t="str">
        <f>"076107"</f>
        <v>076107</v>
      </c>
      <c r="M8647" t="str">
        <f>"60190"</f>
        <v>60190</v>
      </c>
      <c r="N8647" t="s">
        <v>4277</v>
      </c>
      <c r="O8647" s="1">
        <v>1376.14</v>
      </c>
      <c r="P8647">
        <v>20190315</v>
      </c>
      <c r="Q8647" t="s">
        <v>6765</v>
      </c>
      <c r="R8647" t="s">
        <v>6783</v>
      </c>
      <c r="S8647" t="s">
        <v>6725</v>
      </c>
      <c r="T8647" t="s">
        <v>46</v>
      </c>
    </row>
    <row r="8648" spans="1:20" x14ac:dyDescent="0.25">
      <c r="A8648">
        <v>9</v>
      </c>
      <c r="B8648">
        <v>240</v>
      </c>
      <c r="C8648" t="str">
        <f t="shared" si="1972"/>
        <v>35</v>
      </c>
      <c r="D8648">
        <v>6249</v>
      </c>
      <c r="E8648" t="str">
        <f t="shared" si="1974"/>
        <v>93</v>
      </c>
      <c r="F8648" t="str">
        <f>"104"</f>
        <v>104</v>
      </c>
      <c r="G8648">
        <v>9</v>
      </c>
      <c r="H8648" t="str">
        <f t="shared" si="1973"/>
        <v>99</v>
      </c>
      <c r="I8648" t="str">
        <f t="shared" si="1971"/>
        <v>0</v>
      </c>
      <c r="J8648" t="str">
        <f t="shared" si="1965"/>
        <v>00</v>
      </c>
      <c r="K8648">
        <v>20190315</v>
      </c>
      <c r="L8648" t="str">
        <f>"076107"</f>
        <v>076107</v>
      </c>
      <c r="M8648" t="str">
        <f>"60190"</f>
        <v>60190</v>
      </c>
      <c r="N8648" t="s">
        <v>4277</v>
      </c>
      <c r="O8648" s="1">
        <v>15480.42</v>
      </c>
      <c r="P8648">
        <v>20190315</v>
      </c>
      <c r="Q8648" t="s">
        <v>6765</v>
      </c>
      <c r="R8648" t="s">
        <v>6784</v>
      </c>
      <c r="S8648" t="s">
        <v>6725</v>
      </c>
      <c r="T8648" t="s">
        <v>46</v>
      </c>
    </row>
    <row r="8649" spans="1:20" x14ac:dyDescent="0.25">
      <c r="A8649">
        <v>9</v>
      </c>
      <c r="B8649">
        <v>240</v>
      </c>
      <c r="C8649" t="str">
        <f>"51"</f>
        <v>51</v>
      </c>
      <c r="D8649">
        <v>6249</v>
      </c>
      <c r="E8649" t="str">
        <f>"00"</f>
        <v>00</v>
      </c>
      <c r="F8649" t="str">
        <f>"041"</f>
        <v>041</v>
      </c>
      <c r="G8649">
        <v>9</v>
      </c>
      <c r="H8649" t="str">
        <f t="shared" si="1973"/>
        <v>99</v>
      </c>
      <c r="I8649" t="str">
        <f t="shared" si="1971"/>
        <v>0</v>
      </c>
      <c r="J8649" t="str">
        <f t="shared" si="1965"/>
        <v>00</v>
      </c>
      <c r="K8649">
        <v>20190315</v>
      </c>
      <c r="L8649" t="str">
        <f>"076119"</f>
        <v>076119</v>
      </c>
      <c r="M8649" t="str">
        <f>"00406"</f>
        <v>00406</v>
      </c>
      <c r="N8649" t="s">
        <v>1805</v>
      </c>
      <c r="O8649">
        <v>750</v>
      </c>
      <c r="P8649">
        <v>20190315</v>
      </c>
      <c r="Q8649" t="s">
        <v>6773</v>
      </c>
      <c r="R8649" t="s">
        <v>6785</v>
      </c>
      <c r="S8649" t="s">
        <v>6725</v>
      </c>
      <c r="T8649" t="s">
        <v>106</v>
      </c>
    </row>
    <row r="8650" spans="1:20" x14ac:dyDescent="0.25">
      <c r="A8650">
        <v>9</v>
      </c>
      <c r="B8650">
        <v>240</v>
      </c>
      <c r="C8650" t="str">
        <f>"51"</f>
        <v>51</v>
      </c>
      <c r="D8650">
        <v>6249</v>
      </c>
      <c r="E8650" t="str">
        <f>"00"</f>
        <v>00</v>
      </c>
      <c r="F8650" t="str">
        <f>"101"</f>
        <v>101</v>
      </c>
      <c r="G8650">
        <v>9</v>
      </c>
      <c r="H8650" t="str">
        <f t="shared" si="1973"/>
        <v>99</v>
      </c>
      <c r="I8650" t="str">
        <f t="shared" si="1971"/>
        <v>0</v>
      </c>
      <c r="J8650" t="str">
        <f t="shared" si="1965"/>
        <v>00</v>
      </c>
      <c r="K8650">
        <v>20190315</v>
      </c>
      <c r="L8650" t="str">
        <f>"076119"</f>
        <v>076119</v>
      </c>
      <c r="M8650" t="str">
        <f>"00406"</f>
        <v>00406</v>
      </c>
      <c r="N8650" t="s">
        <v>1805</v>
      </c>
      <c r="O8650">
        <v>900</v>
      </c>
      <c r="P8650">
        <v>20190315</v>
      </c>
      <c r="Q8650" t="s">
        <v>6774</v>
      </c>
      <c r="R8650" t="s">
        <v>6786</v>
      </c>
      <c r="S8650" t="s">
        <v>6725</v>
      </c>
      <c r="T8650" t="s">
        <v>1479</v>
      </c>
    </row>
    <row r="8651" spans="1:20" x14ac:dyDescent="0.25">
      <c r="A8651">
        <v>9</v>
      </c>
      <c r="B8651">
        <v>240</v>
      </c>
      <c r="C8651" t="str">
        <f>"51"</f>
        <v>51</v>
      </c>
      <c r="D8651">
        <v>6249</v>
      </c>
      <c r="E8651" t="str">
        <f>"00"</f>
        <v>00</v>
      </c>
      <c r="F8651" t="str">
        <f>"104"</f>
        <v>104</v>
      </c>
      <c r="G8651">
        <v>9</v>
      </c>
      <c r="H8651" t="str">
        <f t="shared" si="1973"/>
        <v>99</v>
      </c>
      <c r="I8651" t="str">
        <f t="shared" si="1971"/>
        <v>0</v>
      </c>
      <c r="J8651" t="str">
        <f t="shared" si="1965"/>
        <v>00</v>
      </c>
      <c r="K8651">
        <v>20190315</v>
      </c>
      <c r="L8651" t="str">
        <f>"076119"</f>
        <v>076119</v>
      </c>
      <c r="M8651" t="str">
        <f>"00406"</f>
        <v>00406</v>
      </c>
      <c r="N8651" t="s">
        <v>1805</v>
      </c>
      <c r="O8651">
        <v>750</v>
      </c>
      <c r="P8651">
        <v>20190315</v>
      </c>
      <c r="Q8651" t="s">
        <v>6775</v>
      </c>
      <c r="R8651" t="s">
        <v>6785</v>
      </c>
      <c r="S8651" t="s">
        <v>6725</v>
      </c>
      <c r="T8651" t="s">
        <v>46</v>
      </c>
    </row>
    <row r="8652" spans="1:20" x14ac:dyDescent="0.25">
      <c r="A8652">
        <v>9</v>
      </c>
      <c r="B8652">
        <v>240</v>
      </c>
      <c r="C8652" t="str">
        <f>"00"</f>
        <v>00</v>
      </c>
      <c r="D8652">
        <v>5751</v>
      </c>
      <c r="E8652" t="str">
        <f>"01"</f>
        <v>01</v>
      </c>
      <c r="F8652" t="str">
        <f>"000"</f>
        <v>000</v>
      </c>
      <c r="G8652">
        <v>9</v>
      </c>
      <c r="H8652" t="str">
        <f>"00"</f>
        <v>00</v>
      </c>
      <c r="I8652" t="str">
        <f t="shared" si="1971"/>
        <v>0</v>
      </c>
      <c r="J8652" t="str">
        <f t="shared" si="1965"/>
        <v>00</v>
      </c>
      <c r="K8652">
        <v>20190322</v>
      </c>
      <c r="L8652" t="str">
        <f>"076139"</f>
        <v>076139</v>
      </c>
      <c r="M8652" t="str">
        <f>"00369"</f>
        <v>00369</v>
      </c>
      <c r="N8652" t="s">
        <v>6722</v>
      </c>
      <c r="O8652" s="1">
        <v>-16153.72</v>
      </c>
      <c r="P8652">
        <v>20190220</v>
      </c>
      <c r="Q8652" t="s">
        <v>6735</v>
      </c>
      <c r="R8652" t="s">
        <v>6787</v>
      </c>
      <c r="S8652" t="s">
        <v>6725</v>
      </c>
      <c r="T8652" t="s">
        <v>296</v>
      </c>
    </row>
    <row r="8653" spans="1:20" x14ac:dyDescent="0.25">
      <c r="A8653">
        <v>9</v>
      </c>
      <c r="B8653">
        <v>240</v>
      </c>
      <c r="C8653" t="str">
        <f t="shared" ref="C8653:C8660" si="1975">"35"</f>
        <v>35</v>
      </c>
      <c r="D8653">
        <v>6217</v>
      </c>
      <c r="E8653" t="str">
        <f>"10"</f>
        <v>10</v>
      </c>
      <c r="F8653" t="str">
        <f>"938"</f>
        <v>938</v>
      </c>
      <c r="G8653">
        <v>9</v>
      </c>
      <c r="H8653" t="str">
        <f t="shared" ref="H8653:H8663" si="1976">"99"</f>
        <v>99</v>
      </c>
      <c r="I8653" t="str">
        <f t="shared" si="1971"/>
        <v>0</v>
      </c>
      <c r="J8653" t="str">
        <f t="shared" si="1965"/>
        <v>00</v>
      </c>
      <c r="K8653">
        <v>20190322</v>
      </c>
      <c r="L8653" t="str">
        <f>"076139"</f>
        <v>076139</v>
      </c>
      <c r="M8653" t="str">
        <f>"00369"</f>
        <v>00369</v>
      </c>
      <c r="N8653" t="s">
        <v>6722</v>
      </c>
      <c r="O8653" s="1">
        <v>66672.89</v>
      </c>
      <c r="P8653">
        <v>20190320</v>
      </c>
      <c r="Q8653" t="s">
        <v>6737</v>
      </c>
      <c r="R8653" t="s">
        <v>6788</v>
      </c>
      <c r="S8653" t="s">
        <v>6725</v>
      </c>
      <c r="T8653" t="s">
        <v>6732</v>
      </c>
    </row>
    <row r="8654" spans="1:20" x14ac:dyDescent="0.25">
      <c r="A8654">
        <v>9</v>
      </c>
      <c r="B8654">
        <v>240</v>
      </c>
      <c r="C8654" t="str">
        <f t="shared" si="1975"/>
        <v>35</v>
      </c>
      <c r="D8654">
        <v>6217</v>
      </c>
      <c r="E8654" t="str">
        <f>"11"</f>
        <v>11</v>
      </c>
      <c r="F8654" t="str">
        <f>"938"</f>
        <v>938</v>
      </c>
      <c r="G8654">
        <v>9</v>
      </c>
      <c r="H8654" t="str">
        <f t="shared" si="1976"/>
        <v>99</v>
      </c>
      <c r="I8654" t="str">
        <f t="shared" si="1971"/>
        <v>0</v>
      </c>
      <c r="J8654" t="str">
        <f t="shared" si="1965"/>
        <v>00</v>
      </c>
      <c r="K8654">
        <v>20190322</v>
      </c>
      <c r="L8654" t="str">
        <f>"076139"</f>
        <v>076139</v>
      </c>
      <c r="M8654" t="str">
        <f>"00369"</f>
        <v>00369</v>
      </c>
      <c r="N8654" t="s">
        <v>6722</v>
      </c>
      <c r="O8654" s="1">
        <v>140068.91</v>
      </c>
      <c r="P8654">
        <v>20190320</v>
      </c>
      <c r="Q8654" t="s">
        <v>6739</v>
      </c>
      <c r="R8654" t="s">
        <v>6789</v>
      </c>
      <c r="S8654" t="s">
        <v>6725</v>
      </c>
      <c r="T8654" t="s">
        <v>6732</v>
      </c>
    </row>
    <row r="8655" spans="1:20" x14ac:dyDescent="0.25">
      <c r="A8655">
        <v>9</v>
      </c>
      <c r="B8655">
        <v>240</v>
      </c>
      <c r="C8655" t="str">
        <f t="shared" si="1975"/>
        <v>35</v>
      </c>
      <c r="D8655">
        <v>6217</v>
      </c>
      <c r="E8655" t="str">
        <f>"12"</f>
        <v>12</v>
      </c>
      <c r="F8655" t="str">
        <f>"938"</f>
        <v>938</v>
      </c>
      <c r="G8655">
        <v>9</v>
      </c>
      <c r="H8655" t="str">
        <f t="shared" si="1976"/>
        <v>99</v>
      </c>
      <c r="I8655" t="str">
        <f t="shared" si="1971"/>
        <v>0</v>
      </c>
      <c r="J8655" t="str">
        <f t="shared" si="1965"/>
        <v>00</v>
      </c>
      <c r="K8655">
        <v>20190322</v>
      </c>
      <c r="L8655" t="str">
        <f>"076139"</f>
        <v>076139</v>
      </c>
      <c r="M8655" t="str">
        <f>"00369"</f>
        <v>00369</v>
      </c>
      <c r="N8655" t="s">
        <v>6722</v>
      </c>
      <c r="O8655" s="1">
        <v>45664.94</v>
      </c>
      <c r="P8655">
        <v>20190320</v>
      </c>
      <c r="Q8655" t="s">
        <v>6741</v>
      </c>
      <c r="R8655" t="s">
        <v>6790</v>
      </c>
      <c r="S8655" t="s">
        <v>6725</v>
      </c>
      <c r="T8655" t="s">
        <v>6732</v>
      </c>
    </row>
    <row r="8656" spans="1:20" x14ac:dyDescent="0.25">
      <c r="A8656">
        <v>9</v>
      </c>
      <c r="B8656">
        <v>240</v>
      </c>
      <c r="C8656" t="str">
        <f t="shared" si="1975"/>
        <v>35</v>
      </c>
      <c r="D8656">
        <v>6217</v>
      </c>
      <c r="E8656" t="str">
        <f>"13"</f>
        <v>13</v>
      </c>
      <c r="F8656" t="str">
        <f>"938"</f>
        <v>938</v>
      </c>
      <c r="G8656">
        <v>9</v>
      </c>
      <c r="H8656" t="str">
        <f t="shared" si="1976"/>
        <v>99</v>
      </c>
      <c r="I8656" t="str">
        <f t="shared" si="1971"/>
        <v>0</v>
      </c>
      <c r="J8656" t="str">
        <f t="shared" ref="J8656:J8719" si="1977">"00"</f>
        <v>00</v>
      </c>
      <c r="K8656">
        <v>20190322</v>
      </c>
      <c r="L8656" t="str">
        <f>"076139"</f>
        <v>076139</v>
      </c>
      <c r="M8656" t="str">
        <f>"00369"</f>
        <v>00369</v>
      </c>
      <c r="N8656" t="s">
        <v>6722</v>
      </c>
      <c r="O8656" s="1">
        <v>6596.6</v>
      </c>
      <c r="P8656">
        <v>20190320</v>
      </c>
      <c r="Q8656" t="s">
        <v>6743</v>
      </c>
      <c r="R8656" t="s">
        <v>6791</v>
      </c>
      <c r="S8656" t="s">
        <v>6725</v>
      </c>
      <c r="T8656" t="s">
        <v>6732</v>
      </c>
    </row>
    <row r="8657" spans="1:20" x14ac:dyDescent="0.25">
      <c r="A8657">
        <v>9</v>
      </c>
      <c r="B8657">
        <v>240</v>
      </c>
      <c r="C8657" t="str">
        <f t="shared" si="1975"/>
        <v>35</v>
      </c>
      <c r="D8657">
        <v>6249</v>
      </c>
      <c r="E8657" t="str">
        <f>"93"</f>
        <v>93</v>
      </c>
      <c r="F8657" t="str">
        <f>"041"</f>
        <v>041</v>
      </c>
      <c r="G8657">
        <v>9</v>
      </c>
      <c r="H8657" t="str">
        <f t="shared" si="1976"/>
        <v>99</v>
      </c>
      <c r="I8657" t="str">
        <f t="shared" si="1971"/>
        <v>0</v>
      </c>
      <c r="J8657" t="str">
        <f t="shared" si="1977"/>
        <v>00</v>
      </c>
      <c r="K8657">
        <v>20190405</v>
      </c>
      <c r="L8657" t="str">
        <f>"076400"</f>
        <v>076400</v>
      </c>
      <c r="M8657" t="str">
        <f>"67633"</f>
        <v>67633</v>
      </c>
      <c r="N8657" t="s">
        <v>6792</v>
      </c>
      <c r="O8657" s="1">
        <v>1497.65</v>
      </c>
      <c r="P8657">
        <v>20190404</v>
      </c>
      <c r="Q8657" t="s">
        <v>6748</v>
      </c>
      <c r="R8657" t="s">
        <v>6793</v>
      </c>
      <c r="S8657" t="s">
        <v>6725</v>
      </c>
      <c r="T8657" t="s">
        <v>106</v>
      </c>
    </row>
    <row r="8658" spans="1:20" x14ac:dyDescent="0.25">
      <c r="A8658">
        <v>9</v>
      </c>
      <c r="B8658">
        <v>240</v>
      </c>
      <c r="C8658" t="str">
        <f t="shared" si="1975"/>
        <v>35</v>
      </c>
      <c r="D8658">
        <v>6249</v>
      </c>
      <c r="E8658" t="str">
        <f>"93"</f>
        <v>93</v>
      </c>
      <c r="F8658" t="str">
        <f>"041"</f>
        <v>041</v>
      </c>
      <c r="G8658">
        <v>9</v>
      </c>
      <c r="H8658" t="str">
        <f t="shared" si="1976"/>
        <v>99</v>
      </c>
      <c r="I8658" t="str">
        <f t="shared" si="1971"/>
        <v>0</v>
      </c>
      <c r="J8658" t="str">
        <f t="shared" si="1977"/>
        <v>00</v>
      </c>
      <c r="K8658">
        <v>20190412</v>
      </c>
      <c r="L8658" t="str">
        <f>"076505"</f>
        <v>076505</v>
      </c>
      <c r="M8658" t="str">
        <f>"60190"</f>
        <v>60190</v>
      </c>
      <c r="N8658" t="s">
        <v>4277</v>
      </c>
      <c r="O8658">
        <v>341.49</v>
      </c>
      <c r="P8658">
        <v>20190411</v>
      </c>
      <c r="Q8658" t="s">
        <v>6748</v>
      </c>
      <c r="R8658" t="s">
        <v>6794</v>
      </c>
      <c r="S8658" t="s">
        <v>6725</v>
      </c>
      <c r="T8658" t="s">
        <v>106</v>
      </c>
    </row>
    <row r="8659" spans="1:20" x14ac:dyDescent="0.25">
      <c r="A8659">
        <v>9</v>
      </c>
      <c r="B8659">
        <v>240</v>
      </c>
      <c r="C8659" t="str">
        <f t="shared" si="1975"/>
        <v>35</v>
      </c>
      <c r="D8659">
        <v>6249</v>
      </c>
      <c r="E8659" t="str">
        <f>"93"</f>
        <v>93</v>
      </c>
      <c r="F8659" t="str">
        <f>"104"</f>
        <v>104</v>
      </c>
      <c r="G8659">
        <v>9</v>
      </c>
      <c r="H8659" t="str">
        <f t="shared" si="1976"/>
        <v>99</v>
      </c>
      <c r="I8659" t="str">
        <f t="shared" si="1971"/>
        <v>0</v>
      </c>
      <c r="J8659" t="str">
        <f t="shared" si="1977"/>
        <v>00</v>
      </c>
      <c r="K8659">
        <v>20190412</v>
      </c>
      <c r="L8659" t="str">
        <f>"076505"</f>
        <v>076505</v>
      </c>
      <c r="M8659" t="str">
        <f>"60190"</f>
        <v>60190</v>
      </c>
      <c r="N8659" t="s">
        <v>4277</v>
      </c>
      <c r="O8659">
        <v>517.87</v>
      </c>
      <c r="P8659">
        <v>20190411</v>
      </c>
      <c r="Q8659" t="s">
        <v>6765</v>
      </c>
      <c r="R8659" t="s">
        <v>6795</v>
      </c>
      <c r="S8659" t="s">
        <v>6725</v>
      </c>
      <c r="T8659" t="s">
        <v>46</v>
      </c>
    </row>
    <row r="8660" spans="1:20" x14ac:dyDescent="0.25">
      <c r="A8660">
        <v>9</v>
      </c>
      <c r="B8660">
        <v>240</v>
      </c>
      <c r="C8660" t="str">
        <f t="shared" si="1975"/>
        <v>35</v>
      </c>
      <c r="D8660">
        <v>6249</v>
      </c>
      <c r="E8660" t="str">
        <f>"93"</f>
        <v>93</v>
      </c>
      <c r="F8660" t="str">
        <f>"104"</f>
        <v>104</v>
      </c>
      <c r="G8660">
        <v>9</v>
      </c>
      <c r="H8660" t="str">
        <f t="shared" si="1976"/>
        <v>99</v>
      </c>
      <c r="I8660" t="str">
        <f t="shared" si="1971"/>
        <v>0</v>
      </c>
      <c r="J8660" t="str">
        <f t="shared" si="1977"/>
        <v>00</v>
      </c>
      <c r="K8660">
        <v>20190412</v>
      </c>
      <c r="L8660" t="str">
        <f>"076505"</f>
        <v>076505</v>
      </c>
      <c r="M8660" t="str">
        <f>"60190"</f>
        <v>60190</v>
      </c>
      <c r="N8660" t="s">
        <v>4277</v>
      </c>
      <c r="O8660">
        <v>731.23</v>
      </c>
      <c r="P8660">
        <v>20190411</v>
      </c>
      <c r="Q8660" t="s">
        <v>6765</v>
      </c>
      <c r="R8660" t="s">
        <v>6796</v>
      </c>
      <c r="S8660" t="s">
        <v>6725</v>
      </c>
      <c r="T8660" t="s">
        <v>46</v>
      </c>
    </row>
    <row r="8661" spans="1:20" x14ac:dyDescent="0.25">
      <c r="A8661">
        <v>9</v>
      </c>
      <c r="B8661">
        <v>240</v>
      </c>
      <c r="C8661" t="str">
        <f>"51"</f>
        <v>51</v>
      </c>
      <c r="D8661">
        <v>6249</v>
      </c>
      <c r="E8661" t="str">
        <f>"00"</f>
        <v>00</v>
      </c>
      <c r="F8661" t="str">
        <f>"001"</f>
        <v>001</v>
      </c>
      <c r="G8661">
        <v>9</v>
      </c>
      <c r="H8661" t="str">
        <f t="shared" si="1976"/>
        <v>99</v>
      </c>
      <c r="I8661" t="str">
        <f t="shared" si="1971"/>
        <v>0</v>
      </c>
      <c r="J8661" t="str">
        <f t="shared" si="1977"/>
        <v>00</v>
      </c>
      <c r="K8661">
        <v>20190412</v>
      </c>
      <c r="L8661" t="str">
        <f>"076515"</f>
        <v>076515</v>
      </c>
      <c r="M8661" t="str">
        <f>"00406"</f>
        <v>00406</v>
      </c>
      <c r="N8661" t="s">
        <v>1805</v>
      </c>
      <c r="O8661">
        <v>750</v>
      </c>
      <c r="P8661">
        <v>20190411</v>
      </c>
      <c r="Q8661" t="s">
        <v>6772</v>
      </c>
      <c r="R8661" t="s">
        <v>6797</v>
      </c>
      <c r="S8661" t="s">
        <v>6725</v>
      </c>
      <c r="T8661" t="s">
        <v>301</v>
      </c>
    </row>
    <row r="8662" spans="1:20" x14ac:dyDescent="0.25">
      <c r="A8662">
        <v>9</v>
      </c>
      <c r="B8662">
        <v>240</v>
      </c>
      <c r="C8662" t="str">
        <f>"51"</f>
        <v>51</v>
      </c>
      <c r="D8662">
        <v>6249</v>
      </c>
      <c r="E8662" t="str">
        <f>"00"</f>
        <v>00</v>
      </c>
      <c r="F8662" t="str">
        <f>"101"</f>
        <v>101</v>
      </c>
      <c r="G8662">
        <v>9</v>
      </c>
      <c r="H8662" t="str">
        <f t="shared" si="1976"/>
        <v>99</v>
      </c>
      <c r="I8662" t="str">
        <f t="shared" si="1971"/>
        <v>0</v>
      </c>
      <c r="J8662" t="str">
        <f t="shared" si="1977"/>
        <v>00</v>
      </c>
      <c r="K8662">
        <v>20190412</v>
      </c>
      <c r="L8662" t="str">
        <f>"076515"</f>
        <v>076515</v>
      </c>
      <c r="M8662" t="str">
        <f>"00406"</f>
        <v>00406</v>
      </c>
      <c r="N8662" t="s">
        <v>1805</v>
      </c>
      <c r="O8662">
        <v>900</v>
      </c>
      <c r="P8662">
        <v>20190411</v>
      </c>
      <c r="Q8662" t="s">
        <v>6774</v>
      </c>
      <c r="R8662" t="s">
        <v>6798</v>
      </c>
      <c r="S8662" t="s">
        <v>6725</v>
      </c>
      <c r="T8662" t="s">
        <v>1479</v>
      </c>
    </row>
    <row r="8663" spans="1:20" x14ac:dyDescent="0.25">
      <c r="A8663">
        <v>9</v>
      </c>
      <c r="B8663">
        <v>240</v>
      </c>
      <c r="C8663" t="str">
        <f>"35"</f>
        <v>35</v>
      </c>
      <c r="D8663">
        <v>6649</v>
      </c>
      <c r="E8663" t="str">
        <f>"02"</f>
        <v>02</v>
      </c>
      <c r="F8663" t="str">
        <f>"101"</f>
        <v>101</v>
      </c>
      <c r="G8663">
        <v>9</v>
      </c>
      <c r="H8663" t="str">
        <f t="shared" si="1976"/>
        <v>99</v>
      </c>
      <c r="I8663" t="str">
        <f t="shared" si="1971"/>
        <v>0</v>
      </c>
      <c r="J8663" t="str">
        <f t="shared" si="1977"/>
        <v>00</v>
      </c>
      <c r="K8663">
        <v>20190426</v>
      </c>
      <c r="L8663" t="str">
        <f>"076622"</f>
        <v>076622</v>
      </c>
      <c r="M8663" t="str">
        <f>"67633"</f>
        <v>67633</v>
      </c>
      <c r="N8663" t="s">
        <v>6792</v>
      </c>
      <c r="O8663" s="1">
        <v>3892.06</v>
      </c>
      <c r="P8663">
        <v>20190425</v>
      </c>
      <c r="Q8663" t="s">
        <v>6799</v>
      </c>
      <c r="R8663" t="s">
        <v>6800</v>
      </c>
      <c r="S8663" t="s">
        <v>6725</v>
      </c>
      <c r="T8663" t="s">
        <v>1479</v>
      </c>
    </row>
    <row r="8664" spans="1:20" x14ac:dyDescent="0.25">
      <c r="A8664">
        <v>9</v>
      </c>
      <c r="B8664">
        <v>240</v>
      </c>
      <c r="C8664" t="str">
        <f>"00"</f>
        <v>00</v>
      </c>
      <c r="D8664">
        <v>5751</v>
      </c>
      <c r="E8664" t="str">
        <f>"01"</f>
        <v>01</v>
      </c>
      <c r="F8664" t="str">
        <f>"000"</f>
        <v>000</v>
      </c>
      <c r="G8664">
        <v>9</v>
      </c>
      <c r="H8664" t="str">
        <f>"00"</f>
        <v>00</v>
      </c>
      <c r="I8664" t="str">
        <f t="shared" si="1971"/>
        <v>0</v>
      </c>
      <c r="J8664" t="str">
        <f t="shared" si="1977"/>
        <v>00</v>
      </c>
      <c r="K8664">
        <v>20190510</v>
      </c>
      <c r="L8664" t="str">
        <f>"076733"</f>
        <v>076733</v>
      </c>
      <c r="M8664" t="str">
        <f t="shared" ref="M8664:M8673" si="1978">"00369"</f>
        <v>00369</v>
      </c>
      <c r="N8664" t="s">
        <v>6722</v>
      </c>
      <c r="O8664" s="1">
        <v>-15745.35</v>
      </c>
      <c r="P8664">
        <v>20190327</v>
      </c>
      <c r="Q8664" t="s">
        <v>6735</v>
      </c>
      <c r="R8664" t="s">
        <v>6801</v>
      </c>
      <c r="S8664" t="s">
        <v>6725</v>
      </c>
      <c r="T8664" t="s">
        <v>296</v>
      </c>
    </row>
    <row r="8665" spans="1:20" x14ac:dyDescent="0.25">
      <c r="A8665">
        <v>9</v>
      </c>
      <c r="B8665">
        <v>240</v>
      </c>
      <c r="C8665" t="str">
        <f>"35"</f>
        <v>35</v>
      </c>
      <c r="D8665">
        <v>6217</v>
      </c>
      <c r="E8665" t="str">
        <f>"10"</f>
        <v>10</v>
      </c>
      <c r="F8665" t="str">
        <f>"938"</f>
        <v>938</v>
      </c>
      <c r="G8665">
        <v>9</v>
      </c>
      <c r="H8665" t="str">
        <f>"99"</f>
        <v>99</v>
      </c>
      <c r="I8665" t="str">
        <f t="shared" si="1971"/>
        <v>0</v>
      </c>
      <c r="J8665" t="str">
        <f t="shared" si="1977"/>
        <v>00</v>
      </c>
      <c r="K8665">
        <v>20190510</v>
      </c>
      <c r="L8665" t="str">
        <f>"076733"</f>
        <v>076733</v>
      </c>
      <c r="M8665" t="str">
        <f t="shared" si="1978"/>
        <v>00369</v>
      </c>
      <c r="N8665" t="s">
        <v>6722</v>
      </c>
      <c r="O8665" s="1">
        <v>67423.97</v>
      </c>
      <c r="P8665">
        <v>20190508</v>
      </c>
      <c r="Q8665" t="s">
        <v>6737</v>
      </c>
      <c r="R8665" t="s">
        <v>6802</v>
      </c>
      <c r="S8665" t="s">
        <v>6725</v>
      </c>
      <c r="T8665" t="s">
        <v>6732</v>
      </c>
    </row>
    <row r="8666" spans="1:20" x14ac:dyDescent="0.25">
      <c r="A8666">
        <v>9</v>
      </c>
      <c r="B8666">
        <v>240</v>
      </c>
      <c r="C8666" t="str">
        <f>"35"</f>
        <v>35</v>
      </c>
      <c r="D8666">
        <v>6217</v>
      </c>
      <c r="E8666" t="str">
        <f>"11"</f>
        <v>11</v>
      </c>
      <c r="F8666" t="str">
        <f>"938"</f>
        <v>938</v>
      </c>
      <c r="G8666">
        <v>9</v>
      </c>
      <c r="H8666" t="str">
        <f>"99"</f>
        <v>99</v>
      </c>
      <c r="I8666" t="str">
        <f t="shared" si="1971"/>
        <v>0</v>
      </c>
      <c r="J8666" t="str">
        <f t="shared" si="1977"/>
        <v>00</v>
      </c>
      <c r="K8666">
        <v>20190510</v>
      </c>
      <c r="L8666" t="str">
        <f>"076733"</f>
        <v>076733</v>
      </c>
      <c r="M8666" t="str">
        <f t="shared" si="1978"/>
        <v>00369</v>
      </c>
      <c r="N8666" t="s">
        <v>6722</v>
      </c>
      <c r="O8666" s="1">
        <v>140697.96</v>
      </c>
      <c r="P8666">
        <v>20190508</v>
      </c>
      <c r="Q8666" t="s">
        <v>6739</v>
      </c>
      <c r="R8666" t="s">
        <v>6803</v>
      </c>
      <c r="S8666" t="s">
        <v>6725</v>
      </c>
      <c r="T8666" t="s">
        <v>6732</v>
      </c>
    </row>
    <row r="8667" spans="1:20" x14ac:dyDescent="0.25">
      <c r="A8667">
        <v>9</v>
      </c>
      <c r="B8667">
        <v>240</v>
      </c>
      <c r="C8667" t="str">
        <f>"35"</f>
        <v>35</v>
      </c>
      <c r="D8667">
        <v>6217</v>
      </c>
      <c r="E8667" t="str">
        <f>"12"</f>
        <v>12</v>
      </c>
      <c r="F8667" t="str">
        <f>"938"</f>
        <v>938</v>
      </c>
      <c r="G8667">
        <v>9</v>
      </c>
      <c r="H8667" t="str">
        <f>"99"</f>
        <v>99</v>
      </c>
      <c r="I8667" t="str">
        <f t="shared" si="1971"/>
        <v>0</v>
      </c>
      <c r="J8667" t="str">
        <f t="shared" si="1977"/>
        <v>00</v>
      </c>
      <c r="K8667">
        <v>20190510</v>
      </c>
      <c r="L8667" t="str">
        <f>"076733"</f>
        <v>076733</v>
      </c>
      <c r="M8667" t="str">
        <f t="shared" si="1978"/>
        <v>00369</v>
      </c>
      <c r="N8667" t="s">
        <v>6722</v>
      </c>
      <c r="O8667" s="1">
        <v>46545.24</v>
      </c>
      <c r="P8667">
        <v>20190508</v>
      </c>
      <c r="Q8667" t="s">
        <v>6741</v>
      </c>
      <c r="R8667" t="s">
        <v>6804</v>
      </c>
      <c r="S8667" t="s">
        <v>6725</v>
      </c>
      <c r="T8667" t="s">
        <v>6732</v>
      </c>
    </row>
    <row r="8668" spans="1:20" x14ac:dyDescent="0.25">
      <c r="A8668">
        <v>9</v>
      </c>
      <c r="B8668">
        <v>240</v>
      </c>
      <c r="C8668" t="str">
        <f>"35"</f>
        <v>35</v>
      </c>
      <c r="D8668">
        <v>6217</v>
      </c>
      <c r="E8668" t="str">
        <f>"13"</f>
        <v>13</v>
      </c>
      <c r="F8668" t="str">
        <f>"938"</f>
        <v>938</v>
      </c>
      <c r="G8668">
        <v>9</v>
      </c>
      <c r="H8668" t="str">
        <f>"99"</f>
        <v>99</v>
      </c>
      <c r="I8668" t="str">
        <f t="shared" si="1971"/>
        <v>0</v>
      </c>
      <c r="J8668" t="str">
        <f t="shared" si="1977"/>
        <v>00</v>
      </c>
      <c r="K8668">
        <v>20190510</v>
      </c>
      <c r="L8668" t="str">
        <f>"076733"</f>
        <v>076733</v>
      </c>
      <c r="M8668" t="str">
        <f t="shared" si="1978"/>
        <v>00369</v>
      </c>
      <c r="N8668" t="s">
        <v>6722</v>
      </c>
      <c r="O8668" s="1">
        <v>7296.91</v>
      </c>
      <c r="P8668">
        <v>20190508</v>
      </c>
      <c r="Q8668" t="s">
        <v>6743</v>
      </c>
      <c r="R8668" t="s">
        <v>6805</v>
      </c>
      <c r="S8668" t="s">
        <v>6725</v>
      </c>
      <c r="T8668" t="s">
        <v>6732</v>
      </c>
    </row>
    <row r="8669" spans="1:20" x14ac:dyDescent="0.25">
      <c r="A8669">
        <v>9</v>
      </c>
      <c r="B8669">
        <v>240</v>
      </c>
      <c r="C8669" t="str">
        <f>"00"</f>
        <v>00</v>
      </c>
      <c r="D8669">
        <v>5751</v>
      </c>
      <c r="E8669" t="str">
        <f>"01"</f>
        <v>01</v>
      </c>
      <c r="F8669" t="str">
        <f>"000"</f>
        <v>000</v>
      </c>
      <c r="G8669">
        <v>9</v>
      </c>
      <c r="H8669" t="str">
        <f>"00"</f>
        <v>00</v>
      </c>
      <c r="I8669" t="str">
        <f t="shared" si="1971"/>
        <v>0</v>
      </c>
      <c r="J8669" t="str">
        <f t="shared" si="1977"/>
        <v>00</v>
      </c>
      <c r="K8669">
        <v>20190517</v>
      </c>
      <c r="L8669" t="str">
        <f>"076828"</f>
        <v>076828</v>
      </c>
      <c r="M8669" t="str">
        <f t="shared" si="1978"/>
        <v>00369</v>
      </c>
      <c r="N8669" t="s">
        <v>6722</v>
      </c>
      <c r="O8669" s="1">
        <v>-13891.37</v>
      </c>
      <c r="P8669">
        <v>20190424</v>
      </c>
      <c r="Q8669" t="s">
        <v>6735</v>
      </c>
      <c r="R8669" t="s">
        <v>6806</v>
      </c>
      <c r="S8669" t="s">
        <v>6725</v>
      </c>
      <c r="T8669" t="s">
        <v>296</v>
      </c>
    </row>
    <row r="8670" spans="1:20" x14ac:dyDescent="0.25">
      <c r="A8670">
        <v>9</v>
      </c>
      <c r="B8670">
        <v>240</v>
      </c>
      <c r="C8670" t="str">
        <f t="shared" ref="C8670:C8676" si="1979">"35"</f>
        <v>35</v>
      </c>
      <c r="D8670">
        <v>6217</v>
      </c>
      <c r="E8670" t="str">
        <f>"10"</f>
        <v>10</v>
      </c>
      <c r="F8670" t="str">
        <f>"938"</f>
        <v>938</v>
      </c>
      <c r="G8670">
        <v>9</v>
      </c>
      <c r="H8670" t="str">
        <f t="shared" ref="H8670:H8676" si="1980">"99"</f>
        <v>99</v>
      </c>
      <c r="I8670" t="str">
        <f t="shared" si="1971"/>
        <v>0</v>
      </c>
      <c r="J8670" t="str">
        <f t="shared" si="1977"/>
        <v>00</v>
      </c>
      <c r="K8670">
        <v>20190517</v>
      </c>
      <c r="L8670" t="str">
        <f>"076828"</f>
        <v>076828</v>
      </c>
      <c r="M8670" t="str">
        <f t="shared" si="1978"/>
        <v>00369</v>
      </c>
      <c r="N8670" t="s">
        <v>6722</v>
      </c>
      <c r="O8670" s="1">
        <v>51534.13</v>
      </c>
      <c r="P8670">
        <v>20190516</v>
      </c>
      <c r="Q8670" t="s">
        <v>6737</v>
      </c>
      <c r="R8670" t="s">
        <v>6807</v>
      </c>
      <c r="S8670" t="s">
        <v>6725</v>
      </c>
      <c r="T8670" t="s">
        <v>6732</v>
      </c>
    </row>
    <row r="8671" spans="1:20" x14ac:dyDescent="0.25">
      <c r="A8671">
        <v>9</v>
      </c>
      <c r="B8671">
        <v>240</v>
      </c>
      <c r="C8671" t="str">
        <f t="shared" si="1979"/>
        <v>35</v>
      </c>
      <c r="D8671">
        <v>6217</v>
      </c>
      <c r="E8671" t="str">
        <f>"11"</f>
        <v>11</v>
      </c>
      <c r="F8671" t="str">
        <f>"938"</f>
        <v>938</v>
      </c>
      <c r="G8671">
        <v>9</v>
      </c>
      <c r="H8671" t="str">
        <f t="shared" si="1980"/>
        <v>99</v>
      </c>
      <c r="I8671" t="str">
        <f t="shared" si="1971"/>
        <v>0</v>
      </c>
      <c r="J8671" t="str">
        <f t="shared" si="1977"/>
        <v>00</v>
      </c>
      <c r="K8671">
        <v>20190517</v>
      </c>
      <c r="L8671" t="str">
        <f>"076828"</f>
        <v>076828</v>
      </c>
      <c r="M8671" t="str">
        <f t="shared" si="1978"/>
        <v>00369</v>
      </c>
      <c r="N8671" t="s">
        <v>6722</v>
      </c>
      <c r="O8671" s="1">
        <v>109111.72</v>
      </c>
      <c r="P8671">
        <v>20190516</v>
      </c>
      <c r="Q8671" t="s">
        <v>6739</v>
      </c>
      <c r="R8671" t="s">
        <v>6808</v>
      </c>
      <c r="S8671" t="s">
        <v>6725</v>
      </c>
      <c r="T8671" t="s">
        <v>6732</v>
      </c>
    </row>
    <row r="8672" spans="1:20" x14ac:dyDescent="0.25">
      <c r="A8672">
        <v>9</v>
      </c>
      <c r="B8672">
        <v>240</v>
      </c>
      <c r="C8672" t="str">
        <f t="shared" si="1979"/>
        <v>35</v>
      </c>
      <c r="D8672">
        <v>6217</v>
      </c>
      <c r="E8672" t="str">
        <f>"12"</f>
        <v>12</v>
      </c>
      <c r="F8672" t="str">
        <f>"938"</f>
        <v>938</v>
      </c>
      <c r="G8672">
        <v>9</v>
      </c>
      <c r="H8672" t="str">
        <f t="shared" si="1980"/>
        <v>99</v>
      </c>
      <c r="I8672" t="str">
        <f t="shared" si="1971"/>
        <v>0</v>
      </c>
      <c r="J8672" t="str">
        <f t="shared" si="1977"/>
        <v>00</v>
      </c>
      <c r="K8672">
        <v>20190517</v>
      </c>
      <c r="L8672" t="str">
        <f>"076828"</f>
        <v>076828</v>
      </c>
      <c r="M8672" t="str">
        <f t="shared" si="1978"/>
        <v>00369</v>
      </c>
      <c r="N8672" t="s">
        <v>6722</v>
      </c>
      <c r="O8672" s="1">
        <v>33560.519999999997</v>
      </c>
      <c r="P8672">
        <v>20190516</v>
      </c>
      <c r="Q8672" t="s">
        <v>6741</v>
      </c>
      <c r="R8672" t="s">
        <v>6809</v>
      </c>
      <c r="S8672" t="s">
        <v>6725</v>
      </c>
      <c r="T8672" t="s">
        <v>6732</v>
      </c>
    </row>
    <row r="8673" spans="1:20" x14ac:dyDescent="0.25">
      <c r="A8673">
        <v>9</v>
      </c>
      <c r="B8673">
        <v>240</v>
      </c>
      <c r="C8673" t="str">
        <f t="shared" si="1979"/>
        <v>35</v>
      </c>
      <c r="D8673">
        <v>6217</v>
      </c>
      <c r="E8673" t="str">
        <f>"13"</f>
        <v>13</v>
      </c>
      <c r="F8673" t="str">
        <f>"938"</f>
        <v>938</v>
      </c>
      <c r="G8673">
        <v>9</v>
      </c>
      <c r="H8673" t="str">
        <f t="shared" si="1980"/>
        <v>99</v>
      </c>
      <c r="I8673" t="str">
        <f t="shared" si="1971"/>
        <v>0</v>
      </c>
      <c r="J8673" t="str">
        <f t="shared" si="1977"/>
        <v>00</v>
      </c>
      <c r="K8673">
        <v>20190517</v>
      </c>
      <c r="L8673" t="str">
        <f>"076828"</f>
        <v>076828</v>
      </c>
      <c r="M8673" t="str">
        <f t="shared" si="1978"/>
        <v>00369</v>
      </c>
      <c r="N8673" t="s">
        <v>6722</v>
      </c>
      <c r="O8673" s="1">
        <v>5538.3</v>
      </c>
      <c r="P8673">
        <v>20190516</v>
      </c>
      <c r="Q8673" t="s">
        <v>6743</v>
      </c>
      <c r="R8673" t="s">
        <v>6810</v>
      </c>
      <c r="S8673" t="s">
        <v>6725</v>
      </c>
      <c r="T8673" t="s">
        <v>6732</v>
      </c>
    </row>
    <row r="8674" spans="1:20" x14ac:dyDescent="0.25">
      <c r="A8674">
        <v>9</v>
      </c>
      <c r="B8674">
        <v>240</v>
      </c>
      <c r="C8674" t="str">
        <f t="shared" si="1979"/>
        <v>35</v>
      </c>
      <c r="D8674">
        <v>6249</v>
      </c>
      <c r="E8674" t="str">
        <f>"93"</f>
        <v>93</v>
      </c>
      <c r="F8674" t="str">
        <f>"101"</f>
        <v>101</v>
      </c>
      <c r="G8674">
        <v>9</v>
      </c>
      <c r="H8674" t="str">
        <f t="shared" si="1980"/>
        <v>99</v>
      </c>
      <c r="I8674" t="str">
        <f t="shared" si="1971"/>
        <v>0</v>
      </c>
      <c r="J8674" t="str">
        <f t="shared" si="1977"/>
        <v>00</v>
      </c>
      <c r="K8674">
        <v>20190524</v>
      </c>
      <c r="L8674" t="str">
        <f>"076930"</f>
        <v>076930</v>
      </c>
      <c r="M8674" t="str">
        <f>"60190"</f>
        <v>60190</v>
      </c>
      <c r="N8674" t="s">
        <v>4277</v>
      </c>
      <c r="O8674" s="1">
        <v>1593.23</v>
      </c>
      <c r="P8674">
        <v>20190523</v>
      </c>
      <c r="Q8674" t="s">
        <v>6762</v>
      </c>
      <c r="R8674" t="s">
        <v>6811</v>
      </c>
      <c r="S8674" t="s">
        <v>6725</v>
      </c>
      <c r="T8674" t="s">
        <v>1479</v>
      </c>
    </row>
    <row r="8675" spans="1:20" x14ac:dyDescent="0.25">
      <c r="A8675">
        <v>9</v>
      </c>
      <c r="B8675">
        <v>240</v>
      </c>
      <c r="C8675" t="str">
        <f t="shared" si="1979"/>
        <v>35</v>
      </c>
      <c r="D8675">
        <v>6399</v>
      </c>
      <c r="E8675" t="str">
        <f>"93"</f>
        <v>93</v>
      </c>
      <c r="F8675" t="str">
        <f>"001"</f>
        <v>001</v>
      </c>
      <c r="G8675">
        <v>9</v>
      </c>
      <c r="H8675" t="str">
        <f t="shared" si="1980"/>
        <v>99</v>
      </c>
      <c r="I8675" t="str">
        <f t="shared" si="1971"/>
        <v>0</v>
      </c>
      <c r="J8675" t="str">
        <f t="shared" si="1977"/>
        <v>00</v>
      </c>
      <c r="K8675">
        <v>20190531</v>
      </c>
      <c r="L8675" t="str">
        <f>"077026"</f>
        <v>077026</v>
      </c>
      <c r="M8675" t="str">
        <f>"52222"</f>
        <v>52222</v>
      </c>
      <c r="N8675" t="s">
        <v>6812</v>
      </c>
      <c r="O8675" s="1">
        <v>2365.12</v>
      </c>
      <c r="P8675">
        <v>20190530</v>
      </c>
      <c r="Q8675" t="s">
        <v>6745</v>
      </c>
      <c r="R8675" t="s">
        <v>6813</v>
      </c>
      <c r="S8675" t="s">
        <v>6725</v>
      </c>
      <c r="T8675" t="s">
        <v>301</v>
      </c>
    </row>
    <row r="8676" spans="1:20" x14ac:dyDescent="0.25">
      <c r="A8676">
        <v>9</v>
      </c>
      <c r="B8676">
        <v>240</v>
      </c>
      <c r="C8676" t="str">
        <f t="shared" si="1979"/>
        <v>35</v>
      </c>
      <c r="D8676">
        <v>6649</v>
      </c>
      <c r="E8676" t="str">
        <f>"02"</f>
        <v>02</v>
      </c>
      <c r="F8676" t="str">
        <f>"938"</f>
        <v>938</v>
      </c>
      <c r="G8676">
        <v>9</v>
      </c>
      <c r="H8676" t="str">
        <f t="shared" si="1980"/>
        <v>99</v>
      </c>
      <c r="I8676" t="str">
        <f t="shared" si="1971"/>
        <v>0</v>
      </c>
      <c r="J8676" t="str">
        <f t="shared" si="1977"/>
        <v>00</v>
      </c>
      <c r="K8676">
        <v>20190531</v>
      </c>
      <c r="L8676" t="str">
        <f>"077026"</f>
        <v>077026</v>
      </c>
      <c r="M8676" t="str">
        <f>"52222"</f>
        <v>52222</v>
      </c>
      <c r="N8676" t="s">
        <v>6812</v>
      </c>
      <c r="O8676" s="1">
        <v>9402</v>
      </c>
      <c r="P8676">
        <v>20190530</v>
      </c>
      <c r="Q8676" t="s">
        <v>6814</v>
      </c>
      <c r="R8676" t="s">
        <v>6813</v>
      </c>
      <c r="S8676" t="s">
        <v>6725</v>
      </c>
      <c r="T8676" t="s">
        <v>6732</v>
      </c>
    </row>
    <row r="8677" spans="1:20" x14ac:dyDescent="0.25">
      <c r="A8677">
        <v>9</v>
      </c>
      <c r="B8677">
        <v>240</v>
      </c>
      <c r="C8677" t="str">
        <f>"00"</f>
        <v>00</v>
      </c>
      <c r="D8677">
        <v>5751</v>
      </c>
      <c r="E8677" t="str">
        <f>"01"</f>
        <v>01</v>
      </c>
      <c r="F8677" t="str">
        <f>"000"</f>
        <v>000</v>
      </c>
      <c r="G8677">
        <v>9</v>
      </c>
      <c r="H8677" t="str">
        <f>"00"</f>
        <v>00</v>
      </c>
      <c r="I8677" t="str">
        <f t="shared" si="1971"/>
        <v>0</v>
      </c>
      <c r="J8677" t="str">
        <f t="shared" si="1977"/>
        <v>00</v>
      </c>
      <c r="K8677">
        <v>20190607</v>
      </c>
      <c r="L8677" t="str">
        <f>"077056"</f>
        <v>077056</v>
      </c>
      <c r="M8677" t="str">
        <f>"00369"</f>
        <v>00369</v>
      </c>
      <c r="N8677" t="s">
        <v>6722</v>
      </c>
      <c r="O8677" s="1">
        <v>-13583.02</v>
      </c>
      <c r="P8677">
        <v>20190522</v>
      </c>
      <c r="Q8677" t="s">
        <v>6735</v>
      </c>
      <c r="R8677" t="s">
        <v>6815</v>
      </c>
      <c r="S8677" t="s">
        <v>6725</v>
      </c>
      <c r="T8677" t="s">
        <v>296</v>
      </c>
    </row>
    <row r="8678" spans="1:20" x14ac:dyDescent="0.25">
      <c r="A8678">
        <v>9</v>
      </c>
      <c r="B8678">
        <v>240</v>
      </c>
      <c r="C8678" t="str">
        <f t="shared" ref="C8678:C8687" si="1981">"35"</f>
        <v>35</v>
      </c>
      <c r="D8678">
        <v>6217</v>
      </c>
      <c r="E8678" t="str">
        <f>"10"</f>
        <v>10</v>
      </c>
      <c r="F8678" t="str">
        <f>"938"</f>
        <v>938</v>
      </c>
      <c r="G8678">
        <v>9</v>
      </c>
      <c r="H8678" t="str">
        <f t="shared" ref="H8678:H8691" si="1982">"99"</f>
        <v>99</v>
      </c>
      <c r="I8678" t="str">
        <f t="shared" si="1971"/>
        <v>0</v>
      </c>
      <c r="J8678" t="str">
        <f t="shared" si="1977"/>
        <v>00</v>
      </c>
      <c r="K8678">
        <v>20190607</v>
      </c>
      <c r="L8678" t="str">
        <f>"077056"</f>
        <v>077056</v>
      </c>
      <c r="M8678" t="str">
        <f>"00369"</f>
        <v>00369</v>
      </c>
      <c r="N8678" t="s">
        <v>6722</v>
      </c>
      <c r="O8678" s="1">
        <v>66133.55</v>
      </c>
      <c r="P8678">
        <v>20190605</v>
      </c>
      <c r="Q8678" t="s">
        <v>6737</v>
      </c>
      <c r="R8678" t="s">
        <v>6816</v>
      </c>
      <c r="S8678" t="s">
        <v>6725</v>
      </c>
      <c r="T8678" t="s">
        <v>6732</v>
      </c>
    </row>
    <row r="8679" spans="1:20" x14ac:dyDescent="0.25">
      <c r="A8679">
        <v>9</v>
      </c>
      <c r="B8679">
        <v>240</v>
      </c>
      <c r="C8679" t="str">
        <f t="shared" si="1981"/>
        <v>35</v>
      </c>
      <c r="D8679">
        <v>6217</v>
      </c>
      <c r="E8679" t="str">
        <f>"11"</f>
        <v>11</v>
      </c>
      <c r="F8679" t="str">
        <f>"938"</f>
        <v>938</v>
      </c>
      <c r="G8679">
        <v>9</v>
      </c>
      <c r="H8679" t="str">
        <f t="shared" si="1982"/>
        <v>99</v>
      </c>
      <c r="I8679" t="str">
        <f t="shared" si="1971"/>
        <v>0</v>
      </c>
      <c r="J8679" t="str">
        <f t="shared" si="1977"/>
        <v>00</v>
      </c>
      <c r="K8679">
        <v>20190607</v>
      </c>
      <c r="L8679" t="str">
        <f>"077056"</f>
        <v>077056</v>
      </c>
      <c r="M8679" t="str">
        <f>"00369"</f>
        <v>00369</v>
      </c>
      <c r="N8679" t="s">
        <v>6722</v>
      </c>
      <c r="O8679" s="1">
        <v>138104.14000000001</v>
      </c>
      <c r="P8679">
        <v>20190605</v>
      </c>
      <c r="Q8679" t="s">
        <v>6739</v>
      </c>
      <c r="R8679" t="s">
        <v>6817</v>
      </c>
      <c r="S8679" t="s">
        <v>6725</v>
      </c>
      <c r="T8679" t="s">
        <v>6732</v>
      </c>
    </row>
    <row r="8680" spans="1:20" x14ac:dyDescent="0.25">
      <c r="A8680">
        <v>9</v>
      </c>
      <c r="B8680">
        <v>240</v>
      </c>
      <c r="C8680" t="str">
        <f t="shared" si="1981"/>
        <v>35</v>
      </c>
      <c r="D8680">
        <v>6217</v>
      </c>
      <c r="E8680" t="str">
        <f>"12"</f>
        <v>12</v>
      </c>
      <c r="F8680" t="str">
        <f>"938"</f>
        <v>938</v>
      </c>
      <c r="G8680">
        <v>9</v>
      </c>
      <c r="H8680" t="str">
        <f t="shared" si="1982"/>
        <v>99</v>
      </c>
      <c r="I8680" t="str">
        <f t="shared" si="1971"/>
        <v>0</v>
      </c>
      <c r="J8680" t="str">
        <f t="shared" si="1977"/>
        <v>00</v>
      </c>
      <c r="K8680">
        <v>20190607</v>
      </c>
      <c r="L8680" t="str">
        <f>"077056"</f>
        <v>077056</v>
      </c>
      <c r="M8680" t="str">
        <f>"00369"</f>
        <v>00369</v>
      </c>
      <c r="N8680" t="s">
        <v>6722</v>
      </c>
      <c r="O8680" s="1">
        <v>47246.35</v>
      </c>
      <c r="P8680">
        <v>20190605</v>
      </c>
      <c r="Q8680" t="s">
        <v>6741</v>
      </c>
      <c r="R8680" t="s">
        <v>6818</v>
      </c>
      <c r="S8680" t="s">
        <v>6725</v>
      </c>
      <c r="T8680" t="s">
        <v>6732</v>
      </c>
    </row>
    <row r="8681" spans="1:20" x14ac:dyDescent="0.25">
      <c r="A8681">
        <v>9</v>
      </c>
      <c r="B8681">
        <v>240</v>
      </c>
      <c r="C8681" t="str">
        <f t="shared" si="1981"/>
        <v>35</v>
      </c>
      <c r="D8681">
        <v>6217</v>
      </c>
      <c r="E8681" t="str">
        <f>"13"</f>
        <v>13</v>
      </c>
      <c r="F8681" t="str">
        <f>"938"</f>
        <v>938</v>
      </c>
      <c r="G8681">
        <v>9</v>
      </c>
      <c r="H8681" t="str">
        <f t="shared" si="1982"/>
        <v>99</v>
      </c>
      <c r="I8681" t="str">
        <f t="shared" si="1971"/>
        <v>0</v>
      </c>
      <c r="J8681" t="str">
        <f t="shared" si="1977"/>
        <v>00</v>
      </c>
      <c r="K8681">
        <v>20190607</v>
      </c>
      <c r="L8681" t="str">
        <f>"077056"</f>
        <v>077056</v>
      </c>
      <c r="M8681" t="str">
        <f>"00369"</f>
        <v>00369</v>
      </c>
      <c r="N8681" t="s">
        <v>6722</v>
      </c>
      <c r="O8681" s="1">
        <v>7269.32</v>
      </c>
      <c r="P8681">
        <v>20190605</v>
      </c>
      <c r="Q8681" t="s">
        <v>6743</v>
      </c>
      <c r="R8681" t="s">
        <v>6819</v>
      </c>
      <c r="S8681" t="s">
        <v>6725</v>
      </c>
      <c r="T8681" t="s">
        <v>6732</v>
      </c>
    </row>
    <row r="8682" spans="1:20" x14ac:dyDescent="0.25">
      <c r="A8682">
        <v>9</v>
      </c>
      <c r="B8682">
        <v>240</v>
      </c>
      <c r="C8682" t="str">
        <f t="shared" si="1981"/>
        <v>35</v>
      </c>
      <c r="D8682">
        <v>6399</v>
      </c>
      <c r="E8682" t="str">
        <f>"93"</f>
        <v>93</v>
      </c>
      <c r="F8682" t="str">
        <f>"001"</f>
        <v>001</v>
      </c>
      <c r="G8682">
        <v>9</v>
      </c>
      <c r="H8682" t="str">
        <f t="shared" si="1982"/>
        <v>99</v>
      </c>
      <c r="I8682" t="str">
        <f t="shared" si="1971"/>
        <v>0</v>
      </c>
      <c r="J8682" t="str">
        <f t="shared" si="1977"/>
        <v>00</v>
      </c>
      <c r="K8682">
        <v>20190614</v>
      </c>
      <c r="L8682" t="str">
        <f>"077139"</f>
        <v>077139</v>
      </c>
      <c r="M8682" t="str">
        <f>"14821"</f>
        <v>14821</v>
      </c>
      <c r="N8682" t="s">
        <v>1224</v>
      </c>
      <c r="O8682">
        <v>313.3</v>
      </c>
      <c r="P8682">
        <v>20190613</v>
      </c>
      <c r="Q8682" t="s">
        <v>6745</v>
      </c>
      <c r="R8682" t="s">
        <v>1225</v>
      </c>
      <c r="S8682" t="s">
        <v>6725</v>
      </c>
      <c r="T8682" t="s">
        <v>301</v>
      </c>
    </row>
    <row r="8683" spans="1:20" x14ac:dyDescent="0.25">
      <c r="A8683">
        <v>9</v>
      </c>
      <c r="B8683">
        <v>240</v>
      </c>
      <c r="C8683" t="str">
        <f t="shared" si="1981"/>
        <v>35</v>
      </c>
      <c r="D8683">
        <v>6398</v>
      </c>
      <c r="E8683" t="str">
        <f>"91"</f>
        <v>91</v>
      </c>
      <c r="F8683" t="str">
        <f>"938"</f>
        <v>938</v>
      </c>
      <c r="G8683">
        <v>9</v>
      </c>
      <c r="H8683" t="str">
        <f t="shared" si="1982"/>
        <v>99</v>
      </c>
      <c r="I8683" t="str">
        <f t="shared" si="1971"/>
        <v>0</v>
      </c>
      <c r="J8683" t="str">
        <f t="shared" si="1977"/>
        <v>00</v>
      </c>
      <c r="K8683">
        <v>20190621</v>
      </c>
      <c r="L8683" t="str">
        <f>"077217"</f>
        <v>077217</v>
      </c>
      <c r="M8683" t="str">
        <f>"04410"</f>
        <v>04410</v>
      </c>
      <c r="N8683" t="s">
        <v>410</v>
      </c>
      <c r="O8683">
        <v>68.58</v>
      </c>
      <c r="P8683">
        <v>20190619</v>
      </c>
      <c r="Q8683" t="s">
        <v>6820</v>
      </c>
      <c r="R8683" t="s">
        <v>6821</v>
      </c>
      <c r="S8683" t="s">
        <v>6725</v>
      </c>
      <c r="T8683" t="s">
        <v>6732</v>
      </c>
    </row>
    <row r="8684" spans="1:20" x14ac:dyDescent="0.25">
      <c r="A8684">
        <v>9</v>
      </c>
      <c r="B8684">
        <v>240</v>
      </c>
      <c r="C8684" t="str">
        <f t="shared" si="1981"/>
        <v>35</v>
      </c>
      <c r="D8684">
        <v>6649</v>
      </c>
      <c r="E8684" t="str">
        <f>"01"</f>
        <v>01</v>
      </c>
      <c r="F8684" t="str">
        <f>"938"</f>
        <v>938</v>
      </c>
      <c r="G8684">
        <v>9</v>
      </c>
      <c r="H8684" t="str">
        <f t="shared" si="1982"/>
        <v>99</v>
      </c>
      <c r="I8684" t="str">
        <f t="shared" si="1971"/>
        <v>0</v>
      </c>
      <c r="J8684" t="str">
        <f t="shared" si="1977"/>
        <v>00</v>
      </c>
      <c r="K8684">
        <v>20190621</v>
      </c>
      <c r="L8684" t="str">
        <f>"077231"</f>
        <v>077231</v>
      </c>
      <c r="M8684" t="str">
        <f>"25165"</f>
        <v>25165</v>
      </c>
      <c r="N8684" t="s">
        <v>2860</v>
      </c>
      <c r="O8684" s="1">
        <v>23908.22</v>
      </c>
      <c r="P8684">
        <v>20190619</v>
      </c>
      <c r="Q8684" t="s">
        <v>6822</v>
      </c>
      <c r="R8684" t="s">
        <v>3546</v>
      </c>
      <c r="S8684" t="s">
        <v>6725</v>
      </c>
      <c r="T8684" t="s">
        <v>6732</v>
      </c>
    </row>
    <row r="8685" spans="1:20" x14ac:dyDescent="0.25">
      <c r="A8685">
        <v>9</v>
      </c>
      <c r="B8685">
        <v>240</v>
      </c>
      <c r="C8685" t="str">
        <f t="shared" si="1981"/>
        <v>35</v>
      </c>
      <c r="D8685">
        <v>6249</v>
      </c>
      <c r="E8685" t="str">
        <f>"93"</f>
        <v>93</v>
      </c>
      <c r="F8685" t="str">
        <f>"041"</f>
        <v>041</v>
      </c>
      <c r="G8685">
        <v>9</v>
      </c>
      <c r="H8685" t="str">
        <f t="shared" si="1982"/>
        <v>99</v>
      </c>
      <c r="I8685" t="str">
        <f t="shared" si="1971"/>
        <v>0</v>
      </c>
      <c r="J8685" t="str">
        <f t="shared" si="1977"/>
        <v>00</v>
      </c>
      <c r="K8685">
        <v>20190621</v>
      </c>
      <c r="L8685" t="str">
        <f>"077257"</f>
        <v>077257</v>
      </c>
      <c r="M8685" t="str">
        <f>"52222"</f>
        <v>52222</v>
      </c>
      <c r="N8685" t="s">
        <v>6812</v>
      </c>
      <c r="O8685" s="1">
        <v>3827</v>
      </c>
      <c r="P8685">
        <v>20190619</v>
      </c>
      <c r="Q8685" t="s">
        <v>6748</v>
      </c>
      <c r="R8685" t="s">
        <v>6823</v>
      </c>
      <c r="S8685" t="s">
        <v>6725</v>
      </c>
      <c r="T8685" t="s">
        <v>106</v>
      </c>
    </row>
    <row r="8686" spans="1:20" x14ac:dyDescent="0.25">
      <c r="A8686">
        <v>9</v>
      </c>
      <c r="B8686">
        <v>240</v>
      </c>
      <c r="C8686" t="str">
        <f t="shared" si="1981"/>
        <v>35</v>
      </c>
      <c r="D8686">
        <v>6249</v>
      </c>
      <c r="E8686" t="str">
        <f>"93"</f>
        <v>93</v>
      </c>
      <c r="F8686" t="str">
        <f>"001"</f>
        <v>001</v>
      </c>
      <c r="G8686">
        <v>9</v>
      </c>
      <c r="H8686" t="str">
        <f t="shared" si="1982"/>
        <v>99</v>
      </c>
      <c r="I8686" t="str">
        <f t="shared" si="1971"/>
        <v>0</v>
      </c>
      <c r="J8686" t="str">
        <f t="shared" si="1977"/>
        <v>00</v>
      </c>
      <c r="K8686">
        <v>20190621</v>
      </c>
      <c r="L8686" t="str">
        <f>"077265"</f>
        <v>077265</v>
      </c>
      <c r="M8686" t="str">
        <f>"60190"</f>
        <v>60190</v>
      </c>
      <c r="N8686" t="s">
        <v>4277</v>
      </c>
      <c r="O8686">
        <v>97.99</v>
      </c>
      <c r="P8686">
        <v>20190619</v>
      </c>
      <c r="Q8686" t="s">
        <v>6746</v>
      </c>
      <c r="R8686" t="s">
        <v>6824</v>
      </c>
      <c r="S8686" t="s">
        <v>6725</v>
      </c>
      <c r="T8686" t="s">
        <v>301</v>
      </c>
    </row>
    <row r="8687" spans="1:20" x14ac:dyDescent="0.25">
      <c r="A8687">
        <v>9</v>
      </c>
      <c r="B8687">
        <v>240</v>
      </c>
      <c r="C8687" t="str">
        <f t="shared" si="1981"/>
        <v>35</v>
      </c>
      <c r="D8687">
        <v>6249</v>
      </c>
      <c r="E8687" t="str">
        <f>"93"</f>
        <v>93</v>
      </c>
      <c r="F8687" t="str">
        <f>"001"</f>
        <v>001</v>
      </c>
      <c r="G8687">
        <v>9</v>
      </c>
      <c r="H8687" t="str">
        <f t="shared" si="1982"/>
        <v>99</v>
      </c>
      <c r="I8687" t="str">
        <f t="shared" si="1971"/>
        <v>0</v>
      </c>
      <c r="J8687" t="str">
        <f t="shared" si="1977"/>
        <v>00</v>
      </c>
      <c r="K8687">
        <v>20190621</v>
      </c>
      <c r="L8687" t="str">
        <f>"077265"</f>
        <v>077265</v>
      </c>
      <c r="M8687" t="str">
        <f>"60190"</f>
        <v>60190</v>
      </c>
      <c r="N8687" t="s">
        <v>4277</v>
      </c>
      <c r="O8687">
        <v>163.99</v>
      </c>
      <c r="P8687">
        <v>20190619</v>
      </c>
      <c r="Q8687" t="s">
        <v>6746</v>
      </c>
      <c r="R8687" t="s">
        <v>6825</v>
      </c>
      <c r="S8687" t="s">
        <v>6725</v>
      </c>
      <c r="T8687" t="s">
        <v>301</v>
      </c>
    </row>
    <row r="8688" spans="1:20" x14ac:dyDescent="0.25">
      <c r="A8688">
        <v>9</v>
      </c>
      <c r="B8688">
        <v>240</v>
      </c>
      <c r="C8688" t="str">
        <f>"51"</f>
        <v>51</v>
      </c>
      <c r="D8688">
        <v>6249</v>
      </c>
      <c r="E8688" t="str">
        <f>"00"</f>
        <v>00</v>
      </c>
      <c r="F8688" t="str">
        <f>"001"</f>
        <v>001</v>
      </c>
      <c r="G8688">
        <v>9</v>
      </c>
      <c r="H8688" t="str">
        <f t="shared" si="1982"/>
        <v>99</v>
      </c>
      <c r="I8688" t="str">
        <f t="shared" si="1971"/>
        <v>0</v>
      </c>
      <c r="J8688" t="str">
        <f t="shared" si="1977"/>
        <v>00</v>
      </c>
      <c r="K8688">
        <v>20190802</v>
      </c>
      <c r="L8688" t="str">
        <f>"077558"</f>
        <v>077558</v>
      </c>
      <c r="M8688" t="str">
        <f>"00266"</f>
        <v>00266</v>
      </c>
      <c r="N8688" t="s">
        <v>5987</v>
      </c>
      <c r="O8688">
        <v>840</v>
      </c>
      <c r="P8688">
        <v>20190801</v>
      </c>
      <c r="Q8688" t="s">
        <v>6772</v>
      </c>
      <c r="R8688" t="s">
        <v>6826</v>
      </c>
      <c r="S8688" t="s">
        <v>6725</v>
      </c>
      <c r="T8688" t="s">
        <v>301</v>
      </c>
    </row>
    <row r="8689" spans="1:20" x14ac:dyDescent="0.25">
      <c r="A8689">
        <v>9</v>
      </c>
      <c r="B8689">
        <v>240</v>
      </c>
      <c r="C8689" t="str">
        <f>"51"</f>
        <v>51</v>
      </c>
      <c r="D8689">
        <v>6249</v>
      </c>
      <c r="E8689" t="str">
        <f>"00"</f>
        <v>00</v>
      </c>
      <c r="F8689" t="str">
        <f>"041"</f>
        <v>041</v>
      </c>
      <c r="G8689">
        <v>9</v>
      </c>
      <c r="H8689" t="str">
        <f t="shared" si="1982"/>
        <v>99</v>
      </c>
      <c r="I8689" t="str">
        <f t="shared" si="1971"/>
        <v>0</v>
      </c>
      <c r="J8689" t="str">
        <f t="shared" si="1977"/>
        <v>00</v>
      </c>
      <c r="K8689">
        <v>20190802</v>
      </c>
      <c r="L8689" t="str">
        <f>"077558"</f>
        <v>077558</v>
      </c>
      <c r="M8689" t="str">
        <f>"00266"</f>
        <v>00266</v>
      </c>
      <c r="N8689" t="s">
        <v>5987</v>
      </c>
      <c r="O8689" s="1">
        <v>1050</v>
      </c>
      <c r="P8689">
        <v>20190801</v>
      </c>
      <c r="Q8689" t="s">
        <v>6773</v>
      </c>
      <c r="R8689" t="s">
        <v>6826</v>
      </c>
      <c r="S8689" t="s">
        <v>6725</v>
      </c>
      <c r="T8689" t="s">
        <v>106</v>
      </c>
    </row>
    <row r="8690" spans="1:20" x14ac:dyDescent="0.25">
      <c r="A8690">
        <v>9</v>
      </c>
      <c r="B8690">
        <v>240</v>
      </c>
      <c r="C8690" t="str">
        <f>"51"</f>
        <v>51</v>
      </c>
      <c r="D8690">
        <v>6249</v>
      </c>
      <c r="E8690" t="str">
        <f>"00"</f>
        <v>00</v>
      </c>
      <c r="F8690" t="str">
        <f>"101"</f>
        <v>101</v>
      </c>
      <c r="G8690">
        <v>9</v>
      </c>
      <c r="H8690" t="str">
        <f t="shared" si="1982"/>
        <v>99</v>
      </c>
      <c r="I8690" t="str">
        <f t="shared" si="1971"/>
        <v>0</v>
      </c>
      <c r="J8690" t="str">
        <f t="shared" si="1977"/>
        <v>00</v>
      </c>
      <c r="K8690">
        <v>20190802</v>
      </c>
      <c r="L8690" t="str">
        <f>"077558"</f>
        <v>077558</v>
      </c>
      <c r="M8690" t="str">
        <f>"00266"</f>
        <v>00266</v>
      </c>
      <c r="N8690" t="s">
        <v>5987</v>
      </c>
      <c r="O8690" s="1">
        <v>1260</v>
      </c>
      <c r="P8690">
        <v>20190801</v>
      </c>
      <c r="Q8690" t="s">
        <v>6774</v>
      </c>
      <c r="R8690" t="s">
        <v>6826</v>
      </c>
      <c r="S8690" t="s">
        <v>6725</v>
      </c>
      <c r="T8690" t="s">
        <v>1479</v>
      </c>
    </row>
    <row r="8691" spans="1:20" x14ac:dyDescent="0.25">
      <c r="A8691">
        <v>9</v>
      </c>
      <c r="B8691">
        <v>240</v>
      </c>
      <c r="C8691" t="str">
        <f>"51"</f>
        <v>51</v>
      </c>
      <c r="D8691">
        <v>6249</v>
      </c>
      <c r="E8691" t="str">
        <f>"00"</f>
        <v>00</v>
      </c>
      <c r="F8691" t="str">
        <f>"104"</f>
        <v>104</v>
      </c>
      <c r="G8691">
        <v>9</v>
      </c>
      <c r="H8691" t="str">
        <f t="shared" si="1982"/>
        <v>99</v>
      </c>
      <c r="I8691" t="str">
        <f t="shared" si="1971"/>
        <v>0</v>
      </c>
      <c r="J8691" t="str">
        <f t="shared" si="1977"/>
        <v>00</v>
      </c>
      <c r="K8691">
        <v>20190802</v>
      </c>
      <c r="L8691" t="str">
        <f>"077558"</f>
        <v>077558</v>
      </c>
      <c r="M8691" t="str">
        <f>"00266"</f>
        <v>00266</v>
      </c>
      <c r="N8691" t="s">
        <v>5987</v>
      </c>
      <c r="O8691">
        <v>840</v>
      </c>
      <c r="P8691">
        <v>20190801</v>
      </c>
      <c r="Q8691" t="s">
        <v>6775</v>
      </c>
      <c r="R8691" t="s">
        <v>6826</v>
      </c>
      <c r="S8691" t="s">
        <v>6725</v>
      </c>
      <c r="T8691" t="s">
        <v>46</v>
      </c>
    </row>
    <row r="8692" spans="1:20" x14ac:dyDescent="0.25">
      <c r="A8692">
        <v>9</v>
      </c>
      <c r="B8692">
        <v>240</v>
      </c>
      <c r="C8692" t="str">
        <f>"00"</f>
        <v>00</v>
      </c>
      <c r="D8692">
        <v>5751</v>
      </c>
      <c r="E8692" t="str">
        <f>"01"</f>
        <v>01</v>
      </c>
      <c r="F8692" t="str">
        <f>"000"</f>
        <v>000</v>
      </c>
      <c r="G8692">
        <v>9</v>
      </c>
      <c r="H8692" t="str">
        <f>"00"</f>
        <v>00</v>
      </c>
      <c r="I8692" t="str">
        <f t="shared" si="1971"/>
        <v>0</v>
      </c>
      <c r="J8692" t="str">
        <f t="shared" si="1977"/>
        <v>00</v>
      </c>
      <c r="K8692">
        <v>20190809</v>
      </c>
      <c r="L8692" t="str">
        <f>"077573"</f>
        <v>077573</v>
      </c>
      <c r="M8692" t="str">
        <f>"00369"</f>
        <v>00369</v>
      </c>
      <c r="N8692" t="s">
        <v>6722</v>
      </c>
      <c r="O8692" s="1">
        <v>-1596.39</v>
      </c>
      <c r="P8692">
        <v>20190626</v>
      </c>
      <c r="Q8692" t="s">
        <v>6735</v>
      </c>
      <c r="R8692" t="s">
        <v>6827</v>
      </c>
      <c r="S8692" t="s">
        <v>6725</v>
      </c>
      <c r="T8692" t="s">
        <v>296</v>
      </c>
    </row>
    <row r="8693" spans="1:20" x14ac:dyDescent="0.25">
      <c r="A8693">
        <v>9</v>
      </c>
      <c r="B8693">
        <v>240</v>
      </c>
      <c r="C8693" t="str">
        <f t="shared" ref="C8693:C8698" si="1983">"35"</f>
        <v>35</v>
      </c>
      <c r="D8693">
        <v>6217</v>
      </c>
      <c r="E8693" t="str">
        <f>"10"</f>
        <v>10</v>
      </c>
      <c r="F8693" t="str">
        <f>"938"</f>
        <v>938</v>
      </c>
      <c r="G8693">
        <v>9</v>
      </c>
      <c r="H8693" t="str">
        <f t="shared" ref="H8693:H8704" si="1984">"99"</f>
        <v>99</v>
      </c>
      <c r="I8693" t="str">
        <f t="shared" si="1971"/>
        <v>0</v>
      </c>
      <c r="J8693" t="str">
        <f t="shared" si="1977"/>
        <v>00</v>
      </c>
      <c r="K8693">
        <v>20190809</v>
      </c>
      <c r="L8693" t="str">
        <f>"077573"</f>
        <v>077573</v>
      </c>
      <c r="M8693" t="str">
        <f>"00369"</f>
        <v>00369</v>
      </c>
      <c r="N8693" t="s">
        <v>6722</v>
      </c>
      <c r="O8693" s="1">
        <v>7647.95</v>
      </c>
      <c r="P8693">
        <v>20190807</v>
      </c>
      <c r="Q8693" t="s">
        <v>6737</v>
      </c>
      <c r="R8693" t="s">
        <v>6828</v>
      </c>
      <c r="S8693" t="s">
        <v>6725</v>
      </c>
      <c r="T8693" t="s">
        <v>6732</v>
      </c>
    </row>
    <row r="8694" spans="1:20" x14ac:dyDescent="0.25">
      <c r="A8694">
        <v>9</v>
      </c>
      <c r="B8694">
        <v>240</v>
      </c>
      <c r="C8694" t="str">
        <f t="shared" si="1983"/>
        <v>35</v>
      </c>
      <c r="D8694">
        <v>6217</v>
      </c>
      <c r="E8694" t="str">
        <f>"11"</f>
        <v>11</v>
      </c>
      <c r="F8694" t="str">
        <f>"938"</f>
        <v>938</v>
      </c>
      <c r="G8694">
        <v>9</v>
      </c>
      <c r="H8694" t="str">
        <f t="shared" si="1984"/>
        <v>99</v>
      </c>
      <c r="I8694" t="str">
        <f t="shared" si="1971"/>
        <v>0</v>
      </c>
      <c r="J8694" t="str">
        <f t="shared" si="1977"/>
        <v>00</v>
      </c>
      <c r="K8694">
        <v>20190809</v>
      </c>
      <c r="L8694" t="str">
        <f>"077573"</f>
        <v>077573</v>
      </c>
      <c r="M8694" t="str">
        <f>"00369"</f>
        <v>00369</v>
      </c>
      <c r="N8694" t="s">
        <v>6722</v>
      </c>
      <c r="O8694" s="1">
        <v>14703.66</v>
      </c>
      <c r="P8694">
        <v>20190807</v>
      </c>
      <c r="Q8694" t="s">
        <v>6739</v>
      </c>
      <c r="R8694" t="s">
        <v>6829</v>
      </c>
      <c r="S8694" t="s">
        <v>6725</v>
      </c>
      <c r="T8694" t="s">
        <v>6732</v>
      </c>
    </row>
    <row r="8695" spans="1:20" x14ac:dyDescent="0.25">
      <c r="A8695">
        <v>9</v>
      </c>
      <c r="B8695">
        <v>240</v>
      </c>
      <c r="C8695" t="str">
        <f t="shared" si="1983"/>
        <v>35</v>
      </c>
      <c r="D8695">
        <v>6217</v>
      </c>
      <c r="E8695" t="str">
        <f>"12"</f>
        <v>12</v>
      </c>
      <c r="F8695" t="str">
        <f>"938"</f>
        <v>938</v>
      </c>
      <c r="G8695">
        <v>9</v>
      </c>
      <c r="H8695" t="str">
        <f t="shared" si="1984"/>
        <v>99</v>
      </c>
      <c r="I8695" t="str">
        <f t="shared" si="1971"/>
        <v>0</v>
      </c>
      <c r="J8695" t="str">
        <f t="shared" si="1977"/>
        <v>00</v>
      </c>
      <c r="K8695">
        <v>20190809</v>
      </c>
      <c r="L8695" t="str">
        <f>"077573"</f>
        <v>077573</v>
      </c>
      <c r="M8695" t="str">
        <f>"00369"</f>
        <v>00369</v>
      </c>
      <c r="N8695" t="s">
        <v>6722</v>
      </c>
      <c r="O8695" s="1">
        <v>5642.25</v>
      </c>
      <c r="P8695">
        <v>20190807</v>
      </c>
      <c r="Q8695" t="s">
        <v>6741</v>
      </c>
      <c r="R8695" t="s">
        <v>6830</v>
      </c>
      <c r="S8695" t="s">
        <v>6725</v>
      </c>
      <c r="T8695" t="s">
        <v>6732</v>
      </c>
    </row>
    <row r="8696" spans="1:20" x14ac:dyDescent="0.25">
      <c r="A8696">
        <v>9</v>
      </c>
      <c r="B8696">
        <v>240</v>
      </c>
      <c r="C8696" t="str">
        <f t="shared" si="1983"/>
        <v>35</v>
      </c>
      <c r="D8696">
        <v>6217</v>
      </c>
      <c r="E8696" t="str">
        <f>"13"</f>
        <v>13</v>
      </c>
      <c r="F8696" t="str">
        <f>"938"</f>
        <v>938</v>
      </c>
      <c r="G8696">
        <v>9</v>
      </c>
      <c r="H8696" t="str">
        <f t="shared" si="1984"/>
        <v>99</v>
      </c>
      <c r="I8696" t="str">
        <f t="shared" si="1971"/>
        <v>0</v>
      </c>
      <c r="J8696" t="str">
        <f t="shared" si="1977"/>
        <v>00</v>
      </c>
      <c r="K8696">
        <v>20190809</v>
      </c>
      <c r="L8696" t="str">
        <f>"077573"</f>
        <v>077573</v>
      </c>
      <c r="M8696" t="str">
        <f>"00369"</f>
        <v>00369</v>
      </c>
      <c r="N8696" t="s">
        <v>6722</v>
      </c>
      <c r="O8696">
        <v>593.66</v>
      </c>
      <c r="P8696">
        <v>20190807</v>
      </c>
      <c r="Q8696" t="s">
        <v>6743</v>
      </c>
      <c r="R8696" t="s">
        <v>6831</v>
      </c>
      <c r="S8696" t="s">
        <v>6725</v>
      </c>
      <c r="T8696" t="s">
        <v>6732</v>
      </c>
    </row>
    <row r="8697" spans="1:20" x14ac:dyDescent="0.25">
      <c r="A8697">
        <v>9</v>
      </c>
      <c r="B8697">
        <v>240</v>
      </c>
      <c r="C8697" t="str">
        <f t="shared" si="1983"/>
        <v>35</v>
      </c>
      <c r="D8697">
        <v>6649</v>
      </c>
      <c r="E8697" t="str">
        <f>"01"</f>
        <v>01</v>
      </c>
      <c r="F8697" t="str">
        <f>"938"</f>
        <v>938</v>
      </c>
      <c r="G8697">
        <v>9</v>
      </c>
      <c r="H8697" t="str">
        <f t="shared" si="1984"/>
        <v>99</v>
      </c>
      <c r="I8697" t="str">
        <f t="shared" si="1971"/>
        <v>0</v>
      </c>
      <c r="J8697" t="str">
        <f t="shared" si="1977"/>
        <v>00</v>
      </c>
      <c r="K8697">
        <v>20190809</v>
      </c>
      <c r="L8697" t="str">
        <f>"077619"</f>
        <v>077619</v>
      </c>
      <c r="M8697" t="str">
        <f>"39260"</f>
        <v>39260</v>
      </c>
      <c r="N8697" t="s">
        <v>6729</v>
      </c>
      <c r="O8697" s="1">
        <v>2794</v>
      </c>
      <c r="P8697">
        <v>20190807</v>
      </c>
      <c r="Q8697" t="s">
        <v>6822</v>
      </c>
      <c r="R8697" t="s">
        <v>6832</v>
      </c>
      <c r="S8697" t="s">
        <v>6725</v>
      </c>
      <c r="T8697" t="s">
        <v>6732</v>
      </c>
    </row>
    <row r="8698" spans="1:20" x14ac:dyDescent="0.25">
      <c r="A8698">
        <v>9</v>
      </c>
      <c r="B8698">
        <v>240</v>
      </c>
      <c r="C8698" t="str">
        <f t="shared" si="1983"/>
        <v>35</v>
      </c>
      <c r="D8698">
        <v>6649</v>
      </c>
      <c r="E8698" t="str">
        <f>"02"</f>
        <v>02</v>
      </c>
      <c r="F8698" t="str">
        <f>"001"</f>
        <v>001</v>
      </c>
      <c r="G8698">
        <v>9</v>
      </c>
      <c r="H8698" t="str">
        <f t="shared" si="1984"/>
        <v>99</v>
      </c>
      <c r="I8698" t="str">
        <f t="shared" si="1971"/>
        <v>0</v>
      </c>
      <c r="J8698" t="str">
        <f t="shared" si="1977"/>
        <v>00</v>
      </c>
      <c r="K8698">
        <v>20190809</v>
      </c>
      <c r="L8698" t="str">
        <f>"077627"</f>
        <v>077627</v>
      </c>
      <c r="M8698" t="str">
        <f>"45130"</f>
        <v>45130</v>
      </c>
      <c r="N8698" t="s">
        <v>6833</v>
      </c>
      <c r="O8698" s="1">
        <v>5142.9399999999996</v>
      </c>
      <c r="P8698">
        <v>20190807</v>
      </c>
      <c r="Q8698" t="s">
        <v>6834</v>
      </c>
      <c r="R8698" t="s">
        <v>6835</v>
      </c>
      <c r="S8698" t="s">
        <v>6725</v>
      </c>
      <c r="T8698" t="s">
        <v>301</v>
      </c>
    </row>
    <row r="8699" spans="1:20" x14ac:dyDescent="0.25">
      <c r="A8699">
        <v>9</v>
      </c>
      <c r="B8699">
        <v>240</v>
      </c>
      <c r="C8699" t="str">
        <f>"51"</f>
        <v>51</v>
      </c>
      <c r="D8699">
        <v>6249</v>
      </c>
      <c r="E8699" t="str">
        <f>"00"</f>
        <v>00</v>
      </c>
      <c r="F8699" t="str">
        <f>"001"</f>
        <v>001</v>
      </c>
      <c r="G8699">
        <v>9</v>
      </c>
      <c r="H8699" t="str">
        <f t="shared" si="1984"/>
        <v>99</v>
      </c>
      <c r="I8699" t="str">
        <f t="shared" ref="I8699:I8762" si="1985">"0"</f>
        <v>0</v>
      </c>
      <c r="J8699" t="str">
        <f t="shared" si="1977"/>
        <v>00</v>
      </c>
      <c r="K8699">
        <v>20190809</v>
      </c>
      <c r="L8699" t="str">
        <f>"077632"</f>
        <v>077632</v>
      </c>
      <c r="M8699" t="str">
        <f>"46369"</f>
        <v>46369</v>
      </c>
      <c r="N8699" t="s">
        <v>2086</v>
      </c>
      <c r="O8699">
        <v>230</v>
      </c>
      <c r="P8699">
        <v>20190807</v>
      </c>
      <c r="Q8699" t="s">
        <v>6772</v>
      </c>
      <c r="R8699" t="s">
        <v>6781</v>
      </c>
      <c r="S8699" t="s">
        <v>6725</v>
      </c>
      <c r="T8699" t="s">
        <v>301</v>
      </c>
    </row>
    <row r="8700" spans="1:20" x14ac:dyDescent="0.25">
      <c r="A8700">
        <v>9</v>
      </c>
      <c r="B8700">
        <v>240</v>
      </c>
      <c r="C8700" t="str">
        <f>"51"</f>
        <v>51</v>
      </c>
      <c r="D8700">
        <v>6249</v>
      </c>
      <c r="E8700" t="str">
        <f>"00"</f>
        <v>00</v>
      </c>
      <c r="F8700" t="str">
        <f>"041"</f>
        <v>041</v>
      </c>
      <c r="G8700">
        <v>9</v>
      </c>
      <c r="H8700" t="str">
        <f t="shared" si="1984"/>
        <v>99</v>
      </c>
      <c r="I8700" t="str">
        <f t="shared" si="1985"/>
        <v>0</v>
      </c>
      <c r="J8700" t="str">
        <f t="shared" si="1977"/>
        <v>00</v>
      </c>
      <c r="K8700">
        <v>20190809</v>
      </c>
      <c r="L8700" t="str">
        <f>"077632"</f>
        <v>077632</v>
      </c>
      <c r="M8700" t="str">
        <f>"46369"</f>
        <v>46369</v>
      </c>
      <c r="N8700" t="s">
        <v>2086</v>
      </c>
      <c r="O8700">
        <v>230</v>
      </c>
      <c r="P8700">
        <v>20190807</v>
      </c>
      <c r="Q8700" t="s">
        <v>6773</v>
      </c>
      <c r="R8700" t="s">
        <v>6781</v>
      </c>
      <c r="S8700" t="s">
        <v>6725</v>
      </c>
      <c r="T8700" t="s">
        <v>106</v>
      </c>
    </row>
    <row r="8701" spans="1:20" x14ac:dyDescent="0.25">
      <c r="A8701">
        <v>9</v>
      </c>
      <c r="B8701">
        <v>240</v>
      </c>
      <c r="C8701" t="str">
        <f>"51"</f>
        <v>51</v>
      </c>
      <c r="D8701">
        <v>6249</v>
      </c>
      <c r="E8701" t="str">
        <f>"00"</f>
        <v>00</v>
      </c>
      <c r="F8701" t="str">
        <f>"101"</f>
        <v>101</v>
      </c>
      <c r="G8701">
        <v>9</v>
      </c>
      <c r="H8701" t="str">
        <f t="shared" si="1984"/>
        <v>99</v>
      </c>
      <c r="I8701" t="str">
        <f t="shared" si="1985"/>
        <v>0</v>
      </c>
      <c r="J8701" t="str">
        <f t="shared" si="1977"/>
        <v>00</v>
      </c>
      <c r="K8701">
        <v>20190809</v>
      </c>
      <c r="L8701" t="str">
        <f>"077632"</f>
        <v>077632</v>
      </c>
      <c r="M8701" t="str">
        <f>"46369"</f>
        <v>46369</v>
      </c>
      <c r="N8701" t="s">
        <v>2086</v>
      </c>
      <c r="O8701">
        <v>230</v>
      </c>
      <c r="P8701">
        <v>20190807</v>
      </c>
      <c r="Q8701" t="s">
        <v>6774</v>
      </c>
      <c r="R8701" t="s">
        <v>6781</v>
      </c>
      <c r="S8701" t="s">
        <v>6725</v>
      </c>
      <c r="T8701" t="s">
        <v>1479</v>
      </c>
    </row>
    <row r="8702" spans="1:20" x14ac:dyDescent="0.25">
      <c r="A8702">
        <v>9</v>
      </c>
      <c r="B8702">
        <v>240</v>
      </c>
      <c r="C8702" t="str">
        <f>"51"</f>
        <v>51</v>
      </c>
      <c r="D8702">
        <v>6249</v>
      </c>
      <c r="E8702" t="str">
        <f>"00"</f>
        <v>00</v>
      </c>
      <c r="F8702" t="str">
        <f>"104"</f>
        <v>104</v>
      </c>
      <c r="G8702">
        <v>9</v>
      </c>
      <c r="H8702" t="str">
        <f t="shared" si="1984"/>
        <v>99</v>
      </c>
      <c r="I8702" t="str">
        <f t="shared" si="1985"/>
        <v>0</v>
      </c>
      <c r="J8702" t="str">
        <f t="shared" si="1977"/>
        <v>00</v>
      </c>
      <c r="K8702">
        <v>20190809</v>
      </c>
      <c r="L8702" t="str">
        <f>"077632"</f>
        <v>077632</v>
      </c>
      <c r="M8702" t="str">
        <f>"46369"</f>
        <v>46369</v>
      </c>
      <c r="N8702" t="s">
        <v>2086</v>
      </c>
      <c r="O8702">
        <v>230</v>
      </c>
      <c r="P8702">
        <v>20190807</v>
      </c>
      <c r="Q8702" t="s">
        <v>6775</v>
      </c>
      <c r="R8702" t="s">
        <v>6781</v>
      </c>
      <c r="S8702" t="s">
        <v>6725</v>
      </c>
      <c r="T8702" t="s">
        <v>46</v>
      </c>
    </row>
    <row r="8703" spans="1:20" x14ac:dyDescent="0.25">
      <c r="A8703">
        <v>9</v>
      </c>
      <c r="B8703">
        <v>240</v>
      </c>
      <c r="C8703" t="str">
        <f>"35"</f>
        <v>35</v>
      </c>
      <c r="D8703">
        <v>6249</v>
      </c>
      <c r="E8703" t="str">
        <f>"93"</f>
        <v>93</v>
      </c>
      <c r="F8703" t="str">
        <f>"104"</f>
        <v>104</v>
      </c>
      <c r="G8703">
        <v>9</v>
      </c>
      <c r="H8703" t="str">
        <f t="shared" si="1984"/>
        <v>99</v>
      </c>
      <c r="I8703" t="str">
        <f t="shared" si="1985"/>
        <v>0</v>
      </c>
      <c r="J8703" t="str">
        <f t="shared" si="1977"/>
        <v>00</v>
      </c>
      <c r="K8703">
        <v>20190809</v>
      </c>
      <c r="L8703" t="str">
        <f>"077651"</f>
        <v>077651</v>
      </c>
      <c r="M8703" t="str">
        <f>"60190"</f>
        <v>60190</v>
      </c>
      <c r="N8703" t="s">
        <v>4277</v>
      </c>
      <c r="O8703">
        <v>594.59</v>
      </c>
      <c r="P8703">
        <v>20190808</v>
      </c>
      <c r="Q8703" t="s">
        <v>6765</v>
      </c>
      <c r="R8703" t="s">
        <v>6836</v>
      </c>
      <c r="S8703" t="s">
        <v>6725</v>
      </c>
      <c r="T8703" t="s">
        <v>46</v>
      </c>
    </row>
    <row r="8704" spans="1:20" x14ac:dyDescent="0.25">
      <c r="A8704">
        <v>9</v>
      </c>
      <c r="B8704">
        <v>240</v>
      </c>
      <c r="C8704" t="str">
        <f>"35"</f>
        <v>35</v>
      </c>
      <c r="D8704">
        <v>6249</v>
      </c>
      <c r="E8704" t="str">
        <f>"93"</f>
        <v>93</v>
      </c>
      <c r="F8704" t="str">
        <f>"101"</f>
        <v>101</v>
      </c>
      <c r="G8704">
        <v>9</v>
      </c>
      <c r="H8704" t="str">
        <f t="shared" si="1984"/>
        <v>99</v>
      </c>
      <c r="I8704" t="str">
        <f t="shared" si="1985"/>
        <v>0</v>
      </c>
      <c r="J8704" t="str">
        <f t="shared" si="1977"/>
        <v>00</v>
      </c>
      <c r="K8704">
        <v>20190823</v>
      </c>
      <c r="L8704" t="str">
        <f>"077814"</f>
        <v>077814</v>
      </c>
      <c r="M8704" t="str">
        <f>"60190"</f>
        <v>60190</v>
      </c>
      <c r="N8704" t="s">
        <v>4277</v>
      </c>
      <c r="O8704">
        <v>371.76</v>
      </c>
      <c r="P8704">
        <v>20190821</v>
      </c>
      <c r="Q8704" t="s">
        <v>6762</v>
      </c>
      <c r="R8704" t="s">
        <v>6837</v>
      </c>
      <c r="S8704" t="s">
        <v>6725</v>
      </c>
      <c r="T8704" t="s">
        <v>1479</v>
      </c>
    </row>
    <row r="8705" spans="1:20" x14ac:dyDescent="0.25">
      <c r="A8705">
        <v>9</v>
      </c>
      <c r="B8705">
        <v>240</v>
      </c>
      <c r="C8705" t="str">
        <f>"00"</f>
        <v>00</v>
      </c>
      <c r="D8705">
        <v>5751</v>
      </c>
      <c r="E8705" t="str">
        <f>"01"</f>
        <v>01</v>
      </c>
      <c r="F8705" t="str">
        <f>"000"</f>
        <v>000</v>
      </c>
      <c r="G8705">
        <v>9</v>
      </c>
      <c r="H8705" t="str">
        <f>"00"</f>
        <v>00</v>
      </c>
      <c r="I8705" t="str">
        <f t="shared" si="1985"/>
        <v>0</v>
      </c>
      <c r="J8705" t="str">
        <f t="shared" si="1977"/>
        <v>00</v>
      </c>
      <c r="K8705">
        <v>20190830</v>
      </c>
      <c r="L8705" t="str">
        <f>"077832"</f>
        <v>077832</v>
      </c>
      <c r="M8705" t="str">
        <f>"00369"</f>
        <v>00369</v>
      </c>
      <c r="N8705" t="s">
        <v>6722</v>
      </c>
      <c r="O8705">
        <v>-9.1</v>
      </c>
      <c r="P8705">
        <v>20190724</v>
      </c>
      <c r="Q8705" t="s">
        <v>6735</v>
      </c>
      <c r="R8705" t="s">
        <v>6838</v>
      </c>
      <c r="S8705" t="s">
        <v>6725</v>
      </c>
      <c r="T8705" t="s">
        <v>296</v>
      </c>
    </row>
    <row r="8706" spans="1:20" x14ac:dyDescent="0.25">
      <c r="A8706">
        <v>9</v>
      </c>
      <c r="B8706">
        <v>240</v>
      </c>
      <c r="C8706" t="str">
        <f t="shared" ref="C8706:C8711" si="1986">"35"</f>
        <v>35</v>
      </c>
      <c r="D8706">
        <v>6217</v>
      </c>
      <c r="E8706" t="str">
        <f>"10"</f>
        <v>10</v>
      </c>
      <c r="F8706" t="str">
        <f>"938"</f>
        <v>938</v>
      </c>
      <c r="G8706">
        <v>9</v>
      </c>
      <c r="H8706" t="str">
        <f t="shared" ref="H8706:H8711" si="1987">"99"</f>
        <v>99</v>
      </c>
      <c r="I8706" t="str">
        <f t="shared" si="1985"/>
        <v>0</v>
      </c>
      <c r="J8706" t="str">
        <f t="shared" si="1977"/>
        <v>00</v>
      </c>
      <c r="K8706">
        <v>20190830</v>
      </c>
      <c r="L8706" t="str">
        <f>"077832"</f>
        <v>077832</v>
      </c>
      <c r="M8706" t="str">
        <f>"00369"</f>
        <v>00369</v>
      </c>
      <c r="N8706" t="s">
        <v>6722</v>
      </c>
      <c r="O8706" s="1">
        <v>24521.53</v>
      </c>
      <c r="P8706">
        <v>20190829</v>
      </c>
      <c r="Q8706" t="s">
        <v>6737</v>
      </c>
      <c r="R8706" t="s">
        <v>6839</v>
      </c>
      <c r="S8706" t="s">
        <v>6725</v>
      </c>
      <c r="T8706" t="s">
        <v>6732</v>
      </c>
    </row>
    <row r="8707" spans="1:20" x14ac:dyDescent="0.25">
      <c r="A8707">
        <v>9</v>
      </c>
      <c r="B8707">
        <v>240</v>
      </c>
      <c r="C8707" t="str">
        <f t="shared" si="1986"/>
        <v>35</v>
      </c>
      <c r="D8707">
        <v>6217</v>
      </c>
      <c r="E8707" t="str">
        <f>"11"</f>
        <v>11</v>
      </c>
      <c r="F8707" t="str">
        <f>"938"</f>
        <v>938</v>
      </c>
      <c r="G8707">
        <v>9</v>
      </c>
      <c r="H8707" t="str">
        <f t="shared" si="1987"/>
        <v>99</v>
      </c>
      <c r="I8707" t="str">
        <f t="shared" si="1985"/>
        <v>0</v>
      </c>
      <c r="J8707" t="str">
        <f t="shared" si="1977"/>
        <v>00</v>
      </c>
      <c r="K8707">
        <v>20190830</v>
      </c>
      <c r="L8707" t="str">
        <f>"077832"</f>
        <v>077832</v>
      </c>
      <c r="M8707" t="str">
        <f>"00369"</f>
        <v>00369</v>
      </c>
      <c r="N8707" t="s">
        <v>6722</v>
      </c>
      <c r="O8707" s="1">
        <v>45456.98</v>
      </c>
      <c r="P8707">
        <v>20190829</v>
      </c>
      <c r="Q8707" t="s">
        <v>6739</v>
      </c>
      <c r="R8707" t="s">
        <v>6840</v>
      </c>
      <c r="S8707" t="s">
        <v>6725</v>
      </c>
      <c r="T8707" t="s">
        <v>6732</v>
      </c>
    </row>
    <row r="8708" spans="1:20" x14ac:dyDescent="0.25">
      <c r="A8708">
        <v>9</v>
      </c>
      <c r="B8708">
        <v>240</v>
      </c>
      <c r="C8708" t="str">
        <f t="shared" si="1986"/>
        <v>35</v>
      </c>
      <c r="D8708">
        <v>6217</v>
      </c>
      <c r="E8708" t="str">
        <f>"12"</f>
        <v>12</v>
      </c>
      <c r="F8708" t="str">
        <f>"938"</f>
        <v>938</v>
      </c>
      <c r="G8708">
        <v>9</v>
      </c>
      <c r="H8708" t="str">
        <f t="shared" si="1987"/>
        <v>99</v>
      </c>
      <c r="I8708" t="str">
        <f t="shared" si="1985"/>
        <v>0</v>
      </c>
      <c r="J8708" t="str">
        <f t="shared" si="1977"/>
        <v>00</v>
      </c>
      <c r="K8708">
        <v>20190830</v>
      </c>
      <c r="L8708" t="str">
        <f>"077832"</f>
        <v>077832</v>
      </c>
      <c r="M8708" t="str">
        <f>"00369"</f>
        <v>00369</v>
      </c>
      <c r="N8708" t="s">
        <v>6722</v>
      </c>
      <c r="O8708" s="1">
        <v>16487.07</v>
      </c>
      <c r="P8708">
        <v>20190829</v>
      </c>
      <c r="Q8708" t="s">
        <v>6741</v>
      </c>
      <c r="R8708" t="s">
        <v>6841</v>
      </c>
      <c r="S8708" t="s">
        <v>6725</v>
      </c>
      <c r="T8708" t="s">
        <v>6732</v>
      </c>
    </row>
    <row r="8709" spans="1:20" x14ac:dyDescent="0.25">
      <c r="A8709">
        <v>9</v>
      </c>
      <c r="B8709">
        <v>240</v>
      </c>
      <c r="C8709" t="str">
        <f t="shared" si="1986"/>
        <v>35</v>
      </c>
      <c r="D8709">
        <v>6217</v>
      </c>
      <c r="E8709" t="str">
        <f>"13"</f>
        <v>13</v>
      </c>
      <c r="F8709" t="str">
        <f>"938"</f>
        <v>938</v>
      </c>
      <c r="G8709">
        <v>9</v>
      </c>
      <c r="H8709" t="str">
        <f t="shared" si="1987"/>
        <v>99</v>
      </c>
      <c r="I8709" t="str">
        <f t="shared" si="1985"/>
        <v>0</v>
      </c>
      <c r="J8709" t="str">
        <f t="shared" si="1977"/>
        <v>00</v>
      </c>
      <c r="K8709">
        <v>20190830</v>
      </c>
      <c r="L8709" t="str">
        <f>"077832"</f>
        <v>077832</v>
      </c>
      <c r="M8709" t="str">
        <f>"00369"</f>
        <v>00369</v>
      </c>
      <c r="N8709" t="s">
        <v>6722</v>
      </c>
      <c r="O8709" s="1">
        <v>1395.39</v>
      </c>
      <c r="P8709">
        <v>20190829</v>
      </c>
      <c r="Q8709" t="s">
        <v>6743</v>
      </c>
      <c r="R8709" t="s">
        <v>6842</v>
      </c>
      <c r="S8709" t="s">
        <v>6725</v>
      </c>
      <c r="T8709" t="s">
        <v>6732</v>
      </c>
    </row>
    <row r="8710" spans="1:20" x14ac:dyDescent="0.25">
      <c r="A8710">
        <v>9</v>
      </c>
      <c r="B8710">
        <v>240</v>
      </c>
      <c r="C8710" t="str">
        <f t="shared" si="1986"/>
        <v>35</v>
      </c>
      <c r="D8710">
        <v>6249</v>
      </c>
      <c r="E8710" t="str">
        <f>"93"</f>
        <v>93</v>
      </c>
      <c r="F8710" t="str">
        <f>"101"</f>
        <v>101</v>
      </c>
      <c r="G8710">
        <v>9</v>
      </c>
      <c r="H8710" t="str">
        <f t="shared" si="1987"/>
        <v>99</v>
      </c>
      <c r="I8710" t="str">
        <f t="shared" si="1985"/>
        <v>0</v>
      </c>
      <c r="J8710" t="str">
        <f t="shared" si="1977"/>
        <v>00</v>
      </c>
      <c r="K8710">
        <v>20190830</v>
      </c>
      <c r="L8710" t="str">
        <f>"077874"</f>
        <v>077874</v>
      </c>
      <c r="M8710" t="str">
        <f>"60190"</f>
        <v>60190</v>
      </c>
      <c r="N8710" t="s">
        <v>4277</v>
      </c>
      <c r="O8710">
        <v>544.04999999999995</v>
      </c>
      <c r="P8710">
        <v>20190829</v>
      </c>
      <c r="Q8710" t="s">
        <v>6762</v>
      </c>
      <c r="R8710" t="s">
        <v>6843</v>
      </c>
      <c r="S8710" t="s">
        <v>6725</v>
      </c>
      <c r="T8710" t="s">
        <v>1479</v>
      </c>
    </row>
    <row r="8711" spans="1:20" x14ac:dyDescent="0.25">
      <c r="A8711">
        <v>9</v>
      </c>
      <c r="B8711">
        <v>240</v>
      </c>
      <c r="C8711" t="str">
        <f t="shared" si="1986"/>
        <v>35</v>
      </c>
      <c r="D8711">
        <v>6249</v>
      </c>
      <c r="E8711" t="str">
        <f>"93"</f>
        <v>93</v>
      </c>
      <c r="F8711" t="str">
        <f>"104"</f>
        <v>104</v>
      </c>
      <c r="G8711">
        <v>9</v>
      </c>
      <c r="H8711" t="str">
        <f t="shared" si="1987"/>
        <v>99</v>
      </c>
      <c r="I8711" t="str">
        <f t="shared" si="1985"/>
        <v>0</v>
      </c>
      <c r="J8711" t="str">
        <f t="shared" si="1977"/>
        <v>00</v>
      </c>
      <c r="K8711">
        <v>20190830</v>
      </c>
      <c r="L8711" t="str">
        <f>"077874"</f>
        <v>077874</v>
      </c>
      <c r="M8711" t="str">
        <f>"60190"</f>
        <v>60190</v>
      </c>
      <c r="N8711" t="s">
        <v>4277</v>
      </c>
      <c r="O8711">
        <v>534.91</v>
      </c>
      <c r="P8711">
        <v>20190829</v>
      </c>
      <c r="Q8711" t="s">
        <v>6765</v>
      </c>
      <c r="R8711" t="s">
        <v>6844</v>
      </c>
      <c r="S8711" t="s">
        <v>6725</v>
      </c>
      <c r="T8711" t="s">
        <v>46</v>
      </c>
    </row>
    <row r="8712" spans="1:20" x14ac:dyDescent="0.25">
      <c r="A8712">
        <v>9</v>
      </c>
      <c r="B8712">
        <v>244</v>
      </c>
      <c r="C8712" t="str">
        <f t="shared" ref="C8712:C8748" si="1988">"11"</f>
        <v>11</v>
      </c>
      <c r="D8712">
        <v>6399</v>
      </c>
      <c r="E8712" t="str">
        <f t="shared" ref="E8712:E8743" si="1989">"00"</f>
        <v>00</v>
      </c>
      <c r="F8712" t="str">
        <f t="shared" ref="F8712:F8749" si="1990">"001"</f>
        <v>001</v>
      </c>
      <c r="G8712">
        <v>9</v>
      </c>
      <c r="H8712" t="str">
        <f t="shared" ref="H8712:H8748" si="1991">"22"</f>
        <v>22</v>
      </c>
      <c r="I8712" t="str">
        <f t="shared" si="1985"/>
        <v>0</v>
      </c>
      <c r="J8712" t="str">
        <f t="shared" si="1977"/>
        <v>00</v>
      </c>
      <c r="K8712">
        <v>20181207</v>
      </c>
      <c r="L8712" t="str">
        <f>"074966"</f>
        <v>074966</v>
      </c>
      <c r="M8712" t="str">
        <f>"86155"</f>
        <v>86155</v>
      </c>
      <c r="N8712" t="s">
        <v>5048</v>
      </c>
      <c r="O8712">
        <v>959.88</v>
      </c>
      <c r="P8712">
        <v>20181206</v>
      </c>
      <c r="Q8712" t="s">
        <v>6845</v>
      </c>
      <c r="R8712" t="s">
        <v>6846</v>
      </c>
      <c r="S8712" t="s">
        <v>6847</v>
      </c>
      <c r="T8712" t="s">
        <v>301</v>
      </c>
    </row>
    <row r="8713" spans="1:20" x14ac:dyDescent="0.25">
      <c r="A8713">
        <v>9</v>
      </c>
      <c r="B8713">
        <v>244</v>
      </c>
      <c r="C8713" t="str">
        <f t="shared" si="1988"/>
        <v>11</v>
      </c>
      <c r="D8713">
        <v>6399</v>
      </c>
      <c r="E8713" t="str">
        <f t="shared" si="1989"/>
        <v>00</v>
      </c>
      <c r="F8713" t="str">
        <f t="shared" si="1990"/>
        <v>001</v>
      </c>
      <c r="G8713">
        <v>9</v>
      </c>
      <c r="H8713" t="str">
        <f t="shared" si="1991"/>
        <v>22</v>
      </c>
      <c r="I8713" t="str">
        <f t="shared" si="1985"/>
        <v>0</v>
      </c>
      <c r="J8713" t="str">
        <f t="shared" si="1977"/>
        <v>00</v>
      </c>
      <c r="K8713">
        <v>20181214</v>
      </c>
      <c r="L8713" t="str">
        <f>"075022"</f>
        <v>075022</v>
      </c>
      <c r="M8713" t="str">
        <f>"00544"</f>
        <v>00544</v>
      </c>
      <c r="N8713" t="s">
        <v>2758</v>
      </c>
      <c r="O8713">
        <v>925.26</v>
      </c>
      <c r="P8713">
        <v>20181212</v>
      </c>
      <c r="Q8713" t="s">
        <v>6845</v>
      </c>
      <c r="R8713" t="s">
        <v>6848</v>
      </c>
      <c r="S8713" t="s">
        <v>6847</v>
      </c>
      <c r="T8713" t="s">
        <v>301</v>
      </c>
    </row>
    <row r="8714" spans="1:20" x14ac:dyDescent="0.25">
      <c r="A8714">
        <v>9</v>
      </c>
      <c r="B8714">
        <v>244</v>
      </c>
      <c r="C8714" t="str">
        <f t="shared" si="1988"/>
        <v>11</v>
      </c>
      <c r="D8714">
        <v>6399</v>
      </c>
      <c r="E8714" t="str">
        <f t="shared" si="1989"/>
        <v>00</v>
      </c>
      <c r="F8714" t="str">
        <f t="shared" si="1990"/>
        <v>001</v>
      </c>
      <c r="G8714">
        <v>9</v>
      </c>
      <c r="H8714" t="str">
        <f t="shared" si="1991"/>
        <v>22</v>
      </c>
      <c r="I8714" t="str">
        <f t="shared" si="1985"/>
        <v>0</v>
      </c>
      <c r="J8714" t="str">
        <f t="shared" si="1977"/>
        <v>00</v>
      </c>
      <c r="K8714">
        <v>20190329</v>
      </c>
      <c r="L8714" t="str">
        <f>"076219"</f>
        <v>076219</v>
      </c>
      <c r="M8714" t="str">
        <f>"04410"</f>
        <v>04410</v>
      </c>
      <c r="N8714" t="s">
        <v>410</v>
      </c>
      <c r="O8714">
        <v>25.73</v>
      </c>
      <c r="P8714">
        <v>20190327</v>
      </c>
      <c r="Q8714" t="s">
        <v>6845</v>
      </c>
      <c r="R8714" t="s">
        <v>6849</v>
      </c>
      <c r="S8714" t="s">
        <v>6847</v>
      </c>
      <c r="T8714" t="s">
        <v>301</v>
      </c>
    </row>
    <row r="8715" spans="1:20" x14ac:dyDescent="0.25">
      <c r="A8715">
        <v>9</v>
      </c>
      <c r="B8715">
        <v>244</v>
      </c>
      <c r="C8715" t="str">
        <f t="shared" si="1988"/>
        <v>11</v>
      </c>
      <c r="D8715">
        <v>6399</v>
      </c>
      <c r="E8715" t="str">
        <f t="shared" si="1989"/>
        <v>00</v>
      </c>
      <c r="F8715" t="str">
        <f t="shared" si="1990"/>
        <v>001</v>
      </c>
      <c r="G8715">
        <v>9</v>
      </c>
      <c r="H8715" t="str">
        <f t="shared" si="1991"/>
        <v>22</v>
      </c>
      <c r="I8715" t="str">
        <f t="shared" si="1985"/>
        <v>0</v>
      </c>
      <c r="J8715" t="str">
        <f t="shared" si="1977"/>
        <v>00</v>
      </c>
      <c r="K8715">
        <v>20190329</v>
      </c>
      <c r="L8715" t="str">
        <f>"076219"</f>
        <v>076219</v>
      </c>
      <c r="M8715" t="str">
        <f>"04410"</f>
        <v>04410</v>
      </c>
      <c r="N8715" t="s">
        <v>410</v>
      </c>
      <c r="O8715">
        <v>138.30000000000001</v>
      </c>
      <c r="P8715">
        <v>20190327</v>
      </c>
      <c r="Q8715" t="s">
        <v>6845</v>
      </c>
      <c r="R8715" t="s">
        <v>6850</v>
      </c>
      <c r="S8715" t="s">
        <v>6847</v>
      </c>
      <c r="T8715" t="s">
        <v>301</v>
      </c>
    </row>
    <row r="8716" spans="1:20" x14ac:dyDescent="0.25">
      <c r="A8716">
        <v>9</v>
      </c>
      <c r="B8716">
        <v>244</v>
      </c>
      <c r="C8716" t="str">
        <f t="shared" si="1988"/>
        <v>11</v>
      </c>
      <c r="D8716">
        <v>6399</v>
      </c>
      <c r="E8716" t="str">
        <f t="shared" si="1989"/>
        <v>00</v>
      </c>
      <c r="F8716" t="str">
        <f t="shared" si="1990"/>
        <v>001</v>
      </c>
      <c r="G8716">
        <v>9</v>
      </c>
      <c r="H8716" t="str">
        <f t="shared" si="1991"/>
        <v>22</v>
      </c>
      <c r="I8716" t="str">
        <f t="shared" si="1985"/>
        <v>0</v>
      </c>
      <c r="J8716" t="str">
        <f t="shared" si="1977"/>
        <v>00</v>
      </c>
      <c r="K8716">
        <v>20190329</v>
      </c>
      <c r="L8716" t="str">
        <f>"076219"</f>
        <v>076219</v>
      </c>
      <c r="M8716" t="str">
        <f>"04410"</f>
        <v>04410</v>
      </c>
      <c r="N8716" t="s">
        <v>410</v>
      </c>
      <c r="O8716">
        <v>491.44</v>
      </c>
      <c r="P8716">
        <v>20190327</v>
      </c>
      <c r="Q8716" t="s">
        <v>6845</v>
      </c>
      <c r="R8716" t="s">
        <v>6850</v>
      </c>
      <c r="S8716" t="s">
        <v>6847</v>
      </c>
      <c r="T8716" t="s">
        <v>301</v>
      </c>
    </row>
    <row r="8717" spans="1:20" x14ac:dyDescent="0.25">
      <c r="A8717">
        <v>9</v>
      </c>
      <c r="B8717">
        <v>244</v>
      </c>
      <c r="C8717" t="str">
        <f t="shared" si="1988"/>
        <v>11</v>
      </c>
      <c r="D8717">
        <v>6399</v>
      </c>
      <c r="E8717" t="str">
        <f t="shared" si="1989"/>
        <v>00</v>
      </c>
      <c r="F8717" t="str">
        <f t="shared" si="1990"/>
        <v>001</v>
      </c>
      <c r="G8717">
        <v>9</v>
      </c>
      <c r="H8717" t="str">
        <f t="shared" si="1991"/>
        <v>22</v>
      </c>
      <c r="I8717" t="str">
        <f t="shared" si="1985"/>
        <v>0</v>
      </c>
      <c r="J8717" t="str">
        <f t="shared" si="1977"/>
        <v>00</v>
      </c>
      <c r="K8717">
        <v>20190329</v>
      </c>
      <c r="L8717" t="str">
        <f>"076219"</f>
        <v>076219</v>
      </c>
      <c r="M8717" t="str">
        <f>"04410"</f>
        <v>04410</v>
      </c>
      <c r="N8717" t="s">
        <v>410</v>
      </c>
      <c r="O8717">
        <v>144</v>
      </c>
      <c r="P8717">
        <v>20190327</v>
      </c>
      <c r="Q8717" t="s">
        <v>6845</v>
      </c>
      <c r="R8717" t="s">
        <v>6851</v>
      </c>
      <c r="S8717" t="s">
        <v>6847</v>
      </c>
      <c r="T8717" t="s">
        <v>301</v>
      </c>
    </row>
    <row r="8718" spans="1:20" x14ac:dyDescent="0.25">
      <c r="A8718">
        <v>9</v>
      </c>
      <c r="B8718">
        <v>244</v>
      </c>
      <c r="C8718" t="str">
        <f t="shared" si="1988"/>
        <v>11</v>
      </c>
      <c r="D8718">
        <v>6399</v>
      </c>
      <c r="E8718" t="str">
        <f t="shared" si="1989"/>
        <v>00</v>
      </c>
      <c r="F8718" t="str">
        <f t="shared" si="1990"/>
        <v>001</v>
      </c>
      <c r="G8718">
        <v>9</v>
      </c>
      <c r="H8718" t="str">
        <f t="shared" si="1991"/>
        <v>22</v>
      </c>
      <c r="I8718" t="str">
        <f t="shared" si="1985"/>
        <v>0</v>
      </c>
      <c r="J8718" t="str">
        <f t="shared" si="1977"/>
        <v>00</v>
      </c>
      <c r="K8718">
        <v>20190329</v>
      </c>
      <c r="L8718" t="str">
        <f>"076219"</f>
        <v>076219</v>
      </c>
      <c r="M8718" t="str">
        <f>"04410"</f>
        <v>04410</v>
      </c>
      <c r="N8718" t="s">
        <v>410</v>
      </c>
      <c r="O8718">
        <v>-5.59</v>
      </c>
      <c r="P8718">
        <v>20190325</v>
      </c>
      <c r="Q8718" t="s">
        <v>6845</v>
      </c>
      <c r="R8718" t="s">
        <v>6852</v>
      </c>
      <c r="S8718" t="s">
        <v>6847</v>
      </c>
      <c r="T8718" t="s">
        <v>301</v>
      </c>
    </row>
    <row r="8719" spans="1:20" x14ac:dyDescent="0.25">
      <c r="A8719">
        <v>9</v>
      </c>
      <c r="B8719">
        <v>244</v>
      </c>
      <c r="C8719" t="str">
        <f t="shared" si="1988"/>
        <v>11</v>
      </c>
      <c r="D8719">
        <v>6399</v>
      </c>
      <c r="E8719" t="str">
        <f t="shared" si="1989"/>
        <v>00</v>
      </c>
      <c r="F8719" t="str">
        <f t="shared" si="1990"/>
        <v>001</v>
      </c>
      <c r="G8719">
        <v>9</v>
      </c>
      <c r="H8719" t="str">
        <f t="shared" si="1991"/>
        <v>22</v>
      </c>
      <c r="I8719" t="str">
        <f t="shared" si="1985"/>
        <v>0</v>
      </c>
      <c r="J8719" t="str">
        <f t="shared" si="1977"/>
        <v>00</v>
      </c>
      <c r="K8719">
        <v>20190329</v>
      </c>
      <c r="L8719" t="str">
        <f>"076246"</f>
        <v>076246</v>
      </c>
      <c r="M8719" t="str">
        <f>"00766"</f>
        <v>00766</v>
      </c>
      <c r="N8719" t="s">
        <v>6853</v>
      </c>
      <c r="O8719" s="1">
        <v>5990</v>
      </c>
      <c r="P8719">
        <v>20190327</v>
      </c>
      <c r="Q8719" t="s">
        <v>6845</v>
      </c>
      <c r="R8719" t="s">
        <v>6854</v>
      </c>
      <c r="S8719" t="s">
        <v>6847</v>
      </c>
      <c r="T8719" t="s">
        <v>301</v>
      </c>
    </row>
    <row r="8720" spans="1:20" x14ac:dyDescent="0.25">
      <c r="A8720">
        <v>9</v>
      </c>
      <c r="B8720">
        <v>244</v>
      </c>
      <c r="C8720" t="str">
        <f t="shared" si="1988"/>
        <v>11</v>
      </c>
      <c r="D8720">
        <v>6399</v>
      </c>
      <c r="E8720" t="str">
        <f t="shared" si="1989"/>
        <v>00</v>
      </c>
      <c r="F8720" t="str">
        <f t="shared" si="1990"/>
        <v>001</v>
      </c>
      <c r="G8720">
        <v>9</v>
      </c>
      <c r="H8720" t="str">
        <f t="shared" si="1991"/>
        <v>22</v>
      </c>
      <c r="I8720" t="str">
        <f t="shared" si="1985"/>
        <v>0</v>
      </c>
      <c r="J8720" t="str">
        <f t="shared" ref="J8720:J8783" si="1992">"00"</f>
        <v>00</v>
      </c>
      <c r="K8720">
        <v>20190329</v>
      </c>
      <c r="L8720" t="str">
        <f>"076246"</f>
        <v>076246</v>
      </c>
      <c r="M8720" t="str">
        <f>"00766"</f>
        <v>00766</v>
      </c>
      <c r="N8720" t="s">
        <v>6853</v>
      </c>
      <c r="O8720">
        <v>890</v>
      </c>
      <c r="P8720">
        <v>20190327</v>
      </c>
      <c r="Q8720" t="s">
        <v>6845</v>
      </c>
      <c r="R8720" t="s">
        <v>6855</v>
      </c>
      <c r="S8720" t="s">
        <v>6847</v>
      </c>
      <c r="T8720" t="s">
        <v>301</v>
      </c>
    </row>
    <row r="8721" spans="1:20" x14ac:dyDescent="0.25">
      <c r="A8721">
        <v>9</v>
      </c>
      <c r="B8721">
        <v>244</v>
      </c>
      <c r="C8721" t="str">
        <f t="shared" si="1988"/>
        <v>11</v>
      </c>
      <c r="D8721">
        <v>6399</v>
      </c>
      <c r="E8721" t="str">
        <f t="shared" si="1989"/>
        <v>00</v>
      </c>
      <c r="F8721" t="str">
        <f t="shared" si="1990"/>
        <v>001</v>
      </c>
      <c r="G8721">
        <v>9</v>
      </c>
      <c r="H8721" t="str">
        <f t="shared" si="1991"/>
        <v>22</v>
      </c>
      <c r="I8721" t="str">
        <f t="shared" si="1985"/>
        <v>0</v>
      </c>
      <c r="J8721" t="str">
        <f t="shared" si="1992"/>
        <v>00</v>
      </c>
      <c r="K8721">
        <v>20190329</v>
      </c>
      <c r="L8721" t="str">
        <f>"076246"</f>
        <v>076246</v>
      </c>
      <c r="M8721" t="str">
        <f>"00766"</f>
        <v>00766</v>
      </c>
      <c r="N8721" t="s">
        <v>6853</v>
      </c>
      <c r="O8721" s="1">
        <v>1087</v>
      </c>
      <c r="P8721">
        <v>20190328</v>
      </c>
      <c r="Q8721" t="s">
        <v>6845</v>
      </c>
      <c r="R8721" t="s">
        <v>6856</v>
      </c>
      <c r="S8721" t="s">
        <v>6847</v>
      </c>
      <c r="T8721" t="s">
        <v>301</v>
      </c>
    </row>
    <row r="8722" spans="1:20" x14ac:dyDescent="0.25">
      <c r="A8722">
        <v>9</v>
      </c>
      <c r="B8722">
        <v>244</v>
      </c>
      <c r="C8722" t="str">
        <f t="shared" si="1988"/>
        <v>11</v>
      </c>
      <c r="D8722">
        <v>6399</v>
      </c>
      <c r="E8722" t="str">
        <f t="shared" si="1989"/>
        <v>00</v>
      </c>
      <c r="F8722" t="str">
        <f t="shared" si="1990"/>
        <v>001</v>
      </c>
      <c r="G8722">
        <v>9</v>
      </c>
      <c r="H8722" t="str">
        <f t="shared" si="1991"/>
        <v>22</v>
      </c>
      <c r="I8722" t="str">
        <f t="shared" si="1985"/>
        <v>0</v>
      </c>
      <c r="J8722" t="str">
        <f t="shared" si="1992"/>
        <v>00</v>
      </c>
      <c r="K8722">
        <v>20190405</v>
      </c>
      <c r="L8722" t="str">
        <f>"076321"</f>
        <v>076321</v>
      </c>
      <c r="M8722" t="str">
        <f>"04410"</f>
        <v>04410</v>
      </c>
      <c r="N8722" t="s">
        <v>410</v>
      </c>
      <c r="O8722">
        <v>4.99</v>
      </c>
      <c r="P8722">
        <v>20190404</v>
      </c>
      <c r="Q8722" t="s">
        <v>6845</v>
      </c>
      <c r="R8722" t="s">
        <v>6857</v>
      </c>
      <c r="S8722" t="s">
        <v>6847</v>
      </c>
      <c r="T8722" t="s">
        <v>301</v>
      </c>
    </row>
    <row r="8723" spans="1:20" x14ac:dyDescent="0.25">
      <c r="A8723">
        <v>9</v>
      </c>
      <c r="B8723">
        <v>244</v>
      </c>
      <c r="C8723" t="str">
        <f t="shared" si="1988"/>
        <v>11</v>
      </c>
      <c r="D8723">
        <v>6399</v>
      </c>
      <c r="E8723" t="str">
        <f t="shared" si="1989"/>
        <v>00</v>
      </c>
      <c r="F8723" t="str">
        <f t="shared" si="1990"/>
        <v>001</v>
      </c>
      <c r="G8723">
        <v>9</v>
      </c>
      <c r="H8723" t="str">
        <f t="shared" si="1991"/>
        <v>22</v>
      </c>
      <c r="I8723" t="str">
        <f t="shared" si="1985"/>
        <v>0</v>
      </c>
      <c r="J8723" t="str">
        <f t="shared" si="1992"/>
        <v>00</v>
      </c>
      <c r="K8723">
        <v>20190405</v>
      </c>
      <c r="L8723" t="str">
        <f>"076321"</f>
        <v>076321</v>
      </c>
      <c r="M8723" t="str">
        <f>"04410"</f>
        <v>04410</v>
      </c>
      <c r="N8723" t="s">
        <v>410</v>
      </c>
      <c r="O8723">
        <v>167.29</v>
      </c>
      <c r="P8723">
        <v>20190404</v>
      </c>
      <c r="Q8723" t="s">
        <v>6845</v>
      </c>
      <c r="R8723" t="s">
        <v>6858</v>
      </c>
      <c r="S8723" t="s">
        <v>6847</v>
      </c>
      <c r="T8723" t="s">
        <v>301</v>
      </c>
    </row>
    <row r="8724" spans="1:20" x14ac:dyDescent="0.25">
      <c r="A8724">
        <v>9</v>
      </c>
      <c r="B8724">
        <v>244</v>
      </c>
      <c r="C8724" t="str">
        <f t="shared" si="1988"/>
        <v>11</v>
      </c>
      <c r="D8724">
        <v>6399</v>
      </c>
      <c r="E8724" t="str">
        <f t="shared" si="1989"/>
        <v>00</v>
      </c>
      <c r="F8724" t="str">
        <f t="shared" si="1990"/>
        <v>001</v>
      </c>
      <c r="G8724">
        <v>9</v>
      </c>
      <c r="H8724" t="str">
        <f t="shared" si="1991"/>
        <v>22</v>
      </c>
      <c r="I8724" t="str">
        <f t="shared" si="1985"/>
        <v>0</v>
      </c>
      <c r="J8724" t="str">
        <f t="shared" si="1992"/>
        <v>00</v>
      </c>
      <c r="K8724">
        <v>20190405</v>
      </c>
      <c r="L8724" t="str">
        <f>"076371"</f>
        <v>076371</v>
      </c>
      <c r="M8724" t="str">
        <f>"45710"</f>
        <v>45710</v>
      </c>
      <c r="N8724" t="s">
        <v>2509</v>
      </c>
      <c r="O8724">
        <v>700</v>
      </c>
      <c r="P8724">
        <v>20190404</v>
      </c>
      <c r="Q8724" t="s">
        <v>6845</v>
      </c>
      <c r="R8724" t="s">
        <v>6859</v>
      </c>
      <c r="S8724" t="s">
        <v>6847</v>
      </c>
      <c r="T8724" t="s">
        <v>301</v>
      </c>
    </row>
    <row r="8725" spans="1:20" x14ac:dyDescent="0.25">
      <c r="A8725">
        <v>9</v>
      </c>
      <c r="B8725">
        <v>244</v>
      </c>
      <c r="C8725" t="str">
        <f t="shared" si="1988"/>
        <v>11</v>
      </c>
      <c r="D8725">
        <v>6399</v>
      </c>
      <c r="E8725" t="str">
        <f t="shared" si="1989"/>
        <v>00</v>
      </c>
      <c r="F8725" t="str">
        <f t="shared" si="1990"/>
        <v>001</v>
      </c>
      <c r="G8725">
        <v>9</v>
      </c>
      <c r="H8725" t="str">
        <f t="shared" si="1991"/>
        <v>22</v>
      </c>
      <c r="I8725" t="str">
        <f t="shared" si="1985"/>
        <v>0</v>
      </c>
      <c r="J8725" t="str">
        <f t="shared" si="1992"/>
        <v>00</v>
      </c>
      <c r="K8725">
        <v>20190412</v>
      </c>
      <c r="L8725" t="str">
        <f>"076502"</f>
        <v>076502</v>
      </c>
      <c r="M8725" t="str">
        <f>"58987"</f>
        <v>58987</v>
      </c>
      <c r="N8725" t="s">
        <v>4159</v>
      </c>
      <c r="O8725" s="1">
        <v>2854.93</v>
      </c>
      <c r="P8725">
        <v>20190411</v>
      </c>
      <c r="Q8725" t="s">
        <v>6845</v>
      </c>
      <c r="R8725" t="s">
        <v>6860</v>
      </c>
      <c r="S8725" t="s">
        <v>6847</v>
      </c>
      <c r="T8725" t="s">
        <v>301</v>
      </c>
    </row>
    <row r="8726" spans="1:20" x14ac:dyDescent="0.25">
      <c r="A8726">
        <v>9</v>
      </c>
      <c r="B8726">
        <v>244</v>
      </c>
      <c r="C8726" t="str">
        <f t="shared" si="1988"/>
        <v>11</v>
      </c>
      <c r="D8726">
        <v>6399</v>
      </c>
      <c r="E8726" t="str">
        <f t="shared" si="1989"/>
        <v>00</v>
      </c>
      <c r="F8726" t="str">
        <f t="shared" si="1990"/>
        <v>001</v>
      </c>
      <c r="G8726">
        <v>9</v>
      </c>
      <c r="H8726" t="str">
        <f t="shared" si="1991"/>
        <v>22</v>
      </c>
      <c r="I8726" t="str">
        <f t="shared" si="1985"/>
        <v>0</v>
      </c>
      <c r="J8726" t="str">
        <f t="shared" si="1992"/>
        <v>00</v>
      </c>
      <c r="K8726">
        <v>20190419</v>
      </c>
      <c r="L8726" t="str">
        <f>"076534"</f>
        <v>076534</v>
      </c>
      <c r="M8726" t="str">
        <f>"09170"</f>
        <v>09170</v>
      </c>
      <c r="N8726" t="s">
        <v>679</v>
      </c>
      <c r="O8726">
        <v>763.75</v>
      </c>
      <c r="P8726">
        <v>20190418</v>
      </c>
      <c r="Q8726" t="s">
        <v>6845</v>
      </c>
      <c r="R8726" t="s">
        <v>5880</v>
      </c>
      <c r="S8726" t="s">
        <v>6847</v>
      </c>
      <c r="T8726" t="s">
        <v>301</v>
      </c>
    </row>
    <row r="8727" spans="1:20" x14ac:dyDescent="0.25">
      <c r="A8727">
        <v>9</v>
      </c>
      <c r="B8727">
        <v>244</v>
      </c>
      <c r="C8727" t="str">
        <f t="shared" si="1988"/>
        <v>11</v>
      </c>
      <c r="D8727">
        <v>6399</v>
      </c>
      <c r="E8727" t="str">
        <f t="shared" si="1989"/>
        <v>00</v>
      </c>
      <c r="F8727" t="str">
        <f t="shared" si="1990"/>
        <v>001</v>
      </c>
      <c r="G8727">
        <v>9</v>
      </c>
      <c r="H8727" t="str">
        <f t="shared" si="1991"/>
        <v>22</v>
      </c>
      <c r="I8727" t="str">
        <f t="shared" si="1985"/>
        <v>0</v>
      </c>
      <c r="J8727" t="str">
        <f t="shared" si="1992"/>
        <v>00</v>
      </c>
      <c r="K8727">
        <v>20190419</v>
      </c>
      <c r="L8727" t="str">
        <f>"076540"</f>
        <v>076540</v>
      </c>
      <c r="M8727" t="str">
        <f>"72730"</f>
        <v>72730</v>
      </c>
      <c r="N8727" t="s">
        <v>639</v>
      </c>
      <c r="O8727">
        <v>271.85000000000002</v>
      </c>
      <c r="P8727">
        <v>20190418</v>
      </c>
      <c r="Q8727" t="s">
        <v>6845</v>
      </c>
      <c r="R8727" t="s">
        <v>2793</v>
      </c>
      <c r="S8727" t="s">
        <v>6847</v>
      </c>
      <c r="T8727" t="s">
        <v>301</v>
      </c>
    </row>
    <row r="8728" spans="1:20" x14ac:dyDescent="0.25">
      <c r="A8728">
        <v>9</v>
      </c>
      <c r="B8728">
        <v>244</v>
      </c>
      <c r="C8728" t="str">
        <f t="shared" si="1988"/>
        <v>11</v>
      </c>
      <c r="D8728">
        <v>6399</v>
      </c>
      <c r="E8728" t="str">
        <f t="shared" si="1989"/>
        <v>00</v>
      </c>
      <c r="F8728" t="str">
        <f t="shared" si="1990"/>
        <v>001</v>
      </c>
      <c r="G8728">
        <v>9</v>
      </c>
      <c r="H8728" t="str">
        <f t="shared" si="1991"/>
        <v>22</v>
      </c>
      <c r="I8728" t="str">
        <f t="shared" si="1985"/>
        <v>0</v>
      </c>
      <c r="J8728" t="str">
        <f t="shared" si="1992"/>
        <v>00</v>
      </c>
      <c r="K8728">
        <v>20190419</v>
      </c>
      <c r="L8728" t="str">
        <f>"076540"</f>
        <v>076540</v>
      </c>
      <c r="M8728" t="str">
        <f>"72730"</f>
        <v>72730</v>
      </c>
      <c r="N8728" t="s">
        <v>639</v>
      </c>
      <c r="O8728">
        <v>31.49</v>
      </c>
      <c r="P8728">
        <v>20190418</v>
      </c>
      <c r="Q8728" t="s">
        <v>6845</v>
      </c>
      <c r="R8728" t="s">
        <v>6861</v>
      </c>
      <c r="S8728" t="s">
        <v>6847</v>
      </c>
      <c r="T8728" t="s">
        <v>301</v>
      </c>
    </row>
    <row r="8729" spans="1:20" x14ac:dyDescent="0.25">
      <c r="A8729">
        <v>9</v>
      </c>
      <c r="B8729">
        <v>244</v>
      </c>
      <c r="C8729" t="str">
        <f t="shared" si="1988"/>
        <v>11</v>
      </c>
      <c r="D8729">
        <v>6399</v>
      </c>
      <c r="E8729" t="str">
        <f t="shared" si="1989"/>
        <v>00</v>
      </c>
      <c r="F8729" t="str">
        <f t="shared" si="1990"/>
        <v>001</v>
      </c>
      <c r="G8729">
        <v>9</v>
      </c>
      <c r="H8729" t="str">
        <f t="shared" si="1991"/>
        <v>22</v>
      </c>
      <c r="I8729" t="str">
        <f t="shared" si="1985"/>
        <v>0</v>
      </c>
      <c r="J8729" t="str">
        <f t="shared" si="1992"/>
        <v>00</v>
      </c>
      <c r="K8729">
        <v>20190419</v>
      </c>
      <c r="L8729" t="str">
        <f>"076540"</f>
        <v>076540</v>
      </c>
      <c r="M8729" t="str">
        <f>"72730"</f>
        <v>72730</v>
      </c>
      <c r="N8729" t="s">
        <v>639</v>
      </c>
      <c r="O8729">
        <v>228.93</v>
      </c>
      <c r="P8729">
        <v>20190418</v>
      </c>
      <c r="Q8729" t="s">
        <v>6845</v>
      </c>
      <c r="R8729" t="s">
        <v>2793</v>
      </c>
      <c r="S8729" t="s">
        <v>6847</v>
      </c>
      <c r="T8729" t="s">
        <v>301</v>
      </c>
    </row>
    <row r="8730" spans="1:20" x14ac:dyDescent="0.25">
      <c r="A8730">
        <v>9</v>
      </c>
      <c r="B8730">
        <v>244</v>
      </c>
      <c r="C8730" t="str">
        <f t="shared" si="1988"/>
        <v>11</v>
      </c>
      <c r="D8730">
        <v>6399</v>
      </c>
      <c r="E8730" t="str">
        <f t="shared" si="1989"/>
        <v>00</v>
      </c>
      <c r="F8730" t="str">
        <f t="shared" si="1990"/>
        <v>001</v>
      </c>
      <c r="G8730">
        <v>9</v>
      </c>
      <c r="H8730" t="str">
        <f t="shared" si="1991"/>
        <v>22</v>
      </c>
      <c r="I8730" t="str">
        <f t="shared" si="1985"/>
        <v>0</v>
      </c>
      <c r="J8730" t="str">
        <f t="shared" si="1992"/>
        <v>00</v>
      </c>
      <c r="K8730">
        <v>20190419</v>
      </c>
      <c r="L8730" t="str">
        <f>"076540"</f>
        <v>076540</v>
      </c>
      <c r="M8730" t="str">
        <f>"72730"</f>
        <v>72730</v>
      </c>
      <c r="N8730" t="s">
        <v>639</v>
      </c>
      <c r="O8730">
        <v>16.79</v>
      </c>
      <c r="P8730">
        <v>20190418</v>
      </c>
      <c r="Q8730" t="s">
        <v>6845</v>
      </c>
      <c r="R8730" t="s">
        <v>6862</v>
      </c>
      <c r="S8730" t="s">
        <v>6847</v>
      </c>
      <c r="T8730" t="s">
        <v>301</v>
      </c>
    </row>
    <row r="8731" spans="1:20" x14ac:dyDescent="0.25">
      <c r="A8731">
        <v>9</v>
      </c>
      <c r="B8731">
        <v>244</v>
      </c>
      <c r="C8731" t="str">
        <f t="shared" si="1988"/>
        <v>11</v>
      </c>
      <c r="D8731">
        <v>6399</v>
      </c>
      <c r="E8731" t="str">
        <f t="shared" si="1989"/>
        <v>00</v>
      </c>
      <c r="F8731" t="str">
        <f t="shared" si="1990"/>
        <v>001</v>
      </c>
      <c r="G8731">
        <v>9</v>
      </c>
      <c r="H8731" t="str">
        <f t="shared" si="1991"/>
        <v>22</v>
      </c>
      <c r="I8731" t="str">
        <f t="shared" si="1985"/>
        <v>0</v>
      </c>
      <c r="J8731" t="str">
        <f t="shared" si="1992"/>
        <v>00</v>
      </c>
      <c r="K8731">
        <v>20190426</v>
      </c>
      <c r="L8731" t="str">
        <f>"076550"</f>
        <v>076550</v>
      </c>
      <c r="M8731" t="str">
        <f>"04410"</f>
        <v>04410</v>
      </c>
      <c r="N8731" t="s">
        <v>410</v>
      </c>
      <c r="O8731" s="1">
        <v>2039.12</v>
      </c>
      <c r="P8731">
        <v>20190424</v>
      </c>
      <c r="Q8731" t="s">
        <v>6845</v>
      </c>
      <c r="R8731" t="s">
        <v>6863</v>
      </c>
      <c r="S8731" t="s">
        <v>6847</v>
      </c>
      <c r="T8731" t="s">
        <v>301</v>
      </c>
    </row>
    <row r="8732" spans="1:20" x14ac:dyDescent="0.25">
      <c r="A8732">
        <v>9</v>
      </c>
      <c r="B8732">
        <v>244</v>
      </c>
      <c r="C8732" t="str">
        <f t="shared" si="1988"/>
        <v>11</v>
      </c>
      <c r="D8732">
        <v>6399</v>
      </c>
      <c r="E8732" t="str">
        <f t="shared" si="1989"/>
        <v>00</v>
      </c>
      <c r="F8732" t="str">
        <f t="shared" si="1990"/>
        <v>001</v>
      </c>
      <c r="G8732">
        <v>9</v>
      </c>
      <c r="H8732" t="str">
        <f t="shared" si="1991"/>
        <v>22</v>
      </c>
      <c r="I8732" t="str">
        <f t="shared" si="1985"/>
        <v>0</v>
      </c>
      <c r="J8732" t="str">
        <f t="shared" si="1992"/>
        <v>00</v>
      </c>
      <c r="K8732">
        <v>20190426</v>
      </c>
      <c r="L8732" t="str">
        <f>"076602"</f>
        <v>076602</v>
      </c>
      <c r="M8732" t="str">
        <f>"54149"</f>
        <v>54149</v>
      </c>
      <c r="N8732" t="s">
        <v>3434</v>
      </c>
      <c r="O8732" s="1">
        <v>3096.9</v>
      </c>
      <c r="P8732">
        <v>20190425</v>
      </c>
      <c r="Q8732" t="s">
        <v>6845</v>
      </c>
      <c r="R8732" t="s">
        <v>6864</v>
      </c>
      <c r="S8732" t="s">
        <v>6847</v>
      </c>
      <c r="T8732" t="s">
        <v>301</v>
      </c>
    </row>
    <row r="8733" spans="1:20" x14ac:dyDescent="0.25">
      <c r="A8733">
        <v>9</v>
      </c>
      <c r="B8733">
        <v>244</v>
      </c>
      <c r="C8733" t="str">
        <f t="shared" si="1988"/>
        <v>11</v>
      </c>
      <c r="D8733">
        <v>6399</v>
      </c>
      <c r="E8733" t="str">
        <f t="shared" si="1989"/>
        <v>00</v>
      </c>
      <c r="F8733" t="str">
        <f t="shared" si="1990"/>
        <v>001</v>
      </c>
      <c r="G8733">
        <v>9</v>
      </c>
      <c r="H8733" t="str">
        <f t="shared" si="1991"/>
        <v>22</v>
      </c>
      <c r="I8733" t="str">
        <f t="shared" si="1985"/>
        <v>0</v>
      </c>
      <c r="J8733" t="str">
        <f t="shared" si="1992"/>
        <v>00</v>
      </c>
      <c r="K8733">
        <v>20190426</v>
      </c>
      <c r="L8733" t="str">
        <f>"076604"</f>
        <v>076604</v>
      </c>
      <c r="M8733" t="str">
        <f>"54495"</f>
        <v>54495</v>
      </c>
      <c r="N8733" t="s">
        <v>2102</v>
      </c>
      <c r="O8733" s="1">
        <v>5980</v>
      </c>
      <c r="P8733">
        <v>20190425</v>
      </c>
      <c r="Q8733" t="s">
        <v>6845</v>
      </c>
      <c r="R8733" t="s">
        <v>6865</v>
      </c>
      <c r="S8733" t="s">
        <v>6847</v>
      </c>
      <c r="T8733" t="s">
        <v>301</v>
      </c>
    </row>
    <row r="8734" spans="1:20" x14ac:dyDescent="0.25">
      <c r="A8734">
        <v>9</v>
      </c>
      <c r="B8734">
        <v>244</v>
      </c>
      <c r="C8734" t="str">
        <f t="shared" si="1988"/>
        <v>11</v>
      </c>
      <c r="D8734">
        <v>6399</v>
      </c>
      <c r="E8734" t="str">
        <f t="shared" si="1989"/>
        <v>00</v>
      </c>
      <c r="F8734" t="str">
        <f t="shared" si="1990"/>
        <v>001</v>
      </c>
      <c r="G8734">
        <v>9</v>
      </c>
      <c r="H8734" t="str">
        <f t="shared" si="1991"/>
        <v>22</v>
      </c>
      <c r="I8734" t="str">
        <f t="shared" si="1985"/>
        <v>0</v>
      </c>
      <c r="J8734" t="str">
        <f t="shared" si="1992"/>
        <v>00</v>
      </c>
      <c r="K8734">
        <v>20190510</v>
      </c>
      <c r="L8734" t="str">
        <f>"076747"</f>
        <v>076747</v>
      </c>
      <c r="M8734" t="str">
        <f>"14821"</f>
        <v>14821</v>
      </c>
      <c r="N8734" t="s">
        <v>1224</v>
      </c>
      <c r="O8734">
        <v>783.25</v>
      </c>
      <c r="P8734">
        <v>20190508</v>
      </c>
      <c r="Q8734" t="s">
        <v>6845</v>
      </c>
      <c r="R8734" t="s">
        <v>1225</v>
      </c>
      <c r="S8734" t="s">
        <v>6847</v>
      </c>
      <c r="T8734" t="s">
        <v>301</v>
      </c>
    </row>
    <row r="8735" spans="1:20" x14ac:dyDescent="0.25">
      <c r="A8735">
        <v>9</v>
      </c>
      <c r="B8735">
        <v>244</v>
      </c>
      <c r="C8735" t="str">
        <f t="shared" si="1988"/>
        <v>11</v>
      </c>
      <c r="D8735">
        <v>6399</v>
      </c>
      <c r="E8735" t="str">
        <f t="shared" si="1989"/>
        <v>00</v>
      </c>
      <c r="F8735" t="str">
        <f t="shared" si="1990"/>
        <v>001</v>
      </c>
      <c r="G8735">
        <v>9</v>
      </c>
      <c r="H8735" t="str">
        <f t="shared" si="1991"/>
        <v>22</v>
      </c>
      <c r="I8735" t="str">
        <f t="shared" si="1985"/>
        <v>0</v>
      </c>
      <c r="J8735" t="str">
        <f t="shared" si="1992"/>
        <v>00</v>
      </c>
      <c r="K8735">
        <v>20190510</v>
      </c>
      <c r="L8735" t="str">
        <f>"076782"</f>
        <v>076782</v>
      </c>
      <c r="M8735" t="str">
        <f>"48069"</f>
        <v>48069</v>
      </c>
      <c r="N8735" t="s">
        <v>6866</v>
      </c>
      <c r="O8735" s="1">
        <v>1080</v>
      </c>
      <c r="P8735">
        <v>20190508</v>
      </c>
      <c r="Q8735" t="s">
        <v>6845</v>
      </c>
      <c r="R8735" t="s">
        <v>6867</v>
      </c>
      <c r="S8735" t="s">
        <v>6847</v>
      </c>
      <c r="T8735" t="s">
        <v>301</v>
      </c>
    </row>
    <row r="8736" spans="1:20" x14ac:dyDescent="0.25">
      <c r="A8736">
        <v>9</v>
      </c>
      <c r="B8736">
        <v>244</v>
      </c>
      <c r="C8736" t="str">
        <f t="shared" si="1988"/>
        <v>11</v>
      </c>
      <c r="D8736">
        <v>6399</v>
      </c>
      <c r="E8736" t="str">
        <f t="shared" si="1989"/>
        <v>00</v>
      </c>
      <c r="F8736" t="str">
        <f t="shared" si="1990"/>
        <v>001</v>
      </c>
      <c r="G8736">
        <v>9</v>
      </c>
      <c r="H8736" t="str">
        <f t="shared" si="1991"/>
        <v>22</v>
      </c>
      <c r="I8736" t="str">
        <f t="shared" si="1985"/>
        <v>0</v>
      </c>
      <c r="J8736" t="str">
        <f t="shared" si="1992"/>
        <v>00</v>
      </c>
      <c r="K8736">
        <v>20190524</v>
      </c>
      <c r="L8736" t="str">
        <f>"076911"</f>
        <v>076911</v>
      </c>
      <c r="M8736" t="str">
        <f>"29624"</f>
        <v>29624</v>
      </c>
      <c r="N8736" t="s">
        <v>2753</v>
      </c>
      <c r="O8736">
        <v>761.5</v>
      </c>
      <c r="P8736">
        <v>20190522</v>
      </c>
      <c r="Q8736" t="s">
        <v>6845</v>
      </c>
      <c r="R8736" t="s">
        <v>6868</v>
      </c>
      <c r="S8736" t="s">
        <v>6847</v>
      </c>
      <c r="T8736" t="s">
        <v>301</v>
      </c>
    </row>
    <row r="8737" spans="1:20" x14ac:dyDescent="0.25">
      <c r="A8737">
        <v>9</v>
      </c>
      <c r="B8737">
        <v>244</v>
      </c>
      <c r="C8737" t="str">
        <f t="shared" si="1988"/>
        <v>11</v>
      </c>
      <c r="D8737">
        <v>6399</v>
      </c>
      <c r="E8737" t="str">
        <f t="shared" si="1989"/>
        <v>00</v>
      </c>
      <c r="F8737" t="str">
        <f t="shared" si="1990"/>
        <v>001</v>
      </c>
      <c r="G8737">
        <v>9</v>
      </c>
      <c r="H8737" t="str">
        <f t="shared" si="1991"/>
        <v>22</v>
      </c>
      <c r="I8737" t="str">
        <f t="shared" si="1985"/>
        <v>0</v>
      </c>
      <c r="J8737" t="str">
        <f t="shared" si="1992"/>
        <v>00</v>
      </c>
      <c r="K8737">
        <v>20190614</v>
      </c>
      <c r="L8737" t="str">
        <f>"077182"</f>
        <v>077182</v>
      </c>
      <c r="M8737" t="str">
        <f>"48069"</f>
        <v>48069</v>
      </c>
      <c r="N8737" t="s">
        <v>6866</v>
      </c>
      <c r="O8737">
        <v>445.88</v>
      </c>
      <c r="P8737">
        <v>20190612</v>
      </c>
      <c r="Q8737" t="s">
        <v>6845</v>
      </c>
      <c r="R8737" t="s">
        <v>6869</v>
      </c>
      <c r="S8737" t="s">
        <v>6847</v>
      </c>
      <c r="T8737" t="s">
        <v>301</v>
      </c>
    </row>
    <row r="8738" spans="1:20" x14ac:dyDescent="0.25">
      <c r="A8738">
        <v>9</v>
      </c>
      <c r="B8738">
        <v>244</v>
      </c>
      <c r="C8738" t="str">
        <f t="shared" si="1988"/>
        <v>11</v>
      </c>
      <c r="D8738">
        <v>6399</v>
      </c>
      <c r="E8738" t="str">
        <f t="shared" si="1989"/>
        <v>00</v>
      </c>
      <c r="F8738" t="str">
        <f t="shared" si="1990"/>
        <v>001</v>
      </c>
      <c r="G8738">
        <v>9</v>
      </c>
      <c r="H8738" t="str">
        <f t="shared" si="1991"/>
        <v>22</v>
      </c>
      <c r="I8738" t="str">
        <f t="shared" si="1985"/>
        <v>0</v>
      </c>
      <c r="J8738" t="str">
        <f t="shared" si="1992"/>
        <v>00</v>
      </c>
      <c r="K8738">
        <v>20190621</v>
      </c>
      <c r="L8738" t="str">
        <f>"077216"</f>
        <v>077216</v>
      </c>
      <c r="M8738" t="str">
        <f>"02230"</f>
        <v>02230</v>
      </c>
      <c r="N8738" t="s">
        <v>1673</v>
      </c>
      <c r="O8738">
        <v>273.95</v>
      </c>
      <c r="P8738">
        <v>20190619</v>
      </c>
      <c r="Q8738" t="s">
        <v>6845</v>
      </c>
      <c r="R8738" t="s">
        <v>6870</v>
      </c>
      <c r="S8738" t="s">
        <v>6847</v>
      </c>
      <c r="T8738" t="s">
        <v>301</v>
      </c>
    </row>
    <row r="8739" spans="1:20" x14ac:dyDescent="0.25">
      <c r="A8739">
        <v>9</v>
      </c>
      <c r="B8739">
        <v>244</v>
      </c>
      <c r="C8739" t="str">
        <f t="shared" si="1988"/>
        <v>11</v>
      </c>
      <c r="D8739">
        <v>6399</v>
      </c>
      <c r="E8739" t="str">
        <f t="shared" si="1989"/>
        <v>00</v>
      </c>
      <c r="F8739" t="str">
        <f t="shared" si="1990"/>
        <v>001</v>
      </c>
      <c r="G8739">
        <v>9</v>
      </c>
      <c r="H8739" t="str">
        <f t="shared" si="1991"/>
        <v>22</v>
      </c>
      <c r="I8739" t="str">
        <f t="shared" si="1985"/>
        <v>0</v>
      </c>
      <c r="J8739" t="str">
        <f t="shared" si="1992"/>
        <v>00</v>
      </c>
      <c r="K8739">
        <v>20190621</v>
      </c>
      <c r="L8739" t="str">
        <f>"077216"</f>
        <v>077216</v>
      </c>
      <c r="M8739" t="str">
        <f>"02230"</f>
        <v>02230</v>
      </c>
      <c r="N8739" t="s">
        <v>1673</v>
      </c>
      <c r="O8739">
        <v>265.89</v>
      </c>
      <c r="P8739">
        <v>20190619</v>
      </c>
      <c r="Q8739" t="s">
        <v>6845</v>
      </c>
      <c r="R8739" t="s">
        <v>6871</v>
      </c>
      <c r="S8739" t="s">
        <v>6847</v>
      </c>
      <c r="T8739" t="s">
        <v>301</v>
      </c>
    </row>
    <row r="8740" spans="1:20" x14ac:dyDescent="0.25">
      <c r="A8740">
        <v>9</v>
      </c>
      <c r="B8740">
        <v>244</v>
      </c>
      <c r="C8740" t="str">
        <f t="shared" si="1988"/>
        <v>11</v>
      </c>
      <c r="D8740">
        <v>6399</v>
      </c>
      <c r="E8740" t="str">
        <f t="shared" si="1989"/>
        <v>00</v>
      </c>
      <c r="F8740" t="str">
        <f t="shared" si="1990"/>
        <v>001</v>
      </c>
      <c r="G8740">
        <v>9</v>
      </c>
      <c r="H8740" t="str">
        <f t="shared" si="1991"/>
        <v>22</v>
      </c>
      <c r="I8740" t="str">
        <f t="shared" si="1985"/>
        <v>0</v>
      </c>
      <c r="J8740" t="str">
        <f t="shared" si="1992"/>
        <v>00</v>
      </c>
      <c r="K8740">
        <v>20190621</v>
      </c>
      <c r="L8740" t="str">
        <f>"077216"</f>
        <v>077216</v>
      </c>
      <c r="M8740" t="str">
        <f>"02230"</f>
        <v>02230</v>
      </c>
      <c r="N8740" t="s">
        <v>1673</v>
      </c>
      <c r="O8740">
        <v>115</v>
      </c>
      <c r="P8740">
        <v>20190619</v>
      </c>
      <c r="Q8740" t="s">
        <v>6845</v>
      </c>
      <c r="R8740" t="s">
        <v>6872</v>
      </c>
      <c r="S8740" t="s">
        <v>6847</v>
      </c>
      <c r="T8740" t="s">
        <v>301</v>
      </c>
    </row>
    <row r="8741" spans="1:20" x14ac:dyDescent="0.25">
      <c r="A8741">
        <v>9</v>
      </c>
      <c r="B8741">
        <v>244</v>
      </c>
      <c r="C8741" t="str">
        <f t="shared" si="1988"/>
        <v>11</v>
      </c>
      <c r="D8741">
        <v>6399</v>
      </c>
      <c r="E8741" t="str">
        <f t="shared" si="1989"/>
        <v>00</v>
      </c>
      <c r="F8741" t="str">
        <f t="shared" si="1990"/>
        <v>001</v>
      </c>
      <c r="G8741">
        <v>9</v>
      </c>
      <c r="H8741" t="str">
        <f t="shared" si="1991"/>
        <v>22</v>
      </c>
      <c r="I8741" t="str">
        <f t="shared" si="1985"/>
        <v>0</v>
      </c>
      <c r="J8741" t="str">
        <f t="shared" si="1992"/>
        <v>00</v>
      </c>
      <c r="K8741">
        <v>20190621</v>
      </c>
      <c r="L8741" t="str">
        <f>"077216"</f>
        <v>077216</v>
      </c>
      <c r="M8741" t="str">
        <f>"02230"</f>
        <v>02230</v>
      </c>
      <c r="N8741" t="s">
        <v>1673</v>
      </c>
      <c r="O8741">
        <v>392.35</v>
      </c>
      <c r="P8741">
        <v>20190619</v>
      </c>
      <c r="Q8741" t="s">
        <v>6845</v>
      </c>
      <c r="R8741" t="s">
        <v>6871</v>
      </c>
      <c r="S8741" t="s">
        <v>6847</v>
      </c>
      <c r="T8741" t="s">
        <v>301</v>
      </c>
    </row>
    <row r="8742" spans="1:20" x14ac:dyDescent="0.25">
      <c r="A8742">
        <v>9</v>
      </c>
      <c r="B8742">
        <v>244</v>
      </c>
      <c r="C8742" t="str">
        <f t="shared" si="1988"/>
        <v>11</v>
      </c>
      <c r="D8742">
        <v>6399</v>
      </c>
      <c r="E8742" t="str">
        <f t="shared" si="1989"/>
        <v>00</v>
      </c>
      <c r="F8742" t="str">
        <f t="shared" si="1990"/>
        <v>001</v>
      </c>
      <c r="G8742">
        <v>9</v>
      </c>
      <c r="H8742" t="str">
        <f t="shared" si="1991"/>
        <v>22</v>
      </c>
      <c r="I8742" t="str">
        <f t="shared" si="1985"/>
        <v>0</v>
      </c>
      <c r="J8742" t="str">
        <f t="shared" si="1992"/>
        <v>00</v>
      </c>
      <c r="K8742">
        <v>20190621</v>
      </c>
      <c r="L8742" t="str">
        <f>"077217"</f>
        <v>077217</v>
      </c>
      <c r="M8742" t="str">
        <f>"04410"</f>
        <v>04410</v>
      </c>
      <c r="N8742" t="s">
        <v>410</v>
      </c>
      <c r="O8742">
        <v>889.4</v>
      </c>
      <c r="P8742">
        <v>20190619</v>
      </c>
      <c r="Q8742" t="s">
        <v>6845</v>
      </c>
      <c r="R8742" t="s">
        <v>5231</v>
      </c>
      <c r="S8742" t="s">
        <v>6847</v>
      </c>
      <c r="T8742" t="s">
        <v>301</v>
      </c>
    </row>
    <row r="8743" spans="1:20" x14ac:dyDescent="0.25">
      <c r="A8743">
        <v>9</v>
      </c>
      <c r="B8743">
        <v>244</v>
      </c>
      <c r="C8743" t="str">
        <f t="shared" si="1988"/>
        <v>11</v>
      </c>
      <c r="D8743">
        <v>6399</v>
      </c>
      <c r="E8743" t="str">
        <f t="shared" si="1989"/>
        <v>00</v>
      </c>
      <c r="F8743" t="str">
        <f t="shared" si="1990"/>
        <v>001</v>
      </c>
      <c r="G8743">
        <v>9</v>
      </c>
      <c r="H8743" t="str">
        <f t="shared" si="1991"/>
        <v>22</v>
      </c>
      <c r="I8743" t="str">
        <f t="shared" si="1985"/>
        <v>0</v>
      </c>
      <c r="J8743" t="str">
        <f t="shared" si="1992"/>
        <v>00</v>
      </c>
      <c r="K8743">
        <v>20190621</v>
      </c>
      <c r="L8743" t="str">
        <f>"077223"</f>
        <v>077223</v>
      </c>
      <c r="M8743" t="str">
        <f>"16807"</f>
        <v>16807</v>
      </c>
      <c r="N8743" t="s">
        <v>1581</v>
      </c>
      <c r="O8743" s="1">
        <v>1746.66</v>
      </c>
      <c r="P8743">
        <v>20190619</v>
      </c>
      <c r="Q8743" t="s">
        <v>6845</v>
      </c>
      <c r="R8743" t="s">
        <v>6873</v>
      </c>
      <c r="S8743" t="s">
        <v>6847</v>
      </c>
      <c r="T8743" t="s">
        <v>301</v>
      </c>
    </row>
    <row r="8744" spans="1:20" x14ac:dyDescent="0.25">
      <c r="A8744">
        <v>9</v>
      </c>
      <c r="B8744">
        <v>244</v>
      </c>
      <c r="C8744" t="str">
        <f t="shared" si="1988"/>
        <v>11</v>
      </c>
      <c r="D8744">
        <v>6399</v>
      </c>
      <c r="E8744" t="str">
        <f t="shared" ref="E8744:E8775" si="1993">"00"</f>
        <v>00</v>
      </c>
      <c r="F8744" t="str">
        <f t="shared" si="1990"/>
        <v>001</v>
      </c>
      <c r="G8744">
        <v>9</v>
      </c>
      <c r="H8744" t="str">
        <f t="shared" si="1991"/>
        <v>22</v>
      </c>
      <c r="I8744" t="str">
        <f t="shared" si="1985"/>
        <v>0</v>
      </c>
      <c r="J8744" t="str">
        <f t="shared" si="1992"/>
        <v>00</v>
      </c>
      <c r="K8744">
        <v>20190621</v>
      </c>
      <c r="L8744" t="str">
        <f>"077223"</f>
        <v>077223</v>
      </c>
      <c r="M8744" t="str">
        <f>"16807"</f>
        <v>16807</v>
      </c>
      <c r="N8744" t="s">
        <v>1581</v>
      </c>
      <c r="O8744" s="1">
        <v>3969.15</v>
      </c>
      <c r="P8744">
        <v>20190619</v>
      </c>
      <c r="Q8744" t="s">
        <v>6845</v>
      </c>
      <c r="R8744" t="s">
        <v>1583</v>
      </c>
      <c r="S8744" t="s">
        <v>6847</v>
      </c>
      <c r="T8744" t="s">
        <v>301</v>
      </c>
    </row>
    <row r="8745" spans="1:20" x14ac:dyDescent="0.25">
      <c r="A8745">
        <v>9</v>
      </c>
      <c r="B8745">
        <v>244</v>
      </c>
      <c r="C8745" t="str">
        <f t="shared" si="1988"/>
        <v>11</v>
      </c>
      <c r="D8745">
        <v>6399</v>
      </c>
      <c r="E8745" t="str">
        <f t="shared" si="1993"/>
        <v>00</v>
      </c>
      <c r="F8745" t="str">
        <f t="shared" si="1990"/>
        <v>001</v>
      </c>
      <c r="G8745">
        <v>9</v>
      </c>
      <c r="H8745" t="str">
        <f t="shared" si="1991"/>
        <v>22</v>
      </c>
      <c r="I8745" t="str">
        <f t="shared" si="1985"/>
        <v>0</v>
      </c>
      <c r="J8745" t="str">
        <f t="shared" si="1992"/>
        <v>00</v>
      </c>
      <c r="K8745">
        <v>20190621</v>
      </c>
      <c r="L8745" t="str">
        <f>"077223"</f>
        <v>077223</v>
      </c>
      <c r="M8745" t="str">
        <f>"16807"</f>
        <v>16807</v>
      </c>
      <c r="N8745" t="s">
        <v>1581</v>
      </c>
      <c r="O8745">
        <v>397.5</v>
      </c>
      <c r="P8745">
        <v>20190619</v>
      </c>
      <c r="Q8745" t="s">
        <v>6845</v>
      </c>
      <c r="R8745" t="s">
        <v>1582</v>
      </c>
      <c r="S8745" t="s">
        <v>6847</v>
      </c>
      <c r="T8745" t="s">
        <v>301</v>
      </c>
    </row>
    <row r="8746" spans="1:20" x14ac:dyDescent="0.25">
      <c r="A8746">
        <v>9</v>
      </c>
      <c r="B8746">
        <v>244</v>
      </c>
      <c r="C8746" t="str">
        <f t="shared" si="1988"/>
        <v>11</v>
      </c>
      <c r="D8746">
        <v>6399</v>
      </c>
      <c r="E8746" t="str">
        <f t="shared" si="1993"/>
        <v>00</v>
      </c>
      <c r="F8746" t="str">
        <f t="shared" si="1990"/>
        <v>001</v>
      </c>
      <c r="G8746">
        <v>9</v>
      </c>
      <c r="H8746" t="str">
        <f t="shared" si="1991"/>
        <v>22</v>
      </c>
      <c r="I8746" t="str">
        <f t="shared" si="1985"/>
        <v>0</v>
      </c>
      <c r="J8746" t="str">
        <f t="shared" si="1992"/>
        <v>00</v>
      </c>
      <c r="K8746">
        <v>20190621</v>
      </c>
      <c r="L8746" t="str">
        <f>"077259"</f>
        <v>077259</v>
      </c>
      <c r="M8746" t="str">
        <f>"00377"</f>
        <v>00377</v>
      </c>
      <c r="N8746" t="s">
        <v>6874</v>
      </c>
      <c r="O8746">
        <v>900</v>
      </c>
      <c r="P8746">
        <v>20190619</v>
      </c>
      <c r="Q8746" t="s">
        <v>6845</v>
      </c>
      <c r="R8746" t="s">
        <v>6875</v>
      </c>
      <c r="S8746" t="s">
        <v>6847</v>
      </c>
      <c r="T8746" t="s">
        <v>301</v>
      </c>
    </row>
    <row r="8747" spans="1:20" x14ac:dyDescent="0.25">
      <c r="A8747">
        <v>9</v>
      </c>
      <c r="B8747">
        <v>244</v>
      </c>
      <c r="C8747" t="str">
        <f t="shared" si="1988"/>
        <v>11</v>
      </c>
      <c r="D8747">
        <v>6399</v>
      </c>
      <c r="E8747" t="str">
        <f t="shared" si="1993"/>
        <v>00</v>
      </c>
      <c r="F8747" t="str">
        <f t="shared" si="1990"/>
        <v>001</v>
      </c>
      <c r="G8747">
        <v>9</v>
      </c>
      <c r="H8747" t="str">
        <f t="shared" si="1991"/>
        <v>22</v>
      </c>
      <c r="I8747" t="str">
        <f t="shared" si="1985"/>
        <v>0</v>
      </c>
      <c r="J8747" t="str">
        <f t="shared" si="1992"/>
        <v>00</v>
      </c>
      <c r="K8747">
        <v>20190712</v>
      </c>
      <c r="L8747" t="str">
        <f>"077355"</f>
        <v>077355</v>
      </c>
      <c r="M8747" t="str">
        <f>"25165"</f>
        <v>25165</v>
      </c>
      <c r="N8747" t="s">
        <v>2860</v>
      </c>
      <c r="O8747" s="1">
        <v>1582.36</v>
      </c>
      <c r="P8747">
        <v>20190710</v>
      </c>
      <c r="Q8747" t="s">
        <v>6845</v>
      </c>
      <c r="R8747" t="s">
        <v>6876</v>
      </c>
      <c r="S8747" t="s">
        <v>6847</v>
      </c>
      <c r="T8747" t="s">
        <v>301</v>
      </c>
    </row>
    <row r="8748" spans="1:20" x14ac:dyDescent="0.25">
      <c r="A8748">
        <v>9</v>
      </c>
      <c r="B8748">
        <v>244</v>
      </c>
      <c r="C8748" t="str">
        <f t="shared" si="1988"/>
        <v>11</v>
      </c>
      <c r="D8748">
        <v>6299</v>
      </c>
      <c r="E8748" t="str">
        <f t="shared" si="1993"/>
        <v>00</v>
      </c>
      <c r="F8748" t="str">
        <f t="shared" si="1990"/>
        <v>001</v>
      </c>
      <c r="G8748">
        <v>9</v>
      </c>
      <c r="H8748" t="str">
        <f t="shared" si="1991"/>
        <v>22</v>
      </c>
      <c r="I8748" t="str">
        <f t="shared" si="1985"/>
        <v>0</v>
      </c>
      <c r="J8748" t="str">
        <f t="shared" si="1992"/>
        <v>00</v>
      </c>
      <c r="K8748">
        <v>20190802</v>
      </c>
      <c r="L8748" t="str">
        <f>"077544"</f>
        <v>077544</v>
      </c>
      <c r="M8748" t="str">
        <f>"00851"</f>
        <v>00851</v>
      </c>
      <c r="N8748" t="s">
        <v>6877</v>
      </c>
      <c r="O8748" s="1">
        <v>6000</v>
      </c>
      <c r="P8748">
        <v>20190801</v>
      </c>
      <c r="Q8748" t="s">
        <v>6878</v>
      </c>
      <c r="R8748" t="s">
        <v>6879</v>
      </c>
      <c r="S8748" t="s">
        <v>6847</v>
      </c>
      <c r="T8748" t="s">
        <v>301</v>
      </c>
    </row>
    <row r="8749" spans="1:20" x14ac:dyDescent="0.25">
      <c r="A8749">
        <v>9</v>
      </c>
      <c r="B8749">
        <v>255</v>
      </c>
      <c r="C8749" t="str">
        <f>"13"</f>
        <v>13</v>
      </c>
      <c r="D8749">
        <v>6411</v>
      </c>
      <c r="E8749" t="str">
        <f t="shared" si="1993"/>
        <v>00</v>
      </c>
      <c r="F8749" t="str">
        <f t="shared" si="1990"/>
        <v>001</v>
      </c>
      <c r="G8749">
        <v>9</v>
      </c>
      <c r="H8749" t="str">
        <f t="shared" ref="H8749:H8780" si="1994">"24"</f>
        <v>24</v>
      </c>
      <c r="I8749" t="str">
        <f t="shared" si="1985"/>
        <v>0</v>
      </c>
      <c r="J8749" t="str">
        <f t="shared" si="1992"/>
        <v>00</v>
      </c>
      <c r="K8749">
        <v>20181012</v>
      </c>
      <c r="L8749" t="str">
        <f>"074284"</f>
        <v>074284</v>
      </c>
      <c r="M8749" t="str">
        <f>"00562"</f>
        <v>00562</v>
      </c>
      <c r="N8749" t="s">
        <v>6880</v>
      </c>
      <c r="O8749">
        <v>750</v>
      </c>
      <c r="P8749">
        <v>20181011</v>
      </c>
      <c r="Q8749" t="s">
        <v>6881</v>
      </c>
      <c r="R8749" t="s">
        <v>6882</v>
      </c>
      <c r="S8749" t="s">
        <v>6883</v>
      </c>
      <c r="T8749" t="s">
        <v>301</v>
      </c>
    </row>
    <row r="8750" spans="1:20" x14ac:dyDescent="0.25">
      <c r="A8750">
        <v>9</v>
      </c>
      <c r="B8750">
        <v>255</v>
      </c>
      <c r="C8750" t="str">
        <f>"21"</f>
        <v>21</v>
      </c>
      <c r="D8750">
        <v>6411</v>
      </c>
      <c r="E8750" t="str">
        <f t="shared" si="1993"/>
        <v>00</v>
      </c>
      <c r="F8750" t="str">
        <f>"871"</f>
        <v>871</v>
      </c>
      <c r="G8750">
        <v>9</v>
      </c>
      <c r="H8750" t="str">
        <f t="shared" si="1994"/>
        <v>24</v>
      </c>
      <c r="I8750" t="str">
        <f t="shared" si="1985"/>
        <v>0</v>
      </c>
      <c r="J8750" t="str">
        <f t="shared" si="1992"/>
        <v>00</v>
      </c>
      <c r="K8750">
        <v>20181102</v>
      </c>
      <c r="L8750" t="str">
        <f>"074440"</f>
        <v>074440</v>
      </c>
      <c r="M8750" t="str">
        <f>"09170"</f>
        <v>09170</v>
      </c>
      <c r="N8750" t="s">
        <v>679</v>
      </c>
      <c r="O8750">
        <v>350</v>
      </c>
      <c r="P8750">
        <v>20181031</v>
      </c>
      <c r="Q8750" t="s">
        <v>6884</v>
      </c>
      <c r="R8750" t="s">
        <v>6885</v>
      </c>
      <c r="S8750" t="s">
        <v>6883</v>
      </c>
      <c r="T8750" t="s">
        <v>1932</v>
      </c>
    </row>
    <row r="8751" spans="1:20" x14ac:dyDescent="0.25">
      <c r="A8751">
        <v>9</v>
      </c>
      <c r="B8751">
        <v>255</v>
      </c>
      <c r="C8751" t="str">
        <f>"23"</f>
        <v>23</v>
      </c>
      <c r="D8751">
        <v>6411</v>
      </c>
      <c r="E8751" t="str">
        <f t="shared" si="1993"/>
        <v>00</v>
      </c>
      <c r="F8751" t="str">
        <f>"001"</f>
        <v>001</v>
      </c>
      <c r="G8751">
        <v>9</v>
      </c>
      <c r="H8751" t="str">
        <f t="shared" si="1994"/>
        <v>24</v>
      </c>
      <c r="I8751" t="str">
        <f t="shared" si="1985"/>
        <v>0</v>
      </c>
      <c r="J8751" t="str">
        <f t="shared" si="1992"/>
        <v>00</v>
      </c>
      <c r="K8751">
        <v>20181102</v>
      </c>
      <c r="L8751" t="str">
        <f>"074440"</f>
        <v>074440</v>
      </c>
      <c r="M8751" t="str">
        <f>"09170"</f>
        <v>09170</v>
      </c>
      <c r="N8751" t="s">
        <v>679</v>
      </c>
      <c r="O8751">
        <v>175</v>
      </c>
      <c r="P8751">
        <v>20181031</v>
      </c>
      <c r="Q8751" t="s">
        <v>6886</v>
      </c>
      <c r="R8751" t="s">
        <v>6885</v>
      </c>
      <c r="S8751" t="s">
        <v>6883</v>
      </c>
      <c r="T8751" t="s">
        <v>301</v>
      </c>
    </row>
    <row r="8752" spans="1:20" x14ac:dyDescent="0.25">
      <c r="A8752">
        <v>9</v>
      </c>
      <c r="B8752">
        <v>255</v>
      </c>
      <c r="C8752" t="str">
        <f>"23"</f>
        <v>23</v>
      </c>
      <c r="D8752">
        <v>6411</v>
      </c>
      <c r="E8752" t="str">
        <f t="shared" si="1993"/>
        <v>00</v>
      </c>
      <c r="F8752" t="str">
        <f>"041"</f>
        <v>041</v>
      </c>
      <c r="G8752">
        <v>9</v>
      </c>
      <c r="H8752" t="str">
        <f t="shared" si="1994"/>
        <v>24</v>
      </c>
      <c r="I8752" t="str">
        <f t="shared" si="1985"/>
        <v>0</v>
      </c>
      <c r="J8752" t="str">
        <f t="shared" si="1992"/>
        <v>00</v>
      </c>
      <c r="K8752">
        <v>20181102</v>
      </c>
      <c r="L8752" t="str">
        <f>"074440"</f>
        <v>074440</v>
      </c>
      <c r="M8752" t="str">
        <f>"09170"</f>
        <v>09170</v>
      </c>
      <c r="N8752" t="s">
        <v>679</v>
      </c>
      <c r="O8752">
        <v>175</v>
      </c>
      <c r="P8752">
        <v>20181031</v>
      </c>
      <c r="Q8752" t="s">
        <v>6887</v>
      </c>
      <c r="R8752" t="s">
        <v>6885</v>
      </c>
      <c r="S8752" t="s">
        <v>6883</v>
      </c>
      <c r="T8752" t="s">
        <v>106</v>
      </c>
    </row>
    <row r="8753" spans="1:20" x14ac:dyDescent="0.25">
      <c r="A8753">
        <v>9</v>
      </c>
      <c r="B8753">
        <v>255</v>
      </c>
      <c r="C8753" t="str">
        <f>"23"</f>
        <v>23</v>
      </c>
      <c r="D8753">
        <v>6411</v>
      </c>
      <c r="E8753" t="str">
        <f t="shared" si="1993"/>
        <v>00</v>
      </c>
      <c r="F8753" t="str">
        <f>"101"</f>
        <v>101</v>
      </c>
      <c r="G8753">
        <v>9</v>
      </c>
      <c r="H8753" t="str">
        <f t="shared" si="1994"/>
        <v>24</v>
      </c>
      <c r="I8753" t="str">
        <f t="shared" si="1985"/>
        <v>0</v>
      </c>
      <c r="J8753" t="str">
        <f t="shared" si="1992"/>
        <v>00</v>
      </c>
      <c r="K8753">
        <v>20181102</v>
      </c>
      <c r="L8753" t="str">
        <f>"074440"</f>
        <v>074440</v>
      </c>
      <c r="M8753" t="str">
        <f>"09170"</f>
        <v>09170</v>
      </c>
      <c r="N8753" t="s">
        <v>679</v>
      </c>
      <c r="O8753">
        <v>350</v>
      </c>
      <c r="P8753">
        <v>20181031</v>
      </c>
      <c r="Q8753" t="s">
        <v>6888</v>
      </c>
      <c r="R8753" t="s">
        <v>6885</v>
      </c>
      <c r="S8753" t="s">
        <v>6883</v>
      </c>
      <c r="T8753" t="s">
        <v>1479</v>
      </c>
    </row>
    <row r="8754" spans="1:20" x14ac:dyDescent="0.25">
      <c r="A8754">
        <v>9</v>
      </c>
      <c r="B8754">
        <v>255</v>
      </c>
      <c r="C8754" t="str">
        <f t="shared" ref="C8754:C8789" si="1995">"13"</f>
        <v>13</v>
      </c>
      <c r="D8754">
        <v>6411</v>
      </c>
      <c r="E8754" t="str">
        <f t="shared" si="1993"/>
        <v>00</v>
      </c>
      <c r="F8754" t="str">
        <f>"001"</f>
        <v>001</v>
      </c>
      <c r="G8754">
        <v>9</v>
      </c>
      <c r="H8754" t="str">
        <f t="shared" si="1994"/>
        <v>24</v>
      </c>
      <c r="I8754" t="str">
        <f t="shared" si="1985"/>
        <v>0</v>
      </c>
      <c r="J8754" t="str">
        <f t="shared" si="1992"/>
        <v>00</v>
      </c>
      <c r="K8754">
        <v>20181109</v>
      </c>
      <c r="L8754" t="str">
        <f>"074570"</f>
        <v>074570</v>
      </c>
      <c r="M8754" t="str">
        <f>"27900"</f>
        <v>27900</v>
      </c>
      <c r="N8754" t="s">
        <v>1490</v>
      </c>
      <c r="O8754">
        <v>150</v>
      </c>
      <c r="P8754">
        <v>20181108</v>
      </c>
      <c r="Q8754" t="s">
        <v>6881</v>
      </c>
      <c r="R8754" t="s">
        <v>6889</v>
      </c>
      <c r="S8754" t="s">
        <v>6883</v>
      </c>
      <c r="T8754" t="s">
        <v>301</v>
      </c>
    </row>
    <row r="8755" spans="1:20" x14ac:dyDescent="0.25">
      <c r="A8755">
        <v>9</v>
      </c>
      <c r="B8755">
        <v>255</v>
      </c>
      <c r="C8755" t="str">
        <f t="shared" si="1995"/>
        <v>13</v>
      </c>
      <c r="D8755">
        <v>6411</v>
      </c>
      <c r="E8755" t="str">
        <f t="shared" si="1993"/>
        <v>00</v>
      </c>
      <c r="F8755" t="str">
        <f>"001"</f>
        <v>001</v>
      </c>
      <c r="G8755">
        <v>9</v>
      </c>
      <c r="H8755" t="str">
        <f t="shared" si="1994"/>
        <v>24</v>
      </c>
      <c r="I8755" t="str">
        <f t="shared" si="1985"/>
        <v>0</v>
      </c>
      <c r="J8755" t="str">
        <f t="shared" si="1992"/>
        <v>00</v>
      </c>
      <c r="K8755">
        <v>20181109</v>
      </c>
      <c r="L8755" t="str">
        <f>"074570"</f>
        <v>074570</v>
      </c>
      <c r="M8755" t="str">
        <f>"27900"</f>
        <v>27900</v>
      </c>
      <c r="N8755" t="s">
        <v>1490</v>
      </c>
      <c r="O8755">
        <v>150</v>
      </c>
      <c r="P8755">
        <v>20181108</v>
      </c>
      <c r="Q8755" t="s">
        <v>6881</v>
      </c>
      <c r="R8755" t="s">
        <v>6889</v>
      </c>
      <c r="S8755" t="s">
        <v>6883</v>
      </c>
      <c r="T8755" t="s">
        <v>301</v>
      </c>
    </row>
    <row r="8756" spans="1:20" x14ac:dyDescent="0.25">
      <c r="A8756">
        <v>9</v>
      </c>
      <c r="B8756">
        <v>255</v>
      </c>
      <c r="C8756" t="str">
        <f t="shared" si="1995"/>
        <v>13</v>
      </c>
      <c r="D8756">
        <v>6299</v>
      </c>
      <c r="E8756" t="str">
        <f t="shared" si="1993"/>
        <v>00</v>
      </c>
      <c r="F8756" t="str">
        <f>"001"</f>
        <v>001</v>
      </c>
      <c r="G8756">
        <v>9</v>
      </c>
      <c r="H8756" t="str">
        <f t="shared" si="1994"/>
        <v>24</v>
      </c>
      <c r="I8756" t="str">
        <f t="shared" si="1985"/>
        <v>0</v>
      </c>
      <c r="J8756" t="str">
        <f t="shared" si="1992"/>
        <v>00</v>
      </c>
      <c r="K8756">
        <v>20181130</v>
      </c>
      <c r="L8756" t="str">
        <f t="shared" ref="L8756:L8766" si="1996">"074801"</f>
        <v>074801</v>
      </c>
      <c r="M8756" t="str">
        <f t="shared" ref="M8756:M8766" si="1997">"62338"</f>
        <v>62338</v>
      </c>
      <c r="N8756" t="s">
        <v>6890</v>
      </c>
      <c r="O8756">
        <v>540</v>
      </c>
      <c r="P8756">
        <v>20181129</v>
      </c>
      <c r="Q8756" t="s">
        <v>6891</v>
      </c>
      <c r="R8756" t="s">
        <v>6892</v>
      </c>
      <c r="S8756" t="s">
        <v>6883</v>
      </c>
      <c r="T8756" t="s">
        <v>301</v>
      </c>
    </row>
    <row r="8757" spans="1:20" x14ac:dyDescent="0.25">
      <c r="A8757">
        <v>9</v>
      </c>
      <c r="B8757">
        <v>255</v>
      </c>
      <c r="C8757" t="str">
        <f t="shared" si="1995"/>
        <v>13</v>
      </c>
      <c r="D8757">
        <v>6299</v>
      </c>
      <c r="E8757" t="str">
        <f t="shared" si="1993"/>
        <v>00</v>
      </c>
      <c r="F8757" t="str">
        <f>"001"</f>
        <v>001</v>
      </c>
      <c r="G8757">
        <v>9</v>
      </c>
      <c r="H8757" t="str">
        <f t="shared" si="1994"/>
        <v>24</v>
      </c>
      <c r="I8757" t="str">
        <f t="shared" si="1985"/>
        <v>0</v>
      </c>
      <c r="J8757" t="str">
        <f t="shared" si="1992"/>
        <v>00</v>
      </c>
      <c r="K8757">
        <v>20181130</v>
      </c>
      <c r="L8757" t="str">
        <f t="shared" si="1996"/>
        <v>074801</v>
      </c>
      <c r="M8757" t="str">
        <f t="shared" si="1997"/>
        <v>62338</v>
      </c>
      <c r="N8757" t="s">
        <v>6890</v>
      </c>
      <c r="O8757">
        <v>375</v>
      </c>
      <c r="P8757">
        <v>20181129</v>
      </c>
      <c r="Q8757" t="s">
        <v>6891</v>
      </c>
      <c r="R8757" t="s">
        <v>6892</v>
      </c>
      <c r="S8757" t="s">
        <v>6883</v>
      </c>
      <c r="T8757" t="s">
        <v>301</v>
      </c>
    </row>
    <row r="8758" spans="1:20" x14ac:dyDescent="0.25">
      <c r="A8758">
        <v>9</v>
      </c>
      <c r="B8758">
        <v>255</v>
      </c>
      <c r="C8758" t="str">
        <f t="shared" si="1995"/>
        <v>13</v>
      </c>
      <c r="D8758">
        <v>6299</v>
      </c>
      <c r="E8758" t="str">
        <f t="shared" si="1993"/>
        <v>00</v>
      </c>
      <c r="F8758" t="str">
        <f>"041"</f>
        <v>041</v>
      </c>
      <c r="G8758">
        <v>9</v>
      </c>
      <c r="H8758" t="str">
        <f t="shared" si="1994"/>
        <v>24</v>
      </c>
      <c r="I8758" t="str">
        <f t="shared" si="1985"/>
        <v>0</v>
      </c>
      <c r="J8758" t="str">
        <f t="shared" si="1992"/>
        <v>00</v>
      </c>
      <c r="K8758">
        <v>20181130</v>
      </c>
      <c r="L8758" t="str">
        <f t="shared" si="1996"/>
        <v>074801</v>
      </c>
      <c r="M8758" t="str">
        <f t="shared" si="1997"/>
        <v>62338</v>
      </c>
      <c r="N8758" t="s">
        <v>6890</v>
      </c>
      <c r="O8758">
        <v>360</v>
      </c>
      <c r="P8758">
        <v>20181129</v>
      </c>
      <c r="Q8758" t="s">
        <v>6893</v>
      </c>
      <c r="R8758" t="s">
        <v>6892</v>
      </c>
      <c r="S8758" t="s">
        <v>6883</v>
      </c>
      <c r="T8758" t="s">
        <v>106</v>
      </c>
    </row>
    <row r="8759" spans="1:20" x14ac:dyDescent="0.25">
      <c r="A8759">
        <v>9</v>
      </c>
      <c r="B8759">
        <v>255</v>
      </c>
      <c r="C8759" t="str">
        <f t="shared" si="1995"/>
        <v>13</v>
      </c>
      <c r="D8759">
        <v>6299</v>
      </c>
      <c r="E8759" t="str">
        <f t="shared" si="1993"/>
        <v>00</v>
      </c>
      <c r="F8759" t="str">
        <f>"041"</f>
        <v>041</v>
      </c>
      <c r="G8759">
        <v>9</v>
      </c>
      <c r="H8759" t="str">
        <f t="shared" si="1994"/>
        <v>24</v>
      </c>
      <c r="I8759" t="str">
        <f t="shared" si="1985"/>
        <v>0</v>
      </c>
      <c r="J8759" t="str">
        <f t="shared" si="1992"/>
        <v>00</v>
      </c>
      <c r="K8759">
        <v>20181130</v>
      </c>
      <c r="L8759" t="str">
        <f t="shared" si="1996"/>
        <v>074801</v>
      </c>
      <c r="M8759" t="str">
        <f t="shared" si="1997"/>
        <v>62338</v>
      </c>
      <c r="N8759" t="s">
        <v>6890</v>
      </c>
      <c r="O8759">
        <v>180</v>
      </c>
      <c r="P8759">
        <v>20181129</v>
      </c>
      <c r="Q8759" t="s">
        <v>6893</v>
      </c>
      <c r="R8759" t="s">
        <v>6894</v>
      </c>
      <c r="S8759" t="s">
        <v>6883</v>
      </c>
      <c r="T8759" t="s">
        <v>106</v>
      </c>
    </row>
    <row r="8760" spans="1:20" x14ac:dyDescent="0.25">
      <c r="A8760">
        <v>9</v>
      </c>
      <c r="B8760">
        <v>255</v>
      </c>
      <c r="C8760" t="str">
        <f t="shared" si="1995"/>
        <v>13</v>
      </c>
      <c r="D8760">
        <v>6299</v>
      </c>
      <c r="E8760" t="str">
        <f t="shared" si="1993"/>
        <v>00</v>
      </c>
      <c r="F8760" t="str">
        <f>"041"</f>
        <v>041</v>
      </c>
      <c r="G8760">
        <v>9</v>
      </c>
      <c r="H8760" t="str">
        <f t="shared" si="1994"/>
        <v>24</v>
      </c>
      <c r="I8760" t="str">
        <f t="shared" si="1985"/>
        <v>0</v>
      </c>
      <c r="J8760" t="str">
        <f t="shared" si="1992"/>
        <v>00</v>
      </c>
      <c r="K8760">
        <v>20181130</v>
      </c>
      <c r="L8760" t="str">
        <f t="shared" si="1996"/>
        <v>074801</v>
      </c>
      <c r="M8760" t="str">
        <f t="shared" si="1997"/>
        <v>62338</v>
      </c>
      <c r="N8760" t="s">
        <v>6890</v>
      </c>
      <c r="O8760">
        <v>375</v>
      </c>
      <c r="P8760">
        <v>20181129</v>
      </c>
      <c r="Q8760" t="s">
        <v>6893</v>
      </c>
      <c r="R8760" t="s">
        <v>6892</v>
      </c>
      <c r="S8760" t="s">
        <v>6883</v>
      </c>
      <c r="T8760" t="s">
        <v>106</v>
      </c>
    </row>
    <row r="8761" spans="1:20" x14ac:dyDescent="0.25">
      <c r="A8761">
        <v>9</v>
      </c>
      <c r="B8761">
        <v>255</v>
      </c>
      <c r="C8761" t="str">
        <f t="shared" si="1995"/>
        <v>13</v>
      </c>
      <c r="D8761">
        <v>6299</v>
      </c>
      <c r="E8761" t="str">
        <f t="shared" si="1993"/>
        <v>00</v>
      </c>
      <c r="F8761" t="str">
        <f>"101"</f>
        <v>101</v>
      </c>
      <c r="G8761">
        <v>9</v>
      </c>
      <c r="H8761" t="str">
        <f t="shared" si="1994"/>
        <v>24</v>
      </c>
      <c r="I8761" t="str">
        <f t="shared" si="1985"/>
        <v>0</v>
      </c>
      <c r="J8761" t="str">
        <f t="shared" si="1992"/>
        <v>00</v>
      </c>
      <c r="K8761">
        <v>20181130</v>
      </c>
      <c r="L8761" t="str">
        <f t="shared" si="1996"/>
        <v>074801</v>
      </c>
      <c r="M8761" t="str">
        <f t="shared" si="1997"/>
        <v>62338</v>
      </c>
      <c r="N8761" t="s">
        <v>6890</v>
      </c>
      <c r="O8761">
        <v>540</v>
      </c>
      <c r="P8761">
        <v>20181129</v>
      </c>
      <c r="Q8761" t="s">
        <v>6895</v>
      </c>
      <c r="R8761" t="s">
        <v>6896</v>
      </c>
      <c r="S8761" t="s">
        <v>6883</v>
      </c>
      <c r="T8761" t="s">
        <v>1479</v>
      </c>
    </row>
    <row r="8762" spans="1:20" x14ac:dyDescent="0.25">
      <c r="A8762">
        <v>9</v>
      </c>
      <c r="B8762">
        <v>255</v>
      </c>
      <c r="C8762" t="str">
        <f t="shared" si="1995"/>
        <v>13</v>
      </c>
      <c r="D8762">
        <v>6299</v>
      </c>
      <c r="E8762" t="str">
        <f t="shared" si="1993"/>
        <v>00</v>
      </c>
      <c r="F8762" t="str">
        <f>"101"</f>
        <v>101</v>
      </c>
      <c r="G8762">
        <v>9</v>
      </c>
      <c r="H8762" t="str">
        <f t="shared" si="1994"/>
        <v>24</v>
      </c>
      <c r="I8762" t="str">
        <f t="shared" si="1985"/>
        <v>0</v>
      </c>
      <c r="J8762" t="str">
        <f t="shared" si="1992"/>
        <v>00</v>
      </c>
      <c r="K8762">
        <v>20181130</v>
      </c>
      <c r="L8762" t="str">
        <f t="shared" si="1996"/>
        <v>074801</v>
      </c>
      <c r="M8762" t="str">
        <f t="shared" si="1997"/>
        <v>62338</v>
      </c>
      <c r="N8762" t="s">
        <v>6890</v>
      </c>
      <c r="O8762">
        <v>150</v>
      </c>
      <c r="P8762">
        <v>20181129</v>
      </c>
      <c r="Q8762" t="s">
        <v>6895</v>
      </c>
      <c r="R8762" t="s">
        <v>6892</v>
      </c>
      <c r="S8762" t="s">
        <v>6883</v>
      </c>
      <c r="T8762" t="s">
        <v>1479</v>
      </c>
    </row>
    <row r="8763" spans="1:20" x14ac:dyDescent="0.25">
      <c r="A8763">
        <v>9</v>
      </c>
      <c r="B8763">
        <v>255</v>
      </c>
      <c r="C8763" t="str">
        <f t="shared" si="1995"/>
        <v>13</v>
      </c>
      <c r="D8763">
        <v>6299</v>
      </c>
      <c r="E8763" t="str">
        <f t="shared" si="1993"/>
        <v>00</v>
      </c>
      <c r="F8763" t="str">
        <f>"101"</f>
        <v>101</v>
      </c>
      <c r="G8763">
        <v>9</v>
      </c>
      <c r="H8763" t="str">
        <f t="shared" si="1994"/>
        <v>24</v>
      </c>
      <c r="I8763" t="str">
        <f t="shared" ref="I8763:I8826" si="1998">"0"</f>
        <v>0</v>
      </c>
      <c r="J8763" t="str">
        <f t="shared" si="1992"/>
        <v>00</v>
      </c>
      <c r="K8763">
        <v>20181130</v>
      </c>
      <c r="L8763" t="str">
        <f t="shared" si="1996"/>
        <v>074801</v>
      </c>
      <c r="M8763" t="str">
        <f t="shared" si="1997"/>
        <v>62338</v>
      </c>
      <c r="N8763" t="s">
        <v>6890</v>
      </c>
      <c r="O8763">
        <v>60</v>
      </c>
      <c r="P8763">
        <v>20181129</v>
      </c>
      <c r="Q8763" t="s">
        <v>6895</v>
      </c>
      <c r="R8763" t="s">
        <v>6894</v>
      </c>
      <c r="S8763" t="s">
        <v>6883</v>
      </c>
      <c r="T8763" t="s">
        <v>1479</v>
      </c>
    </row>
    <row r="8764" spans="1:20" x14ac:dyDescent="0.25">
      <c r="A8764">
        <v>9</v>
      </c>
      <c r="B8764">
        <v>255</v>
      </c>
      <c r="C8764" t="str">
        <f t="shared" si="1995"/>
        <v>13</v>
      </c>
      <c r="D8764">
        <v>6299</v>
      </c>
      <c r="E8764" t="str">
        <f t="shared" si="1993"/>
        <v>00</v>
      </c>
      <c r="F8764" t="str">
        <f>"101"</f>
        <v>101</v>
      </c>
      <c r="G8764">
        <v>9</v>
      </c>
      <c r="H8764" t="str">
        <f t="shared" si="1994"/>
        <v>24</v>
      </c>
      <c r="I8764" t="str">
        <f t="shared" si="1998"/>
        <v>0</v>
      </c>
      <c r="J8764" t="str">
        <f t="shared" si="1992"/>
        <v>00</v>
      </c>
      <c r="K8764">
        <v>20181130</v>
      </c>
      <c r="L8764" t="str">
        <f t="shared" si="1996"/>
        <v>074801</v>
      </c>
      <c r="M8764" t="str">
        <f t="shared" si="1997"/>
        <v>62338</v>
      </c>
      <c r="N8764" t="s">
        <v>6890</v>
      </c>
      <c r="O8764">
        <v>165</v>
      </c>
      <c r="P8764">
        <v>20181129</v>
      </c>
      <c r="Q8764" t="s">
        <v>6895</v>
      </c>
      <c r="R8764" t="s">
        <v>6896</v>
      </c>
      <c r="S8764" t="s">
        <v>6883</v>
      </c>
      <c r="T8764" t="s">
        <v>1479</v>
      </c>
    </row>
    <row r="8765" spans="1:20" x14ac:dyDescent="0.25">
      <c r="A8765">
        <v>9</v>
      </c>
      <c r="B8765">
        <v>255</v>
      </c>
      <c r="C8765" t="str">
        <f t="shared" si="1995"/>
        <v>13</v>
      </c>
      <c r="D8765">
        <v>6299</v>
      </c>
      <c r="E8765" t="str">
        <f t="shared" si="1993"/>
        <v>00</v>
      </c>
      <c r="F8765" t="str">
        <f>"104"</f>
        <v>104</v>
      </c>
      <c r="G8765">
        <v>9</v>
      </c>
      <c r="H8765" t="str">
        <f t="shared" si="1994"/>
        <v>24</v>
      </c>
      <c r="I8765" t="str">
        <f t="shared" si="1998"/>
        <v>0</v>
      </c>
      <c r="J8765" t="str">
        <f t="shared" si="1992"/>
        <v>00</v>
      </c>
      <c r="K8765">
        <v>20181130</v>
      </c>
      <c r="L8765" t="str">
        <f t="shared" si="1996"/>
        <v>074801</v>
      </c>
      <c r="M8765" t="str">
        <f t="shared" si="1997"/>
        <v>62338</v>
      </c>
      <c r="N8765" t="s">
        <v>6890</v>
      </c>
      <c r="O8765">
        <v>540</v>
      </c>
      <c r="P8765">
        <v>20181129</v>
      </c>
      <c r="Q8765" t="s">
        <v>6897</v>
      </c>
      <c r="R8765" t="s">
        <v>6896</v>
      </c>
      <c r="S8765" t="s">
        <v>6883</v>
      </c>
      <c r="T8765" t="s">
        <v>46</v>
      </c>
    </row>
    <row r="8766" spans="1:20" x14ac:dyDescent="0.25">
      <c r="A8766">
        <v>9</v>
      </c>
      <c r="B8766">
        <v>255</v>
      </c>
      <c r="C8766" t="str">
        <f t="shared" si="1995"/>
        <v>13</v>
      </c>
      <c r="D8766">
        <v>6299</v>
      </c>
      <c r="E8766" t="str">
        <f t="shared" si="1993"/>
        <v>00</v>
      </c>
      <c r="F8766" t="str">
        <f>"104"</f>
        <v>104</v>
      </c>
      <c r="G8766">
        <v>9</v>
      </c>
      <c r="H8766" t="str">
        <f t="shared" si="1994"/>
        <v>24</v>
      </c>
      <c r="I8766" t="str">
        <f t="shared" si="1998"/>
        <v>0</v>
      </c>
      <c r="J8766" t="str">
        <f t="shared" si="1992"/>
        <v>00</v>
      </c>
      <c r="K8766">
        <v>20181130</v>
      </c>
      <c r="L8766" t="str">
        <f t="shared" si="1996"/>
        <v>074801</v>
      </c>
      <c r="M8766" t="str">
        <f t="shared" si="1997"/>
        <v>62338</v>
      </c>
      <c r="N8766" t="s">
        <v>6890</v>
      </c>
      <c r="O8766">
        <v>375</v>
      </c>
      <c r="P8766">
        <v>20181129</v>
      </c>
      <c r="Q8766" t="s">
        <v>6897</v>
      </c>
      <c r="R8766" t="s">
        <v>6896</v>
      </c>
      <c r="S8766" t="s">
        <v>6883</v>
      </c>
      <c r="T8766" t="s">
        <v>46</v>
      </c>
    </row>
    <row r="8767" spans="1:20" x14ac:dyDescent="0.25">
      <c r="A8767">
        <v>9</v>
      </c>
      <c r="B8767">
        <v>255</v>
      </c>
      <c r="C8767" t="str">
        <f t="shared" si="1995"/>
        <v>13</v>
      </c>
      <c r="D8767">
        <v>6239</v>
      </c>
      <c r="E8767" t="str">
        <f t="shared" si="1993"/>
        <v>00</v>
      </c>
      <c r="F8767" t="str">
        <f>"001"</f>
        <v>001</v>
      </c>
      <c r="G8767">
        <v>9</v>
      </c>
      <c r="H8767" t="str">
        <f t="shared" si="1994"/>
        <v>24</v>
      </c>
      <c r="I8767" t="str">
        <f t="shared" si="1998"/>
        <v>0</v>
      </c>
      <c r="J8767" t="str">
        <f t="shared" si="1992"/>
        <v>00</v>
      </c>
      <c r="K8767">
        <v>20181214</v>
      </c>
      <c r="L8767" t="str">
        <f t="shared" ref="L8767:L8790" si="1999">"075012"</f>
        <v>075012</v>
      </c>
      <c r="M8767" t="str">
        <f t="shared" ref="M8767:M8802" si="2000">"27900"</f>
        <v>27900</v>
      </c>
      <c r="N8767" t="s">
        <v>1490</v>
      </c>
      <c r="O8767" s="1">
        <v>3282.58</v>
      </c>
      <c r="P8767">
        <v>20181212</v>
      </c>
      <c r="Q8767" t="s">
        <v>6898</v>
      </c>
      <c r="R8767" t="s">
        <v>6899</v>
      </c>
      <c r="S8767" t="s">
        <v>6883</v>
      </c>
      <c r="T8767" t="s">
        <v>301</v>
      </c>
    </row>
    <row r="8768" spans="1:20" x14ac:dyDescent="0.25">
      <c r="A8768">
        <v>9</v>
      </c>
      <c r="B8768">
        <v>255</v>
      </c>
      <c r="C8768" t="str">
        <f t="shared" si="1995"/>
        <v>13</v>
      </c>
      <c r="D8768">
        <v>6239</v>
      </c>
      <c r="E8768" t="str">
        <f t="shared" si="1993"/>
        <v>00</v>
      </c>
      <c r="F8768" t="str">
        <f>"001"</f>
        <v>001</v>
      </c>
      <c r="G8768">
        <v>9</v>
      </c>
      <c r="H8768" t="str">
        <f t="shared" si="1994"/>
        <v>24</v>
      </c>
      <c r="I8768" t="str">
        <f t="shared" si="1998"/>
        <v>0</v>
      </c>
      <c r="J8768" t="str">
        <f t="shared" si="1992"/>
        <v>00</v>
      </c>
      <c r="K8768">
        <v>20181214</v>
      </c>
      <c r="L8768" t="str">
        <f t="shared" si="1999"/>
        <v>075012</v>
      </c>
      <c r="M8768" t="str">
        <f t="shared" si="2000"/>
        <v>27900</v>
      </c>
      <c r="N8768" t="s">
        <v>1490</v>
      </c>
      <c r="O8768">
        <v>468.75</v>
      </c>
      <c r="P8768">
        <v>20181212</v>
      </c>
      <c r="Q8768" t="s">
        <v>6898</v>
      </c>
      <c r="R8768" t="s">
        <v>6900</v>
      </c>
      <c r="S8768" t="s">
        <v>6883</v>
      </c>
      <c r="T8768" t="s">
        <v>301</v>
      </c>
    </row>
    <row r="8769" spans="1:20" x14ac:dyDescent="0.25">
      <c r="A8769">
        <v>9</v>
      </c>
      <c r="B8769">
        <v>255</v>
      </c>
      <c r="C8769" t="str">
        <f t="shared" si="1995"/>
        <v>13</v>
      </c>
      <c r="D8769">
        <v>6239</v>
      </c>
      <c r="E8769" t="str">
        <f t="shared" si="1993"/>
        <v>00</v>
      </c>
      <c r="F8769" t="str">
        <f>"001"</f>
        <v>001</v>
      </c>
      <c r="G8769">
        <v>9</v>
      </c>
      <c r="H8769" t="str">
        <f t="shared" si="1994"/>
        <v>24</v>
      </c>
      <c r="I8769" t="str">
        <f t="shared" si="1998"/>
        <v>0</v>
      </c>
      <c r="J8769" t="str">
        <f t="shared" si="1992"/>
        <v>00</v>
      </c>
      <c r="K8769">
        <v>20181214</v>
      </c>
      <c r="L8769" t="str">
        <f t="shared" si="1999"/>
        <v>075012</v>
      </c>
      <c r="M8769" t="str">
        <f t="shared" si="2000"/>
        <v>27900</v>
      </c>
      <c r="N8769" t="s">
        <v>1490</v>
      </c>
      <c r="O8769" s="1">
        <v>1902.18</v>
      </c>
      <c r="P8769">
        <v>20181212</v>
      </c>
      <c r="Q8769" t="s">
        <v>6898</v>
      </c>
      <c r="R8769" t="s">
        <v>6901</v>
      </c>
      <c r="S8769" t="s">
        <v>6883</v>
      </c>
      <c r="T8769" t="s">
        <v>301</v>
      </c>
    </row>
    <row r="8770" spans="1:20" x14ac:dyDescent="0.25">
      <c r="A8770">
        <v>9</v>
      </c>
      <c r="B8770">
        <v>255</v>
      </c>
      <c r="C8770" t="str">
        <f t="shared" si="1995"/>
        <v>13</v>
      </c>
      <c r="D8770">
        <v>6239</v>
      </c>
      <c r="E8770" t="str">
        <f t="shared" si="1993"/>
        <v>00</v>
      </c>
      <c r="F8770" t="str">
        <f>"001"</f>
        <v>001</v>
      </c>
      <c r="G8770">
        <v>9</v>
      </c>
      <c r="H8770" t="str">
        <f t="shared" si="1994"/>
        <v>24</v>
      </c>
      <c r="I8770" t="str">
        <f t="shared" si="1998"/>
        <v>0</v>
      </c>
      <c r="J8770" t="str">
        <f t="shared" si="1992"/>
        <v>00</v>
      </c>
      <c r="K8770">
        <v>20181214</v>
      </c>
      <c r="L8770" t="str">
        <f t="shared" si="1999"/>
        <v>075012</v>
      </c>
      <c r="M8770" t="str">
        <f t="shared" si="2000"/>
        <v>27900</v>
      </c>
      <c r="N8770" t="s">
        <v>1490</v>
      </c>
      <c r="O8770" s="1">
        <v>2811.18</v>
      </c>
      <c r="P8770">
        <v>20181212</v>
      </c>
      <c r="Q8770" t="s">
        <v>6898</v>
      </c>
      <c r="R8770" t="s">
        <v>6902</v>
      </c>
      <c r="S8770" t="s">
        <v>6883</v>
      </c>
      <c r="T8770" t="s">
        <v>301</v>
      </c>
    </row>
    <row r="8771" spans="1:20" x14ac:dyDescent="0.25">
      <c r="A8771">
        <v>9</v>
      </c>
      <c r="B8771">
        <v>255</v>
      </c>
      <c r="C8771" t="str">
        <f t="shared" si="1995"/>
        <v>13</v>
      </c>
      <c r="D8771">
        <v>6239</v>
      </c>
      <c r="E8771" t="str">
        <f t="shared" si="1993"/>
        <v>00</v>
      </c>
      <c r="F8771" t="str">
        <f>"001"</f>
        <v>001</v>
      </c>
      <c r="G8771">
        <v>9</v>
      </c>
      <c r="H8771" t="str">
        <f t="shared" si="1994"/>
        <v>24</v>
      </c>
      <c r="I8771" t="str">
        <f t="shared" si="1998"/>
        <v>0</v>
      </c>
      <c r="J8771" t="str">
        <f t="shared" si="1992"/>
        <v>00</v>
      </c>
      <c r="K8771">
        <v>20181214</v>
      </c>
      <c r="L8771" t="str">
        <f t="shared" si="1999"/>
        <v>075012</v>
      </c>
      <c r="M8771" t="str">
        <f t="shared" si="2000"/>
        <v>27900</v>
      </c>
      <c r="N8771" t="s">
        <v>1490</v>
      </c>
      <c r="O8771" s="1">
        <v>3670.94</v>
      </c>
      <c r="P8771">
        <v>20181212</v>
      </c>
      <c r="Q8771" t="s">
        <v>6898</v>
      </c>
      <c r="R8771" t="s">
        <v>6903</v>
      </c>
      <c r="S8771" t="s">
        <v>6883</v>
      </c>
      <c r="T8771" t="s">
        <v>301</v>
      </c>
    </row>
    <row r="8772" spans="1:20" x14ac:dyDescent="0.25">
      <c r="A8772">
        <v>9</v>
      </c>
      <c r="B8772">
        <v>255</v>
      </c>
      <c r="C8772" t="str">
        <f t="shared" si="1995"/>
        <v>13</v>
      </c>
      <c r="D8772">
        <v>6239</v>
      </c>
      <c r="E8772" t="str">
        <f t="shared" si="1993"/>
        <v>00</v>
      </c>
      <c r="F8772" t="str">
        <f>"002"</f>
        <v>002</v>
      </c>
      <c r="G8772">
        <v>9</v>
      </c>
      <c r="H8772" t="str">
        <f t="shared" si="1994"/>
        <v>24</v>
      </c>
      <c r="I8772" t="str">
        <f t="shared" si="1998"/>
        <v>0</v>
      </c>
      <c r="J8772" t="str">
        <f t="shared" si="1992"/>
        <v>00</v>
      </c>
      <c r="K8772">
        <v>20181214</v>
      </c>
      <c r="L8772" t="str">
        <f t="shared" si="1999"/>
        <v>075012</v>
      </c>
      <c r="M8772" t="str">
        <f t="shared" si="2000"/>
        <v>27900</v>
      </c>
      <c r="N8772" t="s">
        <v>1490</v>
      </c>
      <c r="O8772">
        <v>64.040000000000006</v>
      </c>
      <c r="P8772">
        <v>20181212</v>
      </c>
      <c r="Q8772" t="s">
        <v>6904</v>
      </c>
      <c r="R8772" t="s">
        <v>6899</v>
      </c>
      <c r="S8772" t="s">
        <v>6883</v>
      </c>
      <c r="T8772" t="s">
        <v>1485</v>
      </c>
    </row>
    <row r="8773" spans="1:20" x14ac:dyDescent="0.25">
      <c r="A8773">
        <v>9</v>
      </c>
      <c r="B8773">
        <v>255</v>
      </c>
      <c r="C8773" t="str">
        <f t="shared" si="1995"/>
        <v>13</v>
      </c>
      <c r="D8773">
        <v>6239</v>
      </c>
      <c r="E8773" t="str">
        <f t="shared" si="1993"/>
        <v>00</v>
      </c>
      <c r="F8773" t="str">
        <f>"002"</f>
        <v>002</v>
      </c>
      <c r="G8773">
        <v>9</v>
      </c>
      <c r="H8773" t="str">
        <f t="shared" si="1994"/>
        <v>24</v>
      </c>
      <c r="I8773" t="str">
        <f t="shared" si="1998"/>
        <v>0</v>
      </c>
      <c r="J8773" t="str">
        <f t="shared" si="1992"/>
        <v>00</v>
      </c>
      <c r="K8773">
        <v>20181214</v>
      </c>
      <c r="L8773" t="str">
        <f t="shared" si="1999"/>
        <v>075012</v>
      </c>
      <c r="M8773" t="str">
        <f t="shared" si="2000"/>
        <v>27900</v>
      </c>
      <c r="N8773" t="s">
        <v>1490</v>
      </c>
      <c r="O8773">
        <v>54.84</v>
      </c>
      <c r="P8773">
        <v>20181212</v>
      </c>
      <c r="Q8773" t="s">
        <v>6904</v>
      </c>
      <c r="R8773" t="s">
        <v>6902</v>
      </c>
      <c r="S8773" t="s">
        <v>6883</v>
      </c>
      <c r="T8773" t="s">
        <v>1485</v>
      </c>
    </row>
    <row r="8774" spans="1:20" x14ac:dyDescent="0.25">
      <c r="A8774">
        <v>9</v>
      </c>
      <c r="B8774">
        <v>255</v>
      </c>
      <c r="C8774" t="str">
        <f t="shared" si="1995"/>
        <v>13</v>
      </c>
      <c r="D8774">
        <v>6239</v>
      </c>
      <c r="E8774" t="str">
        <f t="shared" si="1993"/>
        <v>00</v>
      </c>
      <c r="F8774" t="str">
        <f>"002"</f>
        <v>002</v>
      </c>
      <c r="G8774">
        <v>9</v>
      </c>
      <c r="H8774" t="str">
        <f t="shared" si="1994"/>
        <v>24</v>
      </c>
      <c r="I8774" t="str">
        <f t="shared" si="1998"/>
        <v>0</v>
      </c>
      <c r="J8774" t="str">
        <f t="shared" si="1992"/>
        <v>00</v>
      </c>
      <c r="K8774">
        <v>20181214</v>
      </c>
      <c r="L8774" t="str">
        <f t="shared" si="1999"/>
        <v>075012</v>
      </c>
      <c r="M8774" t="str">
        <f t="shared" si="2000"/>
        <v>27900</v>
      </c>
      <c r="N8774" t="s">
        <v>1490</v>
      </c>
      <c r="O8774">
        <v>71.61</v>
      </c>
      <c r="P8774">
        <v>20181212</v>
      </c>
      <c r="Q8774" t="s">
        <v>6904</v>
      </c>
      <c r="R8774" t="s">
        <v>6903</v>
      </c>
      <c r="S8774" t="s">
        <v>6883</v>
      </c>
      <c r="T8774" t="s">
        <v>1485</v>
      </c>
    </row>
    <row r="8775" spans="1:20" x14ac:dyDescent="0.25">
      <c r="A8775">
        <v>9</v>
      </c>
      <c r="B8775">
        <v>255</v>
      </c>
      <c r="C8775" t="str">
        <f t="shared" si="1995"/>
        <v>13</v>
      </c>
      <c r="D8775">
        <v>6239</v>
      </c>
      <c r="E8775" t="str">
        <f t="shared" si="1993"/>
        <v>00</v>
      </c>
      <c r="F8775" t="str">
        <f>"041"</f>
        <v>041</v>
      </c>
      <c r="G8775">
        <v>9</v>
      </c>
      <c r="H8775" t="str">
        <f t="shared" si="1994"/>
        <v>24</v>
      </c>
      <c r="I8775" t="str">
        <f t="shared" si="1998"/>
        <v>0</v>
      </c>
      <c r="J8775" t="str">
        <f t="shared" si="1992"/>
        <v>00</v>
      </c>
      <c r="K8775">
        <v>20181214</v>
      </c>
      <c r="L8775" t="str">
        <f t="shared" si="1999"/>
        <v>075012</v>
      </c>
      <c r="M8775" t="str">
        <f t="shared" si="2000"/>
        <v>27900</v>
      </c>
      <c r="N8775" t="s">
        <v>1490</v>
      </c>
      <c r="O8775" s="1">
        <v>2489.08</v>
      </c>
      <c r="P8775">
        <v>20181212</v>
      </c>
      <c r="Q8775" t="s">
        <v>6905</v>
      </c>
      <c r="R8775" t="s">
        <v>6899</v>
      </c>
      <c r="S8775" t="s">
        <v>6883</v>
      </c>
      <c r="T8775" t="s">
        <v>106</v>
      </c>
    </row>
    <row r="8776" spans="1:20" x14ac:dyDescent="0.25">
      <c r="A8776">
        <v>9</v>
      </c>
      <c r="B8776">
        <v>255</v>
      </c>
      <c r="C8776" t="str">
        <f t="shared" si="1995"/>
        <v>13</v>
      </c>
      <c r="D8776">
        <v>6239</v>
      </c>
      <c r="E8776" t="str">
        <f t="shared" ref="E8776:E8807" si="2001">"00"</f>
        <v>00</v>
      </c>
      <c r="F8776" t="str">
        <f>"041"</f>
        <v>041</v>
      </c>
      <c r="G8776">
        <v>9</v>
      </c>
      <c r="H8776" t="str">
        <f t="shared" si="1994"/>
        <v>24</v>
      </c>
      <c r="I8776" t="str">
        <f t="shared" si="1998"/>
        <v>0</v>
      </c>
      <c r="J8776" t="str">
        <f t="shared" si="1992"/>
        <v>00</v>
      </c>
      <c r="K8776">
        <v>20181214</v>
      </c>
      <c r="L8776" t="str">
        <f t="shared" si="1999"/>
        <v>075012</v>
      </c>
      <c r="M8776" t="str">
        <f t="shared" si="2000"/>
        <v>27900</v>
      </c>
      <c r="N8776" t="s">
        <v>1490</v>
      </c>
      <c r="O8776">
        <v>468.75</v>
      </c>
      <c r="P8776">
        <v>20181212</v>
      </c>
      <c r="Q8776" t="s">
        <v>6905</v>
      </c>
      <c r="R8776" t="s">
        <v>6900</v>
      </c>
      <c r="S8776" t="s">
        <v>6883</v>
      </c>
      <c r="T8776" t="s">
        <v>106</v>
      </c>
    </row>
    <row r="8777" spans="1:20" x14ac:dyDescent="0.25">
      <c r="A8777">
        <v>9</v>
      </c>
      <c r="B8777">
        <v>255</v>
      </c>
      <c r="C8777" t="str">
        <f t="shared" si="1995"/>
        <v>13</v>
      </c>
      <c r="D8777">
        <v>6239</v>
      </c>
      <c r="E8777" t="str">
        <f t="shared" si="2001"/>
        <v>00</v>
      </c>
      <c r="F8777" t="str">
        <f>"041"</f>
        <v>041</v>
      </c>
      <c r="G8777">
        <v>9</v>
      </c>
      <c r="H8777" t="str">
        <f t="shared" si="1994"/>
        <v>24</v>
      </c>
      <c r="I8777" t="str">
        <f t="shared" si="1998"/>
        <v>0</v>
      </c>
      <c r="J8777" t="str">
        <f t="shared" si="1992"/>
        <v>00</v>
      </c>
      <c r="K8777">
        <v>20181214</v>
      </c>
      <c r="L8777" t="str">
        <f t="shared" si="1999"/>
        <v>075012</v>
      </c>
      <c r="M8777" t="str">
        <f t="shared" si="2000"/>
        <v>27900</v>
      </c>
      <c r="N8777" t="s">
        <v>1490</v>
      </c>
      <c r="O8777" s="1">
        <v>1414.78</v>
      </c>
      <c r="P8777">
        <v>20181212</v>
      </c>
      <c r="Q8777" t="s">
        <v>6905</v>
      </c>
      <c r="R8777" t="s">
        <v>6901</v>
      </c>
      <c r="S8777" t="s">
        <v>6883</v>
      </c>
      <c r="T8777" t="s">
        <v>106</v>
      </c>
    </row>
    <row r="8778" spans="1:20" x14ac:dyDescent="0.25">
      <c r="A8778">
        <v>9</v>
      </c>
      <c r="B8778">
        <v>255</v>
      </c>
      <c r="C8778" t="str">
        <f t="shared" si="1995"/>
        <v>13</v>
      </c>
      <c r="D8778">
        <v>6239</v>
      </c>
      <c r="E8778" t="str">
        <f t="shared" si="2001"/>
        <v>00</v>
      </c>
      <c r="F8778" t="str">
        <f>"041"</f>
        <v>041</v>
      </c>
      <c r="G8778">
        <v>9</v>
      </c>
      <c r="H8778" t="str">
        <f t="shared" si="1994"/>
        <v>24</v>
      </c>
      <c r="I8778" t="str">
        <f t="shared" si="1998"/>
        <v>0</v>
      </c>
      <c r="J8778" t="str">
        <f t="shared" si="1992"/>
        <v>00</v>
      </c>
      <c r="K8778">
        <v>20181214</v>
      </c>
      <c r="L8778" t="str">
        <f t="shared" si="1999"/>
        <v>075012</v>
      </c>
      <c r="M8778" t="str">
        <f t="shared" si="2000"/>
        <v>27900</v>
      </c>
      <c r="N8778" t="s">
        <v>1490</v>
      </c>
      <c r="O8778" s="1">
        <v>2131.63</v>
      </c>
      <c r="P8778">
        <v>20181212</v>
      </c>
      <c r="Q8778" t="s">
        <v>6905</v>
      </c>
      <c r="R8778" t="s">
        <v>6902</v>
      </c>
      <c r="S8778" t="s">
        <v>6883</v>
      </c>
      <c r="T8778" t="s">
        <v>106</v>
      </c>
    </row>
    <row r="8779" spans="1:20" x14ac:dyDescent="0.25">
      <c r="A8779">
        <v>9</v>
      </c>
      <c r="B8779">
        <v>255</v>
      </c>
      <c r="C8779" t="str">
        <f t="shared" si="1995"/>
        <v>13</v>
      </c>
      <c r="D8779">
        <v>6239</v>
      </c>
      <c r="E8779" t="str">
        <f t="shared" si="2001"/>
        <v>00</v>
      </c>
      <c r="F8779" t="str">
        <f>"041"</f>
        <v>041</v>
      </c>
      <c r="G8779">
        <v>9</v>
      </c>
      <c r="H8779" t="str">
        <f t="shared" si="1994"/>
        <v>24</v>
      </c>
      <c r="I8779" t="str">
        <f t="shared" si="1998"/>
        <v>0</v>
      </c>
      <c r="J8779" t="str">
        <f t="shared" si="1992"/>
        <v>00</v>
      </c>
      <c r="K8779">
        <v>20181214</v>
      </c>
      <c r="L8779" t="str">
        <f t="shared" si="1999"/>
        <v>075012</v>
      </c>
      <c r="M8779" t="str">
        <f t="shared" si="2000"/>
        <v>27900</v>
      </c>
      <c r="N8779" t="s">
        <v>1490</v>
      </c>
      <c r="O8779" s="1">
        <v>2783.56</v>
      </c>
      <c r="P8779">
        <v>20181212</v>
      </c>
      <c r="Q8779" t="s">
        <v>6905</v>
      </c>
      <c r="R8779" t="s">
        <v>6903</v>
      </c>
      <c r="S8779" t="s">
        <v>6883</v>
      </c>
      <c r="T8779" t="s">
        <v>106</v>
      </c>
    </row>
    <row r="8780" spans="1:20" x14ac:dyDescent="0.25">
      <c r="A8780">
        <v>9</v>
      </c>
      <c r="B8780">
        <v>255</v>
      </c>
      <c r="C8780" t="str">
        <f t="shared" si="1995"/>
        <v>13</v>
      </c>
      <c r="D8780">
        <v>6239</v>
      </c>
      <c r="E8780" t="str">
        <f t="shared" si="2001"/>
        <v>00</v>
      </c>
      <c r="F8780" t="str">
        <f>"101"</f>
        <v>101</v>
      </c>
      <c r="G8780">
        <v>9</v>
      </c>
      <c r="H8780" t="str">
        <f t="shared" si="1994"/>
        <v>24</v>
      </c>
      <c r="I8780" t="str">
        <f t="shared" si="1998"/>
        <v>0</v>
      </c>
      <c r="J8780" t="str">
        <f t="shared" si="1992"/>
        <v>00</v>
      </c>
      <c r="K8780">
        <v>20181214</v>
      </c>
      <c r="L8780" t="str">
        <f t="shared" si="1999"/>
        <v>075012</v>
      </c>
      <c r="M8780" t="str">
        <f t="shared" si="2000"/>
        <v>27900</v>
      </c>
      <c r="N8780" t="s">
        <v>1490</v>
      </c>
      <c r="O8780" s="1">
        <v>2489.08</v>
      </c>
      <c r="P8780">
        <v>20181212</v>
      </c>
      <c r="Q8780" t="s">
        <v>6906</v>
      </c>
      <c r="R8780" t="s">
        <v>6899</v>
      </c>
      <c r="S8780" t="s">
        <v>6883</v>
      </c>
      <c r="T8780" t="s">
        <v>1479</v>
      </c>
    </row>
    <row r="8781" spans="1:20" x14ac:dyDescent="0.25">
      <c r="A8781">
        <v>9</v>
      </c>
      <c r="B8781">
        <v>255</v>
      </c>
      <c r="C8781" t="str">
        <f t="shared" si="1995"/>
        <v>13</v>
      </c>
      <c r="D8781">
        <v>6239</v>
      </c>
      <c r="E8781" t="str">
        <f t="shared" si="2001"/>
        <v>00</v>
      </c>
      <c r="F8781" t="str">
        <f>"101"</f>
        <v>101</v>
      </c>
      <c r="G8781">
        <v>9</v>
      </c>
      <c r="H8781" t="str">
        <f t="shared" ref="H8781:H8815" si="2002">"24"</f>
        <v>24</v>
      </c>
      <c r="I8781" t="str">
        <f t="shared" si="1998"/>
        <v>0</v>
      </c>
      <c r="J8781" t="str">
        <f t="shared" si="1992"/>
        <v>00</v>
      </c>
      <c r="K8781">
        <v>20181214</v>
      </c>
      <c r="L8781" t="str">
        <f t="shared" si="1999"/>
        <v>075012</v>
      </c>
      <c r="M8781" t="str">
        <f t="shared" si="2000"/>
        <v>27900</v>
      </c>
      <c r="N8781" t="s">
        <v>1490</v>
      </c>
      <c r="O8781">
        <v>468.75</v>
      </c>
      <c r="P8781">
        <v>20181212</v>
      </c>
      <c r="Q8781" t="s">
        <v>6906</v>
      </c>
      <c r="R8781" t="s">
        <v>6900</v>
      </c>
      <c r="S8781" t="s">
        <v>6883</v>
      </c>
      <c r="T8781" t="s">
        <v>1479</v>
      </c>
    </row>
    <row r="8782" spans="1:20" x14ac:dyDescent="0.25">
      <c r="A8782">
        <v>9</v>
      </c>
      <c r="B8782">
        <v>255</v>
      </c>
      <c r="C8782" t="str">
        <f t="shared" si="1995"/>
        <v>13</v>
      </c>
      <c r="D8782">
        <v>6239</v>
      </c>
      <c r="E8782" t="str">
        <f t="shared" si="2001"/>
        <v>00</v>
      </c>
      <c r="F8782" t="str">
        <f>"101"</f>
        <v>101</v>
      </c>
      <c r="G8782">
        <v>9</v>
      </c>
      <c r="H8782" t="str">
        <f t="shared" si="2002"/>
        <v>24</v>
      </c>
      <c r="I8782" t="str">
        <f t="shared" si="1998"/>
        <v>0</v>
      </c>
      <c r="J8782" t="str">
        <f t="shared" si="1992"/>
        <v>00</v>
      </c>
      <c r="K8782">
        <v>20181214</v>
      </c>
      <c r="L8782" t="str">
        <f t="shared" si="1999"/>
        <v>075012</v>
      </c>
      <c r="M8782" t="str">
        <f t="shared" si="2000"/>
        <v>27900</v>
      </c>
      <c r="N8782" t="s">
        <v>1490</v>
      </c>
      <c r="O8782" s="1">
        <v>1414.78</v>
      </c>
      <c r="P8782">
        <v>20181212</v>
      </c>
      <c r="Q8782" t="s">
        <v>6906</v>
      </c>
      <c r="R8782" t="s">
        <v>6901</v>
      </c>
      <c r="S8782" t="s">
        <v>6883</v>
      </c>
      <c r="T8782" t="s">
        <v>1479</v>
      </c>
    </row>
    <row r="8783" spans="1:20" x14ac:dyDescent="0.25">
      <c r="A8783">
        <v>9</v>
      </c>
      <c r="B8783">
        <v>255</v>
      </c>
      <c r="C8783" t="str">
        <f t="shared" si="1995"/>
        <v>13</v>
      </c>
      <c r="D8783">
        <v>6239</v>
      </c>
      <c r="E8783" t="str">
        <f t="shared" si="2001"/>
        <v>00</v>
      </c>
      <c r="F8783" t="str">
        <f>"101"</f>
        <v>101</v>
      </c>
      <c r="G8783">
        <v>9</v>
      </c>
      <c r="H8783" t="str">
        <f t="shared" si="2002"/>
        <v>24</v>
      </c>
      <c r="I8783" t="str">
        <f t="shared" si="1998"/>
        <v>0</v>
      </c>
      <c r="J8783" t="str">
        <f t="shared" si="1992"/>
        <v>00</v>
      </c>
      <c r="K8783">
        <v>20181214</v>
      </c>
      <c r="L8783" t="str">
        <f t="shared" si="1999"/>
        <v>075012</v>
      </c>
      <c r="M8783" t="str">
        <f t="shared" si="2000"/>
        <v>27900</v>
      </c>
      <c r="N8783" t="s">
        <v>1490</v>
      </c>
      <c r="O8783" s="1">
        <v>2131.63</v>
      </c>
      <c r="P8783">
        <v>20181212</v>
      </c>
      <c r="Q8783" t="s">
        <v>6906</v>
      </c>
      <c r="R8783" t="s">
        <v>6902</v>
      </c>
      <c r="S8783" t="s">
        <v>6883</v>
      </c>
      <c r="T8783" t="s">
        <v>1479</v>
      </c>
    </row>
    <row r="8784" spans="1:20" x14ac:dyDescent="0.25">
      <c r="A8784">
        <v>9</v>
      </c>
      <c r="B8784">
        <v>255</v>
      </c>
      <c r="C8784" t="str">
        <f t="shared" si="1995"/>
        <v>13</v>
      </c>
      <c r="D8784">
        <v>6239</v>
      </c>
      <c r="E8784" t="str">
        <f t="shared" si="2001"/>
        <v>00</v>
      </c>
      <c r="F8784" t="str">
        <f>"101"</f>
        <v>101</v>
      </c>
      <c r="G8784">
        <v>9</v>
      </c>
      <c r="H8784" t="str">
        <f t="shared" si="2002"/>
        <v>24</v>
      </c>
      <c r="I8784" t="str">
        <f t="shared" si="1998"/>
        <v>0</v>
      </c>
      <c r="J8784" t="str">
        <f t="shared" ref="J8784:J8847" si="2003">"00"</f>
        <v>00</v>
      </c>
      <c r="K8784">
        <v>20181214</v>
      </c>
      <c r="L8784" t="str">
        <f t="shared" si="1999"/>
        <v>075012</v>
      </c>
      <c r="M8784" t="str">
        <f t="shared" si="2000"/>
        <v>27900</v>
      </c>
      <c r="N8784" t="s">
        <v>1490</v>
      </c>
      <c r="O8784" s="1">
        <v>2783.56</v>
      </c>
      <c r="P8784">
        <v>20181212</v>
      </c>
      <c r="Q8784" t="s">
        <v>6906</v>
      </c>
      <c r="R8784" t="s">
        <v>6903</v>
      </c>
      <c r="S8784" t="s">
        <v>6883</v>
      </c>
      <c r="T8784" t="s">
        <v>1479</v>
      </c>
    </row>
    <row r="8785" spans="1:20" x14ac:dyDescent="0.25">
      <c r="A8785">
        <v>9</v>
      </c>
      <c r="B8785">
        <v>255</v>
      </c>
      <c r="C8785" t="str">
        <f t="shared" si="1995"/>
        <v>13</v>
      </c>
      <c r="D8785">
        <v>6239</v>
      </c>
      <c r="E8785" t="str">
        <f t="shared" si="2001"/>
        <v>00</v>
      </c>
      <c r="F8785" t="str">
        <f t="shared" ref="F8785:F8790" si="2004">"104"</f>
        <v>104</v>
      </c>
      <c r="G8785">
        <v>9</v>
      </c>
      <c r="H8785" t="str">
        <f t="shared" si="2002"/>
        <v>24</v>
      </c>
      <c r="I8785" t="str">
        <f t="shared" si="1998"/>
        <v>0</v>
      </c>
      <c r="J8785" t="str">
        <f t="shared" si="2003"/>
        <v>00</v>
      </c>
      <c r="K8785">
        <v>20181214</v>
      </c>
      <c r="L8785" t="str">
        <f t="shared" si="1999"/>
        <v>075012</v>
      </c>
      <c r="M8785" t="str">
        <f t="shared" si="2000"/>
        <v>27900</v>
      </c>
      <c r="N8785" t="s">
        <v>1490</v>
      </c>
      <c r="O8785" s="1">
        <v>2500.2199999999998</v>
      </c>
      <c r="P8785">
        <v>20181212</v>
      </c>
      <c r="Q8785" t="s">
        <v>6907</v>
      </c>
      <c r="R8785" t="s">
        <v>6899</v>
      </c>
      <c r="S8785" t="s">
        <v>6883</v>
      </c>
      <c r="T8785" t="s">
        <v>46</v>
      </c>
    </row>
    <row r="8786" spans="1:20" x14ac:dyDescent="0.25">
      <c r="A8786">
        <v>9</v>
      </c>
      <c r="B8786">
        <v>255</v>
      </c>
      <c r="C8786" t="str">
        <f t="shared" si="1995"/>
        <v>13</v>
      </c>
      <c r="D8786">
        <v>6239</v>
      </c>
      <c r="E8786" t="str">
        <f t="shared" si="2001"/>
        <v>00</v>
      </c>
      <c r="F8786" t="str">
        <f t="shared" si="2004"/>
        <v>104</v>
      </c>
      <c r="G8786">
        <v>9</v>
      </c>
      <c r="H8786" t="str">
        <f t="shared" si="2002"/>
        <v>24</v>
      </c>
      <c r="I8786" t="str">
        <f t="shared" si="1998"/>
        <v>0</v>
      </c>
      <c r="J8786" t="str">
        <f t="shared" si="2003"/>
        <v>00</v>
      </c>
      <c r="K8786">
        <v>20181214</v>
      </c>
      <c r="L8786" t="str">
        <f t="shared" si="1999"/>
        <v>075012</v>
      </c>
      <c r="M8786" t="str">
        <f t="shared" si="2000"/>
        <v>27900</v>
      </c>
      <c r="N8786" t="s">
        <v>1490</v>
      </c>
      <c r="O8786">
        <v>468.75</v>
      </c>
      <c r="P8786">
        <v>20181212</v>
      </c>
      <c r="Q8786" t="s">
        <v>6907</v>
      </c>
      <c r="R8786" t="s">
        <v>6900</v>
      </c>
      <c r="S8786" t="s">
        <v>6883</v>
      </c>
      <c r="T8786" t="s">
        <v>46</v>
      </c>
    </row>
    <row r="8787" spans="1:20" x14ac:dyDescent="0.25">
      <c r="A8787">
        <v>9</v>
      </c>
      <c r="B8787">
        <v>255</v>
      </c>
      <c r="C8787" t="str">
        <f t="shared" si="1995"/>
        <v>13</v>
      </c>
      <c r="D8787">
        <v>6239</v>
      </c>
      <c r="E8787" t="str">
        <f t="shared" si="2001"/>
        <v>00</v>
      </c>
      <c r="F8787" t="str">
        <f t="shared" si="2004"/>
        <v>104</v>
      </c>
      <c r="G8787">
        <v>9</v>
      </c>
      <c r="H8787" t="str">
        <f t="shared" si="2002"/>
        <v>24</v>
      </c>
      <c r="I8787" t="str">
        <f t="shared" si="1998"/>
        <v>0</v>
      </c>
      <c r="J8787" t="str">
        <f t="shared" si="2003"/>
        <v>00</v>
      </c>
      <c r="K8787">
        <v>20181214</v>
      </c>
      <c r="L8787" t="str">
        <f t="shared" si="1999"/>
        <v>075012</v>
      </c>
      <c r="M8787" t="str">
        <f t="shared" si="2000"/>
        <v>27900</v>
      </c>
      <c r="N8787" t="s">
        <v>1490</v>
      </c>
      <c r="O8787" s="1">
        <v>1421.11</v>
      </c>
      <c r="P8787">
        <v>20181212</v>
      </c>
      <c r="Q8787" t="s">
        <v>6907</v>
      </c>
      <c r="R8787" t="s">
        <v>6901</v>
      </c>
      <c r="S8787" t="s">
        <v>6883</v>
      </c>
      <c r="T8787" t="s">
        <v>46</v>
      </c>
    </row>
    <row r="8788" spans="1:20" x14ac:dyDescent="0.25">
      <c r="A8788">
        <v>9</v>
      </c>
      <c r="B8788">
        <v>255</v>
      </c>
      <c r="C8788" t="str">
        <f t="shared" si="1995"/>
        <v>13</v>
      </c>
      <c r="D8788">
        <v>6239</v>
      </c>
      <c r="E8788" t="str">
        <f t="shared" si="2001"/>
        <v>00</v>
      </c>
      <c r="F8788" t="str">
        <f t="shared" si="2004"/>
        <v>104</v>
      </c>
      <c r="G8788">
        <v>9</v>
      </c>
      <c r="H8788" t="str">
        <f t="shared" si="2002"/>
        <v>24</v>
      </c>
      <c r="I8788" t="str">
        <f t="shared" si="1998"/>
        <v>0</v>
      </c>
      <c r="J8788" t="str">
        <f t="shared" si="2003"/>
        <v>00</v>
      </c>
      <c r="K8788">
        <v>20181214</v>
      </c>
      <c r="L8788" t="str">
        <f t="shared" si="1999"/>
        <v>075012</v>
      </c>
      <c r="M8788" t="str">
        <f t="shared" si="2000"/>
        <v>27900</v>
      </c>
      <c r="N8788" t="s">
        <v>1490</v>
      </c>
      <c r="O8788" s="1">
        <v>2141.1799999999998</v>
      </c>
      <c r="P8788">
        <v>20181212</v>
      </c>
      <c r="Q8788" t="s">
        <v>6907</v>
      </c>
      <c r="R8788" t="s">
        <v>6902</v>
      </c>
      <c r="S8788" t="s">
        <v>6883</v>
      </c>
      <c r="T8788" t="s">
        <v>46</v>
      </c>
    </row>
    <row r="8789" spans="1:20" x14ac:dyDescent="0.25">
      <c r="A8789">
        <v>9</v>
      </c>
      <c r="B8789">
        <v>255</v>
      </c>
      <c r="C8789" t="str">
        <f t="shared" si="1995"/>
        <v>13</v>
      </c>
      <c r="D8789">
        <v>6239</v>
      </c>
      <c r="E8789" t="str">
        <f t="shared" si="2001"/>
        <v>00</v>
      </c>
      <c r="F8789" t="str">
        <f t="shared" si="2004"/>
        <v>104</v>
      </c>
      <c r="G8789">
        <v>9</v>
      </c>
      <c r="H8789" t="str">
        <f t="shared" si="2002"/>
        <v>24</v>
      </c>
      <c r="I8789" t="str">
        <f t="shared" si="1998"/>
        <v>0</v>
      </c>
      <c r="J8789" t="str">
        <f t="shared" si="2003"/>
        <v>00</v>
      </c>
      <c r="K8789">
        <v>20181214</v>
      </c>
      <c r="L8789" t="str">
        <f t="shared" si="1999"/>
        <v>075012</v>
      </c>
      <c r="M8789" t="str">
        <f t="shared" si="2000"/>
        <v>27900</v>
      </c>
      <c r="N8789" t="s">
        <v>1490</v>
      </c>
      <c r="O8789" s="1">
        <v>2796.03</v>
      </c>
      <c r="P8789">
        <v>20181212</v>
      </c>
      <c r="Q8789" t="s">
        <v>6907</v>
      </c>
      <c r="R8789" t="s">
        <v>6903</v>
      </c>
      <c r="S8789" t="s">
        <v>6883</v>
      </c>
      <c r="T8789" t="s">
        <v>46</v>
      </c>
    </row>
    <row r="8790" spans="1:20" x14ac:dyDescent="0.25">
      <c r="A8790">
        <v>9</v>
      </c>
      <c r="B8790">
        <v>255</v>
      </c>
      <c r="C8790" t="str">
        <f>"23"</f>
        <v>23</v>
      </c>
      <c r="D8790">
        <v>6411</v>
      </c>
      <c r="E8790" t="str">
        <f t="shared" si="2001"/>
        <v>00</v>
      </c>
      <c r="F8790" t="str">
        <f t="shared" si="2004"/>
        <v>104</v>
      </c>
      <c r="G8790">
        <v>9</v>
      </c>
      <c r="H8790" t="str">
        <f t="shared" si="2002"/>
        <v>24</v>
      </c>
      <c r="I8790" t="str">
        <f t="shared" si="1998"/>
        <v>0</v>
      </c>
      <c r="J8790" t="str">
        <f t="shared" si="2003"/>
        <v>00</v>
      </c>
      <c r="K8790">
        <v>20181214</v>
      </c>
      <c r="L8790" t="str">
        <f t="shared" si="1999"/>
        <v>075012</v>
      </c>
      <c r="M8790" t="str">
        <f t="shared" si="2000"/>
        <v>27900</v>
      </c>
      <c r="N8790" t="s">
        <v>1490</v>
      </c>
      <c r="O8790">
        <v>75</v>
      </c>
      <c r="P8790">
        <v>20181212</v>
      </c>
      <c r="Q8790" t="s">
        <v>6908</v>
      </c>
      <c r="R8790" t="s">
        <v>3134</v>
      </c>
      <c r="S8790" t="s">
        <v>6883</v>
      </c>
      <c r="T8790" t="s">
        <v>46</v>
      </c>
    </row>
    <row r="8791" spans="1:20" x14ac:dyDescent="0.25">
      <c r="A8791">
        <v>9</v>
      </c>
      <c r="B8791">
        <v>255</v>
      </c>
      <c r="C8791" t="str">
        <f t="shared" ref="C8791:C8802" si="2005">"13"</f>
        <v>13</v>
      </c>
      <c r="D8791">
        <v>6239</v>
      </c>
      <c r="E8791" t="str">
        <f t="shared" si="2001"/>
        <v>00</v>
      </c>
      <c r="F8791" t="str">
        <f>"001"</f>
        <v>001</v>
      </c>
      <c r="G8791">
        <v>9</v>
      </c>
      <c r="H8791" t="str">
        <f t="shared" si="2002"/>
        <v>24</v>
      </c>
      <c r="I8791" t="str">
        <f t="shared" si="1998"/>
        <v>0</v>
      </c>
      <c r="J8791" t="str">
        <f t="shared" si="2003"/>
        <v>00</v>
      </c>
      <c r="K8791">
        <v>20190125</v>
      </c>
      <c r="L8791" t="str">
        <f t="shared" ref="L8791:L8800" si="2006">"075350"</f>
        <v>075350</v>
      </c>
      <c r="M8791" t="str">
        <f t="shared" si="2000"/>
        <v>27900</v>
      </c>
      <c r="N8791" t="s">
        <v>1490</v>
      </c>
      <c r="O8791" s="1">
        <v>3307.18</v>
      </c>
      <c r="P8791">
        <v>20190124</v>
      </c>
      <c r="Q8791" t="s">
        <v>6898</v>
      </c>
      <c r="R8791" t="s">
        <v>6909</v>
      </c>
      <c r="S8791" t="s">
        <v>6883</v>
      </c>
      <c r="T8791" t="s">
        <v>301</v>
      </c>
    </row>
    <row r="8792" spans="1:20" x14ac:dyDescent="0.25">
      <c r="A8792">
        <v>9</v>
      </c>
      <c r="B8792">
        <v>255</v>
      </c>
      <c r="C8792" t="str">
        <f t="shared" si="2005"/>
        <v>13</v>
      </c>
      <c r="D8792">
        <v>6239</v>
      </c>
      <c r="E8792" t="str">
        <f t="shared" si="2001"/>
        <v>00</v>
      </c>
      <c r="F8792" t="str">
        <f>"001"</f>
        <v>001</v>
      </c>
      <c r="G8792">
        <v>9</v>
      </c>
      <c r="H8792" t="str">
        <f t="shared" si="2002"/>
        <v>24</v>
      </c>
      <c r="I8792" t="str">
        <f t="shared" si="1998"/>
        <v>0</v>
      </c>
      <c r="J8792" t="str">
        <f t="shared" si="2003"/>
        <v>00</v>
      </c>
      <c r="K8792">
        <v>20190125</v>
      </c>
      <c r="L8792" t="str">
        <f t="shared" si="2006"/>
        <v>075350</v>
      </c>
      <c r="M8792" t="str">
        <f t="shared" si="2000"/>
        <v>27900</v>
      </c>
      <c r="N8792" t="s">
        <v>1490</v>
      </c>
      <c r="O8792" s="1">
        <v>2425.9299999999998</v>
      </c>
      <c r="P8792">
        <v>20190124</v>
      </c>
      <c r="Q8792" t="s">
        <v>6898</v>
      </c>
      <c r="R8792" t="s">
        <v>6910</v>
      </c>
      <c r="S8792" t="s">
        <v>6883</v>
      </c>
      <c r="T8792" t="s">
        <v>301</v>
      </c>
    </row>
    <row r="8793" spans="1:20" x14ac:dyDescent="0.25">
      <c r="A8793">
        <v>9</v>
      </c>
      <c r="B8793">
        <v>255</v>
      </c>
      <c r="C8793" t="str">
        <f t="shared" si="2005"/>
        <v>13</v>
      </c>
      <c r="D8793">
        <v>6239</v>
      </c>
      <c r="E8793" t="str">
        <f t="shared" si="2001"/>
        <v>00</v>
      </c>
      <c r="F8793" t="str">
        <f>"002"</f>
        <v>002</v>
      </c>
      <c r="G8793">
        <v>9</v>
      </c>
      <c r="H8793" t="str">
        <f t="shared" si="2002"/>
        <v>24</v>
      </c>
      <c r="I8793" t="str">
        <f t="shared" si="1998"/>
        <v>0</v>
      </c>
      <c r="J8793" t="str">
        <f t="shared" si="2003"/>
        <v>00</v>
      </c>
      <c r="K8793">
        <v>20190125</v>
      </c>
      <c r="L8793" t="str">
        <f t="shared" si="2006"/>
        <v>075350</v>
      </c>
      <c r="M8793" t="str">
        <f t="shared" si="2000"/>
        <v>27900</v>
      </c>
      <c r="N8793" t="s">
        <v>1490</v>
      </c>
      <c r="O8793">
        <v>64.510000000000005</v>
      </c>
      <c r="P8793">
        <v>20190124</v>
      </c>
      <c r="Q8793" t="s">
        <v>6904</v>
      </c>
      <c r="R8793" t="s">
        <v>6909</v>
      </c>
      <c r="S8793" t="s">
        <v>6883</v>
      </c>
      <c r="T8793" t="s">
        <v>1485</v>
      </c>
    </row>
    <row r="8794" spans="1:20" x14ac:dyDescent="0.25">
      <c r="A8794">
        <v>9</v>
      </c>
      <c r="B8794">
        <v>255</v>
      </c>
      <c r="C8794" t="str">
        <f t="shared" si="2005"/>
        <v>13</v>
      </c>
      <c r="D8794">
        <v>6239</v>
      </c>
      <c r="E8794" t="str">
        <f t="shared" si="2001"/>
        <v>00</v>
      </c>
      <c r="F8794" t="str">
        <f>"002"</f>
        <v>002</v>
      </c>
      <c r="G8794">
        <v>9</v>
      </c>
      <c r="H8794" t="str">
        <f t="shared" si="2002"/>
        <v>24</v>
      </c>
      <c r="I8794" t="str">
        <f t="shared" si="1998"/>
        <v>0</v>
      </c>
      <c r="J8794" t="str">
        <f t="shared" si="2003"/>
        <v>00</v>
      </c>
      <c r="K8794">
        <v>20190125</v>
      </c>
      <c r="L8794" t="str">
        <f t="shared" si="2006"/>
        <v>075350</v>
      </c>
      <c r="M8794" t="str">
        <f t="shared" si="2000"/>
        <v>27900</v>
      </c>
      <c r="N8794" t="s">
        <v>1490</v>
      </c>
      <c r="O8794">
        <v>47.33</v>
      </c>
      <c r="P8794">
        <v>20190124</v>
      </c>
      <c r="Q8794" t="s">
        <v>6904</v>
      </c>
      <c r="R8794" t="s">
        <v>6910</v>
      </c>
      <c r="S8794" t="s">
        <v>6883</v>
      </c>
      <c r="T8794" t="s">
        <v>1485</v>
      </c>
    </row>
    <row r="8795" spans="1:20" x14ac:dyDescent="0.25">
      <c r="A8795">
        <v>9</v>
      </c>
      <c r="B8795">
        <v>255</v>
      </c>
      <c r="C8795" t="str">
        <f t="shared" si="2005"/>
        <v>13</v>
      </c>
      <c r="D8795">
        <v>6239</v>
      </c>
      <c r="E8795" t="str">
        <f t="shared" si="2001"/>
        <v>00</v>
      </c>
      <c r="F8795" t="str">
        <f>"041"</f>
        <v>041</v>
      </c>
      <c r="G8795">
        <v>9</v>
      </c>
      <c r="H8795" t="str">
        <f t="shared" si="2002"/>
        <v>24</v>
      </c>
      <c r="I8795" t="str">
        <f t="shared" si="1998"/>
        <v>0</v>
      </c>
      <c r="J8795" t="str">
        <f t="shared" si="2003"/>
        <v>00</v>
      </c>
      <c r="K8795">
        <v>20190125</v>
      </c>
      <c r="L8795" t="str">
        <f t="shared" si="2006"/>
        <v>075350</v>
      </c>
      <c r="M8795" t="str">
        <f t="shared" si="2000"/>
        <v>27900</v>
      </c>
      <c r="N8795" t="s">
        <v>1490</v>
      </c>
      <c r="O8795" s="1">
        <v>2507.64</v>
      </c>
      <c r="P8795">
        <v>20190124</v>
      </c>
      <c r="Q8795" t="s">
        <v>6905</v>
      </c>
      <c r="R8795" t="s">
        <v>6909</v>
      </c>
      <c r="S8795" t="s">
        <v>6883</v>
      </c>
      <c r="T8795" t="s">
        <v>106</v>
      </c>
    </row>
    <row r="8796" spans="1:20" x14ac:dyDescent="0.25">
      <c r="A8796">
        <v>9</v>
      </c>
      <c r="B8796">
        <v>255</v>
      </c>
      <c r="C8796" t="str">
        <f t="shared" si="2005"/>
        <v>13</v>
      </c>
      <c r="D8796">
        <v>6239</v>
      </c>
      <c r="E8796" t="str">
        <f t="shared" si="2001"/>
        <v>00</v>
      </c>
      <c r="F8796" t="str">
        <f>"041"</f>
        <v>041</v>
      </c>
      <c r="G8796">
        <v>9</v>
      </c>
      <c r="H8796" t="str">
        <f t="shared" si="2002"/>
        <v>24</v>
      </c>
      <c r="I8796" t="str">
        <f t="shared" si="1998"/>
        <v>0</v>
      </c>
      <c r="J8796" t="str">
        <f t="shared" si="2003"/>
        <v>00</v>
      </c>
      <c r="K8796">
        <v>20190125</v>
      </c>
      <c r="L8796" t="str">
        <f t="shared" si="2006"/>
        <v>075350</v>
      </c>
      <c r="M8796" t="str">
        <f t="shared" si="2000"/>
        <v>27900</v>
      </c>
      <c r="N8796" t="s">
        <v>1490</v>
      </c>
      <c r="O8796" s="1">
        <v>1839.5</v>
      </c>
      <c r="P8796">
        <v>20190124</v>
      </c>
      <c r="Q8796" t="s">
        <v>6905</v>
      </c>
      <c r="R8796" t="s">
        <v>6910</v>
      </c>
      <c r="S8796" t="s">
        <v>6883</v>
      </c>
      <c r="T8796" t="s">
        <v>106</v>
      </c>
    </row>
    <row r="8797" spans="1:20" x14ac:dyDescent="0.25">
      <c r="A8797">
        <v>9</v>
      </c>
      <c r="B8797">
        <v>255</v>
      </c>
      <c r="C8797" t="str">
        <f t="shared" si="2005"/>
        <v>13</v>
      </c>
      <c r="D8797">
        <v>6239</v>
      </c>
      <c r="E8797" t="str">
        <f t="shared" si="2001"/>
        <v>00</v>
      </c>
      <c r="F8797" t="str">
        <f>"101"</f>
        <v>101</v>
      </c>
      <c r="G8797">
        <v>9</v>
      </c>
      <c r="H8797" t="str">
        <f t="shared" si="2002"/>
        <v>24</v>
      </c>
      <c r="I8797" t="str">
        <f t="shared" si="1998"/>
        <v>0</v>
      </c>
      <c r="J8797" t="str">
        <f t="shared" si="2003"/>
        <v>00</v>
      </c>
      <c r="K8797">
        <v>20190125</v>
      </c>
      <c r="L8797" t="str">
        <f t="shared" si="2006"/>
        <v>075350</v>
      </c>
      <c r="M8797" t="str">
        <f t="shared" si="2000"/>
        <v>27900</v>
      </c>
      <c r="N8797" t="s">
        <v>1490</v>
      </c>
      <c r="O8797" s="1">
        <v>2507.64</v>
      </c>
      <c r="P8797">
        <v>20190124</v>
      </c>
      <c r="Q8797" t="s">
        <v>6906</v>
      </c>
      <c r="R8797" t="s">
        <v>6909</v>
      </c>
      <c r="S8797" t="s">
        <v>6883</v>
      </c>
      <c r="T8797" t="s">
        <v>1479</v>
      </c>
    </row>
    <row r="8798" spans="1:20" x14ac:dyDescent="0.25">
      <c r="A8798">
        <v>9</v>
      </c>
      <c r="B8798">
        <v>255</v>
      </c>
      <c r="C8798" t="str">
        <f t="shared" si="2005"/>
        <v>13</v>
      </c>
      <c r="D8798">
        <v>6239</v>
      </c>
      <c r="E8798" t="str">
        <f t="shared" si="2001"/>
        <v>00</v>
      </c>
      <c r="F8798" t="str">
        <f>"101"</f>
        <v>101</v>
      </c>
      <c r="G8798">
        <v>9</v>
      </c>
      <c r="H8798" t="str">
        <f t="shared" si="2002"/>
        <v>24</v>
      </c>
      <c r="I8798" t="str">
        <f t="shared" si="1998"/>
        <v>0</v>
      </c>
      <c r="J8798" t="str">
        <f t="shared" si="2003"/>
        <v>00</v>
      </c>
      <c r="K8798">
        <v>20190125</v>
      </c>
      <c r="L8798" t="str">
        <f t="shared" si="2006"/>
        <v>075350</v>
      </c>
      <c r="M8798" t="str">
        <f t="shared" si="2000"/>
        <v>27900</v>
      </c>
      <c r="N8798" t="s">
        <v>1490</v>
      </c>
      <c r="O8798" s="1">
        <v>1839.5</v>
      </c>
      <c r="P8798">
        <v>20190124</v>
      </c>
      <c r="Q8798" t="s">
        <v>6906</v>
      </c>
      <c r="R8798" t="s">
        <v>6910</v>
      </c>
      <c r="S8798" t="s">
        <v>6883</v>
      </c>
      <c r="T8798" t="s">
        <v>1479</v>
      </c>
    </row>
    <row r="8799" spans="1:20" x14ac:dyDescent="0.25">
      <c r="A8799">
        <v>9</v>
      </c>
      <c r="B8799">
        <v>255</v>
      </c>
      <c r="C8799" t="str">
        <f t="shared" si="2005"/>
        <v>13</v>
      </c>
      <c r="D8799">
        <v>6239</v>
      </c>
      <c r="E8799" t="str">
        <f t="shared" si="2001"/>
        <v>00</v>
      </c>
      <c r="F8799" t="str">
        <f>"104"</f>
        <v>104</v>
      </c>
      <c r="G8799">
        <v>9</v>
      </c>
      <c r="H8799" t="str">
        <f t="shared" si="2002"/>
        <v>24</v>
      </c>
      <c r="I8799" t="str">
        <f t="shared" si="1998"/>
        <v>0</v>
      </c>
      <c r="J8799" t="str">
        <f t="shared" si="2003"/>
        <v>00</v>
      </c>
      <c r="K8799">
        <v>20190125</v>
      </c>
      <c r="L8799" t="str">
        <f t="shared" si="2006"/>
        <v>075350</v>
      </c>
      <c r="M8799" t="str">
        <f t="shared" si="2000"/>
        <v>27900</v>
      </c>
      <c r="N8799" t="s">
        <v>1490</v>
      </c>
      <c r="O8799" s="1">
        <v>2518.73</v>
      </c>
      <c r="P8799">
        <v>20190124</v>
      </c>
      <c r="Q8799" t="s">
        <v>6907</v>
      </c>
      <c r="R8799" t="s">
        <v>6909</v>
      </c>
      <c r="S8799" t="s">
        <v>6883</v>
      </c>
      <c r="T8799" t="s">
        <v>46</v>
      </c>
    </row>
    <row r="8800" spans="1:20" x14ac:dyDescent="0.25">
      <c r="A8800">
        <v>9</v>
      </c>
      <c r="B8800">
        <v>255</v>
      </c>
      <c r="C8800" t="str">
        <f t="shared" si="2005"/>
        <v>13</v>
      </c>
      <c r="D8800">
        <v>6239</v>
      </c>
      <c r="E8800" t="str">
        <f t="shared" si="2001"/>
        <v>00</v>
      </c>
      <c r="F8800" t="str">
        <f>"104"</f>
        <v>104</v>
      </c>
      <c r="G8800">
        <v>9</v>
      </c>
      <c r="H8800" t="str">
        <f t="shared" si="2002"/>
        <v>24</v>
      </c>
      <c r="I8800" t="str">
        <f t="shared" si="1998"/>
        <v>0</v>
      </c>
      <c r="J8800" t="str">
        <f t="shared" si="2003"/>
        <v>00</v>
      </c>
      <c r="K8800">
        <v>20190125</v>
      </c>
      <c r="L8800" t="str">
        <f t="shared" si="2006"/>
        <v>075350</v>
      </c>
      <c r="M8800" t="str">
        <f t="shared" si="2000"/>
        <v>27900</v>
      </c>
      <c r="N8800" t="s">
        <v>1490</v>
      </c>
      <c r="O8800" s="1">
        <v>1847.74</v>
      </c>
      <c r="P8800">
        <v>20190124</v>
      </c>
      <c r="Q8800" t="s">
        <v>6907</v>
      </c>
      <c r="R8800" t="s">
        <v>6910</v>
      </c>
      <c r="S8800" t="s">
        <v>6883</v>
      </c>
      <c r="T8800" t="s">
        <v>46</v>
      </c>
    </row>
    <row r="8801" spans="1:20" x14ac:dyDescent="0.25">
      <c r="A8801">
        <v>9</v>
      </c>
      <c r="B8801">
        <v>255</v>
      </c>
      <c r="C8801" t="str">
        <f t="shared" si="2005"/>
        <v>13</v>
      </c>
      <c r="D8801">
        <v>6411</v>
      </c>
      <c r="E8801" t="str">
        <f t="shared" si="2001"/>
        <v>00</v>
      </c>
      <c r="F8801" t="str">
        <f>"041"</f>
        <v>041</v>
      </c>
      <c r="G8801">
        <v>9</v>
      </c>
      <c r="H8801" t="str">
        <f t="shared" si="2002"/>
        <v>24</v>
      </c>
      <c r="I8801" t="str">
        <f t="shared" si="1998"/>
        <v>0</v>
      </c>
      <c r="J8801" t="str">
        <f t="shared" si="2003"/>
        <v>00</v>
      </c>
      <c r="K8801">
        <v>20190315</v>
      </c>
      <c r="L8801" t="str">
        <f>"076057"</f>
        <v>076057</v>
      </c>
      <c r="M8801" t="str">
        <f t="shared" si="2000"/>
        <v>27900</v>
      </c>
      <c r="N8801" t="s">
        <v>1490</v>
      </c>
      <c r="O8801">
        <v>300</v>
      </c>
      <c r="P8801">
        <v>20190313</v>
      </c>
      <c r="Q8801" t="s">
        <v>6911</v>
      </c>
      <c r="R8801" t="s">
        <v>6912</v>
      </c>
      <c r="S8801" t="s">
        <v>6883</v>
      </c>
      <c r="T8801" t="s">
        <v>106</v>
      </c>
    </row>
    <row r="8802" spans="1:20" x14ac:dyDescent="0.25">
      <c r="A8802">
        <v>9</v>
      </c>
      <c r="B8802">
        <v>255</v>
      </c>
      <c r="C8802" t="str">
        <f t="shared" si="2005"/>
        <v>13</v>
      </c>
      <c r="D8802">
        <v>6411</v>
      </c>
      <c r="E8802" t="str">
        <f t="shared" si="2001"/>
        <v>00</v>
      </c>
      <c r="F8802" t="str">
        <f>"041"</f>
        <v>041</v>
      </c>
      <c r="G8802">
        <v>9</v>
      </c>
      <c r="H8802" t="str">
        <f t="shared" si="2002"/>
        <v>24</v>
      </c>
      <c r="I8802" t="str">
        <f t="shared" si="1998"/>
        <v>0</v>
      </c>
      <c r="J8802" t="str">
        <f t="shared" si="2003"/>
        <v>00</v>
      </c>
      <c r="K8802">
        <v>20190315</v>
      </c>
      <c r="L8802" t="str">
        <f>"076057"</f>
        <v>076057</v>
      </c>
      <c r="M8802" t="str">
        <f t="shared" si="2000"/>
        <v>27900</v>
      </c>
      <c r="N8802" t="s">
        <v>1490</v>
      </c>
      <c r="O8802">
        <v>425</v>
      </c>
      <c r="P8802">
        <v>20190313</v>
      </c>
      <c r="Q8802" t="s">
        <v>6911</v>
      </c>
      <c r="R8802" t="s">
        <v>1555</v>
      </c>
      <c r="S8802" t="s">
        <v>6883</v>
      </c>
      <c r="T8802" t="s">
        <v>106</v>
      </c>
    </row>
    <row r="8803" spans="1:20" x14ac:dyDescent="0.25">
      <c r="A8803">
        <v>9</v>
      </c>
      <c r="B8803">
        <v>255</v>
      </c>
      <c r="C8803" t="str">
        <f>"21"</f>
        <v>21</v>
      </c>
      <c r="D8803">
        <v>6411</v>
      </c>
      <c r="E8803" t="str">
        <f t="shared" si="2001"/>
        <v>00</v>
      </c>
      <c r="F8803" t="str">
        <f>"871"</f>
        <v>871</v>
      </c>
      <c r="G8803">
        <v>9</v>
      </c>
      <c r="H8803" t="str">
        <f t="shared" si="2002"/>
        <v>24</v>
      </c>
      <c r="I8803" t="str">
        <f t="shared" si="1998"/>
        <v>0</v>
      </c>
      <c r="J8803" t="str">
        <f t="shared" si="2003"/>
        <v>00</v>
      </c>
      <c r="K8803">
        <v>20190322</v>
      </c>
      <c r="L8803" t="str">
        <f>"076181"</f>
        <v>076181</v>
      </c>
      <c r="M8803" t="str">
        <f t="shared" ref="M8803:M8808" si="2007">"47540"</f>
        <v>47540</v>
      </c>
      <c r="N8803" t="s">
        <v>6499</v>
      </c>
      <c r="O8803">
        <v>400</v>
      </c>
      <c r="P8803">
        <v>20190320</v>
      </c>
      <c r="Q8803" t="s">
        <v>6884</v>
      </c>
      <c r="R8803" t="s">
        <v>6913</v>
      </c>
      <c r="S8803" t="s">
        <v>6883</v>
      </c>
      <c r="T8803" t="s">
        <v>1932</v>
      </c>
    </row>
    <row r="8804" spans="1:20" x14ac:dyDescent="0.25">
      <c r="A8804">
        <v>9</v>
      </c>
      <c r="B8804">
        <v>255</v>
      </c>
      <c r="C8804" t="str">
        <f>"13"</f>
        <v>13</v>
      </c>
      <c r="D8804">
        <v>6411</v>
      </c>
      <c r="E8804" t="str">
        <f t="shared" si="2001"/>
        <v>00</v>
      </c>
      <c r="F8804" t="str">
        <f>"001"</f>
        <v>001</v>
      </c>
      <c r="G8804">
        <v>9</v>
      </c>
      <c r="H8804" t="str">
        <f t="shared" si="2002"/>
        <v>24</v>
      </c>
      <c r="I8804" t="str">
        <f t="shared" si="1998"/>
        <v>0</v>
      </c>
      <c r="J8804" t="str">
        <f t="shared" si="2003"/>
        <v>00</v>
      </c>
      <c r="K8804">
        <v>20190614</v>
      </c>
      <c r="L8804" t="str">
        <f>"077181"</f>
        <v>077181</v>
      </c>
      <c r="M8804" t="str">
        <f t="shared" si="2007"/>
        <v>47540</v>
      </c>
      <c r="N8804" t="s">
        <v>6499</v>
      </c>
      <c r="O8804">
        <v>525</v>
      </c>
      <c r="P8804">
        <v>20190612</v>
      </c>
      <c r="Q8804" t="s">
        <v>6881</v>
      </c>
      <c r="R8804" t="s">
        <v>6913</v>
      </c>
      <c r="S8804" t="s">
        <v>6883</v>
      </c>
      <c r="T8804" t="s">
        <v>301</v>
      </c>
    </row>
    <row r="8805" spans="1:20" x14ac:dyDescent="0.25">
      <c r="A8805">
        <v>9</v>
      </c>
      <c r="B8805">
        <v>255</v>
      </c>
      <c r="C8805" t="str">
        <f>"13"</f>
        <v>13</v>
      </c>
      <c r="D8805">
        <v>6411</v>
      </c>
      <c r="E8805" t="str">
        <f t="shared" si="2001"/>
        <v>00</v>
      </c>
      <c r="F8805" t="str">
        <f>"002"</f>
        <v>002</v>
      </c>
      <c r="G8805">
        <v>9</v>
      </c>
      <c r="H8805" t="str">
        <f t="shared" si="2002"/>
        <v>24</v>
      </c>
      <c r="I8805" t="str">
        <f t="shared" si="1998"/>
        <v>0</v>
      </c>
      <c r="J8805" t="str">
        <f t="shared" si="2003"/>
        <v>00</v>
      </c>
      <c r="K8805">
        <v>20190614</v>
      </c>
      <c r="L8805" t="str">
        <f>"077181"</f>
        <v>077181</v>
      </c>
      <c r="M8805" t="str">
        <f t="shared" si="2007"/>
        <v>47540</v>
      </c>
      <c r="N8805" t="s">
        <v>6499</v>
      </c>
      <c r="O8805">
        <v>400</v>
      </c>
      <c r="P8805">
        <v>20190612</v>
      </c>
      <c r="Q8805" t="s">
        <v>6914</v>
      </c>
      <c r="R8805" t="s">
        <v>6913</v>
      </c>
      <c r="S8805" t="s">
        <v>6883</v>
      </c>
      <c r="T8805" t="s">
        <v>1485</v>
      </c>
    </row>
    <row r="8806" spans="1:20" x14ac:dyDescent="0.25">
      <c r="A8806">
        <v>9</v>
      </c>
      <c r="B8806">
        <v>255</v>
      </c>
      <c r="C8806" t="str">
        <f>"13"</f>
        <v>13</v>
      </c>
      <c r="D8806">
        <v>6411</v>
      </c>
      <c r="E8806" t="str">
        <f t="shared" si="2001"/>
        <v>00</v>
      </c>
      <c r="F8806" t="str">
        <f>"041"</f>
        <v>041</v>
      </c>
      <c r="G8806">
        <v>9</v>
      </c>
      <c r="H8806" t="str">
        <f t="shared" si="2002"/>
        <v>24</v>
      </c>
      <c r="I8806" t="str">
        <f t="shared" si="1998"/>
        <v>0</v>
      </c>
      <c r="J8806" t="str">
        <f t="shared" si="2003"/>
        <v>00</v>
      </c>
      <c r="K8806">
        <v>20190614</v>
      </c>
      <c r="L8806" t="str">
        <f>"077181"</f>
        <v>077181</v>
      </c>
      <c r="M8806" t="str">
        <f t="shared" si="2007"/>
        <v>47540</v>
      </c>
      <c r="N8806" t="s">
        <v>6499</v>
      </c>
      <c r="O8806">
        <v>275</v>
      </c>
      <c r="P8806">
        <v>20190612</v>
      </c>
      <c r="Q8806" t="s">
        <v>6911</v>
      </c>
      <c r="R8806" t="s">
        <v>6913</v>
      </c>
      <c r="S8806" t="s">
        <v>6883</v>
      </c>
      <c r="T8806" t="s">
        <v>106</v>
      </c>
    </row>
    <row r="8807" spans="1:20" x14ac:dyDescent="0.25">
      <c r="A8807">
        <v>9</v>
      </c>
      <c r="B8807">
        <v>255</v>
      </c>
      <c r="C8807" t="str">
        <f>"13"</f>
        <v>13</v>
      </c>
      <c r="D8807">
        <v>6411</v>
      </c>
      <c r="E8807" t="str">
        <f t="shared" si="2001"/>
        <v>00</v>
      </c>
      <c r="F8807" t="str">
        <f>"101"</f>
        <v>101</v>
      </c>
      <c r="G8807">
        <v>9</v>
      </c>
      <c r="H8807" t="str">
        <f t="shared" si="2002"/>
        <v>24</v>
      </c>
      <c r="I8807" t="str">
        <f t="shared" si="1998"/>
        <v>0</v>
      </c>
      <c r="J8807" t="str">
        <f t="shared" si="2003"/>
        <v>00</v>
      </c>
      <c r="K8807">
        <v>20190614</v>
      </c>
      <c r="L8807" t="str">
        <f>"077181"</f>
        <v>077181</v>
      </c>
      <c r="M8807" t="str">
        <f t="shared" si="2007"/>
        <v>47540</v>
      </c>
      <c r="N8807" t="s">
        <v>6499</v>
      </c>
      <c r="O8807">
        <v>400</v>
      </c>
      <c r="P8807">
        <v>20190612</v>
      </c>
      <c r="Q8807" t="s">
        <v>6915</v>
      </c>
      <c r="R8807" t="s">
        <v>6913</v>
      </c>
      <c r="S8807" t="s">
        <v>6883</v>
      </c>
      <c r="T8807" t="s">
        <v>1479</v>
      </c>
    </row>
    <row r="8808" spans="1:20" x14ac:dyDescent="0.25">
      <c r="A8808">
        <v>9</v>
      </c>
      <c r="B8808">
        <v>255</v>
      </c>
      <c r="C8808" t="str">
        <f>"13"</f>
        <v>13</v>
      </c>
      <c r="D8808">
        <v>6411</v>
      </c>
      <c r="E8808" t="str">
        <f t="shared" ref="E8808:E8815" si="2008">"00"</f>
        <v>00</v>
      </c>
      <c r="F8808" t="str">
        <f>"104"</f>
        <v>104</v>
      </c>
      <c r="G8808">
        <v>9</v>
      </c>
      <c r="H8808" t="str">
        <f t="shared" si="2002"/>
        <v>24</v>
      </c>
      <c r="I8808" t="str">
        <f t="shared" si="1998"/>
        <v>0</v>
      </c>
      <c r="J8808" t="str">
        <f t="shared" si="2003"/>
        <v>00</v>
      </c>
      <c r="K8808">
        <v>20190614</v>
      </c>
      <c r="L8808" t="str">
        <f>"077181"</f>
        <v>077181</v>
      </c>
      <c r="M8808" t="str">
        <f t="shared" si="2007"/>
        <v>47540</v>
      </c>
      <c r="N8808" t="s">
        <v>6499</v>
      </c>
      <c r="O8808">
        <v>400</v>
      </c>
      <c r="P8808">
        <v>20190612</v>
      </c>
      <c r="Q8808" t="s">
        <v>6916</v>
      </c>
      <c r="R8808" t="s">
        <v>6913</v>
      </c>
      <c r="S8808" t="s">
        <v>6883</v>
      </c>
      <c r="T8808" t="s">
        <v>46</v>
      </c>
    </row>
    <row r="8809" spans="1:20" x14ac:dyDescent="0.25">
      <c r="A8809">
        <v>9</v>
      </c>
      <c r="B8809">
        <v>255</v>
      </c>
      <c r="C8809" t="str">
        <f>"21"</f>
        <v>21</v>
      </c>
      <c r="D8809">
        <v>6399</v>
      </c>
      <c r="E8809" t="str">
        <f t="shared" si="2008"/>
        <v>00</v>
      </c>
      <c r="F8809" t="str">
        <f>"871"</f>
        <v>871</v>
      </c>
      <c r="G8809">
        <v>9</v>
      </c>
      <c r="H8809" t="str">
        <f t="shared" si="2002"/>
        <v>24</v>
      </c>
      <c r="I8809" t="str">
        <f t="shared" si="1998"/>
        <v>0</v>
      </c>
      <c r="J8809" t="str">
        <f t="shared" si="2003"/>
        <v>00</v>
      </c>
      <c r="K8809">
        <v>20190726</v>
      </c>
      <c r="L8809" t="str">
        <f>"077482"</f>
        <v>077482</v>
      </c>
      <c r="M8809" t="str">
        <f>"09170"</f>
        <v>09170</v>
      </c>
      <c r="N8809" t="s">
        <v>679</v>
      </c>
      <c r="O8809">
        <v>500</v>
      </c>
      <c r="P8809">
        <v>20190724</v>
      </c>
      <c r="Q8809" t="s">
        <v>6917</v>
      </c>
      <c r="R8809" t="s">
        <v>5883</v>
      </c>
      <c r="S8809" t="s">
        <v>6883</v>
      </c>
      <c r="T8809" t="s">
        <v>1932</v>
      </c>
    </row>
    <row r="8810" spans="1:20" x14ac:dyDescent="0.25">
      <c r="A8810">
        <v>9</v>
      </c>
      <c r="B8810">
        <v>255</v>
      </c>
      <c r="C8810" t="str">
        <f t="shared" ref="C8810:C8815" si="2009">"13"</f>
        <v>13</v>
      </c>
      <c r="D8810">
        <v>6291</v>
      </c>
      <c r="E8810" t="str">
        <f t="shared" si="2008"/>
        <v>00</v>
      </c>
      <c r="F8810" t="str">
        <f>"001"</f>
        <v>001</v>
      </c>
      <c r="G8810">
        <v>9</v>
      </c>
      <c r="H8810" t="str">
        <f t="shared" si="2002"/>
        <v>24</v>
      </c>
      <c r="I8810" t="str">
        <f t="shared" si="1998"/>
        <v>0</v>
      </c>
      <c r="J8810" t="str">
        <f t="shared" si="2003"/>
        <v>00</v>
      </c>
      <c r="K8810">
        <v>20190726</v>
      </c>
      <c r="L8810" t="str">
        <f>"077495"</f>
        <v>077495</v>
      </c>
      <c r="M8810" t="str">
        <f>"00806"</f>
        <v>00806</v>
      </c>
      <c r="N8810" t="s">
        <v>6470</v>
      </c>
      <c r="O8810" s="1">
        <v>1100</v>
      </c>
      <c r="P8810">
        <v>20190725</v>
      </c>
      <c r="Q8810" t="s">
        <v>6918</v>
      </c>
      <c r="R8810" t="s">
        <v>6919</v>
      </c>
      <c r="S8810" t="s">
        <v>6883</v>
      </c>
      <c r="T8810" t="s">
        <v>301</v>
      </c>
    </row>
    <row r="8811" spans="1:20" x14ac:dyDescent="0.25">
      <c r="A8811">
        <v>9</v>
      </c>
      <c r="B8811">
        <v>255</v>
      </c>
      <c r="C8811" t="str">
        <f t="shared" si="2009"/>
        <v>13</v>
      </c>
      <c r="D8811">
        <v>6291</v>
      </c>
      <c r="E8811" t="str">
        <f t="shared" si="2008"/>
        <v>00</v>
      </c>
      <c r="F8811" t="str">
        <f>"041"</f>
        <v>041</v>
      </c>
      <c r="G8811">
        <v>9</v>
      </c>
      <c r="H8811" t="str">
        <f t="shared" si="2002"/>
        <v>24</v>
      </c>
      <c r="I8811" t="str">
        <f t="shared" si="1998"/>
        <v>0</v>
      </c>
      <c r="J8811" t="str">
        <f t="shared" si="2003"/>
        <v>00</v>
      </c>
      <c r="K8811">
        <v>20190726</v>
      </c>
      <c r="L8811" t="str">
        <f>"077495"</f>
        <v>077495</v>
      </c>
      <c r="M8811" t="str">
        <f>"00806"</f>
        <v>00806</v>
      </c>
      <c r="N8811" t="s">
        <v>6470</v>
      </c>
      <c r="O8811" s="1">
        <v>1100</v>
      </c>
      <c r="P8811">
        <v>20190725</v>
      </c>
      <c r="Q8811" t="s">
        <v>6920</v>
      </c>
      <c r="R8811" t="s">
        <v>6919</v>
      </c>
      <c r="S8811" t="s">
        <v>6883</v>
      </c>
      <c r="T8811" t="s">
        <v>106</v>
      </c>
    </row>
    <row r="8812" spans="1:20" x14ac:dyDescent="0.25">
      <c r="A8812">
        <v>9</v>
      </c>
      <c r="B8812">
        <v>255</v>
      </c>
      <c r="C8812" t="str">
        <f t="shared" si="2009"/>
        <v>13</v>
      </c>
      <c r="D8812">
        <v>6291</v>
      </c>
      <c r="E8812" t="str">
        <f t="shared" si="2008"/>
        <v>00</v>
      </c>
      <c r="F8812" t="str">
        <f>"101"</f>
        <v>101</v>
      </c>
      <c r="G8812">
        <v>9</v>
      </c>
      <c r="H8812" t="str">
        <f t="shared" si="2002"/>
        <v>24</v>
      </c>
      <c r="I8812" t="str">
        <f t="shared" si="1998"/>
        <v>0</v>
      </c>
      <c r="J8812" t="str">
        <f t="shared" si="2003"/>
        <v>00</v>
      </c>
      <c r="K8812">
        <v>20190726</v>
      </c>
      <c r="L8812" t="str">
        <f>"077495"</f>
        <v>077495</v>
      </c>
      <c r="M8812" t="str">
        <f>"00806"</f>
        <v>00806</v>
      </c>
      <c r="N8812" t="s">
        <v>6470</v>
      </c>
      <c r="O8812" s="1">
        <v>1100</v>
      </c>
      <c r="P8812">
        <v>20190725</v>
      </c>
      <c r="Q8812" t="s">
        <v>6921</v>
      </c>
      <c r="R8812" t="s">
        <v>6919</v>
      </c>
      <c r="S8812" t="s">
        <v>6883</v>
      </c>
      <c r="T8812" t="s">
        <v>1479</v>
      </c>
    </row>
    <row r="8813" spans="1:20" x14ac:dyDescent="0.25">
      <c r="A8813">
        <v>9</v>
      </c>
      <c r="B8813">
        <v>255</v>
      </c>
      <c r="C8813" t="str">
        <f t="shared" si="2009"/>
        <v>13</v>
      </c>
      <c r="D8813">
        <v>6291</v>
      </c>
      <c r="E8813" t="str">
        <f t="shared" si="2008"/>
        <v>00</v>
      </c>
      <c r="F8813" t="str">
        <f>"104"</f>
        <v>104</v>
      </c>
      <c r="G8813">
        <v>9</v>
      </c>
      <c r="H8813" t="str">
        <f t="shared" si="2002"/>
        <v>24</v>
      </c>
      <c r="I8813" t="str">
        <f t="shared" si="1998"/>
        <v>0</v>
      </c>
      <c r="J8813" t="str">
        <f t="shared" si="2003"/>
        <v>00</v>
      </c>
      <c r="K8813">
        <v>20190726</v>
      </c>
      <c r="L8813" t="str">
        <f>"077495"</f>
        <v>077495</v>
      </c>
      <c r="M8813" t="str">
        <f>"00806"</f>
        <v>00806</v>
      </c>
      <c r="N8813" t="s">
        <v>6470</v>
      </c>
      <c r="O8813" s="1">
        <v>1100</v>
      </c>
      <c r="P8813">
        <v>20190725</v>
      </c>
      <c r="Q8813" t="s">
        <v>6922</v>
      </c>
      <c r="R8813" t="s">
        <v>6919</v>
      </c>
      <c r="S8813" t="s">
        <v>6883</v>
      </c>
      <c r="T8813" t="s">
        <v>46</v>
      </c>
    </row>
    <row r="8814" spans="1:20" x14ac:dyDescent="0.25">
      <c r="A8814">
        <v>9</v>
      </c>
      <c r="B8814">
        <v>255</v>
      </c>
      <c r="C8814" t="str">
        <f t="shared" si="2009"/>
        <v>13</v>
      </c>
      <c r="D8814">
        <v>6411</v>
      </c>
      <c r="E8814" t="str">
        <f t="shared" si="2008"/>
        <v>00</v>
      </c>
      <c r="F8814" t="str">
        <f>"001"</f>
        <v>001</v>
      </c>
      <c r="G8814">
        <v>9</v>
      </c>
      <c r="H8814" t="str">
        <f t="shared" si="2002"/>
        <v>24</v>
      </c>
      <c r="I8814" t="str">
        <f t="shared" si="1998"/>
        <v>0</v>
      </c>
      <c r="J8814" t="str">
        <f t="shared" si="2003"/>
        <v>00</v>
      </c>
      <c r="K8814">
        <v>20190823</v>
      </c>
      <c r="L8814" t="str">
        <f>"077774"</f>
        <v>077774</v>
      </c>
      <c r="M8814" t="str">
        <f>"27900"</f>
        <v>27900</v>
      </c>
      <c r="N8814" t="s">
        <v>1490</v>
      </c>
      <c r="O8814">
        <v>300</v>
      </c>
      <c r="P8814">
        <v>20190821</v>
      </c>
      <c r="Q8814" t="s">
        <v>6881</v>
      </c>
      <c r="R8814" t="s">
        <v>6923</v>
      </c>
      <c r="S8814" t="s">
        <v>6883</v>
      </c>
      <c r="T8814" t="s">
        <v>301</v>
      </c>
    </row>
    <row r="8815" spans="1:20" x14ac:dyDescent="0.25">
      <c r="A8815">
        <v>9</v>
      </c>
      <c r="B8815">
        <v>255</v>
      </c>
      <c r="C8815" t="str">
        <f t="shared" si="2009"/>
        <v>13</v>
      </c>
      <c r="D8815">
        <v>6411</v>
      </c>
      <c r="E8815" t="str">
        <f t="shared" si="2008"/>
        <v>00</v>
      </c>
      <c r="F8815" t="str">
        <f>"001"</f>
        <v>001</v>
      </c>
      <c r="G8815">
        <v>9</v>
      </c>
      <c r="H8815" t="str">
        <f t="shared" si="2002"/>
        <v>24</v>
      </c>
      <c r="I8815" t="str">
        <f t="shared" si="1998"/>
        <v>0</v>
      </c>
      <c r="J8815" t="str">
        <f t="shared" si="2003"/>
        <v>00</v>
      </c>
      <c r="K8815">
        <v>20190823</v>
      </c>
      <c r="L8815" t="str">
        <f>"077774"</f>
        <v>077774</v>
      </c>
      <c r="M8815" t="str">
        <f>"27900"</f>
        <v>27900</v>
      </c>
      <c r="N8815" t="s">
        <v>1490</v>
      </c>
      <c r="O8815">
        <v>100</v>
      </c>
      <c r="P8815">
        <v>20190821</v>
      </c>
      <c r="Q8815" t="s">
        <v>6881</v>
      </c>
      <c r="R8815" t="s">
        <v>6923</v>
      </c>
      <c r="S8815" t="s">
        <v>6883</v>
      </c>
      <c r="T8815" t="s">
        <v>301</v>
      </c>
    </row>
    <row r="8816" spans="1:20" x14ac:dyDescent="0.25">
      <c r="A8816">
        <v>9</v>
      </c>
      <c r="B8816">
        <v>287</v>
      </c>
      <c r="C8816" t="str">
        <f t="shared" ref="C8816:C8822" si="2010">"53"</f>
        <v>53</v>
      </c>
      <c r="D8816">
        <v>6299</v>
      </c>
      <c r="E8816" t="str">
        <f>"10"</f>
        <v>10</v>
      </c>
      <c r="F8816" t="str">
        <f t="shared" ref="F8816:F8822" si="2011">"880"</f>
        <v>880</v>
      </c>
      <c r="G8816">
        <v>9</v>
      </c>
      <c r="H8816" t="str">
        <f t="shared" ref="H8816:H8822" si="2012">"99"</f>
        <v>99</v>
      </c>
      <c r="I8816" t="str">
        <f t="shared" si="1998"/>
        <v>0</v>
      </c>
      <c r="J8816" t="str">
        <f t="shared" si="2003"/>
        <v>00</v>
      </c>
      <c r="K8816">
        <v>20190607</v>
      </c>
      <c r="L8816" t="str">
        <f t="shared" ref="L8816:L8821" si="2013">"077068"</f>
        <v>077068</v>
      </c>
      <c r="M8816" t="str">
        <f t="shared" ref="M8816:M8822" si="2014">"21468"</f>
        <v>21468</v>
      </c>
      <c r="N8816" t="s">
        <v>2369</v>
      </c>
      <c r="O8816" s="1">
        <v>26211.81</v>
      </c>
      <c r="P8816">
        <v>20190606</v>
      </c>
      <c r="Q8816" t="s">
        <v>6924</v>
      </c>
      <c r="R8816" t="s">
        <v>6925</v>
      </c>
      <c r="S8816" t="s">
        <v>6926</v>
      </c>
      <c r="T8816" t="s">
        <v>1866</v>
      </c>
    </row>
    <row r="8817" spans="1:20" x14ac:dyDescent="0.25">
      <c r="A8817">
        <v>9</v>
      </c>
      <c r="B8817">
        <v>287</v>
      </c>
      <c r="C8817" t="str">
        <f t="shared" si="2010"/>
        <v>53</v>
      </c>
      <c r="D8817">
        <v>6396</v>
      </c>
      <c r="E8817" t="str">
        <f>"10"</f>
        <v>10</v>
      </c>
      <c r="F8817" t="str">
        <f t="shared" si="2011"/>
        <v>880</v>
      </c>
      <c r="G8817">
        <v>9</v>
      </c>
      <c r="H8817" t="str">
        <f t="shared" si="2012"/>
        <v>99</v>
      </c>
      <c r="I8817" t="str">
        <f t="shared" si="1998"/>
        <v>0</v>
      </c>
      <c r="J8817" t="str">
        <f t="shared" si="2003"/>
        <v>00</v>
      </c>
      <c r="K8817">
        <v>20190607</v>
      </c>
      <c r="L8817" t="str">
        <f t="shared" si="2013"/>
        <v>077068</v>
      </c>
      <c r="M8817" t="str">
        <f t="shared" si="2014"/>
        <v>21468</v>
      </c>
      <c r="N8817" t="s">
        <v>2369</v>
      </c>
      <c r="O8817" s="1">
        <v>8640</v>
      </c>
      <c r="P8817">
        <v>20190606</v>
      </c>
      <c r="Q8817" t="s">
        <v>6927</v>
      </c>
      <c r="R8817" t="s">
        <v>6928</v>
      </c>
      <c r="S8817" t="s">
        <v>6926</v>
      </c>
      <c r="T8817" t="s">
        <v>1866</v>
      </c>
    </row>
    <row r="8818" spans="1:20" x14ac:dyDescent="0.25">
      <c r="A8818">
        <v>9</v>
      </c>
      <c r="B8818">
        <v>287</v>
      </c>
      <c r="C8818" t="str">
        <f t="shared" si="2010"/>
        <v>53</v>
      </c>
      <c r="D8818">
        <v>6396</v>
      </c>
      <c r="E8818" t="str">
        <f>"11"</f>
        <v>11</v>
      </c>
      <c r="F8818" t="str">
        <f t="shared" si="2011"/>
        <v>880</v>
      </c>
      <c r="G8818">
        <v>9</v>
      </c>
      <c r="H8818" t="str">
        <f t="shared" si="2012"/>
        <v>99</v>
      </c>
      <c r="I8818" t="str">
        <f t="shared" si="1998"/>
        <v>0</v>
      </c>
      <c r="J8818" t="str">
        <f t="shared" si="2003"/>
        <v>00</v>
      </c>
      <c r="K8818">
        <v>20190607</v>
      </c>
      <c r="L8818" t="str">
        <f t="shared" si="2013"/>
        <v>077068</v>
      </c>
      <c r="M8818" t="str">
        <f t="shared" si="2014"/>
        <v>21468</v>
      </c>
      <c r="N8818" t="s">
        <v>2369</v>
      </c>
      <c r="O8818" s="1">
        <v>15000</v>
      </c>
      <c r="P8818">
        <v>20190606</v>
      </c>
      <c r="Q8818" t="s">
        <v>6929</v>
      </c>
      <c r="R8818" t="s">
        <v>6930</v>
      </c>
      <c r="S8818" t="s">
        <v>6926</v>
      </c>
      <c r="T8818" t="s">
        <v>1866</v>
      </c>
    </row>
    <row r="8819" spans="1:20" x14ac:dyDescent="0.25">
      <c r="A8819">
        <v>9</v>
      </c>
      <c r="B8819">
        <v>287</v>
      </c>
      <c r="C8819" t="str">
        <f t="shared" si="2010"/>
        <v>53</v>
      </c>
      <c r="D8819">
        <v>6399</v>
      </c>
      <c r="E8819" t="str">
        <f>"10"</f>
        <v>10</v>
      </c>
      <c r="F8819" t="str">
        <f t="shared" si="2011"/>
        <v>880</v>
      </c>
      <c r="G8819">
        <v>9</v>
      </c>
      <c r="H8819" t="str">
        <f t="shared" si="2012"/>
        <v>99</v>
      </c>
      <c r="I8819" t="str">
        <f t="shared" si="1998"/>
        <v>0</v>
      </c>
      <c r="J8819" t="str">
        <f t="shared" si="2003"/>
        <v>00</v>
      </c>
      <c r="K8819">
        <v>20190607</v>
      </c>
      <c r="L8819" t="str">
        <f t="shared" si="2013"/>
        <v>077068</v>
      </c>
      <c r="M8819" t="str">
        <f t="shared" si="2014"/>
        <v>21468</v>
      </c>
      <c r="N8819" t="s">
        <v>2369</v>
      </c>
      <c r="O8819">
        <v>511.84</v>
      </c>
      <c r="P8819">
        <v>20190606</v>
      </c>
      <c r="Q8819" t="s">
        <v>6931</v>
      </c>
      <c r="R8819" t="s">
        <v>6932</v>
      </c>
      <c r="S8819" t="s">
        <v>6926</v>
      </c>
      <c r="T8819" t="s">
        <v>1866</v>
      </c>
    </row>
    <row r="8820" spans="1:20" x14ac:dyDescent="0.25">
      <c r="A8820">
        <v>9</v>
      </c>
      <c r="B8820">
        <v>287</v>
      </c>
      <c r="C8820" t="str">
        <f t="shared" si="2010"/>
        <v>53</v>
      </c>
      <c r="D8820">
        <v>6399</v>
      </c>
      <c r="E8820" t="str">
        <f>"11"</f>
        <v>11</v>
      </c>
      <c r="F8820" t="str">
        <f t="shared" si="2011"/>
        <v>880</v>
      </c>
      <c r="G8820">
        <v>9</v>
      </c>
      <c r="H8820" t="str">
        <f t="shared" si="2012"/>
        <v>99</v>
      </c>
      <c r="I8820" t="str">
        <f t="shared" si="1998"/>
        <v>0</v>
      </c>
      <c r="J8820" t="str">
        <f t="shared" si="2003"/>
        <v>00</v>
      </c>
      <c r="K8820">
        <v>20190607</v>
      </c>
      <c r="L8820" t="str">
        <f t="shared" si="2013"/>
        <v>077068</v>
      </c>
      <c r="M8820" t="str">
        <f t="shared" si="2014"/>
        <v>21468</v>
      </c>
      <c r="N8820" t="s">
        <v>2369</v>
      </c>
      <c r="O8820" s="1">
        <v>2305.44</v>
      </c>
      <c r="P8820">
        <v>20190606</v>
      </c>
      <c r="Q8820" t="s">
        <v>6933</v>
      </c>
      <c r="R8820" t="s">
        <v>6934</v>
      </c>
      <c r="S8820" t="s">
        <v>6926</v>
      </c>
      <c r="T8820" t="s">
        <v>1866</v>
      </c>
    </row>
    <row r="8821" spans="1:20" x14ac:dyDescent="0.25">
      <c r="A8821">
        <v>9</v>
      </c>
      <c r="B8821">
        <v>287</v>
      </c>
      <c r="C8821" t="str">
        <f t="shared" si="2010"/>
        <v>53</v>
      </c>
      <c r="D8821">
        <v>6639</v>
      </c>
      <c r="E8821" t="str">
        <f>"10"</f>
        <v>10</v>
      </c>
      <c r="F8821" t="str">
        <f t="shared" si="2011"/>
        <v>880</v>
      </c>
      <c r="G8821">
        <v>9</v>
      </c>
      <c r="H8821" t="str">
        <f t="shared" si="2012"/>
        <v>99</v>
      </c>
      <c r="I8821" t="str">
        <f t="shared" si="1998"/>
        <v>0</v>
      </c>
      <c r="J8821" t="str">
        <f t="shared" si="2003"/>
        <v>00</v>
      </c>
      <c r="K8821">
        <v>20190607</v>
      </c>
      <c r="L8821" t="str">
        <f t="shared" si="2013"/>
        <v>077068</v>
      </c>
      <c r="M8821" t="str">
        <f t="shared" si="2014"/>
        <v>21468</v>
      </c>
      <c r="N8821" t="s">
        <v>2369</v>
      </c>
      <c r="O8821" s="1">
        <v>47605.69</v>
      </c>
      <c r="P8821">
        <v>20190606</v>
      </c>
      <c r="Q8821" t="s">
        <v>6935</v>
      </c>
      <c r="R8821" t="s">
        <v>6936</v>
      </c>
      <c r="S8821" t="s">
        <v>6926</v>
      </c>
      <c r="T8821" t="s">
        <v>1866</v>
      </c>
    </row>
    <row r="8822" spans="1:20" x14ac:dyDescent="0.25">
      <c r="A8822">
        <v>9</v>
      </c>
      <c r="B8822">
        <v>287</v>
      </c>
      <c r="C8822" t="str">
        <f t="shared" si="2010"/>
        <v>53</v>
      </c>
      <c r="D8822">
        <v>6299</v>
      </c>
      <c r="E8822" t="str">
        <f>"11"</f>
        <v>11</v>
      </c>
      <c r="F8822" t="str">
        <f t="shared" si="2011"/>
        <v>880</v>
      </c>
      <c r="G8822">
        <v>9</v>
      </c>
      <c r="H8822" t="str">
        <f t="shared" si="2012"/>
        <v>99</v>
      </c>
      <c r="I8822" t="str">
        <f t="shared" si="1998"/>
        <v>0</v>
      </c>
      <c r="J8822" t="str">
        <f t="shared" si="2003"/>
        <v>00</v>
      </c>
      <c r="K8822">
        <v>20190726</v>
      </c>
      <c r="L8822" t="str">
        <f>"077491"</f>
        <v>077491</v>
      </c>
      <c r="M8822" t="str">
        <f t="shared" si="2014"/>
        <v>21468</v>
      </c>
      <c r="N8822" t="s">
        <v>2369</v>
      </c>
      <c r="O8822" s="1">
        <v>2065.6999999999998</v>
      </c>
      <c r="P8822">
        <v>20190724</v>
      </c>
      <c r="Q8822" t="s">
        <v>6937</v>
      </c>
      <c r="R8822" t="s">
        <v>5979</v>
      </c>
      <c r="S8822" t="s">
        <v>6926</v>
      </c>
      <c r="T8822" t="s">
        <v>1866</v>
      </c>
    </row>
    <row r="8823" spans="1:20" x14ac:dyDescent="0.25">
      <c r="A8823">
        <v>9</v>
      </c>
      <c r="B8823">
        <v>289</v>
      </c>
      <c r="C8823" t="str">
        <f>"23"</f>
        <v>23</v>
      </c>
      <c r="D8823">
        <v>6411</v>
      </c>
      <c r="E8823" t="str">
        <f t="shared" ref="E8823:E8854" si="2015">"00"</f>
        <v>00</v>
      </c>
      <c r="F8823" t="str">
        <f t="shared" ref="F8823:F8833" si="2016">"041"</f>
        <v>041</v>
      </c>
      <c r="G8823">
        <v>9</v>
      </c>
      <c r="H8823" t="str">
        <f t="shared" ref="H8823:H8854" si="2017">"30"</f>
        <v>30</v>
      </c>
      <c r="I8823" t="str">
        <f t="shared" si="1998"/>
        <v>0</v>
      </c>
      <c r="J8823" t="str">
        <f t="shared" si="2003"/>
        <v>00</v>
      </c>
      <c r="K8823">
        <v>20190222</v>
      </c>
      <c r="L8823" t="str">
        <f>"075798"</f>
        <v>075798</v>
      </c>
      <c r="M8823" t="str">
        <f>"08127"</f>
        <v>08127</v>
      </c>
      <c r="N8823" t="s">
        <v>6938</v>
      </c>
      <c r="O8823">
        <v>814.23</v>
      </c>
      <c r="P8823">
        <v>20190221</v>
      </c>
      <c r="Q8823" t="s">
        <v>6939</v>
      </c>
      <c r="R8823" t="s">
        <v>6940</v>
      </c>
      <c r="S8823" t="s">
        <v>6941</v>
      </c>
      <c r="T8823" t="s">
        <v>106</v>
      </c>
    </row>
    <row r="8824" spans="1:20" x14ac:dyDescent="0.25">
      <c r="A8824">
        <v>9</v>
      </c>
      <c r="B8824">
        <v>289</v>
      </c>
      <c r="C8824" t="str">
        <f>"23"</f>
        <v>23</v>
      </c>
      <c r="D8824">
        <v>6411</v>
      </c>
      <c r="E8824" t="str">
        <f t="shared" si="2015"/>
        <v>00</v>
      </c>
      <c r="F8824" t="str">
        <f t="shared" si="2016"/>
        <v>041</v>
      </c>
      <c r="G8824">
        <v>9</v>
      </c>
      <c r="H8824" t="str">
        <f t="shared" si="2017"/>
        <v>30</v>
      </c>
      <c r="I8824" t="str">
        <f t="shared" si="1998"/>
        <v>0</v>
      </c>
      <c r="J8824" t="str">
        <f t="shared" si="2003"/>
        <v>00</v>
      </c>
      <c r="K8824">
        <v>20190222</v>
      </c>
      <c r="L8824" t="str">
        <f>"075833"</f>
        <v>075833</v>
      </c>
      <c r="M8824" t="str">
        <f>"76505"</f>
        <v>76505</v>
      </c>
      <c r="N8824" t="s">
        <v>1823</v>
      </c>
      <c r="O8824">
        <v>265</v>
      </c>
      <c r="P8824">
        <v>20190221</v>
      </c>
      <c r="Q8824" t="s">
        <v>6939</v>
      </c>
      <c r="R8824" t="s">
        <v>6940</v>
      </c>
      <c r="S8824" t="s">
        <v>6941</v>
      </c>
      <c r="T8824" t="s">
        <v>106</v>
      </c>
    </row>
    <row r="8825" spans="1:20" x14ac:dyDescent="0.25">
      <c r="A8825">
        <v>9</v>
      </c>
      <c r="B8825">
        <v>289</v>
      </c>
      <c r="C8825" t="str">
        <f>"23"</f>
        <v>23</v>
      </c>
      <c r="D8825">
        <v>6411</v>
      </c>
      <c r="E8825" t="str">
        <f t="shared" si="2015"/>
        <v>00</v>
      </c>
      <c r="F8825" t="str">
        <f t="shared" si="2016"/>
        <v>041</v>
      </c>
      <c r="G8825">
        <v>9</v>
      </c>
      <c r="H8825" t="str">
        <f t="shared" si="2017"/>
        <v>30</v>
      </c>
      <c r="I8825" t="str">
        <f t="shared" si="1998"/>
        <v>0</v>
      </c>
      <c r="J8825" t="str">
        <f t="shared" si="2003"/>
        <v>00</v>
      </c>
      <c r="K8825">
        <v>20190329</v>
      </c>
      <c r="L8825" t="str">
        <f>"076306"</f>
        <v>076306</v>
      </c>
      <c r="M8825" t="str">
        <f>"82432"</f>
        <v>82432</v>
      </c>
      <c r="N8825" t="s">
        <v>6942</v>
      </c>
      <c r="O8825">
        <v>222.05</v>
      </c>
      <c r="P8825">
        <v>20190328</v>
      </c>
      <c r="Q8825" t="s">
        <v>6939</v>
      </c>
      <c r="R8825" t="s">
        <v>6940</v>
      </c>
      <c r="S8825" t="s">
        <v>6941</v>
      </c>
      <c r="T8825" t="s">
        <v>106</v>
      </c>
    </row>
    <row r="8826" spans="1:20" x14ac:dyDescent="0.25">
      <c r="A8826">
        <v>9</v>
      </c>
      <c r="B8826">
        <v>289</v>
      </c>
      <c r="C8826" t="str">
        <f t="shared" ref="C8826:C8833" si="2018">"13"</f>
        <v>13</v>
      </c>
      <c r="D8826">
        <v>6411</v>
      </c>
      <c r="E8826" t="str">
        <f t="shared" si="2015"/>
        <v>00</v>
      </c>
      <c r="F8826" t="str">
        <f t="shared" si="2016"/>
        <v>041</v>
      </c>
      <c r="G8826">
        <v>9</v>
      </c>
      <c r="H8826" t="str">
        <f t="shared" si="2017"/>
        <v>30</v>
      </c>
      <c r="I8826" t="str">
        <f t="shared" si="1998"/>
        <v>0</v>
      </c>
      <c r="J8826" t="str">
        <f t="shared" si="2003"/>
        <v>00</v>
      </c>
      <c r="K8826">
        <v>20190607</v>
      </c>
      <c r="L8826" t="str">
        <f t="shared" ref="L8826:L8833" si="2019">"077061"</f>
        <v>077061</v>
      </c>
      <c r="M8826" t="str">
        <f t="shared" ref="M8826:M8833" si="2020">"00828"</f>
        <v>00828</v>
      </c>
      <c r="N8826" t="s">
        <v>6943</v>
      </c>
      <c r="O8826">
        <v>295</v>
      </c>
      <c r="P8826">
        <v>20190605</v>
      </c>
      <c r="Q8826" t="s">
        <v>6944</v>
      </c>
      <c r="R8826" t="s">
        <v>6945</v>
      </c>
      <c r="S8826" t="s">
        <v>6941</v>
      </c>
      <c r="T8826" t="s">
        <v>106</v>
      </c>
    </row>
    <row r="8827" spans="1:20" x14ac:dyDescent="0.25">
      <c r="A8827">
        <v>9</v>
      </c>
      <c r="B8827">
        <v>289</v>
      </c>
      <c r="C8827" t="str">
        <f t="shared" si="2018"/>
        <v>13</v>
      </c>
      <c r="D8827">
        <v>6411</v>
      </c>
      <c r="E8827" t="str">
        <f t="shared" si="2015"/>
        <v>00</v>
      </c>
      <c r="F8827" t="str">
        <f t="shared" si="2016"/>
        <v>041</v>
      </c>
      <c r="G8827">
        <v>9</v>
      </c>
      <c r="H8827" t="str">
        <f t="shared" si="2017"/>
        <v>30</v>
      </c>
      <c r="I8827" t="str">
        <f t="shared" ref="I8827:I8890" si="2021">"0"</f>
        <v>0</v>
      </c>
      <c r="J8827" t="str">
        <f t="shared" si="2003"/>
        <v>00</v>
      </c>
      <c r="K8827">
        <v>20190607</v>
      </c>
      <c r="L8827" t="str">
        <f t="shared" si="2019"/>
        <v>077061</v>
      </c>
      <c r="M8827" t="str">
        <f t="shared" si="2020"/>
        <v>00828</v>
      </c>
      <c r="N8827" t="s">
        <v>6943</v>
      </c>
      <c r="O8827">
        <v>295</v>
      </c>
      <c r="P8827">
        <v>20190605</v>
      </c>
      <c r="Q8827" t="s">
        <v>6944</v>
      </c>
      <c r="R8827" t="s">
        <v>6945</v>
      </c>
      <c r="S8827" t="s">
        <v>6941</v>
      </c>
      <c r="T8827" t="s">
        <v>106</v>
      </c>
    </row>
    <row r="8828" spans="1:20" x14ac:dyDescent="0.25">
      <c r="A8828">
        <v>9</v>
      </c>
      <c r="B8828">
        <v>289</v>
      </c>
      <c r="C8828" t="str">
        <f t="shared" si="2018"/>
        <v>13</v>
      </c>
      <c r="D8828">
        <v>6411</v>
      </c>
      <c r="E8828" t="str">
        <f t="shared" si="2015"/>
        <v>00</v>
      </c>
      <c r="F8828" t="str">
        <f t="shared" si="2016"/>
        <v>041</v>
      </c>
      <c r="G8828">
        <v>9</v>
      </c>
      <c r="H8828" t="str">
        <f t="shared" si="2017"/>
        <v>30</v>
      </c>
      <c r="I8828" t="str">
        <f t="shared" si="2021"/>
        <v>0</v>
      </c>
      <c r="J8828" t="str">
        <f t="shared" si="2003"/>
        <v>00</v>
      </c>
      <c r="K8828">
        <v>20190607</v>
      </c>
      <c r="L8828" t="str">
        <f t="shared" si="2019"/>
        <v>077061</v>
      </c>
      <c r="M8828" t="str">
        <f t="shared" si="2020"/>
        <v>00828</v>
      </c>
      <c r="N8828" t="s">
        <v>6943</v>
      </c>
      <c r="O8828">
        <v>295</v>
      </c>
      <c r="P8828">
        <v>20190605</v>
      </c>
      <c r="Q8828" t="s">
        <v>6944</v>
      </c>
      <c r="R8828" t="s">
        <v>6945</v>
      </c>
      <c r="S8828" t="s">
        <v>6941</v>
      </c>
      <c r="T8828" t="s">
        <v>106</v>
      </c>
    </row>
    <row r="8829" spans="1:20" x14ac:dyDescent="0.25">
      <c r="A8829">
        <v>9</v>
      </c>
      <c r="B8829">
        <v>289</v>
      </c>
      <c r="C8829" t="str">
        <f t="shared" si="2018"/>
        <v>13</v>
      </c>
      <c r="D8829">
        <v>6411</v>
      </c>
      <c r="E8829" t="str">
        <f t="shared" si="2015"/>
        <v>00</v>
      </c>
      <c r="F8829" t="str">
        <f t="shared" si="2016"/>
        <v>041</v>
      </c>
      <c r="G8829">
        <v>9</v>
      </c>
      <c r="H8829" t="str">
        <f t="shared" si="2017"/>
        <v>30</v>
      </c>
      <c r="I8829" t="str">
        <f t="shared" si="2021"/>
        <v>0</v>
      </c>
      <c r="J8829" t="str">
        <f t="shared" si="2003"/>
        <v>00</v>
      </c>
      <c r="K8829">
        <v>20190607</v>
      </c>
      <c r="L8829" t="str">
        <f t="shared" si="2019"/>
        <v>077061</v>
      </c>
      <c r="M8829" t="str">
        <f t="shared" si="2020"/>
        <v>00828</v>
      </c>
      <c r="N8829" t="s">
        <v>6943</v>
      </c>
      <c r="O8829">
        <v>295</v>
      </c>
      <c r="P8829">
        <v>20190605</v>
      </c>
      <c r="Q8829" t="s">
        <v>6944</v>
      </c>
      <c r="R8829" t="s">
        <v>6945</v>
      </c>
      <c r="S8829" t="s">
        <v>6941</v>
      </c>
      <c r="T8829" t="s">
        <v>106</v>
      </c>
    </row>
    <row r="8830" spans="1:20" x14ac:dyDescent="0.25">
      <c r="A8830">
        <v>9</v>
      </c>
      <c r="B8830">
        <v>289</v>
      </c>
      <c r="C8830" t="str">
        <f t="shared" si="2018"/>
        <v>13</v>
      </c>
      <c r="D8830">
        <v>6411</v>
      </c>
      <c r="E8830" t="str">
        <f t="shared" si="2015"/>
        <v>00</v>
      </c>
      <c r="F8830" t="str">
        <f t="shared" si="2016"/>
        <v>041</v>
      </c>
      <c r="G8830">
        <v>9</v>
      </c>
      <c r="H8830" t="str">
        <f t="shared" si="2017"/>
        <v>30</v>
      </c>
      <c r="I8830" t="str">
        <f t="shared" si="2021"/>
        <v>0</v>
      </c>
      <c r="J8830" t="str">
        <f t="shared" si="2003"/>
        <v>00</v>
      </c>
      <c r="K8830">
        <v>20190607</v>
      </c>
      <c r="L8830" t="str">
        <f t="shared" si="2019"/>
        <v>077061</v>
      </c>
      <c r="M8830" t="str">
        <f t="shared" si="2020"/>
        <v>00828</v>
      </c>
      <c r="N8830" t="s">
        <v>6943</v>
      </c>
      <c r="O8830">
        <v>295</v>
      </c>
      <c r="P8830">
        <v>20190605</v>
      </c>
      <c r="Q8830" t="s">
        <v>6944</v>
      </c>
      <c r="R8830" t="s">
        <v>6945</v>
      </c>
      <c r="S8830" t="s">
        <v>6941</v>
      </c>
      <c r="T8830" t="s">
        <v>106</v>
      </c>
    </row>
    <row r="8831" spans="1:20" x14ac:dyDescent="0.25">
      <c r="A8831">
        <v>9</v>
      </c>
      <c r="B8831">
        <v>289</v>
      </c>
      <c r="C8831" t="str">
        <f t="shared" si="2018"/>
        <v>13</v>
      </c>
      <c r="D8831">
        <v>6411</v>
      </c>
      <c r="E8831" t="str">
        <f t="shared" si="2015"/>
        <v>00</v>
      </c>
      <c r="F8831" t="str">
        <f t="shared" si="2016"/>
        <v>041</v>
      </c>
      <c r="G8831">
        <v>9</v>
      </c>
      <c r="H8831" t="str">
        <f t="shared" si="2017"/>
        <v>30</v>
      </c>
      <c r="I8831" t="str">
        <f t="shared" si="2021"/>
        <v>0</v>
      </c>
      <c r="J8831" t="str">
        <f t="shared" si="2003"/>
        <v>00</v>
      </c>
      <c r="K8831">
        <v>20190607</v>
      </c>
      <c r="L8831" t="str">
        <f t="shared" si="2019"/>
        <v>077061</v>
      </c>
      <c r="M8831" t="str">
        <f t="shared" si="2020"/>
        <v>00828</v>
      </c>
      <c r="N8831" t="s">
        <v>6943</v>
      </c>
      <c r="O8831">
        <v>295</v>
      </c>
      <c r="P8831">
        <v>20190605</v>
      </c>
      <c r="Q8831" t="s">
        <v>6944</v>
      </c>
      <c r="R8831" t="s">
        <v>6945</v>
      </c>
      <c r="S8831" t="s">
        <v>6941</v>
      </c>
      <c r="T8831" t="s">
        <v>106</v>
      </c>
    </row>
    <row r="8832" spans="1:20" x14ac:dyDescent="0.25">
      <c r="A8832">
        <v>9</v>
      </c>
      <c r="B8832">
        <v>289</v>
      </c>
      <c r="C8832" t="str">
        <f t="shared" si="2018"/>
        <v>13</v>
      </c>
      <c r="D8832">
        <v>6411</v>
      </c>
      <c r="E8832" t="str">
        <f t="shared" si="2015"/>
        <v>00</v>
      </c>
      <c r="F8832" t="str">
        <f t="shared" si="2016"/>
        <v>041</v>
      </c>
      <c r="G8832">
        <v>9</v>
      </c>
      <c r="H8832" t="str">
        <f t="shared" si="2017"/>
        <v>30</v>
      </c>
      <c r="I8832" t="str">
        <f t="shared" si="2021"/>
        <v>0</v>
      </c>
      <c r="J8832" t="str">
        <f t="shared" si="2003"/>
        <v>00</v>
      </c>
      <c r="K8832">
        <v>20190607</v>
      </c>
      <c r="L8832" t="str">
        <f t="shared" si="2019"/>
        <v>077061</v>
      </c>
      <c r="M8832" t="str">
        <f t="shared" si="2020"/>
        <v>00828</v>
      </c>
      <c r="N8832" t="s">
        <v>6943</v>
      </c>
      <c r="O8832">
        <v>295</v>
      </c>
      <c r="P8832">
        <v>20190605</v>
      </c>
      <c r="Q8832" t="s">
        <v>6944</v>
      </c>
      <c r="R8832" t="s">
        <v>6945</v>
      </c>
      <c r="S8832" t="s">
        <v>6941</v>
      </c>
      <c r="T8832" t="s">
        <v>106</v>
      </c>
    </row>
    <row r="8833" spans="1:20" x14ac:dyDescent="0.25">
      <c r="A8833">
        <v>9</v>
      </c>
      <c r="B8833">
        <v>289</v>
      </c>
      <c r="C8833" t="str">
        <f t="shared" si="2018"/>
        <v>13</v>
      </c>
      <c r="D8833">
        <v>6411</v>
      </c>
      <c r="E8833" t="str">
        <f t="shared" si="2015"/>
        <v>00</v>
      </c>
      <c r="F8833" t="str">
        <f t="shared" si="2016"/>
        <v>041</v>
      </c>
      <c r="G8833">
        <v>9</v>
      </c>
      <c r="H8833" t="str">
        <f t="shared" si="2017"/>
        <v>30</v>
      </c>
      <c r="I8833" t="str">
        <f t="shared" si="2021"/>
        <v>0</v>
      </c>
      <c r="J8833" t="str">
        <f t="shared" si="2003"/>
        <v>00</v>
      </c>
      <c r="K8833">
        <v>20190607</v>
      </c>
      <c r="L8833" t="str">
        <f t="shared" si="2019"/>
        <v>077061</v>
      </c>
      <c r="M8833" t="str">
        <f t="shared" si="2020"/>
        <v>00828</v>
      </c>
      <c r="N8833" t="s">
        <v>6943</v>
      </c>
      <c r="O8833">
        <v>295</v>
      </c>
      <c r="P8833">
        <v>20190605</v>
      </c>
      <c r="Q8833" t="s">
        <v>6944</v>
      </c>
      <c r="R8833" t="s">
        <v>6945</v>
      </c>
      <c r="S8833" t="s">
        <v>6941</v>
      </c>
      <c r="T8833" t="s">
        <v>106</v>
      </c>
    </row>
    <row r="8834" spans="1:20" x14ac:dyDescent="0.25">
      <c r="A8834">
        <v>9</v>
      </c>
      <c r="B8834">
        <v>289</v>
      </c>
      <c r="C8834" t="str">
        <f>"11"</f>
        <v>11</v>
      </c>
      <c r="D8834">
        <v>6411</v>
      </c>
      <c r="E8834" t="str">
        <f t="shared" si="2015"/>
        <v>00</v>
      </c>
      <c r="F8834" t="str">
        <f>"001"</f>
        <v>001</v>
      </c>
      <c r="G8834">
        <v>9</v>
      </c>
      <c r="H8834" t="str">
        <f t="shared" si="2017"/>
        <v>30</v>
      </c>
      <c r="I8834" t="str">
        <f t="shared" si="2021"/>
        <v>0</v>
      </c>
      <c r="J8834" t="str">
        <f t="shared" si="2003"/>
        <v>00</v>
      </c>
      <c r="K8834">
        <v>20190614</v>
      </c>
      <c r="L8834" t="str">
        <f>"077154"</f>
        <v>077154</v>
      </c>
      <c r="M8834" t="str">
        <f>"00806"</f>
        <v>00806</v>
      </c>
      <c r="N8834" t="s">
        <v>6470</v>
      </c>
      <c r="O8834">
        <v>640</v>
      </c>
      <c r="P8834">
        <v>20190612</v>
      </c>
      <c r="Q8834" t="s">
        <v>6946</v>
      </c>
      <c r="R8834" t="s">
        <v>5529</v>
      </c>
      <c r="S8834" t="s">
        <v>6941</v>
      </c>
      <c r="T8834" t="s">
        <v>301</v>
      </c>
    </row>
    <row r="8835" spans="1:20" x14ac:dyDescent="0.25">
      <c r="A8835">
        <v>9</v>
      </c>
      <c r="B8835">
        <v>289</v>
      </c>
      <c r="C8835" t="str">
        <f>"11"</f>
        <v>11</v>
      </c>
      <c r="D8835">
        <v>6411</v>
      </c>
      <c r="E8835" t="str">
        <f t="shared" si="2015"/>
        <v>00</v>
      </c>
      <c r="F8835" t="str">
        <f>"002"</f>
        <v>002</v>
      </c>
      <c r="G8835">
        <v>9</v>
      </c>
      <c r="H8835" t="str">
        <f t="shared" si="2017"/>
        <v>30</v>
      </c>
      <c r="I8835" t="str">
        <f t="shared" si="2021"/>
        <v>0</v>
      </c>
      <c r="J8835" t="str">
        <f t="shared" si="2003"/>
        <v>00</v>
      </c>
      <c r="K8835">
        <v>20190614</v>
      </c>
      <c r="L8835" t="str">
        <f>"077154"</f>
        <v>077154</v>
      </c>
      <c r="M8835" t="str">
        <f>"00806"</f>
        <v>00806</v>
      </c>
      <c r="N8835" t="s">
        <v>6470</v>
      </c>
      <c r="O8835">
        <v>320</v>
      </c>
      <c r="P8835">
        <v>20190612</v>
      </c>
      <c r="Q8835" t="s">
        <v>6947</v>
      </c>
      <c r="R8835" t="s">
        <v>5529</v>
      </c>
      <c r="S8835" t="s">
        <v>6941</v>
      </c>
      <c r="T8835" t="s">
        <v>1485</v>
      </c>
    </row>
    <row r="8836" spans="1:20" x14ac:dyDescent="0.25">
      <c r="A8836">
        <v>9</v>
      </c>
      <c r="B8836">
        <v>289</v>
      </c>
      <c r="C8836" t="str">
        <f>"11"</f>
        <v>11</v>
      </c>
      <c r="D8836">
        <v>6411</v>
      </c>
      <c r="E8836" t="str">
        <f t="shared" si="2015"/>
        <v>00</v>
      </c>
      <c r="F8836" t="str">
        <f>"101"</f>
        <v>101</v>
      </c>
      <c r="G8836">
        <v>9</v>
      </c>
      <c r="H8836" t="str">
        <f t="shared" si="2017"/>
        <v>30</v>
      </c>
      <c r="I8836" t="str">
        <f t="shared" si="2021"/>
        <v>0</v>
      </c>
      <c r="J8836" t="str">
        <f t="shared" si="2003"/>
        <v>00</v>
      </c>
      <c r="K8836">
        <v>20190614</v>
      </c>
      <c r="L8836" t="str">
        <f>"077154"</f>
        <v>077154</v>
      </c>
      <c r="M8836" t="str">
        <f>"00806"</f>
        <v>00806</v>
      </c>
      <c r="N8836" t="s">
        <v>6470</v>
      </c>
      <c r="O8836">
        <v>320</v>
      </c>
      <c r="P8836">
        <v>20190612</v>
      </c>
      <c r="Q8836" t="s">
        <v>6948</v>
      </c>
      <c r="R8836" t="s">
        <v>5529</v>
      </c>
      <c r="S8836" t="s">
        <v>6941</v>
      </c>
      <c r="T8836" t="s">
        <v>1479</v>
      </c>
    </row>
    <row r="8837" spans="1:20" x14ac:dyDescent="0.25">
      <c r="A8837">
        <v>9</v>
      </c>
      <c r="B8837">
        <v>289</v>
      </c>
      <c r="C8837" t="str">
        <f>"11"</f>
        <v>11</v>
      </c>
      <c r="D8837">
        <v>6411</v>
      </c>
      <c r="E8837" t="str">
        <f t="shared" si="2015"/>
        <v>00</v>
      </c>
      <c r="F8837" t="str">
        <f>"104"</f>
        <v>104</v>
      </c>
      <c r="G8837">
        <v>9</v>
      </c>
      <c r="H8837" t="str">
        <f t="shared" si="2017"/>
        <v>30</v>
      </c>
      <c r="I8837" t="str">
        <f t="shared" si="2021"/>
        <v>0</v>
      </c>
      <c r="J8837" t="str">
        <f t="shared" si="2003"/>
        <v>00</v>
      </c>
      <c r="K8837">
        <v>20190614</v>
      </c>
      <c r="L8837" t="str">
        <f>"077154"</f>
        <v>077154</v>
      </c>
      <c r="M8837" t="str">
        <f>"00806"</f>
        <v>00806</v>
      </c>
      <c r="N8837" t="s">
        <v>6470</v>
      </c>
      <c r="O8837">
        <v>320</v>
      </c>
      <c r="P8837">
        <v>20190612</v>
      </c>
      <c r="Q8837" t="s">
        <v>6949</v>
      </c>
      <c r="R8837" t="s">
        <v>5529</v>
      </c>
      <c r="S8837" t="s">
        <v>6941</v>
      </c>
      <c r="T8837" t="s">
        <v>46</v>
      </c>
    </row>
    <row r="8838" spans="1:20" x14ac:dyDescent="0.25">
      <c r="A8838">
        <v>9</v>
      </c>
      <c r="B8838">
        <v>289</v>
      </c>
      <c r="C8838" t="str">
        <f>"21"</f>
        <v>21</v>
      </c>
      <c r="D8838">
        <v>6291</v>
      </c>
      <c r="E8838" t="str">
        <f t="shared" si="2015"/>
        <v>00</v>
      </c>
      <c r="F8838" t="str">
        <f>"871"</f>
        <v>871</v>
      </c>
      <c r="G8838">
        <v>9</v>
      </c>
      <c r="H8838" t="str">
        <f t="shared" si="2017"/>
        <v>30</v>
      </c>
      <c r="I8838" t="str">
        <f t="shared" si="2021"/>
        <v>0</v>
      </c>
      <c r="J8838" t="str">
        <f t="shared" si="2003"/>
        <v>00</v>
      </c>
      <c r="K8838">
        <v>20190614</v>
      </c>
      <c r="L8838" t="str">
        <f>"077154"</f>
        <v>077154</v>
      </c>
      <c r="M8838" t="str">
        <f>"00806"</f>
        <v>00806</v>
      </c>
      <c r="N8838" t="s">
        <v>6470</v>
      </c>
      <c r="O8838" s="1">
        <v>7500</v>
      </c>
      <c r="P8838">
        <v>20190612</v>
      </c>
      <c r="Q8838" t="s">
        <v>6950</v>
      </c>
      <c r="R8838" t="s">
        <v>6472</v>
      </c>
      <c r="S8838" t="s">
        <v>6941</v>
      </c>
      <c r="T8838" t="s">
        <v>1932</v>
      </c>
    </row>
    <row r="8839" spans="1:20" x14ac:dyDescent="0.25">
      <c r="A8839">
        <v>9</v>
      </c>
      <c r="B8839">
        <v>289</v>
      </c>
      <c r="C8839" t="str">
        <f>"13"</f>
        <v>13</v>
      </c>
      <c r="D8839">
        <v>6411</v>
      </c>
      <c r="E8839" t="str">
        <f t="shared" si="2015"/>
        <v>00</v>
      </c>
      <c r="F8839" t="str">
        <f>"041"</f>
        <v>041</v>
      </c>
      <c r="G8839">
        <v>9</v>
      </c>
      <c r="H8839" t="str">
        <f t="shared" si="2017"/>
        <v>30</v>
      </c>
      <c r="I8839" t="str">
        <f t="shared" si="2021"/>
        <v>0</v>
      </c>
      <c r="J8839" t="str">
        <f t="shared" si="2003"/>
        <v>00</v>
      </c>
      <c r="K8839">
        <v>20190614</v>
      </c>
      <c r="L8839" t="str">
        <f>"077177"</f>
        <v>077177</v>
      </c>
      <c r="M8839" t="str">
        <f>"47164"</f>
        <v>47164</v>
      </c>
      <c r="N8839" t="s">
        <v>985</v>
      </c>
      <c r="O8839">
        <v>635.79999999999995</v>
      </c>
      <c r="P8839">
        <v>20190612</v>
      </c>
      <c r="Q8839" t="s">
        <v>6944</v>
      </c>
      <c r="R8839" t="s">
        <v>6945</v>
      </c>
      <c r="S8839" t="s">
        <v>6941</v>
      </c>
      <c r="T8839" t="s">
        <v>106</v>
      </c>
    </row>
    <row r="8840" spans="1:20" x14ac:dyDescent="0.25">
      <c r="A8840">
        <v>9</v>
      </c>
      <c r="B8840">
        <v>289</v>
      </c>
      <c r="C8840" t="str">
        <f>"13"</f>
        <v>13</v>
      </c>
      <c r="D8840">
        <v>6411</v>
      </c>
      <c r="E8840" t="str">
        <f t="shared" si="2015"/>
        <v>00</v>
      </c>
      <c r="F8840" t="str">
        <f>"041"</f>
        <v>041</v>
      </c>
      <c r="G8840">
        <v>9</v>
      </c>
      <c r="H8840" t="str">
        <f t="shared" si="2017"/>
        <v>30</v>
      </c>
      <c r="I8840" t="str">
        <f t="shared" si="2021"/>
        <v>0</v>
      </c>
      <c r="J8840" t="str">
        <f t="shared" si="2003"/>
        <v>00</v>
      </c>
      <c r="K8840">
        <v>20190614</v>
      </c>
      <c r="L8840" t="str">
        <f>"077178"</f>
        <v>077178</v>
      </c>
      <c r="M8840" t="str">
        <f>"47164"</f>
        <v>47164</v>
      </c>
      <c r="N8840" t="s">
        <v>985</v>
      </c>
      <c r="O8840">
        <v>635.79999999999995</v>
      </c>
      <c r="P8840">
        <v>20190612</v>
      </c>
      <c r="Q8840" t="s">
        <v>6944</v>
      </c>
      <c r="R8840" t="s">
        <v>6945</v>
      </c>
      <c r="S8840" t="s">
        <v>6941</v>
      </c>
      <c r="T8840" t="s">
        <v>106</v>
      </c>
    </row>
    <row r="8841" spans="1:20" x14ac:dyDescent="0.25">
      <c r="A8841">
        <v>9</v>
      </c>
      <c r="B8841">
        <v>289</v>
      </c>
      <c r="C8841" t="str">
        <f>"13"</f>
        <v>13</v>
      </c>
      <c r="D8841">
        <v>6411</v>
      </c>
      <c r="E8841" t="str">
        <f t="shared" si="2015"/>
        <v>00</v>
      </c>
      <c r="F8841" t="str">
        <f>"041"</f>
        <v>041</v>
      </c>
      <c r="G8841">
        <v>9</v>
      </c>
      <c r="H8841" t="str">
        <f t="shared" si="2017"/>
        <v>30</v>
      </c>
      <c r="I8841" t="str">
        <f t="shared" si="2021"/>
        <v>0</v>
      </c>
      <c r="J8841" t="str">
        <f t="shared" si="2003"/>
        <v>00</v>
      </c>
      <c r="K8841">
        <v>20190614</v>
      </c>
      <c r="L8841" t="str">
        <f>"077179"</f>
        <v>077179</v>
      </c>
      <c r="M8841" t="str">
        <f>"47164"</f>
        <v>47164</v>
      </c>
      <c r="N8841" t="s">
        <v>985</v>
      </c>
      <c r="O8841">
        <v>635.79999999999995</v>
      </c>
      <c r="P8841">
        <v>20190612</v>
      </c>
      <c r="Q8841" t="s">
        <v>6944</v>
      </c>
      <c r="R8841" t="s">
        <v>6945</v>
      </c>
      <c r="S8841" t="s">
        <v>6941</v>
      </c>
      <c r="T8841" t="s">
        <v>106</v>
      </c>
    </row>
    <row r="8842" spans="1:20" x14ac:dyDescent="0.25">
      <c r="A8842">
        <v>9</v>
      </c>
      <c r="B8842">
        <v>289</v>
      </c>
      <c r="C8842" t="str">
        <f>"13"</f>
        <v>13</v>
      </c>
      <c r="D8842">
        <v>6411</v>
      </c>
      <c r="E8842" t="str">
        <f t="shared" si="2015"/>
        <v>00</v>
      </c>
      <c r="F8842" t="str">
        <f>"041"</f>
        <v>041</v>
      </c>
      <c r="G8842">
        <v>9</v>
      </c>
      <c r="H8842" t="str">
        <f t="shared" si="2017"/>
        <v>30</v>
      </c>
      <c r="I8842" t="str">
        <f t="shared" si="2021"/>
        <v>0</v>
      </c>
      <c r="J8842" t="str">
        <f t="shared" si="2003"/>
        <v>00</v>
      </c>
      <c r="K8842">
        <v>20190614</v>
      </c>
      <c r="L8842" t="str">
        <f>"077180"</f>
        <v>077180</v>
      </c>
      <c r="M8842" t="str">
        <f>"47164"</f>
        <v>47164</v>
      </c>
      <c r="N8842" t="s">
        <v>985</v>
      </c>
      <c r="O8842">
        <v>635.79999999999995</v>
      </c>
      <c r="P8842">
        <v>20190612</v>
      </c>
      <c r="Q8842" t="s">
        <v>6944</v>
      </c>
      <c r="R8842" t="s">
        <v>6945</v>
      </c>
      <c r="S8842" t="s">
        <v>6941</v>
      </c>
      <c r="T8842" t="s">
        <v>106</v>
      </c>
    </row>
    <row r="8843" spans="1:20" x14ac:dyDescent="0.25">
      <c r="A8843">
        <v>9</v>
      </c>
      <c r="B8843">
        <v>289</v>
      </c>
      <c r="C8843" t="str">
        <f>"11"</f>
        <v>11</v>
      </c>
      <c r="D8843">
        <v>6411</v>
      </c>
      <c r="E8843" t="str">
        <f t="shared" si="2015"/>
        <v>00</v>
      </c>
      <c r="F8843" t="str">
        <f>"001"</f>
        <v>001</v>
      </c>
      <c r="G8843">
        <v>9</v>
      </c>
      <c r="H8843" t="str">
        <f t="shared" si="2017"/>
        <v>30</v>
      </c>
      <c r="I8843" t="str">
        <f t="shared" si="2021"/>
        <v>0</v>
      </c>
      <c r="J8843" t="str">
        <f t="shared" si="2003"/>
        <v>00</v>
      </c>
      <c r="K8843">
        <v>20190712</v>
      </c>
      <c r="L8843" t="str">
        <f>"077372"</f>
        <v>077372</v>
      </c>
      <c r="M8843" t="str">
        <f>"34575"</f>
        <v>34575</v>
      </c>
      <c r="N8843" t="s">
        <v>3650</v>
      </c>
      <c r="O8843">
        <v>423.37</v>
      </c>
      <c r="P8843">
        <v>20190710</v>
      </c>
      <c r="Q8843" t="s">
        <v>6946</v>
      </c>
      <c r="R8843" t="s">
        <v>6221</v>
      </c>
      <c r="S8843" t="s">
        <v>6941</v>
      </c>
      <c r="T8843" t="s">
        <v>301</v>
      </c>
    </row>
    <row r="8844" spans="1:20" x14ac:dyDescent="0.25">
      <c r="A8844">
        <v>9</v>
      </c>
      <c r="B8844">
        <v>289</v>
      </c>
      <c r="C8844" t="str">
        <f>"11"</f>
        <v>11</v>
      </c>
      <c r="D8844">
        <v>6411</v>
      </c>
      <c r="E8844" t="str">
        <f t="shared" si="2015"/>
        <v>00</v>
      </c>
      <c r="F8844" t="str">
        <f>"001"</f>
        <v>001</v>
      </c>
      <c r="G8844">
        <v>9</v>
      </c>
      <c r="H8844" t="str">
        <f t="shared" si="2017"/>
        <v>30</v>
      </c>
      <c r="I8844" t="str">
        <f t="shared" si="2021"/>
        <v>0</v>
      </c>
      <c r="J8844" t="str">
        <f t="shared" si="2003"/>
        <v>00</v>
      </c>
      <c r="K8844">
        <v>20190712</v>
      </c>
      <c r="L8844" t="str">
        <f>"077373"</f>
        <v>077373</v>
      </c>
      <c r="M8844" t="str">
        <f>"34575"</f>
        <v>34575</v>
      </c>
      <c r="N8844" t="s">
        <v>3650</v>
      </c>
      <c r="O8844">
        <v>423.37</v>
      </c>
      <c r="P8844">
        <v>20190710</v>
      </c>
      <c r="Q8844" t="s">
        <v>6946</v>
      </c>
      <c r="R8844" t="s">
        <v>6221</v>
      </c>
      <c r="S8844" t="s">
        <v>6941</v>
      </c>
      <c r="T8844" t="s">
        <v>301</v>
      </c>
    </row>
    <row r="8845" spans="1:20" x14ac:dyDescent="0.25">
      <c r="A8845">
        <v>9</v>
      </c>
      <c r="B8845">
        <v>289</v>
      </c>
      <c r="C8845" t="str">
        <f>"11"</f>
        <v>11</v>
      </c>
      <c r="D8845">
        <v>6411</v>
      </c>
      <c r="E8845" t="str">
        <f t="shared" si="2015"/>
        <v>00</v>
      </c>
      <c r="F8845" t="str">
        <f>"041"</f>
        <v>041</v>
      </c>
      <c r="G8845">
        <v>9</v>
      </c>
      <c r="H8845" t="str">
        <f t="shared" si="2017"/>
        <v>30</v>
      </c>
      <c r="I8845" t="str">
        <f t="shared" si="2021"/>
        <v>0</v>
      </c>
      <c r="J8845" t="str">
        <f t="shared" si="2003"/>
        <v>00</v>
      </c>
      <c r="K8845">
        <v>20190719</v>
      </c>
      <c r="L8845" t="str">
        <f>"077447"</f>
        <v>077447</v>
      </c>
      <c r="M8845" t="str">
        <f>"27900"</f>
        <v>27900</v>
      </c>
      <c r="N8845" t="s">
        <v>1490</v>
      </c>
      <c r="O8845">
        <v>100</v>
      </c>
      <c r="P8845">
        <v>20190717</v>
      </c>
      <c r="Q8845" t="s">
        <v>6951</v>
      </c>
      <c r="R8845" t="s">
        <v>6952</v>
      </c>
      <c r="S8845" t="s">
        <v>6941</v>
      </c>
      <c r="T8845" t="s">
        <v>106</v>
      </c>
    </row>
    <row r="8846" spans="1:20" x14ac:dyDescent="0.25">
      <c r="A8846">
        <v>9</v>
      </c>
      <c r="B8846">
        <v>289</v>
      </c>
      <c r="C8846" t="str">
        <f>"13"</f>
        <v>13</v>
      </c>
      <c r="D8846">
        <v>6411</v>
      </c>
      <c r="E8846" t="str">
        <f t="shared" si="2015"/>
        <v>00</v>
      </c>
      <c r="F8846" t="str">
        <f>"041"</f>
        <v>041</v>
      </c>
      <c r="G8846">
        <v>9</v>
      </c>
      <c r="H8846" t="str">
        <f t="shared" si="2017"/>
        <v>30</v>
      </c>
      <c r="I8846" t="str">
        <f t="shared" si="2021"/>
        <v>0</v>
      </c>
      <c r="J8846" t="str">
        <f t="shared" si="2003"/>
        <v>00</v>
      </c>
      <c r="K8846">
        <v>20190719</v>
      </c>
      <c r="L8846" t="str">
        <f>"077447"</f>
        <v>077447</v>
      </c>
      <c r="M8846" t="str">
        <f>"27900"</f>
        <v>27900</v>
      </c>
      <c r="N8846" t="s">
        <v>1490</v>
      </c>
      <c r="O8846">
        <v>700</v>
      </c>
      <c r="P8846">
        <v>20190717</v>
      </c>
      <c r="Q8846" t="s">
        <v>6944</v>
      </c>
      <c r="R8846" t="s">
        <v>6953</v>
      </c>
      <c r="S8846" t="s">
        <v>6941</v>
      </c>
      <c r="T8846" t="s">
        <v>106</v>
      </c>
    </row>
    <row r="8847" spans="1:20" x14ac:dyDescent="0.25">
      <c r="A8847">
        <v>9</v>
      </c>
      <c r="B8847">
        <v>289</v>
      </c>
      <c r="C8847" t="str">
        <f>"13"</f>
        <v>13</v>
      </c>
      <c r="D8847">
        <v>6411</v>
      </c>
      <c r="E8847" t="str">
        <f t="shared" si="2015"/>
        <v>00</v>
      </c>
      <c r="F8847" t="str">
        <f>"041"</f>
        <v>041</v>
      </c>
      <c r="G8847">
        <v>9</v>
      </c>
      <c r="H8847" t="str">
        <f t="shared" si="2017"/>
        <v>30</v>
      </c>
      <c r="I8847" t="str">
        <f t="shared" si="2021"/>
        <v>0</v>
      </c>
      <c r="J8847" t="str">
        <f t="shared" si="2003"/>
        <v>00</v>
      </c>
      <c r="K8847">
        <v>20190719</v>
      </c>
      <c r="L8847" t="str">
        <f>"077447"</f>
        <v>077447</v>
      </c>
      <c r="M8847" t="str">
        <f>"27900"</f>
        <v>27900</v>
      </c>
      <c r="N8847" t="s">
        <v>1490</v>
      </c>
      <c r="O8847">
        <v>100</v>
      </c>
      <c r="P8847">
        <v>20190717</v>
      </c>
      <c r="Q8847" t="s">
        <v>6944</v>
      </c>
      <c r="R8847" t="s">
        <v>6954</v>
      </c>
      <c r="S8847" t="s">
        <v>6941</v>
      </c>
      <c r="T8847" t="s">
        <v>106</v>
      </c>
    </row>
    <row r="8848" spans="1:20" x14ac:dyDescent="0.25">
      <c r="A8848">
        <v>9</v>
      </c>
      <c r="B8848">
        <v>289</v>
      </c>
      <c r="C8848" t="str">
        <f t="shared" ref="C8848:C8853" si="2022">"11"</f>
        <v>11</v>
      </c>
      <c r="D8848">
        <v>6399</v>
      </c>
      <c r="E8848" t="str">
        <f t="shared" si="2015"/>
        <v>00</v>
      </c>
      <c r="F8848" t="str">
        <f>"001"</f>
        <v>001</v>
      </c>
      <c r="G8848">
        <v>9</v>
      </c>
      <c r="H8848" t="str">
        <f t="shared" si="2017"/>
        <v>30</v>
      </c>
      <c r="I8848" t="str">
        <f t="shared" si="2021"/>
        <v>0</v>
      </c>
      <c r="J8848" t="str">
        <f t="shared" ref="J8848:J8901" si="2023">"00"</f>
        <v>00</v>
      </c>
      <c r="K8848">
        <v>20190726</v>
      </c>
      <c r="L8848" t="str">
        <f>"077482"</f>
        <v>077482</v>
      </c>
      <c r="M8848" t="str">
        <f>"09170"</f>
        <v>09170</v>
      </c>
      <c r="N8848" t="s">
        <v>679</v>
      </c>
      <c r="O8848">
        <v>200</v>
      </c>
      <c r="P8848">
        <v>20190724</v>
      </c>
      <c r="Q8848" t="s">
        <v>6955</v>
      </c>
      <c r="R8848" t="s">
        <v>5883</v>
      </c>
      <c r="S8848" t="s">
        <v>6941</v>
      </c>
      <c r="T8848" t="s">
        <v>301</v>
      </c>
    </row>
    <row r="8849" spans="1:20" x14ac:dyDescent="0.25">
      <c r="A8849">
        <v>9</v>
      </c>
      <c r="B8849">
        <v>289</v>
      </c>
      <c r="C8849" t="str">
        <f t="shared" si="2022"/>
        <v>11</v>
      </c>
      <c r="D8849">
        <v>6399</v>
      </c>
      <c r="E8849" t="str">
        <f t="shared" si="2015"/>
        <v>00</v>
      </c>
      <c r="F8849" t="str">
        <f>"002"</f>
        <v>002</v>
      </c>
      <c r="G8849">
        <v>9</v>
      </c>
      <c r="H8849" t="str">
        <f t="shared" si="2017"/>
        <v>30</v>
      </c>
      <c r="I8849" t="str">
        <f t="shared" si="2021"/>
        <v>0</v>
      </c>
      <c r="J8849" t="str">
        <f t="shared" si="2023"/>
        <v>00</v>
      </c>
      <c r="K8849">
        <v>20190726</v>
      </c>
      <c r="L8849" t="str">
        <f>"077482"</f>
        <v>077482</v>
      </c>
      <c r="M8849" t="str">
        <f>"09170"</f>
        <v>09170</v>
      </c>
      <c r="N8849" t="s">
        <v>679</v>
      </c>
      <c r="O8849">
        <v>200</v>
      </c>
      <c r="P8849">
        <v>20190724</v>
      </c>
      <c r="Q8849" t="s">
        <v>6956</v>
      </c>
      <c r="R8849" t="s">
        <v>5883</v>
      </c>
      <c r="S8849" t="s">
        <v>6941</v>
      </c>
      <c r="T8849" t="s">
        <v>1485</v>
      </c>
    </row>
    <row r="8850" spans="1:20" x14ac:dyDescent="0.25">
      <c r="A8850">
        <v>9</v>
      </c>
      <c r="B8850">
        <v>289</v>
      </c>
      <c r="C8850" t="str">
        <f t="shared" si="2022"/>
        <v>11</v>
      </c>
      <c r="D8850">
        <v>6399</v>
      </c>
      <c r="E8850" t="str">
        <f t="shared" si="2015"/>
        <v>00</v>
      </c>
      <c r="F8850" t="str">
        <f>"041"</f>
        <v>041</v>
      </c>
      <c r="G8850">
        <v>9</v>
      </c>
      <c r="H8850" t="str">
        <f t="shared" si="2017"/>
        <v>30</v>
      </c>
      <c r="I8850" t="str">
        <f t="shared" si="2021"/>
        <v>0</v>
      </c>
      <c r="J8850" t="str">
        <f t="shared" si="2023"/>
        <v>00</v>
      </c>
      <c r="K8850">
        <v>20190726</v>
      </c>
      <c r="L8850" t="str">
        <f>"077482"</f>
        <v>077482</v>
      </c>
      <c r="M8850" t="str">
        <f>"09170"</f>
        <v>09170</v>
      </c>
      <c r="N8850" t="s">
        <v>679</v>
      </c>
      <c r="O8850">
        <v>200</v>
      </c>
      <c r="P8850">
        <v>20190724</v>
      </c>
      <c r="Q8850" t="s">
        <v>6957</v>
      </c>
      <c r="R8850" t="s">
        <v>5883</v>
      </c>
      <c r="S8850" t="s">
        <v>6941</v>
      </c>
      <c r="T8850" t="s">
        <v>106</v>
      </c>
    </row>
    <row r="8851" spans="1:20" x14ac:dyDescent="0.25">
      <c r="A8851">
        <v>9</v>
      </c>
      <c r="B8851">
        <v>289</v>
      </c>
      <c r="C8851" t="str">
        <f t="shared" si="2022"/>
        <v>11</v>
      </c>
      <c r="D8851">
        <v>6399</v>
      </c>
      <c r="E8851" t="str">
        <f t="shared" si="2015"/>
        <v>00</v>
      </c>
      <c r="F8851" t="str">
        <f>"101"</f>
        <v>101</v>
      </c>
      <c r="G8851">
        <v>9</v>
      </c>
      <c r="H8851" t="str">
        <f t="shared" si="2017"/>
        <v>30</v>
      </c>
      <c r="I8851" t="str">
        <f t="shared" si="2021"/>
        <v>0</v>
      </c>
      <c r="J8851" t="str">
        <f t="shared" si="2023"/>
        <v>00</v>
      </c>
      <c r="K8851">
        <v>20190726</v>
      </c>
      <c r="L8851" t="str">
        <f>"077482"</f>
        <v>077482</v>
      </c>
      <c r="M8851" t="str">
        <f>"09170"</f>
        <v>09170</v>
      </c>
      <c r="N8851" t="s">
        <v>679</v>
      </c>
      <c r="O8851">
        <v>200</v>
      </c>
      <c r="P8851">
        <v>20190724</v>
      </c>
      <c r="Q8851" t="s">
        <v>6958</v>
      </c>
      <c r="R8851" t="s">
        <v>5883</v>
      </c>
      <c r="S8851" t="s">
        <v>6941</v>
      </c>
      <c r="T8851" t="s">
        <v>1479</v>
      </c>
    </row>
    <row r="8852" spans="1:20" x14ac:dyDescent="0.25">
      <c r="A8852">
        <v>9</v>
      </c>
      <c r="B8852">
        <v>289</v>
      </c>
      <c r="C8852" t="str">
        <f t="shared" si="2022"/>
        <v>11</v>
      </c>
      <c r="D8852">
        <v>6399</v>
      </c>
      <c r="E8852" t="str">
        <f t="shared" si="2015"/>
        <v>00</v>
      </c>
      <c r="F8852" t="str">
        <f>"104"</f>
        <v>104</v>
      </c>
      <c r="G8852">
        <v>9</v>
      </c>
      <c r="H8852" t="str">
        <f t="shared" si="2017"/>
        <v>30</v>
      </c>
      <c r="I8852" t="str">
        <f t="shared" si="2021"/>
        <v>0</v>
      </c>
      <c r="J8852" t="str">
        <f t="shared" si="2023"/>
        <v>00</v>
      </c>
      <c r="K8852">
        <v>20190726</v>
      </c>
      <c r="L8852" t="str">
        <f>"077482"</f>
        <v>077482</v>
      </c>
      <c r="M8852" t="str">
        <f>"09170"</f>
        <v>09170</v>
      </c>
      <c r="N8852" t="s">
        <v>679</v>
      </c>
      <c r="O8852">
        <v>200</v>
      </c>
      <c r="P8852">
        <v>20190724</v>
      </c>
      <c r="Q8852" t="s">
        <v>6959</v>
      </c>
      <c r="R8852" t="s">
        <v>5883</v>
      </c>
      <c r="S8852" t="s">
        <v>6941</v>
      </c>
      <c r="T8852" t="s">
        <v>46</v>
      </c>
    </row>
    <row r="8853" spans="1:20" x14ac:dyDescent="0.25">
      <c r="A8853">
        <v>9</v>
      </c>
      <c r="B8853">
        <v>289</v>
      </c>
      <c r="C8853" t="str">
        <f t="shared" si="2022"/>
        <v>11</v>
      </c>
      <c r="D8853">
        <v>6399</v>
      </c>
      <c r="E8853" t="str">
        <f t="shared" si="2015"/>
        <v>00</v>
      </c>
      <c r="F8853" t="str">
        <f>"001"</f>
        <v>001</v>
      </c>
      <c r="G8853">
        <v>9</v>
      </c>
      <c r="H8853" t="str">
        <f t="shared" si="2017"/>
        <v>30</v>
      </c>
      <c r="I8853" t="str">
        <f t="shared" si="2021"/>
        <v>0</v>
      </c>
      <c r="J8853" t="str">
        <f t="shared" si="2023"/>
        <v>00</v>
      </c>
      <c r="K8853">
        <v>20190726</v>
      </c>
      <c r="L8853" t="str">
        <f>"077505"</f>
        <v>077505</v>
      </c>
      <c r="M8853" t="str">
        <f>"47540"</f>
        <v>47540</v>
      </c>
      <c r="N8853" t="s">
        <v>6499</v>
      </c>
      <c r="O8853">
        <v>900</v>
      </c>
      <c r="P8853">
        <v>20190725</v>
      </c>
      <c r="Q8853" t="s">
        <v>6955</v>
      </c>
      <c r="R8853" t="s">
        <v>6500</v>
      </c>
      <c r="S8853" t="s">
        <v>6941</v>
      </c>
      <c r="T8853" t="s">
        <v>301</v>
      </c>
    </row>
    <row r="8854" spans="1:20" x14ac:dyDescent="0.25">
      <c r="A8854">
        <v>9</v>
      </c>
      <c r="B8854">
        <v>289</v>
      </c>
      <c r="C8854" t="str">
        <f t="shared" ref="C8854:C8867" si="2024">"13"</f>
        <v>13</v>
      </c>
      <c r="D8854">
        <v>6411</v>
      </c>
      <c r="E8854" t="str">
        <f t="shared" si="2015"/>
        <v>00</v>
      </c>
      <c r="F8854" t="str">
        <f>"041"</f>
        <v>041</v>
      </c>
      <c r="G8854">
        <v>9</v>
      </c>
      <c r="H8854" t="str">
        <f t="shared" si="2017"/>
        <v>30</v>
      </c>
      <c r="I8854" t="str">
        <f t="shared" si="2021"/>
        <v>0</v>
      </c>
      <c r="J8854" t="str">
        <f t="shared" si="2023"/>
        <v>00</v>
      </c>
      <c r="K8854">
        <v>20190809</v>
      </c>
      <c r="L8854" t="str">
        <f>"077567"</f>
        <v>077567</v>
      </c>
      <c r="M8854" t="str">
        <f>"00328"</f>
        <v>00328</v>
      </c>
      <c r="N8854" t="s">
        <v>6960</v>
      </c>
      <c r="O8854">
        <v>106.05</v>
      </c>
      <c r="P8854">
        <v>20190806</v>
      </c>
      <c r="Q8854" t="s">
        <v>6944</v>
      </c>
      <c r="R8854" t="s">
        <v>6945</v>
      </c>
      <c r="S8854" t="s">
        <v>6941</v>
      </c>
      <c r="T8854" t="s">
        <v>106</v>
      </c>
    </row>
    <row r="8855" spans="1:20" x14ac:dyDescent="0.25">
      <c r="A8855">
        <v>9</v>
      </c>
      <c r="B8855">
        <v>289</v>
      </c>
      <c r="C8855" t="str">
        <f t="shared" si="2024"/>
        <v>13</v>
      </c>
      <c r="D8855">
        <v>6411</v>
      </c>
      <c r="E8855" t="str">
        <f t="shared" ref="E8855:E8881" si="2025">"00"</f>
        <v>00</v>
      </c>
      <c r="F8855" t="str">
        <f>"041"</f>
        <v>041</v>
      </c>
      <c r="G8855">
        <v>9</v>
      </c>
      <c r="H8855" t="str">
        <f t="shared" ref="H8855:H8877" si="2026">"30"</f>
        <v>30</v>
      </c>
      <c r="I8855" t="str">
        <f t="shared" si="2021"/>
        <v>0</v>
      </c>
      <c r="J8855" t="str">
        <f t="shared" si="2023"/>
        <v>00</v>
      </c>
      <c r="K8855">
        <v>20190809</v>
      </c>
      <c r="L8855" t="str">
        <f>"077579"</f>
        <v>077579</v>
      </c>
      <c r="M8855" t="str">
        <f>"00158"</f>
        <v>00158</v>
      </c>
      <c r="N8855" t="s">
        <v>6961</v>
      </c>
      <c r="O8855">
        <v>64.98</v>
      </c>
      <c r="P8855">
        <v>20190807</v>
      </c>
      <c r="Q8855" t="s">
        <v>6944</v>
      </c>
      <c r="R8855" t="s">
        <v>6945</v>
      </c>
      <c r="S8855" t="s">
        <v>6941</v>
      </c>
      <c r="T8855" t="s">
        <v>106</v>
      </c>
    </row>
    <row r="8856" spans="1:20" x14ac:dyDescent="0.25">
      <c r="A8856">
        <v>9</v>
      </c>
      <c r="B8856">
        <v>289</v>
      </c>
      <c r="C8856" t="str">
        <f t="shared" si="2024"/>
        <v>13</v>
      </c>
      <c r="D8856">
        <v>6411</v>
      </c>
      <c r="E8856" t="str">
        <f t="shared" si="2025"/>
        <v>00</v>
      </c>
      <c r="F8856" t="str">
        <f>"041"</f>
        <v>041</v>
      </c>
      <c r="G8856">
        <v>9</v>
      </c>
      <c r="H8856" t="str">
        <f t="shared" si="2026"/>
        <v>30</v>
      </c>
      <c r="I8856" t="str">
        <f t="shared" si="2021"/>
        <v>0</v>
      </c>
      <c r="J8856" t="str">
        <f t="shared" si="2023"/>
        <v>00</v>
      </c>
      <c r="K8856">
        <v>20190809</v>
      </c>
      <c r="L8856" t="str">
        <f>"077592"</f>
        <v>077592</v>
      </c>
      <c r="M8856" t="str">
        <f>"00863"</f>
        <v>00863</v>
      </c>
      <c r="N8856" t="s">
        <v>6962</v>
      </c>
      <c r="O8856">
        <v>108.22</v>
      </c>
      <c r="P8856">
        <v>20190807</v>
      </c>
      <c r="Q8856" t="s">
        <v>6944</v>
      </c>
      <c r="R8856" t="s">
        <v>6945</v>
      </c>
      <c r="S8856" t="s">
        <v>6941</v>
      </c>
      <c r="T8856" t="s">
        <v>106</v>
      </c>
    </row>
    <row r="8857" spans="1:20" x14ac:dyDescent="0.25">
      <c r="A8857">
        <v>9</v>
      </c>
      <c r="B8857">
        <v>289</v>
      </c>
      <c r="C8857" t="str">
        <f t="shared" si="2024"/>
        <v>13</v>
      </c>
      <c r="D8857">
        <v>6411</v>
      </c>
      <c r="E8857" t="str">
        <f t="shared" si="2025"/>
        <v>00</v>
      </c>
      <c r="F8857" t="str">
        <f>"041"</f>
        <v>041</v>
      </c>
      <c r="G8857">
        <v>9</v>
      </c>
      <c r="H8857" t="str">
        <f t="shared" si="2026"/>
        <v>30</v>
      </c>
      <c r="I8857" t="str">
        <f t="shared" si="2021"/>
        <v>0</v>
      </c>
      <c r="J8857" t="str">
        <f t="shared" si="2023"/>
        <v>00</v>
      </c>
      <c r="K8857">
        <v>20190809</v>
      </c>
      <c r="L8857" t="str">
        <f>"077595"</f>
        <v>077595</v>
      </c>
      <c r="M8857" t="str">
        <f>"22260"</f>
        <v>22260</v>
      </c>
      <c r="N8857" t="s">
        <v>6963</v>
      </c>
      <c r="O8857">
        <v>55.24</v>
      </c>
      <c r="P8857">
        <v>20190807</v>
      </c>
      <c r="Q8857" t="s">
        <v>6944</v>
      </c>
      <c r="R8857" t="s">
        <v>6945</v>
      </c>
      <c r="S8857" t="s">
        <v>6941</v>
      </c>
      <c r="T8857" t="s">
        <v>106</v>
      </c>
    </row>
    <row r="8858" spans="1:20" x14ac:dyDescent="0.25">
      <c r="A8858">
        <v>9</v>
      </c>
      <c r="B8858">
        <v>289</v>
      </c>
      <c r="C8858" t="str">
        <f t="shared" si="2024"/>
        <v>13</v>
      </c>
      <c r="D8858">
        <v>6239</v>
      </c>
      <c r="E8858" t="str">
        <f t="shared" si="2025"/>
        <v>00</v>
      </c>
      <c r="F8858" t="str">
        <f>"001"</f>
        <v>001</v>
      </c>
      <c r="G8858">
        <v>9</v>
      </c>
      <c r="H8858" t="str">
        <f t="shared" si="2026"/>
        <v>30</v>
      </c>
      <c r="I8858" t="str">
        <f t="shared" si="2021"/>
        <v>0</v>
      </c>
      <c r="J8858" t="str">
        <f t="shared" si="2023"/>
        <v>00</v>
      </c>
      <c r="K8858">
        <v>20190809</v>
      </c>
      <c r="L8858" t="str">
        <f>"077602"</f>
        <v>077602</v>
      </c>
      <c r="M8858" t="str">
        <f>"27894"</f>
        <v>27894</v>
      </c>
      <c r="N8858" t="s">
        <v>1490</v>
      </c>
      <c r="O8858">
        <v>250</v>
      </c>
      <c r="P8858">
        <v>20190807</v>
      </c>
      <c r="Q8858" t="s">
        <v>6964</v>
      </c>
      <c r="R8858" t="s">
        <v>6965</v>
      </c>
      <c r="S8858" t="s">
        <v>6941</v>
      </c>
      <c r="T8858" t="s">
        <v>301</v>
      </c>
    </row>
    <row r="8859" spans="1:20" x14ac:dyDescent="0.25">
      <c r="A8859">
        <v>9</v>
      </c>
      <c r="B8859">
        <v>289</v>
      </c>
      <c r="C8859" t="str">
        <f t="shared" si="2024"/>
        <v>13</v>
      </c>
      <c r="D8859">
        <v>6239</v>
      </c>
      <c r="E8859" t="str">
        <f t="shared" si="2025"/>
        <v>00</v>
      </c>
      <c r="F8859" t="str">
        <f>"002"</f>
        <v>002</v>
      </c>
      <c r="G8859">
        <v>9</v>
      </c>
      <c r="H8859" t="str">
        <f t="shared" si="2026"/>
        <v>30</v>
      </c>
      <c r="I8859" t="str">
        <f t="shared" si="2021"/>
        <v>0</v>
      </c>
      <c r="J8859" t="str">
        <f t="shared" si="2023"/>
        <v>00</v>
      </c>
      <c r="K8859">
        <v>20190809</v>
      </c>
      <c r="L8859" t="str">
        <f>"077602"</f>
        <v>077602</v>
      </c>
      <c r="M8859" t="str">
        <f>"27894"</f>
        <v>27894</v>
      </c>
      <c r="N8859" t="s">
        <v>1490</v>
      </c>
      <c r="O8859">
        <v>250</v>
      </c>
      <c r="P8859">
        <v>20190807</v>
      </c>
      <c r="Q8859" t="s">
        <v>6966</v>
      </c>
      <c r="R8859" t="s">
        <v>6965</v>
      </c>
      <c r="S8859" t="s">
        <v>6941</v>
      </c>
      <c r="T8859" t="s">
        <v>1485</v>
      </c>
    </row>
    <row r="8860" spans="1:20" x14ac:dyDescent="0.25">
      <c r="A8860">
        <v>9</v>
      </c>
      <c r="B8860">
        <v>289</v>
      </c>
      <c r="C8860" t="str">
        <f t="shared" si="2024"/>
        <v>13</v>
      </c>
      <c r="D8860">
        <v>6239</v>
      </c>
      <c r="E8860" t="str">
        <f t="shared" si="2025"/>
        <v>00</v>
      </c>
      <c r="F8860" t="str">
        <f>"041"</f>
        <v>041</v>
      </c>
      <c r="G8860">
        <v>9</v>
      </c>
      <c r="H8860" t="str">
        <f t="shared" si="2026"/>
        <v>30</v>
      </c>
      <c r="I8860" t="str">
        <f t="shared" si="2021"/>
        <v>0</v>
      </c>
      <c r="J8860" t="str">
        <f t="shared" si="2023"/>
        <v>00</v>
      </c>
      <c r="K8860">
        <v>20190809</v>
      </c>
      <c r="L8860" t="str">
        <f>"077602"</f>
        <v>077602</v>
      </c>
      <c r="M8860" t="str">
        <f>"27894"</f>
        <v>27894</v>
      </c>
      <c r="N8860" t="s">
        <v>1490</v>
      </c>
      <c r="O8860">
        <v>250</v>
      </c>
      <c r="P8860">
        <v>20190807</v>
      </c>
      <c r="Q8860" t="s">
        <v>6967</v>
      </c>
      <c r="R8860" t="s">
        <v>6965</v>
      </c>
      <c r="S8860" t="s">
        <v>6941</v>
      </c>
      <c r="T8860" t="s">
        <v>106</v>
      </c>
    </row>
    <row r="8861" spans="1:20" x14ac:dyDescent="0.25">
      <c r="A8861">
        <v>9</v>
      </c>
      <c r="B8861">
        <v>289</v>
      </c>
      <c r="C8861" t="str">
        <f t="shared" si="2024"/>
        <v>13</v>
      </c>
      <c r="D8861">
        <v>6239</v>
      </c>
      <c r="E8861" t="str">
        <f t="shared" si="2025"/>
        <v>00</v>
      </c>
      <c r="F8861" t="str">
        <f>"101"</f>
        <v>101</v>
      </c>
      <c r="G8861">
        <v>9</v>
      </c>
      <c r="H8861" t="str">
        <f t="shared" si="2026"/>
        <v>30</v>
      </c>
      <c r="I8861" t="str">
        <f t="shared" si="2021"/>
        <v>0</v>
      </c>
      <c r="J8861" t="str">
        <f t="shared" si="2023"/>
        <v>00</v>
      </c>
      <c r="K8861">
        <v>20190809</v>
      </c>
      <c r="L8861" t="str">
        <f>"077602"</f>
        <v>077602</v>
      </c>
      <c r="M8861" t="str">
        <f>"27894"</f>
        <v>27894</v>
      </c>
      <c r="N8861" t="s">
        <v>1490</v>
      </c>
      <c r="O8861">
        <v>250</v>
      </c>
      <c r="P8861">
        <v>20190807</v>
      </c>
      <c r="Q8861" t="s">
        <v>6968</v>
      </c>
      <c r="R8861" t="s">
        <v>6965</v>
      </c>
      <c r="S8861" t="s">
        <v>6941</v>
      </c>
      <c r="T8861" t="s">
        <v>1479</v>
      </c>
    </row>
    <row r="8862" spans="1:20" x14ac:dyDescent="0.25">
      <c r="A8862">
        <v>9</v>
      </c>
      <c r="B8862">
        <v>289</v>
      </c>
      <c r="C8862" t="str">
        <f t="shared" si="2024"/>
        <v>13</v>
      </c>
      <c r="D8862">
        <v>6239</v>
      </c>
      <c r="E8862" t="str">
        <f t="shared" si="2025"/>
        <v>00</v>
      </c>
      <c r="F8862" t="str">
        <f>"104"</f>
        <v>104</v>
      </c>
      <c r="G8862">
        <v>9</v>
      </c>
      <c r="H8862" t="str">
        <f t="shared" si="2026"/>
        <v>30</v>
      </c>
      <c r="I8862" t="str">
        <f t="shared" si="2021"/>
        <v>0</v>
      </c>
      <c r="J8862" t="str">
        <f t="shared" si="2023"/>
        <v>00</v>
      </c>
      <c r="K8862">
        <v>20190809</v>
      </c>
      <c r="L8862" t="str">
        <f>"077602"</f>
        <v>077602</v>
      </c>
      <c r="M8862" t="str">
        <f>"27894"</f>
        <v>27894</v>
      </c>
      <c r="N8862" t="s">
        <v>1490</v>
      </c>
      <c r="O8862">
        <v>250</v>
      </c>
      <c r="P8862">
        <v>20190807</v>
      </c>
      <c r="Q8862" t="s">
        <v>6969</v>
      </c>
      <c r="R8862" t="s">
        <v>6965</v>
      </c>
      <c r="S8862" t="s">
        <v>6941</v>
      </c>
      <c r="T8862" t="s">
        <v>46</v>
      </c>
    </row>
    <row r="8863" spans="1:20" x14ac:dyDescent="0.25">
      <c r="A8863">
        <v>9</v>
      </c>
      <c r="B8863">
        <v>289</v>
      </c>
      <c r="C8863" t="str">
        <f t="shared" si="2024"/>
        <v>13</v>
      </c>
      <c r="D8863">
        <v>6411</v>
      </c>
      <c r="E8863" t="str">
        <f t="shared" si="2025"/>
        <v>00</v>
      </c>
      <c r="F8863" t="str">
        <f t="shared" ref="F8863:F8868" si="2027">"041"</f>
        <v>041</v>
      </c>
      <c r="G8863">
        <v>9</v>
      </c>
      <c r="H8863" t="str">
        <f t="shared" si="2026"/>
        <v>30</v>
      </c>
      <c r="I8863" t="str">
        <f t="shared" si="2021"/>
        <v>0</v>
      </c>
      <c r="J8863" t="str">
        <f t="shared" si="2023"/>
        <v>00</v>
      </c>
      <c r="K8863">
        <v>20190809</v>
      </c>
      <c r="L8863" t="str">
        <f>"077613"</f>
        <v>077613</v>
      </c>
      <c r="M8863" t="str">
        <f>"33772"</f>
        <v>33772</v>
      </c>
      <c r="N8863" t="s">
        <v>6970</v>
      </c>
      <c r="O8863">
        <v>72.14</v>
      </c>
      <c r="P8863">
        <v>20190807</v>
      </c>
      <c r="Q8863" t="s">
        <v>6944</v>
      </c>
      <c r="R8863" t="s">
        <v>6945</v>
      </c>
      <c r="S8863" t="s">
        <v>6941</v>
      </c>
      <c r="T8863" t="s">
        <v>106</v>
      </c>
    </row>
    <row r="8864" spans="1:20" x14ac:dyDescent="0.25">
      <c r="A8864">
        <v>9</v>
      </c>
      <c r="B8864">
        <v>289</v>
      </c>
      <c r="C8864" t="str">
        <f t="shared" si="2024"/>
        <v>13</v>
      </c>
      <c r="D8864">
        <v>6411</v>
      </c>
      <c r="E8864" t="str">
        <f t="shared" si="2025"/>
        <v>00</v>
      </c>
      <c r="F8864" t="str">
        <f t="shared" si="2027"/>
        <v>041</v>
      </c>
      <c r="G8864">
        <v>9</v>
      </c>
      <c r="H8864" t="str">
        <f t="shared" si="2026"/>
        <v>30</v>
      </c>
      <c r="I8864" t="str">
        <f t="shared" si="2021"/>
        <v>0</v>
      </c>
      <c r="J8864" t="str">
        <f t="shared" si="2023"/>
        <v>00</v>
      </c>
      <c r="K8864">
        <v>20190809</v>
      </c>
      <c r="L8864" t="str">
        <f>"077623"</f>
        <v>077623</v>
      </c>
      <c r="M8864" t="str">
        <f>"00866"</f>
        <v>00866</v>
      </c>
      <c r="N8864" t="s">
        <v>6971</v>
      </c>
      <c r="O8864">
        <v>67.77</v>
      </c>
      <c r="P8864">
        <v>20190807</v>
      </c>
      <c r="Q8864" t="s">
        <v>6944</v>
      </c>
      <c r="R8864" t="s">
        <v>6945</v>
      </c>
      <c r="S8864" t="s">
        <v>6941</v>
      </c>
      <c r="T8864" t="s">
        <v>106</v>
      </c>
    </row>
    <row r="8865" spans="1:20" x14ac:dyDescent="0.25">
      <c r="A8865">
        <v>9</v>
      </c>
      <c r="B8865">
        <v>289</v>
      </c>
      <c r="C8865" t="str">
        <f t="shared" si="2024"/>
        <v>13</v>
      </c>
      <c r="D8865">
        <v>6411</v>
      </c>
      <c r="E8865" t="str">
        <f t="shared" si="2025"/>
        <v>00</v>
      </c>
      <c r="F8865" t="str">
        <f t="shared" si="2027"/>
        <v>041</v>
      </c>
      <c r="G8865">
        <v>9</v>
      </c>
      <c r="H8865" t="str">
        <f t="shared" si="2026"/>
        <v>30</v>
      </c>
      <c r="I8865" t="str">
        <f t="shared" si="2021"/>
        <v>0</v>
      </c>
      <c r="J8865" t="str">
        <f t="shared" si="2023"/>
        <v>00</v>
      </c>
      <c r="K8865">
        <v>20190808</v>
      </c>
      <c r="L8865" t="str">
        <f>"077674"</f>
        <v>077674</v>
      </c>
      <c r="M8865" t="str">
        <f>"85944"</f>
        <v>85944</v>
      </c>
      <c r="N8865" t="s">
        <v>6972</v>
      </c>
      <c r="O8865">
        <v>-80.05</v>
      </c>
      <c r="P8865">
        <v>20190808</v>
      </c>
      <c r="Q8865" t="s">
        <v>6944</v>
      </c>
      <c r="R8865" t="s">
        <v>6973</v>
      </c>
      <c r="S8865" t="s">
        <v>6941</v>
      </c>
      <c r="T8865" t="s">
        <v>106</v>
      </c>
    </row>
    <row r="8866" spans="1:20" x14ac:dyDescent="0.25">
      <c r="A8866">
        <v>9</v>
      </c>
      <c r="B8866">
        <v>289</v>
      </c>
      <c r="C8866" t="str">
        <f t="shared" si="2024"/>
        <v>13</v>
      </c>
      <c r="D8866">
        <v>6411</v>
      </c>
      <c r="E8866" t="str">
        <f t="shared" si="2025"/>
        <v>00</v>
      </c>
      <c r="F8866" t="str">
        <f t="shared" si="2027"/>
        <v>041</v>
      </c>
      <c r="G8866">
        <v>9</v>
      </c>
      <c r="H8866" t="str">
        <f t="shared" si="2026"/>
        <v>30</v>
      </c>
      <c r="I8866" t="str">
        <f t="shared" si="2021"/>
        <v>0</v>
      </c>
      <c r="J8866" t="str">
        <f t="shared" si="2023"/>
        <v>00</v>
      </c>
      <c r="K8866">
        <v>20190809</v>
      </c>
      <c r="L8866" t="str">
        <f>"077674"</f>
        <v>077674</v>
      </c>
      <c r="M8866" t="str">
        <f>"85944"</f>
        <v>85944</v>
      </c>
      <c r="N8866" t="s">
        <v>6972</v>
      </c>
      <c r="O8866">
        <v>80.05</v>
      </c>
      <c r="P8866">
        <v>20190808</v>
      </c>
      <c r="Q8866" t="s">
        <v>6944</v>
      </c>
      <c r="R8866" t="s">
        <v>6945</v>
      </c>
      <c r="S8866" t="s">
        <v>6941</v>
      </c>
      <c r="T8866" t="s">
        <v>106</v>
      </c>
    </row>
    <row r="8867" spans="1:20" x14ac:dyDescent="0.25">
      <c r="A8867">
        <v>9</v>
      </c>
      <c r="B8867">
        <v>289</v>
      </c>
      <c r="C8867" t="str">
        <f t="shared" si="2024"/>
        <v>13</v>
      </c>
      <c r="D8867">
        <v>6411</v>
      </c>
      <c r="E8867" t="str">
        <f t="shared" si="2025"/>
        <v>00</v>
      </c>
      <c r="F8867" t="str">
        <f t="shared" si="2027"/>
        <v>041</v>
      </c>
      <c r="G8867">
        <v>9</v>
      </c>
      <c r="H8867" t="str">
        <f t="shared" si="2026"/>
        <v>30</v>
      </c>
      <c r="I8867" t="str">
        <f t="shared" si="2021"/>
        <v>0</v>
      </c>
      <c r="J8867" t="str">
        <f t="shared" si="2023"/>
        <v>00</v>
      </c>
      <c r="K8867">
        <v>20190809</v>
      </c>
      <c r="L8867" t="str">
        <f>"077676"</f>
        <v>077676</v>
      </c>
      <c r="M8867" t="str">
        <f>"85944"</f>
        <v>85944</v>
      </c>
      <c r="N8867" t="s">
        <v>6972</v>
      </c>
      <c r="O8867">
        <v>80.05</v>
      </c>
      <c r="P8867">
        <v>20190808</v>
      </c>
      <c r="Q8867" t="s">
        <v>6944</v>
      </c>
      <c r="R8867" t="s">
        <v>6945</v>
      </c>
      <c r="S8867" t="s">
        <v>6941</v>
      </c>
      <c r="T8867" t="s">
        <v>106</v>
      </c>
    </row>
    <row r="8868" spans="1:20" x14ac:dyDescent="0.25">
      <c r="A8868">
        <v>9</v>
      </c>
      <c r="B8868">
        <v>289</v>
      </c>
      <c r="C8868" t="str">
        <f t="shared" ref="C8868:C8889" si="2028">"11"</f>
        <v>11</v>
      </c>
      <c r="D8868">
        <v>6411</v>
      </c>
      <c r="E8868" t="str">
        <f t="shared" si="2025"/>
        <v>00</v>
      </c>
      <c r="F8868" t="str">
        <f t="shared" si="2027"/>
        <v>041</v>
      </c>
      <c r="G8868">
        <v>9</v>
      </c>
      <c r="H8868" t="str">
        <f t="shared" si="2026"/>
        <v>30</v>
      </c>
      <c r="I8868" t="str">
        <f t="shared" si="2021"/>
        <v>0</v>
      </c>
      <c r="J8868" t="str">
        <f t="shared" si="2023"/>
        <v>00</v>
      </c>
      <c r="K8868">
        <v>20190816</v>
      </c>
      <c r="L8868" t="str">
        <f>"077679"</f>
        <v>077679</v>
      </c>
      <c r="M8868" t="str">
        <f>"00328"</f>
        <v>00328</v>
      </c>
      <c r="N8868" t="s">
        <v>6960</v>
      </c>
      <c r="O8868">
        <v>276.05</v>
      </c>
      <c r="P8868">
        <v>20190815</v>
      </c>
      <c r="Q8868" t="s">
        <v>6951</v>
      </c>
      <c r="R8868" t="s">
        <v>6221</v>
      </c>
      <c r="S8868" t="s">
        <v>6941</v>
      </c>
      <c r="T8868" t="s">
        <v>106</v>
      </c>
    </row>
    <row r="8869" spans="1:20" x14ac:dyDescent="0.25">
      <c r="A8869">
        <v>9</v>
      </c>
      <c r="B8869">
        <v>289</v>
      </c>
      <c r="C8869" t="str">
        <f t="shared" si="2028"/>
        <v>11</v>
      </c>
      <c r="D8869">
        <v>6411</v>
      </c>
      <c r="E8869" t="str">
        <f t="shared" si="2025"/>
        <v>00</v>
      </c>
      <c r="F8869" t="str">
        <f>"104"</f>
        <v>104</v>
      </c>
      <c r="G8869">
        <v>9</v>
      </c>
      <c r="H8869" t="str">
        <f t="shared" si="2026"/>
        <v>30</v>
      </c>
      <c r="I8869" t="str">
        <f t="shared" si="2021"/>
        <v>0</v>
      </c>
      <c r="J8869" t="str">
        <f t="shared" si="2023"/>
        <v>00</v>
      </c>
      <c r="K8869">
        <v>20190816</v>
      </c>
      <c r="L8869" t="str">
        <f>"077707"</f>
        <v>077707</v>
      </c>
      <c r="M8869" t="str">
        <f>"00877"</f>
        <v>00877</v>
      </c>
      <c r="N8869" t="s">
        <v>6974</v>
      </c>
      <c r="O8869">
        <v>53.6</v>
      </c>
      <c r="P8869">
        <v>20190815</v>
      </c>
      <c r="Q8869" t="s">
        <v>6949</v>
      </c>
      <c r="R8869" t="s">
        <v>6221</v>
      </c>
      <c r="S8869" t="s">
        <v>6941</v>
      </c>
      <c r="T8869" t="s">
        <v>46</v>
      </c>
    </row>
    <row r="8870" spans="1:20" x14ac:dyDescent="0.25">
      <c r="A8870">
        <v>9</v>
      </c>
      <c r="B8870">
        <v>289</v>
      </c>
      <c r="C8870" t="str">
        <f t="shared" si="2028"/>
        <v>11</v>
      </c>
      <c r="D8870">
        <v>6411</v>
      </c>
      <c r="E8870" t="str">
        <f t="shared" si="2025"/>
        <v>00</v>
      </c>
      <c r="F8870" t="str">
        <f>"104"</f>
        <v>104</v>
      </c>
      <c r="G8870">
        <v>9</v>
      </c>
      <c r="H8870" t="str">
        <f t="shared" si="2026"/>
        <v>30</v>
      </c>
      <c r="I8870" t="str">
        <f t="shared" si="2021"/>
        <v>0</v>
      </c>
      <c r="J8870" t="str">
        <f t="shared" si="2023"/>
        <v>00</v>
      </c>
      <c r="K8870">
        <v>20190816</v>
      </c>
      <c r="L8870" t="str">
        <f>"077713"</f>
        <v>077713</v>
      </c>
      <c r="M8870" t="str">
        <f>"00873"</f>
        <v>00873</v>
      </c>
      <c r="N8870" t="s">
        <v>6975</v>
      </c>
      <c r="O8870">
        <v>268.67</v>
      </c>
      <c r="P8870">
        <v>20190815</v>
      </c>
      <c r="Q8870" t="s">
        <v>6949</v>
      </c>
      <c r="R8870" t="s">
        <v>6221</v>
      </c>
      <c r="S8870" t="s">
        <v>6941</v>
      </c>
      <c r="T8870" t="s">
        <v>46</v>
      </c>
    </row>
    <row r="8871" spans="1:20" x14ac:dyDescent="0.25">
      <c r="A8871">
        <v>9</v>
      </c>
      <c r="B8871">
        <v>289</v>
      </c>
      <c r="C8871" t="str">
        <f t="shared" si="2028"/>
        <v>11</v>
      </c>
      <c r="D8871">
        <v>6411</v>
      </c>
      <c r="E8871" t="str">
        <f t="shared" si="2025"/>
        <v>00</v>
      </c>
      <c r="F8871" t="str">
        <f>"001"</f>
        <v>001</v>
      </c>
      <c r="G8871">
        <v>9</v>
      </c>
      <c r="H8871" t="str">
        <f t="shared" si="2026"/>
        <v>30</v>
      </c>
      <c r="I8871" t="str">
        <f t="shared" si="2021"/>
        <v>0</v>
      </c>
      <c r="J8871" t="str">
        <f t="shared" si="2023"/>
        <v>00</v>
      </c>
      <c r="K8871">
        <v>20190816</v>
      </c>
      <c r="L8871" t="str">
        <f>"077714"</f>
        <v>077714</v>
      </c>
      <c r="M8871" t="str">
        <f>"49828"</f>
        <v>49828</v>
      </c>
      <c r="N8871" t="s">
        <v>6976</v>
      </c>
      <c r="O8871">
        <v>66.760000000000005</v>
      </c>
      <c r="P8871">
        <v>20190815</v>
      </c>
      <c r="Q8871" t="s">
        <v>6946</v>
      </c>
      <c r="R8871" t="s">
        <v>6221</v>
      </c>
      <c r="S8871" t="s">
        <v>6941</v>
      </c>
      <c r="T8871" t="s">
        <v>301</v>
      </c>
    </row>
    <row r="8872" spans="1:20" x14ac:dyDescent="0.25">
      <c r="A8872">
        <v>9</v>
      </c>
      <c r="B8872">
        <v>289</v>
      </c>
      <c r="C8872" t="str">
        <f t="shared" si="2028"/>
        <v>11</v>
      </c>
      <c r="D8872">
        <v>6411</v>
      </c>
      <c r="E8872" t="str">
        <f t="shared" si="2025"/>
        <v>00</v>
      </c>
      <c r="F8872" t="str">
        <f>"001"</f>
        <v>001</v>
      </c>
      <c r="G8872">
        <v>9</v>
      </c>
      <c r="H8872" t="str">
        <f t="shared" si="2026"/>
        <v>30</v>
      </c>
      <c r="I8872" t="str">
        <f t="shared" si="2021"/>
        <v>0</v>
      </c>
      <c r="J8872" t="str">
        <f t="shared" si="2023"/>
        <v>00</v>
      </c>
      <c r="K8872">
        <v>20190828</v>
      </c>
      <c r="L8872" t="str">
        <f>"077714"</f>
        <v>077714</v>
      </c>
      <c r="M8872" t="str">
        <f>"49828"</f>
        <v>49828</v>
      </c>
      <c r="N8872" t="s">
        <v>6976</v>
      </c>
      <c r="O8872">
        <v>-66.760000000000005</v>
      </c>
      <c r="P8872">
        <v>20190828</v>
      </c>
      <c r="Q8872" t="s">
        <v>6946</v>
      </c>
      <c r="R8872" t="s">
        <v>6977</v>
      </c>
      <c r="S8872" t="s">
        <v>6941</v>
      </c>
      <c r="T8872" t="s">
        <v>301</v>
      </c>
    </row>
    <row r="8873" spans="1:20" x14ac:dyDescent="0.25">
      <c r="A8873">
        <v>9</v>
      </c>
      <c r="B8873">
        <v>289</v>
      </c>
      <c r="C8873" t="str">
        <f t="shared" si="2028"/>
        <v>11</v>
      </c>
      <c r="D8873">
        <v>6411</v>
      </c>
      <c r="E8873" t="str">
        <f t="shared" si="2025"/>
        <v>00</v>
      </c>
      <c r="F8873" t="str">
        <f>"001"</f>
        <v>001</v>
      </c>
      <c r="G8873">
        <v>9</v>
      </c>
      <c r="H8873" t="str">
        <f t="shared" si="2026"/>
        <v>30</v>
      </c>
      <c r="I8873" t="str">
        <f t="shared" si="2021"/>
        <v>0</v>
      </c>
      <c r="J8873" t="str">
        <f t="shared" si="2023"/>
        <v>00</v>
      </c>
      <c r="K8873">
        <v>20190816</v>
      </c>
      <c r="L8873" t="str">
        <f>"077736"</f>
        <v>077736</v>
      </c>
      <c r="M8873" t="str">
        <f>"00875"</f>
        <v>00875</v>
      </c>
      <c r="N8873" t="s">
        <v>6220</v>
      </c>
      <c r="O8873">
        <v>90.81</v>
      </c>
      <c r="P8873">
        <v>20190815</v>
      </c>
      <c r="Q8873" t="s">
        <v>6946</v>
      </c>
      <c r="R8873" t="s">
        <v>6221</v>
      </c>
      <c r="S8873" t="s">
        <v>6941</v>
      </c>
      <c r="T8873" t="s">
        <v>301</v>
      </c>
    </row>
    <row r="8874" spans="1:20" x14ac:dyDescent="0.25">
      <c r="A8874">
        <v>9</v>
      </c>
      <c r="B8874">
        <v>289</v>
      </c>
      <c r="C8874" t="str">
        <f t="shared" si="2028"/>
        <v>11</v>
      </c>
      <c r="D8874">
        <v>6411</v>
      </c>
      <c r="E8874" t="str">
        <f t="shared" si="2025"/>
        <v>00</v>
      </c>
      <c r="F8874" t="str">
        <f>"001"</f>
        <v>001</v>
      </c>
      <c r="G8874">
        <v>9</v>
      </c>
      <c r="H8874" t="str">
        <f t="shared" si="2026"/>
        <v>30</v>
      </c>
      <c r="I8874" t="str">
        <f t="shared" si="2021"/>
        <v>0</v>
      </c>
      <c r="J8874" t="str">
        <f t="shared" si="2023"/>
        <v>00</v>
      </c>
      <c r="K8874">
        <v>20190823</v>
      </c>
      <c r="L8874" t="str">
        <f>"077744"</f>
        <v>077744</v>
      </c>
      <c r="M8874" t="str">
        <f>"09170"</f>
        <v>09170</v>
      </c>
      <c r="N8874" t="s">
        <v>679</v>
      </c>
      <c r="O8874">
        <v>76.25</v>
      </c>
      <c r="P8874">
        <v>20190821</v>
      </c>
      <c r="Q8874" t="s">
        <v>6946</v>
      </c>
      <c r="R8874" t="s">
        <v>6978</v>
      </c>
      <c r="S8874" t="s">
        <v>6941</v>
      </c>
      <c r="T8874" t="s">
        <v>301</v>
      </c>
    </row>
    <row r="8875" spans="1:20" x14ac:dyDescent="0.25">
      <c r="A8875">
        <v>9</v>
      </c>
      <c r="B8875">
        <v>289</v>
      </c>
      <c r="C8875" t="str">
        <f t="shared" si="2028"/>
        <v>11</v>
      </c>
      <c r="D8875">
        <v>6411</v>
      </c>
      <c r="E8875" t="str">
        <f t="shared" si="2025"/>
        <v>00</v>
      </c>
      <c r="F8875" t="str">
        <f>"001"</f>
        <v>001</v>
      </c>
      <c r="G8875">
        <v>9</v>
      </c>
      <c r="H8875" t="str">
        <f t="shared" si="2026"/>
        <v>30</v>
      </c>
      <c r="I8875" t="str">
        <f t="shared" si="2021"/>
        <v>0</v>
      </c>
      <c r="J8875" t="str">
        <f t="shared" si="2023"/>
        <v>00</v>
      </c>
      <c r="K8875">
        <v>20190823</v>
      </c>
      <c r="L8875" t="str">
        <f>"077775"</f>
        <v>077775</v>
      </c>
      <c r="M8875" t="str">
        <f>"27906"</f>
        <v>27906</v>
      </c>
      <c r="N8875" t="s">
        <v>1490</v>
      </c>
      <c r="O8875">
        <v>916</v>
      </c>
      <c r="P8875">
        <v>20190821</v>
      </c>
      <c r="Q8875" t="s">
        <v>6946</v>
      </c>
      <c r="R8875" t="s">
        <v>6221</v>
      </c>
      <c r="S8875" t="s">
        <v>6941</v>
      </c>
      <c r="T8875" t="s">
        <v>301</v>
      </c>
    </row>
    <row r="8876" spans="1:20" x14ac:dyDescent="0.25">
      <c r="A8876">
        <v>9</v>
      </c>
      <c r="B8876">
        <v>289</v>
      </c>
      <c r="C8876" t="str">
        <f t="shared" si="2028"/>
        <v>11</v>
      </c>
      <c r="D8876">
        <v>6411</v>
      </c>
      <c r="E8876" t="str">
        <f t="shared" si="2025"/>
        <v>00</v>
      </c>
      <c r="F8876" t="str">
        <f>"104"</f>
        <v>104</v>
      </c>
      <c r="G8876">
        <v>9</v>
      </c>
      <c r="H8876" t="str">
        <f t="shared" si="2026"/>
        <v>30</v>
      </c>
      <c r="I8876" t="str">
        <f t="shared" si="2021"/>
        <v>0</v>
      </c>
      <c r="J8876" t="str">
        <f t="shared" si="2023"/>
        <v>00</v>
      </c>
      <c r="K8876">
        <v>20190823</v>
      </c>
      <c r="L8876" t="str">
        <f>"077775"</f>
        <v>077775</v>
      </c>
      <c r="M8876" t="str">
        <f>"27906"</f>
        <v>27906</v>
      </c>
      <c r="N8876" t="s">
        <v>1490</v>
      </c>
      <c r="O8876">
        <v>680</v>
      </c>
      <c r="P8876">
        <v>20190821</v>
      </c>
      <c r="Q8876" t="s">
        <v>6949</v>
      </c>
      <c r="R8876" t="s">
        <v>6221</v>
      </c>
      <c r="S8876" t="s">
        <v>6941</v>
      </c>
      <c r="T8876" t="s">
        <v>46</v>
      </c>
    </row>
    <row r="8877" spans="1:20" x14ac:dyDescent="0.25">
      <c r="A8877">
        <v>9</v>
      </c>
      <c r="B8877">
        <v>289</v>
      </c>
      <c r="C8877" t="str">
        <f t="shared" si="2028"/>
        <v>11</v>
      </c>
      <c r="D8877">
        <v>6411</v>
      </c>
      <c r="E8877" t="str">
        <f t="shared" si="2025"/>
        <v>00</v>
      </c>
      <c r="F8877" t="str">
        <f>"001"</f>
        <v>001</v>
      </c>
      <c r="G8877">
        <v>9</v>
      </c>
      <c r="H8877" t="str">
        <f t="shared" si="2026"/>
        <v>30</v>
      </c>
      <c r="I8877" t="str">
        <f t="shared" si="2021"/>
        <v>0</v>
      </c>
      <c r="J8877" t="str">
        <f t="shared" si="2023"/>
        <v>00</v>
      </c>
      <c r="K8877">
        <v>20190830</v>
      </c>
      <c r="L8877" t="str">
        <f>"077864"</f>
        <v>077864</v>
      </c>
      <c r="M8877" t="str">
        <f>"49828"</f>
        <v>49828</v>
      </c>
      <c r="N8877" t="s">
        <v>6976</v>
      </c>
      <c r="O8877">
        <v>66.760000000000005</v>
      </c>
      <c r="P8877">
        <v>20190829</v>
      </c>
      <c r="Q8877" t="s">
        <v>6946</v>
      </c>
      <c r="R8877" t="s">
        <v>6979</v>
      </c>
      <c r="S8877" t="s">
        <v>6941</v>
      </c>
      <c r="T8877" t="s">
        <v>301</v>
      </c>
    </row>
    <row r="8878" spans="1:20" x14ac:dyDescent="0.25">
      <c r="A8878">
        <v>9</v>
      </c>
      <c r="B8878">
        <v>410</v>
      </c>
      <c r="C8878" t="str">
        <f t="shared" si="2028"/>
        <v>11</v>
      </c>
      <c r="D8878">
        <v>6649</v>
      </c>
      <c r="E8878" t="str">
        <f t="shared" si="2025"/>
        <v>00</v>
      </c>
      <c r="F8878" t="str">
        <f>"041"</f>
        <v>041</v>
      </c>
      <c r="G8878">
        <v>9</v>
      </c>
      <c r="H8878" t="str">
        <f t="shared" ref="H8878:H8889" si="2029">"11"</f>
        <v>11</v>
      </c>
      <c r="I8878" t="str">
        <f t="shared" si="2021"/>
        <v>0</v>
      </c>
      <c r="J8878" t="str">
        <f t="shared" si="2023"/>
        <v>00</v>
      </c>
      <c r="K8878">
        <v>20181005</v>
      </c>
      <c r="L8878" t="str">
        <f>"074105"</f>
        <v>074105</v>
      </c>
      <c r="M8878" t="str">
        <f>"16807"</f>
        <v>16807</v>
      </c>
      <c r="N8878" t="s">
        <v>1581</v>
      </c>
      <c r="O8878" s="1">
        <v>45239.4</v>
      </c>
      <c r="P8878">
        <v>20181003</v>
      </c>
      <c r="Q8878" t="s">
        <v>6980</v>
      </c>
      <c r="R8878" t="s">
        <v>1583</v>
      </c>
      <c r="S8878" t="s">
        <v>6981</v>
      </c>
      <c r="T8878" t="s">
        <v>106</v>
      </c>
    </row>
    <row r="8879" spans="1:20" x14ac:dyDescent="0.25">
      <c r="A8879">
        <v>9</v>
      </c>
      <c r="B8879">
        <v>410</v>
      </c>
      <c r="C8879" t="str">
        <f t="shared" si="2028"/>
        <v>11</v>
      </c>
      <c r="D8879">
        <v>6649</v>
      </c>
      <c r="E8879" t="str">
        <f t="shared" si="2025"/>
        <v>00</v>
      </c>
      <c r="F8879" t="str">
        <f>"041"</f>
        <v>041</v>
      </c>
      <c r="G8879">
        <v>9</v>
      </c>
      <c r="H8879" t="str">
        <f t="shared" si="2029"/>
        <v>11</v>
      </c>
      <c r="I8879" t="str">
        <f t="shared" si="2021"/>
        <v>0</v>
      </c>
      <c r="J8879" t="str">
        <f t="shared" si="2023"/>
        <v>00</v>
      </c>
      <c r="K8879">
        <v>20181005</v>
      </c>
      <c r="L8879" t="str">
        <f>"074105"</f>
        <v>074105</v>
      </c>
      <c r="M8879" t="str">
        <f>"16807"</f>
        <v>16807</v>
      </c>
      <c r="N8879" t="s">
        <v>1581</v>
      </c>
      <c r="O8879" s="1">
        <v>4770</v>
      </c>
      <c r="P8879">
        <v>20181003</v>
      </c>
      <c r="Q8879" t="s">
        <v>6980</v>
      </c>
      <c r="R8879" t="s">
        <v>1582</v>
      </c>
      <c r="S8879" t="s">
        <v>6981</v>
      </c>
      <c r="T8879" t="s">
        <v>106</v>
      </c>
    </row>
    <row r="8880" spans="1:20" x14ac:dyDescent="0.25">
      <c r="A8880">
        <v>9</v>
      </c>
      <c r="B8880">
        <v>410</v>
      </c>
      <c r="C8880" t="str">
        <f t="shared" si="2028"/>
        <v>11</v>
      </c>
      <c r="D8880">
        <v>6649</v>
      </c>
      <c r="E8880" t="str">
        <f t="shared" si="2025"/>
        <v>00</v>
      </c>
      <c r="F8880" t="str">
        <f>"041"</f>
        <v>041</v>
      </c>
      <c r="G8880">
        <v>9</v>
      </c>
      <c r="H8880" t="str">
        <f t="shared" si="2029"/>
        <v>11</v>
      </c>
      <c r="I8880" t="str">
        <f t="shared" si="2021"/>
        <v>0</v>
      </c>
      <c r="J8880" t="str">
        <f t="shared" si="2023"/>
        <v>00</v>
      </c>
      <c r="K8880">
        <v>20181102</v>
      </c>
      <c r="L8880" t="str">
        <f>"074456"</f>
        <v>074456</v>
      </c>
      <c r="M8880" t="str">
        <f>"16807"</f>
        <v>16807</v>
      </c>
      <c r="N8880" t="s">
        <v>1581</v>
      </c>
      <c r="O8880" s="1">
        <v>8104.86</v>
      </c>
      <c r="P8880">
        <v>20181031</v>
      </c>
      <c r="Q8880" t="s">
        <v>6980</v>
      </c>
      <c r="R8880" t="s">
        <v>1591</v>
      </c>
      <c r="S8880" t="s">
        <v>6981</v>
      </c>
      <c r="T8880" t="s">
        <v>106</v>
      </c>
    </row>
    <row r="8881" spans="1:20" x14ac:dyDescent="0.25">
      <c r="A8881">
        <v>9</v>
      </c>
      <c r="B8881">
        <v>410</v>
      </c>
      <c r="C8881" t="str">
        <f t="shared" si="2028"/>
        <v>11</v>
      </c>
      <c r="D8881">
        <v>6329</v>
      </c>
      <c r="E8881" t="str">
        <f t="shared" si="2025"/>
        <v>00</v>
      </c>
      <c r="F8881" t="str">
        <f>"104"</f>
        <v>104</v>
      </c>
      <c r="G8881">
        <v>9</v>
      </c>
      <c r="H8881" t="str">
        <f t="shared" si="2029"/>
        <v>11</v>
      </c>
      <c r="I8881" t="str">
        <f t="shared" si="2021"/>
        <v>0</v>
      </c>
      <c r="J8881" t="str">
        <f t="shared" si="2023"/>
        <v>00</v>
      </c>
      <c r="K8881">
        <v>20190308</v>
      </c>
      <c r="L8881" t="str">
        <f>"075871"</f>
        <v>075871</v>
      </c>
      <c r="M8881" t="str">
        <f>"10033"</f>
        <v>10033</v>
      </c>
      <c r="N8881" t="s">
        <v>6982</v>
      </c>
      <c r="O8881">
        <v>798</v>
      </c>
      <c r="P8881">
        <v>20190305</v>
      </c>
      <c r="Q8881" t="s">
        <v>6983</v>
      </c>
      <c r="R8881" t="s">
        <v>6984</v>
      </c>
      <c r="S8881" t="s">
        <v>6981</v>
      </c>
      <c r="T8881" t="s">
        <v>46</v>
      </c>
    </row>
    <row r="8882" spans="1:20" x14ac:dyDescent="0.25">
      <c r="A8882">
        <v>9</v>
      </c>
      <c r="B8882">
        <v>410</v>
      </c>
      <c r="C8882" t="str">
        <f t="shared" si="2028"/>
        <v>11</v>
      </c>
      <c r="D8882">
        <v>6396</v>
      </c>
      <c r="E8882" t="str">
        <f>"10"</f>
        <v>10</v>
      </c>
      <c r="F8882" t="str">
        <f>"041"</f>
        <v>041</v>
      </c>
      <c r="G8882">
        <v>9</v>
      </c>
      <c r="H8882" t="str">
        <f t="shared" si="2029"/>
        <v>11</v>
      </c>
      <c r="I8882" t="str">
        <f t="shared" si="2021"/>
        <v>0</v>
      </c>
      <c r="J8882" t="str">
        <f t="shared" si="2023"/>
        <v>00</v>
      </c>
      <c r="K8882">
        <v>20190726</v>
      </c>
      <c r="L8882" t="str">
        <f>"077506"</f>
        <v>077506</v>
      </c>
      <c r="M8882" t="str">
        <f>"47609"</f>
        <v>47609</v>
      </c>
      <c r="N8882" t="s">
        <v>6985</v>
      </c>
      <c r="O8882" s="1">
        <v>6750</v>
      </c>
      <c r="P8882">
        <v>20190725</v>
      </c>
      <c r="Q8882" t="s">
        <v>6986</v>
      </c>
      <c r="R8882" t="s">
        <v>6987</v>
      </c>
      <c r="S8882" t="s">
        <v>6981</v>
      </c>
      <c r="T8882" t="s">
        <v>106</v>
      </c>
    </row>
    <row r="8883" spans="1:20" x14ac:dyDescent="0.25">
      <c r="A8883">
        <v>9</v>
      </c>
      <c r="B8883">
        <v>410</v>
      </c>
      <c r="C8883" t="str">
        <f t="shared" si="2028"/>
        <v>11</v>
      </c>
      <c r="D8883">
        <v>6396</v>
      </c>
      <c r="E8883" t="str">
        <f>"10"</f>
        <v>10</v>
      </c>
      <c r="F8883" t="str">
        <f>"101"</f>
        <v>101</v>
      </c>
      <c r="G8883">
        <v>9</v>
      </c>
      <c r="H8883" t="str">
        <f t="shared" si="2029"/>
        <v>11</v>
      </c>
      <c r="I8883" t="str">
        <f t="shared" si="2021"/>
        <v>0</v>
      </c>
      <c r="J8883" t="str">
        <f t="shared" si="2023"/>
        <v>00</v>
      </c>
      <c r="K8883">
        <v>20190726</v>
      </c>
      <c r="L8883" t="str">
        <f>"077506"</f>
        <v>077506</v>
      </c>
      <c r="M8883" t="str">
        <f>"47609"</f>
        <v>47609</v>
      </c>
      <c r="N8883" t="s">
        <v>6985</v>
      </c>
      <c r="O8883" s="1">
        <v>6750</v>
      </c>
      <c r="P8883">
        <v>20190725</v>
      </c>
      <c r="Q8883" t="s">
        <v>6988</v>
      </c>
      <c r="R8883" t="s">
        <v>6987</v>
      </c>
      <c r="S8883" t="s">
        <v>6981</v>
      </c>
      <c r="T8883" t="s">
        <v>1479</v>
      </c>
    </row>
    <row r="8884" spans="1:20" x14ac:dyDescent="0.25">
      <c r="A8884">
        <v>9</v>
      </c>
      <c r="B8884">
        <v>410</v>
      </c>
      <c r="C8884" t="str">
        <f t="shared" si="2028"/>
        <v>11</v>
      </c>
      <c r="D8884">
        <v>6396</v>
      </c>
      <c r="E8884" t="str">
        <f>"10"</f>
        <v>10</v>
      </c>
      <c r="F8884" t="str">
        <f>"104"</f>
        <v>104</v>
      </c>
      <c r="G8884">
        <v>9</v>
      </c>
      <c r="H8884" t="str">
        <f t="shared" si="2029"/>
        <v>11</v>
      </c>
      <c r="I8884" t="str">
        <f t="shared" si="2021"/>
        <v>0</v>
      </c>
      <c r="J8884" t="str">
        <f t="shared" si="2023"/>
        <v>00</v>
      </c>
      <c r="K8884">
        <v>20190726</v>
      </c>
      <c r="L8884" t="str">
        <f>"077506"</f>
        <v>077506</v>
      </c>
      <c r="M8884" t="str">
        <f>"47609"</f>
        <v>47609</v>
      </c>
      <c r="N8884" t="s">
        <v>6985</v>
      </c>
      <c r="O8884" s="1">
        <v>6750</v>
      </c>
      <c r="P8884">
        <v>20190725</v>
      </c>
      <c r="Q8884" t="s">
        <v>6989</v>
      </c>
      <c r="R8884" t="s">
        <v>6987</v>
      </c>
      <c r="S8884" t="s">
        <v>6981</v>
      </c>
      <c r="T8884" t="s">
        <v>46</v>
      </c>
    </row>
    <row r="8885" spans="1:20" x14ac:dyDescent="0.25">
      <c r="A8885">
        <v>9</v>
      </c>
      <c r="B8885">
        <v>410</v>
      </c>
      <c r="C8885" t="str">
        <f t="shared" si="2028"/>
        <v>11</v>
      </c>
      <c r="D8885">
        <v>6396</v>
      </c>
      <c r="E8885" t="str">
        <f>"11"</f>
        <v>11</v>
      </c>
      <c r="F8885" t="str">
        <f>"002"</f>
        <v>002</v>
      </c>
      <c r="G8885">
        <v>9</v>
      </c>
      <c r="H8885" t="str">
        <f t="shared" si="2029"/>
        <v>11</v>
      </c>
      <c r="I8885" t="str">
        <f t="shared" si="2021"/>
        <v>0</v>
      </c>
      <c r="J8885" t="str">
        <f t="shared" si="2023"/>
        <v>00</v>
      </c>
      <c r="K8885">
        <v>20190809</v>
      </c>
      <c r="L8885" t="str">
        <f>"077645"</f>
        <v>077645</v>
      </c>
      <c r="M8885" t="str">
        <f>"00819"</f>
        <v>00819</v>
      </c>
      <c r="N8885" t="s">
        <v>6990</v>
      </c>
      <c r="O8885">
        <v>525</v>
      </c>
      <c r="P8885">
        <v>20190807</v>
      </c>
      <c r="Q8885" t="s">
        <v>6991</v>
      </c>
      <c r="R8885" t="s">
        <v>6992</v>
      </c>
      <c r="S8885" t="s">
        <v>6981</v>
      </c>
      <c r="T8885" t="s">
        <v>1485</v>
      </c>
    </row>
    <row r="8886" spans="1:20" x14ac:dyDescent="0.25">
      <c r="A8886">
        <v>9</v>
      </c>
      <c r="B8886">
        <v>410</v>
      </c>
      <c r="C8886" t="str">
        <f t="shared" si="2028"/>
        <v>11</v>
      </c>
      <c r="D8886">
        <v>6396</v>
      </c>
      <c r="E8886" t="str">
        <f>"11"</f>
        <v>11</v>
      </c>
      <c r="F8886" t="str">
        <f>"041"</f>
        <v>041</v>
      </c>
      <c r="G8886">
        <v>9</v>
      </c>
      <c r="H8886" t="str">
        <f t="shared" si="2029"/>
        <v>11</v>
      </c>
      <c r="I8886" t="str">
        <f t="shared" si="2021"/>
        <v>0</v>
      </c>
      <c r="J8886" t="str">
        <f t="shared" si="2023"/>
        <v>00</v>
      </c>
      <c r="K8886">
        <v>20190809</v>
      </c>
      <c r="L8886" t="str">
        <f>"077645"</f>
        <v>077645</v>
      </c>
      <c r="M8886" t="str">
        <f>"00819"</f>
        <v>00819</v>
      </c>
      <c r="N8886" t="s">
        <v>6990</v>
      </c>
      <c r="O8886" s="1">
        <v>8000</v>
      </c>
      <c r="P8886">
        <v>20190807</v>
      </c>
      <c r="Q8886" t="s">
        <v>6993</v>
      </c>
      <c r="R8886" t="s">
        <v>6994</v>
      </c>
      <c r="S8886" t="s">
        <v>6981</v>
      </c>
      <c r="T8886" t="s">
        <v>106</v>
      </c>
    </row>
    <row r="8887" spans="1:20" x14ac:dyDescent="0.25">
      <c r="A8887">
        <v>9</v>
      </c>
      <c r="B8887">
        <v>410</v>
      </c>
      <c r="C8887" t="str">
        <f t="shared" si="2028"/>
        <v>11</v>
      </c>
      <c r="D8887">
        <v>6649</v>
      </c>
      <c r="E8887" t="str">
        <f>"12"</f>
        <v>12</v>
      </c>
      <c r="F8887" t="str">
        <f t="shared" ref="F8887:F8894" si="2030">"001"</f>
        <v>001</v>
      </c>
      <c r="G8887">
        <v>9</v>
      </c>
      <c r="H8887" t="str">
        <f t="shared" si="2029"/>
        <v>11</v>
      </c>
      <c r="I8887" t="str">
        <f t="shared" si="2021"/>
        <v>0</v>
      </c>
      <c r="J8887" t="str">
        <f t="shared" si="2023"/>
        <v>00</v>
      </c>
      <c r="K8887">
        <v>20190823</v>
      </c>
      <c r="L8887" t="str">
        <f>"077756"</f>
        <v>077756</v>
      </c>
      <c r="M8887" t="str">
        <f>"16807"</f>
        <v>16807</v>
      </c>
      <c r="N8887" t="s">
        <v>1581</v>
      </c>
      <c r="O8887" s="1">
        <v>5292.2</v>
      </c>
      <c r="P8887">
        <v>20190821</v>
      </c>
      <c r="Q8887" t="s">
        <v>6995</v>
      </c>
      <c r="R8887" t="s">
        <v>1583</v>
      </c>
      <c r="S8887" t="s">
        <v>6981</v>
      </c>
      <c r="T8887" t="s">
        <v>301</v>
      </c>
    </row>
    <row r="8888" spans="1:20" x14ac:dyDescent="0.25">
      <c r="A8888">
        <v>9</v>
      </c>
      <c r="B8888">
        <v>410</v>
      </c>
      <c r="C8888" t="str">
        <f t="shared" si="2028"/>
        <v>11</v>
      </c>
      <c r="D8888">
        <v>6649</v>
      </c>
      <c r="E8888" t="str">
        <f>"12"</f>
        <v>12</v>
      </c>
      <c r="F8888" t="str">
        <f t="shared" si="2030"/>
        <v>001</v>
      </c>
      <c r="G8888">
        <v>9</v>
      </c>
      <c r="H8888" t="str">
        <f t="shared" si="2029"/>
        <v>11</v>
      </c>
      <c r="I8888" t="str">
        <f t="shared" si="2021"/>
        <v>0</v>
      </c>
      <c r="J8888" t="str">
        <f t="shared" si="2023"/>
        <v>00</v>
      </c>
      <c r="K8888">
        <v>20190823</v>
      </c>
      <c r="L8888" t="str">
        <f>"077756"</f>
        <v>077756</v>
      </c>
      <c r="M8888" t="str">
        <f>"16807"</f>
        <v>16807</v>
      </c>
      <c r="N8888" t="s">
        <v>1581</v>
      </c>
      <c r="O8888">
        <v>530</v>
      </c>
      <c r="P8888">
        <v>20190821</v>
      </c>
      <c r="Q8888" t="s">
        <v>6995</v>
      </c>
      <c r="R8888" t="s">
        <v>1582</v>
      </c>
      <c r="S8888" t="s">
        <v>6981</v>
      </c>
      <c r="T8888" t="s">
        <v>301</v>
      </c>
    </row>
    <row r="8889" spans="1:20" x14ac:dyDescent="0.25">
      <c r="A8889">
        <v>9</v>
      </c>
      <c r="B8889">
        <v>410</v>
      </c>
      <c r="C8889" t="str">
        <f t="shared" si="2028"/>
        <v>11</v>
      </c>
      <c r="D8889">
        <v>6321</v>
      </c>
      <c r="E8889" t="str">
        <f>"14"</f>
        <v>14</v>
      </c>
      <c r="F8889" t="str">
        <f t="shared" si="2030"/>
        <v>001</v>
      </c>
      <c r="G8889">
        <v>9</v>
      </c>
      <c r="H8889" t="str">
        <f t="shared" si="2029"/>
        <v>11</v>
      </c>
      <c r="I8889" t="str">
        <f t="shared" si="2021"/>
        <v>0</v>
      </c>
      <c r="J8889" t="str">
        <f t="shared" si="2023"/>
        <v>00</v>
      </c>
      <c r="K8889">
        <v>20190823</v>
      </c>
      <c r="L8889" t="str">
        <f>"077809"</f>
        <v>077809</v>
      </c>
      <c r="M8889" t="str">
        <f>"51606"</f>
        <v>51606</v>
      </c>
      <c r="N8889" t="s">
        <v>2286</v>
      </c>
      <c r="O8889" s="1">
        <v>3580.5</v>
      </c>
      <c r="P8889">
        <v>20190821</v>
      </c>
      <c r="Q8889" t="s">
        <v>6996</v>
      </c>
      <c r="R8889" t="s">
        <v>6997</v>
      </c>
      <c r="S8889" t="s">
        <v>6981</v>
      </c>
      <c r="T8889" t="s">
        <v>301</v>
      </c>
    </row>
    <row r="8890" spans="1:20" x14ac:dyDescent="0.25">
      <c r="A8890">
        <v>9</v>
      </c>
      <c r="B8890">
        <v>461</v>
      </c>
      <c r="C8890" t="str">
        <f t="shared" ref="C8890:C8907" si="2031">"36"</f>
        <v>36</v>
      </c>
      <c r="D8890">
        <v>6399</v>
      </c>
      <c r="E8890" t="str">
        <f>"CS"</f>
        <v>CS</v>
      </c>
      <c r="F8890" t="str">
        <f t="shared" si="2030"/>
        <v>001</v>
      </c>
      <c r="G8890">
        <v>9</v>
      </c>
      <c r="H8890" t="str">
        <f>"91"</f>
        <v>91</v>
      </c>
      <c r="I8890" t="str">
        <f t="shared" si="2021"/>
        <v>0</v>
      </c>
      <c r="J8890" t="str">
        <f t="shared" si="2023"/>
        <v>00</v>
      </c>
      <c r="K8890">
        <v>20180914</v>
      </c>
      <c r="L8890" t="str">
        <f>"073774"</f>
        <v>073774</v>
      </c>
      <c r="M8890" t="str">
        <f>"10418"</f>
        <v>10418</v>
      </c>
      <c r="N8890" t="s">
        <v>2360</v>
      </c>
      <c r="O8890" s="1">
        <v>1372.33</v>
      </c>
      <c r="P8890">
        <v>20180913</v>
      </c>
      <c r="Q8890" t="s">
        <v>6998</v>
      </c>
      <c r="R8890" t="s">
        <v>6999</v>
      </c>
      <c r="S8890" t="s">
        <v>7000</v>
      </c>
      <c r="T8890" t="s">
        <v>301</v>
      </c>
    </row>
    <row r="8891" spans="1:20" x14ac:dyDescent="0.25">
      <c r="A8891">
        <v>9</v>
      </c>
      <c r="B8891">
        <v>461</v>
      </c>
      <c r="C8891" t="str">
        <f t="shared" si="2031"/>
        <v>36</v>
      </c>
      <c r="D8891">
        <v>6412</v>
      </c>
      <c r="E8891" t="str">
        <f>"3G"</f>
        <v>3G</v>
      </c>
      <c r="F8891" t="str">
        <f t="shared" si="2030"/>
        <v>001</v>
      </c>
      <c r="G8891">
        <v>9</v>
      </c>
      <c r="H8891" t="str">
        <f>"91"</f>
        <v>91</v>
      </c>
      <c r="I8891" t="str">
        <f t="shared" ref="I8891:I8954" si="2032">"0"</f>
        <v>0</v>
      </c>
      <c r="J8891" t="str">
        <f t="shared" si="2023"/>
        <v>00</v>
      </c>
      <c r="K8891">
        <v>20180914</v>
      </c>
      <c r="L8891" t="str">
        <f>"073775"</f>
        <v>073775</v>
      </c>
      <c r="M8891" t="str">
        <f>"00553"</f>
        <v>00553</v>
      </c>
      <c r="N8891" t="s">
        <v>7001</v>
      </c>
      <c r="O8891">
        <v>907.12</v>
      </c>
      <c r="P8891">
        <v>20180913</v>
      </c>
      <c r="Q8891" t="s">
        <v>7002</v>
      </c>
      <c r="R8891" t="s">
        <v>484</v>
      </c>
      <c r="S8891" t="s">
        <v>7000</v>
      </c>
      <c r="T8891" t="s">
        <v>301</v>
      </c>
    </row>
    <row r="8892" spans="1:20" x14ac:dyDescent="0.25">
      <c r="A8892">
        <v>9</v>
      </c>
      <c r="B8892">
        <v>461</v>
      </c>
      <c r="C8892" t="str">
        <f t="shared" si="2031"/>
        <v>36</v>
      </c>
      <c r="D8892">
        <v>6399</v>
      </c>
      <c r="E8892" t="str">
        <f>"3C"</f>
        <v>3C</v>
      </c>
      <c r="F8892" t="str">
        <f t="shared" si="2030"/>
        <v>001</v>
      </c>
      <c r="G8892">
        <v>9</v>
      </c>
      <c r="H8892" t="str">
        <f>"91"</f>
        <v>91</v>
      </c>
      <c r="I8892" t="str">
        <f t="shared" si="2032"/>
        <v>0</v>
      </c>
      <c r="J8892" t="str">
        <f t="shared" si="2023"/>
        <v>00</v>
      </c>
      <c r="K8892">
        <v>20180914</v>
      </c>
      <c r="L8892" t="str">
        <f>"073788"</f>
        <v>073788</v>
      </c>
      <c r="M8892" t="str">
        <f>"39422"</f>
        <v>39422</v>
      </c>
      <c r="N8892" t="s">
        <v>525</v>
      </c>
      <c r="O8892">
        <v>300</v>
      </c>
      <c r="P8892">
        <v>20180913</v>
      </c>
      <c r="Q8892" t="s">
        <v>7003</v>
      </c>
      <c r="R8892" t="s">
        <v>7004</v>
      </c>
      <c r="S8892" t="s">
        <v>7000</v>
      </c>
      <c r="T8892" t="s">
        <v>301</v>
      </c>
    </row>
    <row r="8893" spans="1:20" x14ac:dyDescent="0.25">
      <c r="A8893">
        <v>9</v>
      </c>
      <c r="B8893">
        <v>461</v>
      </c>
      <c r="C8893" t="str">
        <f t="shared" si="2031"/>
        <v>36</v>
      </c>
      <c r="D8893">
        <v>6399</v>
      </c>
      <c r="E8893" t="str">
        <f>"3C"</f>
        <v>3C</v>
      </c>
      <c r="F8893" t="str">
        <f t="shared" si="2030"/>
        <v>001</v>
      </c>
      <c r="G8893">
        <v>9</v>
      </c>
      <c r="H8893" t="str">
        <f>"91"</f>
        <v>91</v>
      </c>
      <c r="I8893" t="str">
        <f t="shared" si="2032"/>
        <v>0</v>
      </c>
      <c r="J8893" t="str">
        <f t="shared" si="2023"/>
        <v>00</v>
      </c>
      <c r="K8893">
        <v>20180914</v>
      </c>
      <c r="L8893" t="str">
        <f>"073788"</f>
        <v>073788</v>
      </c>
      <c r="M8893" t="str">
        <f>"39422"</f>
        <v>39422</v>
      </c>
      <c r="N8893" t="s">
        <v>525</v>
      </c>
      <c r="O8893">
        <v>800</v>
      </c>
      <c r="P8893">
        <v>20180913</v>
      </c>
      <c r="Q8893" t="s">
        <v>7003</v>
      </c>
      <c r="R8893" t="s">
        <v>7004</v>
      </c>
      <c r="S8893" t="s">
        <v>7000</v>
      </c>
      <c r="T8893" t="s">
        <v>301</v>
      </c>
    </row>
    <row r="8894" spans="1:20" x14ac:dyDescent="0.25">
      <c r="A8894">
        <v>9</v>
      </c>
      <c r="B8894">
        <v>461</v>
      </c>
      <c r="C8894" t="str">
        <f t="shared" si="2031"/>
        <v>36</v>
      </c>
      <c r="D8894">
        <v>6399</v>
      </c>
      <c r="E8894" t="str">
        <f>"3C"</f>
        <v>3C</v>
      </c>
      <c r="F8894" t="str">
        <f t="shared" si="2030"/>
        <v>001</v>
      </c>
      <c r="G8894">
        <v>9</v>
      </c>
      <c r="H8894" t="str">
        <f>"91"</f>
        <v>91</v>
      </c>
      <c r="I8894" t="str">
        <f t="shared" si="2032"/>
        <v>0</v>
      </c>
      <c r="J8894" t="str">
        <f t="shared" si="2023"/>
        <v>00</v>
      </c>
      <c r="K8894">
        <v>20180914</v>
      </c>
      <c r="L8894" t="str">
        <f>"073789"</f>
        <v>073789</v>
      </c>
      <c r="M8894" t="str">
        <f>"21290"</f>
        <v>21290</v>
      </c>
      <c r="N8894" t="s">
        <v>7005</v>
      </c>
      <c r="O8894">
        <v>900.12</v>
      </c>
      <c r="P8894">
        <v>20180913</v>
      </c>
      <c r="Q8894" t="s">
        <v>7003</v>
      </c>
      <c r="R8894" t="s">
        <v>7004</v>
      </c>
      <c r="S8894" t="s">
        <v>7000</v>
      </c>
      <c r="T8894" t="s">
        <v>301</v>
      </c>
    </row>
    <row r="8895" spans="1:20" x14ac:dyDescent="0.25">
      <c r="A8895">
        <v>9</v>
      </c>
      <c r="B8895">
        <v>461</v>
      </c>
      <c r="C8895" t="str">
        <f t="shared" si="2031"/>
        <v>36</v>
      </c>
      <c r="D8895">
        <v>6399</v>
      </c>
      <c r="E8895" t="str">
        <f>"61"</f>
        <v>61</v>
      </c>
      <c r="F8895" t="str">
        <f>"101"</f>
        <v>101</v>
      </c>
      <c r="G8895">
        <v>9</v>
      </c>
      <c r="H8895" t="str">
        <f>"99"</f>
        <v>99</v>
      </c>
      <c r="I8895" t="str">
        <f t="shared" si="2032"/>
        <v>0</v>
      </c>
      <c r="J8895" t="str">
        <f t="shared" si="2023"/>
        <v>00</v>
      </c>
      <c r="K8895">
        <v>20180914</v>
      </c>
      <c r="L8895" t="str">
        <f>"073796"</f>
        <v>073796</v>
      </c>
      <c r="M8895" t="str">
        <f>"50371"</f>
        <v>50371</v>
      </c>
      <c r="N8895" t="s">
        <v>7006</v>
      </c>
      <c r="O8895" s="1">
        <v>4000</v>
      </c>
      <c r="P8895">
        <v>20180913</v>
      </c>
      <c r="Q8895" t="s">
        <v>7007</v>
      </c>
      <c r="R8895" t="s">
        <v>7008</v>
      </c>
      <c r="S8895" t="s">
        <v>7000</v>
      </c>
      <c r="T8895" t="s">
        <v>1479</v>
      </c>
    </row>
    <row r="8896" spans="1:20" x14ac:dyDescent="0.25">
      <c r="A8896">
        <v>9</v>
      </c>
      <c r="B8896">
        <v>461</v>
      </c>
      <c r="C8896" t="str">
        <f t="shared" si="2031"/>
        <v>36</v>
      </c>
      <c r="D8896">
        <v>6412</v>
      </c>
      <c r="E8896" t="str">
        <f>"3G"</f>
        <v>3G</v>
      </c>
      <c r="F8896" t="str">
        <f>"001"</f>
        <v>001</v>
      </c>
      <c r="G8896">
        <v>9</v>
      </c>
      <c r="H8896" t="str">
        <f>"91"</f>
        <v>91</v>
      </c>
      <c r="I8896" t="str">
        <f t="shared" si="2032"/>
        <v>0</v>
      </c>
      <c r="J8896" t="str">
        <f t="shared" si="2023"/>
        <v>00</v>
      </c>
      <c r="K8896">
        <v>20180914</v>
      </c>
      <c r="L8896" t="str">
        <f>"073800"</f>
        <v>073800</v>
      </c>
      <c r="M8896" t="str">
        <f>"57322"</f>
        <v>57322</v>
      </c>
      <c r="N8896" t="s">
        <v>1278</v>
      </c>
      <c r="O8896">
        <v>288</v>
      </c>
      <c r="P8896">
        <v>20180913</v>
      </c>
      <c r="Q8896" t="s">
        <v>7002</v>
      </c>
      <c r="R8896" t="s">
        <v>484</v>
      </c>
      <c r="S8896" t="s">
        <v>7000</v>
      </c>
      <c r="T8896" t="s">
        <v>301</v>
      </c>
    </row>
    <row r="8897" spans="1:20" x14ac:dyDescent="0.25">
      <c r="A8897">
        <v>9</v>
      </c>
      <c r="B8897">
        <v>461</v>
      </c>
      <c r="C8897" t="str">
        <f t="shared" si="2031"/>
        <v>36</v>
      </c>
      <c r="D8897">
        <v>6399</v>
      </c>
      <c r="E8897" t="str">
        <f>"PR"</f>
        <v>PR</v>
      </c>
      <c r="F8897" t="str">
        <f>"001"</f>
        <v>001</v>
      </c>
      <c r="G8897">
        <v>9</v>
      </c>
      <c r="H8897" t="str">
        <f t="shared" ref="H8897:H8903" si="2033">"99"</f>
        <v>99</v>
      </c>
      <c r="I8897" t="str">
        <f t="shared" si="2032"/>
        <v>0</v>
      </c>
      <c r="J8897" t="str">
        <f t="shared" si="2023"/>
        <v>00</v>
      </c>
      <c r="K8897">
        <v>20180914</v>
      </c>
      <c r="L8897" t="str">
        <f>"073801"</f>
        <v>073801</v>
      </c>
      <c r="M8897" t="str">
        <f>"58204"</f>
        <v>58204</v>
      </c>
      <c r="N8897" t="s">
        <v>1767</v>
      </c>
      <c r="O8897">
        <v>123.87</v>
      </c>
      <c r="P8897">
        <v>20180913</v>
      </c>
      <c r="Q8897" t="s">
        <v>7009</v>
      </c>
      <c r="R8897" t="s">
        <v>7010</v>
      </c>
      <c r="S8897" t="s">
        <v>7000</v>
      </c>
      <c r="T8897" t="s">
        <v>301</v>
      </c>
    </row>
    <row r="8898" spans="1:20" x14ac:dyDescent="0.25">
      <c r="A8898">
        <v>9</v>
      </c>
      <c r="B8898">
        <v>461</v>
      </c>
      <c r="C8898" t="str">
        <f t="shared" si="2031"/>
        <v>36</v>
      </c>
      <c r="D8898">
        <v>6399</v>
      </c>
      <c r="E8898" t="str">
        <f>"PR"</f>
        <v>PR</v>
      </c>
      <c r="F8898" t="str">
        <f>"001"</f>
        <v>001</v>
      </c>
      <c r="G8898">
        <v>9</v>
      </c>
      <c r="H8898" t="str">
        <f t="shared" si="2033"/>
        <v>99</v>
      </c>
      <c r="I8898" t="str">
        <f t="shared" si="2032"/>
        <v>0</v>
      </c>
      <c r="J8898" t="str">
        <f t="shared" si="2023"/>
        <v>00</v>
      </c>
      <c r="K8898">
        <v>20180914</v>
      </c>
      <c r="L8898" t="str">
        <f>"073801"</f>
        <v>073801</v>
      </c>
      <c r="M8898" t="str">
        <f>"58204"</f>
        <v>58204</v>
      </c>
      <c r="N8898" t="s">
        <v>1767</v>
      </c>
      <c r="O8898">
        <v>179.18</v>
      </c>
      <c r="P8898">
        <v>20180913</v>
      </c>
      <c r="Q8898" t="s">
        <v>7009</v>
      </c>
      <c r="R8898" t="s">
        <v>7011</v>
      </c>
      <c r="S8898" t="s">
        <v>7000</v>
      </c>
      <c r="T8898" t="s">
        <v>301</v>
      </c>
    </row>
    <row r="8899" spans="1:20" x14ac:dyDescent="0.25">
      <c r="A8899">
        <v>9</v>
      </c>
      <c r="B8899">
        <v>461</v>
      </c>
      <c r="C8899" t="str">
        <f t="shared" si="2031"/>
        <v>36</v>
      </c>
      <c r="D8899">
        <v>6412</v>
      </c>
      <c r="E8899" t="str">
        <f>"88"</f>
        <v>88</v>
      </c>
      <c r="F8899" t="str">
        <f>"001"</f>
        <v>001</v>
      </c>
      <c r="G8899">
        <v>9</v>
      </c>
      <c r="H8899" t="str">
        <f t="shared" si="2033"/>
        <v>99</v>
      </c>
      <c r="I8899" t="str">
        <f t="shared" si="2032"/>
        <v>0</v>
      </c>
      <c r="J8899" t="str">
        <f t="shared" si="2023"/>
        <v>00</v>
      </c>
      <c r="K8899">
        <v>20180914</v>
      </c>
      <c r="L8899" t="str">
        <f>"073801"</f>
        <v>073801</v>
      </c>
      <c r="M8899" t="str">
        <f>"58204"</f>
        <v>58204</v>
      </c>
      <c r="N8899" t="s">
        <v>1767</v>
      </c>
      <c r="O8899">
        <v>10.88</v>
      </c>
      <c r="P8899">
        <v>20180913</v>
      </c>
      <c r="Q8899" t="s">
        <v>7012</v>
      </c>
      <c r="R8899" t="s">
        <v>7013</v>
      </c>
      <c r="S8899" t="s">
        <v>7000</v>
      </c>
      <c r="T8899" t="s">
        <v>301</v>
      </c>
    </row>
    <row r="8900" spans="1:20" x14ac:dyDescent="0.25">
      <c r="A8900">
        <v>9</v>
      </c>
      <c r="B8900">
        <v>461</v>
      </c>
      <c r="C8900" t="str">
        <f t="shared" si="2031"/>
        <v>36</v>
      </c>
      <c r="D8900">
        <v>6399</v>
      </c>
      <c r="E8900" t="str">
        <f>"PR"</f>
        <v>PR</v>
      </c>
      <c r="F8900" t="str">
        <f>"104"</f>
        <v>104</v>
      </c>
      <c r="G8900">
        <v>9</v>
      </c>
      <c r="H8900" t="str">
        <f t="shared" si="2033"/>
        <v>99</v>
      </c>
      <c r="I8900" t="str">
        <f t="shared" si="2032"/>
        <v>0</v>
      </c>
      <c r="J8900" t="str">
        <f t="shared" si="2023"/>
        <v>00</v>
      </c>
      <c r="K8900">
        <v>20180914</v>
      </c>
      <c r="L8900" t="str">
        <f>"073806"</f>
        <v>073806</v>
      </c>
      <c r="M8900" t="str">
        <f>"78346"</f>
        <v>78346</v>
      </c>
      <c r="N8900" t="s">
        <v>4375</v>
      </c>
      <c r="O8900">
        <v>100</v>
      </c>
      <c r="P8900">
        <v>20180913</v>
      </c>
      <c r="Q8900" t="s">
        <v>7014</v>
      </c>
      <c r="R8900" t="s">
        <v>7015</v>
      </c>
      <c r="S8900" t="s">
        <v>7000</v>
      </c>
      <c r="T8900" t="s">
        <v>46</v>
      </c>
    </row>
    <row r="8901" spans="1:20" x14ac:dyDescent="0.25">
      <c r="A8901">
        <v>9</v>
      </c>
      <c r="B8901">
        <v>461</v>
      </c>
      <c r="C8901" t="str">
        <f t="shared" si="2031"/>
        <v>36</v>
      </c>
      <c r="D8901">
        <v>6495</v>
      </c>
      <c r="E8901" t="str">
        <f>"7K"</f>
        <v>7K</v>
      </c>
      <c r="F8901" t="str">
        <f>"001"</f>
        <v>001</v>
      </c>
      <c r="G8901">
        <v>9</v>
      </c>
      <c r="H8901" t="str">
        <f t="shared" si="2033"/>
        <v>99</v>
      </c>
      <c r="I8901" t="str">
        <f t="shared" si="2032"/>
        <v>0</v>
      </c>
      <c r="J8901" t="str">
        <f t="shared" si="2023"/>
        <v>00</v>
      </c>
      <c r="K8901">
        <v>20180914</v>
      </c>
      <c r="L8901" t="str">
        <f>"073816"</f>
        <v>073816</v>
      </c>
      <c r="M8901" t="str">
        <f>"54104"</f>
        <v>54104</v>
      </c>
      <c r="N8901" t="s">
        <v>1649</v>
      </c>
      <c r="O8901" s="1">
        <v>1300</v>
      </c>
      <c r="P8901">
        <v>20180913</v>
      </c>
      <c r="Q8901" t="s">
        <v>7016</v>
      </c>
      <c r="R8901" t="s">
        <v>1651</v>
      </c>
      <c r="S8901" t="s">
        <v>7000</v>
      </c>
      <c r="T8901" t="s">
        <v>301</v>
      </c>
    </row>
    <row r="8902" spans="1:20" x14ac:dyDescent="0.25">
      <c r="A8902">
        <v>9</v>
      </c>
      <c r="B8902">
        <v>461</v>
      </c>
      <c r="C8902" t="str">
        <f t="shared" si="2031"/>
        <v>36</v>
      </c>
      <c r="D8902">
        <v>6399</v>
      </c>
      <c r="E8902" t="str">
        <f>"00"</f>
        <v>00</v>
      </c>
      <c r="F8902" t="str">
        <f>"942"</f>
        <v>942</v>
      </c>
      <c r="G8902">
        <v>9</v>
      </c>
      <c r="H8902" t="str">
        <f t="shared" si="2033"/>
        <v>99</v>
      </c>
      <c r="I8902" t="str">
        <f t="shared" si="2032"/>
        <v>0</v>
      </c>
      <c r="J8902" t="str">
        <f>"88"</f>
        <v>88</v>
      </c>
      <c r="K8902">
        <v>20180920</v>
      </c>
      <c r="L8902" t="str">
        <f>"073817"</f>
        <v>073817</v>
      </c>
      <c r="M8902" t="str">
        <f>"00550"</f>
        <v>00550</v>
      </c>
      <c r="N8902" t="s">
        <v>7017</v>
      </c>
      <c r="O8902" s="1">
        <v>2500</v>
      </c>
      <c r="P8902">
        <v>20180920</v>
      </c>
      <c r="Q8902" t="s">
        <v>7018</v>
      </c>
      <c r="R8902" t="s">
        <v>7019</v>
      </c>
      <c r="S8902" t="s">
        <v>7000</v>
      </c>
      <c r="T8902" t="s">
        <v>1831</v>
      </c>
    </row>
    <row r="8903" spans="1:20" x14ac:dyDescent="0.25">
      <c r="A8903">
        <v>9</v>
      </c>
      <c r="B8903">
        <v>461</v>
      </c>
      <c r="C8903" t="str">
        <f t="shared" si="2031"/>
        <v>36</v>
      </c>
      <c r="D8903">
        <v>6399</v>
      </c>
      <c r="E8903" t="str">
        <f>"Y5"</f>
        <v>Y5</v>
      </c>
      <c r="F8903" t="str">
        <f>"802"</f>
        <v>802</v>
      </c>
      <c r="G8903">
        <v>9</v>
      </c>
      <c r="H8903" t="str">
        <f t="shared" si="2033"/>
        <v>99</v>
      </c>
      <c r="I8903" t="str">
        <f t="shared" si="2032"/>
        <v>0</v>
      </c>
      <c r="J8903" t="str">
        <f t="shared" ref="J8903:J8918" si="2034">"00"</f>
        <v>00</v>
      </c>
      <c r="K8903">
        <v>20180921</v>
      </c>
      <c r="L8903" t="str">
        <f>"073825"</f>
        <v>073825</v>
      </c>
      <c r="M8903" t="str">
        <f>"00420"</f>
        <v>00420</v>
      </c>
      <c r="N8903" t="s">
        <v>7020</v>
      </c>
      <c r="O8903" s="1">
        <v>1130.1199999999999</v>
      </c>
      <c r="P8903">
        <v>20180920</v>
      </c>
      <c r="Q8903" t="s">
        <v>7021</v>
      </c>
      <c r="R8903" t="s">
        <v>7022</v>
      </c>
      <c r="S8903" t="s">
        <v>7000</v>
      </c>
      <c r="T8903" t="s">
        <v>7023</v>
      </c>
    </row>
    <row r="8904" spans="1:20" x14ac:dyDescent="0.25">
      <c r="A8904">
        <v>9</v>
      </c>
      <c r="B8904">
        <v>461</v>
      </c>
      <c r="C8904" t="str">
        <f t="shared" si="2031"/>
        <v>36</v>
      </c>
      <c r="D8904">
        <v>6399</v>
      </c>
      <c r="E8904" t="str">
        <f>"3B"</f>
        <v>3B</v>
      </c>
      <c r="F8904" t="str">
        <f>"001"</f>
        <v>001</v>
      </c>
      <c r="G8904">
        <v>9</v>
      </c>
      <c r="H8904" t="str">
        <f>"91"</f>
        <v>91</v>
      </c>
      <c r="I8904" t="str">
        <f t="shared" si="2032"/>
        <v>0</v>
      </c>
      <c r="J8904" t="str">
        <f t="shared" si="2034"/>
        <v>00</v>
      </c>
      <c r="K8904">
        <v>20180921</v>
      </c>
      <c r="L8904" t="str">
        <f>"073827"</f>
        <v>073827</v>
      </c>
      <c r="M8904" t="str">
        <f>"08788"</f>
        <v>08788</v>
      </c>
      <c r="N8904" t="s">
        <v>473</v>
      </c>
      <c r="O8904">
        <v>571.17999999999995</v>
      </c>
      <c r="P8904">
        <v>20180920</v>
      </c>
      <c r="Q8904" t="s">
        <v>7024</v>
      </c>
      <c r="R8904" t="s">
        <v>7025</v>
      </c>
      <c r="S8904" t="s">
        <v>7000</v>
      </c>
      <c r="T8904" t="s">
        <v>301</v>
      </c>
    </row>
    <row r="8905" spans="1:20" x14ac:dyDescent="0.25">
      <c r="A8905">
        <v>9</v>
      </c>
      <c r="B8905">
        <v>461</v>
      </c>
      <c r="C8905" t="str">
        <f t="shared" si="2031"/>
        <v>36</v>
      </c>
      <c r="D8905">
        <v>6399</v>
      </c>
      <c r="E8905" t="str">
        <f>"3Y"</f>
        <v>3Y</v>
      </c>
      <c r="F8905" t="str">
        <f>"041"</f>
        <v>041</v>
      </c>
      <c r="G8905">
        <v>9</v>
      </c>
      <c r="H8905" t="str">
        <f>"91"</f>
        <v>91</v>
      </c>
      <c r="I8905" t="str">
        <f t="shared" si="2032"/>
        <v>0</v>
      </c>
      <c r="J8905" t="str">
        <f t="shared" si="2034"/>
        <v>00</v>
      </c>
      <c r="K8905">
        <v>20180921</v>
      </c>
      <c r="L8905" t="str">
        <f>"073853"</f>
        <v>073853</v>
      </c>
      <c r="M8905" t="str">
        <f>"27176"</f>
        <v>27176</v>
      </c>
      <c r="N8905" t="s">
        <v>7026</v>
      </c>
      <c r="O8905">
        <v>273</v>
      </c>
      <c r="P8905">
        <v>20180920</v>
      </c>
      <c r="Q8905" t="s">
        <v>7027</v>
      </c>
      <c r="R8905" t="s">
        <v>7028</v>
      </c>
      <c r="S8905" t="s">
        <v>7000</v>
      </c>
      <c r="T8905" t="s">
        <v>106</v>
      </c>
    </row>
    <row r="8906" spans="1:20" x14ac:dyDescent="0.25">
      <c r="A8906">
        <v>9</v>
      </c>
      <c r="B8906">
        <v>461</v>
      </c>
      <c r="C8906" t="str">
        <f t="shared" si="2031"/>
        <v>36</v>
      </c>
      <c r="D8906">
        <v>6495</v>
      </c>
      <c r="E8906" t="str">
        <f>"7K"</f>
        <v>7K</v>
      </c>
      <c r="F8906" t="str">
        <f>"001"</f>
        <v>001</v>
      </c>
      <c r="G8906">
        <v>9</v>
      </c>
      <c r="H8906" t="str">
        <f>"99"</f>
        <v>99</v>
      </c>
      <c r="I8906" t="str">
        <f t="shared" si="2032"/>
        <v>0</v>
      </c>
      <c r="J8906" t="str">
        <f t="shared" si="2034"/>
        <v>00</v>
      </c>
      <c r="K8906">
        <v>20180921</v>
      </c>
      <c r="L8906" t="str">
        <f>"073854"</f>
        <v>073854</v>
      </c>
      <c r="M8906" t="str">
        <f>"28420"</f>
        <v>28420</v>
      </c>
      <c r="N8906" t="s">
        <v>4908</v>
      </c>
      <c r="O8906">
        <v>95</v>
      </c>
      <c r="P8906">
        <v>20180920</v>
      </c>
      <c r="Q8906" t="s">
        <v>7016</v>
      </c>
      <c r="R8906" t="s">
        <v>1837</v>
      </c>
      <c r="S8906" t="s">
        <v>7000</v>
      </c>
      <c r="T8906" t="s">
        <v>301</v>
      </c>
    </row>
    <row r="8907" spans="1:20" x14ac:dyDescent="0.25">
      <c r="A8907">
        <v>9</v>
      </c>
      <c r="B8907">
        <v>461</v>
      </c>
      <c r="C8907" t="str">
        <f t="shared" si="2031"/>
        <v>36</v>
      </c>
      <c r="D8907">
        <v>6495</v>
      </c>
      <c r="E8907" t="str">
        <f>"7K"</f>
        <v>7K</v>
      </c>
      <c r="F8907" t="str">
        <f>"001"</f>
        <v>001</v>
      </c>
      <c r="G8907">
        <v>9</v>
      </c>
      <c r="H8907" t="str">
        <f>"99"</f>
        <v>99</v>
      </c>
      <c r="I8907" t="str">
        <f t="shared" si="2032"/>
        <v>0</v>
      </c>
      <c r="J8907" t="str">
        <f t="shared" si="2034"/>
        <v>00</v>
      </c>
      <c r="K8907">
        <v>20180927</v>
      </c>
      <c r="L8907" t="str">
        <f>"073854"</f>
        <v>073854</v>
      </c>
      <c r="M8907" t="str">
        <f>"28420"</f>
        <v>28420</v>
      </c>
      <c r="N8907" t="s">
        <v>4908</v>
      </c>
      <c r="O8907">
        <v>-95</v>
      </c>
      <c r="P8907">
        <v>20180927</v>
      </c>
      <c r="Q8907" t="s">
        <v>7016</v>
      </c>
      <c r="R8907" t="s">
        <v>409</v>
      </c>
      <c r="S8907" t="s">
        <v>7000</v>
      </c>
      <c r="T8907" t="s">
        <v>301</v>
      </c>
    </row>
    <row r="8908" spans="1:20" x14ac:dyDescent="0.25">
      <c r="A8908">
        <v>9</v>
      </c>
      <c r="B8908">
        <v>461</v>
      </c>
      <c r="C8908" t="str">
        <f>"00"</f>
        <v>00</v>
      </c>
      <c r="D8908">
        <v>2110</v>
      </c>
      <c r="E8908" t="str">
        <f>"18"</f>
        <v>18</v>
      </c>
      <c r="F8908" t="str">
        <f>"000"</f>
        <v>000</v>
      </c>
      <c r="G8908">
        <v>9</v>
      </c>
      <c r="H8908" t="str">
        <f>"00"</f>
        <v>00</v>
      </c>
      <c r="I8908" t="str">
        <f t="shared" si="2032"/>
        <v>0</v>
      </c>
      <c r="J8908" t="str">
        <f t="shared" si="2034"/>
        <v>00</v>
      </c>
      <c r="K8908">
        <v>20180921</v>
      </c>
      <c r="L8908" t="str">
        <f>"073865"</f>
        <v>073865</v>
      </c>
      <c r="M8908" t="str">
        <f>"31345"</f>
        <v>31345</v>
      </c>
      <c r="N8908" t="s">
        <v>1394</v>
      </c>
      <c r="O8908" s="1">
        <v>3468</v>
      </c>
      <c r="P8908">
        <v>20180921</v>
      </c>
      <c r="Q8908" t="s">
        <v>7029</v>
      </c>
      <c r="R8908" t="s">
        <v>7030</v>
      </c>
      <c r="S8908" t="s">
        <v>7000</v>
      </c>
      <c r="T8908" t="s">
        <v>296</v>
      </c>
    </row>
    <row r="8909" spans="1:20" x14ac:dyDescent="0.25">
      <c r="A8909">
        <v>9</v>
      </c>
      <c r="B8909">
        <v>461</v>
      </c>
      <c r="C8909" t="str">
        <f>"00"</f>
        <v>00</v>
      </c>
      <c r="D8909">
        <v>2110</v>
      </c>
      <c r="E8909" t="str">
        <f>"18"</f>
        <v>18</v>
      </c>
      <c r="F8909" t="str">
        <f>"000"</f>
        <v>000</v>
      </c>
      <c r="G8909">
        <v>9</v>
      </c>
      <c r="H8909" t="str">
        <f>"00"</f>
        <v>00</v>
      </c>
      <c r="I8909" t="str">
        <f t="shared" si="2032"/>
        <v>0</v>
      </c>
      <c r="J8909" t="str">
        <f t="shared" si="2034"/>
        <v>00</v>
      </c>
      <c r="K8909">
        <v>20180921</v>
      </c>
      <c r="L8909" t="str">
        <f>"073866"</f>
        <v>073866</v>
      </c>
      <c r="M8909" t="str">
        <f>"00563"</f>
        <v>00563</v>
      </c>
      <c r="N8909" t="s">
        <v>7031</v>
      </c>
      <c r="O8909">
        <v>125</v>
      </c>
      <c r="P8909">
        <v>20180921</v>
      </c>
      <c r="Q8909" t="s">
        <v>7029</v>
      </c>
      <c r="R8909" t="s">
        <v>7032</v>
      </c>
      <c r="S8909" t="s">
        <v>7000</v>
      </c>
      <c r="T8909" t="s">
        <v>296</v>
      </c>
    </row>
    <row r="8910" spans="1:20" x14ac:dyDescent="0.25">
      <c r="A8910">
        <v>9</v>
      </c>
      <c r="B8910">
        <v>461</v>
      </c>
      <c r="C8910" t="str">
        <f>"36"</f>
        <v>36</v>
      </c>
      <c r="D8910">
        <v>6399</v>
      </c>
      <c r="E8910" t="str">
        <f>"H2"</f>
        <v>H2</v>
      </c>
      <c r="F8910" t="str">
        <f>"001"</f>
        <v>001</v>
      </c>
      <c r="G8910">
        <v>9</v>
      </c>
      <c r="H8910" t="str">
        <f>"99"</f>
        <v>99</v>
      </c>
      <c r="I8910" t="str">
        <f t="shared" si="2032"/>
        <v>0</v>
      </c>
      <c r="J8910" t="str">
        <f t="shared" si="2034"/>
        <v>00</v>
      </c>
      <c r="K8910">
        <v>20180921</v>
      </c>
      <c r="L8910" t="str">
        <f>"073905"</f>
        <v>073905</v>
      </c>
      <c r="M8910" t="str">
        <f>"58204"</f>
        <v>58204</v>
      </c>
      <c r="N8910" t="s">
        <v>1767</v>
      </c>
      <c r="O8910">
        <v>100</v>
      </c>
      <c r="P8910">
        <v>20180921</v>
      </c>
      <c r="Q8910" t="s">
        <v>7033</v>
      </c>
      <c r="R8910" t="s">
        <v>7034</v>
      </c>
      <c r="S8910" t="s">
        <v>7000</v>
      </c>
      <c r="T8910" t="s">
        <v>301</v>
      </c>
    </row>
    <row r="8911" spans="1:20" x14ac:dyDescent="0.25">
      <c r="A8911">
        <v>9</v>
      </c>
      <c r="B8911">
        <v>461</v>
      </c>
      <c r="C8911" t="str">
        <f>"00"</f>
        <v>00</v>
      </c>
      <c r="D8911">
        <v>2110</v>
      </c>
      <c r="E8911" t="str">
        <f>"18"</f>
        <v>18</v>
      </c>
      <c r="F8911" t="str">
        <f>"000"</f>
        <v>000</v>
      </c>
      <c r="G8911">
        <v>9</v>
      </c>
      <c r="H8911" t="str">
        <f>"00"</f>
        <v>00</v>
      </c>
      <c r="I8911" t="str">
        <f t="shared" si="2032"/>
        <v>0</v>
      </c>
      <c r="J8911" t="str">
        <f t="shared" si="2034"/>
        <v>00</v>
      </c>
      <c r="K8911">
        <v>20180921</v>
      </c>
      <c r="L8911" t="str">
        <f>"073928"</f>
        <v>073928</v>
      </c>
      <c r="M8911" t="str">
        <f>"00568"</f>
        <v>00568</v>
      </c>
      <c r="N8911" t="s">
        <v>7035</v>
      </c>
      <c r="O8911">
        <v>125</v>
      </c>
      <c r="P8911">
        <v>20180921</v>
      </c>
      <c r="Q8911" t="s">
        <v>7029</v>
      </c>
      <c r="R8911" t="s">
        <v>7032</v>
      </c>
      <c r="S8911" t="s">
        <v>7000</v>
      </c>
      <c r="T8911" t="s">
        <v>296</v>
      </c>
    </row>
    <row r="8912" spans="1:20" x14ac:dyDescent="0.25">
      <c r="A8912">
        <v>9</v>
      </c>
      <c r="B8912">
        <v>461</v>
      </c>
      <c r="C8912" t="str">
        <f t="shared" ref="C8912:C8934" si="2035">"36"</f>
        <v>36</v>
      </c>
      <c r="D8912">
        <v>6399</v>
      </c>
      <c r="E8912" t="str">
        <f>"PR"</f>
        <v>PR</v>
      </c>
      <c r="F8912" t="str">
        <f>"104"</f>
        <v>104</v>
      </c>
      <c r="G8912">
        <v>9</v>
      </c>
      <c r="H8912" t="str">
        <f t="shared" ref="H8912:H8923" si="2036">"99"</f>
        <v>99</v>
      </c>
      <c r="I8912" t="str">
        <f t="shared" si="2032"/>
        <v>0</v>
      </c>
      <c r="J8912" t="str">
        <f t="shared" si="2034"/>
        <v>00</v>
      </c>
      <c r="K8912">
        <v>20180921</v>
      </c>
      <c r="L8912" t="str">
        <f>"073941"</f>
        <v>073941</v>
      </c>
      <c r="M8912" t="str">
        <f>"78346"</f>
        <v>78346</v>
      </c>
      <c r="N8912" t="s">
        <v>4375</v>
      </c>
      <c r="O8912">
        <v>640</v>
      </c>
      <c r="P8912">
        <v>20180921</v>
      </c>
      <c r="Q8912" t="s">
        <v>7014</v>
      </c>
      <c r="R8912" t="s">
        <v>7036</v>
      </c>
      <c r="S8912" t="s">
        <v>7000</v>
      </c>
      <c r="T8912" t="s">
        <v>46</v>
      </c>
    </row>
    <row r="8913" spans="1:20" x14ac:dyDescent="0.25">
      <c r="A8913">
        <v>9</v>
      </c>
      <c r="B8913">
        <v>461</v>
      </c>
      <c r="C8913" t="str">
        <f t="shared" si="2035"/>
        <v>36</v>
      </c>
      <c r="D8913">
        <v>6399</v>
      </c>
      <c r="E8913" t="str">
        <f>"61"</f>
        <v>61</v>
      </c>
      <c r="F8913" t="str">
        <f>"101"</f>
        <v>101</v>
      </c>
      <c r="G8913">
        <v>9</v>
      </c>
      <c r="H8913" t="str">
        <f t="shared" si="2036"/>
        <v>99</v>
      </c>
      <c r="I8913" t="str">
        <f t="shared" si="2032"/>
        <v>0</v>
      </c>
      <c r="J8913" t="str">
        <f t="shared" si="2034"/>
        <v>00</v>
      </c>
      <c r="K8913">
        <v>20180921</v>
      </c>
      <c r="L8913" t="str">
        <f>"073945"</f>
        <v>073945</v>
      </c>
      <c r="M8913" t="str">
        <f>"24519"</f>
        <v>24519</v>
      </c>
      <c r="N8913" t="s">
        <v>7037</v>
      </c>
      <c r="O8913" s="1">
        <v>26856</v>
      </c>
      <c r="P8913">
        <v>20180921</v>
      </c>
      <c r="Q8913" t="s">
        <v>7007</v>
      </c>
      <c r="R8913" t="s">
        <v>7038</v>
      </c>
      <c r="S8913" t="s">
        <v>7000</v>
      </c>
      <c r="T8913" t="s">
        <v>1479</v>
      </c>
    </row>
    <row r="8914" spans="1:20" x14ac:dyDescent="0.25">
      <c r="A8914">
        <v>9</v>
      </c>
      <c r="B8914">
        <v>461</v>
      </c>
      <c r="C8914" t="str">
        <f t="shared" si="2035"/>
        <v>36</v>
      </c>
      <c r="D8914">
        <v>6399</v>
      </c>
      <c r="E8914" t="str">
        <f>"PR"</f>
        <v>PR</v>
      </c>
      <c r="F8914" t="str">
        <f>"104"</f>
        <v>104</v>
      </c>
      <c r="G8914">
        <v>9</v>
      </c>
      <c r="H8914" t="str">
        <f t="shared" si="2036"/>
        <v>99</v>
      </c>
      <c r="I8914" t="str">
        <f t="shared" si="2032"/>
        <v>0</v>
      </c>
      <c r="J8914" t="str">
        <f t="shared" si="2034"/>
        <v>00</v>
      </c>
      <c r="K8914">
        <v>20180921</v>
      </c>
      <c r="L8914" t="str">
        <f>"073946"</f>
        <v>073946</v>
      </c>
      <c r="M8914" t="str">
        <f>"24519"</f>
        <v>24519</v>
      </c>
      <c r="N8914" t="s">
        <v>7037</v>
      </c>
      <c r="O8914" s="1">
        <v>22983.919999999998</v>
      </c>
      <c r="P8914">
        <v>20180921</v>
      </c>
      <c r="Q8914" t="s">
        <v>7014</v>
      </c>
      <c r="R8914" t="s">
        <v>7038</v>
      </c>
      <c r="S8914" t="s">
        <v>7000</v>
      </c>
      <c r="T8914" t="s">
        <v>46</v>
      </c>
    </row>
    <row r="8915" spans="1:20" x14ac:dyDescent="0.25">
      <c r="A8915">
        <v>9</v>
      </c>
      <c r="B8915">
        <v>461</v>
      </c>
      <c r="C8915" t="str">
        <f t="shared" si="2035"/>
        <v>36</v>
      </c>
      <c r="D8915">
        <v>6399</v>
      </c>
      <c r="E8915" t="str">
        <f>"PR"</f>
        <v>PR</v>
      </c>
      <c r="F8915" t="str">
        <f>"104"</f>
        <v>104</v>
      </c>
      <c r="G8915">
        <v>9</v>
      </c>
      <c r="H8915" t="str">
        <f t="shared" si="2036"/>
        <v>99</v>
      </c>
      <c r="I8915" t="str">
        <f t="shared" si="2032"/>
        <v>0</v>
      </c>
      <c r="J8915" t="str">
        <f t="shared" si="2034"/>
        <v>00</v>
      </c>
      <c r="K8915">
        <v>20180921</v>
      </c>
      <c r="L8915" t="str">
        <f>"073948"</f>
        <v>073948</v>
      </c>
      <c r="M8915" t="str">
        <f>"81155"</f>
        <v>81155</v>
      </c>
      <c r="N8915" t="s">
        <v>149</v>
      </c>
      <c r="O8915">
        <v>175</v>
      </c>
      <c r="P8915">
        <v>20180921</v>
      </c>
      <c r="Q8915" t="s">
        <v>7014</v>
      </c>
      <c r="R8915" t="s">
        <v>1848</v>
      </c>
      <c r="S8915" t="s">
        <v>7000</v>
      </c>
      <c r="T8915" t="s">
        <v>46</v>
      </c>
    </row>
    <row r="8916" spans="1:20" x14ac:dyDescent="0.25">
      <c r="A8916">
        <v>9</v>
      </c>
      <c r="B8916">
        <v>461</v>
      </c>
      <c r="C8916" t="str">
        <f t="shared" si="2035"/>
        <v>36</v>
      </c>
      <c r="D8916">
        <v>6399</v>
      </c>
      <c r="E8916" t="str">
        <f>"89"</f>
        <v>89</v>
      </c>
      <c r="F8916" t="str">
        <f>"001"</f>
        <v>001</v>
      </c>
      <c r="G8916">
        <v>9</v>
      </c>
      <c r="H8916" t="str">
        <f t="shared" si="2036"/>
        <v>99</v>
      </c>
      <c r="I8916" t="str">
        <f t="shared" si="2032"/>
        <v>0</v>
      </c>
      <c r="J8916" t="str">
        <f t="shared" si="2034"/>
        <v>00</v>
      </c>
      <c r="K8916">
        <v>20180921</v>
      </c>
      <c r="L8916" t="str">
        <f>"073952"</f>
        <v>073952</v>
      </c>
      <c r="M8916" t="str">
        <f>"81269"</f>
        <v>81269</v>
      </c>
      <c r="N8916" t="s">
        <v>60</v>
      </c>
      <c r="O8916">
        <v>50</v>
      </c>
      <c r="P8916">
        <v>20180921</v>
      </c>
      <c r="Q8916" t="s">
        <v>7039</v>
      </c>
      <c r="R8916" t="s">
        <v>7040</v>
      </c>
      <c r="S8916" t="s">
        <v>7000</v>
      </c>
      <c r="T8916" t="s">
        <v>301</v>
      </c>
    </row>
    <row r="8917" spans="1:20" x14ac:dyDescent="0.25">
      <c r="A8917">
        <v>9</v>
      </c>
      <c r="B8917">
        <v>461</v>
      </c>
      <c r="C8917" t="str">
        <f t="shared" si="2035"/>
        <v>36</v>
      </c>
      <c r="D8917">
        <v>6399</v>
      </c>
      <c r="E8917" t="str">
        <f>"H2"</f>
        <v>H2</v>
      </c>
      <c r="F8917" t="str">
        <f>"001"</f>
        <v>001</v>
      </c>
      <c r="G8917">
        <v>9</v>
      </c>
      <c r="H8917" t="str">
        <f t="shared" si="2036"/>
        <v>99</v>
      </c>
      <c r="I8917" t="str">
        <f t="shared" si="2032"/>
        <v>0</v>
      </c>
      <c r="J8917" t="str">
        <f t="shared" si="2034"/>
        <v>00</v>
      </c>
      <c r="K8917">
        <v>20180921</v>
      </c>
      <c r="L8917" t="str">
        <f>"073952"</f>
        <v>073952</v>
      </c>
      <c r="M8917" t="str">
        <f>"81269"</f>
        <v>81269</v>
      </c>
      <c r="N8917" t="s">
        <v>60</v>
      </c>
      <c r="O8917">
        <v>100</v>
      </c>
      <c r="P8917">
        <v>20180921</v>
      </c>
      <c r="Q8917" t="s">
        <v>7033</v>
      </c>
      <c r="R8917" t="s">
        <v>7040</v>
      </c>
      <c r="S8917" t="s">
        <v>7000</v>
      </c>
      <c r="T8917" t="s">
        <v>301</v>
      </c>
    </row>
    <row r="8918" spans="1:20" x14ac:dyDescent="0.25">
      <c r="A8918">
        <v>9</v>
      </c>
      <c r="B8918">
        <v>461</v>
      </c>
      <c r="C8918" t="str">
        <f t="shared" si="2035"/>
        <v>36</v>
      </c>
      <c r="D8918">
        <v>6399</v>
      </c>
      <c r="E8918" t="str">
        <f>"PL"</f>
        <v>PL</v>
      </c>
      <c r="F8918" t="str">
        <f>"001"</f>
        <v>001</v>
      </c>
      <c r="G8918">
        <v>9</v>
      </c>
      <c r="H8918" t="str">
        <f t="shared" si="2036"/>
        <v>99</v>
      </c>
      <c r="I8918" t="str">
        <f t="shared" si="2032"/>
        <v>0</v>
      </c>
      <c r="J8918" t="str">
        <f t="shared" si="2034"/>
        <v>00</v>
      </c>
      <c r="K8918">
        <v>20180921</v>
      </c>
      <c r="L8918" t="str">
        <f>"073952"</f>
        <v>073952</v>
      </c>
      <c r="M8918" t="str">
        <f>"81269"</f>
        <v>81269</v>
      </c>
      <c r="N8918" t="s">
        <v>60</v>
      </c>
      <c r="O8918">
        <v>50</v>
      </c>
      <c r="P8918">
        <v>20180921</v>
      </c>
      <c r="Q8918" t="s">
        <v>7041</v>
      </c>
      <c r="R8918" t="s">
        <v>7040</v>
      </c>
      <c r="S8918" t="s">
        <v>7000</v>
      </c>
      <c r="T8918" t="s">
        <v>301</v>
      </c>
    </row>
    <row r="8919" spans="1:20" x14ac:dyDescent="0.25">
      <c r="A8919">
        <v>9</v>
      </c>
      <c r="B8919">
        <v>461</v>
      </c>
      <c r="C8919" t="str">
        <f t="shared" si="2035"/>
        <v>36</v>
      </c>
      <c r="D8919">
        <v>6399</v>
      </c>
      <c r="E8919" t="str">
        <f>"00"</f>
        <v>00</v>
      </c>
      <c r="F8919" t="str">
        <f>"942"</f>
        <v>942</v>
      </c>
      <c r="G8919">
        <v>9</v>
      </c>
      <c r="H8919" t="str">
        <f t="shared" si="2036"/>
        <v>99</v>
      </c>
      <c r="I8919" t="str">
        <f t="shared" si="2032"/>
        <v>0</v>
      </c>
      <c r="J8919" t="str">
        <f>"88"</f>
        <v>88</v>
      </c>
      <c r="K8919">
        <v>20180928</v>
      </c>
      <c r="L8919" t="str">
        <f>"073967"</f>
        <v>073967</v>
      </c>
      <c r="M8919" t="str">
        <f>"04410"</f>
        <v>04410</v>
      </c>
      <c r="N8919" t="s">
        <v>410</v>
      </c>
      <c r="O8919">
        <v>-899</v>
      </c>
      <c r="P8919">
        <v>20180928</v>
      </c>
      <c r="Q8919" t="s">
        <v>7018</v>
      </c>
      <c r="R8919" t="s">
        <v>412</v>
      </c>
      <c r="S8919" t="s">
        <v>7000</v>
      </c>
      <c r="T8919" t="s">
        <v>1831</v>
      </c>
    </row>
    <row r="8920" spans="1:20" x14ac:dyDescent="0.25">
      <c r="A8920">
        <v>9</v>
      </c>
      <c r="B8920">
        <v>461</v>
      </c>
      <c r="C8920" t="str">
        <f t="shared" si="2035"/>
        <v>36</v>
      </c>
      <c r="D8920">
        <v>6399</v>
      </c>
      <c r="E8920" t="str">
        <f>"7B"</f>
        <v>7B</v>
      </c>
      <c r="F8920" t="str">
        <f>"001"</f>
        <v>001</v>
      </c>
      <c r="G8920">
        <v>9</v>
      </c>
      <c r="H8920" t="str">
        <f t="shared" si="2036"/>
        <v>99</v>
      </c>
      <c r="I8920" t="str">
        <f t="shared" si="2032"/>
        <v>0</v>
      </c>
      <c r="J8920" t="str">
        <f t="shared" ref="J8920:J8932" si="2037">"00"</f>
        <v>00</v>
      </c>
      <c r="K8920">
        <v>20180928</v>
      </c>
      <c r="L8920" t="str">
        <f>"073967"</f>
        <v>073967</v>
      </c>
      <c r="M8920" t="str">
        <f>"04410"</f>
        <v>04410</v>
      </c>
      <c r="N8920" t="s">
        <v>410</v>
      </c>
      <c r="O8920">
        <v>-107.82</v>
      </c>
      <c r="P8920">
        <v>20180928</v>
      </c>
      <c r="Q8920" t="s">
        <v>7042</v>
      </c>
      <c r="R8920" t="s">
        <v>412</v>
      </c>
      <c r="S8920" t="s">
        <v>7000</v>
      </c>
      <c r="T8920" t="s">
        <v>301</v>
      </c>
    </row>
    <row r="8921" spans="1:20" x14ac:dyDescent="0.25">
      <c r="A8921">
        <v>9</v>
      </c>
      <c r="B8921">
        <v>461</v>
      </c>
      <c r="C8921" t="str">
        <f t="shared" si="2035"/>
        <v>36</v>
      </c>
      <c r="D8921">
        <v>6399</v>
      </c>
      <c r="E8921" t="str">
        <f>"7B"</f>
        <v>7B</v>
      </c>
      <c r="F8921" t="str">
        <f>"001"</f>
        <v>001</v>
      </c>
      <c r="G8921">
        <v>9</v>
      </c>
      <c r="H8921" t="str">
        <f t="shared" si="2036"/>
        <v>99</v>
      </c>
      <c r="I8921" t="str">
        <f t="shared" si="2032"/>
        <v>0</v>
      </c>
      <c r="J8921" t="str">
        <f t="shared" si="2037"/>
        <v>00</v>
      </c>
      <c r="K8921">
        <v>20180928</v>
      </c>
      <c r="L8921" t="str">
        <f>"073967"</f>
        <v>073967</v>
      </c>
      <c r="M8921" t="str">
        <f>"04410"</f>
        <v>04410</v>
      </c>
      <c r="N8921" t="s">
        <v>410</v>
      </c>
      <c r="O8921">
        <v>-139.9</v>
      </c>
      <c r="P8921">
        <v>20180928</v>
      </c>
      <c r="Q8921" t="s">
        <v>7042</v>
      </c>
      <c r="R8921" t="s">
        <v>412</v>
      </c>
      <c r="S8921" t="s">
        <v>7000</v>
      </c>
      <c r="T8921" t="s">
        <v>301</v>
      </c>
    </row>
    <row r="8922" spans="1:20" x14ac:dyDescent="0.25">
      <c r="A8922">
        <v>9</v>
      </c>
      <c r="B8922">
        <v>461</v>
      </c>
      <c r="C8922" t="str">
        <f t="shared" si="2035"/>
        <v>36</v>
      </c>
      <c r="D8922">
        <v>6399</v>
      </c>
      <c r="E8922" t="str">
        <f>"7B"</f>
        <v>7B</v>
      </c>
      <c r="F8922" t="str">
        <f>"001"</f>
        <v>001</v>
      </c>
      <c r="G8922">
        <v>9</v>
      </c>
      <c r="H8922" t="str">
        <f t="shared" si="2036"/>
        <v>99</v>
      </c>
      <c r="I8922" t="str">
        <f t="shared" si="2032"/>
        <v>0</v>
      </c>
      <c r="J8922" t="str">
        <f t="shared" si="2037"/>
        <v>00</v>
      </c>
      <c r="K8922">
        <v>20180928</v>
      </c>
      <c r="L8922" t="str">
        <f>"073967"</f>
        <v>073967</v>
      </c>
      <c r="M8922" t="str">
        <f>"04410"</f>
        <v>04410</v>
      </c>
      <c r="N8922" t="s">
        <v>410</v>
      </c>
      <c r="O8922">
        <v>-272.86</v>
      </c>
      <c r="P8922">
        <v>20180928</v>
      </c>
      <c r="Q8922" t="s">
        <v>7042</v>
      </c>
      <c r="R8922" t="s">
        <v>412</v>
      </c>
      <c r="S8922" t="s">
        <v>7000</v>
      </c>
      <c r="T8922" t="s">
        <v>301</v>
      </c>
    </row>
    <row r="8923" spans="1:20" x14ac:dyDescent="0.25">
      <c r="A8923">
        <v>9</v>
      </c>
      <c r="B8923">
        <v>461</v>
      </c>
      <c r="C8923" t="str">
        <f t="shared" si="2035"/>
        <v>36</v>
      </c>
      <c r="D8923">
        <v>6399</v>
      </c>
      <c r="E8923" t="str">
        <f>"GN"</f>
        <v>GN</v>
      </c>
      <c r="F8923" t="str">
        <f>"001"</f>
        <v>001</v>
      </c>
      <c r="G8923">
        <v>9</v>
      </c>
      <c r="H8923" t="str">
        <f t="shared" si="2036"/>
        <v>99</v>
      </c>
      <c r="I8923" t="str">
        <f t="shared" si="2032"/>
        <v>0</v>
      </c>
      <c r="J8923" t="str">
        <f t="shared" si="2037"/>
        <v>00</v>
      </c>
      <c r="K8923">
        <v>20180928</v>
      </c>
      <c r="L8923" t="str">
        <f>"073967"</f>
        <v>073967</v>
      </c>
      <c r="M8923" t="str">
        <f>"04410"</f>
        <v>04410</v>
      </c>
      <c r="N8923" t="s">
        <v>410</v>
      </c>
      <c r="O8923">
        <v>-407.76</v>
      </c>
      <c r="P8923">
        <v>20180928</v>
      </c>
      <c r="Q8923" t="s">
        <v>7043</v>
      </c>
      <c r="R8923" t="s">
        <v>412</v>
      </c>
      <c r="S8923" t="s">
        <v>7000</v>
      </c>
      <c r="T8923" t="s">
        <v>301</v>
      </c>
    </row>
    <row r="8924" spans="1:20" x14ac:dyDescent="0.25">
      <c r="A8924">
        <v>9</v>
      </c>
      <c r="B8924">
        <v>461</v>
      </c>
      <c r="C8924" t="str">
        <f t="shared" si="2035"/>
        <v>36</v>
      </c>
      <c r="D8924">
        <v>6219</v>
      </c>
      <c r="E8924" t="str">
        <f>"3Y"</f>
        <v>3Y</v>
      </c>
      <c r="F8924" t="str">
        <f>"041"</f>
        <v>041</v>
      </c>
      <c r="G8924">
        <v>9</v>
      </c>
      <c r="H8924" t="str">
        <f>"91"</f>
        <v>91</v>
      </c>
      <c r="I8924" t="str">
        <f t="shared" si="2032"/>
        <v>0</v>
      </c>
      <c r="J8924" t="str">
        <f t="shared" si="2037"/>
        <v>00</v>
      </c>
      <c r="K8924">
        <v>20180928</v>
      </c>
      <c r="L8924" t="str">
        <f>"073970"</f>
        <v>073970</v>
      </c>
      <c r="M8924" t="str">
        <f>"00403"</f>
        <v>00403</v>
      </c>
      <c r="N8924" t="s">
        <v>504</v>
      </c>
      <c r="O8924">
        <v>-260</v>
      </c>
      <c r="P8924">
        <v>20180928</v>
      </c>
      <c r="Q8924" t="s">
        <v>7044</v>
      </c>
      <c r="R8924" t="s">
        <v>412</v>
      </c>
      <c r="S8924" t="s">
        <v>7000</v>
      </c>
      <c r="T8924" t="s">
        <v>106</v>
      </c>
    </row>
    <row r="8925" spans="1:20" x14ac:dyDescent="0.25">
      <c r="A8925">
        <v>9</v>
      </c>
      <c r="B8925">
        <v>461</v>
      </c>
      <c r="C8925" t="str">
        <f t="shared" si="2035"/>
        <v>36</v>
      </c>
      <c r="D8925">
        <v>6399</v>
      </c>
      <c r="E8925" t="str">
        <f>"7B"</f>
        <v>7B</v>
      </c>
      <c r="F8925" t="str">
        <f>"001"</f>
        <v>001</v>
      </c>
      <c r="G8925">
        <v>9</v>
      </c>
      <c r="H8925" t="str">
        <f>"99"</f>
        <v>99</v>
      </c>
      <c r="I8925" t="str">
        <f t="shared" si="2032"/>
        <v>0</v>
      </c>
      <c r="J8925" t="str">
        <f t="shared" si="2037"/>
        <v>00</v>
      </c>
      <c r="K8925">
        <v>20180928</v>
      </c>
      <c r="L8925" t="str">
        <f>"073973"</f>
        <v>073973</v>
      </c>
      <c r="M8925" t="str">
        <f>"09090"</f>
        <v>09090</v>
      </c>
      <c r="N8925" t="s">
        <v>7045</v>
      </c>
      <c r="O8925">
        <v>-462.1</v>
      </c>
      <c r="P8925">
        <v>20180928</v>
      </c>
      <c r="Q8925" t="s">
        <v>7042</v>
      </c>
      <c r="R8925" t="s">
        <v>412</v>
      </c>
      <c r="S8925" t="s">
        <v>7000</v>
      </c>
      <c r="T8925" t="s">
        <v>301</v>
      </c>
    </row>
    <row r="8926" spans="1:20" x14ac:dyDescent="0.25">
      <c r="A8926">
        <v>9</v>
      </c>
      <c r="B8926">
        <v>461</v>
      </c>
      <c r="C8926" t="str">
        <f t="shared" si="2035"/>
        <v>36</v>
      </c>
      <c r="D8926">
        <v>6399</v>
      </c>
      <c r="E8926" t="str">
        <f>"3Y"</f>
        <v>3Y</v>
      </c>
      <c r="F8926" t="str">
        <f>"041"</f>
        <v>041</v>
      </c>
      <c r="G8926">
        <v>9</v>
      </c>
      <c r="H8926" t="str">
        <f>"91"</f>
        <v>91</v>
      </c>
      <c r="I8926" t="str">
        <f t="shared" si="2032"/>
        <v>0</v>
      </c>
      <c r="J8926" t="str">
        <f t="shared" si="2037"/>
        <v>00</v>
      </c>
      <c r="K8926">
        <v>20180928</v>
      </c>
      <c r="L8926" t="str">
        <f>"073983"</f>
        <v>073983</v>
      </c>
      <c r="M8926" t="str">
        <f>"51346"</f>
        <v>51346</v>
      </c>
      <c r="N8926" t="s">
        <v>418</v>
      </c>
      <c r="O8926">
        <v>-60</v>
      </c>
      <c r="P8926">
        <v>20180928</v>
      </c>
      <c r="Q8926" t="s">
        <v>7027</v>
      </c>
      <c r="R8926" t="s">
        <v>412</v>
      </c>
      <c r="S8926" t="s">
        <v>7000</v>
      </c>
      <c r="T8926" t="s">
        <v>106</v>
      </c>
    </row>
    <row r="8927" spans="1:20" x14ac:dyDescent="0.25">
      <c r="A8927">
        <v>9</v>
      </c>
      <c r="B8927">
        <v>461</v>
      </c>
      <c r="C8927" t="str">
        <f t="shared" si="2035"/>
        <v>36</v>
      </c>
      <c r="D8927">
        <v>6399</v>
      </c>
      <c r="E8927" t="str">
        <f>"3Y"</f>
        <v>3Y</v>
      </c>
      <c r="F8927" t="str">
        <f>"041"</f>
        <v>041</v>
      </c>
      <c r="G8927">
        <v>9</v>
      </c>
      <c r="H8927" t="str">
        <f>"91"</f>
        <v>91</v>
      </c>
      <c r="I8927" t="str">
        <f t="shared" si="2032"/>
        <v>0</v>
      </c>
      <c r="J8927" t="str">
        <f t="shared" si="2037"/>
        <v>00</v>
      </c>
      <c r="K8927">
        <v>20180928</v>
      </c>
      <c r="L8927" t="str">
        <f>"073983"</f>
        <v>073983</v>
      </c>
      <c r="M8927" t="str">
        <f>"51346"</f>
        <v>51346</v>
      </c>
      <c r="N8927" t="s">
        <v>418</v>
      </c>
      <c r="O8927">
        <v>-198.95</v>
      </c>
      <c r="P8927">
        <v>20180928</v>
      </c>
      <c r="Q8927" t="s">
        <v>7027</v>
      </c>
      <c r="R8927" t="s">
        <v>412</v>
      </c>
      <c r="S8927" t="s">
        <v>7000</v>
      </c>
      <c r="T8927" t="s">
        <v>106</v>
      </c>
    </row>
    <row r="8928" spans="1:20" x14ac:dyDescent="0.25">
      <c r="A8928">
        <v>9</v>
      </c>
      <c r="B8928">
        <v>461</v>
      </c>
      <c r="C8928" t="str">
        <f t="shared" si="2035"/>
        <v>36</v>
      </c>
      <c r="D8928">
        <v>6399</v>
      </c>
      <c r="E8928" t="str">
        <f>"CS"</f>
        <v>CS</v>
      </c>
      <c r="F8928" t="str">
        <f>"001"</f>
        <v>001</v>
      </c>
      <c r="G8928">
        <v>9</v>
      </c>
      <c r="H8928" t="str">
        <f>"91"</f>
        <v>91</v>
      </c>
      <c r="I8928" t="str">
        <f t="shared" si="2032"/>
        <v>0</v>
      </c>
      <c r="J8928" t="str">
        <f t="shared" si="2037"/>
        <v>00</v>
      </c>
      <c r="K8928">
        <v>20180928</v>
      </c>
      <c r="L8928" t="str">
        <f>"073987"</f>
        <v>073987</v>
      </c>
      <c r="M8928" t="str">
        <f>"24955"</f>
        <v>24955</v>
      </c>
      <c r="N8928" t="s">
        <v>7046</v>
      </c>
      <c r="O8928">
        <v>-100</v>
      </c>
      <c r="P8928">
        <v>20180928</v>
      </c>
      <c r="Q8928" t="s">
        <v>6998</v>
      </c>
      <c r="R8928" t="s">
        <v>412</v>
      </c>
      <c r="S8928" t="s">
        <v>7000</v>
      </c>
      <c r="T8928" t="s">
        <v>301</v>
      </c>
    </row>
    <row r="8929" spans="1:20" x14ac:dyDescent="0.25">
      <c r="A8929">
        <v>9</v>
      </c>
      <c r="B8929">
        <v>461</v>
      </c>
      <c r="C8929" t="str">
        <f t="shared" si="2035"/>
        <v>36</v>
      </c>
      <c r="D8929">
        <v>6495</v>
      </c>
      <c r="E8929" t="str">
        <f>"7K"</f>
        <v>7K</v>
      </c>
      <c r="F8929" t="str">
        <f>"001"</f>
        <v>001</v>
      </c>
      <c r="G8929">
        <v>9</v>
      </c>
      <c r="H8929" t="str">
        <f>"99"</f>
        <v>99</v>
      </c>
      <c r="I8929" t="str">
        <f t="shared" si="2032"/>
        <v>0</v>
      </c>
      <c r="J8929" t="str">
        <f t="shared" si="2037"/>
        <v>00</v>
      </c>
      <c r="K8929">
        <v>20180928</v>
      </c>
      <c r="L8929" t="str">
        <f>"073994"</f>
        <v>073994</v>
      </c>
      <c r="M8929" t="str">
        <f>"28417"</f>
        <v>28417</v>
      </c>
      <c r="N8929" t="s">
        <v>4908</v>
      </c>
      <c r="O8929">
        <v>-95</v>
      </c>
      <c r="P8929">
        <v>20180928</v>
      </c>
      <c r="Q8929" t="s">
        <v>7016</v>
      </c>
      <c r="R8929" t="s">
        <v>412</v>
      </c>
      <c r="S8929" t="s">
        <v>7000</v>
      </c>
      <c r="T8929" t="s">
        <v>301</v>
      </c>
    </row>
    <row r="8930" spans="1:20" x14ac:dyDescent="0.25">
      <c r="A8930">
        <v>9</v>
      </c>
      <c r="B8930">
        <v>461</v>
      </c>
      <c r="C8930" t="str">
        <f t="shared" si="2035"/>
        <v>36</v>
      </c>
      <c r="D8930">
        <v>6412</v>
      </c>
      <c r="E8930" t="str">
        <f>"3Y"</f>
        <v>3Y</v>
      </c>
      <c r="F8930" t="str">
        <f>"041"</f>
        <v>041</v>
      </c>
      <c r="G8930">
        <v>9</v>
      </c>
      <c r="H8930" t="str">
        <f>"91"</f>
        <v>91</v>
      </c>
      <c r="I8930" t="str">
        <f t="shared" si="2032"/>
        <v>0</v>
      </c>
      <c r="J8930" t="str">
        <f t="shared" si="2037"/>
        <v>00</v>
      </c>
      <c r="K8930">
        <v>20180928</v>
      </c>
      <c r="L8930" t="str">
        <f>"073999"</f>
        <v>073999</v>
      </c>
      <c r="M8930" t="str">
        <f>"34949"</f>
        <v>34949</v>
      </c>
      <c r="N8930" t="s">
        <v>423</v>
      </c>
      <c r="O8930">
        <v>-150</v>
      </c>
      <c r="P8930">
        <v>20180928</v>
      </c>
      <c r="Q8930" t="s">
        <v>7047</v>
      </c>
      <c r="R8930" t="s">
        <v>412</v>
      </c>
      <c r="S8930" t="s">
        <v>7000</v>
      </c>
      <c r="T8930" t="s">
        <v>106</v>
      </c>
    </row>
    <row r="8931" spans="1:20" x14ac:dyDescent="0.25">
      <c r="A8931">
        <v>9</v>
      </c>
      <c r="B8931">
        <v>461</v>
      </c>
      <c r="C8931" t="str">
        <f t="shared" si="2035"/>
        <v>36</v>
      </c>
      <c r="D8931">
        <v>6219</v>
      </c>
      <c r="E8931" t="str">
        <f>"3Y"</f>
        <v>3Y</v>
      </c>
      <c r="F8931" t="str">
        <f>"041"</f>
        <v>041</v>
      </c>
      <c r="G8931">
        <v>9</v>
      </c>
      <c r="H8931" t="str">
        <f>"91"</f>
        <v>91</v>
      </c>
      <c r="I8931" t="str">
        <f t="shared" si="2032"/>
        <v>0</v>
      </c>
      <c r="J8931" t="str">
        <f t="shared" si="2037"/>
        <v>00</v>
      </c>
      <c r="K8931">
        <v>20180928</v>
      </c>
      <c r="L8931" t="str">
        <f>"074003"</f>
        <v>074003</v>
      </c>
      <c r="M8931" t="str">
        <f>"39268"</f>
        <v>39268</v>
      </c>
      <c r="N8931" t="s">
        <v>728</v>
      </c>
      <c r="O8931">
        <v>-260</v>
      </c>
      <c r="P8931">
        <v>20180928</v>
      </c>
      <c r="Q8931" t="s">
        <v>7044</v>
      </c>
      <c r="R8931" t="s">
        <v>412</v>
      </c>
      <c r="S8931" t="s">
        <v>7000</v>
      </c>
      <c r="T8931" t="s">
        <v>106</v>
      </c>
    </row>
    <row r="8932" spans="1:20" x14ac:dyDescent="0.25">
      <c r="A8932">
        <v>9</v>
      </c>
      <c r="B8932">
        <v>461</v>
      </c>
      <c r="C8932" t="str">
        <f t="shared" si="2035"/>
        <v>36</v>
      </c>
      <c r="D8932">
        <v>6219</v>
      </c>
      <c r="E8932" t="str">
        <f>"3Y"</f>
        <v>3Y</v>
      </c>
      <c r="F8932" t="str">
        <f>"041"</f>
        <v>041</v>
      </c>
      <c r="G8932">
        <v>9</v>
      </c>
      <c r="H8932" t="str">
        <f>"91"</f>
        <v>91</v>
      </c>
      <c r="I8932" t="str">
        <f t="shared" si="2032"/>
        <v>0</v>
      </c>
      <c r="J8932" t="str">
        <f t="shared" si="2037"/>
        <v>00</v>
      </c>
      <c r="K8932">
        <v>20180928</v>
      </c>
      <c r="L8932" t="str">
        <f>"074014"</f>
        <v>074014</v>
      </c>
      <c r="M8932" t="str">
        <f>"54078"</f>
        <v>54078</v>
      </c>
      <c r="N8932" t="s">
        <v>1464</v>
      </c>
      <c r="O8932">
        <v>-295</v>
      </c>
      <c r="P8932">
        <v>20180928</v>
      </c>
      <c r="Q8932" t="s">
        <v>7044</v>
      </c>
      <c r="R8932" t="s">
        <v>412</v>
      </c>
      <c r="S8932" t="s">
        <v>7000</v>
      </c>
      <c r="T8932" t="s">
        <v>106</v>
      </c>
    </row>
    <row r="8933" spans="1:20" x14ac:dyDescent="0.25">
      <c r="A8933">
        <v>9</v>
      </c>
      <c r="B8933">
        <v>461</v>
      </c>
      <c r="C8933" t="str">
        <f t="shared" si="2035"/>
        <v>36</v>
      </c>
      <c r="D8933">
        <v>6399</v>
      </c>
      <c r="E8933" t="str">
        <f>"00"</f>
        <v>00</v>
      </c>
      <c r="F8933" t="str">
        <f>"942"</f>
        <v>942</v>
      </c>
      <c r="G8933">
        <v>9</v>
      </c>
      <c r="H8933" t="str">
        <f>"99"</f>
        <v>99</v>
      </c>
      <c r="I8933" t="str">
        <f t="shared" si="2032"/>
        <v>0</v>
      </c>
      <c r="J8933" t="str">
        <f>"88"</f>
        <v>88</v>
      </c>
      <c r="K8933">
        <v>20180928</v>
      </c>
      <c r="L8933" t="str">
        <f>"074017"</f>
        <v>074017</v>
      </c>
      <c r="M8933" t="str">
        <f>"55795"</f>
        <v>55795</v>
      </c>
      <c r="N8933" t="s">
        <v>7048</v>
      </c>
      <c r="O8933">
        <v>-417.22</v>
      </c>
      <c r="P8933">
        <v>20180928</v>
      </c>
      <c r="Q8933" t="s">
        <v>7018</v>
      </c>
      <c r="R8933" t="s">
        <v>412</v>
      </c>
      <c r="S8933" t="s">
        <v>7000</v>
      </c>
      <c r="T8933" t="s">
        <v>1831</v>
      </c>
    </row>
    <row r="8934" spans="1:20" x14ac:dyDescent="0.25">
      <c r="A8934">
        <v>9</v>
      </c>
      <c r="B8934">
        <v>461</v>
      </c>
      <c r="C8934" t="str">
        <f t="shared" si="2035"/>
        <v>36</v>
      </c>
      <c r="D8934">
        <v>6219</v>
      </c>
      <c r="E8934" t="str">
        <f>"3Y"</f>
        <v>3Y</v>
      </c>
      <c r="F8934" t="str">
        <f>"041"</f>
        <v>041</v>
      </c>
      <c r="G8934">
        <v>9</v>
      </c>
      <c r="H8934" t="str">
        <f>"91"</f>
        <v>91</v>
      </c>
      <c r="I8934" t="str">
        <f t="shared" si="2032"/>
        <v>0</v>
      </c>
      <c r="J8934" t="str">
        <f t="shared" ref="J8934:J8951" si="2038">"00"</f>
        <v>00</v>
      </c>
      <c r="K8934">
        <v>20180928</v>
      </c>
      <c r="L8934" t="str">
        <f>"074020"</f>
        <v>074020</v>
      </c>
      <c r="M8934" t="str">
        <f>"00535"</f>
        <v>00535</v>
      </c>
      <c r="N8934" t="s">
        <v>370</v>
      </c>
      <c r="O8934">
        <v>-260</v>
      </c>
      <c r="P8934">
        <v>20180928</v>
      </c>
      <c r="Q8934" t="s">
        <v>7044</v>
      </c>
      <c r="R8934" t="s">
        <v>412</v>
      </c>
      <c r="S8934" t="s">
        <v>7000</v>
      </c>
      <c r="T8934" t="s">
        <v>106</v>
      </c>
    </row>
    <row r="8935" spans="1:20" x14ac:dyDescent="0.25">
      <c r="A8935">
        <v>9</v>
      </c>
      <c r="B8935">
        <v>461</v>
      </c>
      <c r="C8935" t="str">
        <f>"00"</f>
        <v>00</v>
      </c>
      <c r="D8935">
        <v>2110</v>
      </c>
      <c r="E8935" t="str">
        <f>"18"</f>
        <v>18</v>
      </c>
      <c r="F8935" t="str">
        <f>"000"</f>
        <v>000</v>
      </c>
      <c r="G8935">
        <v>9</v>
      </c>
      <c r="H8935" t="str">
        <f>"00"</f>
        <v>00</v>
      </c>
      <c r="I8935" t="str">
        <f t="shared" si="2032"/>
        <v>0</v>
      </c>
      <c r="J8935" t="str">
        <f t="shared" si="2038"/>
        <v>00</v>
      </c>
      <c r="K8935">
        <v>20180928</v>
      </c>
      <c r="L8935" t="str">
        <f>"074024"</f>
        <v>074024</v>
      </c>
      <c r="M8935" t="str">
        <f>"58211"</f>
        <v>58211</v>
      </c>
      <c r="N8935" t="s">
        <v>1472</v>
      </c>
      <c r="O8935">
        <v>-119.96</v>
      </c>
      <c r="P8935">
        <v>20180928</v>
      </c>
      <c r="Q8935" t="s">
        <v>7029</v>
      </c>
      <c r="R8935" t="s">
        <v>412</v>
      </c>
      <c r="S8935" t="s">
        <v>7000</v>
      </c>
      <c r="T8935" t="s">
        <v>296</v>
      </c>
    </row>
    <row r="8936" spans="1:20" x14ac:dyDescent="0.25">
      <c r="A8936">
        <v>9</v>
      </c>
      <c r="B8936">
        <v>461</v>
      </c>
      <c r="C8936" t="str">
        <f t="shared" ref="C8936:C8974" si="2039">"36"</f>
        <v>36</v>
      </c>
      <c r="D8936">
        <v>6412</v>
      </c>
      <c r="E8936" t="str">
        <f>"PL"</f>
        <v>PL</v>
      </c>
      <c r="F8936" t="str">
        <f>"001"</f>
        <v>001</v>
      </c>
      <c r="G8936">
        <v>9</v>
      </c>
      <c r="H8936" t="str">
        <f>"99"</f>
        <v>99</v>
      </c>
      <c r="I8936" t="str">
        <f t="shared" si="2032"/>
        <v>0</v>
      </c>
      <c r="J8936" t="str">
        <f t="shared" si="2038"/>
        <v>00</v>
      </c>
      <c r="K8936">
        <v>20180928</v>
      </c>
      <c r="L8936" t="str">
        <f>"074030"</f>
        <v>074030</v>
      </c>
      <c r="M8936" t="str">
        <f>"63612"</f>
        <v>63612</v>
      </c>
      <c r="N8936" t="s">
        <v>7049</v>
      </c>
      <c r="O8936">
        <v>-276</v>
      </c>
      <c r="P8936">
        <v>20180928</v>
      </c>
      <c r="Q8936" t="s">
        <v>7050</v>
      </c>
      <c r="R8936" t="s">
        <v>412</v>
      </c>
      <c r="S8936" t="s">
        <v>7000</v>
      </c>
      <c r="T8936" t="s">
        <v>301</v>
      </c>
    </row>
    <row r="8937" spans="1:20" x14ac:dyDescent="0.25">
      <c r="A8937">
        <v>9</v>
      </c>
      <c r="B8937">
        <v>461</v>
      </c>
      <c r="C8937" t="str">
        <f t="shared" si="2039"/>
        <v>36</v>
      </c>
      <c r="D8937">
        <v>6399</v>
      </c>
      <c r="E8937" t="str">
        <f>"15"</f>
        <v>15</v>
      </c>
      <c r="F8937" t="str">
        <f>"104"</f>
        <v>104</v>
      </c>
      <c r="G8937">
        <v>9</v>
      </c>
      <c r="H8937" t="str">
        <f>"99"</f>
        <v>99</v>
      </c>
      <c r="I8937" t="str">
        <f t="shared" si="2032"/>
        <v>0</v>
      </c>
      <c r="J8937" t="str">
        <f t="shared" si="2038"/>
        <v>00</v>
      </c>
      <c r="K8937">
        <v>20180928</v>
      </c>
      <c r="L8937" t="str">
        <f>"074041"</f>
        <v>074041</v>
      </c>
      <c r="M8937" t="str">
        <f>"80395"</f>
        <v>80395</v>
      </c>
      <c r="N8937" t="s">
        <v>7051</v>
      </c>
      <c r="O8937" s="1">
        <v>-1025</v>
      </c>
      <c r="P8937">
        <v>20180928</v>
      </c>
      <c r="Q8937" t="s">
        <v>7052</v>
      </c>
      <c r="R8937" t="s">
        <v>412</v>
      </c>
      <c r="S8937" t="s">
        <v>7000</v>
      </c>
      <c r="T8937" t="s">
        <v>46</v>
      </c>
    </row>
    <row r="8938" spans="1:20" x14ac:dyDescent="0.25">
      <c r="A8938">
        <v>9</v>
      </c>
      <c r="B8938">
        <v>461</v>
      </c>
      <c r="C8938" t="str">
        <f t="shared" si="2039"/>
        <v>36</v>
      </c>
      <c r="D8938">
        <v>6399</v>
      </c>
      <c r="E8938" t="str">
        <f>"3T"</f>
        <v>3T</v>
      </c>
      <c r="F8938" t="str">
        <f>"001"</f>
        <v>001</v>
      </c>
      <c r="G8938">
        <v>9</v>
      </c>
      <c r="H8938" t="str">
        <f>"91"</f>
        <v>91</v>
      </c>
      <c r="I8938" t="str">
        <f t="shared" si="2032"/>
        <v>0</v>
      </c>
      <c r="J8938" t="str">
        <f t="shared" si="2038"/>
        <v>00</v>
      </c>
      <c r="K8938">
        <v>20180928</v>
      </c>
      <c r="L8938" t="str">
        <f>"074046"</f>
        <v>074046</v>
      </c>
      <c r="M8938" t="str">
        <f>"80755"</f>
        <v>80755</v>
      </c>
      <c r="N8938" t="s">
        <v>4181</v>
      </c>
      <c r="O8938">
        <v>-299.91000000000003</v>
      </c>
      <c r="P8938">
        <v>20180928</v>
      </c>
      <c r="Q8938" t="s">
        <v>7053</v>
      </c>
      <c r="R8938" t="s">
        <v>412</v>
      </c>
      <c r="S8938" t="s">
        <v>7000</v>
      </c>
      <c r="T8938" t="s">
        <v>301</v>
      </c>
    </row>
    <row r="8939" spans="1:20" x14ac:dyDescent="0.25">
      <c r="A8939">
        <v>9</v>
      </c>
      <c r="B8939">
        <v>461</v>
      </c>
      <c r="C8939" t="str">
        <f t="shared" si="2039"/>
        <v>36</v>
      </c>
      <c r="D8939">
        <v>6399</v>
      </c>
      <c r="E8939" t="str">
        <f>"3V"</f>
        <v>3V</v>
      </c>
      <c r="F8939" t="str">
        <f>"041"</f>
        <v>041</v>
      </c>
      <c r="G8939">
        <v>9</v>
      </c>
      <c r="H8939" t="str">
        <f>"91"</f>
        <v>91</v>
      </c>
      <c r="I8939" t="str">
        <f t="shared" si="2032"/>
        <v>0</v>
      </c>
      <c r="J8939" t="str">
        <f t="shared" si="2038"/>
        <v>00</v>
      </c>
      <c r="K8939">
        <v>20180928</v>
      </c>
      <c r="L8939" t="str">
        <f>"074046"</f>
        <v>074046</v>
      </c>
      <c r="M8939" t="str">
        <f>"80755"</f>
        <v>80755</v>
      </c>
      <c r="N8939" t="s">
        <v>4181</v>
      </c>
      <c r="O8939">
        <v>-779</v>
      </c>
      <c r="P8939">
        <v>20180928</v>
      </c>
      <c r="Q8939" t="s">
        <v>7054</v>
      </c>
      <c r="R8939" t="s">
        <v>412</v>
      </c>
      <c r="S8939" t="s">
        <v>7000</v>
      </c>
      <c r="T8939" t="s">
        <v>106</v>
      </c>
    </row>
    <row r="8940" spans="1:20" x14ac:dyDescent="0.25">
      <c r="A8940">
        <v>9</v>
      </c>
      <c r="B8940">
        <v>461</v>
      </c>
      <c r="C8940" t="str">
        <f t="shared" si="2039"/>
        <v>36</v>
      </c>
      <c r="D8940">
        <v>6399</v>
      </c>
      <c r="E8940" t="str">
        <f>"7E"</f>
        <v>7E</v>
      </c>
      <c r="F8940" t="str">
        <f>"001"</f>
        <v>001</v>
      </c>
      <c r="G8940">
        <v>9</v>
      </c>
      <c r="H8940" t="str">
        <f>"99"</f>
        <v>99</v>
      </c>
      <c r="I8940" t="str">
        <f t="shared" si="2032"/>
        <v>0</v>
      </c>
      <c r="J8940" t="str">
        <f t="shared" si="2038"/>
        <v>00</v>
      </c>
      <c r="K8940">
        <v>20180928</v>
      </c>
      <c r="L8940" t="str">
        <f>"074048"</f>
        <v>074048</v>
      </c>
      <c r="M8940" t="str">
        <f>"81303"</f>
        <v>81303</v>
      </c>
      <c r="N8940" t="s">
        <v>66</v>
      </c>
      <c r="O8940">
        <v>-57.5</v>
      </c>
      <c r="P8940">
        <v>20180928</v>
      </c>
      <c r="Q8940" t="s">
        <v>7055</v>
      </c>
      <c r="R8940" t="s">
        <v>412</v>
      </c>
      <c r="S8940" t="s">
        <v>7000</v>
      </c>
      <c r="T8940" t="s">
        <v>301</v>
      </c>
    </row>
    <row r="8941" spans="1:20" x14ac:dyDescent="0.25">
      <c r="A8941">
        <v>9</v>
      </c>
      <c r="B8941">
        <v>461</v>
      </c>
      <c r="C8941" t="str">
        <f t="shared" si="2039"/>
        <v>36</v>
      </c>
      <c r="D8941">
        <v>6399</v>
      </c>
      <c r="E8941" t="str">
        <f>"7K"</f>
        <v>7K</v>
      </c>
      <c r="F8941" t="str">
        <f>"001"</f>
        <v>001</v>
      </c>
      <c r="G8941">
        <v>9</v>
      </c>
      <c r="H8941" t="str">
        <f>"99"</f>
        <v>99</v>
      </c>
      <c r="I8941" t="str">
        <f t="shared" si="2032"/>
        <v>0</v>
      </c>
      <c r="J8941" t="str">
        <f t="shared" si="2038"/>
        <v>00</v>
      </c>
      <c r="K8941">
        <v>20180928</v>
      </c>
      <c r="L8941" t="str">
        <f>"074048"</f>
        <v>074048</v>
      </c>
      <c r="M8941" t="str">
        <f>"81303"</f>
        <v>81303</v>
      </c>
      <c r="N8941" t="s">
        <v>66</v>
      </c>
      <c r="O8941">
        <v>-9</v>
      </c>
      <c r="P8941">
        <v>20180928</v>
      </c>
      <c r="Q8941" t="s">
        <v>7056</v>
      </c>
      <c r="R8941" t="s">
        <v>412</v>
      </c>
      <c r="S8941" t="s">
        <v>7000</v>
      </c>
      <c r="T8941" t="s">
        <v>301</v>
      </c>
    </row>
    <row r="8942" spans="1:20" x14ac:dyDescent="0.25">
      <c r="A8942">
        <v>9</v>
      </c>
      <c r="B8942">
        <v>461</v>
      </c>
      <c r="C8942" t="str">
        <f t="shared" si="2039"/>
        <v>36</v>
      </c>
      <c r="D8942">
        <v>6399</v>
      </c>
      <c r="E8942" t="str">
        <f>"3Y"</f>
        <v>3Y</v>
      </c>
      <c r="F8942" t="str">
        <f>"041"</f>
        <v>041</v>
      </c>
      <c r="G8942">
        <v>9</v>
      </c>
      <c r="H8942" t="str">
        <f>"91"</f>
        <v>91</v>
      </c>
      <c r="I8942" t="str">
        <f t="shared" si="2032"/>
        <v>0</v>
      </c>
      <c r="J8942" t="str">
        <f t="shared" si="2038"/>
        <v>00</v>
      </c>
      <c r="K8942">
        <v>20180928</v>
      </c>
      <c r="L8942" t="str">
        <f>"074052"</f>
        <v>074052</v>
      </c>
      <c r="M8942" t="str">
        <f>"83022"</f>
        <v>83022</v>
      </c>
      <c r="N8942" t="s">
        <v>691</v>
      </c>
      <c r="O8942">
        <v>-593.20000000000005</v>
      </c>
      <c r="P8942">
        <v>20180928</v>
      </c>
      <c r="Q8942" t="s">
        <v>7027</v>
      </c>
      <c r="R8942" t="s">
        <v>412</v>
      </c>
      <c r="S8942" t="s">
        <v>7000</v>
      </c>
      <c r="T8942" t="s">
        <v>106</v>
      </c>
    </row>
    <row r="8943" spans="1:20" x14ac:dyDescent="0.25">
      <c r="A8943">
        <v>9</v>
      </c>
      <c r="B8943">
        <v>461</v>
      </c>
      <c r="C8943" t="str">
        <f t="shared" si="2039"/>
        <v>36</v>
      </c>
      <c r="D8943">
        <v>6399</v>
      </c>
      <c r="E8943" t="str">
        <f>"3Y"</f>
        <v>3Y</v>
      </c>
      <c r="F8943" t="str">
        <f>"041"</f>
        <v>041</v>
      </c>
      <c r="G8943">
        <v>9</v>
      </c>
      <c r="H8943" t="str">
        <f>"91"</f>
        <v>91</v>
      </c>
      <c r="I8943" t="str">
        <f t="shared" si="2032"/>
        <v>0</v>
      </c>
      <c r="J8943" t="str">
        <f t="shared" si="2038"/>
        <v>00</v>
      </c>
      <c r="K8943">
        <v>20180928</v>
      </c>
      <c r="L8943" t="str">
        <f>"074052"</f>
        <v>074052</v>
      </c>
      <c r="M8943" t="str">
        <f>"83022"</f>
        <v>83022</v>
      </c>
      <c r="N8943" t="s">
        <v>691</v>
      </c>
      <c r="O8943">
        <v>-102.66</v>
      </c>
      <c r="P8943">
        <v>20180928</v>
      </c>
      <c r="Q8943" t="s">
        <v>7027</v>
      </c>
      <c r="R8943" t="s">
        <v>412</v>
      </c>
      <c r="S8943" t="s">
        <v>7000</v>
      </c>
      <c r="T8943" t="s">
        <v>106</v>
      </c>
    </row>
    <row r="8944" spans="1:20" x14ac:dyDescent="0.25">
      <c r="A8944">
        <v>9</v>
      </c>
      <c r="B8944">
        <v>461</v>
      </c>
      <c r="C8944" t="str">
        <f t="shared" si="2039"/>
        <v>36</v>
      </c>
      <c r="D8944">
        <v>6399</v>
      </c>
      <c r="E8944" t="str">
        <f>"DG"</f>
        <v>DG</v>
      </c>
      <c r="F8944" t="str">
        <f>"101"</f>
        <v>101</v>
      </c>
      <c r="G8944">
        <v>9</v>
      </c>
      <c r="H8944" t="str">
        <f>"99"</f>
        <v>99</v>
      </c>
      <c r="I8944" t="str">
        <f t="shared" si="2032"/>
        <v>0</v>
      </c>
      <c r="J8944" t="str">
        <f t="shared" si="2038"/>
        <v>00</v>
      </c>
      <c r="K8944">
        <v>20180928</v>
      </c>
      <c r="L8944" t="str">
        <f>"074054"</f>
        <v>074054</v>
      </c>
      <c r="M8944" t="str">
        <f>"54202"</f>
        <v>54202</v>
      </c>
      <c r="N8944" t="s">
        <v>7057</v>
      </c>
      <c r="O8944">
        <v>-240.61</v>
      </c>
      <c r="P8944">
        <v>20180928</v>
      </c>
      <c r="Q8944" t="s">
        <v>7058</v>
      </c>
      <c r="R8944" t="s">
        <v>412</v>
      </c>
      <c r="S8944" t="s">
        <v>7000</v>
      </c>
      <c r="T8944" t="s">
        <v>1479</v>
      </c>
    </row>
    <row r="8945" spans="1:20" x14ac:dyDescent="0.25">
      <c r="A8945">
        <v>9</v>
      </c>
      <c r="B8945">
        <v>461</v>
      </c>
      <c r="C8945" t="str">
        <f t="shared" si="2039"/>
        <v>36</v>
      </c>
      <c r="D8945">
        <v>6219</v>
      </c>
      <c r="E8945" t="str">
        <f>"3Y"</f>
        <v>3Y</v>
      </c>
      <c r="F8945" t="str">
        <f>"041"</f>
        <v>041</v>
      </c>
      <c r="G8945">
        <v>9</v>
      </c>
      <c r="H8945" t="str">
        <f>"91"</f>
        <v>91</v>
      </c>
      <c r="I8945" t="str">
        <f t="shared" si="2032"/>
        <v>0</v>
      </c>
      <c r="J8945" t="str">
        <f t="shared" si="2038"/>
        <v>00</v>
      </c>
      <c r="K8945">
        <v>20180928</v>
      </c>
      <c r="L8945" t="str">
        <f>"074055"</f>
        <v>074055</v>
      </c>
      <c r="M8945" t="str">
        <f>"84400"</f>
        <v>84400</v>
      </c>
      <c r="N8945" t="s">
        <v>764</v>
      </c>
      <c r="O8945">
        <v>-295</v>
      </c>
      <c r="P8945">
        <v>20180928</v>
      </c>
      <c r="Q8945" t="s">
        <v>7044</v>
      </c>
      <c r="R8945" t="s">
        <v>412</v>
      </c>
      <c r="S8945" t="s">
        <v>7000</v>
      </c>
      <c r="T8945" t="s">
        <v>106</v>
      </c>
    </row>
    <row r="8946" spans="1:20" x14ac:dyDescent="0.25">
      <c r="A8946">
        <v>9</v>
      </c>
      <c r="B8946">
        <v>461</v>
      </c>
      <c r="C8946" t="str">
        <f t="shared" si="2039"/>
        <v>36</v>
      </c>
      <c r="D8946">
        <v>6495</v>
      </c>
      <c r="E8946" t="str">
        <f>"7K"</f>
        <v>7K</v>
      </c>
      <c r="F8946" t="str">
        <f>"001"</f>
        <v>001</v>
      </c>
      <c r="G8946">
        <v>9</v>
      </c>
      <c r="H8946" t="str">
        <f>"99"</f>
        <v>99</v>
      </c>
      <c r="I8946" t="str">
        <f t="shared" si="2032"/>
        <v>0</v>
      </c>
      <c r="J8946" t="str">
        <f t="shared" si="2038"/>
        <v>00</v>
      </c>
      <c r="K8946">
        <v>20180928</v>
      </c>
      <c r="L8946" t="str">
        <f>"074066"</f>
        <v>074066</v>
      </c>
      <c r="M8946" t="str">
        <f>"28417"</f>
        <v>28417</v>
      </c>
      <c r="N8946" t="s">
        <v>4908</v>
      </c>
      <c r="O8946">
        <v>95</v>
      </c>
      <c r="P8946">
        <v>20180928</v>
      </c>
      <c r="Q8946" t="s">
        <v>7016</v>
      </c>
      <c r="R8946" t="s">
        <v>7059</v>
      </c>
      <c r="S8946" t="s">
        <v>7000</v>
      </c>
      <c r="T8946" t="s">
        <v>301</v>
      </c>
    </row>
    <row r="8947" spans="1:20" x14ac:dyDescent="0.25">
      <c r="A8947">
        <v>9</v>
      </c>
      <c r="B8947">
        <v>461</v>
      </c>
      <c r="C8947" t="str">
        <f t="shared" si="2039"/>
        <v>36</v>
      </c>
      <c r="D8947">
        <v>6412</v>
      </c>
      <c r="E8947" t="str">
        <f>"3Y"</f>
        <v>3Y</v>
      </c>
      <c r="F8947" t="str">
        <f>"041"</f>
        <v>041</v>
      </c>
      <c r="G8947">
        <v>9</v>
      </c>
      <c r="H8947" t="str">
        <f>"91"</f>
        <v>91</v>
      </c>
      <c r="I8947" t="str">
        <f t="shared" si="2032"/>
        <v>0</v>
      </c>
      <c r="J8947" t="str">
        <f t="shared" si="2038"/>
        <v>00</v>
      </c>
      <c r="K8947">
        <v>20180928</v>
      </c>
      <c r="L8947" t="str">
        <f>"074071"</f>
        <v>074071</v>
      </c>
      <c r="M8947" t="str">
        <f>"34949"</f>
        <v>34949</v>
      </c>
      <c r="N8947" t="s">
        <v>423</v>
      </c>
      <c r="O8947">
        <v>150</v>
      </c>
      <c r="P8947">
        <v>20180928</v>
      </c>
      <c r="Q8947" t="s">
        <v>7047</v>
      </c>
      <c r="R8947" t="s">
        <v>433</v>
      </c>
      <c r="S8947" t="s">
        <v>7000</v>
      </c>
      <c r="T8947" t="s">
        <v>106</v>
      </c>
    </row>
    <row r="8948" spans="1:20" x14ac:dyDescent="0.25">
      <c r="A8948">
        <v>9</v>
      </c>
      <c r="B8948">
        <v>461</v>
      </c>
      <c r="C8948" t="str">
        <f t="shared" si="2039"/>
        <v>36</v>
      </c>
      <c r="D8948">
        <v>6412</v>
      </c>
      <c r="E8948" t="str">
        <f>"PL"</f>
        <v>PL</v>
      </c>
      <c r="F8948" t="str">
        <f>"001"</f>
        <v>001</v>
      </c>
      <c r="G8948">
        <v>9</v>
      </c>
      <c r="H8948" t="str">
        <f>"99"</f>
        <v>99</v>
      </c>
      <c r="I8948" t="str">
        <f t="shared" si="2032"/>
        <v>0</v>
      </c>
      <c r="J8948" t="str">
        <f t="shared" si="2038"/>
        <v>00</v>
      </c>
      <c r="K8948">
        <v>20180928</v>
      </c>
      <c r="L8948" t="str">
        <f>"074080"</f>
        <v>074080</v>
      </c>
      <c r="M8948" t="str">
        <f>"63612"</f>
        <v>63612</v>
      </c>
      <c r="N8948" t="s">
        <v>7049</v>
      </c>
      <c r="O8948">
        <v>276</v>
      </c>
      <c r="P8948">
        <v>20180928</v>
      </c>
      <c r="Q8948" t="s">
        <v>7050</v>
      </c>
      <c r="R8948" t="s">
        <v>7060</v>
      </c>
      <c r="S8948" t="s">
        <v>7000</v>
      </c>
      <c r="T8948" t="s">
        <v>301</v>
      </c>
    </row>
    <row r="8949" spans="1:20" x14ac:dyDescent="0.25">
      <c r="A8949">
        <v>9</v>
      </c>
      <c r="B8949">
        <v>461</v>
      </c>
      <c r="C8949" t="str">
        <f t="shared" si="2039"/>
        <v>36</v>
      </c>
      <c r="D8949">
        <v>6412</v>
      </c>
      <c r="E8949" t="str">
        <f>"PL"</f>
        <v>PL</v>
      </c>
      <c r="F8949" t="str">
        <f>"001"</f>
        <v>001</v>
      </c>
      <c r="G8949">
        <v>9</v>
      </c>
      <c r="H8949" t="str">
        <f>"99"</f>
        <v>99</v>
      </c>
      <c r="I8949" t="str">
        <f t="shared" si="2032"/>
        <v>0</v>
      </c>
      <c r="J8949" t="str">
        <f t="shared" si="2038"/>
        <v>00</v>
      </c>
      <c r="K8949">
        <v>20181115</v>
      </c>
      <c r="L8949" t="str">
        <f>"074080"</f>
        <v>074080</v>
      </c>
      <c r="M8949" t="str">
        <f>"63612"</f>
        <v>63612</v>
      </c>
      <c r="N8949" t="s">
        <v>7049</v>
      </c>
      <c r="O8949">
        <v>-276</v>
      </c>
      <c r="P8949">
        <v>20181115</v>
      </c>
      <c r="Q8949" t="s">
        <v>7050</v>
      </c>
      <c r="R8949" t="s">
        <v>2415</v>
      </c>
      <c r="S8949" t="s">
        <v>7000</v>
      </c>
      <c r="T8949" t="s">
        <v>301</v>
      </c>
    </row>
    <row r="8950" spans="1:20" x14ac:dyDescent="0.25">
      <c r="A8950">
        <v>9</v>
      </c>
      <c r="B8950">
        <v>461</v>
      </c>
      <c r="C8950" t="str">
        <f t="shared" si="2039"/>
        <v>36</v>
      </c>
      <c r="D8950">
        <v>6399</v>
      </c>
      <c r="E8950" t="str">
        <f>"3Y"</f>
        <v>3Y</v>
      </c>
      <c r="F8950" t="str">
        <f>"041"</f>
        <v>041</v>
      </c>
      <c r="G8950">
        <v>9</v>
      </c>
      <c r="H8950" t="str">
        <f>"91"</f>
        <v>91</v>
      </c>
      <c r="I8950" t="str">
        <f t="shared" si="2032"/>
        <v>0</v>
      </c>
      <c r="J8950" t="str">
        <f t="shared" si="2038"/>
        <v>00</v>
      </c>
      <c r="K8950">
        <v>20180928</v>
      </c>
      <c r="L8950" t="str">
        <f>"074086"</f>
        <v>074086</v>
      </c>
      <c r="M8950" t="str">
        <f>"83022"</f>
        <v>83022</v>
      </c>
      <c r="N8950" t="s">
        <v>691</v>
      </c>
      <c r="O8950">
        <v>593.20000000000005</v>
      </c>
      <c r="P8950">
        <v>20180928</v>
      </c>
      <c r="Q8950" t="s">
        <v>7027</v>
      </c>
      <c r="R8950" t="s">
        <v>7061</v>
      </c>
      <c r="S8950" t="s">
        <v>7000</v>
      </c>
      <c r="T8950" t="s">
        <v>106</v>
      </c>
    </row>
    <row r="8951" spans="1:20" x14ac:dyDescent="0.25">
      <c r="A8951">
        <v>9</v>
      </c>
      <c r="B8951">
        <v>461</v>
      </c>
      <c r="C8951" t="str">
        <f t="shared" si="2039"/>
        <v>36</v>
      </c>
      <c r="D8951">
        <v>6399</v>
      </c>
      <c r="E8951" t="str">
        <f>"3Y"</f>
        <v>3Y</v>
      </c>
      <c r="F8951" t="str">
        <f>"041"</f>
        <v>041</v>
      </c>
      <c r="G8951">
        <v>9</v>
      </c>
      <c r="H8951" t="str">
        <f>"91"</f>
        <v>91</v>
      </c>
      <c r="I8951" t="str">
        <f t="shared" si="2032"/>
        <v>0</v>
      </c>
      <c r="J8951" t="str">
        <f t="shared" si="2038"/>
        <v>00</v>
      </c>
      <c r="K8951">
        <v>20180928</v>
      </c>
      <c r="L8951" t="str">
        <f>"074086"</f>
        <v>074086</v>
      </c>
      <c r="M8951" t="str">
        <f>"83022"</f>
        <v>83022</v>
      </c>
      <c r="N8951" t="s">
        <v>691</v>
      </c>
      <c r="O8951">
        <v>102.66</v>
      </c>
      <c r="P8951">
        <v>20180928</v>
      </c>
      <c r="Q8951" t="s">
        <v>7027</v>
      </c>
      <c r="R8951" t="s">
        <v>7061</v>
      </c>
      <c r="S8951" t="s">
        <v>7000</v>
      </c>
      <c r="T8951" t="s">
        <v>106</v>
      </c>
    </row>
    <row r="8952" spans="1:20" x14ac:dyDescent="0.25">
      <c r="A8952">
        <v>9</v>
      </c>
      <c r="B8952">
        <v>461</v>
      </c>
      <c r="C8952" t="str">
        <f t="shared" si="2039"/>
        <v>36</v>
      </c>
      <c r="D8952">
        <v>6399</v>
      </c>
      <c r="E8952" t="str">
        <f>"00"</f>
        <v>00</v>
      </c>
      <c r="F8952" t="str">
        <f>"942"</f>
        <v>942</v>
      </c>
      <c r="G8952">
        <v>9</v>
      </c>
      <c r="H8952" t="str">
        <f>"99"</f>
        <v>99</v>
      </c>
      <c r="I8952" t="str">
        <f t="shared" si="2032"/>
        <v>0</v>
      </c>
      <c r="J8952" t="str">
        <f>"88"</f>
        <v>88</v>
      </c>
      <c r="K8952">
        <v>20181005</v>
      </c>
      <c r="L8952" t="str">
        <f>"074091"</f>
        <v>074091</v>
      </c>
      <c r="M8952" t="str">
        <f>"04410"</f>
        <v>04410</v>
      </c>
      <c r="N8952" t="s">
        <v>410</v>
      </c>
      <c r="O8952">
        <v>899</v>
      </c>
      <c r="P8952">
        <v>20181001</v>
      </c>
      <c r="Q8952" t="s">
        <v>7018</v>
      </c>
      <c r="R8952" t="s">
        <v>7062</v>
      </c>
      <c r="S8952" t="s">
        <v>7000</v>
      </c>
      <c r="T8952" t="s">
        <v>1831</v>
      </c>
    </row>
    <row r="8953" spans="1:20" x14ac:dyDescent="0.25">
      <c r="A8953">
        <v>9</v>
      </c>
      <c r="B8953">
        <v>461</v>
      </c>
      <c r="C8953" t="str">
        <f t="shared" si="2039"/>
        <v>36</v>
      </c>
      <c r="D8953">
        <v>6399</v>
      </c>
      <c r="E8953" t="str">
        <f>"7B"</f>
        <v>7B</v>
      </c>
      <c r="F8953" t="str">
        <f>"001"</f>
        <v>001</v>
      </c>
      <c r="G8953">
        <v>9</v>
      </c>
      <c r="H8953" t="str">
        <f>"99"</f>
        <v>99</v>
      </c>
      <c r="I8953" t="str">
        <f t="shared" si="2032"/>
        <v>0</v>
      </c>
      <c r="J8953" t="str">
        <f t="shared" ref="J8953:J8964" si="2040">"00"</f>
        <v>00</v>
      </c>
      <c r="K8953">
        <v>20181005</v>
      </c>
      <c r="L8953" t="str">
        <f>"074091"</f>
        <v>074091</v>
      </c>
      <c r="M8953" t="str">
        <f>"04410"</f>
        <v>04410</v>
      </c>
      <c r="N8953" t="s">
        <v>410</v>
      </c>
      <c r="O8953">
        <v>107.82</v>
      </c>
      <c r="P8953">
        <v>20181001</v>
      </c>
      <c r="Q8953" t="s">
        <v>7042</v>
      </c>
      <c r="R8953" t="s">
        <v>7063</v>
      </c>
      <c r="S8953" t="s">
        <v>7000</v>
      </c>
      <c r="T8953" t="s">
        <v>301</v>
      </c>
    </row>
    <row r="8954" spans="1:20" x14ac:dyDescent="0.25">
      <c r="A8954">
        <v>9</v>
      </c>
      <c r="B8954">
        <v>461</v>
      </c>
      <c r="C8954" t="str">
        <f t="shared" si="2039"/>
        <v>36</v>
      </c>
      <c r="D8954">
        <v>6399</v>
      </c>
      <c r="E8954" t="str">
        <f>"7B"</f>
        <v>7B</v>
      </c>
      <c r="F8954" t="str">
        <f>"001"</f>
        <v>001</v>
      </c>
      <c r="G8954">
        <v>9</v>
      </c>
      <c r="H8954" t="str">
        <f>"99"</f>
        <v>99</v>
      </c>
      <c r="I8954" t="str">
        <f t="shared" si="2032"/>
        <v>0</v>
      </c>
      <c r="J8954" t="str">
        <f t="shared" si="2040"/>
        <v>00</v>
      </c>
      <c r="K8954">
        <v>20181005</v>
      </c>
      <c r="L8954" t="str">
        <f>"074091"</f>
        <v>074091</v>
      </c>
      <c r="M8954" t="str">
        <f>"04410"</f>
        <v>04410</v>
      </c>
      <c r="N8954" t="s">
        <v>410</v>
      </c>
      <c r="O8954">
        <v>139.9</v>
      </c>
      <c r="P8954">
        <v>20181001</v>
      </c>
      <c r="Q8954" t="s">
        <v>7042</v>
      </c>
      <c r="R8954" t="s">
        <v>7064</v>
      </c>
      <c r="S8954" t="s">
        <v>7000</v>
      </c>
      <c r="T8954" t="s">
        <v>301</v>
      </c>
    </row>
    <row r="8955" spans="1:20" x14ac:dyDescent="0.25">
      <c r="A8955">
        <v>9</v>
      </c>
      <c r="B8955">
        <v>461</v>
      </c>
      <c r="C8955" t="str">
        <f t="shared" si="2039"/>
        <v>36</v>
      </c>
      <c r="D8955">
        <v>6399</v>
      </c>
      <c r="E8955" t="str">
        <f>"7B"</f>
        <v>7B</v>
      </c>
      <c r="F8955" t="str">
        <f>"001"</f>
        <v>001</v>
      </c>
      <c r="G8955">
        <v>9</v>
      </c>
      <c r="H8955" t="str">
        <f>"99"</f>
        <v>99</v>
      </c>
      <c r="I8955" t="str">
        <f t="shared" ref="I8955:I9018" si="2041">"0"</f>
        <v>0</v>
      </c>
      <c r="J8955" t="str">
        <f t="shared" si="2040"/>
        <v>00</v>
      </c>
      <c r="K8955">
        <v>20181005</v>
      </c>
      <c r="L8955" t="str">
        <f>"074091"</f>
        <v>074091</v>
      </c>
      <c r="M8955" t="str">
        <f>"04410"</f>
        <v>04410</v>
      </c>
      <c r="N8955" t="s">
        <v>410</v>
      </c>
      <c r="O8955">
        <v>272.86</v>
      </c>
      <c r="P8955">
        <v>20181001</v>
      </c>
      <c r="Q8955" t="s">
        <v>7042</v>
      </c>
      <c r="R8955" t="s">
        <v>7065</v>
      </c>
      <c r="S8955" t="s">
        <v>7000</v>
      </c>
      <c r="T8955" t="s">
        <v>301</v>
      </c>
    </row>
    <row r="8956" spans="1:20" x14ac:dyDescent="0.25">
      <c r="A8956">
        <v>9</v>
      </c>
      <c r="B8956">
        <v>461</v>
      </c>
      <c r="C8956" t="str">
        <f t="shared" si="2039"/>
        <v>36</v>
      </c>
      <c r="D8956">
        <v>6399</v>
      </c>
      <c r="E8956" t="str">
        <f>"GN"</f>
        <v>GN</v>
      </c>
      <c r="F8956" t="str">
        <f>"001"</f>
        <v>001</v>
      </c>
      <c r="G8956">
        <v>9</v>
      </c>
      <c r="H8956" t="str">
        <f>"99"</f>
        <v>99</v>
      </c>
      <c r="I8956" t="str">
        <f t="shared" si="2041"/>
        <v>0</v>
      </c>
      <c r="J8956" t="str">
        <f t="shared" si="2040"/>
        <v>00</v>
      </c>
      <c r="K8956">
        <v>20181005</v>
      </c>
      <c r="L8956" t="str">
        <f>"074091"</f>
        <v>074091</v>
      </c>
      <c r="M8956" t="str">
        <f>"04410"</f>
        <v>04410</v>
      </c>
      <c r="N8956" t="s">
        <v>410</v>
      </c>
      <c r="O8956">
        <v>407.76</v>
      </c>
      <c r="P8956">
        <v>20181001</v>
      </c>
      <c r="Q8956" t="s">
        <v>7043</v>
      </c>
      <c r="R8956" t="s">
        <v>7066</v>
      </c>
      <c r="S8956" t="s">
        <v>7000</v>
      </c>
      <c r="T8956" t="s">
        <v>301</v>
      </c>
    </row>
    <row r="8957" spans="1:20" x14ac:dyDescent="0.25">
      <c r="A8957">
        <v>9</v>
      </c>
      <c r="B8957">
        <v>461</v>
      </c>
      <c r="C8957" t="str">
        <f t="shared" si="2039"/>
        <v>36</v>
      </c>
      <c r="D8957">
        <v>6219</v>
      </c>
      <c r="E8957" t="str">
        <f>"3Y"</f>
        <v>3Y</v>
      </c>
      <c r="F8957" t="str">
        <f>"041"</f>
        <v>041</v>
      </c>
      <c r="G8957">
        <v>9</v>
      </c>
      <c r="H8957" t="str">
        <f>"91"</f>
        <v>91</v>
      </c>
      <c r="I8957" t="str">
        <f t="shared" si="2041"/>
        <v>0</v>
      </c>
      <c r="J8957" t="str">
        <f t="shared" si="2040"/>
        <v>00</v>
      </c>
      <c r="K8957">
        <v>20181005</v>
      </c>
      <c r="L8957" t="str">
        <f>"074095"</f>
        <v>074095</v>
      </c>
      <c r="M8957" t="str">
        <f>"00403"</f>
        <v>00403</v>
      </c>
      <c r="N8957" t="s">
        <v>504</v>
      </c>
      <c r="O8957">
        <v>260</v>
      </c>
      <c r="P8957">
        <v>20181001</v>
      </c>
      <c r="Q8957" t="s">
        <v>7044</v>
      </c>
      <c r="R8957" t="s">
        <v>7067</v>
      </c>
      <c r="S8957" t="s">
        <v>7000</v>
      </c>
      <c r="T8957" t="s">
        <v>106</v>
      </c>
    </row>
    <row r="8958" spans="1:20" x14ac:dyDescent="0.25">
      <c r="A8958">
        <v>9</v>
      </c>
      <c r="B8958">
        <v>461</v>
      </c>
      <c r="C8958" t="str">
        <f t="shared" si="2039"/>
        <v>36</v>
      </c>
      <c r="D8958">
        <v>6399</v>
      </c>
      <c r="E8958" t="str">
        <f>"7B"</f>
        <v>7B</v>
      </c>
      <c r="F8958" t="str">
        <f>"001"</f>
        <v>001</v>
      </c>
      <c r="G8958">
        <v>9</v>
      </c>
      <c r="H8958" t="str">
        <f>"99"</f>
        <v>99</v>
      </c>
      <c r="I8958" t="str">
        <f t="shared" si="2041"/>
        <v>0</v>
      </c>
      <c r="J8958" t="str">
        <f t="shared" si="2040"/>
        <v>00</v>
      </c>
      <c r="K8958">
        <v>20181005</v>
      </c>
      <c r="L8958" t="str">
        <f>"074096"</f>
        <v>074096</v>
      </c>
      <c r="M8958" t="str">
        <f>"09090"</f>
        <v>09090</v>
      </c>
      <c r="N8958" t="s">
        <v>7045</v>
      </c>
      <c r="O8958">
        <v>462.1</v>
      </c>
      <c r="P8958">
        <v>20181001</v>
      </c>
      <c r="Q8958" t="s">
        <v>7042</v>
      </c>
      <c r="R8958" t="s">
        <v>7068</v>
      </c>
      <c r="S8958" t="s">
        <v>7000</v>
      </c>
      <c r="T8958" t="s">
        <v>301</v>
      </c>
    </row>
    <row r="8959" spans="1:20" x14ac:dyDescent="0.25">
      <c r="A8959">
        <v>9</v>
      </c>
      <c r="B8959">
        <v>461</v>
      </c>
      <c r="C8959" t="str">
        <f t="shared" si="2039"/>
        <v>36</v>
      </c>
      <c r="D8959">
        <v>6399</v>
      </c>
      <c r="E8959" t="str">
        <f>"Y5"</f>
        <v>Y5</v>
      </c>
      <c r="F8959" t="str">
        <f>"802"</f>
        <v>802</v>
      </c>
      <c r="G8959">
        <v>9</v>
      </c>
      <c r="H8959" t="str">
        <f>"99"</f>
        <v>99</v>
      </c>
      <c r="I8959" t="str">
        <f t="shared" si="2041"/>
        <v>0</v>
      </c>
      <c r="J8959" t="str">
        <f t="shared" si="2040"/>
        <v>00</v>
      </c>
      <c r="K8959">
        <v>20181005</v>
      </c>
      <c r="L8959" t="str">
        <f>"074097"</f>
        <v>074097</v>
      </c>
      <c r="M8959" t="str">
        <f>"00420"</f>
        <v>00420</v>
      </c>
      <c r="N8959" t="s">
        <v>7020</v>
      </c>
      <c r="O8959">
        <v>53.91</v>
      </c>
      <c r="P8959">
        <v>20181003</v>
      </c>
      <c r="Q8959" t="s">
        <v>7021</v>
      </c>
      <c r="R8959" t="s">
        <v>7022</v>
      </c>
      <c r="S8959" t="s">
        <v>7000</v>
      </c>
      <c r="T8959" t="s">
        <v>7023</v>
      </c>
    </row>
    <row r="8960" spans="1:20" x14ac:dyDescent="0.25">
      <c r="A8960">
        <v>9</v>
      </c>
      <c r="B8960">
        <v>461</v>
      </c>
      <c r="C8960" t="str">
        <f t="shared" si="2039"/>
        <v>36</v>
      </c>
      <c r="D8960">
        <v>6399</v>
      </c>
      <c r="E8960" t="str">
        <f>"3Y"</f>
        <v>3Y</v>
      </c>
      <c r="F8960" t="str">
        <f>"041"</f>
        <v>041</v>
      </c>
      <c r="G8960">
        <v>9</v>
      </c>
      <c r="H8960" t="str">
        <f>"91"</f>
        <v>91</v>
      </c>
      <c r="I8960" t="str">
        <f t="shared" si="2041"/>
        <v>0</v>
      </c>
      <c r="J8960" t="str">
        <f t="shared" si="2040"/>
        <v>00</v>
      </c>
      <c r="K8960">
        <v>20181005</v>
      </c>
      <c r="L8960" t="str">
        <f>"074099"</f>
        <v>074099</v>
      </c>
      <c r="M8960" t="str">
        <f>"11217"</f>
        <v>11217</v>
      </c>
      <c r="N8960" t="s">
        <v>7069</v>
      </c>
      <c r="O8960" s="1">
        <v>1360</v>
      </c>
      <c r="P8960">
        <v>20181003</v>
      </c>
      <c r="Q8960" t="s">
        <v>7027</v>
      </c>
      <c r="R8960" t="s">
        <v>7070</v>
      </c>
      <c r="S8960" t="s">
        <v>7000</v>
      </c>
      <c r="T8960" t="s">
        <v>106</v>
      </c>
    </row>
    <row r="8961" spans="1:20" x14ac:dyDescent="0.25">
      <c r="A8961">
        <v>9</v>
      </c>
      <c r="B8961">
        <v>461</v>
      </c>
      <c r="C8961" t="str">
        <f t="shared" si="2039"/>
        <v>36</v>
      </c>
      <c r="D8961">
        <v>6399</v>
      </c>
      <c r="E8961" t="str">
        <f>"3Y"</f>
        <v>3Y</v>
      </c>
      <c r="F8961" t="str">
        <f>"041"</f>
        <v>041</v>
      </c>
      <c r="G8961">
        <v>9</v>
      </c>
      <c r="H8961" t="str">
        <f>"91"</f>
        <v>91</v>
      </c>
      <c r="I8961" t="str">
        <f t="shared" si="2041"/>
        <v>0</v>
      </c>
      <c r="J8961" t="str">
        <f t="shared" si="2040"/>
        <v>00</v>
      </c>
      <c r="K8961">
        <v>20181005</v>
      </c>
      <c r="L8961" t="str">
        <f>"074099"</f>
        <v>074099</v>
      </c>
      <c r="M8961" t="str">
        <f>"11217"</f>
        <v>11217</v>
      </c>
      <c r="N8961" t="s">
        <v>7069</v>
      </c>
      <c r="O8961" s="1">
        <v>2292</v>
      </c>
      <c r="P8961">
        <v>20181003</v>
      </c>
      <c r="Q8961" t="s">
        <v>7027</v>
      </c>
      <c r="R8961" t="s">
        <v>7071</v>
      </c>
      <c r="S8961" t="s">
        <v>7000</v>
      </c>
      <c r="T8961" t="s">
        <v>106</v>
      </c>
    </row>
    <row r="8962" spans="1:20" x14ac:dyDescent="0.25">
      <c r="A8962">
        <v>9</v>
      </c>
      <c r="B8962">
        <v>461</v>
      </c>
      <c r="C8962" t="str">
        <f t="shared" si="2039"/>
        <v>36</v>
      </c>
      <c r="D8962">
        <v>6399</v>
      </c>
      <c r="E8962" t="str">
        <f>"3Y"</f>
        <v>3Y</v>
      </c>
      <c r="F8962" t="str">
        <f>"041"</f>
        <v>041</v>
      </c>
      <c r="G8962">
        <v>9</v>
      </c>
      <c r="H8962" t="str">
        <f>"91"</f>
        <v>91</v>
      </c>
      <c r="I8962" t="str">
        <f t="shared" si="2041"/>
        <v>0</v>
      </c>
      <c r="J8962" t="str">
        <f t="shared" si="2040"/>
        <v>00</v>
      </c>
      <c r="K8962">
        <v>20181005</v>
      </c>
      <c r="L8962" t="str">
        <f>"074109"</f>
        <v>074109</v>
      </c>
      <c r="M8962" t="str">
        <f>"51346"</f>
        <v>51346</v>
      </c>
      <c r="N8962" t="s">
        <v>418</v>
      </c>
      <c r="O8962">
        <v>60</v>
      </c>
      <c r="P8962">
        <v>20181001</v>
      </c>
      <c r="Q8962" t="s">
        <v>7027</v>
      </c>
      <c r="R8962" t="s">
        <v>7072</v>
      </c>
      <c r="S8962" t="s">
        <v>7000</v>
      </c>
      <c r="T8962" t="s">
        <v>106</v>
      </c>
    </row>
    <row r="8963" spans="1:20" x14ac:dyDescent="0.25">
      <c r="A8963">
        <v>9</v>
      </c>
      <c r="B8963">
        <v>461</v>
      </c>
      <c r="C8963" t="str">
        <f t="shared" si="2039"/>
        <v>36</v>
      </c>
      <c r="D8963">
        <v>6399</v>
      </c>
      <c r="E8963" t="str">
        <f>"3Y"</f>
        <v>3Y</v>
      </c>
      <c r="F8963" t="str">
        <f>"041"</f>
        <v>041</v>
      </c>
      <c r="G8963">
        <v>9</v>
      </c>
      <c r="H8963" t="str">
        <f>"91"</f>
        <v>91</v>
      </c>
      <c r="I8963" t="str">
        <f t="shared" si="2041"/>
        <v>0</v>
      </c>
      <c r="J8963" t="str">
        <f t="shared" si="2040"/>
        <v>00</v>
      </c>
      <c r="K8963">
        <v>20181005</v>
      </c>
      <c r="L8963" t="str">
        <f>"074109"</f>
        <v>074109</v>
      </c>
      <c r="M8963" t="str">
        <f>"51346"</f>
        <v>51346</v>
      </c>
      <c r="N8963" t="s">
        <v>418</v>
      </c>
      <c r="O8963">
        <v>198.95</v>
      </c>
      <c r="P8963">
        <v>20181001</v>
      </c>
      <c r="Q8963" t="s">
        <v>7027</v>
      </c>
      <c r="R8963" t="s">
        <v>7067</v>
      </c>
      <c r="S8963" t="s">
        <v>7000</v>
      </c>
      <c r="T8963" t="s">
        <v>106</v>
      </c>
    </row>
    <row r="8964" spans="1:20" x14ac:dyDescent="0.25">
      <c r="A8964">
        <v>9</v>
      </c>
      <c r="B8964">
        <v>461</v>
      </c>
      <c r="C8964" t="str">
        <f t="shared" si="2039"/>
        <v>36</v>
      </c>
      <c r="D8964">
        <v>6399</v>
      </c>
      <c r="E8964" t="str">
        <f>"CS"</f>
        <v>CS</v>
      </c>
      <c r="F8964" t="str">
        <f>"001"</f>
        <v>001</v>
      </c>
      <c r="G8964">
        <v>9</v>
      </c>
      <c r="H8964" t="str">
        <f>"91"</f>
        <v>91</v>
      </c>
      <c r="I8964" t="str">
        <f t="shared" si="2041"/>
        <v>0</v>
      </c>
      <c r="J8964" t="str">
        <f t="shared" si="2040"/>
        <v>00</v>
      </c>
      <c r="K8964">
        <v>20181005</v>
      </c>
      <c r="L8964" t="str">
        <f>"074119"</f>
        <v>074119</v>
      </c>
      <c r="M8964" t="str">
        <f>"24955"</f>
        <v>24955</v>
      </c>
      <c r="N8964" t="s">
        <v>7046</v>
      </c>
      <c r="O8964">
        <v>100</v>
      </c>
      <c r="P8964">
        <v>20181001</v>
      </c>
      <c r="Q8964" t="s">
        <v>6998</v>
      </c>
      <c r="R8964" t="s">
        <v>6999</v>
      </c>
      <c r="S8964" t="s">
        <v>7000</v>
      </c>
      <c r="T8964" t="s">
        <v>301</v>
      </c>
    </row>
    <row r="8965" spans="1:20" x14ac:dyDescent="0.25">
      <c r="A8965">
        <v>9</v>
      </c>
      <c r="B8965">
        <v>461</v>
      </c>
      <c r="C8965" t="str">
        <f t="shared" si="2039"/>
        <v>36</v>
      </c>
      <c r="D8965">
        <v>6399</v>
      </c>
      <c r="E8965" t="str">
        <f>"00"</f>
        <v>00</v>
      </c>
      <c r="F8965" t="str">
        <f>"942"</f>
        <v>942</v>
      </c>
      <c r="G8965">
        <v>9</v>
      </c>
      <c r="H8965" t="str">
        <f>"99"</f>
        <v>99</v>
      </c>
      <c r="I8965" t="str">
        <f t="shared" si="2041"/>
        <v>0</v>
      </c>
      <c r="J8965" t="str">
        <f>"88"</f>
        <v>88</v>
      </c>
      <c r="K8965">
        <v>20181005</v>
      </c>
      <c r="L8965" t="str">
        <f>"074120"</f>
        <v>074120</v>
      </c>
      <c r="M8965" t="str">
        <f>"25165"</f>
        <v>25165</v>
      </c>
      <c r="N8965" t="s">
        <v>2860</v>
      </c>
      <c r="O8965" s="1">
        <v>1609.9</v>
      </c>
      <c r="P8965">
        <v>20181004</v>
      </c>
      <c r="Q8965" t="s">
        <v>7018</v>
      </c>
      <c r="R8965" t="s">
        <v>7073</v>
      </c>
      <c r="S8965" t="s">
        <v>7000</v>
      </c>
      <c r="T8965" t="s">
        <v>1831</v>
      </c>
    </row>
    <row r="8966" spans="1:20" x14ac:dyDescent="0.25">
      <c r="A8966">
        <v>9</v>
      </c>
      <c r="B8966">
        <v>461</v>
      </c>
      <c r="C8966" t="str">
        <f t="shared" si="2039"/>
        <v>36</v>
      </c>
      <c r="D8966">
        <v>6219</v>
      </c>
      <c r="E8966" t="str">
        <f>"3Y"</f>
        <v>3Y</v>
      </c>
      <c r="F8966" t="str">
        <f>"041"</f>
        <v>041</v>
      </c>
      <c r="G8966">
        <v>9</v>
      </c>
      <c r="H8966" t="str">
        <f>"91"</f>
        <v>91</v>
      </c>
      <c r="I8966" t="str">
        <f t="shared" si="2041"/>
        <v>0</v>
      </c>
      <c r="J8966" t="str">
        <f t="shared" ref="J8966:J8972" si="2042">"00"</f>
        <v>00</v>
      </c>
      <c r="K8966">
        <v>20181005</v>
      </c>
      <c r="L8966" t="str">
        <f>"074138"</f>
        <v>074138</v>
      </c>
      <c r="M8966" t="str">
        <f>"39268"</f>
        <v>39268</v>
      </c>
      <c r="N8966" t="s">
        <v>728</v>
      </c>
      <c r="O8966">
        <v>260</v>
      </c>
      <c r="P8966">
        <v>20181001</v>
      </c>
      <c r="Q8966" t="s">
        <v>7044</v>
      </c>
      <c r="R8966" t="s">
        <v>7067</v>
      </c>
      <c r="S8966" t="s">
        <v>7000</v>
      </c>
      <c r="T8966" t="s">
        <v>106</v>
      </c>
    </row>
    <row r="8967" spans="1:20" x14ac:dyDescent="0.25">
      <c r="A8967">
        <v>9</v>
      </c>
      <c r="B8967">
        <v>461</v>
      </c>
      <c r="C8967" t="str">
        <f t="shared" si="2039"/>
        <v>36</v>
      </c>
      <c r="D8967">
        <v>6399</v>
      </c>
      <c r="E8967" t="str">
        <f>"3Y"</f>
        <v>3Y</v>
      </c>
      <c r="F8967" t="str">
        <f>"041"</f>
        <v>041</v>
      </c>
      <c r="G8967">
        <v>9</v>
      </c>
      <c r="H8967" t="str">
        <f>"91"</f>
        <v>91</v>
      </c>
      <c r="I8967" t="str">
        <f t="shared" si="2041"/>
        <v>0</v>
      </c>
      <c r="J8967" t="str">
        <f t="shared" si="2042"/>
        <v>00</v>
      </c>
      <c r="K8967">
        <v>20181005</v>
      </c>
      <c r="L8967" t="str">
        <f>"074139"</f>
        <v>074139</v>
      </c>
      <c r="M8967" t="str">
        <f>"37500"</f>
        <v>37500</v>
      </c>
      <c r="N8967" t="s">
        <v>2077</v>
      </c>
      <c r="O8967">
        <v>66.37</v>
      </c>
      <c r="P8967">
        <v>20181004</v>
      </c>
      <c r="Q8967" t="s">
        <v>7027</v>
      </c>
      <c r="R8967" t="s">
        <v>7074</v>
      </c>
      <c r="S8967" t="s">
        <v>7000</v>
      </c>
      <c r="T8967" t="s">
        <v>106</v>
      </c>
    </row>
    <row r="8968" spans="1:20" x14ac:dyDescent="0.25">
      <c r="A8968">
        <v>9</v>
      </c>
      <c r="B8968">
        <v>461</v>
      </c>
      <c r="C8968" t="str">
        <f t="shared" si="2039"/>
        <v>36</v>
      </c>
      <c r="D8968">
        <v>6399</v>
      </c>
      <c r="E8968" t="str">
        <f>"3Y"</f>
        <v>3Y</v>
      </c>
      <c r="F8968" t="str">
        <f>"041"</f>
        <v>041</v>
      </c>
      <c r="G8968">
        <v>9</v>
      </c>
      <c r="H8968" t="str">
        <f>"91"</f>
        <v>91</v>
      </c>
      <c r="I8968" t="str">
        <f t="shared" si="2041"/>
        <v>0</v>
      </c>
      <c r="J8968" t="str">
        <f t="shared" si="2042"/>
        <v>00</v>
      </c>
      <c r="K8968">
        <v>20181005</v>
      </c>
      <c r="L8968" t="str">
        <f>"074139"</f>
        <v>074139</v>
      </c>
      <c r="M8968" t="str">
        <f>"37500"</f>
        <v>37500</v>
      </c>
      <c r="N8968" t="s">
        <v>2077</v>
      </c>
      <c r="O8968">
        <v>16.98</v>
      </c>
      <c r="P8968">
        <v>20181004</v>
      </c>
      <c r="Q8968" t="s">
        <v>7027</v>
      </c>
      <c r="R8968" t="s">
        <v>7074</v>
      </c>
      <c r="S8968" t="s">
        <v>7000</v>
      </c>
      <c r="T8968" t="s">
        <v>106</v>
      </c>
    </row>
    <row r="8969" spans="1:20" x14ac:dyDescent="0.25">
      <c r="A8969">
        <v>9</v>
      </c>
      <c r="B8969">
        <v>461</v>
      </c>
      <c r="C8969" t="str">
        <f t="shared" si="2039"/>
        <v>36</v>
      </c>
      <c r="D8969">
        <v>6399</v>
      </c>
      <c r="E8969" t="str">
        <f>"PR"</f>
        <v>PR</v>
      </c>
      <c r="F8969" t="str">
        <f>"104"</f>
        <v>104</v>
      </c>
      <c r="G8969">
        <v>9</v>
      </c>
      <c r="H8969" t="str">
        <f>"99"</f>
        <v>99</v>
      </c>
      <c r="I8969" t="str">
        <f t="shared" si="2041"/>
        <v>0</v>
      </c>
      <c r="J8969" t="str">
        <f t="shared" si="2042"/>
        <v>00</v>
      </c>
      <c r="K8969">
        <v>20181005</v>
      </c>
      <c r="L8969" t="str">
        <f>"074152"</f>
        <v>074152</v>
      </c>
      <c r="M8969" t="str">
        <f>"51911"</f>
        <v>51911</v>
      </c>
      <c r="N8969" t="s">
        <v>2396</v>
      </c>
      <c r="O8969">
        <v>149.99</v>
      </c>
      <c r="P8969">
        <v>20181004</v>
      </c>
      <c r="Q8969" t="s">
        <v>7014</v>
      </c>
      <c r="R8969" t="s">
        <v>2398</v>
      </c>
      <c r="S8969" t="s">
        <v>7000</v>
      </c>
      <c r="T8969" t="s">
        <v>46</v>
      </c>
    </row>
    <row r="8970" spans="1:20" x14ac:dyDescent="0.25">
      <c r="A8970">
        <v>9</v>
      </c>
      <c r="B8970">
        <v>461</v>
      </c>
      <c r="C8970" t="str">
        <f t="shared" si="2039"/>
        <v>36</v>
      </c>
      <c r="D8970">
        <v>6499</v>
      </c>
      <c r="E8970" t="str">
        <f>"8M"</f>
        <v>8M</v>
      </c>
      <c r="F8970" t="str">
        <f>"001"</f>
        <v>001</v>
      </c>
      <c r="G8970">
        <v>9</v>
      </c>
      <c r="H8970" t="str">
        <f>"99"</f>
        <v>99</v>
      </c>
      <c r="I8970" t="str">
        <f t="shared" si="2041"/>
        <v>0</v>
      </c>
      <c r="J8970" t="str">
        <f t="shared" si="2042"/>
        <v>00</v>
      </c>
      <c r="K8970">
        <v>20181005</v>
      </c>
      <c r="L8970" t="str">
        <f>"074153"</f>
        <v>074153</v>
      </c>
      <c r="M8970" t="str">
        <f>"53201"</f>
        <v>53201</v>
      </c>
      <c r="N8970" t="s">
        <v>991</v>
      </c>
      <c r="O8970" s="1">
        <v>1250</v>
      </c>
      <c r="P8970">
        <v>20181004</v>
      </c>
      <c r="Q8970" t="s">
        <v>7075</v>
      </c>
      <c r="R8970" t="s">
        <v>7076</v>
      </c>
      <c r="S8970" t="s">
        <v>7000</v>
      </c>
      <c r="T8970" t="s">
        <v>301</v>
      </c>
    </row>
    <row r="8971" spans="1:20" x14ac:dyDescent="0.25">
      <c r="A8971">
        <v>9</v>
      </c>
      <c r="B8971">
        <v>461</v>
      </c>
      <c r="C8971" t="str">
        <f t="shared" si="2039"/>
        <v>36</v>
      </c>
      <c r="D8971">
        <v>6499</v>
      </c>
      <c r="E8971" t="str">
        <f>"8M"</f>
        <v>8M</v>
      </c>
      <c r="F8971" t="str">
        <f>"001"</f>
        <v>001</v>
      </c>
      <c r="G8971">
        <v>9</v>
      </c>
      <c r="H8971" t="str">
        <f>"99"</f>
        <v>99</v>
      </c>
      <c r="I8971" t="str">
        <f t="shared" si="2041"/>
        <v>0</v>
      </c>
      <c r="J8971" t="str">
        <f t="shared" si="2042"/>
        <v>00</v>
      </c>
      <c r="K8971">
        <v>20181022</v>
      </c>
      <c r="L8971" t="str">
        <f>"074153"</f>
        <v>074153</v>
      </c>
      <c r="M8971" t="str">
        <f>"53201"</f>
        <v>53201</v>
      </c>
      <c r="N8971" t="s">
        <v>991</v>
      </c>
      <c r="O8971" s="1">
        <v>-1250</v>
      </c>
      <c r="P8971">
        <v>20181022</v>
      </c>
      <c r="Q8971" t="s">
        <v>7075</v>
      </c>
      <c r="R8971" t="s">
        <v>409</v>
      </c>
      <c r="S8971" t="s">
        <v>7000</v>
      </c>
      <c r="T8971" t="s">
        <v>301</v>
      </c>
    </row>
    <row r="8972" spans="1:20" x14ac:dyDescent="0.25">
      <c r="A8972">
        <v>9</v>
      </c>
      <c r="B8972">
        <v>461</v>
      </c>
      <c r="C8972" t="str">
        <f t="shared" si="2039"/>
        <v>36</v>
      </c>
      <c r="D8972">
        <v>6219</v>
      </c>
      <c r="E8972" t="str">
        <f>"3Y"</f>
        <v>3Y</v>
      </c>
      <c r="F8972" t="str">
        <f>"041"</f>
        <v>041</v>
      </c>
      <c r="G8972">
        <v>9</v>
      </c>
      <c r="H8972" t="str">
        <f>"91"</f>
        <v>91</v>
      </c>
      <c r="I8972" t="str">
        <f t="shared" si="2041"/>
        <v>0</v>
      </c>
      <c r="J8972" t="str">
        <f t="shared" si="2042"/>
        <v>00</v>
      </c>
      <c r="K8972">
        <v>20181005</v>
      </c>
      <c r="L8972" t="str">
        <f>"074154"</f>
        <v>074154</v>
      </c>
      <c r="M8972" t="str">
        <f>"54078"</f>
        <v>54078</v>
      </c>
      <c r="N8972" t="s">
        <v>1464</v>
      </c>
      <c r="O8972">
        <v>295</v>
      </c>
      <c r="P8972">
        <v>20181001</v>
      </c>
      <c r="Q8972" t="s">
        <v>7044</v>
      </c>
      <c r="R8972" t="s">
        <v>7067</v>
      </c>
      <c r="S8972" t="s">
        <v>7000</v>
      </c>
      <c r="T8972" t="s">
        <v>106</v>
      </c>
    </row>
    <row r="8973" spans="1:20" x14ac:dyDescent="0.25">
      <c r="A8973">
        <v>9</v>
      </c>
      <c r="B8973">
        <v>461</v>
      </c>
      <c r="C8973" t="str">
        <f t="shared" si="2039"/>
        <v>36</v>
      </c>
      <c r="D8973">
        <v>6399</v>
      </c>
      <c r="E8973" t="str">
        <f>"00"</f>
        <v>00</v>
      </c>
      <c r="F8973" t="str">
        <f>"942"</f>
        <v>942</v>
      </c>
      <c r="G8973">
        <v>9</v>
      </c>
      <c r="H8973" t="str">
        <f>"99"</f>
        <v>99</v>
      </c>
      <c r="I8973" t="str">
        <f t="shared" si="2041"/>
        <v>0</v>
      </c>
      <c r="J8973" t="str">
        <f>"88"</f>
        <v>88</v>
      </c>
      <c r="K8973">
        <v>20181005</v>
      </c>
      <c r="L8973" t="str">
        <f>"074160"</f>
        <v>074160</v>
      </c>
      <c r="M8973" t="str">
        <f>"55795"</f>
        <v>55795</v>
      </c>
      <c r="N8973" t="s">
        <v>7048</v>
      </c>
      <c r="O8973">
        <v>417.22</v>
      </c>
      <c r="P8973">
        <v>20181001</v>
      </c>
      <c r="Q8973" t="s">
        <v>7018</v>
      </c>
      <c r="R8973" t="s">
        <v>7077</v>
      </c>
      <c r="S8973" t="s">
        <v>7000</v>
      </c>
      <c r="T8973" t="s">
        <v>1831</v>
      </c>
    </row>
    <row r="8974" spans="1:20" x14ac:dyDescent="0.25">
      <c r="A8974">
        <v>9</v>
      </c>
      <c r="B8974">
        <v>461</v>
      </c>
      <c r="C8974" t="str">
        <f t="shared" si="2039"/>
        <v>36</v>
      </c>
      <c r="D8974">
        <v>6219</v>
      </c>
      <c r="E8974" t="str">
        <f>"3Y"</f>
        <v>3Y</v>
      </c>
      <c r="F8974" t="str">
        <f>"041"</f>
        <v>041</v>
      </c>
      <c r="G8974">
        <v>9</v>
      </c>
      <c r="H8974" t="str">
        <f>"91"</f>
        <v>91</v>
      </c>
      <c r="I8974" t="str">
        <f t="shared" si="2041"/>
        <v>0</v>
      </c>
      <c r="J8974" t="str">
        <f t="shared" ref="J8974:J9005" si="2043">"00"</f>
        <v>00</v>
      </c>
      <c r="K8974">
        <v>20181005</v>
      </c>
      <c r="L8974" t="str">
        <f>"074163"</f>
        <v>074163</v>
      </c>
      <c r="M8974" t="str">
        <f>"00535"</f>
        <v>00535</v>
      </c>
      <c r="N8974" t="s">
        <v>370</v>
      </c>
      <c r="O8974">
        <v>260</v>
      </c>
      <c r="P8974">
        <v>20181001</v>
      </c>
      <c r="Q8974" t="s">
        <v>7044</v>
      </c>
      <c r="R8974" t="s">
        <v>7067</v>
      </c>
      <c r="S8974" t="s">
        <v>7000</v>
      </c>
      <c r="T8974" t="s">
        <v>106</v>
      </c>
    </row>
    <row r="8975" spans="1:20" x14ac:dyDescent="0.25">
      <c r="A8975">
        <v>9</v>
      </c>
      <c r="B8975">
        <v>461</v>
      </c>
      <c r="C8975" t="str">
        <f>"00"</f>
        <v>00</v>
      </c>
      <c r="D8975">
        <v>2110</v>
      </c>
      <c r="E8975" t="str">
        <f>"18"</f>
        <v>18</v>
      </c>
      <c r="F8975" t="str">
        <f>"000"</f>
        <v>000</v>
      </c>
      <c r="G8975">
        <v>9</v>
      </c>
      <c r="H8975" t="str">
        <f>"00"</f>
        <v>00</v>
      </c>
      <c r="I8975" t="str">
        <f t="shared" si="2041"/>
        <v>0</v>
      </c>
      <c r="J8975" t="str">
        <f t="shared" si="2043"/>
        <v>00</v>
      </c>
      <c r="K8975">
        <v>20181005</v>
      </c>
      <c r="L8975" t="str">
        <f>"074168"</f>
        <v>074168</v>
      </c>
      <c r="M8975" t="str">
        <f>"58211"</f>
        <v>58211</v>
      </c>
      <c r="N8975" t="s">
        <v>1472</v>
      </c>
      <c r="O8975">
        <v>119.96</v>
      </c>
      <c r="P8975">
        <v>20181001</v>
      </c>
      <c r="Q8975" t="s">
        <v>7029</v>
      </c>
      <c r="R8975" t="s">
        <v>7078</v>
      </c>
      <c r="S8975" t="s">
        <v>7000</v>
      </c>
      <c r="T8975" t="s">
        <v>296</v>
      </c>
    </row>
    <row r="8976" spans="1:20" x14ac:dyDescent="0.25">
      <c r="A8976">
        <v>9</v>
      </c>
      <c r="B8976">
        <v>461</v>
      </c>
      <c r="C8976" t="str">
        <f t="shared" ref="C8976:C9039" si="2044">"36"</f>
        <v>36</v>
      </c>
      <c r="D8976">
        <v>6399</v>
      </c>
      <c r="E8976" t="str">
        <f>"3Y"</f>
        <v>3Y</v>
      </c>
      <c r="F8976" t="str">
        <f>"041"</f>
        <v>041</v>
      </c>
      <c r="G8976">
        <v>9</v>
      </c>
      <c r="H8976" t="str">
        <f>"91"</f>
        <v>91</v>
      </c>
      <c r="I8976" t="str">
        <f t="shared" si="2041"/>
        <v>0</v>
      </c>
      <c r="J8976" t="str">
        <f t="shared" si="2043"/>
        <v>00</v>
      </c>
      <c r="K8976">
        <v>20181005</v>
      </c>
      <c r="L8976" t="str">
        <f>"074177"</f>
        <v>074177</v>
      </c>
      <c r="M8976" t="str">
        <f>"64524"</f>
        <v>64524</v>
      </c>
      <c r="N8976" t="s">
        <v>1440</v>
      </c>
      <c r="O8976" s="1">
        <v>1050</v>
      </c>
      <c r="P8976">
        <v>20181004</v>
      </c>
      <c r="Q8976" t="s">
        <v>7027</v>
      </c>
      <c r="R8976" t="s">
        <v>7079</v>
      </c>
      <c r="S8976" t="s">
        <v>7000</v>
      </c>
      <c r="T8976" t="s">
        <v>106</v>
      </c>
    </row>
    <row r="8977" spans="1:20" x14ac:dyDescent="0.25">
      <c r="A8977">
        <v>9</v>
      </c>
      <c r="B8977">
        <v>461</v>
      </c>
      <c r="C8977" t="str">
        <f t="shared" si="2044"/>
        <v>36</v>
      </c>
      <c r="D8977">
        <v>6219</v>
      </c>
      <c r="E8977" t="str">
        <f>"3Y"</f>
        <v>3Y</v>
      </c>
      <c r="F8977" t="str">
        <f>"041"</f>
        <v>041</v>
      </c>
      <c r="G8977">
        <v>9</v>
      </c>
      <c r="H8977" t="str">
        <f>"91"</f>
        <v>91</v>
      </c>
      <c r="I8977" t="str">
        <f t="shared" si="2041"/>
        <v>0</v>
      </c>
      <c r="J8977" t="str">
        <f t="shared" si="2043"/>
        <v>00</v>
      </c>
      <c r="K8977">
        <v>20181005</v>
      </c>
      <c r="L8977" t="str">
        <f>"074181"</f>
        <v>074181</v>
      </c>
      <c r="M8977" t="str">
        <f>"00577"</f>
        <v>00577</v>
      </c>
      <c r="N8977" t="s">
        <v>7080</v>
      </c>
      <c r="O8977">
        <v>260</v>
      </c>
      <c r="P8977">
        <v>20181004</v>
      </c>
      <c r="Q8977" t="s">
        <v>7044</v>
      </c>
      <c r="R8977" t="s">
        <v>7067</v>
      </c>
      <c r="S8977" t="s">
        <v>7000</v>
      </c>
      <c r="T8977" t="s">
        <v>106</v>
      </c>
    </row>
    <row r="8978" spans="1:20" x14ac:dyDescent="0.25">
      <c r="A8978">
        <v>9</v>
      </c>
      <c r="B8978">
        <v>461</v>
      </c>
      <c r="C8978" t="str">
        <f t="shared" si="2044"/>
        <v>36</v>
      </c>
      <c r="D8978">
        <v>6412</v>
      </c>
      <c r="E8978" t="str">
        <f>"7K"</f>
        <v>7K</v>
      </c>
      <c r="F8978" t="str">
        <f>"001"</f>
        <v>001</v>
      </c>
      <c r="G8978">
        <v>9</v>
      </c>
      <c r="H8978" t="str">
        <f>"99"</f>
        <v>99</v>
      </c>
      <c r="I8978" t="str">
        <f t="shared" si="2041"/>
        <v>0</v>
      </c>
      <c r="J8978" t="str">
        <f t="shared" si="2043"/>
        <v>00</v>
      </c>
      <c r="K8978">
        <v>20181005</v>
      </c>
      <c r="L8978" t="str">
        <f>"074190"</f>
        <v>074190</v>
      </c>
      <c r="M8978" t="str">
        <f>"79806"</f>
        <v>79806</v>
      </c>
      <c r="N8978" t="s">
        <v>7081</v>
      </c>
      <c r="O8978" s="1">
        <v>15540</v>
      </c>
      <c r="P8978">
        <v>20181004</v>
      </c>
      <c r="Q8978" t="s">
        <v>7082</v>
      </c>
      <c r="R8978" t="s">
        <v>2975</v>
      </c>
      <c r="S8978" t="s">
        <v>7000</v>
      </c>
      <c r="T8978" t="s">
        <v>301</v>
      </c>
    </row>
    <row r="8979" spans="1:20" x14ac:dyDescent="0.25">
      <c r="A8979">
        <v>9</v>
      </c>
      <c r="B8979">
        <v>461</v>
      </c>
      <c r="C8979" t="str">
        <f t="shared" si="2044"/>
        <v>36</v>
      </c>
      <c r="D8979">
        <v>6399</v>
      </c>
      <c r="E8979" t="str">
        <f>"15"</f>
        <v>15</v>
      </c>
      <c r="F8979" t="str">
        <f>"104"</f>
        <v>104</v>
      </c>
      <c r="G8979">
        <v>9</v>
      </c>
      <c r="H8979" t="str">
        <f>"99"</f>
        <v>99</v>
      </c>
      <c r="I8979" t="str">
        <f t="shared" si="2041"/>
        <v>0</v>
      </c>
      <c r="J8979" t="str">
        <f t="shared" si="2043"/>
        <v>00</v>
      </c>
      <c r="K8979">
        <v>20181005</v>
      </c>
      <c r="L8979" t="str">
        <f>"074192"</f>
        <v>074192</v>
      </c>
      <c r="M8979" t="str">
        <f>"80395"</f>
        <v>80395</v>
      </c>
      <c r="N8979" t="s">
        <v>7051</v>
      </c>
      <c r="O8979" s="1">
        <v>1025</v>
      </c>
      <c r="P8979">
        <v>20181001</v>
      </c>
      <c r="Q8979" t="s">
        <v>7052</v>
      </c>
      <c r="R8979" t="s">
        <v>7083</v>
      </c>
      <c r="S8979" t="s">
        <v>7000</v>
      </c>
      <c r="T8979" t="s">
        <v>46</v>
      </c>
    </row>
    <row r="8980" spans="1:20" x14ac:dyDescent="0.25">
      <c r="A8980">
        <v>9</v>
      </c>
      <c r="B8980">
        <v>461</v>
      </c>
      <c r="C8980" t="str">
        <f t="shared" si="2044"/>
        <v>36</v>
      </c>
      <c r="D8980">
        <v>6269</v>
      </c>
      <c r="E8980" t="str">
        <f>"PR"</f>
        <v>PR</v>
      </c>
      <c r="F8980" t="str">
        <f>"104"</f>
        <v>104</v>
      </c>
      <c r="G8980">
        <v>9</v>
      </c>
      <c r="H8980" t="str">
        <f>"99"</f>
        <v>99</v>
      </c>
      <c r="I8980" t="str">
        <f t="shared" si="2041"/>
        <v>0</v>
      </c>
      <c r="J8980" t="str">
        <f t="shared" si="2043"/>
        <v>00</v>
      </c>
      <c r="K8980">
        <v>20181005</v>
      </c>
      <c r="L8980" t="str">
        <f>"074195"</f>
        <v>074195</v>
      </c>
      <c r="M8980" t="str">
        <f>"74835"</f>
        <v>74835</v>
      </c>
      <c r="N8980" t="s">
        <v>7084</v>
      </c>
      <c r="O8980">
        <v>375</v>
      </c>
      <c r="P8980">
        <v>20181004</v>
      </c>
      <c r="Q8980" t="s">
        <v>7085</v>
      </c>
      <c r="R8980" t="s">
        <v>7086</v>
      </c>
      <c r="S8980" t="s">
        <v>7000</v>
      </c>
      <c r="T8980" t="s">
        <v>46</v>
      </c>
    </row>
    <row r="8981" spans="1:20" x14ac:dyDescent="0.25">
      <c r="A8981">
        <v>9</v>
      </c>
      <c r="B8981">
        <v>461</v>
      </c>
      <c r="C8981" t="str">
        <f t="shared" si="2044"/>
        <v>36</v>
      </c>
      <c r="D8981">
        <v>6399</v>
      </c>
      <c r="E8981" t="str">
        <f>"3T"</f>
        <v>3T</v>
      </c>
      <c r="F8981" t="str">
        <f>"001"</f>
        <v>001</v>
      </c>
      <c r="G8981">
        <v>9</v>
      </c>
      <c r="H8981" t="str">
        <f>"91"</f>
        <v>91</v>
      </c>
      <c r="I8981" t="str">
        <f t="shared" si="2041"/>
        <v>0</v>
      </c>
      <c r="J8981" t="str">
        <f t="shared" si="2043"/>
        <v>00</v>
      </c>
      <c r="K8981">
        <v>20181005</v>
      </c>
      <c r="L8981" t="str">
        <f>"074200"</f>
        <v>074200</v>
      </c>
      <c r="M8981" t="str">
        <f>"80755"</f>
        <v>80755</v>
      </c>
      <c r="N8981" t="s">
        <v>4181</v>
      </c>
      <c r="O8981">
        <v>299.91000000000003</v>
      </c>
      <c r="P8981">
        <v>20181001</v>
      </c>
      <c r="Q8981" t="s">
        <v>7053</v>
      </c>
      <c r="R8981" t="s">
        <v>7087</v>
      </c>
      <c r="S8981" t="s">
        <v>7000</v>
      </c>
      <c r="T8981" t="s">
        <v>301</v>
      </c>
    </row>
    <row r="8982" spans="1:20" x14ac:dyDescent="0.25">
      <c r="A8982">
        <v>9</v>
      </c>
      <c r="B8982">
        <v>461</v>
      </c>
      <c r="C8982" t="str">
        <f t="shared" si="2044"/>
        <v>36</v>
      </c>
      <c r="D8982">
        <v>6399</v>
      </c>
      <c r="E8982" t="str">
        <f>"3V"</f>
        <v>3V</v>
      </c>
      <c r="F8982" t="str">
        <f>"041"</f>
        <v>041</v>
      </c>
      <c r="G8982">
        <v>9</v>
      </c>
      <c r="H8982" t="str">
        <f>"91"</f>
        <v>91</v>
      </c>
      <c r="I8982" t="str">
        <f t="shared" si="2041"/>
        <v>0</v>
      </c>
      <c r="J8982" t="str">
        <f t="shared" si="2043"/>
        <v>00</v>
      </c>
      <c r="K8982">
        <v>20181005</v>
      </c>
      <c r="L8982" t="str">
        <f>"074200"</f>
        <v>074200</v>
      </c>
      <c r="M8982" t="str">
        <f>"80755"</f>
        <v>80755</v>
      </c>
      <c r="N8982" t="s">
        <v>4181</v>
      </c>
      <c r="O8982">
        <v>779</v>
      </c>
      <c r="P8982">
        <v>20181001</v>
      </c>
      <c r="Q8982" t="s">
        <v>7054</v>
      </c>
      <c r="R8982" t="s">
        <v>7088</v>
      </c>
      <c r="S8982" t="s">
        <v>7000</v>
      </c>
      <c r="T8982" t="s">
        <v>106</v>
      </c>
    </row>
    <row r="8983" spans="1:20" x14ac:dyDescent="0.25">
      <c r="A8983">
        <v>9</v>
      </c>
      <c r="B8983">
        <v>461</v>
      </c>
      <c r="C8983" t="str">
        <f t="shared" si="2044"/>
        <v>36</v>
      </c>
      <c r="D8983">
        <v>6399</v>
      </c>
      <c r="E8983" t="str">
        <f>"7E"</f>
        <v>7E</v>
      </c>
      <c r="F8983" t="str">
        <f>"001"</f>
        <v>001</v>
      </c>
      <c r="G8983">
        <v>9</v>
      </c>
      <c r="H8983" t="str">
        <f>"99"</f>
        <v>99</v>
      </c>
      <c r="I8983" t="str">
        <f t="shared" si="2041"/>
        <v>0</v>
      </c>
      <c r="J8983" t="str">
        <f t="shared" si="2043"/>
        <v>00</v>
      </c>
      <c r="K8983">
        <v>20181005</v>
      </c>
      <c r="L8983" t="str">
        <f>"074202"</f>
        <v>074202</v>
      </c>
      <c r="M8983" t="str">
        <f>"81303"</f>
        <v>81303</v>
      </c>
      <c r="N8983" t="s">
        <v>66</v>
      </c>
      <c r="O8983">
        <v>57.5</v>
      </c>
      <c r="P8983">
        <v>20181001</v>
      </c>
      <c r="Q8983" t="s">
        <v>7055</v>
      </c>
      <c r="R8983" t="s">
        <v>7089</v>
      </c>
      <c r="S8983" t="s">
        <v>7000</v>
      </c>
      <c r="T8983" t="s">
        <v>301</v>
      </c>
    </row>
    <row r="8984" spans="1:20" x14ac:dyDescent="0.25">
      <c r="A8984">
        <v>9</v>
      </c>
      <c r="B8984">
        <v>461</v>
      </c>
      <c r="C8984" t="str">
        <f t="shared" si="2044"/>
        <v>36</v>
      </c>
      <c r="D8984">
        <v>6399</v>
      </c>
      <c r="E8984" t="str">
        <f>"7K"</f>
        <v>7K</v>
      </c>
      <c r="F8984" t="str">
        <f>"001"</f>
        <v>001</v>
      </c>
      <c r="G8984">
        <v>9</v>
      </c>
      <c r="H8984" t="str">
        <f>"99"</f>
        <v>99</v>
      </c>
      <c r="I8984" t="str">
        <f t="shared" si="2041"/>
        <v>0</v>
      </c>
      <c r="J8984" t="str">
        <f t="shared" si="2043"/>
        <v>00</v>
      </c>
      <c r="K8984">
        <v>20181005</v>
      </c>
      <c r="L8984" t="str">
        <f>"074202"</f>
        <v>074202</v>
      </c>
      <c r="M8984" t="str">
        <f>"81303"</f>
        <v>81303</v>
      </c>
      <c r="N8984" t="s">
        <v>66</v>
      </c>
      <c r="O8984">
        <v>9</v>
      </c>
      <c r="P8984">
        <v>20181001</v>
      </c>
      <c r="Q8984" t="s">
        <v>7056</v>
      </c>
      <c r="R8984" t="s">
        <v>7090</v>
      </c>
      <c r="S8984" t="s">
        <v>7000</v>
      </c>
      <c r="T8984" t="s">
        <v>301</v>
      </c>
    </row>
    <row r="8985" spans="1:20" x14ac:dyDescent="0.25">
      <c r="A8985">
        <v>9</v>
      </c>
      <c r="B8985">
        <v>461</v>
      </c>
      <c r="C8985" t="str">
        <f t="shared" si="2044"/>
        <v>36</v>
      </c>
      <c r="D8985">
        <v>6399</v>
      </c>
      <c r="E8985" t="str">
        <f>"PR"</f>
        <v>PR</v>
      </c>
      <c r="F8985" t="str">
        <f>"104"</f>
        <v>104</v>
      </c>
      <c r="G8985">
        <v>9</v>
      </c>
      <c r="H8985" t="str">
        <f>"99"</f>
        <v>99</v>
      </c>
      <c r="I8985" t="str">
        <f t="shared" si="2041"/>
        <v>0</v>
      </c>
      <c r="J8985" t="str">
        <f t="shared" si="2043"/>
        <v>00</v>
      </c>
      <c r="K8985">
        <v>20181005</v>
      </c>
      <c r="L8985" t="str">
        <f>"074205"</f>
        <v>074205</v>
      </c>
      <c r="M8985" t="str">
        <f>"82176"</f>
        <v>82176</v>
      </c>
      <c r="N8985" t="s">
        <v>1286</v>
      </c>
      <c r="O8985">
        <v>16.239999999999998</v>
      </c>
      <c r="P8985">
        <v>20181004</v>
      </c>
      <c r="Q8985" t="s">
        <v>7014</v>
      </c>
      <c r="R8985" t="s">
        <v>7091</v>
      </c>
      <c r="S8985" t="s">
        <v>7000</v>
      </c>
      <c r="T8985" t="s">
        <v>46</v>
      </c>
    </row>
    <row r="8986" spans="1:20" x14ac:dyDescent="0.25">
      <c r="A8986">
        <v>9</v>
      </c>
      <c r="B8986">
        <v>461</v>
      </c>
      <c r="C8986" t="str">
        <f t="shared" si="2044"/>
        <v>36</v>
      </c>
      <c r="D8986">
        <v>6399</v>
      </c>
      <c r="E8986" t="str">
        <f>"DG"</f>
        <v>DG</v>
      </c>
      <c r="F8986" t="str">
        <f>"101"</f>
        <v>101</v>
      </c>
      <c r="G8986">
        <v>9</v>
      </c>
      <c r="H8986" t="str">
        <f>"99"</f>
        <v>99</v>
      </c>
      <c r="I8986" t="str">
        <f t="shared" si="2041"/>
        <v>0</v>
      </c>
      <c r="J8986" t="str">
        <f t="shared" si="2043"/>
        <v>00</v>
      </c>
      <c r="K8986">
        <v>20181005</v>
      </c>
      <c r="L8986" t="str">
        <f>"074215"</f>
        <v>074215</v>
      </c>
      <c r="M8986" t="str">
        <f>"54202"</f>
        <v>54202</v>
      </c>
      <c r="N8986" t="s">
        <v>7057</v>
      </c>
      <c r="O8986">
        <v>240.61</v>
      </c>
      <c r="P8986">
        <v>20181001</v>
      </c>
      <c r="Q8986" t="s">
        <v>7058</v>
      </c>
      <c r="R8986" t="s">
        <v>7092</v>
      </c>
      <c r="S8986" t="s">
        <v>7000</v>
      </c>
      <c r="T8986" t="s">
        <v>1479</v>
      </c>
    </row>
    <row r="8987" spans="1:20" x14ac:dyDescent="0.25">
      <c r="A8987">
        <v>9</v>
      </c>
      <c r="B8987">
        <v>461</v>
      </c>
      <c r="C8987" t="str">
        <f t="shared" si="2044"/>
        <v>36</v>
      </c>
      <c r="D8987">
        <v>6219</v>
      </c>
      <c r="E8987" t="str">
        <f>"3Y"</f>
        <v>3Y</v>
      </c>
      <c r="F8987" t="str">
        <f>"041"</f>
        <v>041</v>
      </c>
      <c r="G8987">
        <v>9</v>
      </c>
      <c r="H8987" t="str">
        <f>"91"</f>
        <v>91</v>
      </c>
      <c r="I8987" t="str">
        <f t="shared" si="2041"/>
        <v>0</v>
      </c>
      <c r="J8987" t="str">
        <f t="shared" si="2043"/>
        <v>00</v>
      </c>
      <c r="K8987">
        <v>20181005</v>
      </c>
      <c r="L8987" t="str">
        <f>"074218"</f>
        <v>074218</v>
      </c>
      <c r="M8987" t="str">
        <f>"84400"</f>
        <v>84400</v>
      </c>
      <c r="N8987" t="s">
        <v>764</v>
      </c>
      <c r="O8987">
        <v>295</v>
      </c>
      <c r="P8987">
        <v>20181001</v>
      </c>
      <c r="Q8987" t="s">
        <v>7044</v>
      </c>
      <c r="R8987" t="s">
        <v>7067</v>
      </c>
      <c r="S8987" t="s">
        <v>7000</v>
      </c>
      <c r="T8987" t="s">
        <v>106</v>
      </c>
    </row>
    <row r="8988" spans="1:20" x14ac:dyDescent="0.25">
      <c r="A8988">
        <v>9</v>
      </c>
      <c r="B8988">
        <v>461</v>
      </c>
      <c r="C8988" t="str">
        <f t="shared" si="2044"/>
        <v>36</v>
      </c>
      <c r="D8988">
        <v>6399</v>
      </c>
      <c r="E8988" t="str">
        <f>"3D"</f>
        <v>3D</v>
      </c>
      <c r="F8988" t="str">
        <f>"041"</f>
        <v>041</v>
      </c>
      <c r="G8988">
        <v>9</v>
      </c>
      <c r="H8988" t="str">
        <f>"91"</f>
        <v>91</v>
      </c>
      <c r="I8988" t="str">
        <f t="shared" si="2041"/>
        <v>0</v>
      </c>
      <c r="J8988" t="str">
        <f t="shared" si="2043"/>
        <v>00</v>
      </c>
      <c r="K8988">
        <v>20181012</v>
      </c>
      <c r="L8988" t="str">
        <f>"074222"</f>
        <v>074222</v>
      </c>
      <c r="M8988" t="str">
        <f>"03694"</f>
        <v>03694</v>
      </c>
      <c r="N8988" t="s">
        <v>459</v>
      </c>
      <c r="O8988">
        <v>50</v>
      </c>
      <c r="P8988">
        <v>20181011</v>
      </c>
      <c r="Q8988" t="s">
        <v>7093</v>
      </c>
      <c r="R8988" t="s">
        <v>461</v>
      </c>
      <c r="S8988" t="s">
        <v>7000</v>
      </c>
      <c r="T8988" t="s">
        <v>106</v>
      </c>
    </row>
    <row r="8989" spans="1:20" x14ac:dyDescent="0.25">
      <c r="A8989">
        <v>9</v>
      </c>
      <c r="B8989">
        <v>461</v>
      </c>
      <c r="C8989" t="str">
        <f t="shared" si="2044"/>
        <v>36</v>
      </c>
      <c r="D8989">
        <v>6399</v>
      </c>
      <c r="E8989" t="str">
        <f>"38"</f>
        <v>38</v>
      </c>
      <c r="F8989" t="str">
        <f>"001"</f>
        <v>001</v>
      </c>
      <c r="G8989">
        <v>9</v>
      </c>
      <c r="H8989" t="str">
        <f>"91"</f>
        <v>91</v>
      </c>
      <c r="I8989" t="str">
        <f t="shared" si="2041"/>
        <v>0</v>
      </c>
      <c r="J8989" t="str">
        <f t="shared" si="2043"/>
        <v>00</v>
      </c>
      <c r="K8989">
        <v>20181012</v>
      </c>
      <c r="L8989" t="str">
        <f>"074223"</f>
        <v>074223</v>
      </c>
      <c r="M8989" t="str">
        <f>"04410"</f>
        <v>04410</v>
      </c>
      <c r="N8989" t="s">
        <v>410</v>
      </c>
      <c r="O8989">
        <v>570.53</v>
      </c>
      <c r="P8989">
        <v>20181011</v>
      </c>
      <c r="Q8989" t="s">
        <v>7094</v>
      </c>
      <c r="R8989" t="s">
        <v>468</v>
      </c>
      <c r="S8989" t="s">
        <v>7000</v>
      </c>
      <c r="T8989" t="s">
        <v>301</v>
      </c>
    </row>
    <row r="8990" spans="1:20" x14ac:dyDescent="0.25">
      <c r="A8990">
        <v>9</v>
      </c>
      <c r="B8990">
        <v>461</v>
      </c>
      <c r="C8990" t="str">
        <f t="shared" si="2044"/>
        <v>36</v>
      </c>
      <c r="D8990">
        <v>6399</v>
      </c>
      <c r="E8990" t="str">
        <f>"61"</f>
        <v>61</v>
      </c>
      <c r="F8990" t="str">
        <f>"001"</f>
        <v>001</v>
      </c>
      <c r="G8990">
        <v>9</v>
      </c>
      <c r="H8990" t="str">
        <f>"99"</f>
        <v>99</v>
      </c>
      <c r="I8990" t="str">
        <f t="shared" si="2041"/>
        <v>0</v>
      </c>
      <c r="J8990" t="str">
        <f t="shared" si="2043"/>
        <v>00</v>
      </c>
      <c r="K8990">
        <v>20181012</v>
      </c>
      <c r="L8990" t="str">
        <f>"074223"</f>
        <v>074223</v>
      </c>
      <c r="M8990" t="str">
        <f>"04410"</f>
        <v>04410</v>
      </c>
      <c r="N8990" t="s">
        <v>410</v>
      </c>
      <c r="O8990">
        <v>159.97999999999999</v>
      </c>
      <c r="P8990">
        <v>20181011</v>
      </c>
      <c r="Q8990" t="s">
        <v>7095</v>
      </c>
      <c r="R8990" t="s">
        <v>3085</v>
      </c>
      <c r="S8990" t="s">
        <v>7000</v>
      </c>
      <c r="T8990" t="s">
        <v>301</v>
      </c>
    </row>
    <row r="8991" spans="1:20" x14ac:dyDescent="0.25">
      <c r="A8991">
        <v>9</v>
      </c>
      <c r="B8991">
        <v>461</v>
      </c>
      <c r="C8991" t="str">
        <f t="shared" si="2044"/>
        <v>36</v>
      </c>
      <c r="D8991">
        <v>6399</v>
      </c>
      <c r="E8991" t="str">
        <f>"61"</f>
        <v>61</v>
      </c>
      <c r="F8991" t="str">
        <f>"101"</f>
        <v>101</v>
      </c>
      <c r="G8991">
        <v>9</v>
      </c>
      <c r="H8991" t="str">
        <f>"99"</f>
        <v>99</v>
      </c>
      <c r="I8991" t="str">
        <f t="shared" si="2041"/>
        <v>0</v>
      </c>
      <c r="J8991" t="str">
        <f t="shared" si="2043"/>
        <v>00</v>
      </c>
      <c r="K8991">
        <v>20181012</v>
      </c>
      <c r="L8991" t="str">
        <f>"074223"</f>
        <v>074223</v>
      </c>
      <c r="M8991" t="str">
        <f>"04410"</f>
        <v>04410</v>
      </c>
      <c r="N8991" t="s">
        <v>410</v>
      </c>
      <c r="O8991">
        <v>880.04</v>
      </c>
      <c r="P8991">
        <v>20181011</v>
      </c>
      <c r="Q8991" t="s">
        <v>7007</v>
      </c>
      <c r="R8991" t="s">
        <v>641</v>
      </c>
      <c r="S8991" t="s">
        <v>7000</v>
      </c>
      <c r="T8991" t="s">
        <v>1479</v>
      </c>
    </row>
    <row r="8992" spans="1:20" x14ac:dyDescent="0.25">
      <c r="A8992">
        <v>9</v>
      </c>
      <c r="B8992">
        <v>461</v>
      </c>
      <c r="C8992" t="str">
        <f t="shared" si="2044"/>
        <v>36</v>
      </c>
      <c r="D8992">
        <v>6399</v>
      </c>
      <c r="E8992" t="str">
        <f>"7B"</f>
        <v>7B</v>
      </c>
      <c r="F8992" t="str">
        <f>"001"</f>
        <v>001</v>
      </c>
      <c r="G8992">
        <v>9</v>
      </c>
      <c r="H8992" t="str">
        <f>"99"</f>
        <v>99</v>
      </c>
      <c r="I8992" t="str">
        <f t="shared" si="2041"/>
        <v>0</v>
      </c>
      <c r="J8992" t="str">
        <f t="shared" si="2043"/>
        <v>00</v>
      </c>
      <c r="K8992">
        <v>20181012</v>
      </c>
      <c r="L8992" t="str">
        <f>"074223"</f>
        <v>074223</v>
      </c>
      <c r="M8992" t="str">
        <f>"04410"</f>
        <v>04410</v>
      </c>
      <c r="N8992" t="s">
        <v>410</v>
      </c>
      <c r="O8992">
        <v>99.9</v>
      </c>
      <c r="P8992">
        <v>20181011</v>
      </c>
      <c r="Q8992" t="s">
        <v>7042</v>
      </c>
      <c r="R8992" t="s">
        <v>7096</v>
      </c>
      <c r="S8992" t="s">
        <v>7000</v>
      </c>
      <c r="T8992" t="s">
        <v>301</v>
      </c>
    </row>
    <row r="8993" spans="1:20" x14ac:dyDescent="0.25">
      <c r="A8993">
        <v>9</v>
      </c>
      <c r="B8993">
        <v>461</v>
      </c>
      <c r="C8993" t="str">
        <f t="shared" si="2044"/>
        <v>36</v>
      </c>
      <c r="D8993">
        <v>6399</v>
      </c>
      <c r="E8993" t="str">
        <f>"GN"</f>
        <v>GN</v>
      </c>
      <c r="F8993" t="str">
        <f>"001"</f>
        <v>001</v>
      </c>
      <c r="G8993">
        <v>9</v>
      </c>
      <c r="H8993" t="str">
        <f>"99"</f>
        <v>99</v>
      </c>
      <c r="I8993" t="str">
        <f t="shared" si="2041"/>
        <v>0</v>
      </c>
      <c r="J8993" t="str">
        <f t="shared" si="2043"/>
        <v>00</v>
      </c>
      <c r="K8993">
        <v>20181012</v>
      </c>
      <c r="L8993" t="str">
        <f>"074223"</f>
        <v>074223</v>
      </c>
      <c r="M8993" t="str">
        <f>"04410"</f>
        <v>04410</v>
      </c>
      <c r="N8993" t="s">
        <v>410</v>
      </c>
      <c r="O8993">
        <v>152.35</v>
      </c>
      <c r="P8993">
        <v>20181011</v>
      </c>
      <c r="Q8993" t="s">
        <v>7043</v>
      </c>
      <c r="R8993" t="s">
        <v>7097</v>
      </c>
      <c r="S8993" t="s">
        <v>7000</v>
      </c>
      <c r="T8993" t="s">
        <v>301</v>
      </c>
    </row>
    <row r="8994" spans="1:20" x14ac:dyDescent="0.25">
      <c r="A8994">
        <v>9</v>
      </c>
      <c r="B8994">
        <v>461</v>
      </c>
      <c r="C8994" t="str">
        <f t="shared" si="2044"/>
        <v>36</v>
      </c>
      <c r="D8994">
        <v>6399</v>
      </c>
      <c r="E8994" t="str">
        <f>"CS"</f>
        <v>CS</v>
      </c>
      <c r="F8994" t="str">
        <f>"001"</f>
        <v>001</v>
      </c>
      <c r="G8994">
        <v>9</v>
      </c>
      <c r="H8994" t="str">
        <f>"91"</f>
        <v>91</v>
      </c>
      <c r="I8994" t="str">
        <f t="shared" si="2041"/>
        <v>0</v>
      </c>
      <c r="J8994" t="str">
        <f t="shared" si="2043"/>
        <v>00</v>
      </c>
      <c r="K8994">
        <v>20181012</v>
      </c>
      <c r="L8994" t="str">
        <f>"074230"</f>
        <v>074230</v>
      </c>
      <c r="M8994" t="str">
        <f>"10418"</f>
        <v>10418</v>
      </c>
      <c r="N8994" t="s">
        <v>2360</v>
      </c>
      <c r="O8994">
        <v>643.27</v>
      </c>
      <c r="P8994">
        <v>20181011</v>
      </c>
      <c r="Q8994" t="s">
        <v>6998</v>
      </c>
      <c r="R8994" t="s">
        <v>6999</v>
      </c>
      <c r="S8994" t="s">
        <v>7000</v>
      </c>
      <c r="T8994" t="s">
        <v>301</v>
      </c>
    </row>
    <row r="8995" spans="1:20" x14ac:dyDescent="0.25">
      <c r="A8995">
        <v>9</v>
      </c>
      <c r="B8995">
        <v>461</v>
      </c>
      <c r="C8995" t="str">
        <f t="shared" si="2044"/>
        <v>36</v>
      </c>
      <c r="D8995">
        <v>6299</v>
      </c>
      <c r="E8995" t="str">
        <f>"00"</f>
        <v>00</v>
      </c>
      <c r="F8995" t="str">
        <f>"802"</f>
        <v>802</v>
      </c>
      <c r="G8995">
        <v>9</v>
      </c>
      <c r="H8995" t="str">
        <f>"99"</f>
        <v>99</v>
      </c>
      <c r="I8995" t="str">
        <f t="shared" si="2041"/>
        <v>0</v>
      </c>
      <c r="J8995" t="str">
        <f t="shared" si="2043"/>
        <v>00</v>
      </c>
      <c r="K8995">
        <v>20181012</v>
      </c>
      <c r="L8995" t="str">
        <f>"074239"</f>
        <v>074239</v>
      </c>
      <c r="M8995" t="str">
        <f>"00571"</f>
        <v>00571</v>
      </c>
      <c r="N8995" t="s">
        <v>7098</v>
      </c>
      <c r="O8995">
        <v>40</v>
      </c>
      <c r="P8995">
        <v>20181011</v>
      </c>
      <c r="Q8995" t="s">
        <v>7099</v>
      </c>
      <c r="R8995" t="s">
        <v>7100</v>
      </c>
      <c r="S8995" t="s">
        <v>7000</v>
      </c>
      <c r="T8995" t="s">
        <v>7023</v>
      </c>
    </row>
    <row r="8996" spans="1:20" x14ac:dyDescent="0.25">
      <c r="A8996">
        <v>9</v>
      </c>
      <c r="B8996">
        <v>461</v>
      </c>
      <c r="C8996" t="str">
        <f t="shared" si="2044"/>
        <v>36</v>
      </c>
      <c r="D8996">
        <v>6399</v>
      </c>
      <c r="E8996" t="str">
        <f>"CS"</f>
        <v>CS</v>
      </c>
      <c r="F8996" t="str">
        <f>"001"</f>
        <v>001</v>
      </c>
      <c r="G8996">
        <v>9</v>
      </c>
      <c r="H8996" t="str">
        <f>"91"</f>
        <v>91</v>
      </c>
      <c r="I8996" t="str">
        <f t="shared" si="2041"/>
        <v>0</v>
      </c>
      <c r="J8996" t="str">
        <f t="shared" si="2043"/>
        <v>00</v>
      </c>
      <c r="K8996">
        <v>20181012</v>
      </c>
      <c r="L8996" t="str">
        <f>"074240"</f>
        <v>074240</v>
      </c>
      <c r="M8996" t="str">
        <f>"14821"</f>
        <v>14821</v>
      </c>
      <c r="N8996" t="s">
        <v>1224</v>
      </c>
      <c r="O8996">
        <v>299.88</v>
      </c>
      <c r="P8996">
        <v>20181011</v>
      </c>
      <c r="Q8996" t="s">
        <v>6998</v>
      </c>
      <c r="R8996" t="s">
        <v>7101</v>
      </c>
      <c r="S8996" t="s">
        <v>7000</v>
      </c>
      <c r="T8996" t="s">
        <v>301</v>
      </c>
    </row>
    <row r="8997" spans="1:20" x14ac:dyDescent="0.25">
      <c r="A8997">
        <v>9</v>
      </c>
      <c r="B8997">
        <v>461</v>
      </c>
      <c r="C8997" t="str">
        <f t="shared" si="2044"/>
        <v>36</v>
      </c>
      <c r="D8997">
        <v>6411</v>
      </c>
      <c r="E8997" t="str">
        <f>"3F"</f>
        <v>3F</v>
      </c>
      <c r="F8997" t="str">
        <f>"041"</f>
        <v>041</v>
      </c>
      <c r="G8997">
        <v>9</v>
      </c>
      <c r="H8997" t="str">
        <f>"91"</f>
        <v>91</v>
      </c>
      <c r="I8997" t="str">
        <f t="shared" si="2041"/>
        <v>0</v>
      </c>
      <c r="J8997" t="str">
        <f t="shared" si="2043"/>
        <v>00</v>
      </c>
      <c r="K8997">
        <v>20181012</v>
      </c>
      <c r="L8997" t="str">
        <f>"074251"</f>
        <v>074251</v>
      </c>
      <c r="M8997" t="str">
        <f>"28680"</f>
        <v>28680</v>
      </c>
      <c r="N8997" t="s">
        <v>482</v>
      </c>
      <c r="O8997">
        <v>52</v>
      </c>
      <c r="P8997">
        <v>20181011</v>
      </c>
      <c r="Q8997" t="s">
        <v>7102</v>
      </c>
      <c r="R8997" t="s">
        <v>7103</v>
      </c>
      <c r="S8997" t="s">
        <v>7000</v>
      </c>
      <c r="T8997" t="s">
        <v>106</v>
      </c>
    </row>
    <row r="8998" spans="1:20" x14ac:dyDescent="0.25">
      <c r="A8998">
        <v>9</v>
      </c>
      <c r="B8998">
        <v>461</v>
      </c>
      <c r="C8998" t="str">
        <f t="shared" si="2044"/>
        <v>36</v>
      </c>
      <c r="D8998">
        <v>6399</v>
      </c>
      <c r="E8998" t="str">
        <f>"44"</f>
        <v>44</v>
      </c>
      <c r="F8998" t="str">
        <f>"104"</f>
        <v>104</v>
      </c>
      <c r="G8998">
        <v>9</v>
      </c>
      <c r="H8998" t="str">
        <f>"99"</f>
        <v>99</v>
      </c>
      <c r="I8998" t="str">
        <f t="shared" si="2041"/>
        <v>0</v>
      </c>
      <c r="J8998" t="str">
        <f t="shared" si="2043"/>
        <v>00</v>
      </c>
      <c r="K8998">
        <v>20181012</v>
      </c>
      <c r="L8998" t="str">
        <f>"074257"</f>
        <v>074257</v>
      </c>
      <c r="M8998" t="str">
        <f>"31345"</f>
        <v>31345</v>
      </c>
      <c r="N8998" t="s">
        <v>1394</v>
      </c>
      <c r="O8998" s="1">
        <v>1096.2</v>
      </c>
      <c r="P8998">
        <v>20181011</v>
      </c>
      <c r="Q8998" t="s">
        <v>7104</v>
      </c>
      <c r="R8998" t="s">
        <v>7105</v>
      </c>
      <c r="S8998" t="s">
        <v>7000</v>
      </c>
      <c r="T8998" t="s">
        <v>46</v>
      </c>
    </row>
    <row r="8999" spans="1:20" x14ac:dyDescent="0.25">
      <c r="A8999">
        <v>9</v>
      </c>
      <c r="B8999">
        <v>461</v>
      </c>
      <c r="C8999" t="str">
        <f t="shared" si="2044"/>
        <v>36</v>
      </c>
      <c r="D8999">
        <v>6399</v>
      </c>
      <c r="E8999" t="str">
        <f>"44"</f>
        <v>44</v>
      </c>
      <c r="F8999" t="str">
        <f>"104"</f>
        <v>104</v>
      </c>
      <c r="G8999">
        <v>9</v>
      </c>
      <c r="H8999" t="str">
        <f>"99"</f>
        <v>99</v>
      </c>
      <c r="I8999" t="str">
        <f t="shared" si="2041"/>
        <v>0</v>
      </c>
      <c r="J8999" t="str">
        <f t="shared" si="2043"/>
        <v>00</v>
      </c>
      <c r="K8999">
        <v>20181012</v>
      </c>
      <c r="L8999" t="str">
        <f>"074257"</f>
        <v>074257</v>
      </c>
      <c r="M8999" t="str">
        <f>"31345"</f>
        <v>31345</v>
      </c>
      <c r="N8999" t="s">
        <v>1394</v>
      </c>
      <c r="O8999">
        <v>464.1</v>
      </c>
      <c r="P8999">
        <v>20181011</v>
      </c>
      <c r="Q8999" t="s">
        <v>7104</v>
      </c>
      <c r="R8999" t="s">
        <v>7105</v>
      </c>
      <c r="S8999" t="s">
        <v>7000</v>
      </c>
      <c r="T8999" t="s">
        <v>46</v>
      </c>
    </row>
    <row r="9000" spans="1:20" x14ac:dyDescent="0.25">
      <c r="A9000">
        <v>9</v>
      </c>
      <c r="B9000">
        <v>461</v>
      </c>
      <c r="C9000" t="str">
        <f t="shared" si="2044"/>
        <v>36</v>
      </c>
      <c r="D9000">
        <v>6399</v>
      </c>
      <c r="E9000" t="str">
        <f>"3S"</f>
        <v>3S</v>
      </c>
      <c r="F9000" t="str">
        <f>"041"</f>
        <v>041</v>
      </c>
      <c r="G9000">
        <v>9</v>
      </c>
      <c r="H9000" t="str">
        <f>"91"</f>
        <v>91</v>
      </c>
      <c r="I9000" t="str">
        <f t="shared" si="2041"/>
        <v>0</v>
      </c>
      <c r="J9000" t="str">
        <f t="shared" si="2043"/>
        <v>00</v>
      </c>
      <c r="K9000">
        <v>20181012</v>
      </c>
      <c r="L9000" t="str">
        <f>"074270"</f>
        <v>074270</v>
      </c>
      <c r="M9000" t="str">
        <f>"42312"</f>
        <v>42312</v>
      </c>
      <c r="N9000" t="s">
        <v>7106</v>
      </c>
      <c r="O9000">
        <v>288</v>
      </c>
      <c r="P9000">
        <v>20181011</v>
      </c>
      <c r="Q9000" t="s">
        <v>7107</v>
      </c>
      <c r="R9000" t="s">
        <v>7108</v>
      </c>
      <c r="S9000" t="s">
        <v>7000</v>
      </c>
      <c r="T9000" t="s">
        <v>106</v>
      </c>
    </row>
    <row r="9001" spans="1:20" x14ac:dyDescent="0.25">
      <c r="A9001">
        <v>9</v>
      </c>
      <c r="B9001">
        <v>461</v>
      </c>
      <c r="C9001" t="str">
        <f t="shared" si="2044"/>
        <v>36</v>
      </c>
      <c r="D9001">
        <v>6399</v>
      </c>
      <c r="E9001" t="str">
        <f>"3Y"</f>
        <v>3Y</v>
      </c>
      <c r="F9001" t="str">
        <f>"001"</f>
        <v>001</v>
      </c>
      <c r="G9001">
        <v>9</v>
      </c>
      <c r="H9001" t="str">
        <f>"91"</f>
        <v>91</v>
      </c>
      <c r="I9001" t="str">
        <f t="shared" si="2041"/>
        <v>0</v>
      </c>
      <c r="J9001" t="str">
        <f t="shared" si="2043"/>
        <v>00</v>
      </c>
      <c r="K9001">
        <v>20181012</v>
      </c>
      <c r="L9001" t="str">
        <f>"074288"</f>
        <v>074288</v>
      </c>
      <c r="M9001" t="str">
        <f>"00569"</f>
        <v>00569</v>
      </c>
      <c r="N9001" t="s">
        <v>7109</v>
      </c>
      <c r="O9001" s="1">
        <v>4546</v>
      </c>
      <c r="P9001">
        <v>20181011</v>
      </c>
      <c r="Q9001" t="s">
        <v>7110</v>
      </c>
      <c r="R9001" t="s">
        <v>7111</v>
      </c>
      <c r="S9001" t="s">
        <v>7000</v>
      </c>
      <c r="T9001" t="s">
        <v>301</v>
      </c>
    </row>
    <row r="9002" spans="1:20" x14ac:dyDescent="0.25">
      <c r="A9002">
        <v>9</v>
      </c>
      <c r="B9002">
        <v>461</v>
      </c>
      <c r="C9002" t="str">
        <f t="shared" si="2044"/>
        <v>36</v>
      </c>
      <c r="D9002">
        <v>6399</v>
      </c>
      <c r="E9002" t="str">
        <f>"PR"</f>
        <v>PR</v>
      </c>
      <c r="F9002" t="str">
        <f>"104"</f>
        <v>104</v>
      </c>
      <c r="G9002">
        <v>9</v>
      </c>
      <c r="H9002" t="str">
        <f>"99"</f>
        <v>99</v>
      </c>
      <c r="I9002" t="str">
        <f t="shared" si="2041"/>
        <v>0</v>
      </c>
      <c r="J9002" t="str">
        <f t="shared" si="2043"/>
        <v>00</v>
      </c>
      <c r="K9002">
        <v>20181012</v>
      </c>
      <c r="L9002" t="str">
        <f>"074304"</f>
        <v>074304</v>
      </c>
      <c r="M9002" t="str">
        <f>"63612"</f>
        <v>63612</v>
      </c>
      <c r="N9002" t="s">
        <v>7049</v>
      </c>
      <c r="O9002" s="1">
        <v>1788</v>
      </c>
      <c r="P9002">
        <v>20181011</v>
      </c>
      <c r="Q9002" t="s">
        <v>7014</v>
      </c>
      <c r="R9002" t="s">
        <v>7112</v>
      </c>
      <c r="S9002" t="s">
        <v>7000</v>
      </c>
      <c r="T9002" t="s">
        <v>46</v>
      </c>
    </row>
    <row r="9003" spans="1:20" x14ac:dyDescent="0.25">
      <c r="A9003">
        <v>9</v>
      </c>
      <c r="B9003">
        <v>461</v>
      </c>
      <c r="C9003" t="str">
        <f t="shared" si="2044"/>
        <v>36</v>
      </c>
      <c r="D9003">
        <v>6399</v>
      </c>
      <c r="E9003" t="str">
        <f>"PR"</f>
        <v>PR</v>
      </c>
      <c r="F9003" t="str">
        <f>"104"</f>
        <v>104</v>
      </c>
      <c r="G9003">
        <v>9</v>
      </c>
      <c r="H9003" t="str">
        <f>"99"</f>
        <v>99</v>
      </c>
      <c r="I9003" t="str">
        <f t="shared" si="2041"/>
        <v>0</v>
      </c>
      <c r="J9003" t="str">
        <f t="shared" si="2043"/>
        <v>00</v>
      </c>
      <c r="K9003">
        <v>20181025</v>
      </c>
      <c r="L9003" t="str">
        <f>"074304"</f>
        <v>074304</v>
      </c>
      <c r="M9003" t="str">
        <f>"63612"</f>
        <v>63612</v>
      </c>
      <c r="N9003" t="s">
        <v>7049</v>
      </c>
      <c r="O9003" s="1">
        <v>-1788</v>
      </c>
      <c r="P9003">
        <v>20181025</v>
      </c>
      <c r="Q9003" t="s">
        <v>7014</v>
      </c>
      <c r="R9003" t="s">
        <v>2415</v>
      </c>
      <c r="S9003" t="s">
        <v>7000</v>
      </c>
      <c r="T9003" t="s">
        <v>46</v>
      </c>
    </row>
    <row r="9004" spans="1:20" x14ac:dyDescent="0.25">
      <c r="A9004">
        <v>9</v>
      </c>
      <c r="B9004">
        <v>461</v>
      </c>
      <c r="C9004" t="str">
        <f t="shared" si="2044"/>
        <v>36</v>
      </c>
      <c r="D9004">
        <v>6299</v>
      </c>
      <c r="E9004" t="str">
        <f>"00"</f>
        <v>00</v>
      </c>
      <c r="F9004" t="str">
        <f>"802"</f>
        <v>802</v>
      </c>
      <c r="G9004">
        <v>9</v>
      </c>
      <c r="H9004" t="str">
        <f>"99"</f>
        <v>99</v>
      </c>
      <c r="I9004" t="str">
        <f t="shared" si="2041"/>
        <v>0</v>
      </c>
      <c r="J9004" t="str">
        <f t="shared" si="2043"/>
        <v>00</v>
      </c>
      <c r="K9004">
        <v>20181012</v>
      </c>
      <c r="L9004" t="str">
        <f>"074306"</f>
        <v>074306</v>
      </c>
      <c r="M9004" t="str">
        <f>"00574"</f>
        <v>00574</v>
      </c>
      <c r="N9004" t="s">
        <v>7113</v>
      </c>
      <c r="O9004">
        <v>75</v>
      </c>
      <c r="P9004">
        <v>20181011</v>
      </c>
      <c r="Q9004" t="s">
        <v>7099</v>
      </c>
      <c r="R9004" t="s">
        <v>7114</v>
      </c>
      <c r="S9004" t="s">
        <v>7000</v>
      </c>
      <c r="T9004" t="s">
        <v>7023</v>
      </c>
    </row>
    <row r="9005" spans="1:20" x14ac:dyDescent="0.25">
      <c r="A9005">
        <v>9</v>
      </c>
      <c r="B9005">
        <v>461</v>
      </c>
      <c r="C9005" t="str">
        <f t="shared" si="2044"/>
        <v>36</v>
      </c>
      <c r="D9005">
        <v>6499</v>
      </c>
      <c r="E9005" t="str">
        <f>"61"</f>
        <v>61</v>
      </c>
      <c r="F9005" t="str">
        <f>"001"</f>
        <v>001</v>
      </c>
      <c r="G9005">
        <v>9</v>
      </c>
      <c r="H9005" t="str">
        <f>"99"</f>
        <v>99</v>
      </c>
      <c r="I9005" t="str">
        <f t="shared" si="2041"/>
        <v>0</v>
      </c>
      <c r="J9005" t="str">
        <f t="shared" si="2043"/>
        <v>00</v>
      </c>
      <c r="K9005">
        <v>20181012</v>
      </c>
      <c r="L9005" t="str">
        <f>"074311"</f>
        <v>074311</v>
      </c>
      <c r="M9005" t="str">
        <f>"65741"</f>
        <v>65741</v>
      </c>
      <c r="N9005" t="s">
        <v>2316</v>
      </c>
      <c r="O9005">
        <v>600</v>
      </c>
      <c r="P9005">
        <v>20181011</v>
      </c>
      <c r="Q9005" t="s">
        <v>7115</v>
      </c>
      <c r="R9005" t="s">
        <v>7116</v>
      </c>
      <c r="S9005" t="s">
        <v>7000</v>
      </c>
      <c r="T9005" t="s">
        <v>301</v>
      </c>
    </row>
    <row r="9006" spans="1:20" x14ac:dyDescent="0.25">
      <c r="A9006">
        <v>9</v>
      </c>
      <c r="B9006">
        <v>461</v>
      </c>
      <c r="C9006" t="str">
        <f t="shared" si="2044"/>
        <v>36</v>
      </c>
      <c r="D9006">
        <v>6399</v>
      </c>
      <c r="E9006" t="str">
        <f>"3F"</f>
        <v>3F</v>
      </c>
      <c r="F9006" t="str">
        <f>"001"</f>
        <v>001</v>
      </c>
      <c r="G9006">
        <v>9</v>
      </c>
      <c r="H9006" t="str">
        <f>"91"</f>
        <v>91</v>
      </c>
      <c r="I9006" t="str">
        <f t="shared" si="2041"/>
        <v>0</v>
      </c>
      <c r="J9006" t="str">
        <f t="shared" ref="J9006:J9037" si="2045">"00"</f>
        <v>00</v>
      </c>
      <c r="K9006">
        <v>20181012</v>
      </c>
      <c r="L9006" t="str">
        <f>"074319"</f>
        <v>074319</v>
      </c>
      <c r="M9006" t="str">
        <f>"71250"</f>
        <v>71250</v>
      </c>
      <c r="N9006" t="s">
        <v>1389</v>
      </c>
      <c r="O9006">
        <v>38.14</v>
      </c>
      <c r="P9006">
        <v>20181011</v>
      </c>
      <c r="Q9006" t="s">
        <v>7117</v>
      </c>
      <c r="R9006" t="s">
        <v>7118</v>
      </c>
      <c r="S9006" t="s">
        <v>7000</v>
      </c>
      <c r="T9006" t="s">
        <v>301</v>
      </c>
    </row>
    <row r="9007" spans="1:20" x14ac:dyDescent="0.25">
      <c r="A9007">
        <v>9</v>
      </c>
      <c r="B9007">
        <v>461</v>
      </c>
      <c r="C9007" t="str">
        <f t="shared" si="2044"/>
        <v>36</v>
      </c>
      <c r="D9007">
        <v>6399</v>
      </c>
      <c r="E9007" t="str">
        <f>"7B"</f>
        <v>7B</v>
      </c>
      <c r="F9007" t="str">
        <f>"001"</f>
        <v>001</v>
      </c>
      <c r="G9007">
        <v>9</v>
      </c>
      <c r="H9007" t="str">
        <f t="shared" ref="H9007:H9015" si="2046">"99"</f>
        <v>99</v>
      </c>
      <c r="I9007" t="str">
        <f t="shared" si="2041"/>
        <v>0</v>
      </c>
      <c r="J9007" t="str">
        <f t="shared" si="2045"/>
        <v>00</v>
      </c>
      <c r="K9007">
        <v>20181012</v>
      </c>
      <c r="L9007" t="str">
        <f>"074319"</f>
        <v>074319</v>
      </c>
      <c r="M9007" t="str">
        <f>"71250"</f>
        <v>71250</v>
      </c>
      <c r="N9007" t="s">
        <v>1389</v>
      </c>
      <c r="O9007">
        <v>20.55</v>
      </c>
      <c r="P9007">
        <v>20181011</v>
      </c>
      <c r="Q9007" t="s">
        <v>7042</v>
      </c>
      <c r="R9007" t="s">
        <v>7118</v>
      </c>
      <c r="S9007" t="s">
        <v>7000</v>
      </c>
      <c r="T9007" t="s">
        <v>301</v>
      </c>
    </row>
    <row r="9008" spans="1:20" x14ac:dyDescent="0.25">
      <c r="A9008">
        <v>9</v>
      </c>
      <c r="B9008">
        <v>461</v>
      </c>
      <c r="C9008" t="str">
        <f t="shared" si="2044"/>
        <v>36</v>
      </c>
      <c r="D9008">
        <v>6499</v>
      </c>
      <c r="E9008" t="str">
        <f>"7C"</f>
        <v>7C</v>
      </c>
      <c r="F9008" t="str">
        <f>"001"</f>
        <v>001</v>
      </c>
      <c r="G9008">
        <v>9</v>
      </c>
      <c r="H9008" t="str">
        <f t="shared" si="2046"/>
        <v>99</v>
      </c>
      <c r="I9008" t="str">
        <f t="shared" si="2041"/>
        <v>0</v>
      </c>
      <c r="J9008" t="str">
        <f t="shared" si="2045"/>
        <v>00</v>
      </c>
      <c r="K9008">
        <v>20181012</v>
      </c>
      <c r="L9008" t="str">
        <f>"074319"</f>
        <v>074319</v>
      </c>
      <c r="M9008" t="str">
        <f>"71250"</f>
        <v>71250</v>
      </c>
      <c r="N9008" t="s">
        <v>1389</v>
      </c>
      <c r="O9008">
        <v>20.55</v>
      </c>
      <c r="P9008">
        <v>20181011</v>
      </c>
      <c r="Q9008" t="s">
        <v>7119</v>
      </c>
      <c r="R9008" t="s">
        <v>7118</v>
      </c>
      <c r="S9008" t="s">
        <v>7000</v>
      </c>
      <c r="T9008" t="s">
        <v>301</v>
      </c>
    </row>
    <row r="9009" spans="1:20" x14ac:dyDescent="0.25">
      <c r="A9009">
        <v>9</v>
      </c>
      <c r="B9009">
        <v>461</v>
      </c>
      <c r="C9009" t="str">
        <f t="shared" si="2044"/>
        <v>36</v>
      </c>
      <c r="D9009">
        <v>6499</v>
      </c>
      <c r="E9009" t="str">
        <f>"H2"</f>
        <v>H2</v>
      </c>
      <c r="F9009" t="str">
        <f>"001"</f>
        <v>001</v>
      </c>
      <c r="G9009">
        <v>9</v>
      </c>
      <c r="H9009" t="str">
        <f t="shared" si="2046"/>
        <v>99</v>
      </c>
      <c r="I9009" t="str">
        <f t="shared" si="2041"/>
        <v>0</v>
      </c>
      <c r="J9009" t="str">
        <f t="shared" si="2045"/>
        <v>00</v>
      </c>
      <c r="K9009">
        <v>20181012</v>
      </c>
      <c r="L9009" t="str">
        <f>"074319"</f>
        <v>074319</v>
      </c>
      <c r="M9009" t="str">
        <f>"71250"</f>
        <v>71250</v>
      </c>
      <c r="N9009" t="s">
        <v>1389</v>
      </c>
      <c r="O9009">
        <v>25</v>
      </c>
      <c r="P9009">
        <v>20181011</v>
      </c>
      <c r="Q9009" t="s">
        <v>7120</v>
      </c>
      <c r="R9009" t="s">
        <v>7118</v>
      </c>
      <c r="S9009" t="s">
        <v>7000</v>
      </c>
      <c r="T9009" t="s">
        <v>301</v>
      </c>
    </row>
    <row r="9010" spans="1:20" x14ac:dyDescent="0.25">
      <c r="A9010">
        <v>9</v>
      </c>
      <c r="B9010">
        <v>461</v>
      </c>
      <c r="C9010" t="str">
        <f t="shared" si="2044"/>
        <v>36</v>
      </c>
      <c r="D9010">
        <v>6412</v>
      </c>
      <c r="E9010" t="str">
        <f>"50"</f>
        <v>50</v>
      </c>
      <c r="F9010" t="str">
        <f>"104"</f>
        <v>104</v>
      </c>
      <c r="G9010">
        <v>9</v>
      </c>
      <c r="H9010" t="str">
        <f t="shared" si="2046"/>
        <v>99</v>
      </c>
      <c r="I9010" t="str">
        <f t="shared" si="2041"/>
        <v>0</v>
      </c>
      <c r="J9010" t="str">
        <f t="shared" si="2045"/>
        <v>00</v>
      </c>
      <c r="K9010">
        <v>20181012</v>
      </c>
      <c r="L9010" t="str">
        <f>"074325"</f>
        <v>074325</v>
      </c>
      <c r="M9010" t="str">
        <f>"78309"</f>
        <v>78309</v>
      </c>
      <c r="N9010" t="s">
        <v>3268</v>
      </c>
      <c r="O9010">
        <v>255</v>
      </c>
      <c r="P9010">
        <v>20181011</v>
      </c>
      <c r="Q9010" t="s">
        <v>7121</v>
      </c>
      <c r="R9010" t="s">
        <v>7122</v>
      </c>
      <c r="S9010" t="s">
        <v>7000</v>
      </c>
      <c r="T9010" t="s">
        <v>46</v>
      </c>
    </row>
    <row r="9011" spans="1:20" x14ac:dyDescent="0.25">
      <c r="A9011">
        <v>9</v>
      </c>
      <c r="B9011">
        <v>461</v>
      </c>
      <c r="C9011" t="str">
        <f t="shared" si="2044"/>
        <v>36</v>
      </c>
      <c r="D9011">
        <v>6412</v>
      </c>
      <c r="E9011" t="str">
        <f>"7K"</f>
        <v>7K</v>
      </c>
      <c r="F9011" t="str">
        <f>"001"</f>
        <v>001</v>
      </c>
      <c r="G9011">
        <v>9</v>
      </c>
      <c r="H9011" t="str">
        <f t="shared" si="2046"/>
        <v>99</v>
      </c>
      <c r="I9011" t="str">
        <f t="shared" si="2041"/>
        <v>0</v>
      </c>
      <c r="J9011" t="str">
        <f t="shared" si="2045"/>
        <v>00</v>
      </c>
      <c r="K9011">
        <v>20181012</v>
      </c>
      <c r="L9011" t="str">
        <f>"074326"</f>
        <v>074326</v>
      </c>
      <c r="M9011" t="str">
        <f>"76476"</f>
        <v>76476</v>
      </c>
      <c r="N9011" t="s">
        <v>312</v>
      </c>
      <c r="O9011">
        <v>280</v>
      </c>
      <c r="P9011">
        <v>20181011</v>
      </c>
      <c r="Q9011" t="s">
        <v>7082</v>
      </c>
      <c r="R9011" t="s">
        <v>7123</v>
      </c>
      <c r="S9011" t="s">
        <v>7000</v>
      </c>
      <c r="T9011" t="s">
        <v>301</v>
      </c>
    </row>
    <row r="9012" spans="1:20" x14ac:dyDescent="0.25">
      <c r="A9012">
        <v>9</v>
      </c>
      <c r="B9012">
        <v>461</v>
      </c>
      <c r="C9012" t="str">
        <f t="shared" si="2044"/>
        <v>36</v>
      </c>
      <c r="D9012">
        <v>6399</v>
      </c>
      <c r="E9012" t="str">
        <f>"7K"</f>
        <v>7K</v>
      </c>
      <c r="F9012" t="str">
        <f>"001"</f>
        <v>001</v>
      </c>
      <c r="G9012">
        <v>9</v>
      </c>
      <c r="H9012" t="str">
        <f t="shared" si="2046"/>
        <v>99</v>
      </c>
      <c r="I9012" t="str">
        <f t="shared" si="2041"/>
        <v>0</v>
      </c>
      <c r="J9012" t="str">
        <f t="shared" si="2045"/>
        <v>00</v>
      </c>
      <c r="K9012">
        <v>20181019</v>
      </c>
      <c r="L9012" t="str">
        <f>"074340"</f>
        <v>074340</v>
      </c>
      <c r="M9012" t="str">
        <f>"05530"</f>
        <v>05530</v>
      </c>
      <c r="N9012" t="s">
        <v>947</v>
      </c>
      <c r="O9012" s="1">
        <v>1587.5</v>
      </c>
      <c r="P9012">
        <v>20181017</v>
      </c>
      <c r="Q9012" t="s">
        <v>7056</v>
      </c>
      <c r="R9012" t="s">
        <v>7124</v>
      </c>
      <c r="S9012" t="s">
        <v>7000</v>
      </c>
      <c r="T9012" t="s">
        <v>301</v>
      </c>
    </row>
    <row r="9013" spans="1:20" x14ac:dyDescent="0.25">
      <c r="A9013">
        <v>9</v>
      </c>
      <c r="B9013">
        <v>461</v>
      </c>
      <c r="C9013" t="str">
        <f t="shared" si="2044"/>
        <v>36</v>
      </c>
      <c r="D9013">
        <v>6399</v>
      </c>
      <c r="E9013" t="str">
        <f>"30"</f>
        <v>30</v>
      </c>
      <c r="F9013" t="str">
        <f>"002"</f>
        <v>002</v>
      </c>
      <c r="G9013">
        <v>9</v>
      </c>
      <c r="H9013" t="str">
        <f t="shared" si="2046"/>
        <v>99</v>
      </c>
      <c r="I9013" t="str">
        <f t="shared" si="2041"/>
        <v>0</v>
      </c>
      <c r="J9013" t="str">
        <f t="shared" si="2045"/>
        <v>00</v>
      </c>
      <c r="K9013">
        <v>20181019</v>
      </c>
      <c r="L9013" t="str">
        <f>"074345"</f>
        <v>074345</v>
      </c>
      <c r="M9013" t="str">
        <f>"10418"</f>
        <v>10418</v>
      </c>
      <c r="N9013" t="s">
        <v>2360</v>
      </c>
      <c r="O9013">
        <v>247.84</v>
      </c>
      <c r="P9013">
        <v>20181017</v>
      </c>
      <c r="Q9013" t="s">
        <v>7125</v>
      </c>
      <c r="R9013" t="s">
        <v>7126</v>
      </c>
      <c r="S9013" t="s">
        <v>7000</v>
      </c>
      <c r="T9013" t="s">
        <v>1485</v>
      </c>
    </row>
    <row r="9014" spans="1:20" x14ac:dyDescent="0.25">
      <c r="A9014">
        <v>9</v>
      </c>
      <c r="B9014">
        <v>461</v>
      </c>
      <c r="C9014" t="str">
        <f t="shared" si="2044"/>
        <v>36</v>
      </c>
      <c r="D9014">
        <v>6399</v>
      </c>
      <c r="E9014" t="str">
        <f>"Y4"</f>
        <v>Y4</v>
      </c>
      <c r="F9014" t="str">
        <f>"802"</f>
        <v>802</v>
      </c>
      <c r="G9014">
        <v>9</v>
      </c>
      <c r="H9014" t="str">
        <f t="shared" si="2046"/>
        <v>99</v>
      </c>
      <c r="I9014" t="str">
        <f t="shared" si="2041"/>
        <v>0</v>
      </c>
      <c r="J9014" t="str">
        <f t="shared" si="2045"/>
        <v>00</v>
      </c>
      <c r="K9014">
        <v>20181019</v>
      </c>
      <c r="L9014" t="str">
        <f>"074348"</f>
        <v>074348</v>
      </c>
      <c r="M9014" t="str">
        <f>"00531"</f>
        <v>00531</v>
      </c>
      <c r="N9014" t="s">
        <v>2982</v>
      </c>
      <c r="O9014">
        <v>76.5</v>
      </c>
      <c r="P9014">
        <v>20181018</v>
      </c>
      <c r="Q9014" t="s">
        <v>7127</v>
      </c>
      <c r="R9014" t="s">
        <v>7128</v>
      </c>
      <c r="S9014" t="s">
        <v>7000</v>
      </c>
      <c r="T9014" t="s">
        <v>7023</v>
      </c>
    </row>
    <row r="9015" spans="1:20" x14ac:dyDescent="0.25">
      <c r="A9015">
        <v>9</v>
      </c>
      <c r="B9015">
        <v>461</v>
      </c>
      <c r="C9015" t="str">
        <f t="shared" si="2044"/>
        <v>36</v>
      </c>
      <c r="D9015">
        <v>6399</v>
      </c>
      <c r="E9015" t="str">
        <f>"Y5"</f>
        <v>Y5</v>
      </c>
      <c r="F9015" t="str">
        <f>"802"</f>
        <v>802</v>
      </c>
      <c r="G9015">
        <v>9</v>
      </c>
      <c r="H9015" t="str">
        <f t="shared" si="2046"/>
        <v>99</v>
      </c>
      <c r="I9015" t="str">
        <f t="shared" si="2041"/>
        <v>0</v>
      </c>
      <c r="J9015" t="str">
        <f t="shared" si="2045"/>
        <v>00</v>
      </c>
      <c r="K9015">
        <v>20181019</v>
      </c>
      <c r="L9015" t="str">
        <f>"074348"</f>
        <v>074348</v>
      </c>
      <c r="M9015" t="str">
        <f>"00531"</f>
        <v>00531</v>
      </c>
      <c r="N9015" t="s">
        <v>2982</v>
      </c>
      <c r="O9015">
        <v>67.5</v>
      </c>
      <c r="P9015">
        <v>20181018</v>
      </c>
      <c r="Q9015" t="s">
        <v>7021</v>
      </c>
      <c r="R9015" t="s">
        <v>7128</v>
      </c>
      <c r="S9015" t="s">
        <v>7000</v>
      </c>
      <c r="T9015" t="s">
        <v>7023</v>
      </c>
    </row>
    <row r="9016" spans="1:20" x14ac:dyDescent="0.25">
      <c r="A9016">
        <v>9</v>
      </c>
      <c r="B9016">
        <v>461</v>
      </c>
      <c r="C9016" t="str">
        <f t="shared" si="2044"/>
        <v>36</v>
      </c>
      <c r="D9016">
        <v>6412</v>
      </c>
      <c r="E9016" t="str">
        <f>"3C"</f>
        <v>3C</v>
      </c>
      <c r="F9016" t="str">
        <f>"041"</f>
        <v>041</v>
      </c>
      <c r="G9016">
        <v>9</v>
      </c>
      <c r="H9016" t="str">
        <f>"91"</f>
        <v>91</v>
      </c>
      <c r="I9016" t="str">
        <f t="shared" si="2041"/>
        <v>0</v>
      </c>
      <c r="J9016" t="str">
        <f t="shared" si="2045"/>
        <v>00</v>
      </c>
      <c r="K9016">
        <v>20181019</v>
      </c>
      <c r="L9016" t="str">
        <f>"074356"</f>
        <v>074356</v>
      </c>
      <c r="M9016" t="str">
        <f>"51346"</f>
        <v>51346</v>
      </c>
      <c r="N9016" t="s">
        <v>418</v>
      </c>
      <c r="O9016">
        <v>169</v>
      </c>
      <c r="P9016">
        <v>20181017</v>
      </c>
      <c r="Q9016" t="s">
        <v>7129</v>
      </c>
      <c r="R9016" t="s">
        <v>526</v>
      </c>
      <c r="S9016" t="s">
        <v>7000</v>
      </c>
      <c r="T9016" t="s">
        <v>106</v>
      </c>
    </row>
    <row r="9017" spans="1:20" x14ac:dyDescent="0.25">
      <c r="A9017">
        <v>9</v>
      </c>
      <c r="B9017">
        <v>461</v>
      </c>
      <c r="C9017" t="str">
        <f t="shared" si="2044"/>
        <v>36</v>
      </c>
      <c r="D9017">
        <v>6399</v>
      </c>
      <c r="E9017" t="str">
        <f>"3B"</f>
        <v>3B</v>
      </c>
      <c r="F9017" t="str">
        <f>"001"</f>
        <v>001</v>
      </c>
      <c r="G9017">
        <v>9</v>
      </c>
      <c r="H9017" t="str">
        <f>"91"</f>
        <v>91</v>
      </c>
      <c r="I9017" t="str">
        <f t="shared" si="2041"/>
        <v>0</v>
      </c>
      <c r="J9017" t="str">
        <f t="shared" si="2045"/>
        <v>00</v>
      </c>
      <c r="K9017">
        <v>20181019</v>
      </c>
      <c r="L9017" t="str">
        <f>"074365"</f>
        <v>074365</v>
      </c>
      <c r="M9017" t="str">
        <f>"27135"</f>
        <v>27135</v>
      </c>
      <c r="N9017" t="s">
        <v>521</v>
      </c>
      <c r="O9017">
        <v>444.15</v>
      </c>
      <c r="P9017">
        <v>20181017</v>
      </c>
      <c r="Q9017" t="s">
        <v>7024</v>
      </c>
      <c r="R9017" t="s">
        <v>7130</v>
      </c>
      <c r="S9017" t="s">
        <v>7000</v>
      </c>
      <c r="T9017" t="s">
        <v>301</v>
      </c>
    </row>
    <row r="9018" spans="1:20" x14ac:dyDescent="0.25">
      <c r="A9018">
        <v>9</v>
      </c>
      <c r="B9018">
        <v>461</v>
      </c>
      <c r="C9018" t="str">
        <f t="shared" si="2044"/>
        <v>36</v>
      </c>
      <c r="D9018">
        <v>6399</v>
      </c>
      <c r="E9018" t="str">
        <f>"61"</f>
        <v>61</v>
      </c>
      <c r="F9018" t="str">
        <f>"041"</f>
        <v>041</v>
      </c>
      <c r="G9018">
        <v>9</v>
      </c>
      <c r="H9018" t="str">
        <f t="shared" ref="H9018:H9025" si="2047">"99"</f>
        <v>99</v>
      </c>
      <c r="I9018" t="str">
        <f t="shared" si="2041"/>
        <v>0</v>
      </c>
      <c r="J9018" t="str">
        <f t="shared" si="2045"/>
        <v>00</v>
      </c>
      <c r="K9018">
        <v>20181019</v>
      </c>
      <c r="L9018" t="str">
        <f>"074394"</f>
        <v>074394</v>
      </c>
      <c r="M9018" t="str">
        <f>"56564"</f>
        <v>56564</v>
      </c>
      <c r="N9018" t="s">
        <v>4765</v>
      </c>
      <c r="O9018">
        <v>47.98</v>
      </c>
      <c r="P9018">
        <v>20181017</v>
      </c>
      <c r="Q9018" t="s">
        <v>7131</v>
      </c>
      <c r="R9018" t="s">
        <v>7132</v>
      </c>
      <c r="S9018" t="s">
        <v>7000</v>
      </c>
      <c r="T9018" t="s">
        <v>106</v>
      </c>
    </row>
    <row r="9019" spans="1:20" x14ac:dyDescent="0.25">
      <c r="A9019">
        <v>9</v>
      </c>
      <c r="B9019">
        <v>461</v>
      </c>
      <c r="C9019" t="str">
        <f t="shared" si="2044"/>
        <v>36</v>
      </c>
      <c r="D9019">
        <v>6399</v>
      </c>
      <c r="E9019" t="str">
        <f>"PL"</f>
        <v>PL</v>
      </c>
      <c r="F9019" t="str">
        <f>"001"</f>
        <v>001</v>
      </c>
      <c r="G9019">
        <v>9</v>
      </c>
      <c r="H9019" t="str">
        <f t="shared" si="2047"/>
        <v>99</v>
      </c>
      <c r="I9019" t="str">
        <f t="shared" ref="I9019:I9082" si="2048">"0"</f>
        <v>0</v>
      </c>
      <c r="J9019" t="str">
        <f t="shared" si="2045"/>
        <v>00</v>
      </c>
      <c r="K9019">
        <v>20181019</v>
      </c>
      <c r="L9019" t="str">
        <f>"074394"</f>
        <v>074394</v>
      </c>
      <c r="M9019" t="str">
        <f>"56564"</f>
        <v>56564</v>
      </c>
      <c r="N9019" t="s">
        <v>4765</v>
      </c>
      <c r="O9019">
        <v>76.08</v>
      </c>
      <c r="P9019">
        <v>20181017</v>
      </c>
      <c r="Q9019" t="s">
        <v>7041</v>
      </c>
      <c r="R9019" t="s">
        <v>7133</v>
      </c>
      <c r="S9019" t="s">
        <v>7000</v>
      </c>
      <c r="T9019" t="s">
        <v>301</v>
      </c>
    </row>
    <row r="9020" spans="1:20" x14ac:dyDescent="0.25">
      <c r="A9020">
        <v>9</v>
      </c>
      <c r="B9020">
        <v>461</v>
      </c>
      <c r="C9020" t="str">
        <f t="shared" si="2044"/>
        <v>36</v>
      </c>
      <c r="D9020">
        <v>6399</v>
      </c>
      <c r="E9020" t="str">
        <f>"PR"</f>
        <v>PR</v>
      </c>
      <c r="F9020" t="str">
        <f>"104"</f>
        <v>104</v>
      </c>
      <c r="G9020">
        <v>9</v>
      </c>
      <c r="H9020" t="str">
        <f t="shared" si="2047"/>
        <v>99</v>
      </c>
      <c r="I9020" t="str">
        <f t="shared" si="2048"/>
        <v>0</v>
      </c>
      <c r="J9020" t="str">
        <f t="shared" si="2045"/>
        <v>00</v>
      </c>
      <c r="K9020">
        <v>20181019</v>
      </c>
      <c r="L9020" t="str">
        <f>"074394"</f>
        <v>074394</v>
      </c>
      <c r="M9020" t="str">
        <f>"56564"</f>
        <v>56564</v>
      </c>
      <c r="N9020" t="s">
        <v>4765</v>
      </c>
      <c r="O9020">
        <v>562.11</v>
      </c>
      <c r="P9020">
        <v>20181017</v>
      </c>
      <c r="Q9020" t="s">
        <v>7014</v>
      </c>
      <c r="R9020" t="s">
        <v>7134</v>
      </c>
      <c r="S9020" t="s">
        <v>7000</v>
      </c>
      <c r="T9020" t="s">
        <v>46</v>
      </c>
    </row>
    <row r="9021" spans="1:20" x14ac:dyDescent="0.25">
      <c r="A9021">
        <v>9</v>
      </c>
      <c r="B9021">
        <v>461</v>
      </c>
      <c r="C9021" t="str">
        <f t="shared" si="2044"/>
        <v>36</v>
      </c>
      <c r="D9021">
        <v>6299</v>
      </c>
      <c r="E9021" t="str">
        <f>"00"</f>
        <v>00</v>
      </c>
      <c r="F9021" t="str">
        <f>"802"</f>
        <v>802</v>
      </c>
      <c r="G9021">
        <v>9</v>
      </c>
      <c r="H9021" t="str">
        <f t="shared" si="2047"/>
        <v>99</v>
      </c>
      <c r="I9021" t="str">
        <f t="shared" si="2048"/>
        <v>0</v>
      </c>
      <c r="J9021" t="str">
        <f t="shared" si="2045"/>
        <v>00</v>
      </c>
      <c r="K9021">
        <v>20181019</v>
      </c>
      <c r="L9021" t="str">
        <f>"074404"</f>
        <v>074404</v>
      </c>
      <c r="M9021" t="str">
        <f>"00574"</f>
        <v>00574</v>
      </c>
      <c r="N9021" t="s">
        <v>7113</v>
      </c>
      <c r="O9021">
        <v>100</v>
      </c>
      <c r="P9021">
        <v>20181017</v>
      </c>
      <c r="Q9021" t="s">
        <v>7099</v>
      </c>
      <c r="R9021" t="s">
        <v>7135</v>
      </c>
      <c r="S9021" t="s">
        <v>7000</v>
      </c>
      <c r="T9021" t="s">
        <v>7023</v>
      </c>
    </row>
    <row r="9022" spans="1:20" x14ac:dyDescent="0.25">
      <c r="A9022">
        <v>9</v>
      </c>
      <c r="B9022">
        <v>461</v>
      </c>
      <c r="C9022" t="str">
        <f t="shared" si="2044"/>
        <v>36</v>
      </c>
      <c r="D9022">
        <v>6399</v>
      </c>
      <c r="E9022" t="str">
        <f>"30"</f>
        <v>30</v>
      </c>
      <c r="F9022" t="str">
        <f>"002"</f>
        <v>002</v>
      </c>
      <c r="G9022">
        <v>9</v>
      </c>
      <c r="H9022" t="str">
        <f t="shared" si="2047"/>
        <v>99</v>
      </c>
      <c r="I9022" t="str">
        <f t="shared" si="2048"/>
        <v>0</v>
      </c>
      <c r="J9022" t="str">
        <f t="shared" si="2045"/>
        <v>00</v>
      </c>
      <c r="K9022">
        <v>20181019</v>
      </c>
      <c r="L9022" t="str">
        <f t="shared" ref="L9022:L9030" si="2049">"074406"</f>
        <v>074406</v>
      </c>
      <c r="M9022" t="str">
        <f t="shared" ref="M9022:M9030" si="2050">"65106"</f>
        <v>65106</v>
      </c>
      <c r="N9022" t="s">
        <v>1175</v>
      </c>
      <c r="O9022">
        <v>473.44</v>
      </c>
      <c r="P9022">
        <v>20181017</v>
      </c>
      <c r="Q9022" t="s">
        <v>7125</v>
      </c>
      <c r="R9022" t="s">
        <v>7136</v>
      </c>
      <c r="S9022" t="s">
        <v>7000</v>
      </c>
      <c r="T9022" t="s">
        <v>1485</v>
      </c>
    </row>
    <row r="9023" spans="1:20" x14ac:dyDescent="0.25">
      <c r="A9023">
        <v>9</v>
      </c>
      <c r="B9023">
        <v>461</v>
      </c>
      <c r="C9023" t="str">
        <f t="shared" si="2044"/>
        <v>36</v>
      </c>
      <c r="D9023">
        <v>6399</v>
      </c>
      <c r="E9023" t="str">
        <f>"61"</f>
        <v>61</v>
      </c>
      <c r="F9023" t="str">
        <f t="shared" ref="F9023:F9029" si="2051">"001"</f>
        <v>001</v>
      </c>
      <c r="G9023">
        <v>9</v>
      </c>
      <c r="H9023" t="str">
        <f t="shared" si="2047"/>
        <v>99</v>
      </c>
      <c r="I9023" t="str">
        <f t="shared" si="2048"/>
        <v>0</v>
      </c>
      <c r="J9023" t="str">
        <f t="shared" si="2045"/>
        <v>00</v>
      </c>
      <c r="K9023">
        <v>20181019</v>
      </c>
      <c r="L9023" t="str">
        <f t="shared" si="2049"/>
        <v>074406</v>
      </c>
      <c r="M9023" t="str">
        <f t="shared" si="2050"/>
        <v>65106</v>
      </c>
      <c r="N9023" t="s">
        <v>1175</v>
      </c>
      <c r="O9023">
        <v>483.97</v>
      </c>
      <c r="P9023">
        <v>20181017</v>
      </c>
      <c r="Q9023" t="s">
        <v>7095</v>
      </c>
      <c r="R9023" t="s">
        <v>7137</v>
      </c>
      <c r="S9023" t="s">
        <v>7000</v>
      </c>
      <c r="T9023" t="s">
        <v>301</v>
      </c>
    </row>
    <row r="9024" spans="1:20" x14ac:dyDescent="0.25">
      <c r="A9024">
        <v>9</v>
      </c>
      <c r="B9024">
        <v>461</v>
      </c>
      <c r="C9024" t="str">
        <f t="shared" si="2044"/>
        <v>36</v>
      </c>
      <c r="D9024">
        <v>6399</v>
      </c>
      <c r="E9024" t="str">
        <f>"7K"</f>
        <v>7K</v>
      </c>
      <c r="F9024" t="str">
        <f t="shared" si="2051"/>
        <v>001</v>
      </c>
      <c r="G9024">
        <v>9</v>
      </c>
      <c r="H9024" t="str">
        <f t="shared" si="2047"/>
        <v>99</v>
      </c>
      <c r="I9024" t="str">
        <f t="shared" si="2048"/>
        <v>0</v>
      </c>
      <c r="J9024" t="str">
        <f t="shared" si="2045"/>
        <v>00</v>
      </c>
      <c r="K9024">
        <v>20181019</v>
      </c>
      <c r="L9024" t="str">
        <f t="shared" si="2049"/>
        <v>074406</v>
      </c>
      <c r="M9024" t="str">
        <f t="shared" si="2050"/>
        <v>65106</v>
      </c>
      <c r="N9024" t="s">
        <v>1175</v>
      </c>
      <c r="O9024">
        <v>202.31</v>
      </c>
      <c r="P9024">
        <v>20181017</v>
      </c>
      <c r="Q9024" t="s">
        <v>7056</v>
      </c>
      <c r="R9024" t="s">
        <v>7137</v>
      </c>
      <c r="S9024" t="s">
        <v>7000</v>
      </c>
      <c r="T9024" t="s">
        <v>301</v>
      </c>
    </row>
    <row r="9025" spans="1:20" x14ac:dyDescent="0.25">
      <c r="A9025">
        <v>9</v>
      </c>
      <c r="B9025">
        <v>461</v>
      </c>
      <c r="C9025" t="str">
        <f t="shared" si="2044"/>
        <v>36</v>
      </c>
      <c r="D9025">
        <v>6399</v>
      </c>
      <c r="E9025" t="str">
        <f>"8M"</f>
        <v>8M</v>
      </c>
      <c r="F9025" t="str">
        <f t="shared" si="2051"/>
        <v>001</v>
      </c>
      <c r="G9025">
        <v>9</v>
      </c>
      <c r="H9025" t="str">
        <f t="shared" si="2047"/>
        <v>99</v>
      </c>
      <c r="I9025" t="str">
        <f t="shared" si="2048"/>
        <v>0</v>
      </c>
      <c r="J9025" t="str">
        <f t="shared" si="2045"/>
        <v>00</v>
      </c>
      <c r="K9025">
        <v>20181019</v>
      </c>
      <c r="L9025" t="str">
        <f t="shared" si="2049"/>
        <v>074406</v>
      </c>
      <c r="M9025" t="str">
        <f t="shared" si="2050"/>
        <v>65106</v>
      </c>
      <c r="N9025" t="s">
        <v>1175</v>
      </c>
      <c r="O9025">
        <v>202.31</v>
      </c>
      <c r="P9025">
        <v>20181017</v>
      </c>
      <c r="Q9025" t="s">
        <v>7138</v>
      </c>
      <c r="R9025" t="s">
        <v>7137</v>
      </c>
      <c r="S9025" t="s">
        <v>7000</v>
      </c>
      <c r="T9025" t="s">
        <v>301</v>
      </c>
    </row>
    <row r="9026" spans="1:20" x14ac:dyDescent="0.25">
      <c r="A9026">
        <v>9</v>
      </c>
      <c r="B9026">
        <v>461</v>
      </c>
      <c r="C9026" t="str">
        <f t="shared" si="2044"/>
        <v>36</v>
      </c>
      <c r="D9026">
        <v>6399</v>
      </c>
      <c r="E9026" t="str">
        <f>"CS"</f>
        <v>CS</v>
      </c>
      <c r="F9026" t="str">
        <f t="shared" si="2051"/>
        <v>001</v>
      </c>
      <c r="G9026">
        <v>9</v>
      </c>
      <c r="H9026" t="str">
        <f>"91"</f>
        <v>91</v>
      </c>
      <c r="I9026" t="str">
        <f t="shared" si="2048"/>
        <v>0</v>
      </c>
      <c r="J9026" t="str">
        <f t="shared" si="2045"/>
        <v>00</v>
      </c>
      <c r="K9026">
        <v>20181019</v>
      </c>
      <c r="L9026" t="str">
        <f t="shared" si="2049"/>
        <v>074406</v>
      </c>
      <c r="M9026" t="str">
        <f t="shared" si="2050"/>
        <v>65106</v>
      </c>
      <c r="N9026" t="s">
        <v>1175</v>
      </c>
      <c r="O9026">
        <v>39.92</v>
      </c>
      <c r="P9026">
        <v>20181017</v>
      </c>
      <c r="Q9026" t="s">
        <v>6998</v>
      </c>
      <c r="R9026" t="s">
        <v>6999</v>
      </c>
      <c r="S9026" t="s">
        <v>7000</v>
      </c>
      <c r="T9026" t="s">
        <v>301</v>
      </c>
    </row>
    <row r="9027" spans="1:20" x14ac:dyDescent="0.25">
      <c r="A9027">
        <v>9</v>
      </c>
      <c r="B9027">
        <v>461</v>
      </c>
      <c r="C9027" t="str">
        <f t="shared" si="2044"/>
        <v>36</v>
      </c>
      <c r="D9027">
        <v>6399</v>
      </c>
      <c r="E9027" t="str">
        <f>"CS"</f>
        <v>CS</v>
      </c>
      <c r="F9027" t="str">
        <f t="shared" si="2051"/>
        <v>001</v>
      </c>
      <c r="G9027">
        <v>9</v>
      </c>
      <c r="H9027" t="str">
        <f>"91"</f>
        <v>91</v>
      </c>
      <c r="I9027" t="str">
        <f t="shared" si="2048"/>
        <v>0</v>
      </c>
      <c r="J9027" t="str">
        <f t="shared" si="2045"/>
        <v>00</v>
      </c>
      <c r="K9027">
        <v>20181019</v>
      </c>
      <c r="L9027" t="str">
        <f t="shared" si="2049"/>
        <v>074406</v>
      </c>
      <c r="M9027" t="str">
        <f t="shared" si="2050"/>
        <v>65106</v>
      </c>
      <c r="N9027" t="s">
        <v>1175</v>
      </c>
      <c r="O9027">
        <v>587.58000000000004</v>
      </c>
      <c r="P9027">
        <v>20181017</v>
      </c>
      <c r="Q9027" t="s">
        <v>6998</v>
      </c>
      <c r="R9027" t="s">
        <v>6999</v>
      </c>
      <c r="S9027" t="s">
        <v>7000</v>
      </c>
      <c r="T9027" t="s">
        <v>301</v>
      </c>
    </row>
    <row r="9028" spans="1:20" x14ac:dyDescent="0.25">
      <c r="A9028">
        <v>9</v>
      </c>
      <c r="B9028">
        <v>461</v>
      </c>
      <c r="C9028" t="str">
        <f t="shared" si="2044"/>
        <v>36</v>
      </c>
      <c r="D9028">
        <v>6399</v>
      </c>
      <c r="E9028" t="str">
        <f>"CS"</f>
        <v>CS</v>
      </c>
      <c r="F9028" t="str">
        <f t="shared" si="2051"/>
        <v>001</v>
      </c>
      <c r="G9028">
        <v>9</v>
      </c>
      <c r="H9028" t="str">
        <f>"91"</f>
        <v>91</v>
      </c>
      <c r="I9028" t="str">
        <f t="shared" si="2048"/>
        <v>0</v>
      </c>
      <c r="J9028" t="str">
        <f t="shared" si="2045"/>
        <v>00</v>
      </c>
      <c r="K9028">
        <v>20181019</v>
      </c>
      <c r="L9028" t="str">
        <f t="shared" si="2049"/>
        <v>074406</v>
      </c>
      <c r="M9028" t="str">
        <f t="shared" si="2050"/>
        <v>65106</v>
      </c>
      <c r="N9028" t="s">
        <v>1175</v>
      </c>
      <c r="O9028">
        <v>324.97000000000003</v>
      </c>
      <c r="P9028">
        <v>20181017</v>
      </c>
      <c r="Q9028" t="s">
        <v>6998</v>
      </c>
      <c r="R9028" t="s">
        <v>6999</v>
      </c>
      <c r="S9028" t="s">
        <v>7000</v>
      </c>
      <c r="T9028" t="s">
        <v>301</v>
      </c>
    </row>
    <row r="9029" spans="1:20" x14ac:dyDescent="0.25">
      <c r="A9029">
        <v>9</v>
      </c>
      <c r="B9029">
        <v>461</v>
      </c>
      <c r="C9029" t="str">
        <f t="shared" si="2044"/>
        <v>36</v>
      </c>
      <c r="D9029">
        <v>6399</v>
      </c>
      <c r="E9029" t="str">
        <f>"CS"</f>
        <v>CS</v>
      </c>
      <c r="F9029" t="str">
        <f t="shared" si="2051"/>
        <v>001</v>
      </c>
      <c r="G9029">
        <v>9</v>
      </c>
      <c r="H9029" t="str">
        <f>"91"</f>
        <v>91</v>
      </c>
      <c r="I9029" t="str">
        <f t="shared" si="2048"/>
        <v>0</v>
      </c>
      <c r="J9029" t="str">
        <f t="shared" si="2045"/>
        <v>00</v>
      </c>
      <c r="K9029">
        <v>20181019</v>
      </c>
      <c r="L9029" t="str">
        <f t="shared" si="2049"/>
        <v>074406</v>
      </c>
      <c r="M9029" t="str">
        <f t="shared" si="2050"/>
        <v>65106</v>
      </c>
      <c r="N9029" t="s">
        <v>1175</v>
      </c>
      <c r="O9029">
        <v>395.42</v>
      </c>
      <c r="P9029">
        <v>20181017</v>
      </c>
      <c r="Q9029" t="s">
        <v>6998</v>
      </c>
      <c r="R9029" t="s">
        <v>6999</v>
      </c>
      <c r="S9029" t="s">
        <v>7000</v>
      </c>
      <c r="T9029" t="s">
        <v>301</v>
      </c>
    </row>
    <row r="9030" spans="1:20" x14ac:dyDescent="0.25">
      <c r="A9030">
        <v>9</v>
      </c>
      <c r="B9030">
        <v>461</v>
      </c>
      <c r="C9030" t="str">
        <f t="shared" si="2044"/>
        <v>36</v>
      </c>
      <c r="D9030">
        <v>6399</v>
      </c>
      <c r="E9030" t="str">
        <f>"PR"</f>
        <v>PR</v>
      </c>
      <c r="F9030" t="str">
        <f>"104"</f>
        <v>104</v>
      </c>
      <c r="G9030">
        <v>9</v>
      </c>
      <c r="H9030" t="str">
        <f>"99"</f>
        <v>99</v>
      </c>
      <c r="I9030" t="str">
        <f t="shared" si="2048"/>
        <v>0</v>
      </c>
      <c r="J9030" t="str">
        <f t="shared" si="2045"/>
        <v>00</v>
      </c>
      <c r="K9030">
        <v>20181019</v>
      </c>
      <c r="L9030" t="str">
        <f t="shared" si="2049"/>
        <v>074406</v>
      </c>
      <c r="M9030" t="str">
        <f t="shared" si="2050"/>
        <v>65106</v>
      </c>
      <c r="N9030" t="s">
        <v>1175</v>
      </c>
      <c r="O9030">
        <v>239.96</v>
      </c>
      <c r="P9030">
        <v>20181017</v>
      </c>
      <c r="Q9030" t="s">
        <v>7014</v>
      </c>
      <c r="R9030" t="s">
        <v>7139</v>
      </c>
      <c r="S9030" t="s">
        <v>7000</v>
      </c>
      <c r="T9030" t="s">
        <v>46</v>
      </c>
    </row>
    <row r="9031" spans="1:20" x14ac:dyDescent="0.25">
      <c r="A9031">
        <v>9</v>
      </c>
      <c r="B9031">
        <v>461</v>
      </c>
      <c r="C9031" t="str">
        <f t="shared" si="2044"/>
        <v>36</v>
      </c>
      <c r="D9031">
        <v>6412</v>
      </c>
      <c r="E9031" t="str">
        <f>"3Y"</f>
        <v>3Y</v>
      </c>
      <c r="F9031" t="str">
        <f>"001"</f>
        <v>001</v>
      </c>
      <c r="G9031">
        <v>9</v>
      </c>
      <c r="H9031" t="str">
        <f>"91"</f>
        <v>91</v>
      </c>
      <c r="I9031" t="str">
        <f t="shared" si="2048"/>
        <v>0</v>
      </c>
      <c r="J9031" t="str">
        <f t="shared" si="2045"/>
        <v>00</v>
      </c>
      <c r="K9031">
        <v>20181019</v>
      </c>
      <c r="L9031" t="str">
        <f>"074408"</f>
        <v>074408</v>
      </c>
      <c r="M9031" t="str">
        <f>"69015"</f>
        <v>69015</v>
      </c>
      <c r="N9031" t="s">
        <v>7140</v>
      </c>
      <c r="O9031">
        <v>350</v>
      </c>
      <c r="P9031">
        <v>20181017</v>
      </c>
      <c r="Q9031" t="s">
        <v>7141</v>
      </c>
      <c r="R9031" t="s">
        <v>7142</v>
      </c>
      <c r="S9031" t="s">
        <v>7000</v>
      </c>
      <c r="T9031" t="s">
        <v>301</v>
      </c>
    </row>
    <row r="9032" spans="1:20" x14ac:dyDescent="0.25">
      <c r="A9032">
        <v>9</v>
      </c>
      <c r="B9032">
        <v>461</v>
      </c>
      <c r="C9032" t="str">
        <f t="shared" si="2044"/>
        <v>36</v>
      </c>
      <c r="D9032">
        <v>6399</v>
      </c>
      <c r="E9032" t="str">
        <f>"PR"</f>
        <v>PR</v>
      </c>
      <c r="F9032" t="str">
        <f>"104"</f>
        <v>104</v>
      </c>
      <c r="G9032">
        <v>9</v>
      </c>
      <c r="H9032" t="str">
        <f>"99"</f>
        <v>99</v>
      </c>
      <c r="I9032" t="str">
        <f t="shared" si="2048"/>
        <v>0</v>
      </c>
      <c r="J9032" t="str">
        <f t="shared" si="2045"/>
        <v>00</v>
      </c>
      <c r="K9032">
        <v>20181019</v>
      </c>
      <c r="L9032" t="str">
        <f>"074418"</f>
        <v>074418</v>
      </c>
      <c r="M9032" t="str">
        <f>"81910"</f>
        <v>81910</v>
      </c>
      <c r="N9032" t="s">
        <v>2939</v>
      </c>
      <c r="O9032">
        <v>402.35</v>
      </c>
      <c r="P9032">
        <v>20181018</v>
      </c>
      <c r="Q9032" t="s">
        <v>7014</v>
      </c>
      <c r="R9032" t="s">
        <v>641</v>
      </c>
      <c r="S9032" t="s">
        <v>7000</v>
      </c>
      <c r="T9032" t="s">
        <v>46</v>
      </c>
    </row>
    <row r="9033" spans="1:20" x14ac:dyDescent="0.25">
      <c r="A9033">
        <v>9</v>
      </c>
      <c r="B9033">
        <v>461</v>
      </c>
      <c r="C9033" t="str">
        <f t="shared" si="2044"/>
        <v>36</v>
      </c>
      <c r="D9033">
        <v>6412</v>
      </c>
      <c r="E9033" t="str">
        <f>"3S"</f>
        <v>3S</v>
      </c>
      <c r="F9033" t="str">
        <f>"001"</f>
        <v>001</v>
      </c>
      <c r="G9033">
        <v>9</v>
      </c>
      <c r="H9033" t="str">
        <f>"91"</f>
        <v>91</v>
      </c>
      <c r="I9033" t="str">
        <f t="shared" si="2048"/>
        <v>0</v>
      </c>
      <c r="J9033" t="str">
        <f t="shared" si="2045"/>
        <v>00</v>
      </c>
      <c r="K9033">
        <v>20181030</v>
      </c>
      <c r="L9033" t="str">
        <f>"074430"</f>
        <v>074430</v>
      </c>
      <c r="M9033" t="str">
        <f>"03332"</f>
        <v>03332</v>
      </c>
      <c r="N9033" t="s">
        <v>458</v>
      </c>
      <c r="O9033">
        <v>384</v>
      </c>
      <c r="P9033">
        <v>20181030</v>
      </c>
      <c r="Q9033" t="s">
        <v>7143</v>
      </c>
      <c r="R9033" t="s">
        <v>548</v>
      </c>
      <c r="S9033" t="s">
        <v>7000</v>
      </c>
      <c r="T9033" t="s">
        <v>301</v>
      </c>
    </row>
    <row r="9034" spans="1:20" x14ac:dyDescent="0.25">
      <c r="A9034">
        <v>9</v>
      </c>
      <c r="B9034">
        <v>461</v>
      </c>
      <c r="C9034" t="str">
        <f t="shared" si="2044"/>
        <v>36</v>
      </c>
      <c r="D9034">
        <v>6412</v>
      </c>
      <c r="E9034" t="str">
        <f>"3S"</f>
        <v>3S</v>
      </c>
      <c r="F9034" t="str">
        <f>"001"</f>
        <v>001</v>
      </c>
      <c r="G9034">
        <v>9</v>
      </c>
      <c r="H9034" t="str">
        <f>"91"</f>
        <v>91</v>
      </c>
      <c r="I9034" t="str">
        <f t="shared" si="2048"/>
        <v>0</v>
      </c>
      <c r="J9034" t="str">
        <f t="shared" si="2045"/>
        <v>00</v>
      </c>
      <c r="K9034">
        <v>20181102</v>
      </c>
      <c r="L9034" t="str">
        <f>"074433"</f>
        <v>074433</v>
      </c>
      <c r="M9034" t="str">
        <f>"03332"</f>
        <v>03332</v>
      </c>
      <c r="N9034" t="s">
        <v>458</v>
      </c>
      <c r="O9034">
        <v>384</v>
      </c>
      <c r="P9034">
        <v>20181031</v>
      </c>
      <c r="Q9034" t="s">
        <v>7143</v>
      </c>
      <c r="R9034" t="s">
        <v>583</v>
      </c>
      <c r="S9034" t="s">
        <v>7000</v>
      </c>
      <c r="T9034" t="s">
        <v>301</v>
      </c>
    </row>
    <row r="9035" spans="1:20" x14ac:dyDescent="0.25">
      <c r="A9035">
        <v>9</v>
      </c>
      <c r="B9035">
        <v>461</v>
      </c>
      <c r="C9035" t="str">
        <f t="shared" si="2044"/>
        <v>36</v>
      </c>
      <c r="D9035">
        <v>6412</v>
      </c>
      <c r="E9035" t="str">
        <f>"3S"</f>
        <v>3S</v>
      </c>
      <c r="F9035" t="str">
        <f>"001"</f>
        <v>001</v>
      </c>
      <c r="G9035">
        <v>9</v>
      </c>
      <c r="H9035" t="str">
        <f>"91"</f>
        <v>91</v>
      </c>
      <c r="I9035" t="str">
        <f t="shared" si="2048"/>
        <v>0</v>
      </c>
      <c r="J9035" t="str">
        <f t="shared" si="2045"/>
        <v>00</v>
      </c>
      <c r="K9035">
        <v>20181102</v>
      </c>
      <c r="L9035" t="str">
        <f>"074433"</f>
        <v>074433</v>
      </c>
      <c r="M9035" t="str">
        <f>"03332"</f>
        <v>03332</v>
      </c>
      <c r="N9035" t="s">
        <v>458</v>
      </c>
      <c r="O9035">
        <v>50</v>
      </c>
      <c r="P9035">
        <v>20181031</v>
      </c>
      <c r="Q9035" t="s">
        <v>7143</v>
      </c>
      <c r="R9035" t="s">
        <v>583</v>
      </c>
      <c r="S9035" t="s">
        <v>7000</v>
      </c>
      <c r="T9035" t="s">
        <v>301</v>
      </c>
    </row>
    <row r="9036" spans="1:20" x14ac:dyDescent="0.25">
      <c r="A9036">
        <v>9</v>
      </c>
      <c r="B9036">
        <v>461</v>
      </c>
      <c r="C9036" t="str">
        <f t="shared" si="2044"/>
        <v>36</v>
      </c>
      <c r="D9036">
        <v>6399</v>
      </c>
      <c r="E9036" t="str">
        <f>"PR"</f>
        <v>PR</v>
      </c>
      <c r="F9036" t="str">
        <f>"104"</f>
        <v>104</v>
      </c>
      <c r="G9036">
        <v>9</v>
      </c>
      <c r="H9036" t="str">
        <f>"99"</f>
        <v>99</v>
      </c>
      <c r="I9036" t="str">
        <f t="shared" si="2048"/>
        <v>0</v>
      </c>
      <c r="J9036" t="str">
        <f t="shared" si="2045"/>
        <v>00</v>
      </c>
      <c r="K9036">
        <v>20181102</v>
      </c>
      <c r="L9036" t="str">
        <f>"074435"</f>
        <v>074435</v>
      </c>
      <c r="M9036" t="str">
        <f>"04410"</f>
        <v>04410</v>
      </c>
      <c r="N9036" t="s">
        <v>410</v>
      </c>
      <c r="O9036">
        <v>299.98</v>
      </c>
      <c r="P9036">
        <v>20181031</v>
      </c>
      <c r="Q9036" t="s">
        <v>7014</v>
      </c>
      <c r="R9036" t="s">
        <v>7144</v>
      </c>
      <c r="S9036" t="s">
        <v>7000</v>
      </c>
      <c r="T9036" t="s">
        <v>46</v>
      </c>
    </row>
    <row r="9037" spans="1:20" x14ac:dyDescent="0.25">
      <c r="A9037">
        <v>9</v>
      </c>
      <c r="B9037">
        <v>461</v>
      </c>
      <c r="C9037" t="str">
        <f t="shared" si="2044"/>
        <v>36</v>
      </c>
      <c r="D9037">
        <v>6399</v>
      </c>
      <c r="E9037" t="str">
        <f>"61"</f>
        <v>61</v>
      </c>
      <c r="F9037" t="str">
        <f>"101"</f>
        <v>101</v>
      </c>
      <c r="G9037">
        <v>9</v>
      </c>
      <c r="H9037" t="str">
        <f>"99"</f>
        <v>99</v>
      </c>
      <c r="I9037" t="str">
        <f t="shared" si="2048"/>
        <v>0</v>
      </c>
      <c r="J9037" t="str">
        <f t="shared" si="2045"/>
        <v>00</v>
      </c>
      <c r="K9037">
        <v>20181102</v>
      </c>
      <c r="L9037" t="str">
        <f>"074440"</f>
        <v>074440</v>
      </c>
      <c r="M9037" t="str">
        <f>"09170"</f>
        <v>09170</v>
      </c>
      <c r="N9037" t="s">
        <v>679</v>
      </c>
      <c r="O9037">
        <v>160</v>
      </c>
      <c r="P9037">
        <v>20181031</v>
      </c>
      <c r="Q9037" t="s">
        <v>7007</v>
      </c>
      <c r="R9037" t="s">
        <v>7145</v>
      </c>
      <c r="S9037" t="s">
        <v>7000</v>
      </c>
      <c r="T9037" t="s">
        <v>1479</v>
      </c>
    </row>
    <row r="9038" spans="1:20" x14ac:dyDescent="0.25">
      <c r="A9038">
        <v>9</v>
      </c>
      <c r="B9038">
        <v>461</v>
      </c>
      <c r="C9038" t="str">
        <f t="shared" si="2044"/>
        <v>36</v>
      </c>
      <c r="D9038">
        <v>6399</v>
      </c>
      <c r="E9038" t="str">
        <f>"PR"</f>
        <v>PR</v>
      </c>
      <c r="F9038" t="str">
        <f>"104"</f>
        <v>104</v>
      </c>
      <c r="G9038">
        <v>9</v>
      </c>
      <c r="H9038" t="str">
        <f>"99"</f>
        <v>99</v>
      </c>
      <c r="I9038" t="str">
        <f t="shared" si="2048"/>
        <v>0</v>
      </c>
      <c r="J9038" t="str">
        <f t="shared" ref="J9038:J9069" si="2052">"00"</f>
        <v>00</v>
      </c>
      <c r="K9038">
        <v>20181102</v>
      </c>
      <c r="L9038" t="str">
        <f>"074440"</f>
        <v>074440</v>
      </c>
      <c r="M9038" t="str">
        <f>"09170"</f>
        <v>09170</v>
      </c>
      <c r="N9038" t="s">
        <v>679</v>
      </c>
      <c r="O9038">
        <v>160</v>
      </c>
      <c r="P9038">
        <v>20181031</v>
      </c>
      <c r="Q9038" t="s">
        <v>7014</v>
      </c>
      <c r="R9038" t="s">
        <v>7145</v>
      </c>
      <c r="S9038" t="s">
        <v>7000</v>
      </c>
      <c r="T9038" t="s">
        <v>46</v>
      </c>
    </row>
    <row r="9039" spans="1:20" x14ac:dyDescent="0.25">
      <c r="A9039">
        <v>9</v>
      </c>
      <c r="B9039">
        <v>461</v>
      </c>
      <c r="C9039" t="str">
        <f t="shared" si="2044"/>
        <v>36</v>
      </c>
      <c r="D9039">
        <v>6399</v>
      </c>
      <c r="E9039" t="str">
        <f>"CS"</f>
        <v>CS</v>
      </c>
      <c r="F9039" t="str">
        <f>"001"</f>
        <v>001</v>
      </c>
      <c r="G9039">
        <v>9</v>
      </c>
      <c r="H9039" t="str">
        <f>"91"</f>
        <v>91</v>
      </c>
      <c r="I9039" t="str">
        <f t="shared" si="2048"/>
        <v>0</v>
      </c>
      <c r="J9039" t="str">
        <f t="shared" si="2052"/>
        <v>00</v>
      </c>
      <c r="K9039">
        <v>20181102</v>
      </c>
      <c r="L9039" t="str">
        <f>"074442"</f>
        <v>074442</v>
      </c>
      <c r="M9039" t="str">
        <f>"10418"</f>
        <v>10418</v>
      </c>
      <c r="N9039" t="s">
        <v>2360</v>
      </c>
      <c r="O9039" s="1">
        <v>1095.6500000000001</v>
      </c>
      <c r="P9039">
        <v>20181031</v>
      </c>
      <c r="Q9039" t="s">
        <v>6998</v>
      </c>
      <c r="R9039" t="s">
        <v>6999</v>
      </c>
      <c r="S9039" t="s">
        <v>7000</v>
      </c>
      <c r="T9039" t="s">
        <v>301</v>
      </c>
    </row>
    <row r="9040" spans="1:20" x14ac:dyDescent="0.25">
      <c r="A9040">
        <v>9</v>
      </c>
      <c r="B9040">
        <v>461</v>
      </c>
      <c r="C9040" t="str">
        <f t="shared" ref="C9040:C9103" si="2053">"36"</f>
        <v>36</v>
      </c>
      <c r="D9040">
        <v>6399</v>
      </c>
      <c r="E9040" t="str">
        <f>"CS"</f>
        <v>CS</v>
      </c>
      <c r="F9040" t="str">
        <f>"001"</f>
        <v>001</v>
      </c>
      <c r="G9040">
        <v>9</v>
      </c>
      <c r="H9040" t="str">
        <f>"91"</f>
        <v>91</v>
      </c>
      <c r="I9040" t="str">
        <f t="shared" si="2048"/>
        <v>0</v>
      </c>
      <c r="J9040" t="str">
        <f t="shared" si="2052"/>
        <v>00</v>
      </c>
      <c r="K9040">
        <v>20181102</v>
      </c>
      <c r="L9040" t="str">
        <f>"074442"</f>
        <v>074442</v>
      </c>
      <c r="M9040" t="str">
        <f>"10418"</f>
        <v>10418</v>
      </c>
      <c r="N9040" t="s">
        <v>2360</v>
      </c>
      <c r="O9040">
        <v>818.61</v>
      </c>
      <c r="P9040">
        <v>20181031</v>
      </c>
      <c r="Q9040" t="s">
        <v>6998</v>
      </c>
      <c r="R9040" t="s">
        <v>6999</v>
      </c>
      <c r="S9040" t="s">
        <v>7000</v>
      </c>
      <c r="T9040" t="s">
        <v>301</v>
      </c>
    </row>
    <row r="9041" spans="1:20" x14ac:dyDescent="0.25">
      <c r="A9041">
        <v>9</v>
      </c>
      <c r="B9041">
        <v>461</v>
      </c>
      <c r="C9041" t="str">
        <f t="shared" si="2053"/>
        <v>36</v>
      </c>
      <c r="D9041">
        <v>6399</v>
      </c>
      <c r="E9041" t="str">
        <f>"CS"</f>
        <v>CS</v>
      </c>
      <c r="F9041" t="str">
        <f>"001"</f>
        <v>001</v>
      </c>
      <c r="G9041">
        <v>9</v>
      </c>
      <c r="H9041" t="str">
        <f>"91"</f>
        <v>91</v>
      </c>
      <c r="I9041" t="str">
        <f t="shared" si="2048"/>
        <v>0</v>
      </c>
      <c r="J9041" t="str">
        <f t="shared" si="2052"/>
        <v>00</v>
      </c>
      <c r="K9041">
        <v>20181102</v>
      </c>
      <c r="L9041" t="str">
        <f>"074442"</f>
        <v>074442</v>
      </c>
      <c r="M9041" t="str">
        <f>"10418"</f>
        <v>10418</v>
      </c>
      <c r="N9041" t="s">
        <v>2360</v>
      </c>
      <c r="O9041">
        <v>849.11</v>
      </c>
      <c r="P9041">
        <v>20181031</v>
      </c>
      <c r="Q9041" t="s">
        <v>6998</v>
      </c>
      <c r="R9041" t="s">
        <v>6999</v>
      </c>
      <c r="S9041" t="s">
        <v>7000</v>
      </c>
      <c r="T9041" t="s">
        <v>301</v>
      </c>
    </row>
    <row r="9042" spans="1:20" x14ac:dyDescent="0.25">
      <c r="A9042">
        <v>9</v>
      </c>
      <c r="B9042">
        <v>461</v>
      </c>
      <c r="C9042" t="str">
        <f t="shared" si="2053"/>
        <v>36</v>
      </c>
      <c r="D9042">
        <v>6399</v>
      </c>
      <c r="E9042" t="str">
        <f>"3D"</f>
        <v>3D</v>
      </c>
      <c r="F9042" t="str">
        <f>"001"</f>
        <v>001</v>
      </c>
      <c r="G9042">
        <v>9</v>
      </c>
      <c r="H9042" t="str">
        <f>"91"</f>
        <v>91</v>
      </c>
      <c r="I9042" t="str">
        <f t="shared" si="2048"/>
        <v>0</v>
      </c>
      <c r="J9042" t="str">
        <f t="shared" si="2052"/>
        <v>00</v>
      </c>
      <c r="K9042">
        <v>20181102</v>
      </c>
      <c r="L9042" t="str">
        <f>"074451"</f>
        <v>074451</v>
      </c>
      <c r="M9042" t="str">
        <f>"13285"</f>
        <v>13285</v>
      </c>
      <c r="N9042" t="s">
        <v>1313</v>
      </c>
      <c r="O9042">
        <v>225</v>
      </c>
      <c r="P9042">
        <v>20181031</v>
      </c>
      <c r="Q9042" t="s">
        <v>7146</v>
      </c>
      <c r="R9042" t="s">
        <v>685</v>
      </c>
      <c r="S9042" t="s">
        <v>7000</v>
      </c>
      <c r="T9042" t="s">
        <v>301</v>
      </c>
    </row>
    <row r="9043" spans="1:20" x14ac:dyDescent="0.25">
      <c r="A9043">
        <v>9</v>
      </c>
      <c r="B9043">
        <v>461</v>
      </c>
      <c r="C9043" t="str">
        <f t="shared" si="2053"/>
        <v>36</v>
      </c>
      <c r="D9043">
        <v>6412</v>
      </c>
      <c r="E9043" t="str">
        <f>"3D"</f>
        <v>3D</v>
      </c>
      <c r="F9043" t="str">
        <f>"001"</f>
        <v>001</v>
      </c>
      <c r="G9043">
        <v>9</v>
      </c>
      <c r="H9043" t="str">
        <f>"91"</f>
        <v>91</v>
      </c>
      <c r="I9043" t="str">
        <f t="shared" si="2048"/>
        <v>0</v>
      </c>
      <c r="J9043" t="str">
        <f t="shared" si="2052"/>
        <v>00</v>
      </c>
      <c r="K9043">
        <v>20181102</v>
      </c>
      <c r="L9043" t="str">
        <f>"074451"</f>
        <v>074451</v>
      </c>
      <c r="M9043" t="str">
        <f>"13285"</f>
        <v>13285</v>
      </c>
      <c r="N9043" t="s">
        <v>1313</v>
      </c>
      <c r="O9043">
        <v>720</v>
      </c>
      <c r="P9043">
        <v>20181031</v>
      </c>
      <c r="Q9043" t="s">
        <v>7147</v>
      </c>
      <c r="R9043" t="s">
        <v>685</v>
      </c>
      <c r="S9043" t="s">
        <v>7000</v>
      </c>
      <c r="T9043" t="s">
        <v>301</v>
      </c>
    </row>
    <row r="9044" spans="1:20" x14ac:dyDescent="0.25">
      <c r="A9044">
        <v>9</v>
      </c>
      <c r="B9044">
        <v>461</v>
      </c>
      <c r="C9044" t="str">
        <f t="shared" si="2053"/>
        <v>36</v>
      </c>
      <c r="D9044">
        <v>6299</v>
      </c>
      <c r="E9044" t="str">
        <f>"00"</f>
        <v>00</v>
      </c>
      <c r="F9044" t="str">
        <f>"802"</f>
        <v>802</v>
      </c>
      <c r="G9044">
        <v>9</v>
      </c>
      <c r="H9044" t="str">
        <f>"99"</f>
        <v>99</v>
      </c>
      <c r="I9044" t="str">
        <f t="shared" si="2048"/>
        <v>0</v>
      </c>
      <c r="J9044" t="str">
        <f t="shared" si="2052"/>
        <v>00</v>
      </c>
      <c r="K9044">
        <v>20181102</v>
      </c>
      <c r="L9044" t="str">
        <f>"074453"</f>
        <v>074453</v>
      </c>
      <c r="M9044" t="str">
        <f>"00571"</f>
        <v>00571</v>
      </c>
      <c r="N9044" t="s">
        <v>7098</v>
      </c>
      <c r="O9044">
        <v>160</v>
      </c>
      <c r="P9044">
        <v>20181031</v>
      </c>
      <c r="Q9044" t="s">
        <v>7099</v>
      </c>
      <c r="R9044" t="s">
        <v>7148</v>
      </c>
      <c r="S9044" t="s">
        <v>7000</v>
      </c>
      <c r="T9044" t="s">
        <v>7023</v>
      </c>
    </row>
    <row r="9045" spans="1:20" x14ac:dyDescent="0.25">
      <c r="A9045">
        <v>9</v>
      </c>
      <c r="B9045">
        <v>461</v>
      </c>
      <c r="C9045" t="str">
        <f t="shared" si="2053"/>
        <v>36</v>
      </c>
      <c r="D9045">
        <v>6399</v>
      </c>
      <c r="E9045" t="str">
        <f>"PR"</f>
        <v>PR</v>
      </c>
      <c r="F9045" t="str">
        <f>"104"</f>
        <v>104</v>
      </c>
      <c r="G9045">
        <v>9</v>
      </c>
      <c r="H9045" t="str">
        <f>"99"</f>
        <v>99</v>
      </c>
      <c r="I9045" t="str">
        <f t="shared" si="2048"/>
        <v>0</v>
      </c>
      <c r="J9045" t="str">
        <f t="shared" si="2052"/>
        <v>00</v>
      </c>
      <c r="K9045">
        <v>20181102</v>
      </c>
      <c r="L9045" t="str">
        <f>"074456"</f>
        <v>074456</v>
      </c>
      <c r="M9045" t="str">
        <f>"16807"</f>
        <v>16807</v>
      </c>
      <c r="N9045" t="s">
        <v>1581</v>
      </c>
      <c r="O9045">
        <v>306.52</v>
      </c>
      <c r="P9045">
        <v>20181031</v>
      </c>
      <c r="Q9045" t="s">
        <v>7014</v>
      </c>
      <c r="R9045" t="s">
        <v>7149</v>
      </c>
      <c r="S9045" t="s">
        <v>7000</v>
      </c>
      <c r="T9045" t="s">
        <v>46</v>
      </c>
    </row>
    <row r="9046" spans="1:20" x14ac:dyDescent="0.25">
      <c r="A9046">
        <v>9</v>
      </c>
      <c r="B9046">
        <v>461</v>
      </c>
      <c r="C9046" t="str">
        <f t="shared" si="2053"/>
        <v>36</v>
      </c>
      <c r="D9046">
        <v>6399</v>
      </c>
      <c r="E9046" t="str">
        <f>"CS"</f>
        <v>CS</v>
      </c>
      <c r="F9046" t="str">
        <f t="shared" ref="F9046:F9052" si="2054">"001"</f>
        <v>001</v>
      </c>
      <c r="G9046">
        <v>9</v>
      </c>
      <c r="H9046" t="str">
        <f t="shared" ref="H9046:H9051" si="2055">"91"</f>
        <v>91</v>
      </c>
      <c r="I9046" t="str">
        <f t="shared" si="2048"/>
        <v>0</v>
      </c>
      <c r="J9046" t="str">
        <f t="shared" si="2052"/>
        <v>00</v>
      </c>
      <c r="K9046">
        <v>20181102</v>
      </c>
      <c r="L9046" t="str">
        <f>"074464"</f>
        <v>074464</v>
      </c>
      <c r="M9046" t="str">
        <f>"24955"</f>
        <v>24955</v>
      </c>
      <c r="N9046" t="s">
        <v>7046</v>
      </c>
      <c r="O9046">
        <v>100</v>
      </c>
      <c r="P9046">
        <v>20181031</v>
      </c>
      <c r="Q9046" t="s">
        <v>6998</v>
      </c>
      <c r="R9046" t="s">
        <v>6999</v>
      </c>
      <c r="S9046" t="s">
        <v>7000</v>
      </c>
      <c r="T9046" t="s">
        <v>301</v>
      </c>
    </row>
    <row r="9047" spans="1:20" x14ac:dyDescent="0.25">
      <c r="A9047">
        <v>9</v>
      </c>
      <c r="B9047">
        <v>461</v>
      </c>
      <c r="C9047" t="str">
        <f t="shared" si="2053"/>
        <v>36</v>
      </c>
      <c r="D9047">
        <v>6399</v>
      </c>
      <c r="E9047" t="str">
        <f>"3B"</f>
        <v>3B</v>
      </c>
      <c r="F9047" t="str">
        <f t="shared" si="2054"/>
        <v>001</v>
      </c>
      <c r="G9047">
        <v>9</v>
      </c>
      <c r="H9047" t="str">
        <f t="shared" si="2055"/>
        <v>91</v>
      </c>
      <c r="I9047" t="str">
        <f t="shared" si="2048"/>
        <v>0</v>
      </c>
      <c r="J9047" t="str">
        <f t="shared" si="2052"/>
        <v>00</v>
      </c>
      <c r="K9047">
        <v>20181102</v>
      </c>
      <c r="L9047" t="str">
        <f>"074468"</f>
        <v>074468</v>
      </c>
      <c r="M9047" t="str">
        <f>"27135"</f>
        <v>27135</v>
      </c>
      <c r="N9047" t="s">
        <v>521</v>
      </c>
      <c r="O9047">
        <v>420</v>
      </c>
      <c r="P9047">
        <v>20181031</v>
      </c>
      <c r="Q9047" t="s">
        <v>7024</v>
      </c>
      <c r="R9047" t="s">
        <v>7150</v>
      </c>
      <c r="S9047" t="s">
        <v>7000</v>
      </c>
      <c r="T9047" t="s">
        <v>301</v>
      </c>
    </row>
    <row r="9048" spans="1:20" x14ac:dyDescent="0.25">
      <c r="A9048">
        <v>9</v>
      </c>
      <c r="B9048">
        <v>461</v>
      </c>
      <c r="C9048" t="str">
        <f t="shared" si="2053"/>
        <v>36</v>
      </c>
      <c r="D9048">
        <v>6399</v>
      </c>
      <c r="E9048" t="str">
        <f>"3T"</f>
        <v>3T</v>
      </c>
      <c r="F9048" t="str">
        <f t="shared" si="2054"/>
        <v>001</v>
      </c>
      <c r="G9048">
        <v>9</v>
      </c>
      <c r="H9048" t="str">
        <f t="shared" si="2055"/>
        <v>91</v>
      </c>
      <c r="I9048" t="str">
        <f t="shared" si="2048"/>
        <v>0</v>
      </c>
      <c r="J9048" t="str">
        <f t="shared" si="2052"/>
        <v>00</v>
      </c>
      <c r="K9048">
        <v>20181102</v>
      </c>
      <c r="L9048" t="str">
        <f t="shared" ref="L9048:L9053" si="2056">"074475"</f>
        <v>074475</v>
      </c>
      <c r="M9048" t="str">
        <f t="shared" ref="M9048:M9053" si="2057">"31345"</f>
        <v>31345</v>
      </c>
      <c r="N9048" t="s">
        <v>1394</v>
      </c>
      <c r="O9048" s="1">
        <v>1254.4000000000001</v>
      </c>
      <c r="P9048">
        <v>20181031</v>
      </c>
      <c r="Q9048" t="s">
        <v>7053</v>
      </c>
      <c r="R9048" t="s">
        <v>7151</v>
      </c>
      <c r="S9048" t="s">
        <v>7000</v>
      </c>
      <c r="T9048" t="s">
        <v>301</v>
      </c>
    </row>
    <row r="9049" spans="1:20" x14ac:dyDescent="0.25">
      <c r="A9049">
        <v>9</v>
      </c>
      <c r="B9049">
        <v>461</v>
      </c>
      <c r="C9049" t="str">
        <f t="shared" si="2053"/>
        <v>36</v>
      </c>
      <c r="D9049">
        <v>6399</v>
      </c>
      <c r="E9049" t="str">
        <f>"3Y"</f>
        <v>3Y</v>
      </c>
      <c r="F9049" t="str">
        <f t="shared" si="2054"/>
        <v>001</v>
      </c>
      <c r="G9049">
        <v>9</v>
      </c>
      <c r="H9049" t="str">
        <f t="shared" si="2055"/>
        <v>91</v>
      </c>
      <c r="I9049" t="str">
        <f t="shared" si="2048"/>
        <v>0</v>
      </c>
      <c r="J9049" t="str">
        <f t="shared" si="2052"/>
        <v>00</v>
      </c>
      <c r="K9049">
        <v>20181102</v>
      </c>
      <c r="L9049" t="str">
        <f t="shared" si="2056"/>
        <v>074475</v>
      </c>
      <c r="M9049" t="str">
        <f t="shared" si="2057"/>
        <v>31345</v>
      </c>
      <c r="N9049" t="s">
        <v>1394</v>
      </c>
      <c r="O9049" s="1">
        <v>2240</v>
      </c>
      <c r="P9049">
        <v>20181031</v>
      </c>
      <c r="Q9049" t="s">
        <v>7110</v>
      </c>
      <c r="R9049" t="s">
        <v>7152</v>
      </c>
      <c r="S9049" t="s">
        <v>7000</v>
      </c>
      <c r="T9049" t="s">
        <v>301</v>
      </c>
    </row>
    <row r="9050" spans="1:20" x14ac:dyDescent="0.25">
      <c r="A9050">
        <v>9</v>
      </c>
      <c r="B9050">
        <v>461</v>
      </c>
      <c r="C9050" t="str">
        <f t="shared" si="2053"/>
        <v>36</v>
      </c>
      <c r="D9050">
        <v>6399</v>
      </c>
      <c r="E9050" t="str">
        <f>"3Y"</f>
        <v>3Y</v>
      </c>
      <c r="F9050" t="str">
        <f t="shared" si="2054"/>
        <v>001</v>
      </c>
      <c r="G9050">
        <v>9</v>
      </c>
      <c r="H9050" t="str">
        <f t="shared" si="2055"/>
        <v>91</v>
      </c>
      <c r="I9050" t="str">
        <f t="shared" si="2048"/>
        <v>0</v>
      </c>
      <c r="J9050" t="str">
        <f t="shared" si="2052"/>
        <v>00</v>
      </c>
      <c r="K9050">
        <v>20181102</v>
      </c>
      <c r="L9050" t="str">
        <f t="shared" si="2056"/>
        <v>074475</v>
      </c>
      <c r="M9050" t="str">
        <f t="shared" si="2057"/>
        <v>31345</v>
      </c>
      <c r="N9050" t="s">
        <v>1394</v>
      </c>
      <c r="O9050" s="1">
        <v>1605.5</v>
      </c>
      <c r="P9050">
        <v>20181031</v>
      </c>
      <c r="Q9050" t="s">
        <v>7110</v>
      </c>
      <c r="R9050" t="s">
        <v>7151</v>
      </c>
      <c r="S9050" t="s">
        <v>7000</v>
      </c>
      <c r="T9050" t="s">
        <v>301</v>
      </c>
    </row>
    <row r="9051" spans="1:20" x14ac:dyDescent="0.25">
      <c r="A9051">
        <v>9</v>
      </c>
      <c r="B9051">
        <v>461</v>
      </c>
      <c r="C9051" t="str">
        <f t="shared" si="2053"/>
        <v>36</v>
      </c>
      <c r="D9051">
        <v>6399</v>
      </c>
      <c r="E9051" t="str">
        <f>"49"</f>
        <v>49</v>
      </c>
      <c r="F9051" t="str">
        <f t="shared" si="2054"/>
        <v>001</v>
      </c>
      <c r="G9051">
        <v>9</v>
      </c>
      <c r="H9051" t="str">
        <f t="shared" si="2055"/>
        <v>91</v>
      </c>
      <c r="I9051" t="str">
        <f t="shared" si="2048"/>
        <v>0</v>
      </c>
      <c r="J9051" t="str">
        <f t="shared" si="2052"/>
        <v>00</v>
      </c>
      <c r="K9051">
        <v>20181102</v>
      </c>
      <c r="L9051" t="str">
        <f t="shared" si="2056"/>
        <v>074475</v>
      </c>
      <c r="M9051" t="str">
        <f t="shared" si="2057"/>
        <v>31345</v>
      </c>
      <c r="N9051" t="s">
        <v>1394</v>
      </c>
      <c r="O9051" s="1">
        <v>1684.15</v>
      </c>
      <c r="P9051">
        <v>20181031</v>
      </c>
      <c r="Q9051" t="s">
        <v>7153</v>
      </c>
      <c r="R9051" t="s">
        <v>7154</v>
      </c>
      <c r="S9051" t="s">
        <v>7000</v>
      </c>
      <c r="T9051" t="s">
        <v>301</v>
      </c>
    </row>
    <row r="9052" spans="1:20" x14ac:dyDescent="0.25">
      <c r="A9052">
        <v>9</v>
      </c>
      <c r="B9052">
        <v>461</v>
      </c>
      <c r="C9052" t="str">
        <f t="shared" si="2053"/>
        <v>36</v>
      </c>
      <c r="D9052">
        <v>6399</v>
      </c>
      <c r="E9052" t="str">
        <f>"7B"</f>
        <v>7B</v>
      </c>
      <c r="F9052" t="str">
        <f t="shared" si="2054"/>
        <v>001</v>
      </c>
      <c r="G9052">
        <v>9</v>
      </c>
      <c r="H9052" t="str">
        <f>"99"</f>
        <v>99</v>
      </c>
      <c r="I9052" t="str">
        <f t="shared" si="2048"/>
        <v>0</v>
      </c>
      <c r="J9052" t="str">
        <f t="shared" si="2052"/>
        <v>00</v>
      </c>
      <c r="K9052">
        <v>20181102</v>
      </c>
      <c r="L9052" t="str">
        <f t="shared" si="2056"/>
        <v>074475</v>
      </c>
      <c r="M9052" t="str">
        <f t="shared" si="2057"/>
        <v>31345</v>
      </c>
      <c r="N9052" t="s">
        <v>1394</v>
      </c>
      <c r="O9052">
        <v>549</v>
      </c>
      <c r="P9052">
        <v>20181031</v>
      </c>
      <c r="Q9052" t="s">
        <v>7042</v>
      </c>
      <c r="R9052" t="s">
        <v>7155</v>
      </c>
      <c r="S9052" t="s">
        <v>7000</v>
      </c>
      <c r="T9052" t="s">
        <v>301</v>
      </c>
    </row>
    <row r="9053" spans="1:20" x14ac:dyDescent="0.25">
      <c r="A9053">
        <v>9</v>
      </c>
      <c r="B9053">
        <v>461</v>
      </c>
      <c r="C9053" t="str">
        <f t="shared" si="2053"/>
        <v>36</v>
      </c>
      <c r="D9053">
        <v>6399</v>
      </c>
      <c r="E9053" t="str">
        <f>"DC"</f>
        <v>DC</v>
      </c>
      <c r="F9053" t="str">
        <f>"101"</f>
        <v>101</v>
      </c>
      <c r="G9053">
        <v>9</v>
      </c>
      <c r="H9053" t="str">
        <f>"99"</f>
        <v>99</v>
      </c>
      <c r="I9053" t="str">
        <f t="shared" si="2048"/>
        <v>0</v>
      </c>
      <c r="J9053" t="str">
        <f t="shared" si="2052"/>
        <v>00</v>
      </c>
      <c r="K9053">
        <v>20181102</v>
      </c>
      <c r="L9053" t="str">
        <f t="shared" si="2056"/>
        <v>074475</v>
      </c>
      <c r="M9053" t="str">
        <f t="shared" si="2057"/>
        <v>31345</v>
      </c>
      <c r="N9053" t="s">
        <v>1394</v>
      </c>
      <c r="O9053">
        <v>396</v>
      </c>
      <c r="P9053">
        <v>20181031</v>
      </c>
      <c r="Q9053" t="s">
        <v>7156</v>
      </c>
      <c r="R9053" t="s">
        <v>7151</v>
      </c>
      <c r="S9053" t="s">
        <v>7000</v>
      </c>
      <c r="T9053" t="s">
        <v>1479</v>
      </c>
    </row>
    <row r="9054" spans="1:20" x14ac:dyDescent="0.25">
      <c r="A9054">
        <v>9</v>
      </c>
      <c r="B9054">
        <v>461</v>
      </c>
      <c r="C9054" t="str">
        <f t="shared" si="2053"/>
        <v>36</v>
      </c>
      <c r="D9054">
        <v>6399</v>
      </c>
      <c r="E9054" t="str">
        <f>"PR"</f>
        <v>PR</v>
      </c>
      <c r="F9054" t="str">
        <f>"104"</f>
        <v>104</v>
      </c>
      <c r="G9054">
        <v>9</v>
      </c>
      <c r="H9054" t="str">
        <f>"99"</f>
        <v>99</v>
      </c>
      <c r="I9054" t="str">
        <f t="shared" si="2048"/>
        <v>0</v>
      </c>
      <c r="J9054" t="str">
        <f t="shared" si="2052"/>
        <v>00</v>
      </c>
      <c r="K9054">
        <v>20181102</v>
      </c>
      <c r="L9054" t="str">
        <f>"074478"</f>
        <v>074478</v>
      </c>
      <c r="M9054" t="str">
        <f>"37602"</f>
        <v>37602</v>
      </c>
      <c r="N9054" t="s">
        <v>5072</v>
      </c>
      <c r="O9054">
        <v>198.45</v>
      </c>
      <c r="P9054">
        <v>20181031</v>
      </c>
      <c r="Q9054" t="s">
        <v>7014</v>
      </c>
      <c r="R9054" t="s">
        <v>7157</v>
      </c>
      <c r="S9054" t="s">
        <v>7000</v>
      </c>
      <c r="T9054" t="s">
        <v>46</v>
      </c>
    </row>
    <row r="9055" spans="1:20" x14ac:dyDescent="0.25">
      <c r="A9055">
        <v>9</v>
      </c>
      <c r="B9055">
        <v>461</v>
      </c>
      <c r="C9055" t="str">
        <f t="shared" si="2053"/>
        <v>36</v>
      </c>
      <c r="D9055">
        <v>6399</v>
      </c>
      <c r="E9055" t="str">
        <f>"3D"</f>
        <v>3D</v>
      </c>
      <c r="F9055" t="str">
        <f>"001"</f>
        <v>001</v>
      </c>
      <c r="G9055">
        <v>9</v>
      </c>
      <c r="H9055" t="str">
        <f>"91"</f>
        <v>91</v>
      </c>
      <c r="I9055" t="str">
        <f t="shared" si="2048"/>
        <v>0</v>
      </c>
      <c r="J9055" t="str">
        <f t="shared" si="2052"/>
        <v>00</v>
      </c>
      <c r="K9055">
        <v>20181102</v>
      </c>
      <c r="L9055" t="str">
        <f>"074483"</f>
        <v>074483</v>
      </c>
      <c r="M9055" t="str">
        <f>"00253"</f>
        <v>00253</v>
      </c>
      <c r="N9055" t="s">
        <v>592</v>
      </c>
      <c r="O9055" s="1">
        <v>1129.92</v>
      </c>
      <c r="P9055">
        <v>20181031</v>
      </c>
      <c r="Q9055" t="s">
        <v>7146</v>
      </c>
      <c r="R9055" t="s">
        <v>685</v>
      </c>
      <c r="S9055" t="s">
        <v>7000</v>
      </c>
      <c r="T9055" t="s">
        <v>301</v>
      </c>
    </row>
    <row r="9056" spans="1:20" x14ac:dyDescent="0.25">
      <c r="A9056">
        <v>9</v>
      </c>
      <c r="B9056">
        <v>461</v>
      </c>
      <c r="C9056" t="str">
        <f t="shared" si="2053"/>
        <v>36</v>
      </c>
      <c r="D9056">
        <v>6399</v>
      </c>
      <c r="E9056" t="str">
        <f>"PR"</f>
        <v>PR</v>
      </c>
      <c r="F9056" t="str">
        <f>"104"</f>
        <v>104</v>
      </c>
      <c r="G9056">
        <v>9</v>
      </c>
      <c r="H9056" t="str">
        <f t="shared" ref="H9056:H9070" si="2058">"99"</f>
        <v>99</v>
      </c>
      <c r="I9056" t="str">
        <f t="shared" si="2048"/>
        <v>0</v>
      </c>
      <c r="J9056" t="str">
        <f t="shared" si="2052"/>
        <v>00</v>
      </c>
      <c r="K9056">
        <v>20181102</v>
      </c>
      <c r="L9056" t="str">
        <f>"074487"</f>
        <v>074487</v>
      </c>
      <c r="M9056" t="str">
        <f>"40781"</f>
        <v>40781</v>
      </c>
      <c r="N9056" t="s">
        <v>1738</v>
      </c>
      <c r="O9056">
        <v>128.57</v>
      </c>
      <c r="P9056">
        <v>20181031</v>
      </c>
      <c r="Q9056" t="s">
        <v>7014</v>
      </c>
      <c r="R9056" t="s">
        <v>7158</v>
      </c>
      <c r="S9056" t="s">
        <v>7000</v>
      </c>
      <c r="T9056" t="s">
        <v>46</v>
      </c>
    </row>
    <row r="9057" spans="1:20" x14ac:dyDescent="0.25">
      <c r="A9057">
        <v>9</v>
      </c>
      <c r="B9057">
        <v>461</v>
      </c>
      <c r="C9057" t="str">
        <f t="shared" si="2053"/>
        <v>36</v>
      </c>
      <c r="D9057">
        <v>6399</v>
      </c>
      <c r="E9057" t="str">
        <f>"61"</f>
        <v>61</v>
      </c>
      <c r="F9057" t="str">
        <f>"001"</f>
        <v>001</v>
      </c>
      <c r="G9057">
        <v>9</v>
      </c>
      <c r="H9057" t="str">
        <f t="shared" si="2058"/>
        <v>99</v>
      </c>
      <c r="I9057" t="str">
        <f t="shared" si="2048"/>
        <v>0</v>
      </c>
      <c r="J9057" t="str">
        <f t="shared" si="2052"/>
        <v>00</v>
      </c>
      <c r="K9057">
        <v>20181102</v>
      </c>
      <c r="L9057" t="str">
        <f>"074504"</f>
        <v>074504</v>
      </c>
      <c r="M9057" t="str">
        <f>"58204"</f>
        <v>58204</v>
      </c>
      <c r="N9057" t="s">
        <v>1767</v>
      </c>
      <c r="O9057">
        <v>26.91</v>
      </c>
      <c r="P9057">
        <v>20181031</v>
      </c>
      <c r="Q9057" t="s">
        <v>7095</v>
      </c>
      <c r="R9057" t="s">
        <v>7159</v>
      </c>
      <c r="S9057" t="s">
        <v>7000</v>
      </c>
      <c r="T9057" t="s">
        <v>301</v>
      </c>
    </row>
    <row r="9058" spans="1:20" x14ac:dyDescent="0.25">
      <c r="A9058">
        <v>9</v>
      </c>
      <c r="B9058">
        <v>461</v>
      </c>
      <c r="C9058" t="str">
        <f t="shared" si="2053"/>
        <v>36</v>
      </c>
      <c r="D9058">
        <v>6399</v>
      </c>
      <c r="E9058" t="str">
        <f>"61"</f>
        <v>61</v>
      </c>
      <c r="F9058" t="str">
        <f>"001"</f>
        <v>001</v>
      </c>
      <c r="G9058">
        <v>9</v>
      </c>
      <c r="H9058" t="str">
        <f t="shared" si="2058"/>
        <v>99</v>
      </c>
      <c r="I9058" t="str">
        <f t="shared" si="2048"/>
        <v>0</v>
      </c>
      <c r="J9058" t="str">
        <f t="shared" si="2052"/>
        <v>00</v>
      </c>
      <c r="K9058">
        <v>20181102</v>
      </c>
      <c r="L9058" t="str">
        <f>"074504"</f>
        <v>074504</v>
      </c>
      <c r="M9058" t="str">
        <f>"58204"</f>
        <v>58204</v>
      </c>
      <c r="N9058" t="s">
        <v>1767</v>
      </c>
      <c r="O9058">
        <v>292.95</v>
      </c>
      <c r="P9058">
        <v>20181031</v>
      </c>
      <c r="Q9058" t="s">
        <v>7095</v>
      </c>
      <c r="R9058" t="s">
        <v>1771</v>
      </c>
      <c r="S9058" t="s">
        <v>7000</v>
      </c>
      <c r="T9058" t="s">
        <v>301</v>
      </c>
    </row>
    <row r="9059" spans="1:20" x14ac:dyDescent="0.25">
      <c r="A9059">
        <v>9</v>
      </c>
      <c r="B9059">
        <v>461</v>
      </c>
      <c r="C9059" t="str">
        <f t="shared" si="2053"/>
        <v>36</v>
      </c>
      <c r="D9059">
        <v>6299</v>
      </c>
      <c r="E9059" t="str">
        <f>"00"</f>
        <v>00</v>
      </c>
      <c r="F9059" t="str">
        <f>"802"</f>
        <v>802</v>
      </c>
      <c r="G9059">
        <v>9</v>
      </c>
      <c r="H9059" t="str">
        <f t="shared" si="2058"/>
        <v>99</v>
      </c>
      <c r="I9059" t="str">
        <f t="shared" si="2048"/>
        <v>0</v>
      </c>
      <c r="J9059" t="str">
        <f t="shared" si="2052"/>
        <v>00</v>
      </c>
      <c r="K9059">
        <v>20181102</v>
      </c>
      <c r="L9059" t="str">
        <f>"074511"</f>
        <v>074511</v>
      </c>
      <c r="M9059" t="str">
        <f>"00574"</f>
        <v>00574</v>
      </c>
      <c r="N9059" t="s">
        <v>7113</v>
      </c>
      <c r="O9059">
        <v>200</v>
      </c>
      <c r="P9059">
        <v>20181031</v>
      </c>
      <c r="Q9059" t="s">
        <v>7099</v>
      </c>
      <c r="R9059" t="s">
        <v>7148</v>
      </c>
      <c r="S9059" t="s">
        <v>7000</v>
      </c>
      <c r="T9059" t="s">
        <v>7023</v>
      </c>
    </row>
    <row r="9060" spans="1:20" x14ac:dyDescent="0.25">
      <c r="A9060">
        <v>9</v>
      </c>
      <c r="B9060">
        <v>461</v>
      </c>
      <c r="C9060" t="str">
        <f t="shared" si="2053"/>
        <v>36</v>
      </c>
      <c r="D9060">
        <v>6499</v>
      </c>
      <c r="E9060" t="str">
        <f>"8M"</f>
        <v>8M</v>
      </c>
      <c r="F9060" t="str">
        <f>"001"</f>
        <v>001</v>
      </c>
      <c r="G9060">
        <v>9</v>
      </c>
      <c r="H9060" t="str">
        <f t="shared" si="2058"/>
        <v>99</v>
      </c>
      <c r="I9060" t="str">
        <f t="shared" si="2048"/>
        <v>0</v>
      </c>
      <c r="J9060" t="str">
        <f t="shared" si="2052"/>
        <v>00</v>
      </c>
      <c r="K9060">
        <v>20181102</v>
      </c>
      <c r="L9060" t="str">
        <f>"074512"</f>
        <v>074512</v>
      </c>
      <c r="M9060" t="str">
        <f>"64004"</f>
        <v>64004</v>
      </c>
      <c r="N9060" t="s">
        <v>488</v>
      </c>
      <c r="O9060" s="1">
        <v>1250</v>
      </c>
      <c r="P9060">
        <v>20181031</v>
      </c>
      <c r="Q9060" t="s">
        <v>7075</v>
      </c>
      <c r="R9060" t="s">
        <v>7076</v>
      </c>
      <c r="S9060" t="s">
        <v>7000</v>
      </c>
      <c r="T9060" t="s">
        <v>301</v>
      </c>
    </row>
    <row r="9061" spans="1:20" x14ac:dyDescent="0.25">
      <c r="A9061">
        <v>9</v>
      </c>
      <c r="B9061">
        <v>461</v>
      </c>
      <c r="C9061" t="str">
        <f t="shared" si="2053"/>
        <v>36</v>
      </c>
      <c r="D9061">
        <v>6495</v>
      </c>
      <c r="E9061" t="str">
        <f>"76"</f>
        <v>76</v>
      </c>
      <c r="F9061" t="str">
        <f>"001"</f>
        <v>001</v>
      </c>
      <c r="G9061">
        <v>9</v>
      </c>
      <c r="H9061" t="str">
        <f t="shared" si="2058"/>
        <v>99</v>
      </c>
      <c r="I9061" t="str">
        <f t="shared" si="2048"/>
        <v>0</v>
      </c>
      <c r="J9061" t="str">
        <f t="shared" si="2052"/>
        <v>00</v>
      </c>
      <c r="K9061">
        <v>20181102</v>
      </c>
      <c r="L9061" t="str">
        <f>"074517"</f>
        <v>074517</v>
      </c>
      <c r="M9061" t="str">
        <f>"78441"</f>
        <v>78441</v>
      </c>
      <c r="N9061" t="s">
        <v>2909</v>
      </c>
      <c r="O9061">
        <v>81</v>
      </c>
      <c r="P9061">
        <v>20181031</v>
      </c>
      <c r="Q9061" t="s">
        <v>7160</v>
      </c>
      <c r="R9061" t="s">
        <v>7161</v>
      </c>
      <c r="S9061" t="s">
        <v>7000</v>
      </c>
      <c r="T9061" t="s">
        <v>301</v>
      </c>
    </row>
    <row r="9062" spans="1:20" x14ac:dyDescent="0.25">
      <c r="A9062">
        <v>9</v>
      </c>
      <c r="B9062">
        <v>461</v>
      </c>
      <c r="C9062" t="str">
        <f t="shared" si="2053"/>
        <v>36</v>
      </c>
      <c r="D9062">
        <v>6495</v>
      </c>
      <c r="E9062" t="str">
        <f>"76"</f>
        <v>76</v>
      </c>
      <c r="F9062" t="str">
        <f>"001"</f>
        <v>001</v>
      </c>
      <c r="G9062">
        <v>9</v>
      </c>
      <c r="H9062" t="str">
        <f t="shared" si="2058"/>
        <v>99</v>
      </c>
      <c r="I9062" t="str">
        <f t="shared" si="2048"/>
        <v>0</v>
      </c>
      <c r="J9062" t="str">
        <f t="shared" si="2052"/>
        <v>00</v>
      </c>
      <c r="K9062">
        <v>20190129</v>
      </c>
      <c r="L9062" t="str">
        <f>"074517"</f>
        <v>074517</v>
      </c>
      <c r="M9062" t="str">
        <f>"78441"</f>
        <v>78441</v>
      </c>
      <c r="N9062" t="s">
        <v>2909</v>
      </c>
      <c r="O9062">
        <v>-81</v>
      </c>
      <c r="P9062">
        <v>20190129</v>
      </c>
      <c r="Q9062" t="s">
        <v>7160</v>
      </c>
      <c r="R9062" t="s">
        <v>7162</v>
      </c>
      <c r="S9062" t="s">
        <v>7000</v>
      </c>
      <c r="T9062" t="s">
        <v>301</v>
      </c>
    </row>
    <row r="9063" spans="1:20" x14ac:dyDescent="0.25">
      <c r="A9063">
        <v>9</v>
      </c>
      <c r="B9063">
        <v>461</v>
      </c>
      <c r="C9063" t="str">
        <f t="shared" si="2053"/>
        <v>36</v>
      </c>
      <c r="D9063">
        <v>6399</v>
      </c>
      <c r="E9063" t="str">
        <f>"7K"</f>
        <v>7K</v>
      </c>
      <c r="F9063" t="str">
        <f>"001"</f>
        <v>001</v>
      </c>
      <c r="G9063">
        <v>9</v>
      </c>
      <c r="H9063" t="str">
        <f t="shared" si="2058"/>
        <v>99</v>
      </c>
      <c r="I9063" t="str">
        <f t="shared" si="2048"/>
        <v>0</v>
      </c>
      <c r="J9063" t="str">
        <f t="shared" si="2052"/>
        <v>00</v>
      </c>
      <c r="K9063">
        <v>20181102</v>
      </c>
      <c r="L9063" t="str">
        <f>"074521"</f>
        <v>074521</v>
      </c>
      <c r="M9063" t="str">
        <f>"81303"</f>
        <v>81303</v>
      </c>
      <c r="N9063" t="s">
        <v>66</v>
      </c>
      <c r="O9063">
        <v>455</v>
      </c>
      <c r="P9063">
        <v>20181031</v>
      </c>
      <c r="Q9063" t="s">
        <v>7056</v>
      </c>
      <c r="R9063" t="s">
        <v>7163</v>
      </c>
      <c r="S9063" t="s">
        <v>7000</v>
      </c>
      <c r="T9063" t="s">
        <v>301</v>
      </c>
    </row>
    <row r="9064" spans="1:20" x14ac:dyDescent="0.25">
      <c r="A9064">
        <v>9</v>
      </c>
      <c r="B9064">
        <v>461</v>
      </c>
      <c r="C9064" t="str">
        <f t="shared" si="2053"/>
        <v>36</v>
      </c>
      <c r="D9064">
        <v>6399</v>
      </c>
      <c r="E9064" t="str">
        <f>"AB"</f>
        <v>AB</v>
      </c>
      <c r="F9064" t="str">
        <f>"001"</f>
        <v>001</v>
      </c>
      <c r="G9064">
        <v>9</v>
      </c>
      <c r="H9064" t="str">
        <f t="shared" si="2058"/>
        <v>99</v>
      </c>
      <c r="I9064" t="str">
        <f t="shared" si="2048"/>
        <v>0</v>
      </c>
      <c r="J9064" t="str">
        <f t="shared" si="2052"/>
        <v>00</v>
      </c>
      <c r="K9064">
        <v>20181102</v>
      </c>
      <c r="L9064" t="str">
        <f>"074521"</f>
        <v>074521</v>
      </c>
      <c r="M9064" t="str">
        <f>"81303"</f>
        <v>81303</v>
      </c>
      <c r="N9064" t="s">
        <v>66</v>
      </c>
      <c r="O9064">
        <v>11</v>
      </c>
      <c r="P9064">
        <v>20181031</v>
      </c>
      <c r="Q9064" t="s">
        <v>7164</v>
      </c>
      <c r="R9064" t="s">
        <v>7165</v>
      </c>
      <c r="S9064" t="s">
        <v>7000</v>
      </c>
      <c r="T9064" t="s">
        <v>301</v>
      </c>
    </row>
    <row r="9065" spans="1:20" x14ac:dyDescent="0.25">
      <c r="A9065">
        <v>9</v>
      </c>
      <c r="B9065">
        <v>461</v>
      </c>
      <c r="C9065" t="str">
        <f t="shared" si="2053"/>
        <v>36</v>
      </c>
      <c r="D9065">
        <v>6399</v>
      </c>
      <c r="E9065" t="str">
        <f>"61"</f>
        <v>61</v>
      </c>
      <c r="F9065" t="str">
        <f t="shared" ref="F9065:F9070" si="2059">"041"</f>
        <v>041</v>
      </c>
      <c r="G9065">
        <v>9</v>
      </c>
      <c r="H9065" t="str">
        <f t="shared" si="2058"/>
        <v>99</v>
      </c>
      <c r="I9065" t="str">
        <f t="shared" si="2048"/>
        <v>0</v>
      </c>
      <c r="J9065" t="str">
        <f t="shared" si="2052"/>
        <v>00</v>
      </c>
      <c r="K9065">
        <v>20181102</v>
      </c>
      <c r="L9065" t="str">
        <f t="shared" ref="L9065:L9070" si="2060">"074523"</f>
        <v>074523</v>
      </c>
      <c r="M9065" t="str">
        <f t="shared" ref="M9065:M9070" si="2061">"83022"</f>
        <v>83022</v>
      </c>
      <c r="N9065" t="s">
        <v>691</v>
      </c>
      <c r="O9065">
        <v>29.9</v>
      </c>
      <c r="P9065">
        <v>20181101</v>
      </c>
      <c r="Q9065" t="s">
        <v>7131</v>
      </c>
      <c r="R9065" t="s">
        <v>7166</v>
      </c>
      <c r="S9065" t="s">
        <v>7000</v>
      </c>
      <c r="T9065" t="s">
        <v>106</v>
      </c>
    </row>
    <row r="9066" spans="1:20" x14ac:dyDescent="0.25">
      <c r="A9066">
        <v>9</v>
      </c>
      <c r="B9066">
        <v>461</v>
      </c>
      <c r="C9066" t="str">
        <f t="shared" si="2053"/>
        <v>36</v>
      </c>
      <c r="D9066">
        <v>6399</v>
      </c>
      <c r="E9066" t="str">
        <f>"74"</f>
        <v>74</v>
      </c>
      <c r="F9066" t="str">
        <f t="shared" si="2059"/>
        <v>041</v>
      </c>
      <c r="G9066">
        <v>9</v>
      </c>
      <c r="H9066" t="str">
        <f t="shared" si="2058"/>
        <v>99</v>
      </c>
      <c r="I9066" t="str">
        <f t="shared" si="2048"/>
        <v>0</v>
      </c>
      <c r="J9066" t="str">
        <f t="shared" si="2052"/>
        <v>00</v>
      </c>
      <c r="K9066">
        <v>20181102</v>
      </c>
      <c r="L9066" t="str">
        <f t="shared" si="2060"/>
        <v>074523</v>
      </c>
      <c r="M9066" t="str">
        <f t="shared" si="2061"/>
        <v>83022</v>
      </c>
      <c r="N9066" t="s">
        <v>691</v>
      </c>
      <c r="O9066">
        <v>3.36</v>
      </c>
      <c r="P9066">
        <v>20181101</v>
      </c>
      <c r="Q9066" t="s">
        <v>7167</v>
      </c>
      <c r="R9066" t="s">
        <v>7168</v>
      </c>
      <c r="S9066" t="s">
        <v>7000</v>
      </c>
      <c r="T9066" t="s">
        <v>106</v>
      </c>
    </row>
    <row r="9067" spans="1:20" x14ac:dyDescent="0.25">
      <c r="A9067">
        <v>9</v>
      </c>
      <c r="B9067">
        <v>461</v>
      </c>
      <c r="C9067" t="str">
        <f t="shared" si="2053"/>
        <v>36</v>
      </c>
      <c r="D9067">
        <v>6399</v>
      </c>
      <c r="E9067" t="str">
        <f>"74"</f>
        <v>74</v>
      </c>
      <c r="F9067" t="str">
        <f t="shared" si="2059"/>
        <v>041</v>
      </c>
      <c r="G9067">
        <v>9</v>
      </c>
      <c r="H9067" t="str">
        <f t="shared" si="2058"/>
        <v>99</v>
      </c>
      <c r="I9067" t="str">
        <f t="shared" si="2048"/>
        <v>0</v>
      </c>
      <c r="J9067" t="str">
        <f t="shared" si="2052"/>
        <v>00</v>
      </c>
      <c r="K9067">
        <v>20181102</v>
      </c>
      <c r="L9067" t="str">
        <f t="shared" si="2060"/>
        <v>074523</v>
      </c>
      <c r="M9067" t="str">
        <f t="shared" si="2061"/>
        <v>83022</v>
      </c>
      <c r="N9067" t="s">
        <v>691</v>
      </c>
      <c r="O9067">
        <v>270.56</v>
      </c>
      <c r="P9067">
        <v>20181101</v>
      </c>
      <c r="Q9067" t="s">
        <v>7167</v>
      </c>
      <c r="R9067" t="s">
        <v>7168</v>
      </c>
      <c r="S9067" t="s">
        <v>7000</v>
      </c>
      <c r="T9067" t="s">
        <v>106</v>
      </c>
    </row>
    <row r="9068" spans="1:20" x14ac:dyDescent="0.25">
      <c r="A9068">
        <v>9</v>
      </c>
      <c r="B9068">
        <v>461</v>
      </c>
      <c r="C9068" t="str">
        <f t="shared" si="2053"/>
        <v>36</v>
      </c>
      <c r="D9068">
        <v>6399</v>
      </c>
      <c r="E9068" t="str">
        <f>"74"</f>
        <v>74</v>
      </c>
      <c r="F9068" t="str">
        <f t="shared" si="2059"/>
        <v>041</v>
      </c>
      <c r="G9068">
        <v>9</v>
      </c>
      <c r="H9068" t="str">
        <f t="shared" si="2058"/>
        <v>99</v>
      </c>
      <c r="I9068" t="str">
        <f t="shared" si="2048"/>
        <v>0</v>
      </c>
      <c r="J9068" t="str">
        <f t="shared" si="2052"/>
        <v>00</v>
      </c>
      <c r="K9068">
        <v>20181102</v>
      </c>
      <c r="L9068" t="str">
        <f t="shared" si="2060"/>
        <v>074523</v>
      </c>
      <c r="M9068" t="str">
        <f t="shared" si="2061"/>
        <v>83022</v>
      </c>
      <c r="N9068" t="s">
        <v>691</v>
      </c>
      <c r="O9068">
        <v>106.92</v>
      </c>
      <c r="P9068">
        <v>20181101</v>
      </c>
      <c r="Q9068" t="s">
        <v>7167</v>
      </c>
      <c r="R9068" t="s">
        <v>7169</v>
      </c>
      <c r="S9068" t="s">
        <v>7000</v>
      </c>
      <c r="T9068" t="s">
        <v>106</v>
      </c>
    </row>
    <row r="9069" spans="1:20" x14ac:dyDescent="0.25">
      <c r="A9069">
        <v>9</v>
      </c>
      <c r="B9069">
        <v>461</v>
      </c>
      <c r="C9069" t="str">
        <f t="shared" si="2053"/>
        <v>36</v>
      </c>
      <c r="D9069">
        <v>6399</v>
      </c>
      <c r="E9069" t="str">
        <f>"74"</f>
        <v>74</v>
      </c>
      <c r="F9069" t="str">
        <f t="shared" si="2059"/>
        <v>041</v>
      </c>
      <c r="G9069">
        <v>9</v>
      </c>
      <c r="H9069" t="str">
        <f t="shared" si="2058"/>
        <v>99</v>
      </c>
      <c r="I9069" t="str">
        <f t="shared" si="2048"/>
        <v>0</v>
      </c>
      <c r="J9069" t="str">
        <f t="shared" si="2052"/>
        <v>00</v>
      </c>
      <c r="K9069">
        <v>20181102</v>
      </c>
      <c r="L9069" t="str">
        <f t="shared" si="2060"/>
        <v>074523</v>
      </c>
      <c r="M9069" t="str">
        <f t="shared" si="2061"/>
        <v>83022</v>
      </c>
      <c r="N9069" t="s">
        <v>691</v>
      </c>
      <c r="O9069">
        <v>51.92</v>
      </c>
      <c r="P9069">
        <v>20181101</v>
      </c>
      <c r="Q9069" t="s">
        <v>7167</v>
      </c>
      <c r="R9069" t="s">
        <v>7169</v>
      </c>
      <c r="S9069" t="s">
        <v>7000</v>
      </c>
      <c r="T9069" t="s">
        <v>106</v>
      </c>
    </row>
    <row r="9070" spans="1:20" x14ac:dyDescent="0.25">
      <c r="A9070">
        <v>9</v>
      </c>
      <c r="B9070">
        <v>461</v>
      </c>
      <c r="C9070" t="str">
        <f t="shared" si="2053"/>
        <v>36</v>
      </c>
      <c r="D9070">
        <v>6399</v>
      </c>
      <c r="E9070" t="str">
        <f>"74"</f>
        <v>74</v>
      </c>
      <c r="F9070" t="str">
        <f t="shared" si="2059"/>
        <v>041</v>
      </c>
      <c r="G9070">
        <v>9</v>
      </c>
      <c r="H9070" t="str">
        <f t="shared" si="2058"/>
        <v>99</v>
      </c>
      <c r="I9070" t="str">
        <f t="shared" si="2048"/>
        <v>0</v>
      </c>
      <c r="J9070" t="str">
        <f t="shared" ref="J9070:J9101" si="2062">"00"</f>
        <v>00</v>
      </c>
      <c r="K9070">
        <v>20181102</v>
      </c>
      <c r="L9070" t="str">
        <f t="shared" si="2060"/>
        <v>074523</v>
      </c>
      <c r="M9070" t="str">
        <f t="shared" si="2061"/>
        <v>83022</v>
      </c>
      <c r="N9070" t="s">
        <v>691</v>
      </c>
      <c r="O9070">
        <v>-38.94</v>
      </c>
      <c r="P9070">
        <v>20181009</v>
      </c>
      <c r="Q9070" t="s">
        <v>7167</v>
      </c>
      <c r="R9070" t="s">
        <v>4059</v>
      </c>
      <c r="S9070" t="s">
        <v>7000</v>
      </c>
      <c r="T9070" t="s">
        <v>106</v>
      </c>
    </row>
    <row r="9071" spans="1:20" x14ac:dyDescent="0.25">
      <c r="A9071">
        <v>9</v>
      </c>
      <c r="B9071">
        <v>461</v>
      </c>
      <c r="C9071" t="str">
        <f t="shared" si="2053"/>
        <v>36</v>
      </c>
      <c r="D9071">
        <v>6495</v>
      </c>
      <c r="E9071" t="str">
        <f>"3D"</f>
        <v>3D</v>
      </c>
      <c r="F9071" t="str">
        <f>"001"</f>
        <v>001</v>
      </c>
      <c r="G9071">
        <v>9</v>
      </c>
      <c r="H9071" t="str">
        <f>"91"</f>
        <v>91</v>
      </c>
      <c r="I9071" t="str">
        <f t="shared" si="2048"/>
        <v>0</v>
      </c>
      <c r="J9071" t="str">
        <f t="shared" si="2062"/>
        <v>00</v>
      </c>
      <c r="K9071">
        <v>20181102</v>
      </c>
      <c r="L9071" t="str">
        <f>"074524"</f>
        <v>074524</v>
      </c>
      <c r="M9071" t="str">
        <f>"83461"</f>
        <v>83461</v>
      </c>
      <c r="N9071" t="s">
        <v>7170</v>
      </c>
      <c r="O9071">
        <v>300</v>
      </c>
      <c r="P9071">
        <v>20181101</v>
      </c>
      <c r="Q9071" t="s">
        <v>7171</v>
      </c>
      <c r="R9071" t="s">
        <v>685</v>
      </c>
      <c r="S9071" t="s">
        <v>7000</v>
      </c>
      <c r="T9071" t="s">
        <v>301</v>
      </c>
    </row>
    <row r="9072" spans="1:20" x14ac:dyDescent="0.25">
      <c r="A9072">
        <v>9</v>
      </c>
      <c r="B9072">
        <v>461</v>
      </c>
      <c r="C9072" t="str">
        <f t="shared" si="2053"/>
        <v>36</v>
      </c>
      <c r="D9072">
        <v>6399</v>
      </c>
      <c r="E9072" t="str">
        <f>"50"</f>
        <v>50</v>
      </c>
      <c r="F9072" t="str">
        <f>"104"</f>
        <v>104</v>
      </c>
      <c r="G9072">
        <v>9</v>
      </c>
      <c r="H9072" t="str">
        <f>"99"</f>
        <v>99</v>
      </c>
      <c r="I9072" t="str">
        <f t="shared" si="2048"/>
        <v>0</v>
      </c>
      <c r="J9072" t="str">
        <f t="shared" si="2062"/>
        <v>00</v>
      </c>
      <c r="K9072">
        <v>20181109</v>
      </c>
      <c r="L9072" t="str">
        <f>"074534"</f>
        <v>074534</v>
      </c>
      <c r="M9072" t="str">
        <f>"01523"</f>
        <v>01523</v>
      </c>
      <c r="N9072" t="s">
        <v>7172</v>
      </c>
      <c r="O9072">
        <v>210</v>
      </c>
      <c r="P9072">
        <v>20181107</v>
      </c>
      <c r="Q9072" t="s">
        <v>7173</v>
      </c>
      <c r="R9072" t="s">
        <v>7174</v>
      </c>
      <c r="S9072" t="s">
        <v>7000</v>
      </c>
      <c r="T9072" t="s">
        <v>46</v>
      </c>
    </row>
    <row r="9073" spans="1:20" x14ac:dyDescent="0.25">
      <c r="A9073">
        <v>9</v>
      </c>
      <c r="B9073">
        <v>461</v>
      </c>
      <c r="C9073" t="str">
        <f t="shared" si="2053"/>
        <v>36</v>
      </c>
      <c r="D9073">
        <v>6399</v>
      </c>
      <c r="E9073" t="str">
        <f>"3A"</f>
        <v>3A</v>
      </c>
      <c r="F9073" t="str">
        <f>"001"</f>
        <v>001</v>
      </c>
      <c r="G9073">
        <v>9</v>
      </c>
      <c r="H9073" t="str">
        <f>"91"</f>
        <v>91</v>
      </c>
      <c r="I9073" t="str">
        <f t="shared" si="2048"/>
        <v>0</v>
      </c>
      <c r="J9073" t="str">
        <f t="shared" si="2062"/>
        <v>00</v>
      </c>
      <c r="K9073">
        <v>20181109</v>
      </c>
      <c r="L9073" t="str">
        <f>"074537"</f>
        <v>074537</v>
      </c>
      <c r="M9073" t="str">
        <f>"10020"</f>
        <v>10020</v>
      </c>
      <c r="N9073" t="s">
        <v>594</v>
      </c>
      <c r="O9073" s="1">
        <v>1201.5</v>
      </c>
      <c r="P9073">
        <v>20181107</v>
      </c>
      <c r="Q9073" t="s">
        <v>7175</v>
      </c>
      <c r="R9073" t="s">
        <v>7176</v>
      </c>
      <c r="S9073" t="s">
        <v>7000</v>
      </c>
      <c r="T9073" t="s">
        <v>301</v>
      </c>
    </row>
    <row r="9074" spans="1:20" x14ac:dyDescent="0.25">
      <c r="A9074">
        <v>9</v>
      </c>
      <c r="B9074">
        <v>461</v>
      </c>
      <c r="C9074" t="str">
        <f t="shared" si="2053"/>
        <v>36</v>
      </c>
      <c r="D9074">
        <v>6399</v>
      </c>
      <c r="E9074" t="str">
        <f>"74"</f>
        <v>74</v>
      </c>
      <c r="F9074" t="str">
        <f>"041"</f>
        <v>041</v>
      </c>
      <c r="G9074">
        <v>9</v>
      </c>
      <c r="H9074" t="str">
        <f>"99"</f>
        <v>99</v>
      </c>
      <c r="I9074" t="str">
        <f t="shared" si="2048"/>
        <v>0</v>
      </c>
      <c r="J9074" t="str">
        <f t="shared" si="2062"/>
        <v>00</v>
      </c>
      <c r="K9074">
        <v>20181109</v>
      </c>
      <c r="L9074" t="str">
        <f>"074539"</f>
        <v>074539</v>
      </c>
      <c r="M9074" t="str">
        <f>"00420"</f>
        <v>00420</v>
      </c>
      <c r="N9074" t="s">
        <v>7020</v>
      </c>
      <c r="O9074">
        <v>378.33</v>
      </c>
      <c r="P9074">
        <v>20181107</v>
      </c>
      <c r="Q9074" t="s">
        <v>7167</v>
      </c>
      <c r="R9074" t="s">
        <v>7177</v>
      </c>
      <c r="S9074" t="s">
        <v>7000</v>
      </c>
      <c r="T9074" t="s">
        <v>106</v>
      </c>
    </row>
    <row r="9075" spans="1:20" x14ac:dyDescent="0.25">
      <c r="A9075">
        <v>9</v>
      </c>
      <c r="B9075">
        <v>461</v>
      </c>
      <c r="C9075" t="str">
        <f t="shared" si="2053"/>
        <v>36</v>
      </c>
      <c r="D9075">
        <v>6412</v>
      </c>
      <c r="E9075" t="str">
        <f>"3B"</f>
        <v>3B</v>
      </c>
      <c r="F9075" t="str">
        <f>"001"</f>
        <v>001</v>
      </c>
      <c r="G9075">
        <v>9</v>
      </c>
      <c r="H9075" t="str">
        <f>"91"</f>
        <v>91</v>
      </c>
      <c r="I9075" t="str">
        <f t="shared" si="2048"/>
        <v>0</v>
      </c>
      <c r="J9075" t="str">
        <f t="shared" si="2062"/>
        <v>00</v>
      </c>
      <c r="K9075">
        <v>20181109</v>
      </c>
      <c r="L9075" t="str">
        <f>"074542"</f>
        <v>074542</v>
      </c>
      <c r="M9075" t="str">
        <f>"13855"</f>
        <v>13855</v>
      </c>
      <c r="N9075" t="s">
        <v>708</v>
      </c>
      <c r="O9075">
        <v>756</v>
      </c>
      <c r="P9075">
        <v>20181108</v>
      </c>
      <c r="Q9075" t="s">
        <v>7178</v>
      </c>
      <c r="R9075" t="s">
        <v>7179</v>
      </c>
      <c r="S9075" t="s">
        <v>7000</v>
      </c>
      <c r="T9075" t="s">
        <v>301</v>
      </c>
    </row>
    <row r="9076" spans="1:20" x14ac:dyDescent="0.25">
      <c r="A9076">
        <v>9</v>
      </c>
      <c r="B9076">
        <v>461</v>
      </c>
      <c r="C9076" t="str">
        <f t="shared" si="2053"/>
        <v>36</v>
      </c>
      <c r="D9076">
        <v>6412</v>
      </c>
      <c r="E9076" t="str">
        <f>"3B"</f>
        <v>3B</v>
      </c>
      <c r="F9076" t="str">
        <f>"001"</f>
        <v>001</v>
      </c>
      <c r="G9076">
        <v>9</v>
      </c>
      <c r="H9076" t="str">
        <f>"91"</f>
        <v>91</v>
      </c>
      <c r="I9076" t="str">
        <f t="shared" si="2048"/>
        <v>0</v>
      </c>
      <c r="J9076" t="str">
        <f t="shared" si="2062"/>
        <v>00</v>
      </c>
      <c r="K9076">
        <v>20181109</v>
      </c>
      <c r="L9076" t="str">
        <f>"074542"</f>
        <v>074542</v>
      </c>
      <c r="M9076" t="str">
        <f>"13855"</f>
        <v>13855</v>
      </c>
      <c r="N9076" t="s">
        <v>708</v>
      </c>
      <c r="O9076">
        <v>225</v>
      </c>
      <c r="P9076">
        <v>20181108</v>
      </c>
      <c r="Q9076" t="s">
        <v>7178</v>
      </c>
      <c r="R9076" t="s">
        <v>7179</v>
      </c>
      <c r="S9076" t="s">
        <v>7000</v>
      </c>
      <c r="T9076" t="s">
        <v>301</v>
      </c>
    </row>
    <row r="9077" spans="1:20" x14ac:dyDescent="0.25">
      <c r="A9077">
        <v>9</v>
      </c>
      <c r="B9077">
        <v>461</v>
      </c>
      <c r="C9077" t="str">
        <f t="shared" si="2053"/>
        <v>36</v>
      </c>
      <c r="D9077">
        <v>6299</v>
      </c>
      <c r="E9077" t="str">
        <f>"00"</f>
        <v>00</v>
      </c>
      <c r="F9077" t="str">
        <f>"802"</f>
        <v>802</v>
      </c>
      <c r="G9077">
        <v>9</v>
      </c>
      <c r="H9077" t="str">
        <f>"99"</f>
        <v>99</v>
      </c>
      <c r="I9077" t="str">
        <f t="shared" si="2048"/>
        <v>0</v>
      </c>
      <c r="J9077" t="str">
        <f t="shared" si="2062"/>
        <v>00</v>
      </c>
      <c r="K9077">
        <v>20181109</v>
      </c>
      <c r="L9077" t="str">
        <f>"074547"</f>
        <v>074547</v>
      </c>
      <c r="M9077" t="str">
        <f>"00571"</f>
        <v>00571</v>
      </c>
      <c r="N9077" t="s">
        <v>7098</v>
      </c>
      <c r="O9077">
        <v>40</v>
      </c>
      <c r="P9077">
        <v>20181107</v>
      </c>
      <c r="Q9077" t="s">
        <v>7099</v>
      </c>
      <c r="R9077" t="s">
        <v>7180</v>
      </c>
      <c r="S9077" t="s">
        <v>7000</v>
      </c>
      <c r="T9077" t="s">
        <v>7023</v>
      </c>
    </row>
    <row r="9078" spans="1:20" x14ac:dyDescent="0.25">
      <c r="A9078">
        <v>9</v>
      </c>
      <c r="B9078">
        <v>461</v>
      </c>
      <c r="C9078" t="str">
        <f t="shared" si="2053"/>
        <v>36</v>
      </c>
      <c r="D9078">
        <v>6412</v>
      </c>
      <c r="E9078" t="str">
        <f>"3B"</f>
        <v>3B</v>
      </c>
      <c r="F9078" t="str">
        <f>"001"</f>
        <v>001</v>
      </c>
      <c r="G9078">
        <v>9</v>
      </c>
      <c r="H9078" t="str">
        <f>"91"</f>
        <v>91</v>
      </c>
      <c r="I9078" t="str">
        <f t="shared" si="2048"/>
        <v>0</v>
      </c>
      <c r="J9078" t="str">
        <f t="shared" si="2062"/>
        <v>00</v>
      </c>
      <c r="K9078">
        <v>20181109</v>
      </c>
      <c r="L9078" t="str">
        <f>"074560"</f>
        <v>074560</v>
      </c>
      <c r="M9078" t="str">
        <f>"21059"</f>
        <v>21059</v>
      </c>
      <c r="N9078" t="s">
        <v>7181</v>
      </c>
      <c r="O9078">
        <v>200</v>
      </c>
      <c r="P9078">
        <v>20181108</v>
      </c>
      <c r="Q9078" t="s">
        <v>7178</v>
      </c>
      <c r="R9078" t="s">
        <v>7179</v>
      </c>
      <c r="S9078" t="s">
        <v>7000</v>
      </c>
      <c r="T9078" t="s">
        <v>301</v>
      </c>
    </row>
    <row r="9079" spans="1:20" x14ac:dyDescent="0.25">
      <c r="A9079">
        <v>9</v>
      </c>
      <c r="B9079">
        <v>461</v>
      </c>
      <c r="C9079" t="str">
        <f t="shared" si="2053"/>
        <v>36</v>
      </c>
      <c r="D9079">
        <v>6412</v>
      </c>
      <c r="E9079" t="str">
        <f>"7K"</f>
        <v>7K</v>
      </c>
      <c r="F9079" t="str">
        <f>"001"</f>
        <v>001</v>
      </c>
      <c r="G9079">
        <v>9</v>
      </c>
      <c r="H9079" t="str">
        <f>"99"</f>
        <v>99</v>
      </c>
      <c r="I9079" t="str">
        <f t="shared" si="2048"/>
        <v>0</v>
      </c>
      <c r="J9079" t="str">
        <f t="shared" si="2062"/>
        <v>00</v>
      </c>
      <c r="K9079">
        <v>20181109</v>
      </c>
      <c r="L9079" t="str">
        <f>"074565"</f>
        <v>074565</v>
      </c>
      <c r="M9079" t="str">
        <f>"24361"</f>
        <v>24361</v>
      </c>
      <c r="N9079" t="s">
        <v>7182</v>
      </c>
      <c r="O9079" s="1">
        <v>4430</v>
      </c>
      <c r="P9079">
        <v>20181108</v>
      </c>
      <c r="Q9079" t="s">
        <v>7082</v>
      </c>
      <c r="R9079" t="s">
        <v>2975</v>
      </c>
      <c r="S9079" t="s">
        <v>7000</v>
      </c>
      <c r="T9079" t="s">
        <v>301</v>
      </c>
    </row>
    <row r="9080" spans="1:20" x14ac:dyDescent="0.25">
      <c r="A9080">
        <v>9</v>
      </c>
      <c r="B9080">
        <v>461</v>
      </c>
      <c r="C9080" t="str">
        <f t="shared" si="2053"/>
        <v>36</v>
      </c>
      <c r="D9080">
        <v>6412</v>
      </c>
      <c r="E9080" t="str">
        <f>"3S"</f>
        <v>3S</v>
      </c>
      <c r="F9080" t="str">
        <f>"001"</f>
        <v>001</v>
      </c>
      <c r="G9080">
        <v>9</v>
      </c>
      <c r="H9080" t="str">
        <f>"91"</f>
        <v>91</v>
      </c>
      <c r="I9080" t="str">
        <f t="shared" si="2048"/>
        <v>0</v>
      </c>
      <c r="J9080" t="str">
        <f t="shared" si="2062"/>
        <v>00</v>
      </c>
      <c r="K9080">
        <v>20181109</v>
      </c>
      <c r="L9080" t="str">
        <f>"074572"</f>
        <v>074572</v>
      </c>
      <c r="M9080" t="str">
        <f>"28680"</f>
        <v>28680</v>
      </c>
      <c r="N9080" t="s">
        <v>482</v>
      </c>
      <c r="O9080">
        <v>45.61</v>
      </c>
      <c r="P9080">
        <v>20181108</v>
      </c>
      <c r="Q9080" t="s">
        <v>7143</v>
      </c>
      <c r="R9080" t="s">
        <v>562</v>
      </c>
      <c r="S9080" t="s">
        <v>7000</v>
      </c>
      <c r="T9080" t="s">
        <v>301</v>
      </c>
    </row>
    <row r="9081" spans="1:20" x14ac:dyDescent="0.25">
      <c r="A9081">
        <v>9</v>
      </c>
      <c r="B9081">
        <v>461</v>
      </c>
      <c r="C9081" t="str">
        <f t="shared" si="2053"/>
        <v>36</v>
      </c>
      <c r="D9081">
        <v>6399</v>
      </c>
      <c r="E9081" t="str">
        <f>"PR"</f>
        <v>PR</v>
      </c>
      <c r="F9081" t="str">
        <f>"104"</f>
        <v>104</v>
      </c>
      <c r="G9081">
        <v>9</v>
      </c>
      <c r="H9081" t="str">
        <f t="shared" ref="H9081:H9097" si="2063">"99"</f>
        <v>99</v>
      </c>
      <c r="I9081" t="str">
        <f t="shared" si="2048"/>
        <v>0</v>
      </c>
      <c r="J9081" t="str">
        <f t="shared" si="2062"/>
        <v>00</v>
      </c>
      <c r="K9081">
        <v>20181109</v>
      </c>
      <c r="L9081" t="str">
        <f>"074591"</f>
        <v>074591</v>
      </c>
      <c r="M9081" t="str">
        <f>"34963"</f>
        <v>34963</v>
      </c>
      <c r="N9081" t="s">
        <v>7183</v>
      </c>
      <c r="O9081">
        <v>235</v>
      </c>
      <c r="P9081">
        <v>20181108</v>
      </c>
      <c r="Q9081" t="s">
        <v>7014</v>
      </c>
      <c r="R9081" t="s">
        <v>7184</v>
      </c>
      <c r="S9081" t="s">
        <v>7000</v>
      </c>
      <c r="T9081" t="s">
        <v>46</v>
      </c>
    </row>
    <row r="9082" spans="1:20" x14ac:dyDescent="0.25">
      <c r="A9082">
        <v>9</v>
      </c>
      <c r="B9082">
        <v>461</v>
      </c>
      <c r="C9082" t="str">
        <f t="shared" si="2053"/>
        <v>36</v>
      </c>
      <c r="D9082">
        <v>6399</v>
      </c>
      <c r="E9082" t="str">
        <f>"61"</f>
        <v>61</v>
      </c>
      <c r="F9082" t="str">
        <f>"101"</f>
        <v>101</v>
      </c>
      <c r="G9082">
        <v>9</v>
      </c>
      <c r="H9082" t="str">
        <f t="shared" si="2063"/>
        <v>99</v>
      </c>
      <c r="I9082" t="str">
        <f t="shared" si="2048"/>
        <v>0</v>
      </c>
      <c r="J9082" t="str">
        <f t="shared" si="2062"/>
        <v>00</v>
      </c>
      <c r="K9082">
        <v>20181109</v>
      </c>
      <c r="L9082" t="str">
        <f>"074593"</f>
        <v>074593</v>
      </c>
      <c r="M9082" t="str">
        <f>"37500"</f>
        <v>37500</v>
      </c>
      <c r="N9082" t="s">
        <v>2077</v>
      </c>
      <c r="O9082">
        <v>199.2</v>
      </c>
      <c r="P9082">
        <v>20181108</v>
      </c>
      <c r="Q9082" t="s">
        <v>7007</v>
      </c>
      <c r="R9082" t="s">
        <v>7185</v>
      </c>
      <c r="S9082" t="s">
        <v>7000</v>
      </c>
      <c r="T9082" t="s">
        <v>1479</v>
      </c>
    </row>
    <row r="9083" spans="1:20" x14ac:dyDescent="0.25">
      <c r="A9083">
        <v>9</v>
      </c>
      <c r="B9083">
        <v>461</v>
      </c>
      <c r="C9083" t="str">
        <f t="shared" si="2053"/>
        <v>36</v>
      </c>
      <c r="D9083">
        <v>6399</v>
      </c>
      <c r="E9083" t="str">
        <f>"PR"</f>
        <v>PR</v>
      </c>
      <c r="F9083" t="str">
        <f>"104"</f>
        <v>104</v>
      </c>
      <c r="G9083">
        <v>9</v>
      </c>
      <c r="H9083" t="str">
        <f t="shared" si="2063"/>
        <v>99</v>
      </c>
      <c r="I9083" t="str">
        <f t="shared" ref="I9083:I9146" si="2064">"0"</f>
        <v>0</v>
      </c>
      <c r="J9083" t="str">
        <f t="shared" si="2062"/>
        <v>00</v>
      </c>
      <c r="K9083">
        <v>20181109</v>
      </c>
      <c r="L9083" t="str">
        <f>"074593"</f>
        <v>074593</v>
      </c>
      <c r="M9083" t="str">
        <f>"37500"</f>
        <v>37500</v>
      </c>
      <c r="N9083" t="s">
        <v>2077</v>
      </c>
      <c r="O9083">
        <v>42.05</v>
      </c>
      <c r="P9083">
        <v>20181108</v>
      </c>
      <c r="Q9083" t="s">
        <v>7014</v>
      </c>
      <c r="R9083" t="s">
        <v>7186</v>
      </c>
      <c r="S9083" t="s">
        <v>7000</v>
      </c>
      <c r="T9083" t="s">
        <v>46</v>
      </c>
    </row>
    <row r="9084" spans="1:20" x14ac:dyDescent="0.25">
      <c r="A9084">
        <v>9</v>
      </c>
      <c r="B9084">
        <v>461</v>
      </c>
      <c r="C9084" t="str">
        <f t="shared" si="2053"/>
        <v>36</v>
      </c>
      <c r="D9084">
        <v>6399</v>
      </c>
      <c r="E9084" t="str">
        <f>"Y5"</f>
        <v>Y5</v>
      </c>
      <c r="F9084" t="str">
        <f>"802"</f>
        <v>802</v>
      </c>
      <c r="G9084">
        <v>9</v>
      </c>
      <c r="H9084" t="str">
        <f t="shared" si="2063"/>
        <v>99</v>
      </c>
      <c r="I9084" t="str">
        <f t="shared" si="2064"/>
        <v>0</v>
      </c>
      <c r="J9084" t="str">
        <f t="shared" si="2062"/>
        <v>00</v>
      </c>
      <c r="K9084">
        <v>20181109</v>
      </c>
      <c r="L9084" t="str">
        <f>"074595"</f>
        <v>074595</v>
      </c>
      <c r="M9084" t="str">
        <f>"40550"</f>
        <v>40550</v>
      </c>
      <c r="N9084" t="s">
        <v>2645</v>
      </c>
      <c r="O9084">
        <v>14.99</v>
      </c>
      <c r="P9084">
        <v>20181108</v>
      </c>
      <c r="Q9084" t="s">
        <v>7021</v>
      </c>
      <c r="R9084" t="s">
        <v>7187</v>
      </c>
      <c r="S9084" t="s">
        <v>7000</v>
      </c>
      <c r="T9084" t="s">
        <v>7023</v>
      </c>
    </row>
    <row r="9085" spans="1:20" x14ac:dyDescent="0.25">
      <c r="A9085">
        <v>9</v>
      </c>
      <c r="B9085">
        <v>461</v>
      </c>
      <c r="C9085" t="str">
        <f t="shared" si="2053"/>
        <v>36</v>
      </c>
      <c r="D9085">
        <v>6399</v>
      </c>
      <c r="E9085" t="str">
        <f>"PR"</f>
        <v>PR</v>
      </c>
      <c r="F9085" t="str">
        <f>"104"</f>
        <v>104</v>
      </c>
      <c r="G9085">
        <v>9</v>
      </c>
      <c r="H9085" t="str">
        <f t="shared" si="2063"/>
        <v>99</v>
      </c>
      <c r="I9085" t="str">
        <f t="shared" si="2064"/>
        <v>0</v>
      </c>
      <c r="J9085" t="str">
        <f t="shared" si="2062"/>
        <v>00</v>
      </c>
      <c r="K9085">
        <v>20181109</v>
      </c>
      <c r="L9085" t="str">
        <f>"074596"</f>
        <v>074596</v>
      </c>
      <c r="M9085" t="str">
        <f>"41230"</f>
        <v>41230</v>
      </c>
      <c r="N9085" t="s">
        <v>1350</v>
      </c>
      <c r="O9085">
        <v>31.04</v>
      </c>
      <c r="P9085">
        <v>20181108</v>
      </c>
      <c r="Q9085" t="s">
        <v>7014</v>
      </c>
      <c r="R9085" t="s">
        <v>7188</v>
      </c>
      <c r="S9085" t="s">
        <v>7000</v>
      </c>
      <c r="T9085" t="s">
        <v>46</v>
      </c>
    </row>
    <row r="9086" spans="1:20" x14ac:dyDescent="0.25">
      <c r="A9086">
        <v>9</v>
      </c>
      <c r="B9086">
        <v>461</v>
      </c>
      <c r="C9086" t="str">
        <f t="shared" si="2053"/>
        <v>36</v>
      </c>
      <c r="D9086">
        <v>6412</v>
      </c>
      <c r="E9086" t="str">
        <f>"PR"</f>
        <v>PR</v>
      </c>
      <c r="F9086" t="str">
        <f>"104"</f>
        <v>104</v>
      </c>
      <c r="G9086">
        <v>9</v>
      </c>
      <c r="H9086" t="str">
        <f t="shared" si="2063"/>
        <v>99</v>
      </c>
      <c r="I9086" t="str">
        <f t="shared" si="2064"/>
        <v>0</v>
      </c>
      <c r="J9086" t="str">
        <f t="shared" si="2062"/>
        <v>00</v>
      </c>
      <c r="K9086">
        <v>20181109</v>
      </c>
      <c r="L9086" t="str">
        <f>"074601"</f>
        <v>074601</v>
      </c>
      <c r="M9086" t="str">
        <f>"54034"</f>
        <v>54034</v>
      </c>
      <c r="N9086" t="s">
        <v>7189</v>
      </c>
      <c r="O9086" s="1">
        <v>2223.5</v>
      </c>
      <c r="P9086">
        <v>20181108</v>
      </c>
      <c r="Q9086" t="s">
        <v>7190</v>
      </c>
      <c r="R9086" t="s">
        <v>7191</v>
      </c>
      <c r="S9086" t="s">
        <v>7000</v>
      </c>
      <c r="T9086" t="s">
        <v>46</v>
      </c>
    </row>
    <row r="9087" spans="1:20" x14ac:dyDescent="0.25">
      <c r="A9087">
        <v>9</v>
      </c>
      <c r="B9087">
        <v>461</v>
      </c>
      <c r="C9087" t="str">
        <f t="shared" si="2053"/>
        <v>36</v>
      </c>
      <c r="D9087">
        <v>6399</v>
      </c>
      <c r="E9087" t="str">
        <f>"7K"</f>
        <v>7K</v>
      </c>
      <c r="F9087" t="str">
        <f>"001"</f>
        <v>001</v>
      </c>
      <c r="G9087">
        <v>9</v>
      </c>
      <c r="H9087" t="str">
        <f t="shared" si="2063"/>
        <v>99</v>
      </c>
      <c r="I9087" t="str">
        <f t="shared" si="2064"/>
        <v>0</v>
      </c>
      <c r="J9087" t="str">
        <f t="shared" si="2062"/>
        <v>00</v>
      </c>
      <c r="K9087">
        <v>20181109</v>
      </c>
      <c r="L9087" t="str">
        <f>"074604"</f>
        <v>074604</v>
      </c>
      <c r="M9087" t="str">
        <f>"54104"</f>
        <v>54104</v>
      </c>
      <c r="N9087" t="s">
        <v>1649</v>
      </c>
      <c r="O9087">
        <v>260</v>
      </c>
      <c r="P9087">
        <v>20181108</v>
      </c>
      <c r="Q9087" t="s">
        <v>7056</v>
      </c>
      <c r="R9087" t="s">
        <v>2975</v>
      </c>
      <c r="S9087" t="s">
        <v>7000</v>
      </c>
      <c r="T9087" t="s">
        <v>301</v>
      </c>
    </row>
    <row r="9088" spans="1:20" x14ac:dyDescent="0.25">
      <c r="A9088">
        <v>9</v>
      </c>
      <c r="B9088">
        <v>461</v>
      </c>
      <c r="C9088" t="str">
        <f t="shared" si="2053"/>
        <v>36</v>
      </c>
      <c r="D9088">
        <v>6399</v>
      </c>
      <c r="E9088" t="str">
        <f>"50"</f>
        <v>50</v>
      </c>
      <c r="F9088" t="str">
        <f t="shared" ref="F9088:F9093" si="2065">"104"</f>
        <v>104</v>
      </c>
      <c r="G9088">
        <v>9</v>
      </c>
      <c r="H9088" t="str">
        <f t="shared" si="2063"/>
        <v>99</v>
      </c>
      <c r="I9088" t="str">
        <f t="shared" si="2064"/>
        <v>0</v>
      </c>
      <c r="J9088" t="str">
        <f t="shared" si="2062"/>
        <v>00</v>
      </c>
      <c r="K9088">
        <v>20181109</v>
      </c>
      <c r="L9088" t="str">
        <f>"074614"</f>
        <v>074614</v>
      </c>
      <c r="M9088" t="str">
        <f>"58201"</f>
        <v>58201</v>
      </c>
      <c r="N9088" t="s">
        <v>2662</v>
      </c>
      <c r="O9088">
        <v>30</v>
      </c>
      <c r="P9088">
        <v>20181108</v>
      </c>
      <c r="Q9088" t="s">
        <v>7173</v>
      </c>
      <c r="R9088" t="s">
        <v>7192</v>
      </c>
      <c r="S9088" t="s">
        <v>7000</v>
      </c>
      <c r="T9088" t="s">
        <v>46</v>
      </c>
    </row>
    <row r="9089" spans="1:20" x14ac:dyDescent="0.25">
      <c r="A9089">
        <v>9</v>
      </c>
      <c r="B9089">
        <v>461</v>
      </c>
      <c r="C9089" t="str">
        <f t="shared" si="2053"/>
        <v>36</v>
      </c>
      <c r="D9089">
        <v>6399</v>
      </c>
      <c r="E9089" t="str">
        <f>"7U"</f>
        <v>7U</v>
      </c>
      <c r="F9089" t="str">
        <f t="shared" si="2065"/>
        <v>104</v>
      </c>
      <c r="G9089">
        <v>9</v>
      </c>
      <c r="H9089" t="str">
        <f t="shared" si="2063"/>
        <v>99</v>
      </c>
      <c r="I9089" t="str">
        <f t="shared" si="2064"/>
        <v>0</v>
      </c>
      <c r="J9089" t="str">
        <f t="shared" si="2062"/>
        <v>00</v>
      </c>
      <c r="K9089">
        <v>20181109</v>
      </c>
      <c r="L9089" t="str">
        <f>"074614"</f>
        <v>074614</v>
      </c>
      <c r="M9089" t="str">
        <f>"58201"</f>
        <v>58201</v>
      </c>
      <c r="N9089" t="s">
        <v>2662</v>
      </c>
      <c r="O9089">
        <v>31.92</v>
      </c>
      <c r="P9089">
        <v>20181108</v>
      </c>
      <c r="Q9089" t="s">
        <v>7193</v>
      </c>
      <c r="R9089" t="s">
        <v>7194</v>
      </c>
      <c r="S9089" t="s">
        <v>7000</v>
      </c>
      <c r="T9089" t="s">
        <v>46</v>
      </c>
    </row>
    <row r="9090" spans="1:20" x14ac:dyDescent="0.25">
      <c r="A9090">
        <v>9</v>
      </c>
      <c r="B9090">
        <v>461</v>
      </c>
      <c r="C9090" t="str">
        <f t="shared" si="2053"/>
        <v>36</v>
      </c>
      <c r="D9090">
        <v>6399</v>
      </c>
      <c r="E9090" t="str">
        <f>"7U"</f>
        <v>7U</v>
      </c>
      <c r="F9090" t="str">
        <f t="shared" si="2065"/>
        <v>104</v>
      </c>
      <c r="G9090">
        <v>9</v>
      </c>
      <c r="H9090" t="str">
        <f t="shared" si="2063"/>
        <v>99</v>
      </c>
      <c r="I9090" t="str">
        <f t="shared" si="2064"/>
        <v>0</v>
      </c>
      <c r="J9090" t="str">
        <f t="shared" si="2062"/>
        <v>00</v>
      </c>
      <c r="K9090">
        <v>20181109</v>
      </c>
      <c r="L9090" t="str">
        <f>"074614"</f>
        <v>074614</v>
      </c>
      <c r="M9090" t="str">
        <f>"58201"</f>
        <v>58201</v>
      </c>
      <c r="N9090" t="s">
        <v>2662</v>
      </c>
      <c r="O9090">
        <v>13.74</v>
      </c>
      <c r="P9090">
        <v>20181108</v>
      </c>
      <c r="Q9090" t="s">
        <v>7193</v>
      </c>
      <c r="R9090" t="s">
        <v>2486</v>
      </c>
      <c r="S9090" t="s">
        <v>7000</v>
      </c>
      <c r="T9090" t="s">
        <v>46</v>
      </c>
    </row>
    <row r="9091" spans="1:20" x14ac:dyDescent="0.25">
      <c r="A9091">
        <v>9</v>
      </c>
      <c r="B9091">
        <v>461</v>
      </c>
      <c r="C9091" t="str">
        <f t="shared" si="2053"/>
        <v>36</v>
      </c>
      <c r="D9091">
        <v>6399</v>
      </c>
      <c r="E9091" t="str">
        <f>"PR"</f>
        <v>PR</v>
      </c>
      <c r="F9091" t="str">
        <f t="shared" si="2065"/>
        <v>104</v>
      </c>
      <c r="G9091">
        <v>9</v>
      </c>
      <c r="H9091" t="str">
        <f t="shared" si="2063"/>
        <v>99</v>
      </c>
      <c r="I9091" t="str">
        <f t="shared" si="2064"/>
        <v>0</v>
      </c>
      <c r="J9091" t="str">
        <f t="shared" si="2062"/>
        <v>00</v>
      </c>
      <c r="K9091">
        <v>20181109</v>
      </c>
      <c r="L9091" t="str">
        <f>"074614"</f>
        <v>074614</v>
      </c>
      <c r="M9091" t="str">
        <f>"58201"</f>
        <v>58201</v>
      </c>
      <c r="N9091" t="s">
        <v>2662</v>
      </c>
      <c r="O9091">
        <v>33.69</v>
      </c>
      <c r="P9091">
        <v>20181108</v>
      </c>
      <c r="Q9091" t="s">
        <v>7014</v>
      </c>
      <c r="R9091" t="s">
        <v>7195</v>
      </c>
      <c r="S9091" t="s">
        <v>7000</v>
      </c>
      <c r="T9091" t="s">
        <v>46</v>
      </c>
    </row>
    <row r="9092" spans="1:20" x14ac:dyDescent="0.25">
      <c r="A9092">
        <v>9</v>
      </c>
      <c r="B9092">
        <v>461</v>
      </c>
      <c r="C9092" t="str">
        <f t="shared" si="2053"/>
        <v>36</v>
      </c>
      <c r="D9092">
        <v>6399</v>
      </c>
      <c r="E9092" t="str">
        <f>"PR"</f>
        <v>PR</v>
      </c>
      <c r="F9092" t="str">
        <f t="shared" si="2065"/>
        <v>104</v>
      </c>
      <c r="G9092">
        <v>9</v>
      </c>
      <c r="H9092" t="str">
        <f t="shared" si="2063"/>
        <v>99</v>
      </c>
      <c r="I9092" t="str">
        <f t="shared" si="2064"/>
        <v>0</v>
      </c>
      <c r="J9092" t="str">
        <f t="shared" si="2062"/>
        <v>00</v>
      </c>
      <c r="K9092">
        <v>20181109</v>
      </c>
      <c r="L9092" t="str">
        <f>"074614"</f>
        <v>074614</v>
      </c>
      <c r="M9092" t="str">
        <f>"58201"</f>
        <v>58201</v>
      </c>
      <c r="N9092" t="s">
        <v>2662</v>
      </c>
      <c r="O9092">
        <v>15</v>
      </c>
      <c r="P9092">
        <v>20181108</v>
      </c>
      <c r="Q9092" t="s">
        <v>7014</v>
      </c>
      <c r="R9092" t="s">
        <v>7196</v>
      </c>
      <c r="S9092" t="s">
        <v>7000</v>
      </c>
      <c r="T9092" t="s">
        <v>46</v>
      </c>
    </row>
    <row r="9093" spans="1:20" x14ac:dyDescent="0.25">
      <c r="A9093">
        <v>9</v>
      </c>
      <c r="B9093">
        <v>461</v>
      </c>
      <c r="C9093" t="str">
        <f t="shared" si="2053"/>
        <v>36</v>
      </c>
      <c r="D9093">
        <v>6399</v>
      </c>
      <c r="E9093" t="str">
        <f>"PR"</f>
        <v>PR</v>
      </c>
      <c r="F9093" t="str">
        <f t="shared" si="2065"/>
        <v>104</v>
      </c>
      <c r="G9093">
        <v>9</v>
      </c>
      <c r="H9093" t="str">
        <f t="shared" si="2063"/>
        <v>99</v>
      </c>
      <c r="I9093" t="str">
        <f t="shared" si="2064"/>
        <v>0</v>
      </c>
      <c r="J9093" t="str">
        <f t="shared" si="2062"/>
        <v>00</v>
      </c>
      <c r="K9093">
        <v>20181109</v>
      </c>
      <c r="L9093" t="str">
        <f>"074617"</f>
        <v>074617</v>
      </c>
      <c r="M9093" t="str">
        <f>"59020"</f>
        <v>59020</v>
      </c>
      <c r="N9093" t="s">
        <v>7197</v>
      </c>
      <c r="O9093">
        <v>440.62</v>
      </c>
      <c r="P9093">
        <v>20181108</v>
      </c>
      <c r="Q9093" t="s">
        <v>7014</v>
      </c>
      <c r="R9093" t="s">
        <v>7198</v>
      </c>
      <c r="S9093" t="s">
        <v>7000</v>
      </c>
      <c r="T9093" t="s">
        <v>46</v>
      </c>
    </row>
    <row r="9094" spans="1:20" x14ac:dyDescent="0.25">
      <c r="A9094">
        <v>9</v>
      </c>
      <c r="B9094">
        <v>461</v>
      </c>
      <c r="C9094" t="str">
        <f t="shared" si="2053"/>
        <v>36</v>
      </c>
      <c r="D9094">
        <v>6412</v>
      </c>
      <c r="E9094" t="str">
        <f>"7K"</f>
        <v>7K</v>
      </c>
      <c r="F9094" t="str">
        <f>"001"</f>
        <v>001</v>
      </c>
      <c r="G9094">
        <v>9</v>
      </c>
      <c r="H9094" t="str">
        <f t="shared" si="2063"/>
        <v>99</v>
      </c>
      <c r="I9094" t="str">
        <f t="shared" si="2064"/>
        <v>0</v>
      </c>
      <c r="J9094" t="str">
        <f t="shared" si="2062"/>
        <v>00</v>
      </c>
      <c r="K9094">
        <v>20181109</v>
      </c>
      <c r="L9094" t="str">
        <f>"074618"</f>
        <v>074618</v>
      </c>
      <c r="M9094" t="str">
        <f>"59097"</f>
        <v>59097</v>
      </c>
      <c r="N9094" t="s">
        <v>2294</v>
      </c>
      <c r="O9094">
        <v>920</v>
      </c>
      <c r="P9094">
        <v>20181108</v>
      </c>
      <c r="Q9094" t="s">
        <v>7082</v>
      </c>
      <c r="R9094" t="s">
        <v>2975</v>
      </c>
      <c r="S9094" t="s">
        <v>7000</v>
      </c>
      <c r="T9094" t="s">
        <v>301</v>
      </c>
    </row>
    <row r="9095" spans="1:20" x14ac:dyDescent="0.25">
      <c r="A9095">
        <v>9</v>
      </c>
      <c r="B9095">
        <v>461</v>
      </c>
      <c r="C9095" t="str">
        <f t="shared" si="2053"/>
        <v>36</v>
      </c>
      <c r="D9095">
        <v>6399</v>
      </c>
      <c r="E9095" t="str">
        <f>"PR"</f>
        <v>PR</v>
      </c>
      <c r="F9095" t="str">
        <f>"104"</f>
        <v>104</v>
      </c>
      <c r="G9095">
        <v>9</v>
      </c>
      <c r="H9095" t="str">
        <f t="shared" si="2063"/>
        <v>99</v>
      </c>
      <c r="I9095" t="str">
        <f t="shared" si="2064"/>
        <v>0</v>
      </c>
      <c r="J9095" t="str">
        <f t="shared" si="2062"/>
        <v>00</v>
      </c>
      <c r="K9095">
        <v>20181109</v>
      </c>
      <c r="L9095" t="str">
        <f>"074619"</f>
        <v>074619</v>
      </c>
      <c r="M9095" t="str">
        <f>"61308"</f>
        <v>61308</v>
      </c>
      <c r="N9095" t="s">
        <v>7199</v>
      </c>
      <c r="O9095">
        <v>378.3</v>
      </c>
      <c r="P9095">
        <v>20181108</v>
      </c>
      <c r="Q9095" t="s">
        <v>7014</v>
      </c>
      <c r="R9095" t="s">
        <v>7200</v>
      </c>
      <c r="S9095" t="s">
        <v>7000</v>
      </c>
      <c r="T9095" t="s">
        <v>46</v>
      </c>
    </row>
    <row r="9096" spans="1:20" x14ac:dyDescent="0.25">
      <c r="A9096">
        <v>9</v>
      </c>
      <c r="B9096">
        <v>461</v>
      </c>
      <c r="C9096" t="str">
        <f t="shared" si="2053"/>
        <v>36</v>
      </c>
      <c r="D9096">
        <v>6399</v>
      </c>
      <c r="E9096" t="str">
        <f>"PR"</f>
        <v>PR</v>
      </c>
      <c r="F9096" t="str">
        <f>"104"</f>
        <v>104</v>
      </c>
      <c r="G9096">
        <v>9</v>
      </c>
      <c r="H9096" t="str">
        <f t="shared" si="2063"/>
        <v>99</v>
      </c>
      <c r="I9096" t="str">
        <f t="shared" si="2064"/>
        <v>0</v>
      </c>
      <c r="J9096" t="str">
        <f t="shared" si="2062"/>
        <v>00</v>
      </c>
      <c r="K9096">
        <v>20181109</v>
      </c>
      <c r="L9096" t="str">
        <f>"074619"</f>
        <v>074619</v>
      </c>
      <c r="M9096" t="str">
        <f>"61308"</f>
        <v>61308</v>
      </c>
      <c r="N9096" t="s">
        <v>7199</v>
      </c>
      <c r="O9096" s="1">
        <v>2140</v>
      </c>
      <c r="P9096">
        <v>20181108</v>
      </c>
      <c r="Q9096" t="s">
        <v>7014</v>
      </c>
      <c r="R9096" t="s">
        <v>7200</v>
      </c>
      <c r="S9096" t="s">
        <v>7000</v>
      </c>
      <c r="T9096" t="s">
        <v>46</v>
      </c>
    </row>
    <row r="9097" spans="1:20" x14ac:dyDescent="0.25">
      <c r="A9097">
        <v>9</v>
      </c>
      <c r="B9097">
        <v>461</v>
      </c>
      <c r="C9097" t="str">
        <f t="shared" si="2053"/>
        <v>36</v>
      </c>
      <c r="D9097">
        <v>6399</v>
      </c>
      <c r="E9097" t="str">
        <f>"7U"</f>
        <v>7U</v>
      </c>
      <c r="F9097" t="str">
        <f>"104"</f>
        <v>104</v>
      </c>
      <c r="G9097">
        <v>9</v>
      </c>
      <c r="H9097" t="str">
        <f t="shared" si="2063"/>
        <v>99</v>
      </c>
      <c r="I9097" t="str">
        <f t="shared" si="2064"/>
        <v>0</v>
      </c>
      <c r="J9097" t="str">
        <f t="shared" si="2062"/>
        <v>00</v>
      </c>
      <c r="K9097">
        <v>20181109</v>
      </c>
      <c r="L9097" t="str">
        <f>"074631"</f>
        <v>074631</v>
      </c>
      <c r="M9097" t="str">
        <f>"65766"</f>
        <v>65766</v>
      </c>
      <c r="N9097" t="s">
        <v>7201</v>
      </c>
      <c r="O9097" s="1">
        <v>5348.94</v>
      </c>
      <c r="P9097">
        <v>20181108</v>
      </c>
      <c r="Q9097" t="s">
        <v>7193</v>
      </c>
      <c r="R9097" t="s">
        <v>7202</v>
      </c>
      <c r="S9097" t="s">
        <v>7000</v>
      </c>
      <c r="T9097" t="s">
        <v>46</v>
      </c>
    </row>
    <row r="9098" spans="1:20" x14ac:dyDescent="0.25">
      <c r="A9098">
        <v>9</v>
      </c>
      <c r="B9098">
        <v>461</v>
      </c>
      <c r="C9098" t="str">
        <f t="shared" si="2053"/>
        <v>36</v>
      </c>
      <c r="D9098">
        <v>6412</v>
      </c>
      <c r="E9098" t="str">
        <f>"3B"</f>
        <v>3B</v>
      </c>
      <c r="F9098" t="str">
        <f>"001"</f>
        <v>001</v>
      </c>
      <c r="G9098">
        <v>9</v>
      </c>
      <c r="H9098" t="str">
        <f>"91"</f>
        <v>91</v>
      </c>
      <c r="I9098" t="str">
        <f t="shared" si="2064"/>
        <v>0</v>
      </c>
      <c r="J9098" t="str">
        <f t="shared" si="2062"/>
        <v>00</v>
      </c>
      <c r="K9098">
        <v>20181109</v>
      </c>
      <c r="L9098" t="str">
        <f>"074637"</f>
        <v>074637</v>
      </c>
      <c r="M9098" t="str">
        <f>"49890"</f>
        <v>49890</v>
      </c>
      <c r="N9098" t="s">
        <v>7203</v>
      </c>
      <c r="O9098">
        <v>549.95000000000005</v>
      </c>
      <c r="P9098">
        <v>20181108</v>
      </c>
      <c r="Q9098" t="s">
        <v>7178</v>
      </c>
      <c r="R9098" t="s">
        <v>7179</v>
      </c>
      <c r="S9098" t="s">
        <v>7000</v>
      </c>
      <c r="T9098" t="s">
        <v>301</v>
      </c>
    </row>
    <row r="9099" spans="1:20" x14ac:dyDescent="0.25">
      <c r="A9099">
        <v>9</v>
      </c>
      <c r="B9099">
        <v>461</v>
      </c>
      <c r="C9099" t="str">
        <f t="shared" si="2053"/>
        <v>36</v>
      </c>
      <c r="D9099">
        <v>6399</v>
      </c>
      <c r="E9099" t="str">
        <f>"3S"</f>
        <v>3S</v>
      </c>
      <c r="F9099" t="str">
        <f>"041"</f>
        <v>041</v>
      </c>
      <c r="G9099">
        <v>9</v>
      </c>
      <c r="H9099" t="str">
        <f>"91"</f>
        <v>91</v>
      </c>
      <c r="I9099" t="str">
        <f t="shared" si="2064"/>
        <v>0</v>
      </c>
      <c r="J9099" t="str">
        <f t="shared" si="2062"/>
        <v>00</v>
      </c>
      <c r="K9099">
        <v>20181109</v>
      </c>
      <c r="L9099" t="str">
        <f>"074640"</f>
        <v>074640</v>
      </c>
      <c r="M9099" t="str">
        <f>"74131"</f>
        <v>74131</v>
      </c>
      <c r="N9099" t="s">
        <v>495</v>
      </c>
      <c r="O9099">
        <v>522</v>
      </c>
      <c r="P9099">
        <v>20181108</v>
      </c>
      <c r="Q9099" t="s">
        <v>7107</v>
      </c>
      <c r="R9099" t="s">
        <v>7204</v>
      </c>
      <c r="S9099" t="s">
        <v>7000</v>
      </c>
      <c r="T9099" t="s">
        <v>106</v>
      </c>
    </row>
    <row r="9100" spans="1:20" x14ac:dyDescent="0.25">
      <c r="A9100">
        <v>9</v>
      </c>
      <c r="B9100">
        <v>461</v>
      </c>
      <c r="C9100" t="str">
        <f t="shared" si="2053"/>
        <v>36</v>
      </c>
      <c r="D9100">
        <v>6299</v>
      </c>
      <c r="E9100" t="str">
        <f>"7K"</f>
        <v>7K</v>
      </c>
      <c r="F9100" t="str">
        <f>"001"</f>
        <v>001</v>
      </c>
      <c r="G9100">
        <v>9</v>
      </c>
      <c r="H9100" t="str">
        <f t="shared" ref="H9100:H9109" si="2066">"99"</f>
        <v>99</v>
      </c>
      <c r="I9100" t="str">
        <f t="shared" si="2064"/>
        <v>0</v>
      </c>
      <c r="J9100" t="str">
        <f t="shared" si="2062"/>
        <v>00</v>
      </c>
      <c r="K9100">
        <v>20181109</v>
      </c>
      <c r="L9100" t="str">
        <f>"074643"</f>
        <v>074643</v>
      </c>
      <c r="M9100" t="str">
        <f>"79806"</f>
        <v>79806</v>
      </c>
      <c r="N9100" t="s">
        <v>7081</v>
      </c>
      <c r="O9100">
        <v>500</v>
      </c>
      <c r="P9100">
        <v>20181108</v>
      </c>
      <c r="Q9100" t="s">
        <v>7205</v>
      </c>
      <c r="R9100" t="s">
        <v>2975</v>
      </c>
      <c r="S9100" t="s">
        <v>7000</v>
      </c>
      <c r="T9100" t="s">
        <v>301</v>
      </c>
    </row>
    <row r="9101" spans="1:20" x14ac:dyDescent="0.25">
      <c r="A9101">
        <v>9</v>
      </c>
      <c r="B9101">
        <v>461</v>
      </c>
      <c r="C9101" t="str">
        <f t="shared" si="2053"/>
        <v>36</v>
      </c>
      <c r="D9101">
        <v>6412</v>
      </c>
      <c r="E9101" t="str">
        <f>"7K"</f>
        <v>7K</v>
      </c>
      <c r="F9101" t="str">
        <f>"001"</f>
        <v>001</v>
      </c>
      <c r="G9101">
        <v>9</v>
      </c>
      <c r="H9101" t="str">
        <f t="shared" si="2066"/>
        <v>99</v>
      </c>
      <c r="I9101" t="str">
        <f t="shared" si="2064"/>
        <v>0</v>
      </c>
      <c r="J9101" t="str">
        <f t="shared" si="2062"/>
        <v>00</v>
      </c>
      <c r="K9101">
        <v>20181109</v>
      </c>
      <c r="L9101" t="str">
        <f>"074643"</f>
        <v>074643</v>
      </c>
      <c r="M9101" t="str">
        <f>"79806"</f>
        <v>79806</v>
      </c>
      <c r="N9101" t="s">
        <v>7081</v>
      </c>
      <c r="O9101" s="1">
        <v>1015</v>
      </c>
      <c r="P9101">
        <v>20181108</v>
      </c>
      <c r="Q9101" t="s">
        <v>7082</v>
      </c>
      <c r="R9101" t="s">
        <v>2975</v>
      </c>
      <c r="S9101" t="s">
        <v>7000</v>
      </c>
      <c r="T9101" t="s">
        <v>301</v>
      </c>
    </row>
    <row r="9102" spans="1:20" x14ac:dyDescent="0.25">
      <c r="A9102">
        <v>9</v>
      </c>
      <c r="B9102">
        <v>461</v>
      </c>
      <c r="C9102" t="str">
        <f t="shared" si="2053"/>
        <v>36</v>
      </c>
      <c r="D9102">
        <v>6399</v>
      </c>
      <c r="E9102" t="str">
        <f>"7K"</f>
        <v>7K</v>
      </c>
      <c r="F9102" t="str">
        <f>"001"</f>
        <v>001</v>
      </c>
      <c r="G9102">
        <v>9</v>
      </c>
      <c r="H9102" t="str">
        <f t="shared" si="2066"/>
        <v>99</v>
      </c>
      <c r="I9102" t="str">
        <f t="shared" si="2064"/>
        <v>0</v>
      </c>
      <c r="J9102" t="str">
        <f t="shared" ref="J9102:J9135" si="2067">"00"</f>
        <v>00</v>
      </c>
      <c r="K9102">
        <v>20181109</v>
      </c>
      <c r="L9102" t="str">
        <f>"074644"</f>
        <v>074644</v>
      </c>
      <c r="M9102" t="str">
        <f>"79806"</f>
        <v>79806</v>
      </c>
      <c r="N9102" t="s">
        <v>7081</v>
      </c>
      <c r="O9102">
        <v>676.56</v>
      </c>
      <c r="P9102">
        <v>20181108</v>
      </c>
      <c r="Q9102" t="s">
        <v>7056</v>
      </c>
      <c r="R9102" t="s">
        <v>2975</v>
      </c>
      <c r="S9102" t="s">
        <v>7000</v>
      </c>
      <c r="T9102" t="s">
        <v>301</v>
      </c>
    </row>
    <row r="9103" spans="1:20" x14ac:dyDescent="0.25">
      <c r="A9103">
        <v>9</v>
      </c>
      <c r="B9103">
        <v>461</v>
      </c>
      <c r="C9103" t="str">
        <f t="shared" si="2053"/>
        <v>36</v>
      </c>
      <c r="D9103">
        <v>6399</v>
      </c>
      <c r="E9103" t="str">
        <f>"7K"</f>
        <v>7K</v>
      </c>
      <c r="F9103" t="str">
        <f>"001"</f>
        <v>001</v>
      </c>
      <c r="G9103">
        <v>9</v>
      </c>
      <c r="H9103" t="str">
        <f t="shared" si="2066"/>
        <v>99</v>
      </c>
      <c r="I9103" t="str">
        <f t="shared" si="2064"/>
        <v>0</v>
      </c>
      <c r="J9103" t="str">
        <f t="shared" si="2067"/>
        <v>00</v>
      </c>
      <c r="K9103">
        <v>20190114</v>
      </c>
      <c r="L9103" t="str">
        <f>"074644"</f>
        <v>074644</v>
      </c>
      <c r="M9103" t="str">
        <f>"79806"</f>
        <v>79806</v>
      </c>
      <c r="N9103" t="s">
        <v>7081</v>
      </c>
      <c r="O9103">
        <v>-676.56</v>
      </c>
      <c r="P9103">
        <v>20190114</v>
      </c>
      <c r="Q9103" t="s">
        <v>7056</v>
      </c>
      <c r="R9103" t="s">
        <v>7206</v>
      </c>
      <c r="S9103" t="s">
        <v>7000</v>
      </c>
      <c r="T9103" t="s">
        <v>301</v>
      </c>
    </row>
    <row r="9104" spans="1:20" x14ac:dyDescent="0.25">
      <c r="A9104">
        <v>9</v>
      </c>
      <c r="B9104">
        <v>461</v>
      </c>
      <c r="C9104" t="str">
        <f t="shared" ref="C9104:C9167" si="2068">"36"</f>
        <v>36</v>
      </c>
      <c r="D9104">
        <v>6399</v>
      </c>
      <c r="E9104" t="str">
        <f>"15"</f>
        <v>15</v>
      </c>
      <c r="F9104" t="str">
        <f>"104"</f>
        <v>104</v>
      </c>
      <c r="G9104">
        <v>9</v>
      </c>
      <c r="H9104" t="str">
        <f t="shared" si="2066"/>
        <v>99</v>
      </c>
      <c r="I9104" t="str">
        <f t="shared" si="2064"/>
        <v>0</v>
      </c>
      <c r="J9104" t="str">
        <f t="shared" si="2067"/>
        <v>00</v>
      </c>
      <c r="K9104">
        <v>20181109</v>
      </c>
      <c r="L9104" t="str">
        <f>"074645"</f>
        <v>074645</v>
      </c>
      <c r="M9104" t="str">
        <f>"80395"</f>
        <v>80395</v>
      </c>
      <c r="N9104" t="s">
        <v>7051</v>
      </c>
      <c r="O9104" s="1">
        <v>1000</v>
      </c>
      <c r="P9104">
        <v>20181108</v>
      </c>
      <c r="Q9104" t="s">
        <v>7052</v>
      </c>
      <c r="R9104" t="s">
        <v>7207</v>
      </c>
      <c r="S9104" t="s">
        <v>7000</v>
      </c>
      <c r="T9104" t="s">
        <v>46</v>
      </c>
    </row>
    <row r="9105" spans="1:20" x14ac:dyDescent="0.25">
      <c r="A9105">
        <v>9</v>
      </c>
      <c r="B9105">
        <v>461</v>
      </c>
      <c r="C9105" t="str">
        <f t="shared" si="2068"/>
        <v>36</v>
      </c>
      <c r="D9105">
        <v>6399</v>
      </c>
      <c r="E9105" t="str">
        <f>"61"</f>
        <v>61</v>
      </c>
      <c r="F9105" t="str">
        <f>"101"</f>
        <v>101</v>
      </c>
      <c r="G9105">
        <v>9</v>
      </c>
      <c r="H9105" t="str">
        <f t="shared" si="2066"/>
        <v>99</v>
      </c>
      <c r="I9105" t="str">
        <f t="shared" si="2064"/>
        <v>0</v>
      </c>
      <c r="J9105" t="str">
        <f t="shared" si="2067"/>
        <v>00</v>
      </c>
      <c r="K9105">
        <v>20181116</v>
      </c>
      <c r="L9105" t="str">
        <f>"074655"</f>
        <v>074655</v>
      </c>
      <c r="M9105" t="str">
        <f>"04410"</f>
        <v>04410</v>
      </c>
      <c r="N9105" t="s">
        <v>410</v>
      </c>
      <c r="O9105">
        <v>128.52000000000001</v>
      </c>
      <c r="P9105">
        <v>20181115</v>
      </c>
      <c r="Q9105" t="s">
        <v>7007</v>
      </c>
      <c r="R9105" t="s">
        <v>2793</v>
      </c>
      <c r="S9105" t="s">
        <v>7000</v>
      </c>
      <c r="T9105" t="s">
        <v>1479</v>
      </c>
    </row>
    <row r="9106" spans="1:20" x14ac:dyDescent="0.25">
      <c r="A9106">
        <v>9</v>
      </c>
      <c r="B9106">
        <v>461</v>
      </c>
      <c r="C9106" t="str">
        <f t="shared" si="2068"/>
        <v>36</v>
      </c>
      <c r="D9106">
        <v>6399</v>
      </c>
      <c r="E9106" t="str">
        <f>"61"</f>
        <v>61</v>
      </c>
      <c r="F9106" t="str">
        <f>"101"</f>
        <v>101</v>
      </c>
      <c r="G9106">
        <v>9</v>
      </c>
      <c r="H9106" t="str">
        <f t="shared" si="2066"/>
        <v>99</v>
      </c>
      <c r="I9106" t="str">
        <f t="shared" si="2064"/>
        <v>0</v>
      </c>
      <c r="J9106" t="str">
        <f t="shared" si="2067"/>
        <v>00</v>
      </c>
      <c r="K9106">
        <v>20181116</v>
      </c>
      <c r="L9106" t="str">
        <f>"074655"</f>
        <v>074655</v>
      </c>
      <c r="M9106" t="str">
        <f>"04410"</f>
        <v>04410</v>
      </c>
      <c r="N9106" t="s">
        <v>410</v>
      </c>
      <c r="O9106">
        <v>43.05</v>
      </c>
      <c r="P9106">
        <v>20181115</v>
      </c>
      <c r="Q9106" t="s">
        <v>7007</v>
      </c>
      <c r="R9106" t="s">
        <v>7208</v>
      </c>
      <c r="S9106" t="s">
        <v>7000</v>
      </c>
      <c r="T9106" t="s">
        <v>1479</v>
      </c>
    </row>
    <row r="9107" spans="1:20" x14ac:dyDescent="0.25">
      <c r="A9107">
        <v>9</v>
      </c>
      <c r="B9107">
        <v>461</v>
      </c>
      <c r="C9107" t="str">
        <f t="shared" si="2068"/>
        <v>36</v>
      </c>
      <c r="D9107">
        <v>6399</v>
      </c>
      <c r="E9107" t="str">
        <f>"DC"</f>
        <v>DC</v>
      </c>
      <c r="F9107" t="str">
        <f>"101"</f>
        <v>101</v>
      </c>
      <c r="G9107">
        <v>9</v>
      </c>
      <c r="H9107" t="str">
        <f t="shared" si="2066"/>
        <v>99</v>
      </c>
      <c r="I9107" t="str">
        <f t="shared" si="2064"/>
        <v>0</v>
      </c>
      <c r="J9107" t="str">
        <f t="shared" si="2067"/>
        <v>00</v>
      </c>
      <c r="K9107">
        <v>20181116</v>
      </c>
      <c r="L9107" t="str">
        <f>"074655"</f>
        <v>074655</v>
      </c>
      <c r="M9107" t="str">
        <f>"04410"</f>
        <v>04410</v>
      </c>
      <c r="N9107" t="s">
        <v>410</v>
      </c>
      <c r="O9107">
        <v>53.97</v>
      </c>
      <c r="P9107">
        <v>20181115</v>
      </c>
      <c r="Q9107" t="s">
        <v>7156</v>
      </c>
      <c r="R9107" t="s">
        <v>7209</v>
      </c>
      <c r="S9107" t="s">
        <v>7000</v>
      </c>
      <c r="T9107" t="s">
        <v>1479</v>
      </c>
    </row>
    <row r="9108" spans="1:20" x14ac:dyDescent="0.25">
      <c r="A9108">
        <v>9</v>
      </c>
      <c r="B9108">
        <v>461</v>
      </c>
      <c r="C9108" t="str">
        <f t="shared" si="2068"/>
        <v>36</v>
      </c>
      <c r="D9108">
        <v>6649</v>
      </c>
      <c r="E9108" t="str">
        <f>"PR"</f>
        <v>PR</v>
      </c>
      <c r="F9108" t="str">
        <f>"104"</f>
        <v>104</v>
      </c>
      <c r="G9108">
        <v>9</v>
      </c>
      <c r="H9108" t="str">
        <f t="shared" si="2066"/>
        <v>99</v>
      </c>
      <c r="I9108" t="str">
        <f t="shared" si="2064"/>
        <v>0</v>
      </c>
      <c r="J9108" t="str">
        <f t="shared" si="2067"/>
        <v>00</v>
      </c>
      <c r="K9108">
        <v>20181116</v>
      </c>
      <c r="L9108" t="str">
        <f>"074655"</f>
        <v>074655</v>
      </c>
      <c r="M9108" t="str">
        <f>"04410"</f>
        <v>04410</v>
      </c>
      <c r="N9108" t="s">
        <v>410</v>
      </c>
      <c r="O9108" s="1">
        <v>1732.99</v>
      </c>
      <c r="P9108">
        <v>20181115</v>
      </c>
      <c r="Q9108" t="s">
        <v>7210</v>
      </c>
      <c r="R9108" t="s">
        <v>7211</v>
      </c>
      <c r="S9108" t="s">
        <v>7000</v>
      </c>
      <c r="T9108" t="s">
        <v>46</v>
      </c>
    </row>
    <row r="9109" spans="1:20" x14ac:dyDescent="0.25">
      <c r="A9109">
        <v>9</v>
      </c>
      <c r="B9109">
        <v>461</v>
      </c>
      <c r="C9109" t="str">
        <f t="shared" si="2068"/>
        <v>36</v>
      </c>
      <c r="D9109">
        <v>6399</v>
      </c>
      <c r="E9109" t="str">
        <f>"H2"</f>
        <v>H2</v>
      </c>
      <c r="F9109" t="str">
        <f>"001"</f>
        <v>001</v>
      </c>
      <c r="G9109">
        <v>9</v>
      </c>
      <c r="H9109" t="str">
        <f t="shared" si="2066"/>
        <v>99</v>
      </c>
      <c r="I9109" t="str">
        <f t="shared" si="2064"/>
        <v>0</v>
      </c>
      <c r="J9109" t="str">
        <f t="shared" si="2067"/>
        <v>00</v>
      </c>
      <c r="K9109">
        <v>20181116</v>
      </c>
      <c r="L9109" t="str">
        <f>"074656"</f>
        <v>074656</v>
      </c>
      <c r="M9109" t="str">
        <f>"05530"</f>
        <v>05530</v>
      </c>
      <c r="N9109" t="s">
        <v>947</v>
      </c>
      <c r="O9109">
        <v>236.55</v>
      </c>
      <c r="P9109">
        <v>20181115</v>
      </c>
      <c r="Q9109" t="s">
        <v>7033</v>
      </c>
      <c r="R9109" t="s">
        <v>7212</v>
      </c>
      <c r="S9109" t="s">
        <v>7000</v>
      </c>
      <c r="T9109" t="s">
        <v>301</v>
      </c>
    </row>
    <row r="9110" spans="1:20" x14ac:dyDescent="0.25">
      <c r="A9110">
        <v>9</v>
      </c>
      <c r="B9110">
        <v>461</v>
      </c>
      <c r="C9110" t="str">
        <f t="shared" si="2068"/>
        <v>36</v>
      </c>
      <c r="D9110">
        <v>6399</v>
      </c>
      <c r="E9110" t="str">
        <f>"3B"</f>
        <v>3B</v>
      </c>
      <c r="F9110" t="str">
        <f>"041"</f>
        <v>041</v>
      </c>
      <c r="G9110">
        <v>9</v>
      </c>
      <c r="H9110" t="str">
        <f>"91"</f>
        <v>91</v>
      </c>
      <c r="I9110" t="str">
        <f t="shared" si="2064"/>
        <v>0</v>
      </c>
      <c r="J9110" t="str">
        <f t="shared" si="2067"/>
        <v>00</v>
      </c>
      <c r="K9110">
        <v>20181116</v>
      </c>
      <c r="L9110" t="str">
        <f>"074663"</f>
        <v>074663</v>
      </c>
      <c r="M9110" t="str">
        <f>"00420"</f>
        <v>00420</v>
      </c>
      <c r="N9110" t="s">
        <v>7020</v>
      </c>
      <c r="O9110" s="1">
        <v>1282</v>
      </c>
      <c r="P9110">
        <v>20181115</v>
      </c>
      <c r="Q9110" t="s">
        <v>7213</v>
      </c>
      <c r="R9110" t="s">
        <v>7214</v>
      </c>
      <c r="S9110" t="s">
        <v>7000</v>
      </c>
      <c r="T9110" t="s">
        <v>106</v>
      </c>
    </row>
    <row r="9111" spans="1:20" x14ac:dyDescent="0.25">
      <c r="A9111">
        <v>9</v>
      </c>
      <c r="B9111">
        <v>461</v>
      </c>
      <c r="C9111" t="str">
        <f t="shared" si="2068"/>
        <v>36</v>
      </c>
      <c r="D9111">
        <v>6498</v>
      </c>
      <c r="E9111" t="str">
        <f>"PR"</f>
        <v>PR</v>
      </c>
      <c r="F9111" t="str">
        <f>"104"</f>
        <v>104</v>
      </c>
      <c r="G9111">
        <v>9</v>
      </c>
      <c r="H9111" t="str">
        <f>"99"</f>
        <v>99</v>
      </c>
      <c r="I9111" t="str">
        <f t="shared" si="2064"/>
        <v>0</v>
      </c>
      <c r="J9111" t="str">
        <f t="shared" si="2067"/>
        <v>00</v>
      </c>
      <c r="K9111">
        <v>20181116</v>
      </c>
      <c r="L9111" t="str">
        <f>"074673"</f>
        <v>074673</v>
      </c>
      <c r="M9111" t="str">
        <f>"21514"</f>
        <v>21514</v>
      </c>
      <c r="N9111" t="s">
        <v>5161</v>
      </c>
      <c r="O9111">
        <v>308.12</v>
      </c>
      <c r="P9111">
        <v>20181115</v>
      </c>
      <c r="Q9111" t="s">
        <v>7215</v>
      </c>
      <c r="R9111" t="s">
        <v>7216</v>
      </c>
      <c r="S9111" t="s">
        <v>7000</v>
      </c>
      <c r="T9111" t="s">
        <v>46</v>
      </c>
    </row>
    <row r="9112" spans="1:20" x14ac:dyDescent="0.25">
      <c r="A9112">
        <v>9</v>
      </c>
      <c r="B9112">
        <v>461</v>
      </c>
      <c r="C9112" t="str">
        <f t="shared" si="2068"/>
        <v>36</v>
      </c>
      <c r="D9112">
        <v>6498</v>
      </c>
      <c r="E9112" t="str">
        <f>"3V"</f>
        <v>3V</v>
      </c>
      <c r="F9112" t="str">
        <f>"041"</f>
        <v>041</v>
      </c>
      <c r="G9112">
        <v>9</v>
      </c>
      <c r="H9112" t="str">
        <f>"91"</f>
        <v>91</v>
      </c>
      <c r="I9112" t="str">
        <f t="shared" si="2064"/>
        <v>0</v>
      </c>
      <c r="J9112" t="str">
        <f t="shared" si="2067"/>
        <v>00</v>
      </c>
      <c r="K9112">
        <v>20181116</v>
      </c>
      <c r="L9112" t="str">
        <f>"074691"</f>
        <v>074691</v>
      </c>
      <c r="M9112" t="str">
        <f>"34949"</f>
        <v>34949</v>
      </c>
      <c r="N9112" t="s">
        <v>423</v>
      </c>
      <c r="O9112">
        <v>30</v>
      </c>
      <c r="P9112">
        <v>20181115</v>
      </c>
      <c r="Q9112" t="s">
        <v>7217</v>
      </c>
      <c r="R9112" t="s">
        <v>799</v>
      </c>
      <c r="S9112" t="s">
        <v>7000</v>
      </c>
      <c r="T9112" t="s">
        <v>106</v>
      </c>
    </row>
    <row r="9113" spans="1:20" x14ac:dyDescent="0.25">
      <c r="A9113">
        <v>9</v>
      </c>
      <c r="B9113">
        <v>461</v>
      </c>
      <c r="C9113" t="str">
        <f t="shared" si="2068"/>
        <v>36</v>
      </c>
      <c r="D9113">
        <v>6399</v>
      </c>
      <c r="E9113" t="str">
        <f>"3R"</f>
        <v>3R</v>
      </c>
      <c r="F9113" t="str">
        <f>"001"</f>
        <v>001</v>
      </c>
      <c r="G9113">
        <v>9</v>
      </c>
      <c r="H9113" t="str">
        <f>"91"</f>
        <v>91</v>
      </c>
      <c r="I9113" t="str">
        <f t="shared" si="2064"/>
        <v>0</v>
      </c>
      <c r="J9113" t="str">
        <f t="shared" si="2067"/>
        <v>00</v>
      </c>
      <c r="K9113">
        <v>20181116</v>
      </c>
      <c r="L9113" t="str">
        <f>"074703"</f>
        <v>074703</v>
      </c>
      <c r="M9113" t="str">
        <f>"49445"</f>
        <v>49445</v>
      </c>
      <c r="N9113" t="s">
        <v>986</v>
      </c>
      <c r="O9113" s="1">
        <v>1590</v>
      </c>
      <c r="P9113">
        <v>20181115</v>
      </c>
      <c r="Q9113" t="s">
        <v>7218</v>
      </c>
      <c r="R9113" t="s">
        <v>7219</v>
      </c>
      <c r="S9113" t="s">
        <v>7000</v>
      </c>
      <c r="T9113" t="s">
        <v>301</v>
      </c>
    </row>
    <row r="9114" spans="1:20" x14ac:dyDescent="0.25">
      <c r="A9114">
        <v>9</v>
      </c>
      <c r="B9114">
        <v>461</v>
      </c>
      <c r="C9114" t="str">
        <f t="shared" si="2068"/>
        <v>36</v>
      </c>
      <c r="D9114">
        <v>6399</v>
      </c>
      <c r="E9114" t="str">
        <f>"3R"</f>
        <v>3R</v>
      </c>
      <c r="F9114" t="str">
        <f>"001"</f>
        <v>001</v>
      </c>
      <c r="G9114">
        <v>9</v>
      </c>
      <c r="H9114" t="str">
        <f>"91"</f>
        <v>91</v>
      </c>
      <c r="I9114" t="str">
        <f t="shared" si="2064"/>
        <v>0</v>
      </c>
      <c r="J9114" t="str">
        <f t="shared" si="2067"/>
        <v>00</v>
      </c>
      <c r="K9114">
        <v>20181116</v>
      </c>
      <c r="L9114" t="str">
        <f>"074703"</f>
        <v>074703</v>
      </c>
      <c r="M9114" t="str">
        <f>"49445"</f>
        <v>49445</v>
      </c>
      <c r="N9114" t="s">
        <v>986</v>
      </c>
      <c r="O9114">
        <v>895</v>
      </c>
      <c r="P9114">
        <v>20181115</v>
      </c>
      <c r="Q9114" t="s">
        <v>7218</v>
      </c>
      <c r="R9114" t="s">
        <v>7220</v>
      </c>
      <c r="S9114" t="s">
        <v>7000</v>
      </c>
      <c r="T9114" t="s">
        <v>301</v>
      </c>
    </row>
    <row r="9115" spans="1:20" x14ac:dyDescent="0.25">
      <c r="A9115">
        <v>9</v>
      </c>
      <c r="B9115">
        <v>461</v>
      </c>
      <c r="C9115" t="str">
        <f t="shared" si="2068"/>
        <v>36</v>
      </c>
      <c r="D9115">
        <v>6399</v>
      </c>
      <c r="E9115" t="str">
        <f>"HC"</f>
        <v>HC</v>
      </c>
      <c r="F9115" t="str">
        <f>"001"</f>
        <v>001</v>
      </c>
      <c r="G9115">
        <v>9</v>
      </c>
      <c r="H9115" t="str">
        <f>"99"</f>
        <v>99</v>
      </c>
      <c r="I9115" t="str">
        <f t="shared" si="2064"/>
        <v>0</v>
      </c>
      <c r="J9115" t="str">
        <f t="shared" si="2067"/>
        <v>00</v>
      </c>
      <c r="K9115">
        <v>20181116</v>
      </c>
      <c r="L9115" t="str">
        <f>"074709"</f>
        <v>074709</v>
      </c>
      <c r="M9115" t="str">
        <f>"58204"</f>
        <v>58204</v>
      </c>
      <c r="N9115" t="s">
        <v>1767</v>
      </c>
      <c r="O9115">
        <v>56.27</v>
      </c>
      <c r="P9115">
        <v>20181115</v>
      </c>
      <c r="Q9115" t="s">
        <v>7221</v>
      </c>
      <c r="R9115" t="s">
        <v>1771</v>
      </c>
      <c r="S9115" t="s">
        <v>7000</v>
      </c>
      <c r="T9115" t="s">
        <v>301</v>
      </c>
    </row>
    <row r="9116" spans="1:20" x14ac:dyDescent="0.25">
      <c r="A9116">
        <v>9</v>
      </c>
      <c r="B9116">
        <v>461</v>
      </c>
      <c r="C9116" t="str">
        <f t="shared" si="2068"/>
        <v>36</v>
      </c>
      <c r="D9116">
        <v>6399</v>
      </c>
      <c r="E9116" t="str">
        <f>"61"</f>
        <v>61</v>
      </c>
      <c r="F9116" t="str">
        <f>"041"</f>
        <v>041</v>
      </c>
      <c r="G9116">
        <v>9</v>
      </c>
      <c r="H9116" t="str">
        <f>"99"</f>
        <v>99</v>
      </c>
      <c r="I9116" t="str">
        <f t="shared" si="2064"/>
        <v>0</v>
      </c>
      <c r="J9116" t="str">
        <f t="shared" si="2067"/>
        <v>00</v>
      </c>
      <c r="K9116">
        <v>20181116</v>
      </c>
      <c r="L9116" t="str">
        <f>"074710"</f>
        <v>074710</v>
      </c>
      <c r="M9116" t="str">
        <f>"58202"</f>
        <v>58202</v>
      </c>
      <c r="N9116" t="s">
        <v>2781</v>
      </c>
      <c r="O9116">
        <v>38.5</v>
      </c>
      <c r="P9116">
        <v>20181115</v>
      </c>
      <c r="Q9116" t="s">
        <v>7131</v>
      </c>
      <c r="R9116" t="s">
        <v>7222</v>
      </c>
      <c r="S9116" t="s">
        <v>7000</v>
      </c>
      <c r="T9116" t="s">
        <v>106</v>
      </c>
    </row>
    <row r="9117" spans="1:20" x14ac:dyDescent="0.25">
      <c r="A9117">
        <v>9</v>
      </c>
      <c r="B9117">
        <v>461</v>
      </c>
      <c r="C9117" t="str">
        <f t="shared" si="2068"/>
        <v>36</v>
      </c>
      <c r="D9117">
        <v>6399</v>
      </c>
      <c r="E9117" t="str">
        <f>"7E"</f>
        <v>7E</v>
      </c>
      <c r="F9117" t="str">
        <f>"001"</f>
        <v>001</v>
      </c>
      <c r="G9117">
        <v>9</v>
      </c>
      <c r="H9117" t="str">
        <f>"99"</f>
        <v>99</v>
      </c>
      <c r="I9117" t="str">
        <f t="shared" si="2064"/>
        <v>0</v>
      </c>
      <c r="J9117" t="str">
        <f t="shared" si="2067"/>
        <v>00</v>
      </c>
      <c r="K9117">
        <v>20181116</v>
      </c>
      <c r="L9117" t="str">
        <f>"074726"</f>
        <v>074726</v>
      </c>
      <c r="M9117" t="str">
        <f>"70641"</f>
        <v>70641</v>
      </c>
      <c r="N9117" t="s">
        <v>5196</v>
      </c>
      <c r="O9117" s="1">
        <v>1046.75</v>
      </c>
      <c r="P9117">
        <v>20181115</v>
      </c>
      <c r="Q9117" t="s">
        <v>7055</v>
      </c>
      <c r="R9117" t="s">
        <v>7223</v>
      </c>
      <c r="S9117" t="s">
        <v>7000</v>
      </c>
      <c r="T9117" t="s">
        <v>301</v>
      </c>
    </row>
    <row r="9118" spans="1:20" x14ac:dyDescent="0.25">
      <c r="A9118">
        <v>9</v>
      </c>
      <c r="B9118">
        <v>461</v>
      </c>
      <c r="C9118" t="str">
        <f t="shared" si="2068"/>
        <v>36</v>
      </c>
      <c r="D9118">
        <v>6412</v>
      </c>
      <c r="E9118" t="str">
        <f>"3D"</f>
        <v>3D</v>
      </c>
      <c r="F9118" t="str">
        <f>"041"</f>
        <v>041</v>
      </c>
      <c r="G9118">
        <v>9</v>
      </c>
      <c r="H9118" t="str">
        <f t="shared" ref="H9118:H9124" si="2069">"91"</f>
        <v>91</v>
      </c>
      <c r="I9118" t="str">
        <f t="shared" si="2064"/>
        <v>0</v>
      </c>
      <c r="J9118" t="str">
        <f t="shared" si="2067"/>
        <v>00</v>
      </c>
      <c r="K9118">
        <v>20181116</v>
      </c>
      <c r="L9118" t="str">
        <f>"074736"</f>
        <v>074736</v>
      </c>
      <c r="M9118" t="str">
        <f>"84370"</f>
        <v>84370</v>
      </c>
      <c r="N9118" t="s">
        <v>395</v>
      </c>
      <c r="O9118">
        <v>130.83000000000001</v>
      </c>
      <c r="P9118">
        <v>20181115</v>
      </c>
      <c r="Q9118" t="s">
        <v>7224</v>
      </c>
      <c r="R9118" t="s">
        <v>7225</v>
      </c>
      <c r="S9118" t="s">
        <v>7000</v>
      </c>
      <c r="T9118" t="s">
        <v>106</v>
      </c>
    </row>
    <row r="9119" spans="1:20" x14ac:dyDescent="0.25">
      <c r="A9119">
        <v>9</v>
      </c>
      <c r="B9119">
        <v>461</v>
      </c>
      <c r="C9119" t="str">
        <f t="shared" si="2068"/>
        <v>36</v>
      </c>
      <c r="D9119">
        <v>6399</v>
      </c>
      <c r="E9119" t="str">
        <f>"3C"</f>
        <v>3C</v>
      </c>
      <c r="F9119" t="str">
        <f>"041"</f>
        <v>041</v>
      </c>
      <c r="G9119">
        <v>9</v>
      </c>
      <c r="H9119" t="str">
        <f t="shared" si="2069"/>
        <v>91</v>
      </c>
      <c r="I9119" t="str">
        <f t="shared" si="2064"/>
        <v>0</v>
      </c>
      <c r="J9119" t="str">
        <f t="shared" si="2067"/>
        <v>00</v>
      </c>
      <c r="K9119">
        <v>20181130</v>
      </c>
      <c r="L9119" t="str">
        <f>"074741"</f>
        <v>074741</v>
      </c>
      <c r="M9119" t="str">
        <f>"01150"</f>
        <v>01150</v>
      </c>
      <c r="N9119" t="s">
        <v>7226</v>
      </c>
      <c r="O9119">
        <v>297</v>
      </c>
      <c r="P9119">
        <v>20181128</v>
      </c>
      <c r="Q9119" t="s">
        <v>7227</v>
      </c>
      <c r="R9119" t="s">
        <v>7228</v>
      </c>
      <c r="S9119" t="s">
        <v>7000</v>
      </c>
      <c r="T9119" t="s">
        <v>106</v>
      </c>
    </row>
    <row r="9120" spans="1:20" x14ac:dyDescent="0.25">
      <c r="A9120">
        <v>9</v>
      </c>
      <c r="B9120">
        <v>461</v>
      </c>
      <c r="C9120" t="str">
        <f t="shared" si="2068"/>
        <v>36</v>
      </c>
      <c r="D9120">
        <v>6399</v>
      </c>
      <c r="E9120" t="str">
        <f>"3G"</f>
        <v>3G</v>
      </c>
      <c r="F9120" t="str">
        <f>"001"</f>
        <v>001</v>
      </c>
      <c r="G9120">
        <v>9</v>
      </c>
      <c r="H9120" t="str">
        <f t="shared" si="2069"/>
        <v>91</v>
      </c>
      <c r="I9120" t="str">
        <f t="shared" si="2064"/>
        <v>0</v>
      </c>
      <c r="J9120" t="str">
        <f t="shared" si="2067"/>
        <v>00</v>
      </c>
      <c r="K9120">
        <v>20181130</v>
      </c>
      <c r="L9120" t="str">
        <f>"074741"</f>
        <v>074741</v>
      </c>
      <c r="M9120" t="str">
        <f>"01150"</f>
        <v>01150</v>
      </c>
      <c r="N9120" t="s">
        <v>7226</v>
      </c>
      <c r="O9120">
        <v>568.5</v>
      </c>
      <c r="P9120">
        <v>20181128</v>
      </c>
      <c r="Q9120" t="s">
        <v>7229</v>
      </c>
      <c r="R9120" t="s">
        <v>7230</v>
      </c>
      <c r="S9120" t="s">
        <v>7000</v>
      </c>
      <c r="T9120" t="s">
        <v>301</v>
      </c>
    </row>
    <row r="9121" spans="1:20" x14ac:dyDescent="0.25">
      <c r="A9121">
        <v>9</v>
      </c>
      <c r="B9121">
        <v>461</v>
      </c>
      <c r="C9121" t="str">
        <f t="shared" si="2068"/>
        <v>36</v>
      </c>
      <c r="D9121">
        <v>6399</v>
      </c>
      <c r="E9121" t="str">
        <f>"3T"</f>
        <v>3T</v>
      </c>
      <c r="F9121" t="str">
        <f>"001"</f>
        <v>001</v>
      </c>
      <c r="G9121">
        <v>9</v>
      </c>
      <c r="H9121" t="str">
        <f t="shared" si="2069"/>
        <v>91</v>
      </c>
      <c r="I9121" t="str">
        <f t="shared" si="2064"/>
        <v>0</v>
      </c>
      <c r="J9121" t="str">
        <f t="shared" si="2067"/>
        <v>00</v>
      </c>
      <c r="K9121">
        <v>20181130</v>
      </c>
      <c r="L9121" t="str">
        <f>"074741"</f>
        <v>074741</v>
      </c>
      <c r="M9121" t="str">
        <f>"01150"</f>
        <v>01150</v>
      </c>
      <c r="N9121" t="s">
        <v>7226</v>
      </c>
      <c r="O9121">
        <v>298</v>
      </c>
      <c r="P9121">
        <v>20181128</v>
      </c>
      <c r="Q9121" t="s">
        <v>7053</v>
      </c>
      <c r="R9121" t="s">
        <v>7231</v>
      </c>
      <c r="S9121" t="s">
        <v>7000</v>
      </c>
      <c r="T9121" t="s">
        <v>301</v>
      </c>
    </row>
    <row r="9122" spans="1:20" x14ac:dyDescent="0.25">
      <c r="A9122">
        <v>9</v>
      </c>
      <c r="B9122">
        <v>461</v>
      </c>
      <c r="C9122" t="str">
        <f t="shared" si="2068"/>
        <v>36</v>
      </c>
      <c r="D9122">
        <v>6399</v>
      </c>
      <c r="E9122" t="str">
        <f>"3V"</f>
        <v>3V</v>
      </c>
      <c r="F9122" t="str">
        <f>"041"</f>
        <v>041</v>
      </c>
      <c r="G9122">
        <v>9</v>
      </c>
      <c r="H9122" t="str">
        <f t="shared" si="2069"/>
        <v>91</v>
      </c>
      <c r="I9122" t="str">
        <f t="shared" si="2064"/>
        <v>0</v>
      </c>
      <c r="J9122" t="str">
        <f t="shared" si="2067"/>
        <v>00</v>
      </c>
      <c r="K9122">
        <v>20181130</v>
      </c>
      <c r="L9122" t="str">
        <f>"074741"</f>
        <v>074741</v>
      </c>
      <c r="M9122" t="str">
        <f>"01150"</f>
        <v>01150</v>
      </c>
      <c r="N9122" t="s">
        <v>7226</v>
      </c>
      <c r="O9122">
        <v>282</v>
      </c>
      <c r="P9122">
        <v>20181128</v>
      </c>
      <c r="Q9122" t="s">
        <v>7054</v>
      </c>
      <c r="R9122" t="s">
        <v>7231</v>
      </c>
      <c r="S9122" t="s">
        <v>7000</v>
      </c>
      <c r="T9122" t="s">
        <v>106</v>
      </c>
    </row>
    <row r="9123" spans="1:20" x14ac:dyDescent="0.25">
      <c r="A9123">
        <v>9</v>
      </c>
      <c r="B9123">
        <v>461</v>
      </c>
      <c r="C9123" t="str">
        <f t="shared" si="2068"/>
        <v>36</v>
      </c>
      <c r="D9123">
        <v>6412</v>
      </c>
      <c r="E9123" t="str">
        <f>"3S"</f>
        <v>3S</v>
      </c>
      <c r="F9123" t="str">
        <f t="shared" ref="F9123:F9134" si="2070">"001"</f>
        <v>001</v>
      </c>
      <c r="G9123">
        <v>9</v>
      </c>
      <c r="H9123" t="str">
        <f t="shared" si="2069"/>
        <v>91</v>
      </c>
      <c r="I9123" t="str">
        <f t="shared" si="2064"/>
        <v>0</v>
      </c>
      <c r="J9123" t="str">
        <f t="shared" si="2067"/>
        <v>00</v>
      </c>
      <c r="K9123">
        <v>20181130</v>
      </c>
      <c r="L9123" t="str">
        <f>"074745"</f>
        <v>074745</v>
      </c>
      <c r="M9123" t="str">
        <f>"03332"</f>
        <v>03332</v>
      </c>
      <c r="N9123" t="s">
        <v>458</v>
      </c>
      <c r="O9123">
        <v>355</v>
      </c>
      <c r="P9123">
        <v>20181129</v>
      </c>
      <c r="Q9123" t="s">
        <v>7143</v>
      </c>
      <c r="R9123" t="s">
        <v>678</v>
      </c>
      <c r="S9123" t="s">
        <v>7000</v>
      </c>
      <c r="T9123" t="s">
        <v>301</v>
      </c>
    </row>
    <row r="9124" spans="1:20" x14ac:dyDescent="0.25">
      <c r="A9124">
        <v>9</v>
      </c>
      <c r="B9124">
        <v>461</v>
      </c>
      <c r="C9124" t="str">
        <f t="shared" si="2068"/>
        <v>36</v>
      </c>
      <c r="D9124">
        <v>6412</v>
      </c>
      <c r="E9124" t="str">
        <f>"3S"</f>
        <v>3S</v>
      </c>
      <c r="F9124" t="str">
        <f t="shared" si="2070"/>
        <v>001</v>
      </c>
      <c r="G9124">
        <v>9</v>
      </c>
      <c r="H9124" t="str">
        <f t="shared" si="2069"/>
        <v>91</v>
      </c>
      <c r="I9124" t="str">
        <f t="shared" si="2064"/>
        <v>0</v>
      </c>
      <c r="J9124" t="str">
        <f t="shared" si="2067"/>
        <v>00</v>
      </c>
      <c r="K9124">
        <v>20181130</v>
      </c>
      <c r="L9124" t="str">
        <f>"074745"</f>
        <v>074745</v>
      </c>
      <c r="M9124" t="str">
        <f>"03332"</f>
        <v>03332</v>
      </c>
      <c r="N9124" t="s">
        <v>458</v>
      </c>
      <c r="O9124">
        <v>50</v>
      </c>
      <c r="P9124">
        <v>20181129</v>
      </c>
      <c r="Q9124" t="s">
        <v>7143</v>
      </c>
      <c r="R9124" t="s">
        <v>678</v>
      </c>
      <c r="S9124" t="s">
        <v>7000</v>
      </c>
      <c r="T9124" t="s">
        <v>301</v>
      </c>
    </row>
    <row r="9125" spans="1:20" x14ac:dyDescent="0.25">
      <c r="A9125">
        <v>9</v>
      </c>
      <c r="B9125">
        <v>461</v>
      </c>
      <c r="C9125" t="str">
        <f t="shared" si="2068"/>
        <v>36</v>
      </c>
      <c r="D9125">
        <v>6399</v>
      </c>
      <c r="E9125" t="str">
        <f>"61"</f>
        <v>61</v>
      </c>
      <c r="F9125" t="str">
        <f t="shared" si="2070"/>
        <v>001</v>
      </c>
      <c r="G9125">
        <v>9</v>
      </c>
      <c r="H9125" t="str">
        <f>"99"</f>
        <v>99</v>
      </c>
      <c r="I9125" t="str">
        <f t="shared" si="2064"/>
        <v>0</v>
      </c>
      <c r="J9125" t="str">
        <f t="shared" si="2067"/>
        <v>00</v>
      </c>
      <c r="K9125">
        <v>20181130</v>
      </c>
      <c r="L9125" t="str">
        <f>"074746"</f>
        <v>074746</v>
      </c>
      <c r="M9125" t="str">
        <f>"04410"</f>
        <v>04410</v>
      </c>
      <c r="N9125" t="s">
        <v>410</v>
      </c>
      <c r="O9125">
        <v>39.020000000000003</v>
      </c>
      <c r="P9125">
        <v>20181128</v>
      </c>
      <c r="Q9125" t="s">
        <v>7095</v>
      </c>
      <c r="R9125" t="s">
        <v>7232</v>
      </c>
      <c r="S9125" t="s">
        <v>7000</v>
      </c>
      <c r="T9125" t="s">
        <v>301</v>
      </c>
    </row>
    <row r="9126" spans="1:20" x14ac:dyDescent="0.25">
      <c r="A9126">
        <v>9</v>
      </c>
      <c r="B9126">
        <v>461</v>
      </c>
      <c r="C9126" t="str">
        <f t="shared" si="2068"/>
        <v>36</v>
      </c>
      <c r="D9126">
        <v>6399</v>
      </c>
      <c r="E9126" t="str">
        <f>"7K"</f>
        <v>7K</v>
      </c>
      <c r="F9126" t="str">
        <f t="shared" si="2070"/>
        <v>001</v>
      </c>
      <c r="G9126">
        <v>9</v>
      </c>
      <c r="H9126" t="str">
        <f>"99"</f>
        <v>99</v>
      </c>
      <c r="I9126" t="str">
        <f t="shared" si="2064"/>
        <v>0</v>
      </c>
      <c r="J9126" t="str">
        <f t="shared" si="2067"/>
        <v>00</v>
      </c>
      <c r="K9126">
        <v>20181130</v>
      </c>
      <c r="L9126" t="str">
        <f>"074750"</f>
        <v>074750</v>
      </c>
      <c r="M9126" t="str">
        <f>"09170"</f>
        <v>09170</v>
      </c>
      <c r="N9126" t="s">
        <v>679</v>
      </c>
      <c r="O9126">
        <v>100</v>
      </c>
      <c r="P9126">
        <v>20181128</v>
      </c>
      <c r="Q9126" t="s">
        <v>7056</v>
      </c>
      <c r="R9126" t="s">
        <v>2975</v>
      </c>
      <c r="S9126" t="s">
        <v>7000</v>
      </c>
      <c r="T9126" t="s">
        <v>301</v>
      </c>
    </row>
    <row r="9127" spans="1:20" x14ac:dyDescent="0.25">
      <c r="A9127">
        <v>9</v>
      </c>
      <c r="B9127">
        <v>461</v>
      </c>
      <c r="C9127" t="str">
        <f t="shared" si="2068"/>
        <v>36</v>
      </c>
      <c r="D9127">
        <v>6412</v>
      </c>
      <c r="E9127" t="str">
        <f>"3B"</f>
        <v>3B</v>
      </c>
      <c r="F9127" t="str">
        <f t="shared" si="2070"/>
        <v>001</v>
      </c>
      <c r="G9127">
        <v>9</v>
      </c>
      <c r="H9127" t="str">
        <f>"91"</f>
        <v>91</v>
      </c>
      <c r="I9127" t="str">
        <f t="shared" si="2064"/>
        <v>0</v>
      </c>
      <c r="J9127" t="str">
        <f t="shared" si="2067"/>
        <v>00</v>
      </c>
      <c r="K9127">
        <v>20181130</v>
      </c>
      <c r="L9127" t="str">
        <f>"074750"</f>
        <v>074750</v>
      </c>
      <c r="M9127" t="str">
        <f>"09170"</f>
        <v>09170</v>
      </c>
      <c r="N9127" t="s">
        <v>679</v>
      </c>
      <c r="O9127" s="1">
        <v>1141</v>
      </c>
      <c r="P9127">
        <v>20181128</v>
      </c>
      <c r="Q9127" t="s">
        <v>7178</v>
      </c>
      <c r="R9127" t="s">
        <v>7179</v>
      </c>
      <c r="S9127" t="s">
        <v>7000</v>
      </c>
      <c r="T9127" t="s">
        <v>301</v>
      </c>
    </row>
    <row r="9128" spans="1:20" x14ac:dyDescent="0.25">
      <c r="A9128">
        <v>9</v>
      </c>
      <c r="B9128">
        <v>461</v>
      </c>
      <c r="C9128" t="str">
        <f t="shared" si="2068"/>
        <v>36</v>
      </c>
      <c r="D9128">
        <v>6299</v>
      </c>
      <c r="E9128" t="str">
        <f>"7K"</f>
        <v>7K</v>
      </c>
      <c r="F9128" t="str">
        <f t="shared" si="2070"/>
        <v>001</v>
      </c>
      <c r="G9128">
        <v>9</v>
      </c>
      <c r="H9128" t="str">
        <f>"99"</f>
        <v>99</v>
      </c>
      <c r="I9128" t="str">
        <f t="shared" si="2064"/>
        <v>0</v>
      </c>
      <c r="J9128" t="str">
        <f t="shared" si="2067"/>
        <v>00</v>
      </c>
      <c r="K9128">
        <v>20181130</v>
      </c>
      <c r="L9128" t="str">
        <f>"074752"</f>
        <v>074752</v>
      </c>
      <c r="M9128" t="str">
        <f>"00580"</f>
        <v>00580</v>
      </c>
      <c r="N9128" t="s">
        <v>2718</v>
      </c>
      <c r="O9128">
        <v>100</v>
      </c>
      <c r="P9128">
        <v>20181129</v>
      </c>
      <c r="Q9128" t="s">
        <v>7205</v>
      </c>
      <c r="R9128" t="s">
        <v>7233</v>
      </c>
      <c r="S9128" t="s">
        <v>7000</v>
      </c>
      <c r="T9128" t="s">
        <v>301</v>
      </c>
    </row>
    <row r="9129" spans="1:20" x14ac:dyDescent="0.25">
      <c r="A9129">
        <v>9</v>
      </c>
      <c r="B9129">
        <v>461</v>
      </c>
      <c r="C9129" t="str">
        <f t="shared" si="2068"/>
        <v>36</v>
      </c>
      <c r="D9129">
        <v>6299</v>
      </c>
      <c r="E9129" t="str">
        <f>"7K"</f>
        <v>7K</v>
      </c>
      <c r="F9129" t="str">
        <f t="shared" si="2070"/>
        <v>001</v>
      </c>
      <c r="G9129">
        <v>9</v>
      </c>
      <c r="H9129" t="str">
        <f>"99"</f>
        <v>99</v>
      </c>
      <c r="I9129" t="str">
        <f t="shared" si="2064"/>
        <v>0</v>
      </c>
      <c r="J9129" t="str">
        <f t="shared" si="2067"/>
        <v>00</v>
      </c>
      <c r="K9129">
        <v>20181130</v>
      </c>
      <c r="L9129" t="str">
        <f>"074754"</f>
        <v>074754</v>
      </c>
      <c r="M9129" t="str">
        <f>"13165"</f>
        <v>13165</v>
      </c>
      <c r="N9129" t="s">
        <v>1872</v>
      </c>
      <c r="O9129">
        <v>100</v>
      </c>
      <c r="P9129">
        <v>20181128</v>
      </c>
      <c r="Q9129" t="s">
        <v>7205</v>
      </c>
      <c r="R9129" t="s">
        <v>7233</v>
      </c>
      <c r="S9129" t="s">
        <v>7000</v>
      </c>
      <c r="T9129" t="s">
        <v>301</v>
      </c>
    </row>
    <row r="9130" spans="1:20" x14ac:dyDescent="0.25">
      <c r="A9130">
        <v>9</v>
      </c>
      <c r="B9130">
        <v>461</v>
      </c>
      <c r="C9130" t="str">
        <f t="shared" si="2068"/>
        <v>36</v>
      </c>
      <c r="D9130">
        <v>6412</v>
      </c>
      <c r="E9130" t="str">
        <f>"3S"</f>
        <v>3S</v>
      </c>
      <c r="F9130" t="str">
        <f t="shared" si="2070"/>
        <v>001</v>
      </c>
      <c r="G9130">
        <v>9</v>
      </c>
      <c r="H9130" t="str">
        <f>"91"</f>
        <v>91</v>
      </c>
      <c r="I9130" t="str">
        <f t="shared" si="2064"/>
        <v>0</v>
      </c>
      <c r="J9130" t="str">
        <f t="shared" si="2067"/>
        <v>00</v>
      </c>
      <c r="K9130">
        <v>20181130</v>
      </c>
      <c r="L9130" t="str">
        <f>"074755"</f>
        <v>074755</v>
      </c>
      <c r="M9130" t="str">
        <f>"13076"</f>
        <v>13076</v>
      </c>
      <c r="N9130" t="s">
        <v>682</v>
      </c>
      <c r="O9130">
        <v>178</v>
      </c>
      <c r="P9130">
        <v>20181129</v>
      </c>
      <c r="Q9130" t="s">
        <v>7143</v>
      </c>
      <c r="R9130" t="s">
        <v>678</v>
      </c>
      <c r="S9130" t="s">
        <v>7000</v>
      </c>
      <c r="T9130" t="s">
        <v>301</v>
      </c>
    </row>
    <row r="9131" spans="1:20" x14ac:dyDescent="0.25">
      <c r="A9131">
        <v>9</v>
      </c>
      <c r="B9131">
        <v>461</v>
      </c>
      <c r="C9131" t="str">
        <f t="shared" si="2068"/>
        <v>36</v>
      </c>
      <c r="D9131">
        <v>6399</v>
      </c>
      <c r="E9131" t="str">
        <f>"38"</f>
        <v>38</v>
      </c>
      <c r="F9131" t="str">
        <f t="shared" si="2070"/>
        <v>001</v>
      </c>
      <c r="G9131">
        <v>9</v>
      </c>
      <c r="H9131" t="str">
        <f>"91"</f>
        <v>91</v>
      </c>
      <c r="I9131" t="str">
        <f t="shared" si="2064"/>
        <v>0</v>
      </c>
      <c r="J9131" t="str">
        <f t="shared" si="2067"/>
        <v>00</v>
      </c>
      <c r="K9131">
        <v>20181130</v>
      </c>
      <c r="L9131" t="str">
        <f>"074756"</f>
        <v>074756</v>
      </c>
      <c r="M9131" t="str">
        <f>"08788"</f>
        <v>08788</v>
      </c>
      <c r="N9131" t="s">
        <v>473</v>
      </c>
      <c r="O9131" s="1">
        <v>1063.06</v>
      </c>
      <c r="P9131">
        <v>20181128</v>
      </c>
      <c r="Q9131" t="s">
        <v>7094</v>
      </c>
      <c r="R9131" t="s">
        <v>7234</v>
      </c>
      <c r="S9131" t="s">
        <v>7000</v>
      </c>
      <c r="T9131" t="s">
        <v>301</v>
      </c>
    </row>
    <row r="9132" spans="1:20" x14ac:dyDescent="0.25">
      <c r="A9132">
        <v>9</v>
      </c>
      <c r="B9132">
        <v>461</v>
      </c>
      <c r="C9132" t="str">
        <f t="shared" si="2068"/>
        <v>36</v>
      </c>
      <c r="D9132">
        <v>6399</v>
      </c>
      <c r="E9132" t="str">
        <f>"3B"</f>
        <v>3B</v>
      </c>
      <c r="F9132" t="str">
        <f t="shared" si="2070"/>
        <v>001</v>
      </c>
      <c r="G9132">
        <v>9</v>
      </c>
      <c r="H9132" t="str">
        <f>"91"</f>
        <v>91</v>
      </c>
      <c r="I9132" t="str">
        <f t="shared" si="2064"/>
        <v>0</v>
      </c>
      <c r="J9132" t="str">
        <f t="shared" si="2067"/>
        <v>00</v>
      </c>
      <c r="K9132">
        <v>20181130</v>
      </c>
      <c r="L9132" t="str">
        <f>"074756"</f>
        <v>074756</v>
      </c>
      <c r="M9132" t="str">
        <f>"08788"</f>
        <v>08788</v>
      </c>
      <c r="N9132" t="s">
        <v>473</v>
      </c>
      <c r="O9132" s="1">
        <v>1788.08</v>
      </c>
      <c r="P9132">
        <v>20181128</v>
      </c>
      <c r="Q9132" t="s">
        <v>7024</v>
      </c>
      <c r="R9132" t="s">
        <v>7235</v>
      </c>
      <c r="S9132" t="s">
        <v>7000</v>
      </c>
      <c r="T9132" t="s">
        <v>301</v>
      </c>
    </row>
    <row r="9133" spans="1:20" x14ac:dyDescent="0.25">
      <c r="A9133">
        <v>9</v>
      </c>
      <c r="B9133">
        <v>461</v>
      </c>
      <c r="C9133" t="str">
        <f t="shared" si="2068"/>
        <v>36</v>
      </c>
      <c r="D9133">
        <v>6399</v>
      </c>
      <c r="E9133" t="str">
        <f>"3B"</f>
        <v>3B</v>
      </c>
      <c r="F9133" t="str">
        <f t="shared" si="2070"/>
        <v>001</v>
      </c>
      <c r="G9133">
        <v>9</v>
      </c>
      <c r="H9133" t="str">
        <f>"91"</f>
        <v>91</v>
      </c>
      <c r="I9133" t="str">
        <f t="shared" si="2064"/>
        <v>0</v>
      </c>
      <c r="J9133" t="str">
        <f t="shared" si="2067"/>
        <v>00</v>
      </c>
      <c r="K9133">
        <v>20181130</v>
      </c>
      <c r="L9133" t="str">
        <f>"074756"</f>
        <v>074756</v>
      </c>
      <c r="M9133" t="str">
        <f>"08788"</f>
        <v>08788</v>
      </c>
      <c r="N9133" t="s">
        <v>473</v>
      </c>
      <c r="O9133">
        <v>204.78</v>
      </c>
      <c r="P9133">
        <v>20181128</v>
      </c>
      <c r="Q9133" t="s">
        <v>7024</v>
      </c>
      <c r="R9133" t="s">
        <v>7236</v>
      </c>
      <c r="S9133" t="s">
        <v>7000</v>
      </c>
      <c r="T9133" t="s">
        <v>301</v>
      </c>
    </row>
    <row r="9134" spans="1:20" x14ac:dyDescent="0.25">
      <c r="A9134">
        <v>9</v>
      </c>
      <c r="B9134">
        <v>461</v>
      </c>
      <c r="C9134" t="str">
        <f t="shared" si="2068"/>
        <v>36</v>
      </c>
      <c r="D9134">
        <v>6299</v>
      </c>
      <c r="E9134" t="str">
        <f>"7K"</f>
        <v>7K</v>
      </c>
      <c r="F9134" t="str">
        <f t="shared" si="2070"/>
        <v>001</v>
      </c>
      <c r="G9134">
        <v>9</v>
      </c>
      <c r="H9134" t="str">
        <f>"99"</f>
        <v>99</v>
      </c>
      <c r="I9134" t="str">
        <f t="shared" si="2064"/>
        <v>0</v>
      </c>
      <c r="J9134" t="str">
        <f t="shared" si="2067"/>
        <v>00</v>
      </c>
      <c r="K9134">
        <v>20181130</v>
      </c>
      <c r="L9134" t="str">
        <f>"074762"</f>
        <v>074762</v>
      </c>
      <c r="M9134" t="str">
        <f>"20427"</f>
        <v>20427</v>
      </c>
      <c r="N9134" t="s">
        <v>7237</v>
      </c>
      <c r="O9134">
        <v>300</v>
      </c>
      <c r="P9134">
        <v>20181128</v>
      </c>
      <c r="Q9134" t="s">
        <v>7205</v>
      </c>
      <c r="R9134" t="s">
        <v>2975</v>
      </c>
      <c r="S9134" t="s">
        <v>7000</v>
      </c>
      <c r="T9134" t="s">
        <v>301</v>
      </c>
    </row>
    <row r="9135" spans="1:20" x14ac:dyDescent="0.25">
      <c r="A9135">
        <v>9</v>
      </c>
      <c r="B9135">
        <v>461</v>
      </c>
      <c r="C9135" t="str">
        <f t="shared" si="2068"/>
        <v>36</v>
      </c>
      <c r="D9135">
        <v>6399</v>
      </c>
      <c r="E9135" t="str">
        <f>"7U"</f>
        <v>7U</v>
      </c>
      <c r="F9135" t="str">
        <f>"104"</f>
        <v>104</v>
      </c>
      <c r="G9135">
        <v>9</v>
      </c>
      <c r="H9135" t="str">
        <f>"99"</f>
        <v>99</v>
      </c>
      <c r="I9135" t="str">
        <f t="shared" si="2064"/>
        <v>0</v>
      </c>
      <c r="J9135" t="str">
        <f t="shared" si="2067"/>
        <v>00</v>
      </c>
      <c r="K9135">
        <v>20181130</v>
      </c>
      <c r="L9135" t="str">
        <f>"074775"</f>
        <v>074775</v>
      </c>
      <c r="M9135" t="str">
        <f>"30390"</f>
        <v>30390</v>
      </c>
      <c r="N9135" t="s">
        <v>2624</v>
      </c>
      <c r="O9135">
        <v>94.95</v>
      </c>
      <c r="P9135">
        <v>20181128</v>
      </c>
      <c r="Q9135" t="s">
        <v>7193</v>
      </c>
      <c r="R9135" t="s">
        <v>1945</v>
      </c>
      <c r="S9135" t="s">
        <v>7000</v>
      </c>
      <c r="T9135" t="s">
        <v>46</v>
      </c>
    </row>
    <row r="9136" spans="1:20" x14ac:dyDescent="0.25">
      <c r="A9136">
        <v>9</v>
      </c>
      <c r="B9136">
        <v>461</v>
      </c>
      <c r="C9136" t="str">
        <f t="shared" si="2068"/>
        <v>36</v>
      </c>
      <c r="D9136">
        <v>6399</v>
      </c>
      <c r="E9136" t="str">
        <f>"00"</f>
        <v>00</v>
      </c>
      <c r="F9136" t="str">
        <f>"942"</f>
        <v>942</v>
      </c>
      <c r="G9136">
        <v>9</v>
      </c>
      <c r="H9136" t="str">
        <f>"99"</f>
        <v>99</v>
      </c>
      <c r="I9136" t="str">
        <f t="shared" si="2064"/>
        <v>0</v>
      </c>
      <c r="J9136" t="str">
        <f>"88"</f>
        <v>88</v>
      </c>
      <c r="K9136">
        <v>20181130</v>
      </c>
      <c r="L9136" t="str">
        <f>"074779"</f>
        <v>074779</v>
      </c>
      <c r="M9136" t="str">
        <f>"31345"</f>
        <v>31345</v>
      </c>
      <c r="N9136" t="s">
        <v>1394</v>
      </c>
      <c r="O9136">
        <v>552</v>
      </c>
      <c r="P9136">
        <v>20181128</v>
      </c>
      <c r="Q9136" t="s">
        <v>7018</v>
      </c>
      <c r="R9136" t="s">
        <v>3781</v>
      </c>
      <c r="S9136" t="s">
        <v>7000</v>
      </c>
      <c r="T9136" t="s">
        <v>1831</v>
      </c>
    </row>
    <row r="9137" spans="1:20" x14ac:dyDescent="0.25">
      <c r="A9137">
        <v>9</v>
      </c>
      <c r="B9137">
        <v>461</v>
      </c>
      <c r="C9137" t="str">
        <f t="shared" si="2068"/>
        <v>36</v>
      </c>
      <c r="D9137">
        <v>6399</v>
      </c>
      <c r="E9137" t="str">
        <f>"38"</f>
        <v>38</v>
      </c>
      <c r="F9137" t="str">
        <f>"001"</f>
        <v>001</v>
      </c>
      <c r="G9137">
        <v>9</v>
      </c>
      <c r="H9137" t="str">
        <f>"91"</f>
        <v>91</v>
      </c>
      <c r="I9137" t="str">
        <f t="shared" si="2064"/>
        <v>0</v>
      </c>
      <c r="J9137" t="str">
        <f t="shared" ref="J9137:J9168" si="2071">"00"</f>
        <v>00</v>
      </c>
      <c r="K9137">
        <v>20181130</v>
      </c>
      <c r="L9137" t="str">
        <f>"074779"</f>
        <v>074779</v>
      </c>
      <c r="M9137" t="str">
        <f>"31345"</f>
        <v>31345</v>
      </c>
      <c r="N9137" t="s">
        <v>1394</v>
      </c>
      <c r="O9137" s="1">
        <v>2632</v>
      </c>
      <c r="P9137">
        <v>20181128</v>
      </c>
      <c r="Q9137" t="s">
        <v>7094</v>
      </c>
      <c r="R9137" t="s">
        <v>7238</v>
      </c>
      <c r="S9137" t="s">
        <v>7000</v>
      </c>
      <c r="T9137" t="s">
        <v>301</v>
      </c>
    </row>
    <row r="9138" spans="1:20" x14ac:dyDescent="0.25">
      <c r="A9138">
        <v>9</v>
      </c>
      <c r="B9138">
        <v>461</v>
      </c>
      <c r="C9138" t="str">
        <f t="shared" si="2068"/>
        <v>36</v>
      </c>
      <c r="D9138">
        <v>6299</v>
      </c>
      <c r="E9138" t="str">
        <f>"7K"</f>
        <v>7K</v>
      </c>
      <c r="F9138" t="str">
        <f>"001"</f>
        <v>001</v>
      </c>
      <c r="G9138">
        <v>9</v>
      </c>
      <c r="H9138" t="str">
        <f>"99"</f>
        <v>99</v>
      </c>
      <c r="I9138" t="str">
        <f t="shared" si="2064"/>
        <v>0</v>
      </c>
      <c r="J9138" t="str">
        <f t="shared" si="2071"/>
        <v>00</v>
      </c>
      <c r="K9138">
        <v>20181130</v>
      </c>
      <c r="L9138" t="str">
        <f>"074782"</f>
        <v>074782</v>
      </c>
      <c r="M9138" t="str">
        <f>"37260"</f>
        <v>37260</v>
      </c>
      <c r="N9138" t="s">
        <v>1890</v>
      </c>
      <c r="O9138">
        <v>200</v>
      </c>
      <c r="P9138">
        <v>20181128</v>
      </c>
      <c r="Q9138" t="s">
        <v>7205</v>
      </c>
      <c r="R9138" t="s">
        <v>7233</v>
      </c>
      <c r="S9138" t="s">
        <v>7000</v>
      </c>
      <c r="T9138" t="s">
        <v>301</v>
      </c>
    </row>
    <row r="9139" spans="1:20" x14ac:dyDescent="0.25">
      <c r="A9139">
        <v>9</v>
      </c>
      <c r="B9139">
        <v>461</v>
      </c>
      <c r="C9139" t="str">
        <f t="shared" si="2068"/>
        <v>36</v>
      </c>
      <c r="D9139">
        <v>6299</v>
      </c>
      <c r="E9139" t="str">
        <f>"7K"</f>
        <v>7K</v>
      </c>
      <c r="F9139" t="str">
        <f>"001"</f>
        <v>001</v>
      </c>
      <c r="G9139">
        <v>9</v>
      </c>
      <c r="H9139" t="str">
        <f>"99"</f>
        <v>99</v>
      </c>
      <c r="I9139" t="str">
        <f t="shared" si="2064"/>
        <v>0</v>
      </c>
      <c r="J9139" t="str">
        <f t="shared" si="2071"/>
        <v>00</v>
      </c>
      <c r="K9139">
        <v>20181130</v>
      </c>
      <c r="L9139" t="str">
        <f>"074784"</f>
        <v>074784</v>
      </c>
      <c r="M9139" t="str">
        <f>"00581"</f>
        <v>00581</v>
      </c>
      <c r="N9139" t="s">
        <v>2494</v>
      </c>
      <c r="O9139">
        <v>100</v>
      </c>
      <c r="P9139">
        <v>20181128</v>
      </c>
      <c r="Q9139" t="s">
        <v>7205</v>
      </c>
      <c r="R9139" t="s">
        <v>7233</v>
      </c>
      <c r="S9139" t="s">
        <v>7000</v>
      </c>
      <c r="T9139" t="s">
        <v>301</v>
      </c>
    </row>
    <row r="9140" spans="1:20" x14ac:dyDescent="0.25">
      <c r="A9140">
        <v>9</v>
      </c>
      <c r="B9140">
        <v>461</v>
      </c>
      <c r="C9140" t="str">
        <f t="shared" si="2068"/>
        <v>36</v>
      </c>
      <c r="D9140">
        <v>6412</v>
      </c>
      <c r="E9140" t="str">
        <f>"3S"</f>
        <v>3S</v>
      </c>
      <c r="F9140" t="str">
        <f>"001"</f>
        <v>001</v>
      </c>
      <c r="G9140">
        <v>9</v>
      </c>
      <c r="H9140" t="str">
        <f>"91"</f>
        <v>91</v>
      </c>
      <c r="I9140" t="str">
        <f t="shared" si="2064"/>
        <v>0</v>
      </c>
      <c r="J9140" t="str">
        <f t="shared" si="2071"/>
        <v>00</v>
      </c>
      <c r="K9140">
        <v>20181130</v>
      </c>
      <c r="L9140" t="str">
        <f>"074785"</f>
        <v>074785</v>
      </c>
      <c r="M9140" t="str">
        <f>"24203"</f>
        <v>24203</v>
      </c>
      <c r="N9140" t="s">
        <v>7239</v>
      </c>
      <c r="O9140">
        <v>925.47</v>
      </c>
      <c r="P9140">
        <v>20181129</v>
      </c>
      <c r="Q9140" t="s">
        <v>7143</v>
      </c>
      <c r="R9140" t="s">
        <v>678</v>
      </c>
      <c r="S9140" t="s">
        <v>7000</v>
      </c>
      <c r="T9140" t="s">
        <v>301</v>
      </c>
    </row>
    <row r="9141" spans="1:20" x14ac:dyDescent="0.25">
      <c r="A9141">
        <v>9</v>
      </c>
      <c r="B9141">
        <v>461</v>
      </c>
      <c r="C9141" t="str">
        <f t="shared" si="2068"/>
        <v>36</v>
      </c>
      <c r="D9141">
        <v>6399</v>
      </c>
      <c r="E9141" t="str">
        <f>"PR"</f>
        <v>PR</v>
      </c>
      <c r="F9141" t="str">
        <f>"104"</f>
        <v>104</v>
      </c>
      <c r="G9141">
        <v>9</v>
      </c>
      <c r="H9141" t="str">
        <f t="shared" ref="H9141:H9146" si="2072">"99"</f>
        <v>99</v>
      </c>
      <c r="I9141" t="str">
        <f t="shared" si="2064"/>
        <v>0</v>
      </c>
      <c r="J9141" t="str">
        <f t="shared" si="2071"/>
        <v>00</v>
      </c>
      <c r="K9141">
        <v>20181130</v>
      </c>
      <c r="L9141" t="str">
        <f>"074788"</f>
        <v>074788</v>
      </c>
      <c r="M9141" t="str">
        <f>"40781"</f>
        <v>40781</v>
      </c>
      <c r="N9141" t="s">
        <v>1738</v>
      </c>
      <c r="O9141">
        <v>638</v>
      </c>
      <c r="P9141">
        <v>20181128</v>
      </c>
      <c r="Q9141" t="s">
        <v>7014</v>
      </c>
      <c r="R9141" t="s">
        <v>2883</v>
      </c>
      <c r="S9141" t="s">
        <v>7000</v>
      </c>
      <c r="T9141" t="s">
        <v>46</v>
      </c>
    </row>
    <row r="9142" spans="1:20" x14ac:dyDescent="0.25">
      <c r="A9142">
        <v>9</v>
      </c>
      <c r="B9142">
        <v>461</v>
      </c>
      <c r="C9142" t="str">
        <f t="shared" si="2068"/>
        <v>36</v>
      </c>
      <c r="D9142">
        <v>6399</v>
      </c>
      <c r="E9142" t="str">
        <f>"61"</f>
        <v>61</v>
      </c>
      <c r="F9142" t="str">
        <f>"101"</f>
        <v>101</v>
      </c>
      <c r="G9142">
        <v>9</v>
      </c>
      <c r="H9142" t="str">
        <f t="shared" si="2072"/>
        <v>99</v>
      </c>
      <c r="I9142" t="str">
        <f t="shared" si="2064"/>
        <v>0</v>
      </c>
      <c r="J9142" t="str">
        <f t="shared" si="2071"/>
        <v>00</v>
      </c>
      <c r="K9142">
        <v>20181130</v>
      </c>
      <c r="L9142" t="str">
        <f>"074796"</f>
        <v>074796</v>
      </c>
      <c r="M9142" t="str">
        <f>"56564"</f>
        <v>56564</v>
      </c>
      <c r="N9142" t="s">
        <v>4765</v>
      </c>
      <c r="O9142">
        <v>156.4</v>
      </c>
      <c r="P9142">
        <v>20181129</v>
      </c>
      <c r="Q9142" t="s">
        <v>7007</v>
      </c>
      <c r="R9142" t="s">
        <v>7240</v>
      </c>
      <c r="S9142" t="s">
        <v>7000</v>
      </c>
      <c r="T9142" t="s">
        <v>1479</v>
      </c>
    </row>
    <row r="9143" spans="1:20" x14ac:dyDescent="0.25">
      <c r="A9143">
        <v>9</v>
      </c>
      <c r="B9143">
        <v>461</v>
      </c>
      <c r="C9143" t="str">
        <f t="shared" si="2068"/>
        <v>36</v>
      </c>
      <c r="D9143">
        <v>6399</v>
      </c>
      <c r="E9143" t="str">
        <f>"61"</f>
        <v>61</v>
      </c>
      <c r="F9143" t="str">
        <f>"101"</f>
        <v>101</v>
      </c>
      <c r="G9143">
        <v>9</v>
      </c>
      <c r="H9143" t="str">
        <f t="shared" si="2072"/>
        <v>99</v>
      </c>
      <c r="I9143" t="str">
        <f t="shared" si="2064"/>
        <v>0</v>
      </c>
      <c r="J9143" t="str">
        <f t="shared" si="2071"/>
        <v>00</v>
      </c>
      <c r="K9143">
        <v>20181130</v>
      </c>
      <c r="L9143" t="str">
        <f>"074796"</f>
        <v>074796</v>
      </c>
      <c r="M9143" t="str">
        <f>"56564"</f>
        <v>56564</v>
      </c>
      <c r="N9143" t="s">
        <v>4765</v>
      </c>
      <c r="O9143">
        <v>100.87</v>
      </c>
      <c r="P9143">
        <v>20181129</v>
      </c>
      <c r="Q9143" t="s">
        <v>7007</v>
      </c>
      <c r="R9143" t="s">
        <v>7241</v>
      </c>
      <c r="S9143" t="s">
        <v>7000</v>
      </c>
      <c r="T9143" t="s">
        <v>1479</v>
      </c>
    </row>
    <row r="9144" spans="1:20" x14ac:dyDescent="0.25">
      <c r="A9144">
        <v>9</v>
      </c>
      <c r="B9144">
        <v>461</v>
      </c>
      <c r="C9144" t="str">
        <f t="shared" si="2068"/>
        <v>36</v>
      </c>
      <c r="D9144">
        <v>6399</v>
      </c>
      <c r="E9144" t="str">
        <f>"61"</f>
        <v>61</v>
      </c>
      <c r="F9144" t="str">
        <f>"101"</f>
        <v>101</v>
      </c>
      <c r="G9144">
        <v>9</v>
      </c>
      <c r="H9144" t="str">
        <f t="shared" si="2072"/>
        <v>99</v>
      </c>
      <c r="I9144" t="str">
        <f t="shared" si="2064"/>
        <v>0</v>
      </c>
      <c r="J9144" t="str">
        <f t="shared" si="2071"/>
        <v>00</v>
      </c>
      <c r="K9144">
        <v>20181130</v>
      </c>
      <c r="L9144" t="str">
        <f>"074796"</f>
        <v>074796</v>
      </c>
      <c r="M9144" t="str">
        <f>"56564"</f>
        <v>56564</v>
      </c>
      <c r="N9144" t="s">
        <v>4765</v>
      </c>
      <c r="O9144">
        <v>256.02</v>
      </c>
      <c r="P9144">
        <v>20181129</v>
      </c>
      <c r="Q9144" t="s">
        <v>7007</v>
      </c>
      <c r="R9144" t="s">
        <v>7242</v>
      </c>
      <c r="S9144" t="s">
        <v>7000</v>
      </c>
      <c r="T9144" t="s">
        <v>1479</v>
      </c>
    </row>
    <row r="9145" spans="1:20" x14ac:dyDescent="0.25">
      <c r="A9145">
        <v>9</v>
      </c>
      <c r="B9145">
        <v>461</v>
      </c>
      <c r="C9145" t="str">
        <f t="shared" si="2068"/>
        <v>36</v>
      </c>
      <c r="D9145">
        <v>6299</v>
      </c>
      <c r="E9145" t="str">
        <f>"7K"</f>
        <v>7K</v>
      </c>
      <c r="F9145" t="str">
        <f>"001"</f>
        <v>001</v>
      </c>
      <c r="G9145">
        <v>9</v>
      </c>
      <c r="H9145" t="str">
        <f t="shared" si="2072"/>
        <v>99</v>
      </c>
      <c r="I9145" t="str">
        <f t="shared" si="2064"/>
        <v>0</v>
      </c>
      <c r="J9145" t="str">
        <f t="shared" si="2071"/>
        <v>00</v>
      </c>
      <c r="K9145">
        <v>20181130</v>
      </c>
      <c r="L9145" t="str">
        <f>"074797"</f>
        <v>074797</v>
      </c>
      <c r="M9145" t="str">
        <f>"00582"</f>
        <v>00582</v>
      </c>
      <c r="N9145" t="s">
        <v>2522</v>
      </c>
      <c r="O9145">
        <v>100</v>
      </c>
      <c r="P9145">
        <v>20181129</v>
      </c>
      <c r="Q9145" t="s">
        <v>7205</v>
      </c>
      <c r="R9145" t="s">
        <v>7233</v>
      </c>
      <c r="S9145" t="s">
        <v>7000</v>
      </c>
      <c r="T9145" t="s">
        <v>301</v>
      </c>
    </row>
    <row r="9146" spans="1:20" x14ac:dyDescent="0.25">
      <c r="A9146">
        <v>9</v>
      </c>
      <c r="B9146">
        <v>461</v>
      </c>
      <c r="C9146" t="str">
        <f t="shared" si="2068"/>
        <v>36</v>
      </c>
      <c r="D9146">
        <v>6299</v>
      </c>
      <c r="E9146" t="str">
        <f>"7K"</f>
        <v>7K</v>
      </c>
      <c r="F9146" t="str">
        <f>"001"</f>
        <v>001</v>
      </c>
      <c r="G9146">
        <v>9</v>
      </c>
      <c r="H9146" t="str">
        <f t="shared" si="2072"/>
        <v>99</v>
      </c>
      <c r="I9146" t="str">
        <f t="shared" si="2064"/>
        <v>0</v>
      </c>
      <c r="J9146" t="str">
        <f t="shared" si="2071"/>
        <v>00</v>
      </c>
      <c r="K9146">
        <v>20181130</v>
      </c>
      <c r="L9146" t="str">
        <f>"074798"</f>
        <v>074798</v>
      </c>
      <c r="M9146" t="str">
        <f>"57997"</f>
        <v>57997</v>
      </c>
      <c r="N9146" t="s">
        <v>1904</v>
      </c>
      <c r="O9146">
        <v>100</v>
      </c>
      <c r="P9146">
        <v>20181129</v>
      </c>
      <c r="Q9146" t="s">
        <v>7205</v>
      </c>
      <c r="R9146" t="s">
        <v>7233</v>
      </c>
      <c r="S9146" t="s">
        <v>7000</v>
      </c>
      <c r="T9146" t="s">
        <v>301</v>
      </c>
    </row>
    <row r="9147" spans="1:20" x14ac:dyDescent="0.25">
      <c r="A9147">
        <v>9</v>
      </c>
      <c r="B9147">
        <v>461</v>
      </c>
      <c r="C9147" t="str">
        <f t="shared" si="2068"/>
        <v>36</v>
      </c>
      <c r="D9147">
        <v>6412</v>
      </c>
      <c r="E9147" t="str">
        <f>"3G"</f>
        <v>3G</v>
      </c>
      <c r="F9147" t="str">
        <f>"001"</f>
        <v>001</v>
      </c>
      <c r="G9147">
        <v>9</v>
      </c>
      <c r="H9147" t="str">
        <f>"91"</f>
        <v>91</v>
      </c>
      <c r="I9147" t="str">
        <f t="shared" ref="I9147:I9210" si="2073">"0"</f>
        <v>0</v>
      </c>
      <c r="J9147" t="str">
        <f t="shared" si="2071"/>
        <v>00</v>
      </c>
      <c r="K9147">
        <v>20181130</v>
      </c>
      <c r="L9147" t="str">
        <f>"074802"</f>
        <v>074802</v>
      </c>
      <c r="M9147" t="str">
        <f>"63508"</f>
        <v>63508</v>
      </c>
      <c r="N9147" t="s">
        <v>380</v>
      </c>
      <c r="O9147">
        <v>540</v>
      </c>
      <c r="P9147">
        <v>20181129</v>
      </c>
      <c r="Q9147" t="s">
        <v>7002</v>
      </c>
      <c r="R9147" t="s">
        <v>7243</v>
      </c>
      <c r="S9147" t="s">
        <v>7000</v>
      </c>
      <c r="T9147" t="s">
        <v>301</v>
      </c>
    </row>
    <row r="9148" spans="1:20" x14ac:dyDescent="0.25">
      <c r="A9148">
        <v>9</v>
      </c>
      <c r="B9148">
        <v>461</v>
      </c>
      <c r="C9148" t="str">
        <f t="shared" si="2068"/>
        <v>36</v>
      </c>
      <c r="D9148">
        <v>6412</v>
      </c>
      <c r="E9148" t="str">
        <f>"3G"</f>
        <v>3G</v>
      </c>
      <c r="F9148" t="str">
        <f>"001"</f>
        <v>001</v>
      </c>
      <c r="G9148">
        <v>9</v>
      </c>
      <c r="H9148" t="str">
        <f>"91"</f>
        <v>91</v>
      </c>
      <c r="I9148" t="str">
        <f t="shared" si="2073"/>
        <v>0</v>
      </c>
      <c r="J9148" t="str">
        <f t="shared" si="2071"/>
        <v>00</v>
      </c>
      <c r="K9148">
        <v>20181130</v>
      </c>
      <c r="L9148" t="str">
        <f>"074802"</f>
        <v>074802</v>
      </c>
      <c r="M9148" t="str">
        <f>"63508"</f>
        <v>63508</v>
      </c>
      <c r="N9148" t="s">
        <v>380</v>
      </c>
      <c r="O9148">
        <v>390</v>
      </c>
      <c r="P9148">
        <v>20181129</v>
      </c>
      <c r="Q9148" t="s">
        <v>7002</v>
      </c>
      <c r="R9148" t="s">
        <v>7244</v>
      </c>
      <c r="S9148" t="s">
        <v>7000</v>
      </c>
      <c r="T9148" t="s">
        <v>301</v>
      </c>
    </row>
    <row r="9149" spans="1:20" x14ac:dyDescent="0.25">
      <c r="A9149">
        <v>9</v>
      </c>
      <c r="B9149">
        <v>461</v>
      </c>
      <c r="C9149" t="str">
        <f t="shared" si="2068"/>
        <v>36</v>
      </c>
      <c r="D9149">
        <v>6399</v>
      </c>
      <c r="E9149" t="str">
        <f>"3D"</f>
        <v>3D</v>
      </c>
      <c r="F9149" t="str">
        <f>"001"</f>
        <v>001</v>
      </c>
      <c r="G9149">
        <v>9</v>
      </c>
      <c r="H9149" t="str">
        <f>"91"</f>
        <v>91</v>
      </c>
      <c r="I9149" t="str">
        <f t="shared" si="2073"/>
        <v>0</v>
      </c>
      <c r="J9149" t="str">
        <f t="shared" si="2071"/>
        <v>00</v>
      </c>
      <c r="K9149">
        <v>20181130</v>
      </c>
      <c r="L9149" t="str">
        <f>"074803"</f>
        <v>074803</v>
      </c>
      <c r="M9149" t="str">
        <f>"63624"</f>
        <v>63624</v>
      </c>
      <c r="N9149" t="s">
        <v>1161</v>
      </c>
      <c r="O9149">
        <v>350</v>
      </c>
      <c r="P9149">
        <v>20181129</v>
      </c>
      <c r="Q9149" t="s">
        <v>7146</v>
      </c>
      <c r="R9149" t="s">
        <v>7245</v>
      </c>
      <c r="S9149" t="s">
        <v>7000</v>
      </c>
      <c r="T9149" t="s">
        <v>301</v>
      </c>
    </row>
    <row r="9150" spans="1:20" x14ac:dyDescent="0.25">
      <c r="A9150">
        <v>9</v>
      </c>
      <c r="B9150">
        <v>461</v>
      </c>
      <c r="C9150" t="str">
        <f t="shared" si="2068"/>
        <v>36</v>
      </c>
      <c r="D9150">
        <v>6399</v>
      </c>
      <c r="E9150" t="str">
        <f>"30"</f>
        <v>30</v>
      </c>
      <c r="F9150" t="str">
        <f>"002"</f>
        <v>002</v>
      </c>
      <c r="G9150">
        <v>9</v>
      </c>
      <c r="H9150" t="str">
        <f>"99"</f>
        <v>99</v>
      </c>
      <c r="I9150" t="str">
        <f t="shared" si="2073"/>
        <v>0</v>
      </c>
      <c r="J9150" t="str">
        <f t="shared" si="2071"/>
        <v>00</v>
      </c>
      <c r="K9150">
        <v>20181130</v>
      </c>
      <c r="L9150" t="str">
        <f t="shared" ref="L9150:L9155" si="2074">"074804"</f>
        <v>074804</v>
      </c>
      <c r="M9150" t="str">
        <f t="shared" ref="M9150:M9155" si="2075">"65106"</f>
        <v>65106</v>
      </c>
      <c r="N9150" t="s">
        <v>1175</v>
      </c>
      <c r="O9150">
        <v>24.96</v>
      </c>
      <c r="P9150">
        <v>20181129</v>
      </c>
      <c r="Q9150" t="s">
        <v>7125</v>
      </c>
      <c r="R9150" t="s">
        <v>7246</v>
      </c>
      <c r="S9150" t="s">
        <v>7000</v>
      </c>
      <c r="T9150" t="s">
        <v>1485</v>
      </c>
    </row>
    <row r="9151" spans="1:20" x14ac:dyDescent="0.25">
      <c r="A9151">
        <v>9</v>
      </c>
      <c r="B9151">
        <v>461</v>
      </c>
      <c r="C9151" t="str">
        <f t="shared" si="2068"/>
        <v>36</v>
      </c>
      <c r="D9151">
        <v>6399</v>
      </c>
      <c r="E9151" t="str">
        <f>"30"</f>
        <v>30</v>
      </c>
      <c r="F9151" t="str">
        <f>"002"</f>
        <v>002</v>
      </c>
      <c r="G9151">
        <v>9</v>
      </c>
      <c r="H9151" t="str">
        <f>"99"</f>
        <v>99</v>
      </c>
      <c r="I9151" t="str">
        <f t="shared" si="2073"/>
        <v>0</v>
      </c>
      <c r="J9151" t="str">
        <f t="shared" si="2071"/>
        <v>00</v>
      </c>
      <c r="K9151">
        <v>20181130</v>
      </c>
      <c r="L9151" t="str">
        <f t="shared" si="2074"/>
        <v>074804</v>
      </c>
      <c r="M9151" t="str">
        <f t="shared" si="2075"/>
        <v>65106</v>
      </c>
      <c r="N9151" t="s">
        <v>1175</v>
      </c>
      <c r="O9151">
        <v>210.02</v>
      </c>
      <c r="P9151">
        <v>20181129</v>
      </c>
      <c r="Q9151" t="s">
        <v>7125</v>
      </c>
      <c r="R9151" t="s">
        <v>7246</v>
      </c>
      <c r="S9151" t="s">
        <v>7000</v>
      </c>
      <c r="T9151" t="s">
        <v>1485</v>
      </c>
    </row>
    <row r="9152" spans="1:20" x14ac:dyDescent="0.25">
      <c r="A9152">
        <v>9</v>
      </c>
      <c r="B9152">
        <v>461</v>
      </c>
      <c r="C9152" t="str">
        <f t="shared" si="2068"/>
        <v>36</v>
      </c>
      <c r="D9152">
        <v>6399</v>
      </c>
      <c r="E9152" t="str">
        <f>"CS"</f>
        <v>CS</v>
      </c>
      <c r="F9152" t="str">
        <f t="shared" ref="F9152:F9157" si="2076">"001"</f>
        <v>001</v>
      </c>
      <c r="G9152">
        <v>9</v>
      </c>
      <c r="H9152" t="str">
        <f>"91"</f>
        <v>91</v>
      </c>
      <c r="I9152" t="str">
        <f t="shared" si="2073"/>
        <v>0</v>
      </c>
      <c r="J9152" t="str">
        <f t="shared" si="2071"/>
        <v>00</v>
      </c>
      <c r="K9152">
        <v>20181130</v>
      </c>
      <c r="L9152" t="str">
        <f t="shared" si="2074"/>
        <v>074804</v>
      </c>
      <c r="M9152" t="str">
        <f t="shared" si="2075"/>
        <v>65106</v>
      </c>
      <c r="N9152" t="s">
        <v>1175</v>
      </c>
      <c r="O9152">
        <v>426.89</v>
      </c>
      <c r="P9152">
        <v>20181129</v>
      </c>
      <c r="Q9152" t="s">
        <v>6998</v>
      </c>
      <c r="R9152" t="s">
        <v>6999</v>
      </c>
      <c r="S9152" t="s">
        <v>7000</v>
      </c>
      <c r="T9152" t="s">
        <v>301</v>
      </c>
    </row>
    <row r="9153" spans="1:20" x14ac:dyDescent="0.25">
      <c r="A9153">
        <v>9</v>
      </c>
      <c r="B9153">
        <v>461</v>
      </c>
      <c r="C9153" t="str">
        <f t="shared" si="2068"/>
        <v>36</v>
      </c>
      <c r="D9153">
        <v>6399</v>
      </c>
      <c r="E9153" t="str">
        <f>"CS"</f>
        <v>CS</v>
      </c>
      <c r="F9153" t="str">
        <f t="shared" si="2076"/>
        <v>001</v>
      </c>
      <c r="G9153">
        <v>9</v>
      </c>
      <c r="H9153" t="str">
        <f>"91"</f>
        <v>91</v>
      </c>
      <c r="I9153" t="str">
        <f t="shared" si="2073"/>
        <v>0</v>
      </c>
      <c r="J9153" t="str">
        <f t="shared" si="2071"/>
        <v>00</v>
      </c>
      <c r="K9153">
        <v>20181130</v>
      </c>
      <c r="L9153" t="str">
        <f t="shared" si="2074"/>
        <v>074804</v>
      </c>
      <c r="M9153" t="str">
        <f t="shared" si="2075"/>
        <v>65106</v>
      </c>
      <c r="N9153" t="s">
        <v>1175</v>
      </c>
      <c r="O9153">
        <v>177.2</v>
      </c>
      <c r="P9153">
        <v>20181129</v>
      </c>
      <c r="Q9153" t="s">
        <v>6998</v>
      </c>
      <c r="R9153" t="s">
        <v>6999</v>
      </c>
      <c r="S9153" t="s">
        <v>7000</v>
      </c>
      <c r="T9153" t="s">
        <v>301</v>
      </c>
    </row>
    <row r="9154" spans="1:20" x14ac:dyDescent="0.25">
      <c r="A9154">
        <v>9</v>
      </c>
      <c r="B9154">
        <v>461</v>
      </c>
      <c r="C9154" t="str">
        <f t="shared" si="2068"/>
        <v>36</v>
      </c>
      <c r="D9154">
        <v>6399</v>
      </c>
      <c r="E9154" t="str">
        <f>"GN"</f>
        <v>GN</v>
      </c>
      <c r="F9154" t="str">
        <f t="shared" si="2076"/>
        <v>001</v>
      </c>
      <c r="G9154">
        <v>9</v>
      </c>
      <c r="H9154" t="str">
        <f>"99"</f>
        <v>99</v>
      </c>
      <c r="I9154" t="str">
        <f t="shared" si="2073"/>
        <v>0</v>
      </c>
      <c r="J9154" t="str">
        <f t="shared" si="2071"/>
        <v>00</v>
      </c>
      <c r="K9154">
        <v>20181130</v>
      </c>
      <c r="L9154" t="str">
        <f t="shared" si="2074"/>
        <v>074804</v>
      </c>
      <c r="M9154" t="str">
        <f t="shared" si="2075"/>
        <v>65106</v>
      </c>
      <c r="N9154" t="s">
        <v>1175</v>
      </c>
      <c r="O9154">
        <v>194.88</v>
      </c>
      <c r="P9154">
        <v>20181129</v>
      </c>
      <c r="Q9154" t="s">
        <v>7043</v>
      </c>
      <c r="R9154" t="s">
        <v>7247</v>
      </c>
      <c r="S9154" t="s">
        <v>7000</v>
      </c>
      <c r="T9154" t="s">
        <v>301</v>
      </c>
    </row>
    <row r="9155" spans="1:20" x14ac:dyDescent="0.25">
      <c r="A9155">
        <v>9</v>
      </c>
      <c r="B9155">
        <v>461</v>
      </c>
      <c r="C9155" t="str">
        <f t="shared" si="2068"/>
        <v>36</v>
      </c>
      <c r="D9155">
        <v>6399</v>
      </c>
      <c r="E9155" t="str">
        <f>"PR"</f>
        <v>PR</v>
      </c>
      <c r="F9155" t="str">
        <f t="shared" si="2076"/>
        <v>001</v>
      </c>
      <c r="G9155">
        <v>9</v>
      </c>
      <c r="H9155" t="str">
        <f>"99"</f>
        <v>99</v>
      </c>
      <c r="I9155" t="str">
        <f t="shared" si="2073"/>
        <v>0</v>
      </c>
      <c r="J9155" t="str">
        <f t="shared" si="2071"/>
        <v>00</v>
      </c>
      <c r="K9155">
        <v>20181130</v>
      </c>
      <c r="L9155" t="str">
        <f t="shared" si="2074"/>
        <v>074804</v>
      </c>
      <c r="M9155" t="str">
        <f t="shared" si="2075"/>
        <v>65106</v>
      </c>
      <c r="N9155" t="s">
        <v>1175</v>
      </c>
      <c r="O9155">
        <v>123.88</v>
      </c>
      <c r="P9155">
        <v>20181129</v>
      </c>
      <c r="Q9155" t="s">
        <v>7009</v>
      </c>
      <c r="R9155" t="s">
        <v>7248</v>
      </c>
      <c r="S9155" t="s">
        <v>7000</v>
      </c>
      <c r="T9155" t="s">
        <v>301</v>
      </c>
    </row>
    <row r="9156" spans="1:20" x14ac:dyDescent="0.25">
      <c r="A9156">
        <v>9</v>
      </c>
      <c r="B9156">
        <v>461</v>
      </c>
      <c r="C9156" t="str">
        <f t="shared" si="2068"/>
        <v>36</v>
      </c>
      <c r="D9156">
        <v>6399</v>
      </c>
      <c r="E9156" t="str">
        <f>"3Y"</f>
        <v>3Y</v>
      </c>
      <c r="F9156" t="str">
        <f t="shared" si="2076"/>
        <v>001</v>
      </c>
      <c r="G9156">
        <v>9</v>
      </c>
      <c r="H9156" t="str">
        <f>"91"</f>
        <v>91</v>
      </c>
      <c r="I9156" t="str">
        <f t="shared" si="2073"/>
        <v>0</v>
      </c>
      <c r="J9156" t="str">
        <f t="shared" si="2071"/>
        <v>00</v>
      </c>
      <c r="K9156">
        <v>20181130</v>
      </c>
      <c r="L9156" t="str">
        <f>"074806"</f>
        <v>074806</v>
      </c>
      <c r="M9156" t="str">
        <f>"71250"</f>
        <v>71250</v>
      </c>
      <c r="N9156" t="s">
        <v>1389</v>
      </c>
      <c r="O9156">
        <v>60.63</v>
      </c>
      <c r="P9156">
        <v>20181129</v>
      </c>
      <c r="Q9156" t="s">
        <v>7110</v>
      </c>
      <c r="R9156" t="s">
        <v>7249</v>
      </c>
      <c r="S9156" t="s">
        <v>7000</v>
      </c>
      <c r="T9156" t="s">
        <v>301</v>
      </c>
    </row>
    <row r="9157" spans="1:20" x14ac:dyDescent="0.25">
      <c r="A9157">
        <v>9</v>
      </c>
      <c r="B9157">
        <v>461</v>
      </c>
      <c r="C9157" t="str">
        <f t="shared" si="2068"/>
        <v>36</v>
      </c>
      <c r="D9157">
        <v>6399</v>
      </c>
      <c r="E9157" t="str">
        <f>"H2"</f>
        <v>H2</v>
      </c>
      <c r="F9157" t="str">
        <f t="shared" si="2076"/>
        <v>001</v>
      </c>
      <c r="G9157">
        <v>9</v>
      </c>
      <c r="H9157" t="str">
        <f>"99"</f>
        <v>99</v>
      </c>
      <c r="I9157" t="str">
        <f t="shared" si="2073"/>
        <v>0</v>
      </c>
      <c r="J9157" t="str">
        <f t="shared" si="2071"/>
        <v>00</v>
      </c>
      <c r="K9157">
        <v>20181130</v>
      </c>
      <c r="L9157" t="str">
        <f>"074807"</f>
        <v>074807</v>
      </c>
      <c r="M9157" t="str">
        <f>"00632"</f>
        <v>00632</v>
      </c>
      <c r="N9157" t="s">
        <v>7250</v>
      </c>
      <c r="O9157">
        <v>354</v>
      </c>
      <c r="P9157">
        <v>20181129</v>
      </c>
      <c r="Q9157" t="s">
        <v>7033</v>
      </c>
      <c r="R9157" t="s">
        <v>7251</v>
      </c>
      <c r="S9157" t="s">
        <v>7000</v>
      </c>
      <c r="T9157" t="s">
        <v>301</v>
      </c>
    </row>
    <row r="9158" spans="1:20" x14ac:dyDescent="0.25">
      <c r="A9158">
        <v>9</v>
      </c>
      <c r="B9158">
        <v>461</v>
      </c>
      <c r="C9158" t="str">
        <f t="shared" si="2068"/>
        <v>36</v>
      </c>
      <c r="D9158">
        <v>6399</v>
      </c>
      <c r="E9158" t="str">
        <f>"Y4"</f>
        <v>Y4</v>
      </c>
      <c r="F9158" t="str">
        <f>"802"</f>
        <v>802</v>
      </c>
      <c r="G9158">
        <v>9</v>
      </c>
      <c r="H9158" t="str">
        <f>"99"</f>
        <v>99</v>
      </c>
      <c r="I9158" t="str">
        <f t="shared" si="2073"/>
        <v>0</v>
      </c>
      <c r="J9158" t="str">
        <f t="shared" si="2071"/>
        <v>00</v>
      </c>
      <c r="K9158">
        <v>20181130</v>
      </c>
      <c r="L9158" t="str">
        <f>"074818"</f>
        <v>074818</v>
      </c>
      <c r="M9158" t="str">
        <f>"80600"</f>
        <v>80600</v>
      </c>
      <c r="N9158" t="s">
        <v>1927</v>
      </c>
      <c r="O9158">
        <v>71.25</v>
      </c>
      <c r="P9158">
        <v>20181129</v>
      </c>
      <c r="Q9158" t="s">
        <v>7127</v>
      </c>
      <c r="R9158" t="s">
        <v>5116</v>
      </c>
      <c r="S9158" t="s">
        <v>7000</v>
      </c>
      <c r="T9158" t="s">
        <v>7023</v>
      </c>
    </row>
    <row r="9159" spans="1:20" x14ac:dyDescent="0.25">
      <c r="A9159">
        <v>9</v>
      </c>
      <c r="B9159">
        <v>461</v>
      </c>
      <c r="C9159" t="str">
        <f t="shared" si="2068"/>
        <v>36</v>
      </c>
      <c r="D9159">
        <v>6399</v>
      </c>
      <c r="E9159" t="str">
        <f>"Y5"</f>
        <v>Y5</v>
      </c>
      <c r="F9159" t="str">
        <f>"802"</f>
        <v>802</v>
      </c>
      <c r="G9159">
        <v>9</v>
      </c>
      <c r="H9159" t="str">
        <f>"99"</f>
        <v>99</v>
      </c>
      <c r="I9159" t="str">
        <f t="shared" si="2073"/>
        <v>0</v>
      </c>
      <c r="J9159" t="str">
        <f t="shared" si="2071"/>
        <v>00</v>
      </c>
      <c r="K9159">
        <v>20181130</v>
      </c>
      <c r="L9159" t="str">
        <f>"074818"</f>
        <v>074818</v>
      </c>
      <c r="M9159" t="str">
        <f>"80600"</f>
        <v>80600</v>
      </c>
      <c r="N9159" t="s">
        <v>1927</v>
      </c>
      <c r="O9159">
        <v>136.80000000000001</v>
      </c>
      <c r="P9159">
        <v>20181129</v>
      </c>
      <c r="Q9159" t="s">
        <v>7021</v>
      </c>
      <c r="R9159" t="s">
        <v>5116</v>
      </c>
      <c r="S9159" t="s">
        <v>7000</v>
      </c>
      <c r="T9159" t="s">
        <v>7023</v>
      </c>
    </row>
    <row r="9160" spans="1:20" x14ac:dyDescent="0.25">
      <c r="A9160">
        <v>9</v>
      </c>
      <c r="B9160">
        <v>461</v>
      </c>
      <c r="C9160" t="str">
        <f t="shared" si="2068"/>
        <v>36</v>
      </c>
      <c r="D9160">
        <v>6499</v>
      </c>
      <c r="E9160" t="str">
        <f>"3B"</f>
        <v>3B</v>
      </c>
      <c r="F9160" t="str">
        <f>"041"</f>
        <v>041</v>
      </c>
      <c r="G9160">
        <v>9</v>
      </c>
      <c r="H9160" t="str">
        <f>"91"</f>
        <v>91</v>
      </c>
      <c r="I9160" t="str">
        <f t="shared" si="2073"/>
        <v>0</v>
      </c>
      <c r="J9160" t="str">
        <f t="shared" si="2071"/>
        <v>00</v>
      </c>
      <c r="K9160">
        <v>20181130</v>
      </c>
      <c r="L9160" t="str">
        <f>"074818"</f>
        <v>074818</v>
      </c>
      <c r="M9160" t="str">
        <f>"80600"</f>
        <v>80600</v>
      </c>
      <c r="N9160" t="s">
        <v>1927</v>
      </c>
      <c r="O9160">
        <v>362.1</v>
      </c>
      <c r="P9160">
        <v>20181129</v>
      </c>
      <c r="Q9160" t="s">
        <v>7252</v>
      </c>
      <c r="R9160" t="s">
        <v>7253</v>
      </c>
      <c r="S9160" t="s">
        <v>7000</v>
      </c>
      <c r="T9160" t="s">
        <v>106</v>
      </c>
    </row>
    <row r="9161" spans="1:20" x14ac:dyDescent="0.25">
      <c r="A9161">
        <v>9</v>
      </c>
      <c r="B9161">
        <v>461</v>
      </c>
      <c r="C9161" t="str">
        <f t="shared" si="2068"/>
        <v>36</v>
      </c>
      <c r="D9161">
        <v>6399</v>
      </c>
      <c r="E9161" t="str">
        <f>"3Y"</f>
        <v>3Y</v>
      </c>
      <c r="F9161" t="str">
        <f>"001"</f>
        <v>001</v>
      </c>
      <c r="G9161">
        <v>9</v>
      </c>
      <c r="H9161" t="str">
        <f>"91"</f>
        <v>91</v>
      </c>
      <c r="I9161" t="str">
        <f t="shared" si="2073"/>
        <v>0</v>
      </c>
      <c r="J9161" t="str">
        <f t="shared" si="2071"/>
        <v>00</v>
      </c>
      <c r="K9161">
        <v>20181130</v>
      </c>
      <c r="L9161" t="str">
        <f t="shared" ref="L9161:L9168" si="2077">"074819"</f>
        <v>074819</v>
      </c>
      <c r="M9161" t="str">
        <f t="shared" ref="M9161:M9168" si="2078">"81303"</f>
        <v>81303</v>
      </c>
      <c r="N9161" t="s">
        <v>66</v>
      </c>
      <c r="O9161">
        <v>25</v>
      </c>
      <c r="P9161">
        <v>20181129</v>
      </c>
      <c r="Q9161" t="s">
        <v>7110</v>
      </c>
      <c r="R9161" t="s">
        <v>7254</v>
      </c>
      <c r="S9161" t="s">
        <v>7000</v>
      </c>
      <c r="T9161" t="s">
        <v>301</v>
      </c>
    </row>
    <row r="9162" spans="1:20" x14ac:dyDescent="0.25">
      <c r="A9162">
        <v>9</v>
      </c>
      <c r="B9162">
        <v>461</v>
      </c>
      <c r="C9162" t="str">
        <f t="shared" si="2068"/>
        <v>36</v>
      </c>
      <c r="D9162">
        <v>6399</v>
      </c>
      <c r="E9162" t="str">
        <f>"7E"</f>
        <v>7E</v>
      </c>
      <c r="F9162" t="str">
        <f>"001"</f>
        <v>001</v>
      </c>
      <c r="G9162">
        <v>9</v>
      </c>
      <c r="H9162" t="str">
        <f t="shared" ref="H9162:H9170" si="2079">"99"</f>
        <v>99</v>
      </c>
      <c r="I9162" t="str">
        <f t="shared" si="2073"/>
        <v>0</v>
      </c>
      <c r="J9162" t="str">
        <f t="shared" si="2071"/>
        <v>00</v>
      </c>
      <c r="K9162">
        <v>20181130</v>
      </c>
      <c r="L9162" t="str">
        <f t="shared" si="2077"/>
        <v>074819</v>
      </c>
      <c r="M9162" t="str">
        <f t="shared" si="2078"/>
        <v>81303</v>
      </c>
      <c r="N9162" t="s">
        <v>66</v>
      </c>
      <c r="O9162">
        <v>25.5</v>
      </c>
      <c r="P9162">
        <v>20181129</v>
      </c>
      <c r="Q9162" t="s">
        <v>7055</v>
      </c>
      <c r="R9162" t="s">
        <v>7255</v>
      </c>
      <c r="S9162" t="s">
        <v>7000</v>
      </c>
      <c r="T9162" t="s">
        <v>301</v>
      </c>
    </row>
    <row r="9163" spans="1:20" x14ac:dyDescent="0.25">
      <c r="A9163">
        <v>9</v>
      </c>
      <c r="B9163">
        <v>461</v>
      </c>
      <c r="C9163" t="str">
        <f t="shared" si="2068"/>
        <v>36</v>
      </c>
      <c r="D9163">
        <v>6399</v>
      </c>
      <c r="E9163" t="str">
        <f>"7K"</f>
        <v>7K</v>
      </c>
      <c r="F9163" t="str">
        <f>"001"</f>
        <v>001</v>
      </c>
      <c r="G9163">
        <v>9</v>
      </c>
      <c r="H9163" t="str">
        <f t="shared" si="2079"/>
        <v>99</v>
      </c>
      <c r="I9163" t="str">
        <f t="shared" si="2073"/>
        <v>0</v>
      </c>
      <c r="J9163" t="str">
        <f t="shared" si="2071"/>
        <v>00</v>
      </c>
      <c r="K9163">
        <v>20181130</v>
      </c>
      <c r="L9163" t="str">
        <f t="shared" si="2077"/>
        <v>074819</v>
      </c>
      <c r="M9163" t="str">
        <f t="shared" si="2078"/>
        <v>81303</v>
      </c>
      <c r="N9163" t="s">
        <v>66</v>
      </c>
      <c r="O9163">
        <v>869.42</v>
      </c>
      <c r="P9163">
        <v>20181129</v>
      </c>
      <c r="Q9163" t="s">
        <v>7056</v>
      </c>
      <c r="R9163" t="s">
        <v>7256</v>
      </c>
      <c r="S9163" t="s">
        <v>7000</v>
      </c>
      <c r="T9163" t="s">
        <v>301</v>
      </c>
    </row>
    <row r="9164" spans="1:20" x14ac:dyDescent="0.25">
      <c r="A9164">
        <v>9</v>
      </c>
      <c r="B9164">
        <v>461</v>
      </c>
      <c r="C9164" t="str">
        <f t="shared" si="2068"/>
        <v>36</v>
      </c>
      <c r="D9164">
        <v>6399</v>
      </c>
      <c r="E9164" t="str">
        <f>"8M"</f>
        <v>8M</v>
      </c>
      <c r="F9164" t="str">
        <f>"001"</f>
        <v>001</v>
      </c>
      <c r="G9164">
        <v>9</v>
      </c>
      <c r="H9164" t="str">
        <f t="shared" si="2079"/>
        <v>99</v>
      </c>
      <c r="I9164" t="str">
        <f t="shared" si="2073"/>
        <v>0</v>
      </c>
      <c r="J9164" t="str">
        <f t="shared" si="2071"/>
        <v>00</v>
      </c>
      <c r="K9164">
        <v>20181130</v>
      </c>
      <c r="L9164" t="str">
        <f t="shared" si="2077"/>
        <v>074819</v>
      </c>
      <c r="M9164" t="str">
        <f t="shared" si="2078"/>
        <v>81303</v>
      </c>
      <c r="N9164" t="s">
        <v>66</v>
      </c>
      <c r="O9164">
        <v>25</v>
      </c>
      <c r="P9164">
        <v>20181129</v>
      </c>
      <c r="Q9164" t="s">
        <v>7138</v>
      </c>
      <c r="R9164" t="s">
        <v>7257</v>
      </c>
      <c r="S9164" t="s">
        <v>7000</v>
      </c>
      <c r="T9164" t="s">
        <v>301</v>
      </c>
    </row>
    <row r="9165" spans="1:20" x14ac:dyDescent="0.25">
      <c r="A9165">
        <v>9</v>
      </c>
      <c r="B9165">
        <v>461</v>
      </c>
      <c r="C9165" t="str">
        <f t="shared" si="2068"/>
        <v>36</v>
      </c>
      <c r="D9165">
        <v>6399</v>
      </c>
      <c r="E9165" t="str">
        <f>"90"</f>
        <v>90</v>
      </c>
      <c r="F9165" t="str">
        <f>"001"</f>
        <v>001</v>
      </c>
      <c r="G9165">
        <v>9</v>
      </c>
      <c r="H9165" t="str">
        <f t="shared" si="2079"/>
        <v>99</v>
      </c>
      <c r="I9165" t="str">
        <f t="shared" si="2073"/>
        <v>0</v>
      </c>
      <c r="J9165" t="str">
        <f t="shared" si="2071"/>
        <v>00</v>
      </c>
      <c r="K9165">
        <v>20181130</v>
      </c>
      <c r="L9165" t="str">
        <f t="shared" si="2077"/>
        <v>074819</v>
      </c>
      <c r="M9165" t="str">
        <f t="shared" si="2078"/>
        <v>81303</v>
      </c>
      <c r="N9165" t="s">
        <v>66</v>
      </c>
      <c r="O9165">
        <v>20</v>
      </c>
      <c r="P9165">
        <v>20181129</v>
      </c>
      <c r="Q9165" t="s">
        <v>7258</v>
      </c>
      <c r="R9165" t="s">
        <v>7259</v>
      </c>
      <c r="S9165" t="s">
        <v>7000</v>
      </c>
      <c r="T9165" t="s">
        <v>301</v>
      </c>
    </row>
    <row r="9166" spans="1:20" x14ac:dyDescent="0.25">
      <c r="A9166">
        <v>9</v>
      </c>
      <c r="B9166">
        <v>461</v>
      </c>
      <c r="C9166" t="str">
        <f t="shared" si="2068"/>
        <v>36</v>
      </c>
      <c r="D9166">
        <v>6399</v>
      </c>
      <c r="E9166" t="str">
        <f>"PR"</f>
        <v>PR</v>
      </c>
      <c r="F9166" t="str">
        <f>"104"</f>
        <v>104</v>
      </c>
      <c r="G9166">
        <v>9</v>
      </c>
      <c r="H9166" t="str">
        <f t="shared" si="2079"/>
        <v>99</v>
      </c>
      <c r="I9166" t="str">
        <f t="shared" si="2073"/>
        <v>0</v>
      </c>
      <c r="J9166" t="str">
        <f t="shared" si="2071"/>
        <v>00</v>
      </c>
      <c r="K9166">
        <v>20181130</v>
      </c>
      <c r="L9166" t="str">
        <f t="shared" si="2077"/>
        <v>074819</v>
      </c>
      <c r="M9166" t="str">
        <f t="shared" si="2078"/>
        <v>81303</v>
      </c>
      <c r="N9166" t="s">
        <v>66</v>
      </c>
      <c r="O9166">
        <v>132.52000000000001</v>
      </c>
      <c r="P9166">
        <v>20181129</v>
      </c>
      <c r="Q9166" t="s">
        <v>7014</v>
      </c>
      <c r="R9166" t="s">
        <v>7260</v>
      </c>
      <c r="S9166" t="s">
        <v>7000</v>
      </c>
      <c r="T9166" t="s">
        <v>46</v>
      </c>
    </row>
    <row r="9167" spans="1:20" x14ac:dyDescent="0.25">
      <c r="A9167">
        <v>9</v>
      </c>
      <c r="B9167">
        <v>461</v>
      </c>
      <c r="C9167" t="str">
        <f t="shared" si="2068"/>
        <v>36</v>
      </c>
      <c r="D9167">
        <v>6399</v>
      </c>
      <c r="E9167" t="str">
        <f>"PR"</f>
        <v>PR</v>
      </c>
      <c r="F9167" t="str">
        <f>"104"</f>
        <v>104</v>
      </c>
      <c r="G9167">
        <v>9</v>
      </c>
      <c r="H9167" t="str">
        <f t="shared" si="2079"/>
        <v>99</v>
      </c>
      <c r="I9167" t="str">
        <f t="shared" si="2073"/>
        <v>0</v>
      </c>
      <c r="J9167" t="str">
        <f t="shared" si="2071"/>
        <v>00</v>
      </c>
      <c r="K9167">
        <v>20181130</v>
      </c>
      <c r="L9167" t="str">
        <f t="shared" si="2077"/>
        <v>074819</v>
      </c>
      <c r="M9167" t="str">
        <f t="shared" si="2078"/>
        <v>81303</v>
      </c>
      <c r="N9167" t="s">
        <v>66</v>
      </c>
      <c r="O9167">
        <v>360</v>
      </c>
      <c r="P9167">
        <v>20181129</v>
      </c>
      <c r="Q9167" t="s">
        <v>7014</v>
      </c>
      <c r="R9167" t="s">
        <v>7261</v>
      </c>
      <c r="S9167" t="s">
        <v>7000</v>
      </c>
      <c r="T9167" t="s">
        <v>46</v>
      </c>
    </row>
    <row r="9168" spans="1:20" x14ac:dyDescent="0.25">
      <c r="A9168">
        <v>9</v>
      </c>
      <c r="B9168">
        <v>461</v>
      </c>
      <c r="C9168" t="str">
        <f t="shared" ref="C9168:C9231" si="2080">"36"</f>
        <v>36</v>
      </c>
      <c r="D9168">
        <v>6399</v>
      </c>
      <c r="E9168" t="str">
        <f>"Y4"</f>
        <v>Y4</v>
      </c>
      <c r="F9168" t="str">
        <f>"802"</f>
        <v>802</v>
      </c>
      <c r="G9168">
        <v>9</v>
      </c>
      <c r="H9168" t="str">
        <f t="shared" si="2079"/>
        <v>99</v>
      </c>
      <c r="I9168" t="str">
        <f t="shared" si="2073"/>
        <v>0</v>
      </c>
      <c r="J9168" t="str">
        <f t="shared" si="2071"/>
        <v>00</v>
      </c>
      <c r="K9168">
        <v>20181130</v>
      </c>
      <c r="L9168" t="str">
        <f t="shared" si="2077"/>
        <v>074819</v>
      </c>
      <c r="M9168" t="str">
        <f t="shared" si="2078"/>
        <v>81303</v>
      </c>
      <c r="N9168" t="s">
        <v>66</v>
      </c>
      <c r="O9168">
        <v>20.8</v>
      </c>
      <c r="P9168">
        <v>20181129</v>
      </c>
      <c r="Q9168" t="s">
        <v>7127</v>
      </c>
      <c r="R9168" t="s">
        <v>7262</v>
      </c>
      <c r="S9168" t="s">
        <v>7000</v>
      </c>
      <c r="T9168" t="s">
        <v>7023</v>
      </c>
    </row>
    <row r="9169" spans="1:20" x14ac:dyDescent="0.25">
      <c r="A9169">
        <v>9</v>
      </c>
      <c r="B9169">
        <v>461</v>
      </c>
      <c r="C9169" t="str">
        <f t="shared" si="2080"/>
        <v>36</v>
      </c>
      <c r="D9169">
        <v>6299</v>
      </c>
      <c r="E9169" t="str">
        <f>"7K"</f>
        <v>7K</v>
      </c>
      <c r="F9169" t="str">
        <f>"001"</f>
        <v>001</v>
      </c>
      <c r="G9169">
        <v>9</v>
      </c>
      <c r="H9169" t="str">
        <f t="shared" si="2079"/>
        <v>99</v>
      </c>
      <c r="I9169" t="str">
        <f t="shared" si="2073"/>
        <v>0</v>
      </c>
      <c r="J9169" t="str">
        <f t="shared" ref="J9169:J9200" si="2081">"00"</f>
        <v>00</v>
      </c>
      <c r="K9169">
        <v>20181130</v>
      </c>
      <c r="L9169" t="str">
        <f>"074820"</f>
        <v>074820</v>
      </c>
      <c r="M9169" t="str">
        <f>"00615"</f>
        <v>00615</v>
      </c>
      <c r="N9169" t="s">
        <v>7263</v>
      </c>
      <c r="O9169" s="1">
        <v>1500</v>
      </c>
      <c r="P9169">
        <v>20181129</v>
      </c>
      <c r="Q9169" t="s">
        <v>7205</v>
      </c>
      <c r="R9169" t="s">
        <v>2975</v>
      </c>
      <c r="S9169" t="s">
        <v>7000</v>
      </c>
      <c r="T9169" t="s">
        <v>301</v>
      </c>
    </row>
    <row r="9170" spans="1:20" x14ac:dyDescent="0.25">
      <c r="A9170">
        <v>9</v>
      </c>
      <c r="B9170">
        <v>461</v>
      </c>
      <c r="C9170" t="str">
        <f t="shared" si="2080"/>
        <v>36</v>
      </c>
      <c r="D9170">
        <v>6499</v>
      </c>
      <c r="E9170" t="str">
        <f>"PR"</f>
        <v>PR</v>
      </c>
      <c r="F9170" t="str">
        <f>"104"</f>
        <v>104</v>
      </c>
      <c r="G9170">
        <v>9</v>
      </c>
      <c r="H9170" t="str">
        <f t="shared" si="2079"/>
        <v>99</v>
      </c>
      <c r="I9170" t="str">
        <f t="shared" si="2073"/>
        <v>0</v>
      </c>
      <c r="J9170" t="str">
        <f t="shared" si="2081"/>
        <v>00</v>
      </c>
      <c r="K9170">
        <v>20181130</v>
      </c>
      <c r="L9170" t="str">
        <f>"074822"</f>
        <v>074822</v>
      </c>
      <c r="M9170" t="str">
        <f>"81910"</f>
        <v>81910</v>
      </c>
      <c r="N9170" t="s">
        <v>2939</v>
      </c>
      <c r="O9170">
        <v>453</v>
      </c>
      <c r="P9170">
        <v>20181129</v>
      </c>
      <c r="Q9170" t="s">
        <v>7264</v>
      </c>
      <c r="R9170" t="s">
        <v>5115</v>
      </c>
      <c r="S9170" t="s">
        <v>7000</v>
      </c>
      <c r="T9170" t="s">
        <v>46</v>
      </c>
    </row>
    <row r="9171" spans="1:20" x14ac:dyDescent="0.25">
      <c r="A9171">
        <v>9</v>
      </c>
      <c r="B9171">
        <v>461</v>
      </c>
      <c r="C9171" t="str">
        <f t="shared" si="2080"/>
        <v>36</v>
      </c>
      <c r="D9171">
        <v>6399</v>
      </c>
      <c r="E9171" t="str">
        <f>"3G"</f>
        <v>3G</v>
      </c>
      <c r="F9171" t="str">
        <f>"001"</f>
        <v>001</v>
      </c>
      <c r="G9171">
        <v>9</v>
      </c>
      <c r="H9171" t="str">
        <f>"91"</f>
        <v>91</v>
      </c>
      <c r="I9171" t="str">
        <f t="shared" si="2073"/>
        <v>0</v>
      </c>
      <c r="J9171" t="str">
        <f t="shared" si="2081"/>
        <v>00</v>
      </c>
      <c r="K9171">
        <v>20181130</v>
      </c>
      <c r="L9171" t="str">
        <f>"074824"</f>
        <v>074824</v>
      </c>
      <c r="M9171" t="str">
        <f>"83022"</f>
        <v>83022</v>
      </c>
      <c r="N9171" t="s">
        <v>691</v>
      </c>
      <c r="O9171">
        <v>479.71</v>
      </c>
      <c r="P9171">
        <v>20181129</v>
      </c>
      <c r="Q9171" t="s">
        <v>7229</v>
      </c>
      <c r="R9171" t="s">
        <v>7265</v>
      </c>
      <c r="S9171" t="s">
        <v>7000</v>
      </c>
      <c r="T9171" t="s">
        <v>301</v>
      </c>
    </row>
    <row r="9172" spans="1:20" x14ac:dyDescent="0.25">
      <c r="A9172">
        <v>9</v>
      </c>
      <c r="B9172">
        <v>461</v>
      </c>
      <c r="C9172" t="str">
        <f t="shared" si="2080"/>
        <v>36</v>
      </c>
      <c r="D9172">
        <v>6399</v>
      </c>
      <c r="E9172" t="str">
        <f>"61"</f>
        <v>61</v>
      </c>
      <c r="F9172" t="str">
        <f>"101"</f>
        <v>101</v>
      </c>
      <c r="G9172">
        <v>9</v>
      </c>
      <c r="H9172" t="str">
        <f t="shared" ref="H9172:H9199" si="2082">"99"</f>
        <v>99</v>
      </c>
      <c r="I9172" t="str">
        <f t="shared" si="2073"/>
        <v>0</v>
      </c>
      <c r="J9172" t="str">
        <f t="shared" si="2081"/>
        <v>00</v>
      </c>
      <c r="K9172">
        <v>20181130</v>
      </c>
      <c r="L9172" t="str">
        <f>"074824"</f>
        <v>074824</v>
      </c>
      <c r="M9172" t="str">
        <f>"83022"</f>
        <v>83022</v>
      </c>
      <c r="N9172" t="s">
        <v>691</v>
      </c>
      <c r="O9172">
        <v>93.72</v>
      </c>
      <c r="P9172">
        <v>20181129</v>
      </c>
      <c r="Q9172" t="s">
        <v>7007</v>
      </c>
      <c r="R9172" t="s">
        <v>2943</v>
      </c>
      <c r="S9172" t="s">
        <v>7000</v>
      </c>
      <c r="T9172" t="s">
        <v>1479</v>
      </c>
    </row>
    <row r="9173" spans="1:20" x14ac:dyDescent="0.25">
      <c r="A9173">
        <v>9</v>
      </c>
      <c r="B9173">
        <v>461</v>
      </c>
      <c r="C9173" t="str">
        <f t="shared" si="2080"/>
        <v>36</v>
      </c>
      <c r="D9173">
        <v>6399</v>
      </c>
      <c r="E9173" t="str">
        <f>"61"</f>
        <v>61</v>
      </c>
      <c r="F9173" t="str">
        <f>"101"</f>
        <v>101</v>
      </c>
      <c r="G9173">
        <v>9</v>
      </c>
      <c r="H9173" t="str">
        <f t="shared" si="2082"/>
        <v>99</v>
      </c>
      <c r="I9173" t="str">
        <f t="shared" si="2073"/>
        <v>0</v>
      </c>
      <c r="J9173" t="str">
        <f t="shared" si="2081"/>
        <v>00</v>
      </c>
      <c r="K9173">
        <v>20181130</v>
      </c>
      <c r="L9173" t="str">
        <f>"074824"</f>
        <v>074824</v>
      </c>
      <c r="M9173" t="str">
        <f>"83022"</f>
        <v>83022</v>
      </c>
      <c r="N9173" t="s">
        <v>691</v>
      </c>
      <c r="O9173">
        <v>268.52</v>
      </c>
      <c r="P9173">
        <v>20181129</v>
      </c>
      <c r="Q9173" t="s">
        <v>7007</v>
      </c>
      <c r="R9173" t="s">
        <v>2943</v>
      </c>
      <c r="S9173" t="s">
        <v>7000</v>
      </c>
      <c r="T9173" t="s">
        <v>1479</v>
      </c>
    </row>
    <row r="9174" spans="1:20" x14ac:dyDescent="0.25">
      <c r="A9174">
        <v>9</v>
      </c>
      <c r="B9174">
        <v>461</v>
      </c>
      <c r="C9174" t="str">
        <f t="shared" si="2080"/>
        <v>36</v>
      </c>
      <c r="D9174">
        <v>6399</v>
      </c>
      <c r="E9174" t="str">
        <f>"74"</f>
        <v>74</v>
      </c>
      <c r="F9174" t="str">
        <f>"041"</f>
        <v>041</v>
      </c>
      <c r="G9174">
        <v>9</v>
      </c>
      <c r="H9174" t="str">
        <f t="shared" si="2082"/>
        <v>99</v>
      </c>
      <c r="I9174" t="str">
        <f t="shared" si="2073"/>
        <v>0</v>
      </c>
      <c r="J9174" t="str">
        <f t="shared" si="2081"/>
        <v>00</v>
      </c>
      <c r="K9174">
        <v>20181130</v>
      </c>
      <c r="L9174" t="str">
        <f>"074824"</f>
        <v>074824</v>
      </c>
      <c r="M9174" t="str">
        <f>"83022"</f>
        <v>83022</v>
      </c>
      <c r="N9174" t="s">
        <v>691</v>
      </c>
      <c r="O9174">
        <v>167.66</v>
      </c>
      <c r="P9174">
        <v>20181129</v>
      </c>
      <c r="Q9174" t="s">
        <v>7167</v>
      </c>
      <c r="R9174" t="s">
        <v>7266</v>
      </c>
      <c r="S9174" t="s">
        <v>7000</v>
      </c>
      <c r="T9174" t="s">
        <v>106</v>
      </c>
    </row>
    <row r="9175" spans="1:20" x14ac:dyDescent="0.25">
      <c r="A9175">
        <v>9</v>
      </c>
      <c r="B9175">
        <v>461</v>
      </c>
      <c r="C9175" t="str">
        <f t="shared" si="2080"/>
        <v>36</v>
      </c>
      <c r="D9175">
        <v>6399</v>
      </c>
      <c r="E9175" t="str">
        <f>"PR"</f>
        <v>PR</v>
      </c>
      <c r="F9175" t="str">
        <f>"104"</f>
        <v>104</v>
      </c>
      <c r="G9175">
        <v>9</v>
      </c>
      <c r="H9175" t="str">
        <f t="shared" si="2082"/>
        <v>99</v>
      </c>
      <c r="I9175" t="str">
        <f t="shared" si="2073"/>
        <v>0</v>
      </c>
      <c r="J9175" t="str">
        <f t="shared" si="2081"/>
        <v>00</v>
      </c>
      <c r="K9175">
        <v>20181207</v>
      </c>
      <c r="L9175" t="str">
        <f>"074863"</f>
        <v>074863</v>
      </c>
      <c r="M9175" t="str">
        <f>"51346"</f>
        <v>51346</v>
      </c>
      <c r="N9175" t="s">
        <v>418</v>
      </c>
      <c r="O9175">
        <v>84</v>
      </c>
      <c r="P9175">
        <v>20181206</v>
      </c>
      <c r="Q9175" t="s">
        <v>7014</v>
      </c>
      <c r="R9175" t="s">
        <v>7267</v>
      </c>
      <c r="S9175" t="s">
        <v>7000</v>
      </c>
      <c r="T9175" t="s">
        <v>46</v>
      </c>
    </row>
    <row r="9176" spans="1:20" x14ac:dyDescent="0.25">
      <c r="A9176">
        <v>9</v>
      </c>
      <c r="B9176">
        <v>461</v>
      </c>
      <c r="C9176" t="str">
        <f t="shared" si="2080"/>
        <v>36</v>
      </c>
      <c r="D9176">
        <v>6412</v>
      </c>
      <c r="E9176" t="str">
        <f>"61"</f>
        <v>61</v>
      </c>
      <c r="F9176" t="str">
        <f>"101"</f>
        <v>101</v>
      </c>
      <c r="G9176">
        <v>9</v>
      </c>
      <c r="H9176" t="str">
        <f t="shared" si="2082"/>
        <v>99</v>
      </c>
      <c r="I9176" t="str">
        <f t="shared" si="2073"/>
        <v>0</v>
      </c>
      <c r="J9176" t="str">
        <f t="shared" si="2081"/>
        <v>00</v>
      </c>
      <c r="K9176">
        <v>20181207</v>
      </c>
      <c r="L9176" t="str">
        <f>"074863"</f>
        <v>074863</v>
      </c>
      <c r="M9176" t="str">
        <f>"51346"</f>
        <v>51346</v>
      </c>
      <c r="N9176" t="s">
        <v>418</v>
      </c>
      <c r="O9176">
        <v>88.5</v>
      </c>
      <c r="P9176">
        <v>20181206</v>
      </c>
      <c r="Q9176" t="s">
        <v>7268</v>
      </c>
      <c r="R9176" t="s">
        <v>7267</v>
      </c>
      <c r="S9176" t="s">
        <v>7000</v>
      </c>
      <c r="T9176" t="s">
        <v>1479</v>
      </c>
    </row>
    <row r="9177" spans="1:20" x14ac:dyDescent="0.25">
      <c r="A9177">
        <v>9</v>
      </c>
      <c r="B9177">
        <v>461</v>
      </c>
      <c r="C9177" t="str">
        <f t="shared" si="2080"/>
        <v>36</v>
      </c>
      <c r="D9177">
        <v>6499</v>
      </c>
      <c r="E9177" t="str">
        <f>"TA"</f>
        <v>TA</v>
      </c>
      <c r="F9177" t="str">
        <f t="shared" ref="F9177:F9188" si="2083">"001"</f>
        <v>001</v>
      </c>
      <c r="G9177">
        <v>9</v>
      </c>
      <c r="H9177" t="str">
        <f t="shared" si="2082"/>
        <v>99</v>
      </c>
      <c r="I9177" t="str">
        <f t="shared" si="2073"/>
        <v>0</v>
      </c>
      <c r="J9177" t="str">
        <f t="shared" si="2081"/>
        <v>00</v>
      </c>
      <c r="K9177">
        <v>20181207</v>
      </c>
      <c r="L9177" t="str">
        <f>"074870"</f>
        <v>074870</v>
      </c>
      <c r="M9177" t="str">
        <f>"25144"</f>
        <v>25144</v>
      </c>
      <c r="N9177" t="s">
        <v>1620</v>
      </c>
      <c r="O9177">
        <v>166</v>
      </c>
      <c r="P9177">
        <v>20181206</v>
      </c>
      <c r="Q9177" t="s">
        <v>7269</v>
      </c>
      <c r="R9177" t="s">
        <v>7270</v>
      </c>
      <c r="S9177" t="s">
        <v>7000</v>
      </c>
      <c r="T9177" t="s">
        <v>301</v>
      </c>
    </row>
    <row r="9178" spans="1:20" x14ac:dyDescent="0.25">
      <c r="A9178">
        <v>9</v>
      </c>
      <c r="B9178">
        <v>461</v>
      </c>
      <c r="C9178" t="str">
        <f t="shared" si="2080"/>
        <v>36</v>
      </c>
      <c r="D9178">
        <v>6299</v>
      </c>
      <c r="E9178" t="str">
        <f t="shared" ref="E9178:E9188" si="2084">"7K"</f>
        <v>7K</v>
      </c>
      <c r="F9178" t="str">
        <f t="shared" si="2083"/>
        <v>001</v>
      </c>
      <c r="G9178">
        <v>9</v>
      </c>
      <c r="H9178" t="str">
        <f t="shared" si="2082"/>
        <v>99</v>
      </c>
      <c r="I9178" t="str">
        <f t="shared" si="2073"/>
        <v>0</v>
      </c>
      <c r="J9178" t="str">
        <f t="shared" si="2081"/>
        <v>00</v>
      </c>
      <c r="K9178">
        <v>20181207</v>
      </c>
      <c r="L9178" t="str">
        <f>"074872"</f>
        <v>074872</v>
      </c>
      <c r="M9178" t="str">
        <f>"00629"</f>
        <v>00629</v>
      </c>
      <c r="N9178" t="s">
        <v>7271</v>
      </c>
      <c r="O9178">
        <v>340</v>
      </c>
      <c r="P9178">
        <v>20181206</v>
      </c>
      <c r="Q9178" t="s">
        <v>7205</v>
      </c>
      <c r="R9178" t="s">
        <v>2975</v>
      </c>
      <c r="S9178" t="s">
        <v>7000</v>
      </c>
      <c r="T9178" t="s">
        <v>301</v>
      </c>
    </row>
    <row r="9179" spans="1:20" x14ac:dyDescent="0.25">
      <c r="A9179">
        <v>9</v>
      </c>
      <c r="B9179">
        <v>461</v>
      </c>
      <c r="C9179" t="str">
        <f t="shared" si="2080"/>
        <v>36</v>
      </c>
      <c r="D9179">
        <v>6299</v>
      </c>
      <c r="E9179" t="str">
        <f t="shared" si="2084"/>
        <v>7K</v>
      </c>
      <c r="F9179" t="str">
        <f t="shared" si="2083"/>
        <v>001</v>
      </c>
      <c r="G9179">
        <v>9</v>
      </c>
      <c r="H9179" t="str">
        <f t="shared" si="2082"/>
        <v>99</v>
      </c>
      <c r="I9179" t="str">
        <f t="shared" si="2073"/>
        <v>0</v>
      </c>
      <c r="J9179" t="str">
        <f t="shared" si="2081"/>
        <v>00</v>
      </c>
      <c r="K9179">
        <v>20190109</v>
      </c>
      <c r="L9179" t="str">
        <f>"074872"</f>
        <v>074872</v>
      </c>
      <c r="M9179" t="str">
        <f>"00629"</f>
        <v>00629</v>
      </c>
      <c r="N9179" t="s">
        <v>7271</v>
      </c>
      <c r="O9179">
        <v>-340</v>
      </c>
      <c r="P9179">
        <v>20190109</v>
      </c>
      <c r="Q9179" t="s">
        <v>7205</v>
      </c>
      <c r="R9179" t="s">
        <v>7272</v>
      </c>
      <c r="S9179" t="s">
        <v>7000</v>
      </c>
      <c r="T9179" t="s">
        <v>301</v>
      </c>
    </row>
    <row r="9180" spans="1:20" x14ac:dyDescent="0.25">
      <c r="A9180">
        <v>9</v>
      </c>
      <c r="B9180">
        <v>461</v>
      </c>
      <c r="C9180" t="str">
        <f t="shared" si="2080"/>
        <v>36</v>
      </c>
      <c r="D9180">
        <v>6412</v>
      </c>
      <c r="E9180" t="str">
        <f t="shared" si="2084"/>
        <v>7K</v>
      </c>
      <c r="F9180" t="str">
        <f t="shared" si="2083"/>
        <v>001</v>
      </c>
      <c r="G9180">
        <v>9</v>
      </c>
      <c r="H9180" t="str">
        <f t="shared" si="2082"/>
        <v>99</v>
      </c>
      <c r="I9180" t="str">
        <f t="shared" si="2073"/>
        <v>0</v>
      </c>
      <c r="J9180" t="str">
        <f t="shared" si="2081"/>
        <v>00</v>
      </c>
      <c r="K9180">
        <v>20181207</v>
      </c>
      <c r="L9180" t="str">
        <f t="shared" ref="L9180:L9187" si="2085">"074884"</f>
        <v>074884</v>
      </c>
      <c r="M9180" t="str">
        <f t="shared" ref="M9180:M9187" si="2086">"30744"</f>
        <v>30744</v>
      </c>
      <c r="N9180" t="s">
        <v>422</v>
      </c>
      <c r="O9180">
        <v>40.5</v>
      </c>
      <c r="P9180">
        <v>20181206</v>
      </c>
      <c r="Q9180" t="s">
        <v>7082</v>
      </c>
      <c r="R9180" t="s">
        <v>2975</v>
      </c>
      <c r="S9180" t="s">
        <v>7000</v>
      </c>
      <c r="T9180" t="s">
        <v>301</v>
      </c>
    </row>
    <row r="9181" spans="1:20" x14ac:dyDescent="0.25">
      <c r="A9181">
        <v>9</v>
      </c>
      <c r="B9181">
        <v>461</v>
      </c>
      <c r="C9181" t="str">
        <f t="shared" si="2080"/>
        <v>36</v>
      </c>
      <c r="D9181">
        <v>6412</v>
      </c>
      <c r="E9181" t="str">
        <f t="shared" si="2084"/>
        <v>7K</v>
      </c>
      <c r="F9181" t="str">
        <f t="shared" si="2083"/>
        <v>001</v>
      </c>
      <c r="G9181">
        <v>9</v>
      </c>
      <c r="H9181" t="str">
        <f t="shared" si="2082"/>
        <v>99</v>
      </c>
      <c r="I9181" t="str">
        <f t="shared" si="2073"/>
        <v>0</v>
      </c>
      <c r="J9181" t="str">
        <f t="shared" si="2081"/>
        <v>00</v>
      </c>
      <c r="K9181">
        <v>20181207</v>
      </c>
      <c r="L9181" t="str">
        <f t="shared" si="2085"/>
        <v>074884</v>
      </c>
      <c r="M9181" t="str">
        <f t="shared" si="2086"/>
        <v>30744</v>
      </c>
      <c r="N9181" t="s">
        <v>422</v>
      </c>
      <c r="O9181">
        <v>17.95</v>
      </c>
      <c r="P9181">
        <v>20181206</v>
      </c>
      <c r="Q9181" t="s">
        <v>7082</v>
      </c>
      <c r="R9181" t="s">
        <v>2975</v>
      </c>
      <c r="S9181" t="s">
        <v>7000</v>
      </c>
      <c r="T9181" t="s">
        <v>301</v>
      </c>
    </row>
    <row r="9182" spans="1:20" x14ac:dyDescent="0.25">
      <c r="A9182">
        <v>9</v>
      </c>
      <c r="B9182">
        <v>461</v>
      </c>
      <c r="C9182" t="str">
        <f t="shared" si="2080"/>
        <v>36</v>
      </c>
      <c r="D9182">
        <v>6412</v>
      </c>
      <c r="E9182" t="str">
        <f t="shared" si="2084"/>
        <v>7K</v>
      </c>
      <c r="F9182" t="str">
        <f t="shared" si="2083"/>
        <v>001</v>
      </c>
      <c r="G9182">
        <v>9</v>
      </c>
      <c r="H9182" t="str">
        <f t="shared" si="2082"/>
        <v>99</v>
      </c>
      <c r="I9182" t="str">
        <f t="shared" si="2073"/>
        <v>0</v>
      </c>
      <c r="J9182" t="str">
        <f t="shared" si="2081"/>
        <v>00</v>
      </c>
      <c r="K9182">
        <v>20181207</v>
      </c>
      <c r="L9182" t="str">
        <f t="shared" si="2085"/>
        <v>074884</v>
      </c>
      <c r="M9182" t="str">
        <f t="shared" si="2086"/>
        <v>30744</v>
      </c>
      <c r="N9182" t="s">
        <v>422</v>
      </c>
      <c r="O9182">
        <v>65.239999999999995</v>
      </c>
      <c r="P9182">
        <v>20181206</v>
      </c>
      <c r="Q9182" t="s">
        <v>7082</v>
      </c>
      <c r="R9182" t="s">
        <v>2975</v>
      </c>
      <c r="S9182" t="s">
        <v>7000</v>
      </c>
      <c r="T9182" t="s">
        <v>301</v>
      </c>
    </row>
    <row r="9183" spans="1:20" x14ac:dyDescent="0.25">
      <c r="A9183">
        <v>9</v>
      </c>
      <c r="B9183">
        <v>461</v>
      </c>
      <c r="C9183" t="str">
        <f t="shared" si="2080"/>
        <v>36</v>
      </c>
      <c r="D9183">
        <v>6412</v>
      </c>
      <c r="E9183" t="str">
        <f t="shared" si="2084"/>
        <v>7K</v>
      </c>
      <c r="F9183" t="str">
        <f t="shared" si="2083"/>
        <v>001</v>
      </c>
      <c r="G9183">
        <v>9</v>
      </c>
      <c r="H9183" t="str">
        <f t="shared" si="2082"/>
        <v>99</v>
      </c>
      <c r="I9183" t="str">
        <f t="shared" si="2073"/>
        <v>0</v>
      </c>
      <c r="J9183" t="str">
        <f t="shared" si="2081"/>
        <v>00</v>
      </c>
      <c r="K9183">
        <v>20181207</v>
      </c>
      <c r="L9183" t="str">
        <f t="shared" si="2085"/>
        <v>074884</v>
      </c>
      <c r="M9183" t="str">
        <f t="shared" si="2086"/>
        <v>30744</v>
      </c>
      <c r="N9183" t="s">
        <v>422</v>
      </c>
      <c r="O9183">
        <v>94.2</v>
      </c>
      <c r="P9183">
        <v>20181206</v>
      </c>
      <c r="Q9183" t="s">
        <v>7082</v>
      </c>
      <c r="R9183" t="s">
        <v>2975</v>
      </c>
      <c r="S9183" t="s">
        <v>7000</v>
      </c>
      <c r="T9183" t="s">
        <v>301</v>
      </c>
    </row>
    <row r="9184" spans="1:20" x14ac:dyDescent="0.25">
      <c r="A9184">
        <v>9</v>
      </c>
      <c r="B9184">
        <v>461</v>
      </c>
      <c r="C9184" t="str">
        <f t="shared" si="2080"/>
        <v>36</v>
      </c>
      <c r="D9184">
        <v>6412</v>
      </c>
      <c r="E9184" t="str">
        <f t="shared" si="2084"/>
        <v>7K</v>
      </c>
      <c r="F9184" t="str">
        <f t="shared" si="2083"/>
        <v>001</v>
      </c>
      <c r="G9184">
        <v>9</v>
      </c>
      <c r="H9184" t="str">
        <f t="shared" si="2082"/>
        <v>99</v>
      </c>
      <c r="I9184" t="str">
        <f t="shared" si="2073"/>
        <v>0</v>
      </c>
      <c r="J9184" t="str">
        <f t="shared" si="2081"/>
        <v>00</v>
      </c>
      <c r="K9184">
        <v>20181207</v>
      </c>
      <c r="L9184" t="str">
        <f t="shared" si="2085"/>
        <v>074884</v>
      </c>
      <c r="M9184" t="str">
        <f t="shared" si="2086"/>
        <v>30744</v>
      </c>
      <c r="N9184" t="s">
        <v>422</v>
      </c>
      <c r="O9184">
        <v>44.08</v>
      </c>
      <c r="P9184">
        <v>20181206</v>
      </c>
      <c r="Q9184" t="s">
        <v>7082</v>
      </c>
      <c r="R9184" t="s">
        <v>2975</v>
      </c>
      <c r="S9184" t="s">
        <v>7000</v>
      </c>
      <c r="T9184" t="s">
        <v>301</v>
      </c>
    </row>
    <row r="9185" spans="1:20" x14ac:dyDescent="0.25">
      <c r="A9185">
        <v>9</v>
      </c>
      <c r="B9185">
        <v>461</v>
      </c>
      <c r="C9185" t="str">
        <f t="shared" si="2080"/>
        <v>36</v>
      </c>
      <c r="D9185">
        <v>6412</v>
      </c>
      <c r="E9185" t="str">
        <f t="shared" si="2084"/>
        <v>7K</v>
      </c>
      <c r="F9185" t="str">
        <f t="shared" si="2083"/>
        <v>001</v>
      </c>
      <c r="G9185">
        <v>9</v>
      </c>
      <c r="H9185" t="str">
        <f t="shared" si="2082"/>
        <v>99</v>
      </c>
      <c r="I9185" t="str">
        <f t="shared" si="2073"/>
        <v>0</v>
      </c>
      <c r="J9185" t="str">
        <f t="shared" si="2081"/>
        <v>00</v>
      </c>
      <c r="K9185">
        <v>20181207</v>
      </c>
      <c r="L9185" t="str">
        <f t="shared" si="2085"/>
        <v>074884</v>
      </c>
      <c r="M9185" t="str">
        <f t="shared" si="2086"/>
        <v>30744</v>
      </c>
      <c r="N9185" t="s">
        <v>422</v>
      </c>
      <c r="O9185">
        <v>91.98</v>
      </c>
      <c r="P9185">
        <v>20181206</v>
      </c>
      <c r="Q9185" t="s">
        <v>7082</v>
      </c>
      <c r="R9185" t="s">
        <v>2975</v>
      </c>
      <c r="S9185" t="s">
        <v>7000</v>
      </c>
      <c r="T9185" t="s">
        <v>301</v>
      </c>
    </row>
    <row r="9186" spans="1:20" x14ac:dyDescent="0.25">
      <c r="A9186">
        <v>9</v>
      </c>
      <c r="B9186">
        <v>461</v>
      </c>
      <c r="C9186" t="str">
        <f t="shared" si="2080"/>
        <v>36</v>
      </c>
      <c r="D9186">
        <v>6412</v>
      </c>
      <c r="E9186" t="str">
        <f t="shared" si="2084"/>
        <v>7K</v>
      </c>
      <c r="F9186" t="str">
        <f t="shared" si="2083"/>
        <v>001</v>
      </c>
      <c r="G9186">
        <v>9</v>
      </c>
      <c r="H9186" t="str">
        <f t="shared" si="2082"/>
        <v>99</v>
      </c>
      <c r="I9186" t="str">
        <f t="shared" si="2073"/>
        <v>0</v>
      </c>
      <c r="J9186" t="str">
        <f t="shared" si="2081"/>
        <v>00</v>
      </c>
      <c r="K9186">
        <v>20181207</v>
      </c>
      <c r="L9186" t="str">
        <f t="shared" si="2085"/>
        <v>074884</v>
      </c>
      <c r="M9186" t="str">
        <f t="shared" si="2086"/>
        <v>30744</v>
      </c>
      <c r="N9186" t="s">
        <v>422</v>
      </c>
      <c r="O9186">
        <v>56.89</v>
      </c>
      <c r="P9186">
        <v>20181206</v>
      </c>
      <c r="Q9186" t="s">
        <v>7082</v>
      </c>
      <c r="R9186" t="s">
        <v>2975</v>
      </c>
      <c r="S9186" t="s">
        <v>7000</v>
      </c>
      <c r="T9186" t="s">
        <v>301</v>
      </c>
    </row>
    <row r="9187" spans="1:20" x14ac:dyDescent="0.25">
      <c r="A9187">
        <v>9</v>
      </c>
      <c r="B9187">
        <v>461</v>
      </c>
      <c r="C9187" t="str">
        <f t="shared" si="2080"/>
        <v>36</v>
      </c>
      <c r="D9187">
        <v>6412</v>
      </c>
      <c r="E9187" t="str">
        <f t="shared" si="2084"/>
        <v>7K</v>
      </c>
      <c r="F9187" t="str">
        <f t="shared" si="2083"/>
        <v>001</v>
      </c>
      <c r="G9187">
        <v>9</v>
      </c>
      <c r="H9187" t="str">
        <f t="shared" si="2082"/>
        <v>99</v>
      </c>
      <c r="I9187" t="str">
        <f t="shared" si="2073"/>
        <v>0</v>
      </c>
      <c r="J9187" t="str">
        <f t="shared" si="2081"/>
        <v>00</v>
      </c>
      <c r="K9187">
        <v>20181207</v>
      </c>
      <c r="L9187" t="str">
        <f t="shared" si="2085"/>
        <v>074884</v>
      </c>
      <c r="M9187" t="str">
        <f t="shared" si="2086"/>
        <v>30744</v>
      </c>
      <c r="N9187" t="s">
        <v>422</v>
      </c>
      <c r="O9187">
        <v>27.79</v>
      </c>
      <c r="P9187">
        <v>20181206</v>
      </c>
      <c r="Q9187" t="s">
        <v>7082</v>
      </c>
      <c r="R9187" t="s">
        <v>2975</v>
      </c>
      <c r="S9187" t="s">
        <v>7000</v>
      </c>
      <c r="T9187" t="s">
        <v>301</v>
      </c>
    </row>
    <row r="9188" spans="1:20" x14ac:dyDescent="0.25">
      <c r="A9188">
        <v>9</v>
      </c>
      <c r="B9188">
        <v>461</v>
      </c>
      <c r="C9188" t="str">
        <f t="shared" si="2080"/>
        <v>36</v>
      </c>
      <c r="D9188">
        <v>6299</v>
      </c>
      <c r="E9188" t="str">
        <f t="shared" si="2084"/>
        <v>7K</v>
      </c>
      <c r="F9188" t="str">
        <f t="shared" si="2083"/>
        <v>001</v>
      </c>
      <c r="G9188">
        <v>9</v>
      </c>
      <c r="H9188" t="str">
        <f t="shared" si="2082"/>
        <v>99</v>
      </c>
      <c r="I9188" t="str">
        <f t="shared" si="2073"/>
        <v>0</v>
      </c>
      <c r="J9188" t="str">
        <f t="shared" si="2081"/>
        <v>00</v>
      </c>
      <c r="K9188">
        <v>20181207</v>
      </c>
      <c r="L9188" t="str">
        <f>"074891"</f>
        <v>074891</v>
      </c>
      <c r="M9188" t="str">
        <f>"00624"</f>
        <v>00624</v>
      </c>
      <c r="N9188" t="s">
        <v>7273</v>
      </c>
      <c r="O9188">
        <v>340</v>
      </c>
      <c r="P9188">
        <v>20181206</v>
      </c>
      <c r="Q9188" t="s">
        <v>7205</v>
      </c>
      <c r="R9188" t="s">
        <v>2975</v>
      </c>
      <c r="S9188" t="s">
        <v>7000</v>
      </c>
      <c r="T9188" t="s">
        <v>301</v>
      </c>
    </row>
    <row r="9189" spans="1:20" x14ac:dyDescent="0.25">
      <c r="A9189">
        <v>9</v>
      </c>
      <c r="B9189">
        <v>461</v>
      </c>
      <c r="C9189" t="str">
        <f t="shared" si="2080"/>
        <v>36</v>
      </c>
      <c r="D9189">
        <v>6399</v>
      </c>
      <c r="E9189" t="str">
        <f>"7U"</f>
        <v>7U</v>
      </c>
      <c r="F9189" t="str">
        <f>"101"</f>
        <v>101</v>
      </c>
      <c r="G9189">
        <v>9</v>
      </c>
      <c r="H9189" t="str">
        <f t="shared" si="2082"/>
        <v>99</v>
      </c>
      <c r="I9189" t="str">
        <f t="shared" si="2073"/>
        <v>0</v>
      </c>
      <c r="J9189" t="str">
        <f t="shared" si="2081"/>
        <v>00</v>
      </c>
      <c r="K9189">
        <v>20181207</v>
      </c>
      <c r="L9189" t="str">
        <f>"074892"</f>
        <v>074892</v>
      </c>
      <c r="M9189" t="str">
        <f>"45694"</f>
        <v>45694</v>
      </c>
      <c r="N9189" t="s">
        <v>1893</v>
      </c>
      <c r="O9189" s="1">
        <v>1661.8</v>
      </c>
      <c r="P9189">
        <v>20181206</v>
      </c>
      <c r="Q9189" t="s">
        <v>7274</v>
      </c>
      <c r="R9189" t="s">
        <v>1945</v>
      </c>
      <c r="S9189" t="s">
        <v>7000</v>
      </c>
      <c r="T9189" t="s">
        <v>1479</v>
      </c>
    </row>
    <row r="9190" spans="1:20" x14ac:dyDescent="0.25">
      <c r="A9190">
        <v>9</v>
      </c>
      <c r="B9190">
        <v>461</v>
      </c>
      <c r="C9190" t="str">
        <f t="shared" si="2080"/>
        <v>36</v>
      </c>
      <c r="D9190">
        <v>6299</v>
      </c>
      <c r="E9190" t="str">
        <f>"7K"</f>
        <v>7K</v>
      </c>
      <c r="F9190" t="str">
        <f>"001"</f>
        <v>001</v>
      </c>
      <c r="G9190">
        <v>9</v>
      </c>
      <c r="H9190" t="str">
        <f t="shared" si="2082"/>
        <v>99</v>
      </c>
      <c r="I9190" t="str">
        <f t="shared" si="2073"/>
        <v>0</v>
      </c>
      <c r="J9190" t="str">
        <f t="shared" si="2081"/>
        <v>00</v>
      </c>
      <c r="K9190">
        <v>20181207</v>
      </c>
      <c r="L9190" t="str">
        <f>"074907"</f>
        <v>074907</v>
      </c>
      <c r="M9190" t="str">
        <f>"00627"</f>
        <v>00627</v>
      </c>
      <c r="N9190" t="s">
        <v>7275</v>
      </c>
      <c r="O9190">
        <v>340</v>
      </c>
      <c r="P9190">
        <v>20181206</v>
      </c>
      <c r="Q9190" t="s">
        <v>7205</v>
      </c>
      <c r="R9190" t="s">
        <v>2975</v>
      </c>
      <c r="S9190" t="s">
        <v>7000</v>
      </c>
      <c r="T9190" t="s">
        <v>301</v>
      </c>
    </row>
    <row r="9191" spans="1:20" x14ac:dyDescent="0.25">
      <c r="A9191">
        <v>9</v>
      </c>
      <c r="B9191">
        <v>461</v>
      </c>
      <c r="C9191" t="str">
        <f t="shared" si="2080"/>
        <v>36</v>
      </c>
      <c r="D9191">
        <v>6299</v>
      </c>
      <c r="E9191" t="str">
        <f>"7K"</f>
        <v>7K</v>
      </c>
      <c r="F9191" t="str">
        <f>"001"</f>
        <v>001</v>
      </c>
      <c r="G9191">
        <v>9</v>
      </c>
      <c r="H9191" t="str">
        <f t="shared" si="2082"/>
        <v>99</v>
      </c>
      <c r="I9191" t="str">
        <f t="shared" si="2073"/>
        <v>0</v>
      </c>
      <c r="J9191" t="str">
        <f t="shared" si="2081"/>
        <v>00</v>
      </c>
      <c r="K9191">
        <v>20181207</v>
      </c>
      <c r="L9191" t="str">
        <f>"074909"</f>
        <v>074909</v>
      </c>
      <c r="M9191" t="str">
        <f>"00623"</f>
        <v>00623</v>
      </c>
      <c r="N9191" t="s">
        <v>7276</v>
      </c>
      <c r="O9191">
        <v>340</v>
      </c>
      <c r="P9191">
        <v>20181206</v>
      </c>
      <c r="Q9191" t="s">
        <v>7205</v>
      </c>
      <c r="R9191" t="s">
        <v>2975</v>
      </c>
      <c r="S9191" t="s">
        <v>7000</v>
      </c>
      <c r="T9191" t="s">
        <v>301</v>
      </c>
    </row>
    <row r="9192" spans="1:20" x14ac:dyDescent="0.25">
      <c r="A9192">
        <v>9</v>
      </c>
      <c r="B9192">
        <v>461</v>
      </c>
      <c r="C9192" t="str">
        <f t="shared" si="2080"/>
        <v>36</v>
      </c>
      <c r="D9192">
        <v>6399</v>
      </c>
      <c r="E9192" t="str">
        <f>"PR"</f>
        <v>PR</v>
      </c>
      <c r="F9192" t="str">
        <f>"104"</f>
        <v>104</v>
      </c>
      <c r="G9192">
        <v>9</v>
      </c>
      <c r="H9192" t="str">
        <f t="shared" si="2082"/>
        <v>99</v>
      </c>
      <c r="I9192" t="str">
        <f t="shared" si="2073"/>
        <v>0</v>
      </c>
      <c r="J9192" t="str">
        <f t="shared" si="2081"/>
        <v>00</v>
      </c>
      <c r="K9192">
        <v>20181207</v>
      </c>
      <c r="L9192" t="str">
        <f>"074912"</f>
        <v>074912</v>
      </c>
      <c r="M9192" t="str">
        <f>"54034"</f>
        <v>54034</v>
      </c>
      <c r="N9192" t="s">
        <v>7189</v>
      </c>
      <c r="O9192" s="1">
        <v>2285.5</v>
      </c>
      <c r="P9192">
        <v>20181206</v>
      </c>
      <c r="Q9192" t="s">
        <v>7014</v>
      </c>
      <c r="R9192" t="s">
        <v>7277</v>
      </c>
      <c r="S9192" t="s">
        <v>7000</v>
      </c>
      <c r="T9192" t="s">
        <v>46</v>
      </c>
    </row>
    <row r="9193" spans="1:20" x14ac:dyDescent="0.25">
      <c r="A9193">
        <v>9</v>
      </c>
      <c r="B9193">
        <v>461</v>
      </c>
      <c r="C9193" t="str">
        <f t="shared" si="2080"/>
        <v>36</v>
      </c>
      <c r="D9193">
        <v>6399</v>
      </c>
      <c r="E9193" t="str">
        <f>"61"</f>
        <v>61</v>
      </c>
      <c r="F9193" t="str">
        <f>"101"</f>
        <v>101</v>
      </c>
      <c r="G9193">
        <v>9</v>
      </c>
      <c r="H9193" t="str">
        <f t="shared" si="2082"/>
        <v>99</v>
      </c>
      <c r="I9193" t="str">
        <f t="shared" si="2073"/>
        <v>0</v>
      </c>
      <c r="J9193" t="str">
        <f t="shared" si="2081"/>
        <v>00</v>
      </c>
      <c r="K9193">
        <v>20181207</v>
      </c>
      <c r="L9193" t="str">
        <f>"074921"</f>
        <v>074921</v>
      </c>
      <c r="M9193" t="str">
        <f>"58203"</f>
        <v>58203</v>
      </c>
      <c r="N9193" t="s">
        <v>3051</v>
      </c>
      <c r="O9193">
        <v>12.76</v>
      </c>
      <c r="P9193">
        <v>20181206</v>
      </c>
      <c r="Q9193" t="s">
        <v>7007</v>
      </c>
      <c r="R9193" t="s">
        <v>7278</v>
      </c>
      <c r="S9193" t="s">
        <v>7000</v>
      </c>
      <c r="T9193" t="s">
        <v>1479</v>
      </c>
    </row>
    <row r="9194" spans="1:20" x14ac:dyDescent="0.25">
      <c r="A9194">
        <v>9</v>
      </c>
      <c r="B9194">
        <v>461</v>
      </c>
      <c r="C9194" t="str">
        <f t="shared" si="2080"/>
        <v>36</v>
      </c>
      <c r="D9194">
        <v>6399</v>
      </c>
      <c r="E9194" t="str">
        <f>"61"</f>
        <v>61</v>
      </c>
      <c r="F9194" t="str">
        <f>"101"</f>
        <v>101</v>
      </c>
      <c r="G9194">
        <v>9</v>
      </c>
      <c r="H9194" t="str">
        <f t="shared" si="2082"/>
        <v>99</v>
      </c>
      <c r="I9194" t="str">
        <f t="shared" si="2073"/>
        <v>0</v>
      </c>
      <c r="J9194" t="str">
        <f t="shared" si="2081"/>
        <v>00</v>
      </c>
      <c r="K9194">
        <v>20181207</v>
      </c>
      <c r="L9194" t="str">
        <f>"074921"</f>
        <v>074921</v>
      </c>
      <c r="M9194" t="str">
        <f>"58203"</f>
        <v>58203</v>
      </c>
      <c r="N9194" t="s">
        <v>3051</v>
      </c>
      <c r="O9194">
        <v>20.65</v>
      </c>
      <c r="P9194">
        <v>20181206</v>
      </c>
      <c r="Q9194" t="s">
        <v>7007</v>
      </c>
      <c r="R9194" t="s">
        <v>1771</v>
      </c>
      <c r="S9194" t="s">
        <v>7000</v>
      </c>
      <c r="T9194" t="s">
        <v>1479</v>
      </c>
    </row>
    <row r="9195" spans="1:20" x14ac:dyDescent="0.25">
      <c r="A9195">
        <v>9</v>
      </c>
      <c r="B9195">
        <v>461</v>
      </c>
      <c r="C9195" t="str">
        <f t="shared" si="2080"/>
        <v>36</v>
      </c>
      <c r="D9195">
        <v>6399</v>
      </c>
      <c r="E9195" t="str">
        <f>"7E"</f>
        <v>7E</v>
      </c>
      <c r="F9195" t="str">
        <f>"001"</f>
        <v>001</v>
      </c>
      <c r="G9195">
        <v>9</v>
      </c>
      <c r="H9195" t="str">
        <f t="shared" si="2082"/>
        <v>99</v>
      </c>
      <c r="I9195" t="str">
        <f t="shared" si="2073"/>
        <v>0</v>
      </c>
      <c r="J9195" t="str">
        <f t="shared" si="2081"/>
        <v>00</v>
      </c>
      <c r="K9195">
        <v>20181207</v>
      </c>
      <c r="L9195" t="str">
        <f>"074930"</f>
        <v>074930</v>
      </c>
      <c r="M9195" t="str">
        <f>"63053"</f>
        <v>63053</v>
      </c>
      <c r="N9195" t="s">
        <v>2309</v>
      </c>
      <c r="O9195">
        <v>600</v>
      </c>
      <c r="P9195">
        <v>20181206</v>
      </c>
      <c r="Q9195" t="s">
        <v>7055</v>
      </c>
      <c r="R9195" t="s">
        <v>3031</v>
      </c>
      <c r="S9195" t="s">
        <v>7000</v>
      </c>
      <c r="T9195" t="s">
        <v>301</v>
      </c>
    </row>
    <row r="9196" spans="1:20" x14ac:dyDescent="0.25">
      <c r="A9196">
        <v>9</v>
      </c>
      <c r="B9196">
        <v>461</v>
      </c>
      <c r="C9196" t="str">
        <f t="shared" si="2080"/>
        <v>36</v>
      </c>
      <c r="D9196">
        <v>6329</v>
      </c>
      <c r="E9196" t="str">
        <f>"7U"</f>
        <v>7U</v>
      </c>
      <c r="F9196" t="str">
        <f>"101"</f>
        <v>101</v>
      </c>
      <c r="G9196">
        <v>9</v>
      </c>
      <c r="H9196" t="str">
        <f t="shared" si="2082"/>
        <v>99</v>
      </c>
      <c r="I9196" t="str">
        <f t="shared" si="2073"/>
        <v>0</v>
      </c>
      <c r="J9196" t="str">
        <f t="shared" si="2081"/>
        <v>00</v>
      </c>
      <c r="K9196">
        <v>20181207</v>
      </c>
      <c r="L9196" t="str">
        <f>"074939"</f>
        <v>074939</v>
      </c>
      <c r="M9196" t="str">
        <f>"65766"</f>
        <v>65766</v>
      </c>
      <c r="N9196" t="s">
        <v>7201</v>
      </c>
      <c r="O9196" s="1">
        <v>3065.37</v>
      </c>
      <c r="P9196">
        <v>20181206</v>
      </c>
      <c r="Q9196" t="s">
        <v>7279</v>
      </c>
      <c r="R9196" t="s">
        <v>7280</v>
      </c>
      <c r="S9196" t="s">
        <v>7000</v>
      </c>
      <c r="T9196" t="s">
        <v>1479</v>
      </c>
    </row>
    <row r="9197" spans="1:20" x14ac:dyDescent="0.25">
      <c r="A9197">
        <v>9</v>
      </c>
      <c r="B9197">
        <v>461</v>
      </c>
      <c r="C9197" t="str">
        <f t="shared" si="2080"/>
        <v>36</v>
      </c>
      <c r="D9197">
        <v>6299</v>
      </c>
      <c r="E9197" t="str">
        <f>"7K"</f>
        <v>7K</v>
      </c>
      <c r="F9197" t="str">
        <f>"001"</f>
        <v>001</v>
      </c>
      <c r="G9197">
        <v>9</v>
      </c>
      <c r="H9197" t="str">
        <f t="shared" si="2082"/>
        <v>99</v>
      </c>
      <c r="I9197" t="str">
        <f t="shared" si="2073"/>
        <v>0</v>
      </c>
      <c r="J9197" t="str">
        <f t="shared" si="2081"/>
        <v>00</v>
      </c>
      <c r="K9197">
        <v>20181207</v>
      </c>
      <c r="L9197" t="str">
        <f>"074944"</f>
        <v>074944</v>
      </c>
      <c r="M9197" t="str">
        <f>"00625"</f>
        <v>00625</v>
      </c>
      <c r="N9197" t="s">
        <v>7281</v>
      </c>
      <c r="O9197">
        <v>340</v>
      </c>
      <c r="P9197">
        <v>20181206</v>
      </c>
      <c r="Q9197" t="s">
        <v>7205</v>
      </c>
      <c r="R9197" t="s">
        <v>2975</v>
      </c>
      <c r="S9197" t="s">
        <v>7000</v>
      </c>
      <c r="T9197" t="s">
        <v>301</v>
      </c>
    </row>
    <row r="9198" spans="1:20" x14ac:dyDescent="0.25">
      <c r="A9198">
        <v>9</v>
      </c>
      <c r="B9198">
        <v>461</v>
      </c>
      <c r="C9198" t="str">
        <f t="shared" si="2080"/>
        <v>36</v>
      </c>
      <c r="D9198">
        <v>6299</v>
      </c>
      <c r="E9198" t="str">
        <f>"7K"</f>
        <v>7K</v>
      </c>
      <c r="F9198" t="str">
        <f>"001"</f>
        <v>001</v>
      </c>
      <c r="G9198">
        <v>9</v>
      </c>
      <c r="H9198" t="str">
        <f t="shared" si="2082"/>
        <v>99</v>
      </c>
      <c r="I9198" t="str">
        <f t="shared" si="2073"/>
        <v>0</v>
      </c>
      <c r="J9198" t="str">
        <f t="shared" si="2081"/>
        <v>00</v>
      </c>
      <c r="K9198">
        <v>20181207</v>
      </c>
      <c r="L9198" t="str">
        <f>"074960"</f>
        <v>074960</v>
      </c>
      <c r="M9198" t="str">
        <f>"00626"</f>
        <v>00626</v>
      </c>
      <c r="N9198" t="s">
        <v>7282</v>
      </c>
      <c r="O9198">
        <v>440</v>
      </c>
      <c r="P9198">
        <v>20181206</v>
      </c>
      <c r="Q9198" t="s">
        <v>7205</v>
      </c>
      <c r="R9198" t="s">
        <v>2975</v>
      </c>
      <c r="S9198" t="s">
        <v>7000</v>
      </c>
      <c r="T9198" t="s">
        <v>301</v>
      </c>
    </row>
    <row r="9199" spans="1:20" x14ac:dyDescent="0.25">
      <c r="A9199">
        <v>9</v>
      </c>
      <c r="B9199">
        <v>461</v>
      </c>
      <c r="C9199" t="str">
        <f t="shared" si="2080"/>
        <v>36</v>
      </c>
      <c r="D9199">
        <v>6399</v>
      </c>
      <c r="E9199" t="str">
        <f>"61"</f>
        <v>61</v>
      </c>
      <c r="F9199" t="str">
        <f>"101"</f>
        <v>101</v>
      </c>
      <c r="G9199">
        <v>9</v>
      </c>
      <c r="H9199" t="str">
        <f t="shared" si="2082"/>
        <v>99</v>
      </c>
      <c r="I9199" t="str">
        <f t="shared" si="2073"/>
        <v>0</v>
      </c>
      <c r="J9199" t="str">
        <f t="shared" si="2081"/>
        <v>00</v>
      </c>
      <c r="K9199">
        <v>20181214</v>
      </c>
      <c r="L9199" t="str">
        <f>"074971"</f>
        <v>074971</v>
      </c>
      <c r="M9199" t="str">
        <f>"04410"</f>
        <v>04410</v>
      </c>
      <c r="N9199" t="s">
        <v>410</v>
      </c>
      <c r="O9199">
        <v>123.7</v>
      </c>
      <c r="P9199">
        <v>20181212</v>
      </c>
      <c r="Q9199" t="s">
        <v>7007</v>
      </c>
      <c r="R9199" t="s">
        <v>7283</v>
      </c>
      <c r="S9199" t="s">
        <v>7000</v>
      </c>
      <c r="T9199" t="s">
        <v>1479</v>
      </c>
    </row>
    <row r="9200" spans="1:20" x14ac:dyDescent="0.25">
      <c r="A9200">
        <v>9</v>
      </c>
      <c r="B9200">
        <v>461</v>
      </c>
      <c r="C9200" t="str">
        <f t="shared" si="2080"/>
        <v>36</v>
      </c>
      <c r="D9200">
        <v>6399</v>
      </c>
      <c r="E9200" t="str">
        <f>"3K"</f>
        <v>3K</v>
      </c>
      <c r="F9200" t="str">
        <f>"001"</f>
        <v>001</v>
      </c>
      <c r="G9200">
        <v>9</v>
      </c>
      <c r="H9200" t="str">
        <f>"91"</f>
        <v>91</v>
      </c>
      <c r="I9200" t="str">
        <f t="shared" si="2073"/>
        <v>0</v>
      </c>
      <c r="J9200" t="str">
        <f t="shared" si="2081"/>
        <v>00</v>
      </c>
      <c r="K9200">
        <v>20181214</v>
      </c>
      <c r="L9200" t="str">
        <f>"074972"</f>
        <v>074972</v>
      </c>
      <c r="M9200" t="str">
        <f>"05530"</f>
        <v>05530</v>
      </c>
      <c r="N9200" t="s">
        <v>947</v>
      </c>
      <c r="O9200">
        <v>660</v>
      </c>
      <c r="P9200">
        <v>20181212</v>
      </c>
      <c r="Q9200" t="s">
        <v>7284</v>
      </c>
      <c r="R9200" t="s">
        <v>7285</v>
      </c>
      <c r="S9200" t="s">
        <v>7000</v>
      </c>
      <c r="T9200" t="s">
        <v>301</v>
      </c>
    </row>
    <row r="9201" spans="1:20" x14ac:dyDescent="0.25">
      <c r="A9201">
        <v>9</v>
      </c>
      <c r="B9201">
        <v>461</v>
      </c>
      <c r="C9201" t="str">
        <f t="shared" si="2080"/>
        <v>36</v>
      </c>
      <c r="D9201">
        <v>6399</v>
      </c>
      <c r="E9201" t="str">
        <f>"GN"</f>
        <v>GN</v>
      </c>
      <c r="F9201" t="str">
        <f>"001"</f>
        <v>001</v>
      </c>
      <c r="G9201">
        <v>9</v>
      </c>
      <c r="H9201" t="str">
        <f>"99"</f>
        <v>99</v>
      </c>
      <c r="I9201" t="str">
        <f t="shared" si="2073"/>
        <v>0</v>
      </c>
      <c r="J9201" t="str">
        <f t="shared" ref="J9201:J9212" si="2087">"00"</f>
        <v>00</v>
      </c>
      <c r="K9201">
        <v>20181214</v>
      </c>
      <c r="L9201" t="str">
        <f>"074972"</f>
        <v>074972</v>
      </c>
      <c r="M9201" t="str">
        <f>"05530"</f>
        <v>05530</v>
      </c>
      <c r="N9201" t="s">
        <v>947</v>
      </c>
      <c r="O9201" s="1">
        <v>1601.9</v>
      </c>
      <c r="P9201">
        <v>20181212</v>
      </c>
      <c r="Q9201" t="s">
        <v>7043</v>
      </c>
      <c r="R9201" t="s">
        <v>7286</v>
      </c>
      <c r="S9201" t="s">
        <v>7000</v>
      </c>
      <c r="T9201" t="s">
        <v>301</v>
      </c>
    </row>
    <row r="9202" spans="1:20" x14ac:dyDescent="0.25">
      <c r="A9202">
        <v>9</v>
      </c>
      <c r="B9202">
        <v>461</v>
      </c>
      <c r="C9202" t="str">
        <f t="shared" si="2080"/>
        <v>36</v>
      </c>
      <c r="D9202">
        <v>6399</v>
      </c>
      <c r="E9202" t="str">
        <f>"3D"</f>
        <v>3D</v>
      </c>
      <c r="F9202" t="str">
        <f>"001"</f>
        <v>001</v>
      </c>
      <c r="G9202">
        <v>9</v>
      </c>
      <c r="H9202" t="str">
        <f>"91"</f>
        <v>91</v>
      </c>
      <c r="I9202" t="str">
        <f t="shared" si="2073"/>
        <v>0</v>
      </c>
      <c r="J9202" t="str">
        <f t="shared" si="2087"/>
        <v>00</v>
      </c>
      <c r="K9202">
        <v>20181214</v>
      </c>
      <c r="L9202" t="str">
        <f>"074977"</f>
        <v>074977</v>
      </c>
      <c r="M9202" t="str">
        <f>"10020"</f>
        <v>10020</v>
      </c>
      <c r="N9202" t="s">
        <v>594</v>
      </c>
      <c r="O9202" s="1">
        <v>3985</v>
      </c>
      <c r="P9202">
        <v>20181212</v>
      </c>
      <c r="Q9202" t="s">
        <v>7146</v>
      </c>
      <c r="R9202" t="s">
        <v>7287</v>
      </c>
      <c r="S9202" t="s">
        <v>7000</v>
      </c>
      <c r="T9202" t="s">
        <v>301</v>
      </c>
    </row>
    <row r="9203" spans="1:20" x14ac:dyDescent="0.25">
      <c r="A9203">
        <v>9</v>
      </c>
      <c r="B9203">
        <v>461</v>
      </c>
      <c r="C9203" t="str">
        <f t="shared" si="2080"/>
        <v>36</v>
      </c>
      <c r="D9203">
        <v>6399</v>
      </c>
      <c r="E9203" t="str">
        <f>"61"</f>
        <v>61</v>
      </c>
      <c r="F9203" t="str">
        <f>"101"</f>
        <v>101</v>
      </c>
      <c r="G9203">
        <v>9</v>
      </c>
      <c r="H9203" t="str">
        <f>"99"</f>
        <v>99</v>
      </c>
      <c r="I9203" t="str">
        <f t="shared" si="2073"/>
        <v>0</v>
      </c>
      <c r="J9203" t="str">
        <f t="shared" si="2087"/>
        <v>00</v>
      </c>
      <c r="K9203">
        <v>20181214</v>
      </c>
      <c r="L9203" t="str">
        <f>"074978"</f>
        <v>074978</v>
      </c>
      <c r="M9203" t="str">
        <f>"12000"</f>
        <v>12000</v>
      </c>
      <c r="N9203" t="s">
        <v>7288</v>
      </c>
      <c r="O9203" s="1">
        <v>2550</v>
      </c>
      <c r="P9203">
        <v>20181212</v>
      </c>
      <c r="Q9203" t="s">
        <v>7007</v>
      </c>
      <c r="R9203" t="s">
        <v>7289</v>
      </c>
      <c r="S9203" t="s">
        <v>7000</v>
      </c>
      <c r="T9203" t="s">
        <v>1479</v>
      </c>
    </row>
    <row r="9204" spans="1:20" x14ac:dyDescent="0.25">
      <c r="A9204">
        <v>9</v>
      </c>
      <c r="B9204">
        <v>461</v>
      </c>
      <c r="C9204" t="str">
        <f t="shared" si="2080"/>
        <v>36</v>
      </c>
      <c r="D9204">
        <v>6412</v>
      </c>
      <c r="E9204" t="str">
        <f>"3S"</f>
        <v>3S</v>
      </c>
      <c r="F9204" t="str">
        <f>"001"</f>
        <v>001</v>
      </c>
      <c r="G9204">
        <v>9</v>
      </c>
      <c r="H9204" t="str">
        <f>"91"</f>
        <v>91</v>
      </c>
      <c r="I9204" t="str">
        <f t="shared" si="2073"/>
        <v>0</v>
      </c>
      <c r="J9204" t="str">
        <f t="shared" si="2087"/>
        <v>00</v>
      </c>
      <c r="K9204">
        <v>20181214</v>
      </c>
      <c r="L9204" t="str">
        <f>"074986"</f>
        <v>074986</v>
      </c>
      <c r="M9204" t="str">
        <f>"22120"</f>
        <v>22120</v>
      </c>
      <c r="N9204" t="s">
        <v>556</v>
      </c>
      <c r="O9204">
        <v>155</v>
      </c>
      <c r="P9204">
        <v>20181212</v>
      </c>
      <c r="Q9204" t="s">
        <v>7143</v>
      </c>
      <c r="R9204" t="s">
        <v>7290</v>
      </c>
      <c r="S9204" t="s">
        <v>7000</v>
      </c>
      <c r="T9204" t="s">
        <v>301</v>
      </c>
    </row>
    <row r="9205" spans="1:20" x14ac:dyDescent="0.25">
      <c r="A9205">
        <v>9</v>
      </c>
      <c r="B9205">
        <v>461</v>
      </c>
      <c r="C9205" t="str">
        <f t="shared" si="2080"/>
        <v>36</v>
      </c>
      <c r="D9205">
        <v>6399</v>
      </c>
      <c r="E9205" t="str">
        <f>"15"</f>
        <v>15</v>
      </c>
      <c r="F9205" t="str">
        <f>"104"</f>
        <v>104</v>
      </c>
      <c r="G9205">
        <v>9</v>
      </c>
      <c r="H9205" t="str">
        <f>"99"</f>
        <v>99</v>
      </c>
      <c r="I9205" t="str">
        <f t="shared" si="2073"/>
        <v>0</v>
      </c>
      <c r="J9205" t="str">
        <f t="shared" si="2087"/>
        <v>00</v>
      </c>
      <c r="K9205">
        <v>20181214</v>
      </c>
      <c r="L9205" t="str">
        <f>"074993"</f>
        <v>074993</v>
      </c>
      <c r="M9205" t="str">
        <f>"51346"</f>
        <v>51346</v>
      </c>
      <c r="N9205" t="s">
        <v>418</v>
      </c>
      <c r="O9205">
        <v>110.5</v>
      </c>
      <c r="P9205">
        <v>20181212</v>
      </c>
      <c r="Q9205" t="s">
        <v>7052</v>
      </c>
      <c r="R9205" t="s">
        <v>7291</v>
      </c>
      <c r="S9205" t="s">
        <v>7000</v>
      </c>
      <c r="T9205" t="s">
        <v>46</v>
      </c>
    </row>
    <row r="9206" spans="1:20" x14ac:dyDescent="0.25">
      <c r="A9206">
        <v>9</v>
      </c>
      <c r="B9206">
        <v>461</v>
      </c>
      <c r="C9206" t="str">
        <f t="shared" si="2080"/>
        <v>36</v>
      </c>
      <c r="D9206">
        <v>6399</v>
      </c>
      <c r="E9206" t="str">
        <f>"44"</f>
        <v>44</v>
      </c>
      <c r="F9206" t="str">
        <f>"104"</f>
        <v>104</v>
      </c>
      <c r="G9206">
        <v>9</v>
      </c>
      <c r="H9206" t="str">
        <f>"99"</f>
        <v>99</v>
      </c>
      <c r="I9206" t="str">
        <f t="shared" si="2073"/>
        <v>0</v>
      </c>
      <c r="J9206" t="str">
        <f t="shared" si="2087"/>
        <v>00</v>
      </c>
      <c r="K9206">
        <v>20181214</v>
      </c>
      <c r="L9206" t="str">
        <f>"074993"</f>
        <v>074993</v>
      </c>
      <c r="M9206" t="str">
        <f>"51346"</f>
        <v>51346</v>
      </c>
      <c r="N9206" t="s">
        <v>418</v>
      </c>
      <c r="O9206">
        <v>110.5</v>
      </c>
      <c r="P9206">
        <v>20181212</v>
      </c>
      <c r="Q9206" t="s">
        <v>7104</v>
      </c>
      <c r="R9206" t="s">
        <v>7291</v>
      </c>
      <c r="S9206" t="s">
        <v>7000</v>
      </c>
      <c r="T9206" t="s">
        <v>46</v>
      </c>
    </row>
    <row r="9207" spans="1:20" x14ac:dyDescent="0.25">
      <c r="A9207">
        <v>9</v>
      </c>
      <c r="B9207">
        <v>461</v>
      </c>
      <c r="C9207" t="str">
        <f t="shared" si="2080"/>
        <v>36</v>
      </c>
      <c r="D9207">
        <v>6399</v>
      </c>
      <c r="E9207" t="str">
        <f>"PH"</f>
        <v>PH</v>
      </c>
      <c r="F9207" t="str">
        <f>"101"</f>
        <v>101</v>
      </c>
      <c r="G9207">
        <v>9</v>
      </c>
      <c r="H9207" t="str">
        <f>"99"</f>
        <v>99</v>
      </c>
      <c r="I9207" t="str">
        <f t="shared" si="2073"/>
        <v>0</v>
      </c>
      <c r="J9207" t="str">
        <f t="shared" si="2087"/>
        <v>00</v>
      </c>
      <c r="K9207">
        <v>20181214</v>
      </c>
      <c r="L9207" t="str">
        <f>"075006"</f>
        <v>075006</v>
      </c>
      <c r="M9207" t="str">
        <f>"00636"</f>
        <v>00636</v>
      </c>
      <c r="N9207" t="s">
        <v>7292</v>
      </c>
      <c r="O9207">
        <v>268.25</v>
      </c>
      <c r="P9207">
        <v>20181212</v>
      </c>
      <c r="Q9207" t="s">
        <v>7293</v>
      </c>
      <c r="R9207" t="s">
        <v>7294</v>
      </c>
      <c r="S9207" t="s">
        <v>7000</v>
      </c>
      <c r="T9207" t="s">
        <v>1479</v>
      </c>
    </row>
    <row r="9208" spans="1:20" x14ac:dyDescent="0.25">
      <c r="A9208">
        <v>9</v>
      </c>
      <c r="B9208">
        <v>461</v>
      </c>
      <c r="C9208" t="str">
        <f t="shared" si="2080"/>
        <v>36</v>
      </c>
      <c r="D9208">
        <v>6412</v>
      </c>
      <c r="E9208" t="str">
        <f>"3S"</f>
        <v>3S</v>
      </c>
      <c r="F9208" t="str">
        <f>"001"</f>
        <v>001</v>
      </c>
      <c r="G9208">
        <v>9</v>
      </c>
      <c r="H9208" t="str">
        <f>"91"</f>
        <v>91</v>
      </c>
      <c r="I9208" t="str">
        <f t="shared" si="2073"/>
        <v>0</v>
      </c>
      <c r="J9208" t="str">
        <f t="shared" si="2087"/>
        <v>00</v>
      </c>
      <c r="K9208">
        <v>20181214</v>
      </c>
      <c r="L9208" t="str">
        <f>"075013"</f>
        <v>075013</v>
      </c>
      <c r="M9208" t="str">
        <f>"28680"</f>
        <v>28680</v>
      </c>
      <c r="N9208" t="s">
        <v>482</v>
      </c>
      <c r="O9208">
        <v>45.61</v>
      </c>
      <c r="P9208">
        <v>20181212</v>
      </c>
      <c r="Q9208" t="s">
        <v>7143</v>
      </c>
      <c r="R9208" t="s">
        <v>583</v>
      </c>
      <c r="S9208" t="s">
        <v>7000</v>
      </c>
      <c r="T9208" t="s">
        <v>301</v>
      </c>
    </row>
    <row r="9209" spans="1:20" x14ac:dyDescent="0.25">
      <c r="A9209">
        <v>9</v>
      </c>
      <c r="B9209">
        <v>461</v>
      </c>
      <c r="C9209" t="str">
        <f t="shared" si="2080"/>
        <v>36</v>
      </c>
      <c r="D9209">
        <v>6399</v>
      </c>
      <c r="E9209" t="str">
        <f>"3P"</f>
        <v>3P</v>
      </c>
      <c r="F9209" t="str">
        <f>"001"</f>
        <v>001</v>
      </c>
      <c r="G9209">
        <v>9</v>
      </c>
      <c r="H9209" t="str">
        <f>"91"</f>
        <v>91</v>
      </c>
      <c r="I9209" t="str">
        <f t="shared" si="2073"/>
        <v>0</v>
      </c>
      <c r="J9209" t="str">
        <f t="shared" si="2087"/>
        <v>00</v>
      </c>
      <c r="K9209">
        <v>20181214</v>
      </c>
      <c r="L9209" t="str">
        <f>"075016"</f>
        <v>075016</v>
      </c>
      <c r="M9209" t="str">
        <f>"29528"</f>
        <v>29528</v>
      </c>
      <c r="N9209" t="s">
        <v>7295</v>
      </c>
      <c r="O9209" s="1">
        <v>3304</v>
      </c>
      <c r="P9209">
        <v>20181212</v>
      </c>
      <c r="Q9209" t="s">
        <v>7296</v>
      </c>
      <c r="R9209" t="s">
        <v>7297</v>
      </c>
      <c r="S9209" t="s">
        <v>7000</v>
      </c>
      <c r="T9209" t="s">
        <v>301</v>
      </c>
    </row>
    <row r="9210" spans="1:20" x14ac:dyDescent="0.25">
      <c r="A9210">
        <v>9</v>
      </c>
      <c r="B9210">
        <v>461</v>
      </c>
      <c r="C9210" t="str">
        <f t="shared" si="2080"/>
        <v>36</v>
      </c>
      <c r="D9210">
        <v>6412</v>
      </c>
      <c r="E9210" t="str">
        <f>"3G"</f>
        <v>3G</v>
      </c>
      <c r="F9210" t="str">
        <f>"001"</f>
        <v>001</v>
      </c>
      <c r="G9210">
        <v>9</v>
      </c>
      <c r="H9210" t="str">
        <f>"91"</f>
        <v>91</v>
      </c>
      <c r="I9210" t="str">
        <f t="shared" si="2073"/>
        <v>0</v>
      </c>
      <c r="J9210" t="str">
        <f t="shared" si="2087"/>
        <v>00</v>
      </c>
      <c r="K9210">
        <v>20181214</v>
      </c>
      <c r="L9210" t="str">
        <f>"075020"</f>
        <v>075020</v>
      </c>
      <c r="M9210" t="str">
        <f>"30837"</f>
        <v>30837</v>
      </c>
      <c r="N9210" t="s">
        <v>621</v>
      </c>
      <c r="O9210">
        <v>45.75</v>
      </c>
      <c r="P9210">
        <v>20181212</v>
      </c>
      <c r="Q9210" t="s">
        <v>7002</v>
      </c>
      <c r="R9210" t="s">
        <v>7298</v>
      </c>
      <c r="S9210" t="s">
        <v>7000</v>
      </c>
      <c r="T9210" t="s">
        <v>301</v>
      </c>
    </row>
    <row r="9211" spans="1:20" x14ac:dyDescent="0.25">
      <c r="A9211">
        <v>9</v>
      </c>
      <c r="B9211">
        <v>461</v>
      </c>
      <c r="C9211" t="str">
        <f t="shared" si="2080"/>
        <v>36</v>
      </c>
      <c r="D9211">
        <v>6399</v>
      </c>
      <c r="E9211" t="str">
        <f>"61"</f>
        <v>61</v>
      </c>
      <c r="F9211" t="str">
        <f>"101"</f>
        <v>101</v>
      </c>
      <c r="G9211">
        <v>9</v>
      </c>
      <c r="H9211" t="str">
        <f t="shared" ref="H9211:H9236" si="2088">"99"</f>
        <v>99</v>
      </c>
      <c r="I9211" t="str">
        <f t="shared" ref="I9211:I9268" si="2089">"0"</f>
        <v>0</v>
      </c>
      <c r="J9211" t="str">
        <f t="shared" si="2087"/>
        <v>00</v>
      </c>
      <c r="K9211">
        <v>20181214</v>
      </c>
      <c r="L9211" t="str">
        <f>"075030"</f>
        <v>075030</v>
      </c>
      <c r="M9211" t="str">
        <f>"37500"</f>
        <v>37500</v>
      </c>
      <c r="N9211" t="s">
        <v>2077</v>
      </c>
      <c r="O9211">
        <v>39.6</v>
      </c>
      <c r="P9211">
        <v>20181212</v>
      </c>
      <c r="Q9211" t="s">
        <v>7007</v>
      </c>
      <c r="R9211" t="s">
        <v>7299</v>
      </c>
      <c r="S9211" t="s">
        <v>7000</v>
      </c>
      <c r="T9211" t="s">
        <v>1479</v>
      </c>
    </row>
    <row r="9212" spans="1:20" x14ac:dyDescent="0.25">
      <c r="A9212">
        <v>9</v>
      </c>
      <c r="B9212">
        <v>461</v>
      </c>
      <c r="C9212" t="str">
        <f t="shared" si="2080"/>
        <v>36</v>
      </c>
      <c r="D9212">
        <v>6412</v>
      </c>
      <c r="E9212" t="str">
        <f>"PL"</f>
        <v>PL</v>
      </c>
      <c r="F9212" t="str">
        <f>"001"</f>
        <v>001</v>
      </c>
      <c r="G9212">
        <v>9</v>
      </c>
      <c r="H9212" t="str">
        <f t="shared" si="2088"/>
        <v>99</v>
      </c>
      <c r="I9212" t="str">
        <f t="shared" si="2089"/>
        <v>0</v>
      </c>
      <c r="J9212" t="str">
        <f t="shared" si="2087"/>
        <v>00</v>
      </c>
      <c r="K9212">
        <v>20181214</v>
      </c>
      <c r="L9212" t="str">
        <f>"075036"</f>
        <v>075036</v>
      </c>
      <c r="M9212" t="str">
        <f>"00663"</f>
        <v>00663</v>
      </c>
      <c r="N9212" t="s">
        <v>592</v>
      </c>
      <c r="O9212">
        <v>925.65</v>
      </c>
      <c r="P9212">
        <v>20181213</v>
      </c>
      <c r="Q9212" t="s">
        <v>7050</v>
      </c>
      <c r="R9212" t="s">
        <v>7300</v>
      </c>
      <c r="S9212" t="s">
        <v>7000</v>
      </c>
      <c r="T9212" t="s">
        <v>301</v>
      </c>
    </row>
    <row r="9213" spans="1:20" x14ac:dyDescent="0.25">
      <c r="A9213">
        <v>9</v>
      </c>
      <c r="B9213">
        <v>461</v>
      </c>
      <c r="C9213" t="str">
        <f t="shared" si="2080"/>
        <v>36</v>
      </c>
      <c r="D9213">
        <v>6399</v>
      </c>
      <c r="E9213" t="str">
        <f>"00"</f>
        <v>00</v>
      </c>
      <c r="F9213" t="str">
        <f>"942"</f>
        <v>942</v>
      </c>
      <c r="G9213">
        <v>9</v>
      </c>
      <c r="H9213" t="str">
        <f t="shared" si="2088"/>
        <v>99</v>
      </c>
      <c r="I9213" t="str">
        <f t="shared" si="2089"/>
        <v>0</v>
      </c>
      <c r="J9213" t="str">
        <f>"88"</f>
        <v>88</v>
      </c>
      <c r="K9213">
        <v>20181214</v>
      </c>
      <c r="L9213" t="str">
        <f>"075037"</f>
        <v>075037</v>
      </c>
      <c r="M9213" t="str">
        <f>"41230"</f>
        <v>41230</v>
      </c>
      <c r="N9213" t="s">
        <v>1350</v>
      </c>
      <c r="O9213">
        <v>81.11</v>
      </c>
      <c r="P9213">
        <v>20181212</v>
      </c>
      <c r="Q9213" t="s">
        <v>7018</v>
      </c>
      <c r="R9213" t="s">
        <v>7301</v>
      </c>
      <c r="S9213" t="s">
        <v>7000</v>
      </c>
      <c r="T9213" t="s">
        <v>1831</v>
      </c>
    </row>
    <row r="9214" spans="1:20" x14ac:dyDescent="0.25">
      <c r="A9214">
        <v>9</v>
      </c>
      <c r="B9214">
        <v>461</v>
      </c>
      <c r="C9214" t="str">
        <f t="shared" si="2080"/>
        <v>36</v>
      </c>
      <c r="D9214">
        <v>6399</v>
      </c>
      <c r="E9214" t="str">
        <f>"00"</f>
        <v>00</v>
      </c>
      <c r="F9214" t="str">
        <f>"942"</f>
        <v>942</v>
      </c>
      <c r="G9214">
        <v>9</v>
      </c>
      <c r="H9214" t="str">
        <f t="shared" si="2088"/>
        <v>99</v>
      </c>
      <c r="I9214" t="str">
        <f t="shared" si="2089"/>
        <v>0</v>
      </c>
      <c r="J9214" t="str">
        <f>"88"</f>
        <v>88</v>
      </c>
      <c r="K9214">
        <v>20181214</v>
      </c>
      <c r="L9214" t="str">
        <f>"075037"</f>
        <v>075037</v>
      </c>
      <c r="M9214" t="str">
        <f>"41230"</f>
        <v>41230</v>
      </c>
      <c r="N9214" t="s">
        <v>1350</v>
      </c>
      <c r="O9214">
        <v>29.98</v>
      </c>
      <c r="P9214">
        <v>20181212</v>
      </c>
      <c r="Q9214" t="s">
        <v>7018</v>
      </c>
      <c r="R9214" t="s">
        <v>7301</v>
      </c>
      <c r="S9214" t="s">
        <v>7000</v>
      </c>
      <c r="T9214" t="s">
        <v>1831</v>
      </c>
    </row>
    <row r="9215" spans="1:20" x14ac:dyDescent="0.25">
      <c r="A9215">
        <v>9</v>
      </c>
      <c r="B9215">
        <v>461</v>
      </c>
      <c r="C9215" t="str">
        <f t="shared" si="2080"/>
        <v>36</v>
      </c>
      <c r="D9215">
        <v>6399</v>
      </c>
      <c r="E9215" t="str">
        <f>"00"</f>
        <v>00</v>
      </c>
      <c r="F9215" t="str">
        <f>"942"</f>
        <v>942</v>
      </c>
      <c r="G9215">
        <v>9</v>
      </c>
      <c r="H9215" t="str">
        <f t="shared" si="2088"/>
        <v>99</v>
      </c>
      <c r="I9215" t="str">
        <f t="shared" si="2089"/>
        <v>0</v>
      </c>
      <c r="J9215" t="str">
        <f>"88"</f>
        <v>88</v>
      </c>
      <c r="K9215">
        <v>20181214</v>
      </c>
      <c r="L9215" t="str">
        <f>"075037"</f>
        <v>075037</v>
      </c>
      <c r="M9215" t="str">
        <f>"41230"</f>
        <v>41230</v>
      </c>
      <c r="N9215" t="s">
        <v>1350</v>
      </c>
      <c r="O9215">
        <v>39.96</v>
      </c>
      <c r="P9215">
        <v>20181212</v>
      </c>
      <c r="Q9215" t="s">
        <v>7018</v>
      </c>
      <c r="R9215" t="s">
        <v>7301</v>
      </c>
      <c r="S9215" t="s">
        <v>7000</v>
      </c>
      <c r="T9215" t="s">
        <v>1831</v>
      </c>
    </row>
    <row r="9216" spans="1:20" x14ac:dyDescent="0.25">
      <c r="A9216">
        <v>9</v>
      </c>
      <c r="B9216">
        <v>461</v>
      </c>
      <c r="C9216" t="str">
        <f t="shared" si="2080"/>
        <v>36</v>
      </c>
      <c r="D9216">
        <v>6399</v>
      </c>
      <c r="E9216" t="str">
        <f>"00"</f>
        <v>00</v>
      </c>
      <c r="F9216" t="str">
        <f>"942"</f>
        <v>942</v>
      </c>
      <c r="G9216">
        <v>9</v>
      </c>
      <c r="H9216" t="str">
        <f t="shared" si="2088"/>
        <v>99</v>
      </c>
      <c r="I9216" t="str">
        <f t="shared" si="2089"/>
        <v>0</v>
      </c>
      <c r="J9216" t="str">
        <f>"88"</f>
        <v>88</v>
      </c>
      <c r="K9216">
        <v>20181214</v>
      </c>
      <c r="L9216" t="str">
        <f>"075037"</f>
        <v>075037</v>
      </c>
      <c r="M9216" t="str">
        <f>"41230"</f>
        <v>41230</v>
      </c>
      <c r="N9216" t="s">
        <v>1350</v>
      </c>
      <c r="O9216">
        <v>39.96</v>
      </c>
      <c r="P9216">
        <v>20181212</v>
      </c>
      <c r="Q9216" t="s">
        <v>7018</v>
      </c>
      <c r="R9216" t="s">
        <v>7301</v>
      </c>
      <c r="S9216" t="s">
        <v>7000</v>
      </c>
      <c r="T9216" t="s">
        <v>1831</v>
      </c>
    </row>
    <row r="9217" spans="1:20" x14ac:dyDescent="0.25">
      <c r="A9217">
        <v>9</v>
      </c>
      <c r="B9217">
        <v>461</v>
      </c>
      <c r="C9217" t="str">
        <f t="shared" si="2080"/>
        <v>36</v>
      </c>
      <c r="D9217">
        <v>6399</v>
      </c>
      <c r="E9217" t="str">
        <f>"AB"</f>
        <v>AB</v>
      </c>
      <c r="F9217" t="str">
        <f>"001"</f>
        <v>001</v>
      </c>
      <c r="G9217">
        <v>9</v>
      </c>
      <c r="H9217" t="str">
        <f t="shared" si="2088"/>
        <v>99</v>
      </c>
      <c r="I9217" t="str">
        <f t="shared" si="2089"/>
        <v>0</v>
      </c>
      <c r="J9217" t="str">
        <f t="shared" ref="J9217:J9248" si="2090">"00"</f>
        <v>00</v>
      </c>
      <c r="K9217">
        <v>20181214</v>
      </c>
      <c r="L9217" t="str">
        <f>"075037"</f>
        <v>075037</v>
      </c>
      <c r="M9217" t="str">
        <f>"41230"</f>
        <v>41230</v>
      </c>
      <c r="N9217" t="s">
        <v>1350</v>
      </c>
      <c r="O9217">
        <v>464.9</v>
      </c>
      <c r="P9217">
        <v>20181212</v>
      </c>
      <c r="Q9217" t="s">
        <v>7164</v>
      </c>
      <c r="R9217" t="s">
        <v>7302</v>
      </c>
      <c r="S9217" t="s">
        <v>7000</v>
      </c>
      <c r="T9217" t="s">
        <v>301</v>
      </c>
    </row>
    <row r="9218" spans="1:20" x14ac:dyDescent="0.25">
      <c r="A9218">
        <v>9</v>
      </c>
      <c r="B9218">
        <v>461</v>
      </c>
      <c r="C9218" t="str">
        <f t="shared" si="2080"/>
        <v>36</v>
      </c>
      <c r="D9218">
        <v>6399</v>
      </c>
      <c r="E9218" t="str">
        <f>"DG"</f>
        <v>DG</v>
      </c>
      <c r="F9218" t="str">
        <f>"101"</f>
        <v>101</v>
      </c>
      <c r="G9218">
        <v>9</v>
      </c>
      <c r="H9218" t="str">
        <f t="shared" si="2088"/>
        <v>99</v>
      </c>
      <c r="I9218" t="str">
        <f t="shared" si="2089"/>
        <v>0</v>
      </c>
      <c r="J9218" t="str">
        <f t="shared" si="2090"/>
        <v>00</v>
      </c>
      <c r="K9218">
        <v>20181214</v>
      </c>
      <c r="L9218" t="str">
        <f>"075041"</f>
        <v>075041</v>
      </c>
      <c r="M9218" t="str">
        <f>"00197"</f>
        <v>00197</v>
      </c>
      <c r="N9218" t="s">
        <v>7303</v>
      </c>
      <c r="O9218">
        <v>649.80999999999995</v>
      </c>
      <c r="P9218">
        <v>20181212</v>
      </c>
      <c r="Q9218" t="s">
        <v>7058</v>
      </c>
      <c r="R9218" t="s">
        <v>7304</v>
      </c>
      <c r="S9218" t="s">
        <v>7000</v>
      </c>
      <c r="T9218" t="s">
        <v>1479</v>
      </c>
    </row>
    <row r="9219" spans="1:20" x14ac:dyDescent="0.25">
      <c r="A9219">
        <v>9</v>
      </c>
      <c r="B9219">
        <v>461</v>
      </c>
      <c r="C9219" t="str">
        <f t="shared" si="2080"/>
        <v>36</v>
      </c>
      <c r="D9219">
        <v>6399</v>
      </c>
      <c r="E9219" t="str">
        <f>"61"</f>
        <v>61</v>
      </c>
      <c r="F9219" t="str">
        <f>"101"</f>
        <v>101</v>
      </c>
      <c r="G9219">
        <v>9</v>
      </c>
      <c r="H9219" t="str">
        <f t="shared" si="2088"/>
        <v>99</v>
      </c>
      <c r="I9219" t="str">
        <f t="shared" si="2089"/>
        <v>0</v>
      </c>
      <c r="J9219" t="str">
        <f t="shared" si="2090"/>
        <v>00</v>
      </c>
      <c r="K9219">
        <v>20181214</v>
      </c>
      <c r="L9219" t="str">
        <f>"075050"</f>
        <v>075050</v>
      </c>
      <c r="M9219" t="str">
        <f>"47610"</f>
        <v>47610</v>
      </c>
      <c r="N9219" t="s">
        <v>5535</v>
      </c>
      <c r="O9219" s="1">
        <v>2198.9</v>
      </c>
      <c r="P9219">
        <v>20181212</v>
      </c>
      <c r="Q9219" t="s">
        <v>7007</v>
      </c>
      <c r="R9219" t="s">
        <v>7305</v>
      </c>
      <c r="S9219" t="s">
        <v>7000</v>
      </c>
      <c r="T9219" t="s">
        <v>1479</v>
      </c>
    </row>
    <row r="9220" spans="1:20" x14ac:dyDescent="0.25">
      <c r="A9220">
        <v>9</v>
      </c>
      <c r="B9220">
        <v>461</v>
      </c>
      <c r="C9220" t="str">
        <f t="shared" si="2080"/>
        <v>36</v>
      </c>
      <c r="D9220">
        <v>6499</v>
      </c>
      <c r="E9220" t="str">
        <f>"PR"</f>
        <v>PR</v>
      </c>
      <c r="F9220" t="str">
        <f>"001"</f>
        <v>001</v>
      </c>
      <c r="G9220">
        <v>9</v>
      </c>
      <c r="H9220" t="str">
        <f t="shared" si="2088"/>
        <v>99</v>
      </c>
      <c r="I9220" t="str">
        <f t="shared" si="2089"/>
        <v>0</v>
      </c>
      <c r="J9220" t="str">
        <f t="shared" si="2090"/>
        <v>00</v>
      </c>
      <c r="K9220">
        <v>20181214</v>
      </c>
      <c r="L9220" t="str">
        <f>"075058"</f>
        <v>075058</v>
      </c>
      <c r="M9220" t="str">
        <f>"54236"</f>
        <v>54236</v>
      </c>
      <c r="N9220" t="s">
        <v>3200</v>
      </c>
      <c r="O9220">
        <v>228.1</v>
      </c>
      <c r="P9220">
        <v>20181212</v>
      </c>
      <c r="Q9220" t="s">
        <v>7306</v>
      </c>
      <c r="R9220" t="s">
        <v>7307</v>
      </c>
      <c r="S9220" t="s">
        <v>7000</v>
      </c>
      <c r="T9220" t="s">
        <v>301</v>
      </c>
    </row>
    <row r="9221" spans="1:20" x14ac:dyDescent="0.25">
      <c r="A9221">
        <v>9</v>
      </c>
      <c r="B9221">
        <v>461</v>
      </c>
      <c r="C9221" t="str">
        <f t="shared" si="2080"/>
        <v>36</v>
      </c>
      <c r="D9221">
        <v>6399</v>
      </c>
      <c r="E9221" t="str">
        <f>"DC"</f>
        <v>DC</v>
      </c>
      <c r="F9221" t="str">
        <f>"101"</f>
        <v>101</v>
      </c>
      <c r="G9221">
        <v>9</v>
      </c>
      <c r="H9221" t="str">
        <f t="shared" si="2088"/>
        <v>99</v>
      </c>
      <c r="I9221" t="str">
        <f t="shared" si="2089"/>
        <v>0</v>
      </c>
      <c r="J9221" t="str">
        <f t="shared" si="2090"/>
        <v>00</v>
      </c>
      <c r="K9221">
        <v>20181214</v>
      </c>
      <c r="L9221" t="str">
        <f>"075069"</f>
        <v>075069</v>
      </c>
      <c r="M9221" t="str">
        <f>"58183"</f>
        <v>58183</v>
      </c>
      <c r="N9221" t="s">
        <v>7308</v>
      </c>
      <c r="O9221">
        <v>148.36000000000001</v>
      </c>
      <c r="P9221">
        <v>20181212</v>
      </c>
      <c r="Q9221" t="s">
        <v>7156</v>
      </c>
      <c r="R9221" t="s">
        <v>7309</v>
      </c>
      <c r="S9221" t="s">
        <v>7000</v>
      </c>
      <c r="T9221" t="s">
        <v>1479</v>
      </c>
    </row>
    <row r="9222" spans="1:20" x14ac:dyDescent="0.25">
      <c r="A9222">
        <v>9</v>
      </c>
      <c r="B9222">
        <v>461</v>
      </c>
      <c r="C9222" t="str">
        <f t="shared" si="2080"/>
        <v>36</v>
      </c>
      <c r="D9222">
        <v>6399</v>
      </c>
      <c r="E9222" t="str">
        <f>"05"</f>
        <v>05</v>
      </c>
      <c r="F9222" t="str">
        <f t="shared" ref="F9222:F9234" si="2091">"104"</f>
        <v>104</v>
      </c>
      <c r="G9222">
        <v>9</v>
      </c>
      <c r="H9222" t="str">
        <f t="shared" si="2088"/>
        <v>99</v>
      </c>
      <c r="I9222" t="str">
        <f t="shared" si="2089"/>
        <v>0</v>
      </c>
      <c r="J9222" t="str">
        <f t="shared" si="2090"/>
        <v>00</v>
      </c>
      <c r="K9222">
        <v>20181214</v>
      </c>
      <c r="L9222" t="str">
        <f t="shared" ref="L9222:L9233" si="2092">"075071"</f>
        <v>075071</v>
      </c>
      <c r="M9222" t="str">
        <f t="shared" ref="M9222:M9233" si="2093">"58201"</f>
        <v>58201</v>
      </c>
      <c r="N9222" t="s">
        <v>2662</v>
      </c>
      <c r="O9222">
        <v>51.62</v>
      </c>
      <c r="P9222">
        <v>20181213</v>
      </c>
      <c r="Q9222" t="s">
        <v>7310</v>
      </c>
      <c r="R9222" t="s">
        <v>7311</v>
      </c>
      <c r="S9222" t="s">
        <v>7000</v>
      </c>
      <c r="T9222" t="s">
        <v>46</v>
      </c>
    </row>
    <row r="9223" spans="1:20" x14ac:dyDescent="0.25">
      <c r="A9223">
        <v>9</v>
      </c>
      <c r="B9223">
        <v>461</v>
      </c>
      <c r="C9223" t="str">
        <f t="shared" si="2080"/>
        <v>36</v>
      </c>
      <c r="D9223">
        <v>6399</v>
      </c>
      <c r="E9223" t="str">
        <f>"05"</f>
        <v>05</v>
      </c>
      <c r="F9223" t="str">
        <f t="shared" si="2091"/>
        <v>104</v>
      </c>
      <c r="G9223">
        <v>9</v>
      </c>
      <c r="H9223" t="str">
        <f t="shared" si="2088"/>
        <v>99</v>
      </c>
      <c r="I9223" t="str">
        <f t="shared" si="2089"/>
        <v>0</v>
      </c>
      <c r="J9223" t="str">
        <f t="shared" si="2090"/>
        <v>00</v>
      </c>
      <c r="K9223">
        <v>20181214</v>
      </c>
      <c r="L9223" t="str">
        <f t="shared" si="2092"/>
        <v>075071</v>
      </c>
      <c r="M9223" t="str">
        <f t="shared" si="2093"/>
        <v>58201</v>
      </c>
      <c r="N9223" t="s">
        <v>2662</v>
      </c>
      <c r="O9223">
        <v>17.38</v>
      </c>
      <c r="P9223">
        <v>20181213</v>
      </c>
      <c r="Q9223" t="s">
        <v>7310</v>
      </c>
      <c r="R9223" t="s">
        <v>7311</v>
      </c>
      <c r="S9223" t="s">
        <v>7000</v>
      </c>
      <c r="T9223" t="s">
        <v>46</v>
      </c>
    </row>
    <row r="9224" spans="1:20" x14ac:dyDescent="0.25">
      <c r="A9224">
        <v>9</v>
      </c>
      <c r="B9224">
        <v>461</v>
      </c>
      <c r="C9224" t="str">
        <f t="shared" si="2080"/>
        <v>36</v>
      </c>
      <c r="D9224">
        <v>6399</v>
      </c>
      <c r="E9224" t="str">
        <f>"05"</f>
        <v>05</v>
      </c>
      <c r="F9224" t="str">
        <f t="shared" si="2091"/>
        <v>104</v>
      </c>
      <c r="G9224">
        <v>9</v>
      </c>
      <c r="H9224" t="str">
        <f t="shared" si="2088"/>
        <v>99</v>
      </c>
      <c r="I9224" t="str">
        <f t="shared" si="2089"/>
        <v>0</v>
      </c>
      <c r="J9224" t="str">
        <f t="shared" si="2090"/>
        <v>00</v>
      </c>
      <c r="K9224">
        <v>20181214</v>
      </c>
      <c r="L9224" t="str">
        <f t="shared" si="2092"/>
        <v>075071</v>
      </c>
      <c r="M9224" t="str">
        <f t="shared" si="2093"/>
        <v>58201</v>
      </c>
      <c r="N9224" t="s">
        <v>2662</v>
      </c>
      <c r="O9224">
        <v>17.97</v>
      </c>
      <c r="P9224">
        <v>20181213</v>
      </c>
      <c r="Q9224" t="s">
        <v>7310</v>
      </c>
      <c r="R9224" t="s">
        <v>7312</v>
      </c>
      <c r="S9224" t="s">
        <v>7000</v>
      </c>
      <c r="T9224" t="s">
        <v>46</v>
      </c>
    </row>
    <row r="9225" spans="1:20" x14ac:dyDescent="0.25">
      <c r="A9225">
        <v>9</v>
      </c>
      <c r="B9225">
        <v>461</v>
      </c>
      <c r="C9225" t="str">
        <f t="shared" si="2080"/>
        <v>36</v>
      </c>
      <c r="D9225">
        <v>6399</v>
      </c>
      <c r="E9225" t="str">
        <f>"7U"</f>
        <v>7U</v>
      </c>
      <c r="F9225" t="str">
        <f t="shared" si="2091"/>
        <v>104</v>
      </c>
      <c r="G9225">
        <v>9</v>
      </c>
      <c r="H9225" t="str">
        <f t="shared" si="2088"/>
        <v>99</v>
      </c>
      <c r="I9225" t="str">
        <f t="shared" si="2089"/>
        <v>0</v>
      </c>
      <c r="J9225" t="str">
        <f t="shared" si="2090"/>
        <v>00</v>
      </c>
      <c r="K9225">
        <v>20181214</v>
      </c>
      <c r="L9225" t="str">
        <f t="shared" si="2092"/>
        <v>075071</v>
      </c>
      <c r="M9225" t="str">
        <f t="shared" si="2093"/>
        <v>58201</v>
      </c>
      <c r="N9225" t="s">
        <v>2662</v>
      </c>
      <c r="O9225">
        <v>43.14</v>
      </c>
      <c r="P9225">
        <v>20181213</v>
      </c>
      <c r="Q9225" t="s">
        <v>7193</v>
      </c>
      <c r="R9225" t="s">
        <v>2486</v>
      </c>
      <c r="S9225" t="s">
        <v>7000</v>
      </c>
      <c r="T9225" t="s">
        <v>46</v>
      </c>
    </row>
    <row r="9226" spans="1:20" x14ac:dyDescent="0.25">
      <c r="A9226">
        <v>9</v>
      </c>
      <c r="B9226">
        <v>461</v>
      </c>
      <c r="C9226" t="str">
        <f t="shared" si="2080"/>
        <v>36</v>
      </c>
      <c r="D9226">
        <v>6399</v>
      </c>
      <c r="E9226" t="str">
        <f>"7U"</f>
        <v>7U</v>
      </c>
      <c r="F9226" t="str">
        <f t="shared" si="2091"/>
        <v>104</v>
      </c>
      <c r="G9226">
        <v>9</v>
      </c>
      <c r="H9226" t="str">
        <f t="shared" si="2088"/>
        <v>99</v>
      </c>
      <c r="I9226" t="str">
        <f t="shared" si="2089"/>
        <v>0</v>
      </c>
      <c r="J9226" t="str">
        <f t="shared" si="2090"/>
        <v>00</v>
      </c>
      <c r="K9226">
        <v>20181214</v>
      </c>
      <c r="L9226" t="str">
        <f t="shared" si="2092"/>
        <v>075071</v>
      </c>
      <c r="M9226" t="str">
        <f t="shared" si="2093"/>
        <v>58201</v>
      </c>
      <c r="N9226" t="s">
        <v>2662</v>
      </c>
      <c r="O9226">
        <v>60.8</v>
      </c>
      <c r="P9226">
        <v>20181213</v>
      </c>
      <c r="Q9226" t="s">
        <v>7193</v>
      </c>
      <c r="R9226" t="s">
        <v>2486</v>
      </c>
      <c r="S9226" t="s">
        <v>7000</v>
      </c>
      <c r="T9226" t="s">
        <v>46</v>
      </c>
    </row>
    <row r="9227" spans="1:20" x14ac:dyDescent="0.25">
      <c r="A9227">
        <v>9</v>
      </c>
      <c r="B9227">
        <v>461</v>
      </c>
      <c r="C9227" t="str">
        <f t="shared" si="2080"/>
        <v>36</v>
      </c>
      <c r="D9227">
        <v>6399</v>
      </c>
      <c r="E9227" t="str">
        <f>"7U"</f>
        <v>7U</v>
      </c>
      <c r="F9227" t="str">
        <f t="shared" si="2091"/>
        <v>104</v>
      </c>
      <c r="G9227">
        <v>9</v>
      </c>
      <c r="H9227" t="str">
        <f t="shared" si="2088"/>
        <v>99</v>
      </c>
      <c r="I9227" t="str">
        <f t="shared" si="2089"/>
        <v>0</v>
      </c>
      <c r="J9227" t="str">
        <f t="shared" si="2090"/>
        <v>00</v>
      </c>
      <c r="K9227">
        <v>20181214</v>
      </c>
      <c r="L9227" t="str">
        <f t="shared" si="2092"/>
        <v>075071</v>
      </c>
      <c r="M9227" t="str">
        <f t="shared" si="2093"/>
        <v>58201</v>
      </c>
      <c r="N9227" t="s">
        <v>2662</v>
      </c>
      <c r="O9227">
        <v>33.94</v>
      </c>
      <c r="P9227">
        <v>20181213</v>
      </c>
      <c r="Q9227" t="s">
        <v>7193</v>
      </c>
      <c r="R9227" t="s">
        <v>2486</v>
      </c>
      <c r="S9227" t="s">
        <v>7000</v>
      </c>
      <c r="T9227" t="s">
        <v>46</v>
      </c>
    </row>
    <row r="9228" spans="1:20" x14ac:dyDescent="0.25">
      <c r="A9228">
        <v>9</v>
      </c>
      <c r="B9228">
        <v>461</v>
      </c>
      <c r="C9228" t="str">
        <f t="shared" si="2080"/>
        <v>36</v>
      </c>
      <c r="D9228">
        <v>6399</v>
      </c>
      <c r="E9228" t="str">
        <f>"7U"</f>
        <v>7U</v>
      </c>
      <c r="F9228" t="str">
        <f t="shared" si="2091"/>
        <v>104</v>
      </c>
      <c r="G9228">
        <v>9</v>
      </c>
      <c r="H9228" t="str">
        <f t="shared" si="2088"/>
        <v>99</v>
      </c>
      <c r="I9228" t="str">
        <f t="shared" si="2089"/>
        <v>0</v>
      </c>
      <c r="J9228" t="str">
        <f t="shared" si="2090"/>
        <v>00</v>
      </c>
      <c r="K9228">
        <v>20181214</v>
      </c>
      <c r="L9228" t="str">
        <f t="shared" si="2092"/>
        <v>075071</v>
      </c>
      <c r="M9228" t="str">
        <f t="shared" si="2093"/>
        <v>58201</v>
      </c>
      <c r="N9228" t="s">
        <v>2662</v>
      </c>
      <c r="O9228">
        <v>32.97</v>
      </c>
      <c r="P9228">
        <v>20181213</v>
      </c>
      <c r="Q9228" t="s">
        <v>7193</v>
      </c>
      <c r="R9228" t="s">
        <v>7313</v>
      </c>
      <c r="S9228" t="s">
        <v>7000</v>
      </c>
      <c r="T9228" t="s">
        <v>46</v>
      </c>
    </row>
    <row r="9229" spans="1:20" x14ac:dyDescent="0.25">
      <c r="A9229">
        <v>9</v>
      </c>
      <c r="B9229">
        <v>461</v>
      </c>
      <c r="C9229" t="str">
        <f t="shared" si="2080"/>
        <v>36</v>
      </c>
      <c r="D9229">
        <v>6399</v>
      </c>
      <c r="E9229" t="str">
        <f t="shared" ref="E9229:E9234" si="2094">"PR"</f>
        <v>PR</v>
      </c>
      <c r="F9229" t="str">
        <f t="shared" si="2091"/>
        <v>104</v>
      </c>
      <c r="G9229">
        <v>9</v>
      </c>
      <c r="H9229" t="str">
        <f t="shared" si="2088"/>
        <v>99</v>
      </c>
      <c r="I9229" t="str">
        <f t="shared" si="2089"/>
        <v>0</v>
      </c>
      <c r="J9229" t="str">
        <f t="shared" si="2090"/>
        <v>00</v>
      </c>
      <c r="K9229">
        <v>20181214</v>
      </c>
      <c r="L9229" t="str">
        <f t="shared" si="2092"/>
        <v>075071</v>
      </c>
      <c r="M9229" t="str">
        <f t="shared" si="2093"/>
        <v>58201</v>
      </c>
      <c r="N9229" t="s">
        <v>2662</v>
      </c>
      <c r="O9229">
        <v>45.82</v>
      </c>
      <c r="P9229">
        <v>20181213</v>
      </c>
      <c r="Q9229" t="s">
        <v>7014</v>
      </c>
      <c r="R9229" t="s">
        <v>7314</v>
      </c>
      <c r="S9229" t="s">
        <v>7000</v>
      </c>
      <c r="T9229" t="s">
        <v>46</v>
      </c>
    </row>
    <row r="9230" spans="1:20" x14ac:dyDescent="0.25">
      <c r="A9230">
        <v>9</v>
      </c>
      <c r="B9230">
        <v>461</v>
      </c>
      <c r="C9230" t="str">
        <f t="shared" si="2080"/>
        <v>36</v>
      </c>
      <c r="D9230">
        <v>6399</v>
      </c>
      <c r="E9230" t="str">
        <f t="shared" si="2094"/>
        <v>PR</v>
      </c>
      <c r="F9230" t="str">
        <f t="shared" si="2091"/>
        <v>104</v>
      </c>
      <c r="G9230">
        <v>9</v>
      </c>
      <c r="H9230" t="str">
        <f t="shared" si="2088"/>
        <v>99</v>
      </c>
      <c r="I9230" t="str">
        <f t="shared" si="2089"/>
        <v>0</v>
      </c>
      <c r="J9230" t="str">
        <f t="shared" si="2090"/>
        <v>00</v>
      </c>
      <c r="K9230">
        <v>20181214</v>
      </c>
      <c r="L9230" t="str">
        <f t="shared" si="2092"/>
        <v>075071</v>
      </c>
      <c r="M9230" t="str">
        <f t="shared" si="2093"/>
        <v>58201</v>
      </c>
      <c r="N9230" t="s">
        <v>2662</v>
      </c>
      <c r="O9230">
        <v>23.52</v>
      </c>
      <c r="P9230">
        <v>20181213</v>
      </c>
      <c r="Q9230" t="s">
        <v>7014</v>
      </c>
      <c r="R9230" t="s">
        <v>7315</v>
      </c>
      <c r="S9230" t="s">
        <v>7000</v>
      </c>
      <c r="T9230" t="s">
        <v>46</v>
      </c>
    </row>
    <row r="9231" spans="1:20" x14ac:dyDescent="0.25">
      <c r="A9231">
        <v>9</v>
      </c>
      <c r="B9231">
        <v>461</v>
      </c>
      <c r="C9231" t="str">
        <f t="shared" si="2080"/>
        <v>36</v>
      </c>
      <c r="D9231">
        <v>6399</v>
      </c>
      <c r="E9231" t="str">
        <f t="shared" si="2094"/>
        <v>PR</v>
      </c>
      <c r="F9231" t="str">
        <f t="shared" si="2091"/>
        <v>104</v>
      </c>
      <c r="G9231">
        <v>9</v>
      </c>
      <c r="H9231" t="str">
        <f t="shared" si="2088"/>
        <v>99</v>
      </c>
      <c r="I9231" t="str">
        <f t="shared" si="2089"/>
        <v>0</v>
      </c>
      <c r="J9231" t="str">
        <f t="shared" si="2090"/>
        <v>00</v>
      </c>
      <c r="K9231">
        <v>20181214</v>
      </c>
      <c r="L9231" t="str">
        <f t="shared" si="2092"/>
        <v>075071</v>
      </c>
      <c r="M9231" t="str">
        <f t="shared" si="2093"/>
        <v>58201</v>
      </c>
      <c r="N9231" t="s">
        <v>2662</v>
      </c>
      <c r="O9231">
        <v>2</v>
      </c>
      <c r="P9231">
        <v>20181213</v>
      </c>
      <c r="Q9231" t="s">
        <v>7014</v>
      </c>
      <c r="R9231" t="s">
        <v>7316</v>
      </c>
      <c r="S9231" t="s">
        <v>7000</v>
      </c>
      <c r="T9231" t="s">
        <v>46</v>
      </c>
    </row>
    <row r="9232" spans="1:20" x14ac:dyDescent="0.25">
      <c r="A9232">
        <v>9</v>
      </c>
      <c r="B9232">
        <v>461</v>
      </c>
      <c r="C9232" t="str">
        <f t="shared" ref="C9232:C9295" si="2095">"36"</f>
        <v>36</v>
      </c>
      <c r="D9232">
        <v>6399</v>
      </c>
      <c r="E9232" t="str">
        <f t="shared" si="2094"/>
        <v>PR</v>
      </c>
      <c r="F9232" t="str">
        <f t="shared" si="2091"/>
        <v>104</v>
      </c>
      <c r="G9232">
        <v>9</v>
      </c>
      <c r="H9232" t="str">
        <f t="shared" si="2088"/>
        <v>99</v>
      </c>
      <c r="I9232" t="str">
        <f t="shared" si="2089"/>
        <v>0</v>
      </c>
      <c r="J9232" t="str">
        <f t="shared" si="2090"/>
        <v>00</v>
      </c>
      <c r="K9232">
        <v>20181214</v>
      </c>
      <c r="L9232" t="str">
        <f t="shared" si="2092"/>
        <v>075071</v>
      </c>
      <c r="M9232" t="str">
        <f t="shared" si="2093"/>
        <v>58201</v>
      </c>
      <c r="N9232" t="s">
        <v>2662</v>
      </c>
      <c r="O9232">
        <v>25.9</v>
      </c>
      <c r="P9232">
        <v>20181213</v>
      </c>
      <c r="Q9232" t="s">
        <v>7014</v>
      </c>
      <c r="R9232" t="s">
        <v>7317</v>
      </c>
      <c r="S9232" t="s">
        <v>7000</v>
      </c>
      <c r="T9232" t="s">
        <v>46</v>
      </c>
    </row>
    <row r="9233" spans="1:20" x14ac:dyDescent="0.25">
      <c r="A9233">
        <v>9</v>
      </c>
      <c r="B9233">
        <v>461</v>
      </c>
      <c r="C9233" t="str">
        <f t="shared" si="2095"/>
        <v>36</v>
      </c>
      <c r="D9233">
        <v>6399</v>
      </c>
      <c r="E9233" t="str">
        <f t="shared" si="2094"/>
        <v>PR</v>
      </c>
      <c r="F9233" t="str">
        <f t="shared" si="2091"/>
        <v>104</v>
      </c>
      <c r="G9233">
        <v>9</v>
      </c>
      <c r="H9233" t="str">
        <f t="shared" si="2088"/>
        <v>99</v>
      </c>
      <c r="I9233" t="str">
        <f t="shared" si="2089"/>
        <v>0</v>
      </c>
      <c r="J9233" t="str">
        <f t="shared" si="2090"/>
        <v>00</v>
      </c>
      <c r="K9233">
        <v>20181214</v>
      </c>
      <c r="L9233" t="str">
        <f t="shared" si="2092"/>
        <v>075071</v>
      </c>
      <c r="M9233" t="str">
        <f t="shared" si="2093"/>
        <v>58201</v>
      </c>
      <c r="N9233" t="s">
        <v>2662</v>
      </c>
      <c r="O9233">
        <v>51.48</v>
      </c>
      <c r="P9233">
        <v>20181213</v>
      </c>
      <c r="Q9233" t="s">
        <v>7014</v>
      </c>
      <c r="R9233" t="s">
        <v>641</v>
      </c>
      <c r="S9233" t="s">
        <v>7000</v>
      </c>
      <c r="T9233" t="s">
        <v>46</v>
      </c>
    </row>
    <row r="9234" spans="1:20" x14ac:dyDescent="0.25">
      <c r="A9234">
        <v>9</v>
      </c>
      <c r="B9234">
        <v>461</v>
      </c>
      <c r="C9234" t="str">
        <f t="shared" si="2095"/>
        <v>36</v>
      </c>
      <c r="D9234">
        <v>6399</v>
      </c>
      <c r="E9234" t="str">
        <f t="shared" si="2094"/>
        <v>PR</v>
      </c>
      <c r="F9234" t="str">
        <f t="shared" si="2091"/>
        <v>104</v>
      </c>
      <c r="G9234">
        <v>9</v>
      </c>
      <c r="H9234" t="str">
        <f t="shared" si="2088"/>
        <v>99</v>
      </c>
      <c r="I9234" t="str">
        <f t="shared" si="2089"/>
        <v>0</v>
      </c>
      <c r="J9234" t="str">
        <f t="shared" si="2090"/>
        <v>00</v>
      </c>
      <c r="K9234">
        <v>20181214</v>
      </c>
      <c r="L9234" t="str">
        <f>"075075"</f>
        <v>075075</v>
      </c>
      <c r="M9234" t="str">
        <f>"60603"</f>
        <v>60603</v>
      </c>
      <c r="N9234" t="s">
        <v>1909</v>
      </c>
      <c r="O9234">
        <v>369.91</v>
      </c>
      <c r="P9234">
        <v>20181213</v>
      </c>
      <c r="Q9234" t="s">
        <v>7014</v>
      </c>
      <c r="R9234" t="s">
        <v>2793</v>
      </c>
      <c r="S9234" t="s">
        <v>7000</v>
      </c>
      <c r="T9234" t="s">
        <v>46</v>
      </c>
    </row>
    <row r="9235" spans="1:20" x14ac:dyDescent="0.25">
      <c r="A9235">
        <v>9</v>
      </c>
      <c r="B9235">
        <v>461</v>
      </c>
      <c r="C9235" t="str">
        <f t="shared" si="2095"/>
        <v>36</v>
      </c>
      <c r="D9235">
        <v>6399</v>
      </c>
      <c r="E9235" t="str">
        <f>"7K"</f>
        <v>7K</v>
      </c>
      <c r="F9235" t="str">
        <f>"001"</f>
        <v>001</v>
      </c>
      <c r="G9235">
        <v>9</v>
      </c>
      <c r="H9235" t="str">
        <f t="shared" si="2088"/>
        <v>99</v>
      </c>
      <c r="I9235" t="str">
        <f t="shared" si="2089"/>
        <v>0</v>
      </c>
      <c r="J9235" t="str">
        <f t="shared" si="2090"/>
        <v>00</v>
      </c>
      <c r="K9235">
        <v>20181214</v>
      </c>
      <c r="L9235" t="str">
        <f>"075081"</f>
        <v>075081</v>
      </c>
      <c r="M9235" t="str">
        <f>"65106"</f>
        <v>65106</v>
      </c>
      <c r="N9235" t="s">
        <v>1175</v>
      </c>
      <c r="O9235">
        <v>137.91</v>
      </c>
      <c r="P9235">
        <v>20181213</v>
      </c>
      <c r="Q9235" t="s">
        <v>7056</v>
      </c>
      <c r="R9235" t="s">
        <v>7318</v>
      </c>
      <c r="S9235" t="s">
        <v>7000</v>
      </c>
      <c r="T9235" t="s">
        <v>301</v>
      </c>
    </row>
    <row r="9236" spans="1:20" x14ac:dyDescent="0.25">
      <c r="A9236">
        <v>9</v>
      </c>
      <c r="B9236">
        <v>461</v>
      </c>
      <c r="C9236" t="str">
        <f t="shared" si="2095"/>
        <v>36</v>
      </c>
      <c r="D9236">
        <v>6399</v>
      </c>
      <c r="E9236" t="str">
        <f>"7K"</f>
        <v>7K</v>
      </c>
      <c r="F9236" t="str">
        <f>"001"</f>
        <v>001</v>
      </c>
      <c r="G9236">
        <v>9</v>
      </c>
      <c r="H9236" t="str">
        <f t="shared" si="2088"/>
        <v>99</v>
      </c>
      <c r="I9236" t="str">
        <f t="shared" si="2089"/>
        <v>0</v>
      </c>
      <c r="J9236" t="str">
        <f t="shared" si="2090"/>
        <v>00</v>
      </c>
      <c r="K9236">
        <v>20181214</v>
      </c>
      <c r="L9236" t="str">
        <f>"075081"</f>
        <v>075081</v>
      </c>
      <c r="M9236" t="str">
        <f>"65106"</f>
        <v>65106</v>
      </c>
      <c r="N9236" t="s">
        <v>1175</v>
      </c>
      <c r="O9236">
        <v>423.9</v>
      </c>
      <c r="P9236">
        <v>20181213</v>
      </c>
      <c r="Q9236" t="s">
        <v>7056</v>
      </c>
      <c r="R9236" t="s">
        <v>3239</v>
      </c>
      <c r="S9236" t="s">
        <v>7000</v>
      </c>
      <c r="T9236" t="s">
        <v>301</v>
      </c>
    </row>
    <row r="9237" spans="1:20" x14ac:dyDescent="0.25">
      <c r="A9237">
        <v>9</v>
      </c>
      <c r="B9237">
        <v>461</v>
      </c>
      <c r="C9237" t="str">
        <f t="shared" si="2095"/>
        <v>36</v>
      </c>
      <c r="D9237">
        <v>6399</v>
      </c>
      <c r="E9237" t="str">
        <f>"CS"</f>
        <v>CS</v>
      </c>
      <c r="F9237" t="str">
        <f>"001"</f>
        <v>001</v>
      </c>
      <c r="G9237">
        <v>9</v>
      </c>
      <c r="H9237" t="str">
        <f>"91"</f>
        <v>91</v>
      </c>
      <c r="I9237" t="str">
        <f t="shared" si="2089"/>
        <v>0</v>
      </c>
      <c r="J9237" t="str">
        <f t="shared" si="2090"/>
        <v>00</v>
      </c>
      <c r="K9237">
        <v>20181214</v>
      </c>
      <c r="L9237" t="str">
        <f>"075081"</f>
        <v>075081</v>
      </c>
      <c r="M9237" t="str">
        <f>"65106"</f>
        <v>65106</v>
      </c>
      <c r="N9237" t="s">
        <v>1175</v>
      </c>
      <c r="O9237">
        <v>449.86</v>
      </c>
      <c r="P9237">
        <v>20181213</v>
      </c>
      <c r="Q9237" t="s">
        <v>6998</v>
      </c>
      <c r="R9237" t="s">
        <v>6999</v>
      </c>
      <c r="S9237" t="s">
        <v>7000</v>
      </c>
      <c r="T9237" t="s">
        <v>301</v>
      </c>
    </row>
    <row r="9238" spans="1:20" x14ac:dyDescent="0.25">
      <c r="A9238">
        <v>9</v>
      </c>
      <c r="B9238">
        <v>461</v>
      </c>
      <c r="C9238" t="str">
        <f t="shared" si="2095"/>
        <v>36</v>
      </c>
      <c r="D9238">
        <v>6399</v>
      </c>
      <c r="E9238" t="str">
        <f>"H2"</f>
        <v>H2</v>
      </c>
      <c r="F9238" t="str">
        <f>"001"</f>
        <v>001</v>
      </c>
      <c r="G9238">
        <v>9</v>
      </c>
      <c r="H9238" t="str">
        <f t="shared" ref="H9238:H9253" si="2096">"99"</f>
        <v>99</v>
      </c>
      <c r="I9238" t="str">
        <f t="shared" si="2089"/>
        <v>0</v>
      </c>
      <c r="J9238" t="str">
        <f t="shared" si="2090"/>
        <v>00</v>
      </c>
      <c r="K9238">
        <v>20181214</v>
      </c>
      <c r="L9238" t="str">
        <f>"075081"</f>
        <v>075081</v>
      </c>
      <c r="M9238" t="str">
        <f>"65106"</f>
        <v>65106</v>
      </c>
      <c r="N9238" t="s">
        <v>1175</v>
      </c>
      <c r="O9238">
        <v>198.84</v>
      </c>
      <c r="P9238">
        <v>20181213</v>
      </c>
      <c r="Q9238" t="s">
        <v>7033</v>
      </c>
      <c r="R9238" t="s">
        <v>7319</v>
      </c>
      <c r="S9238" t="s">
        <v>7000</v>
      </c>
      <c r="T9238" t="s">
        <v>301</v>
      </c>
    </row>
    <row r="9239" spans="1:20" x14ac:dyDescent="0.25">
      <c r="A9239">
        <v>9</v>
      </c>
      <c r="B9239">
        <v>461</v>
      </c>
      <c r="C9239" t="str">
        <f t="shared" si="2095"/>
        <v>36</v>
      </c>
      <c r="D9239">
        <v>6499</v>
      </c>
      <c r="E9239" t="str">
        <f>"7K"</f>
        <v>7K</v>
      </c>
      <c r="F9239" t="str">
        <f>"001"</f>
        <v>001</v>
      </c>
      <c r="G9239">
        <v>9</v>
      </c>
      <c r="H9239" t="str">
        <f t="shared" si="2096"/>
        <v>99</v>
      </c>
      <c r="I9239" t="str">
        <f t="shared" si="2089"/>
        <v>0</v>
      </c>
      <c r="J9239" t="str">
        <f t="shared" si="2090"/>
        <v>00</v>
      </c>
      <c r="K9239">
        <v>20181214</v>
      </c>
      <c r="L9239" t="str">
        <f>"075090"</f>
        <v>075090</v>
      </c>
      <c r="M9239" t="str">
        <f>"71775"</f>
        <v>71775</v>
      </c>
      <c r="N9239" t="s">
        <v>5029</v>
      </c>
      <c r="O9239">
        <v>177.5</v>
      </c>
      <c r="P9239">
        <v>20181213</v>
      </c>
      <c r="Q9239" t="s">
        <v>7320</v>
      </c>
      <c r="R9239" t="s">
        <v>7321</v>
      </c>
      <c r="S9239" t="s">
        <v>7000</v>
      </c>
      <c r="T9239" t="s">
        <v>301</v>
      </c>
    </row>
    <row r="9240" spans="1:20" x14ac:dyDescent="0.25">
      <c r="A9240">
        <v>9</v>
      </c>
      <c r="B9240">
        <v>461</v>
      </c>
      <c r="C9240" t="str">
        <f t="shared" si="2095"/>
        <v>36</v>
      </c>
      <c r="D9240">
        <v>6399</v>
      </c>
      <c r="E9240" t="str">
        <f t="shared" ref="E9240:E9249" si="2097">"PR"</f>
        <v>PR</v>
      </c>
      <c r="F9240" t="str">
        <f t="shared" ref="F9240:F9249" si="2098">"104"</f>
        <v>104</v>
      </c>
      <c r="G9240">
        <v>9</v>
      </c>
      <c r="H9240" t="str">
        <f t="shared" si="2096"/>
        <v>99</v>
      </c>
      <c r="I9240" t="str">
        <f t="shared" si="2089"/>
        <v>0</v>
      </c>
      <c r="J9240" t="str">
        <f t="shared" si="2090"/>
        <v>00</v>
      </c>
      <c r="K9240">
        <v>20181214</v>
      </c>
      <c r="L9240" t="str">
        <f t="shared" ref="L9240:L9249" si="2099">"075092"</f>
        <v>075092</v>
      </c>
      <c r="M9240" t="str">
        <f t="shared" ref="M9240:M9249" si="2100">"72730"</f>
        <v>72730</v>
      </c>
      <c r="N9240" t="s">
        <v>639</v>
      </c>
      <c r="O9240">
        <v>132.82</v>
      </c>
      <c r="P9240">
        <v>20181213</v>
      </c>
      <c r="Q9240" t="s">
        <v>7014</v>
      </c>
      <c r="R9240" t="s">
        <v>5335</v>
      </c>
      <c r="S9240" t="s">
        <v>7000</v>
      </c>
      <c r="T9240" t="s">
        <v>46</v>
      </c>
    </row>
    <row r="9241" spans="1:20" x14ac:dyDescent="0.25">
      <c r="A9241">
        <v>9</v>
      </c>
      <c r="B9241">
        <v>461</v>
      </c>
      <c r="C9241" t="str">
        <f t="shared" si="2095"/>
        <v>36</v>
      </c>
      <c r="D9241">
        <v>6399</v>
      </c>
      <c r="E9241" t="str">
        <f t="shared" si="2097"/>
        <v>PR</v>
      </c>
      <c r="F9241" t="str">
        <f t="shared" si="2098"/>
        <v>104</v>
      </c>
      <c r="G9241">
        <v>9</v>
      </c>
      <c r="H9241" t="str">
        <f t="shared" si="2096"/>
        <v>99</v>
      </c>
      <c r="I9241" t="str">
        <f t="shared" si="2089"/>
        <v>0</v>
      </c>
      <c r="J9241" t="str">
        <f t="shared" si="2090"/>
        <v>00</v>
      </c>
      <c r="K9241">
        <v>20181214</v>
      </c>
      <c r="L9241" t="str">
        <f t="shared" si="2099"/>
        <v>075092</v>
      </c>
      <c r="M9241" t="str">
        <f t="shared" si="2100"/>
        <v>72730</v>
      </c>
      <c r="N9241" t="s">
        <v>639</v>
      </c>
      <c r="O9241">
        <v>28.05</v>
      </c>
      <c r="P9241">
        <v>20181213</v>
      </c>
      <c r="Q9241" t="s">
        <v>7014</v>
      </c>
      <c r="R9241" t="s">
        <v>7322</v>
      </c>
      <c r="S9241" t="s">
        <v>7000</v>
      </c>
      <c r="T9241" t="s">
        <v>46</v>
      </c>
    </row>
    <row r="9242" spans="1:20" x14ac:dyDescent="0.25">
      <c r="A9242">
        <v>9</v>
      </c>
      <c r="B9242">
        <v>461</v>
      </c>
      <c r="C9242" t="str">
        <f t="shared" si="2095"/>
        <v>36</v>
      </c>
      <c r="D9242">
        <v>6399</v>
      </c>
      <c r="E9242" t="str">
        <f t="shared" si="2097"/>
        <v>PR</v>
      </c>
      <c r="F9242" t="str">
        <f t="shared" si="2098"/>
        <v>104</v>
      </c>
      <c r="G9242">
        <v>9</v>
      </c>
      <c r="H9242" t="str">
        <f t="shared" si="2096"/>
        <v>99</v>
      </c>
      <c r="I9242" t="str">
        <f t="shared" si="2089"/>
        <v>0</v>
      </c>
      <c r="J9242" t="str">
        <f t="shared" si="2090"/>
        <v>00</v>
      </c>
      <c r="K9242">
        <v>20181214</v>
      </c>
      <c r="L9242" t="str">
        <f t="shared" si="2099"/>
        <v>075092</v>
      </c>
      <c r="M9242" t="str">
        <f t="shared" si="2100"/>
        <v>72730</v>
      </c>
      <c r="N9242" t="s">
        <v>639</v>
      </c>
      <c r="O9242">
        <v>22.89</v>
      </c>
      <c r="P9242">
        <v>20181213</v>
      </c>
      <c r="Q9242" t="s">
        <v>7014</v>
      </c>
      <c r="R9242" t="s">
        <v>7323</v>
      </c>
      <c r="S9242" t="s">
        <v>7000</v>
      </c>
      <c r="T9242" t="s">
        <v>46</v>
      </c>
    </row>
    <row r="9243" spans="1:20" x14ac:dyDescent="0.25">
      <c r="A9243">
        <v>9</v>
      </c>
      <c r="B9243">
        <v>461</v>
      </c>
      <c r="C9243" t="str">
        <f t="shared" si="2095"/>
        <v>36</v>
      </c>
      <c r="D9243">
        <v>6399</v>
      </c>
      <c r="E9243" t="str">
        <f t="shared" si="2097"/>
        <v>PR</v>
      </c>
      <c r="F9243" t="str">
        <f t="shared" si="2098"/>
        <v>104</v>
      </c>
      <c r="G9243">
        <v>9</v>
      </c>
      <c r="H9243" t="str">
        <f t="shared" si="2096"/>
        <v>99</v>
      </c>
      <c r="I9243" t="str">
        <f t="shared" si="2089"/>
        <v>0</v>
      </c>
      <c r="J9243" t="str">
        <f t="shared" si="2090"/>
        <v>00</v>
      </c>
      <c r="K9243">
        <v>20181214</v>
      </c>
      <c r="L9243" t="str">
        <f t="shared" si="2099"/>
        <v>075092</v>
      </c>
      <c r="M9243" t="str">
        <f t="shared" si="2100"/>
        <v>72730</v>
      </c>
      <c r="N9243" t="s">
        <v>639</v>
      </c>
      <c r="O9243">
        <v>24.99</v>
      </c>
      <c r="P9243">
        <v>20181213</v>
      </c>
      <c r="Q9243" t="s">
        <v>7014</v>
      </c>
      <c r="R9243" t="s">
        <v>1386</v>
      </c>
      <c r="S9243" t="s">
        <v>7000</v>
      </c>
      <c r="T9243" t="s">
        <v>46</v>
      </c>
    </row>
    <row r="9244" spans="1:20" x14ac:dyDescent="0.25">
      <c r="A9244">
        <v>9</v>
      </c>
      <c r="B9244">
        <v>461</v>
      </c>
      <c r="C9244" t="str">
        <f t="shared" si="2095"/>
        <v>36</v>
      </c>
      <c r="D9244">
        <v>6399</v>
      </c>
      <c r="E9244" t="str">
        <f t="shared" si="2097"/>
        <v>PR</v>
      </c>
      <c r="F9244" t="str">
        <f t="shared" si="2098"/>
        <v>104</v>
      </c>
      <c r="G9244">
        <v>9</v>
      </c>
      <c r="H9244" t="str">
        <f t="shared" si="2096"/>
        <v>99</v>
      </c>
      <c r="I9244" t="str">
        <f t="shared" si="2089"/>
        <v>0</v>
      </c>
      <c r="J9244" t="str">
        <f t="shared" si="2090"/>
        <v>00</v>
      </c>
      <c r="K9244">
        <v>20181214</v>
      </c>
      <c r="L9244" t="str">
        <f t="shared" si="2099"/>
        <v>075092</v>
      </c>
      <c r="M9244" t="str">
        <f t="shared" si="2100"/>
        <v>72730</v>
      </c>
      <c r="N9244" t="s">
        <v>639</v>
      </c>
      <c r="O9244">
        <v>884.66</v>
      </c>
      <c r="P9244">
        <v>20181213</v>
      </c>
      <c r="Q9244" t="s">
        <v>7014</v>
      </c>
      <c r="R9244" t="s">
        <v>641</v>
      </c>
      <c r="S9244" t="s">
        <v>7000</v>
      </c>
      <c r="T9244" t="s">
        <v>46</v>
      </c>
    </row>
    <row r="9245" spans="1:20" x14ac:dyDescent="0.25">
      <c r="A9245">
        <v>9</v>
      </c>
      <c r="B9245">
        <v>461</v>
      </c>
      <c r="C9245" t="str">
        <f t="shared" si="2095"/>
        <v>36</v>
      </c>
      <c r="D9245">
        <v>6399</v>
      </c>
      <c r="E9245" t="str">
        <f t="shared" si="2097"/>
        <v>PR</v>
      </c>
      <c r="F9245" t="str">
        <f t="shared" si="2098"/>
        <v>104</v>
      </c>
      <c r="G9245">
        <v>9</v>
      </c>
      <c r="H9245" t="str">
        <f t="shared" si="2096"/>
        <v>99</v>
      </c>
      <c r="I9245" t="str">
        <f t="shared" si="2089"/>
        <v>0</v>
      </c>
      <c r="J9245" t="str">
        <f t="shared" si="2090"/>
        <v>00</v>
      </c>
      <c r="K9245">
        <v>20181214</v>
      </c>
      <c r="L9245" t="str">
        <f t="shared" si="2099"/>
        <v>075092</v>
      </c>
      <c r="M9245" t="str">
        <f t="shared" si="2100"/>
        <v>72730</v>
      </c>
      <c r="N9245" t="s">
        <v>639</v>
      </c>
      <c r="O9245">
        <v>17.25</v>
      </c>
      <c r="P9245">
        <v>20181213</v>
      </c>
      <c r="Q9245" t="s">
        <v>7014</v>
      </c>
      <c r="R9245" t="s">
        <v>7324</v>
      </c>
      <c r="S9245" t="s">
        <v>7000</v>
      </c>
      <c r="T9245" t="s">
        <v>46</v>
      </c>
    </row>
    <row r="9246" spans="1:20" x14ac:dyDescent="0.25">
      <c r="A9246">
        <v>9</v>
      </c>
      <c r="B9246">
        <v>461</v>
      </c>
      <c r="C9246" t="str">
        <f t="shared" si="2095"/>
        <v>36</v>
      </c>
      <c r="D9246">
        <v>6399</v>
      </c>
      <c r="E9246" t="str">
        <f t="shared" si="2097"/>
        <v>PR</v>
      </c>
      <c r="F9246" t="str">
        <f t="shared" si="2098"/>
        <v>104</v>
      </c>
      <c r="G9246">
        <v>9</v>
      </c>
      <c r="H9246" t="str">
        <f t="shared" si="2096"/>
        <v>99</v>
      </c>
      <c r="I9246" t="str">
        <f t="shared" si="2089"/>
        <v>0</v>
      </c>
      <c r="J9246" t="str">
        <f t="shared" si="2090"/>
        <v>00</v>
      </c>
      <c r="K9246">
        <v>20181214</v>
      </c>
      <c r="L9246" t="str">
        <f t="shared" si="2099"/>
        <v>075092</v>
      </c>
      <c r="M9246" t="str">
        <f t="shared" si="2100"/>
        <v>72730</v>
      </c>
      <c r="N9246" t="s">
        <v>639</v>
      </c>
      <c r="O9246">
        <v>18.5</v>
      </c>
      <c r="P9246">
        <v>20181213</v>
      </c>
      <c r="Q9246" t="s">
        <v>7014</v>
      </c>
      <c r="R9246" t="s">
        <v>7325</v>
      </c>
      <c r="S9246" t="s">
        <v>7000</v>
      </c>
      <c r="T9246" t="s">
        <v>46</v>
      </c>
    </row>
    <row r="9247" spans="1:20" x14ac:dyDescent="0.25">
      <c r="A9247">
        <v>9</v>
      </c>
      <c r="B9247">
        <v>461</v>
      </c>
      <c r="C9247" t="str">
        <f t="shared" si="2095"/>
        <v>36</v>
      </c>
      <c r="D9247">
        <v>6399</v>
      </c>
      <c r="E9247" t="str">
        <f t="shared" si="2097"/>
        <v>PR</v>
      </c>
      <c r="F9247" t="str">
        <f t="shared" si="2098"/>
        <v>104</v>
      </c>
      <c r="G9247">
        <v>9</v>
      </c>
      <c r="H9247" t="str">
        <f t="shared" si="2096"/>
        <v>99</v>
      </c>
      <c r="I9247" t="str">
        <f t="shared" si="2089"/>
        <v>0</v>
      </c>
      <c r="J9247" t="str">
        <f t="shared" si="2090"/>
        <v>00</v>
      </c>
      <c r="K9247">
        <v>20181214</v>
      </c>
      <c r="L9247" t="str">
        <f t="shared" si="2099"/>
        <v>075092</v>
      </c>
      <c r="M9247" t="str">
        <f t="shared" si="2100"/>
        <v>72730</v>
      </c>
      <c r="N9247" t="s">
        <v>639</v>
      </c>
      <c r="O9247">
        <v>23.49</v>
      </c>
      <c r="P9247">
        <v>20181213</v>
      </c>
      <c r="Q9247" t="s">
        <v>7014</v>
      </c>
      <c r="R9247" t="s">
        <v>7326</v>
      </c>
      <c r="S9247" t="s">
        <v>7000</v>
      </c>
      <c r="T9247" t="s">
        <v>46</v>
      </c>
    </row>
    <row r="9248" spans="1:20" x14ac:dyDescent="0.25">
      <c r="A9248">
        <v>9</v>
      </c>
      <c r="B9248">
        <v>461</v>
      </c>
      <c r="C9248" t="str">
        <f t="shared" si="2095"/>
        <v>36</v>
      </c>
      <c r="D9248">
        <v>6399</v>
      </c>
      <c r="E9248" t="str">
        <f t="shared" si="2097"/>
        <v>PR</v>
      </c>
      <c r="F9248" t="str">
        <f t="shared" si="2098"/>
        <v>104</v>
      </c>
      <c r="G9248">
        <v>9</v>
      </c>
      <c r="H9248" t="str">
        <f t="shared" si="2096"/>
        <v>99</v>
      </c>
      <c r="I9248" t="str">
        <f t="shared" si="2089"/>
        <v>0</v>
      </c>
      <c r="J9248" t="str">
        <f t="shared" si="2090"/>
        <v>00</v>
      </c>
      <c r="K9248">
        <v>20181214</v>
      </c>
      <c r="L9248" t="str">
        <f t="shared" si="2099"/>
        <v>075092</v>
      </c>
      <c r="M9248" t="str">
        <f t="shared" si="2100"/>
        <v>72730</v>
      </c>
      <c r="N9248" t="s">
        <v>639</v>
      </c>
      <c r="O9248">
        <v>28.49</v>
      </c>
      <c r="P9248">
        <v>20181213</v>
      </c>
      <c r="Q9248" t="s">
        <v>7014</v>
      </c>
      <c r="R9248" t="s">
        <v>7327</v>
      </c>
      <c r="S9248" t="s">
        <v>7000</v>
      </c>
      <c r="T9248" t="s">
        <v>46</v>
      </c>
    </row>
    <row r="9249" spans="1:20" x14ac:dyDescent="0.25">
      <c r="A9249">
        <v>9</v>
      </c>
      <c r="B9249">
        <v>461</v>
      </c>
      <c r="C9249" t="str">
        <f t="shared" si="2095"/>
        <v>36</v>
      </c>
      <c r="D9249">
        <v>6399</v>
      </c>
      <c r="E9249" t="str">
        <f t="shared" si="2097"/>
        <v>PR</v>
      </c>
      <c r="F9249" t="str">
        <f t="shared" si="2098"/>
        <v>104</v>
      </c>
      <c r="G9249">
        <v>9</v>
      </c>
      <c r="H9249" t="str">
        <f t="shared" si="2096"/>
        <v>99</v>
      </c>
      <c r="I9249" t="str">
        <f t="shared" si="2089"/>
        <v>0</v>
      </c>
      <c r="J9249" t="str">
        <f t="shared" ref="J9249:J9280" si="2101">"00"</f>
        <v>00</v>
      </c>
      <c r="K9249">
        <v>20181214</v>
      </c>
      <c r="L9249" t="str">
        <f t="shared" si="2099"/>
        <v>075092</v>
      </c>
      <c r="M9249" t="str">
        <f t="shared" si="2100"/>
        <v>72730</v>
      </c>
      <c r="N9249" t="s">
        <v>639</v>
      </c>
      <c r="O9249">
        <v>9.91</v>
      </c>
      <c r="P9249">
        <v>20181213</v>
      </c>
      <c r="Q9249" t="s">
        <v>7014</v>
      </c>
      <c r="R9249" t="s">
        <v>7328</v>
      </c>
      <c r="S9249" t="s">
        <v>7000</v>
      </c>
      <c r="T9249" t="s">
        <v>46</v>
      </c>
    </row>
    <row r="9250" spans="1:20" x14ac:dyDescent="0.25">
      <c r="A9250">
        <v>9</v>
      </c>
      <c r="B9250">
        <v>461</v>
      </c>
      <c r="C9250" t="str">
        <f t="shared" si="2095"/>
        <v>36</v>
      </c>
      <c r="D9250">
        <v>6399</v>
      </c>
      <c r="E9250" t="str">
        <f>"61"</f>
        <v>61</v>
      </c>
      <c r="F9250" t="str">
        <f>"101"</f>
        <v>101</v>
      </c>
      <c r="G9250">
        <v>9</v>
      </c>
      <c r="H9250" t="str">
        <f t="shared" si="2096"/>
        <v>99</v>
      </c>
      <c r="I9250" t="str">
        <f t="shared" si="2089"/>
        <v>0</v>
      </c>
      <c r="J9250" t="str">
        <f t="shared" si="2101"/>
        <v>00</v>
      </c>
      <c r="K9250">
        <v>20181214</v>
      </c>
      <c r="L9250" t="str">
        <f>"075103"</f>
        <v>075103</v>
      </c>
      <c r="M9250" t="str">
        <f>"80600"</f>
        <v>80600</v>
      </c>
      <c r="N9250" t="s">
        <v>1927</v>
      </c>
      <c r="O9250">
        <v>93.8</v>
      </c>
      <c r="P9250">
        <v>20181213</v>
      </c>
      <c r="Q9250" t="s">
        <v>7007</v>
      </c>
      <c r="R9250" t="s">
        <v>7329</v>
      </c>
      <c r="S9250" t="s">
        <v>7000</v>
      </c>
      <c r="T9250" t="s">
        <v>1479</v>
      </c>
    </row>
    <row r="9251" spans="1:20" x14ac:dyDescent="0.25">
      <c r="A9251">
        <v>9</v>
      </c>
      <c r="B9251">
        <v>461</v>
      </c>
      <c r="C9251" t="str">
        <f t="shared" si="2095"/>
        <v>36</v>
      </c>
      <c r="D9251">
        <v>6299</v>
      </c>
      <c r="E9251" t="str">
        <f>"61"</f>
        <v>61</v>
      </c>
      <c r="F9251" t="str">
        <f>"001"</f>
        <v>001</v>
      </c>
      <c r="G9251">
        <v>9</v>
      </c>
      <c r="H9251" t="str">
        <f t="shared" si="2096"/>
        <v>99</v>
      </c>
      <c r="I9251" t="str">
        <f t="shared" si="2089"/>
        <v>0</v>
      </c>
      <c r="J9251" t="str">
        <f t="shared" si="2101"/>
        <v>00</v>
      </c>
      <c r="K9251">
        <v>20181214</v>
      </c>
      <c r="L9251" t="str">
        <f>"075104"</f>
        <v>075104</v>
      </c>
      <c r="M9251" t="str">
        <f>"81299"</f>
        <v>81299</v>
      </c>
      <c r="N9251" t="s">
        <v>4298</v>
      </c>
      <c r="O9251">
        <v>100</v>
      </c>
      <c r="P9251">
        <v>20181213</v>
      </c>
      <c r="Q9251" t="s">
        <v>7330</v>
      </c>
      <c r="R9251" t="s">
        <v>7331</v>
      </c>
      <c r="S9251" t="s">
        <v>7000</v>
      </c>
      <c r="T9251" t="s">
        <v>301</v>
      </c>
    </row>
    <row r="9252" spans="1:20" x14ac:dyDescent="0.25">
      <c r="A9252">
        <v>9</v>
      </c>
      <c r="B9252">
        <v>461</v>
      </c>
      <c r="C9252" t="str">
        <f t="shared" si="2095"/>
        <v>36</v>
      </c>
      <c r="D9252">
        <v>6399</v>
      </c>
      <c r="E9252" t="str">
        <f>"PR"</f>
        <v>PR</v>
      </c>
      <c r="F9252" t="str">
        <f>"104"</f>
        <v>104</v>
      </c>
      <c r="G9252">
        <v>9</v>
      </c>
      <c r="H9252" t="str">
        <f t="shared" si="2096"/>
        <v>99</v>
      </c>
      <c r="I9252" t="str">
        <f t="shared" si="2089"/>
        <v>0</v>
      </c>
      <c r="J9252" t="str">
        <f t="shared" si="2101"/>
        <v>00</v>
      </c>
      <c r="K9252">
        <v>20181214</v>
      </c>
      <c r="L9252" t="str">
        <f>"075108"</f>
        <v>075108</v>
      </c>
      <c r="M9252" t="str">
        <f>"00616"</f>
        <v>00616</v>
      </c>
      <c r="N9252" t="s">
        <v>7332</v>
      </c>
      <c r="O9252">
        <v>790</v>
      </c>
      <c r="P9252">
        <v>20181213</v>
      </c>
      <c r="Q9252" t="s">
        <v>7014</v>
      </c>
      <c r="R9252" t="s">
        <v>7333</v>
      </c>
      <c r="S9252" t="s">
        <v>7000</v>
      </c>
      <c r="T9252" t="s">
        <v>46</v>
      </c>
    </row>
    <row r="9253" spans="1:20" x14ac:dyDescent="0.25">
      <c r="A9253">
        <v>9</v>
      </c>
      <c r="B9253">
        <v>461</v>
      </c>
      <c r="C9253" t="str">
        <f t="shared" si="2095"/>
        <v>36</v>
      </c>
      <c r="D9253">
        <v>6399</v>
      </c>
      <c r="E9253" t="str">
        <f>"H2"</f>
        <v>H2</v>
      </c>
      <c r="F9253" t="str">
        <f>"001"</f>
        <v>001</v>
      </c>
      <c r="G9253">
        <v>9</v>
      </c>
      <c r="H9253" t="str">
        <f t="shared" si="2096"/>
        <v>99</v>
      </c>
      <c r="I9253" t="str">
        <f t="shared" si="2089"/>
        <v>0</v>
      </c>
      <c r="J9253" t="str">
        <f t="shared" si="2101"/>
        <v>00</v>
      </c>
      <c r="K9253">
        <v>20181214</v>
      </c>
      <c r="L9253" t="str">
        <f>"075109"</f>
        <v>075109</v>
      </c>
      <c r="M9253" t="str">
        <f>"84370"</f>
        <v>84370</v>
      </c>
      <c r="N9253" t="s">
        <v>395</v>
      </c>
      <c r="O9253">
        <v>175.88</v>
      </c>
      <c r="P9253">
        <v>20181213</v>
      </c>
      <c r="Q9253" t="s">
        <v>7033</v>
      </c>
      <c r="R9253" t="s">
        <v>2866</v>
      </c>
      <c r="S9253" t="s">
        <v>7000</v>
      </c>
      <c r="T9253" t="s">
        <v>301</v>
      </c>
    </row>
    <row r="9254" spans="1:20" x14ac:dyDescent="0.25">
      <c r="A9254">
        <v>9</v>
      </c>
      <c r="B9254">
        <v>461</v>
      </c>
      <c r="C9254" t="str">
        <f t="shared" si="2095"/>
        <v>36</v>
      </c>
      <c r="D9254">
        <v>6399</v>
      </c>
      <c r="E9254" t="str">
        <f>"3G"</f>
        <v>3G</v>
      </c>
      <c r="F9254" t="str">
        <f>"001"</f>
        <v>001</v>
      </c>
      <c r="G9254">
        <v>9</v>
      </c>
      <c r="H9254" t="str">
        <f>"91"</f>
        <v>91</v>
      </c>
      <c r="I9254" t="str">
        <f t="shared" si="2089"/>
        <v>0</v>
      </c>
      <c r="J9254" t="str">
        <f t="shared" si="2101"/>
        <v>00</v>
      </c>
      <c r="K9254">
        <v>20190104</v>
      </c>
      <c r="L9254" t="str">
        <f>"075120"</f>
        <v>075120</v>
      </c>
      <c r="M9254" t="str">
        <f>"28560"</f>
        <v>28560</v>
      </c>
      <c r="N9254" t="s">
        <v>569</v>
      </c>
      <c r="O9254" s="1">
        <v>1034.26</v>
      </c>
      <c r="P9254">
        <v>20190104</v>
      </c>
      <c r="Q9254" t="s">
        <v>7229</v>
      </c>
      <c r="R9254" t="s">
        <v>7334</v>
      </c>
      <c r="S9254" t="s">
        <v>7000</v>
      </c>
      <c r="T9254" t="s">
        <v>301</v>
      </c>
    </row>
    <row r="9255" spans="1:20" x14ac:dyDescent="0.25">
      <c r="A9255">
        <v>9</v>
      </c>
      <c r="B9255">
        <v>461</v>
      </c>
      <c r="C9255" t="str">
        <f t="shared" si="2095"/>
        <v>36</v>
      </c>
      <c r="D9255">
        <v>6399</v>
      </c>
      <c r="E9255" t="str">
        <f>"44"</f>
        <v>44</v>
      </c>
      <c r="F9255" t="str">
        <f>"104"</f>
        <v>104</v>
      </c>
      <c r="G9255">
        <v>9</v>
      </c>
      <c r="H9255" t="str">
        <f t="shared" ref="H9255:H9262" si="2102">"99"</f>
        <v>99</v>
      </c>
      <c r="I9255" t="str">
        <f t="shared" si="2089"/>
        <v>0</v>
      </c>
      <c r="J9255" t="str">
        <f t="shared" si="2101"/>
        <v>00</v>
      </c>
      <c r="K9255">
        <v>20190104</v>
      </c>
      <c r="L9255" t="str">
        <f>"075122"</f>
        <v>075122</v>
      </c>
      <c r="M9255" t="str">
        <f>"37500"</f>
        <v>37500</v>
      </c>
      <c r="N9255" t="s">
        <v>2077</v>
      </c>
      <c r="O9255">
        <v>33.28</v>
      </c>
      <c r="P9255">
        <v>20190104</v>
      </c>
      <c r="Q9255" t="s">
        <v>7104</v>
      </c>
      <c r="R9255" t="s">
        <v>7335</v>
      </c>
      <c r="S9255" t="s">
        <v>7000</v>
      </c>
      <c r="T9255" t="s">
        <v>46</v>
      </c>
    </row>
    <row r="9256" spans="1:20" x14ac:dyDescent="0.25">
      <c r="A9256">
        <v>9</v>
      </c>
      <c r="B9256">
        <v>461</v>
      </c>
      <c r="C9256" t="str">
        <f t="shared" si="2095"/>
        <v>36</v>
      </c>
      <c r="D9256">
        <v>6399</v>
      </c>
      <c r="E9256" t="str">
        <f>"PR"</f>
        <v>PR</v>
      </c>
      <c r="F9256" t="str">
        <f>"104"</f>
        <v>104</v>
      </c>
      <c r="G9256">
        <v>9</v>
      </c>
      <c r="H9256" t="str">
        <f t="shared" si="2102"/>
        <v>99</v>
      </c>
      <c r="I9256" t="str">
        <f t="shared" si="2089"/>
        <v>0</v>
      </c>
      <c r="J9256" t="str">
        <f t="shared" si="2101"/>
        <v>00</v>
      </c>
      <c r="K9256">
        <v>20190104</v>
      </c>
      <c r="L9256" t="str">
        <f>"075122"</f>
        <v>075122</v>
      </c>
      <c r="M9256" t="str">
        <f>"37500"</f>
        <v>37500</v>
      </c>
      <c r="N9256" t="s">
        <v>2077</v>
      </c>
      <c r="O9256">
        <v>71.099999999999994</v>
      </c>
      <c r="P9256">
        <v>20190104</v>
      </c>
      <c r="Q9256" t="s">
        <v>7014</v>
      </c>
      <c r="R9256" t="s">
        <v>7336</v>
      </c>
      <c r="S9256" t="s">
        <v>7000</v>
      </c>
      <c r="T9256" t="s">
        <v>46</v>
      </c>
    </row>
    <row r="9257" spans="1:20" x14ac:dyDescent="0.25">
      <c r="A9257">
        <v>9</v>
      </c>
      <c r="B9257">
        <v>461</v>
      </c>
      <c r="C9257" t="str">
        <f t="shared" si="2095"/>
        <v>36</v>
      </c>
      <c r="D9257">
        <v>6399</v>
      </c>
      <c r="E9257" t="str">
        <f>"H2"</f>
        <v>H2</v>
      </c>
      <c r="F9257" t="str">
        <f>"001"</f>
        <v>001</v>
      </c>
      <c r="G9257">
        <v>9</v>
      </c>
      <c r="H9257" t="str">
        <f t="shared" si="2102"/>
        <v>99</v>
      </c>
      <c r="I9257" t="str">
        <f t="shared" si="2089"/>
        <v>0</v>
      </c>
      <c r="J9257" t="str">
        <f t="shared" si="2101"/>
        <v>00</v>
      </c>
      <c r="K9257">
        <v>20190104</v>
      </c>
      <c r="L9257" t="str">
        <f>"075132"</f>
        <v>075132</v>
      </c>
      <c r="M9257" t="str">
        <f>"58204"</f>
        <v>58204</v>
      </c>
      <c r="N9257" t="s">
        <v>1767</v>
      </c>
      <c r="O9257">
        <v>139.5</v>
      </c>
      <c r="P9257">
        <v>20190104</v>
      </c>
      <c r="Q9257" t="s">
        <v>7033</v>
      </c>
      <c r="R9257" t="s">
        <v>2780</v>
      </c>
      <c r="S9257" t="s">
        <v>7000</v>
      </c>
      <c r="T9257" t="s">
        <v>301</v>
      </c>
    </row>
    <row r="9258" spans="1:20" x14ac:dyDescent="0.25">
      <c r="A9258">
        <v>9</v>
      </c>
      <c r="B9258">
        <v>461</v>
      </c>
      <c r="C9258" t="str">
        <f t="shared" si="2095"/>
        <v>36</v>
      </c>
      <c r="D9258">
        <v>6399</v>
      </c>
      <c r="E9258" t="str">
        <f>"90"</f>
        <v>90</v>
      </c>
      <c r="F9258" t="str">
        <f>"001"</f>
        <v>001</v>
      </c>
      <c r="G9258">
        <v>9</v>
      </c>
      <c r="H9258" t="str">
        <f t="shared" si="2102"/>
        <v>99</v>
      </c>
      <c r="I9258" t="str">
        <f t="shared" si="2089"/>
        <v>0</v>
      </c>
      <c r="J9258" t="str">
        <f t="shared" si="2101"/>
        <v>00</v>
      </c>
      <c r="K9258">
        <v>20190104</v>
      </c>
      <c r="L9258" t="str">
        <f>"075135"</f>
        <v>075135</v>
      </c>
      <c r="M9258" t="str">
        <f>"00429"</f>
        <v>00429</v>
      </c>
      <c r="N9258" t="s">
        <v>7337</v>
      </c>
      <c r="O9258">
        <v>349.62</v>
      </c>
      <c r="P9258">
        <v>20190104</v>
      </c>
      <c r="Q9258" t="s">
        <v>7258</v>
      </c>
      <c r="R9258" t="s">
        <v>7338</v>
      </c>
      <c r="S9258" t="s">
        <v>7000</v>
      </c>
      <c r="T9258" t="s">
        <v>301</v>
      </c>
    </row>
    <row r="9259" spans="1:20" x14ac:dyDescent="0.25">
      <c r="A9259">
        <v>9</v>
      </c>
      <c r="B9259">
        <v>461</v>
      </c>
      <c r="C9259" t="str">
        <f t="shared" si="2095"/>
        <v>36</v>
      </c>
      <c r="D9259">
        <v>6399</v>
      </c>
      <c r="E9259" t="str">
        <f>"7U"</f>
        <v>7U</v>
      </c>
      <c r="F9259" t="str">
        <f>"041"</f>
        <v>041</v>
      </c>
      <c r="G9259">
        <v>9</v>
      </c>
      <c r="H9259" t="str">
        <f t="shared" si="2102"/>
        <v>99</v>
      </c>
      <c r="I9259" t="str">
        <f t="shared" si="2089"/>
        <v>0</v>
      </c>
      <c r="J9259" t="str">
        <f t="shared" si="2101"/>
        <v>00</v>
      </c>
      <c r="K9259">
        <v>20190104</v>
      </c>
      <c r="L9259" t="str">
        <f>"075137"</f>
        <v>075137</v>
      </c>
      <c r="M9259" t="str">
        <f>"65766"</f>
        <v>65766</v>
      </c>
      <c r="N9259" t="s">
        <v>7201</v>
      </c>
      <c r="O9259" s="1">
        <v>2632.72</v>
      </c>
      <c r="P9259">
        <v>20190104</v>
      </c>
      <c r="Q9259" t="s">
        <v>7339</v>
      </c>
      <c r="R9259" t="s">
        <v>7340</v>
      </c>
      <c r="S9259" t="s">
        <v>7000</v>
      </c>
      <c r="T9259" t="s">
        <v>106</v>
      </c>
    </row>
    <row r="9260" spans="1:20" x14ac:dyDescent="0.25">
      <c r="A9260">
        <v>9</v>
      </c>
      <c r="B9260">
        <v>461</v>
      </c>
      <c r="C9260" t="str">
        <f t="shared" si="2095"/>
        <v>36</v>
      </c>
      <c r="D9260">
        <v>6412</v>
      </c>
      <c r="E9260" t="str">
        <f>"PL"</f>
        <v>PL</v>
      </c>
      <c r="F9260" t="str">
        <f>"001"</f>
        <v>001</v>
      </c>
      <c r="G9260">
        <v>9</v>
      </c>
      <c r="H9260" t="str">
        <f t="shared" si="2102"/>
        <v>99</v>
      </c>
      <c r="I9260" t="str">
        <f t="shared" si="2089"/>
        <v>0</v>
      </c>
      <c r="J9260" t="str">
        <f t="shared" si="2101"/>
        <v>00</v>
      </c>
      <c r="K9260">
        <v>20190104</v>
      </c>
      <c r="L9260" t="str">
        <f>"075144"</f>
        <v>075144</v>
      </c>
      <c r="M9260" t="str">
        <f>"86120"</f>
        <v>86120</v>
      </c>
      <c r="N9260" t="s">
        <v>7341</v>
      </c>
      <c r="O9260" s="1">
        <v>1210</v>
      </c>
      <c r="P9260">
        <v>20190104</v>
      </c>
      <c r="Q9260" t="s">
        <v>7050</v>
      </c>
      <c r="R9260" t="s">
        <v>7300</v>
      </c>
      <c r="S9260" t="s">
        <v>7000</v>
      </c>
      <c r="T9260" t="s">
        <v>301</v>
      </c>
    </row>
    <row r="9261" spans="1:20" x14ac:dyDescent="0.25">
      <c r="A9261">
        <v>9</v>
      </c>
      <c r="B9261">
        <v>461</v>
      </c>
      <c r="C9261" t="str">
        <f t="shared" si="2095"/>
        <v>36</v>
      </c>
      <c r="D9261">
        <v>6299</v>
      </c>
      <c r="E9261" t="str">
        <f>"7K"</f>
        <v>7K</v>
      </c>
      <c r="F9261" t="str">
        <f>"001"</f>
        <v>001</v>
      </c>
      <c r="G9261">
        <v>9</v>
      </c>
      <c r="H9261" t="str">
        <f t="shared" si="2102"/>
        <v>99</v>
      </c>
      <c r="I9261" t="str">
        <f t="shared" si="2089"/>
        <v>0</v>
      </c>
      <c r="J9261" t="str">
        <f t="shared" si="2101"/>
        <v>00</v>
      </c>
      <c r="K9261">
        <v>20190111</v>
      </c>
      <c r="L9261" t="str">
        <f>"075156"</f>
        <v>075156</v>
      </c>
      <c r="M9261" t="str">
        <f>"09170"</f>
        <v>09170</v>
      </c>
      <c r="N9261" t="s">
        <v>679</v>
      </c>
      <c r="O9261">
        <v>335.36</v>
      </c>
      <c r="P9261">
        <v>20190109</v>
      </c>
      <c r="Q9261" t="s">
        <v>7205</v>
      </c>
      <c r="R9261" t="s">
        <v>2975</v>
      </c>
      <c r="S9261" t="s">
        <v>7000</v>
      </c>
      <c r="T9261" t="s">
        <v>301</v>
      </c>
    </row>
    <row r="9262" spans="1:20" x14ac:dyDescent="0.25">
      <c r="A9262">
        <v>9</v>
      </c>
      <c r="B9262">
        <v>461</v>
      </c>
      <c r="C9262" t="str">
        <f t="shared" si="2095"/>
        <v>36</v>
      </c>
      <c r="D9262">
        <v>6399</v>
      </c>
      <c r="E9262" t="str">
        <f>"61"</f>
        <v>61</v>
      </c>
      <c r="F9262" t="str">
        <f>"101"</f>
        <v>101</v>
      </c>
      <c r="G9262">
        <v>9</v>
      </c>
      <c r="H9262" t="str">
        <f t="shared" si="2102"/>
        <v>99</v>
      </c>
      <c r="I9262" t="str">
        <f t="shared" si="2089"/>
        <v>0</v>
      </c>
      <c r="J9262" t="str">
        <f t="shared" si="2101"/>
        <v>00</v>
      </c>
      <c r="K9262">
        <v>20190111</v>
      </c>
      <c r="L9262" t="str">
        <f>"075156"</f>
        <v>075156</v>
      </c>
      <c r="M9262" t="str">
        <f>"09170"</f>
        <v>09170</v>
      </c>
      <c r="N9262" t="s">
        <v>679</v>
      </c>
      <c r="O9262">
        <v>348</v>
      </c>
      <c r="P9262">
        <v>20190109</v>
      </c>
      <c r="Q9262" t="s">
        <v>7007</v>
      </c>
      <c r="R9262" t="s">
        <v>7342</v>
      </c>
      <c r="S9262" t="s">
        <v>7000</v>
      </c>
      <c r="T9262" t="s">
        <v>1479</v>
      </c>
    </row>
    <row r="9263" spans="1:20" x14ac:dyDescent="0.25">
      <c r="A9263">
        <v>9</v>
      </c>
      <c r="B9263">
        <v>461</v>
      </c>
      <c r="C9263" t="str">
        <f t="shared" si="2095"/>
        <v>36</v>
      </c>
      <c r="D9263">
        <v>6412</v>
      </c>
      <c r="E9263" t="str">
        <f>"3B"</f>
        <v>3B</v>
      </c>
      <c r="F9263" t="str">
        <f>"001"</f>
        <v>001</v>
      </c>
      <c r="G9263">
        <v>9</v>
      </c>
      <c r="H9263" t="str">
        <f>"91"</f>
        <v>91</v>
      </c>
      <c r="I9263" t="str">
        <f t="shared" si="2089"/>
        <v>0</v>
      </c>
      <c r="J9263" t="str">
        <f t="shared" si="2101"/>
        <v>00</v>
      </c>
      <c r="K9263">
        <v>20190111</v>
      </c>
      <c r="L9263" t="str">
        <f>"075156"</f>
        <v>075156</v>
      </c>
      <c r="M9263" t="str">
        <f>"09170"</f>
        <v>09170</v>
      </c>
      <c r="N9263" t="s">
        <v>679</v>
      </c>
      <c r="O9263" s="1">
        <v>1166.8</v>
      </c>
      <c r="P9263">
        <v>20190109</v>
      </c>
      <c r="Q9263" t="s">
        <v>7178</v>
      </c>
      <c r="R9263" t="s">
        <v>7179</v>
      </c>
      <c r="S9263" t="s">
        <v>7000</v>
      </c>
      <c r="T9263" t="s">
        <v>301</v>
      </c>
    </row>
    <row r="9264" spans="1:20" x14ac:dyDescent="0.25">
      <c r="A9264">
        <v>9</v>
      </c>
      <c r="B9264">
        <v>461</v>
      </c>
      <c r="C9264" t="str">
        <f t="shared" si="2095"/>
        <v>36</v>
      </c>
      <c r="D9264">
        <v>6412</v>
      </c>
      <c r="E9264" t="str">
        <f>"7K"</f>
        <v>7K</v>
      </c>
      <c r="F9264" t="str">
        <f>"001"</f>
        <v>001</v>
      </c>
      <c r="G9264">
        <v>9</v>
      </c>
      <c r="H9264" t="str">
        <f>"99"</f>
        <v>99</v>
      </c>
      <c r="I9264" t="str">
        <f t="shared" si="2089"/>
        <v>0</v>
      </c>
      <c r="J9264" t="str">
        <f t="shared" si="2101"/>
        <v>00</v>
      </c>
      <c r="K9264">
        <v>20190111</v>
      </c>
      <c r="L9264" t="str">
        <f>"075156"</f>
        <v>075156</v>
      </c>
      <c r="M9264" t="str">
        <f>"09170"</f>
        <v>09170</v>
      </c>
      <c r="N9264" t="s">
        <v>679</v>
      </c>
      <c r="O9264">
        <v>218.96</v>
      </c>
      <c r="P9264">
        <v>20190109</v>
      </c>
      <c r="Q9264" t="s">
        <v>7082</v>
      </c>
      <c r="R9264" t="s">
        <v>2975</v>
      </c>
      <c r="S9264" t="s">
        <v>7000</v>
      </c>
      <c r="T9264" t="s">
        <v>301</v>
      </c>
    </row>
    <row r="9265" spans="1:20" x14ac:dyDescent="0.25">
      <c r="A9265">
        <v>9</v>
      </c>
      <c r="B9265">
        <v>461</v>
      </c>
      <c r="C9265" t="str">
        <f t="shared" si="2095"/>
        <v>36</v>
      </c>
      <c r="D9265">
        <v>6399</v>
      </c>
      <c r="E9265" t="str">
        <f>"3A"</f>
        <v>3A</v>
      </c>
      <c r="F9265" t="str">
        <f>"001"</f>
        <v>001</v>
      </c>
      <c r="G9265">
        <v>9</v>
      </c>
      <c r="H9265" t="str">
        <f>"91"</f>
        <v>91</v>
      </c>
      <c r="I9265" t="str">
        <f t="shared" si="2089"/>
        <v>0</v>
      </c>
      <c r="J9265" t="str">
        <f t="shared" si="2101"/>
        <v>00</v>
      </c>
      <c r="K9265">
        <v>20190111</v>
      </c>
      <c r="L9265" t="str">
        <f>"075158"</f>
        <v>075158</v>
      </c>
      <c r="M9265" t="str">
        <f>"10020"</f>
        <v>10020</v>
      </c>
      <c r="N9265" t="s">
        <v>594</v>
      </c>
      <c r="O9265">
        <v>456.97</v>
      </c>
      <c r="P9265">
        <v>20190109</v>
      </c>
      <c r="Q9265" t="s">
        <v>7175</v>
      </c>
      <c r="R9265" t="s">
        <v>7343</v>
      </c>
      <c r="S9265" t="s">
        <v>7000</v>
      </c>
      <c r="T9265" t="s">
        <v>301</v>
      </c>
    </row>
    <row r="9266" spans="1:20" x14ac:dyDescent="0.25">
      <c r="A9266">
        <v>9</v>
      </c>
      <c r="B9266">
        <v>461</v>
      </c>
      <c r="C9266" t="str">
        <f t="shared" si="2095"/>
        <v>36</v>
      </c>
      <c r="D9266">
        <v>6411</v>
      </c>
      <c r="E9266" t="str">
        <f>"49"</f>
        <v>49</v>
      </c>
      <c r="F9266" t="str">
        <f>"001"</f>
        <v>001</v>
      </c>
      <c r="G9266">
        <v>9</v>
      </c>
      <c r="H9266" t="str">
        <f>"91"</f>
        <v>91</v>
      </c>
      <c r="I9266" t="str">
        <f t="shared" si="2089"/>
        <v>0</v>
      </c>
      <c r="J9266" t="str">
        <f t="shared" si="2101"/>
        <v>00</v>
      </c>
      <c r="K9266">
        <v>20190111</v>
      </c>
      <c r="L9266" t="str">
        <f>"075159"</f>
        <v>075159</v>
      </c>
      <c r="M9266" t="str">
        <f>"00172"</f>
        <v>00172</v>
      </c>
      <c r="N9266" t="s">
        <v>7344</v>
      </c>
      <c r="O9266">
        <v>97.83</v>
      </c>
      <c r="P9266">
        <v>20190109</v>
      </c>
      <c r="Q9266" t="s">
        <v>7345</v>
      </c>
      <c r="R9266" t="s">
        <v>7346</v>
      </c>
      <c r="S9266" t="s">
        <v>7000</v>
      </c>
      <c r="T9266" t="s">
        <v>301</v>
      </c>
    </row>
    <row r="9267" spans="1:20" x14ac:dyDescent="0.25">
      <c r="A9267">
        <v>9</v>
      </c>
      <c r="B9267">
        <v>461</v>
      </c>
      <c r="C9267" t="str">
        <f t="shared" si="2095"/>
        <v>36</v>
      </c>
      <c r="D9267">
        <v>6399</v>
      </c>
      <c r="E9267" t="str">
        <f>"3B"</f>
        <v>3B</v>
      </c>
      <c r="F9267" t="str">
        <f>"041"</f>
        <v>041</v>
      </c>
      <c r="G9267">
        <v>9</v>
      </c>
      <c r="H9267" t="str">
        <f>"91"</f>
        <v>91</v>
      </c>
      <c r="I9267" t="str">
        <f t="shared" si="2089"/>
        <v>0</v>
      </c>
      <c r="J9267" t="str">
        <f t="shared" si="2101"/>
        <v>00</v>
      </c>
      <c r="K9267">
        <v>20190111</v>
      </c>
      <c r="L9267" t="str">
        <f>"075160"</f>
        <v>075160</v>
      </c>
      <c r="M9267" t="str">
        <f>"00420"</f>
        <v>00420</v>
      </c>
      <c r="N9267" t="s">
        <v>7020</v>
      </c>
      <c r="O9267">
        <v>169</v>
      </c>
      <c r="P9267">
        <v>20190109</v>
      </c>
      <c r="Q9267" t="s">
        <v>7213</v>
      </c>
      <c r="R9267" t="s">
        <v>7214</v>
      </c>
      <c r="S9267" t="s">
        <v>7000</v>
      </c>
      <c r="T9267" t="s">
        <v>106</v>
      </c>
    </row>
    <row r="9268" spans="1:20" x14ac:dyDescent="0.25">
      <c r="A9268">
        <v>9</v>
      </c>
      <c r="B9268">
        <v>461</v>
      </c>
      <c r="C9268" t="str">
        <f t="shared" si="2095"/>
        <v>36</v>
      </c>
      <c r="D9268">
        <v>6399</v>
      </c>
      <c r="E9268" t="str">
        <f>"3K"</f>
        <v>3K</v>
      </c>
      <c r="F9268" t="str">
        <f>"001"</f>
        <v>001</v>
      </c>
      <c r="G9268">
        <v>9</v>
      </c>
      <c r="H9268" t="str">
        <f>"91"</f>
        <v>91</v>
      </c>
      <c r="I9268" t="str">
        <f t="shared" si="2089"/>
        <v>0</v>
      </c>
      <c r="J9268" t="str">
        <f t="shared" si="2101"/>
        <v>00</v>
      </c>
      <c r="K9268">
        <v>20190111</v>
      </c>
      <c r="L9268" t="str">
        <f>"075160"</f>
        <v>075160</v>
      </c>
      <c r="M9268" t="str">
        <f>"00420"</f>
        <v>00420</v>
      </c>
      <c r="N9268" t="s">
        <v>7020</v>
      </c>
      <c r="O9268" s="1">
        <v>1650</v>
      </c>
      <c r="P9268">
        <v>20190109</v>
      </c>
      <c r="Q9268" t="s">
        <v>7284</v>
      </c>
      <c r="R9268" t="s">
        <v>7347</v>
      </c>
      <c r="S9268" t="s">
        <v>7000</v>
      </c>
      <c r="T9268" t="s">
        <v>301</v>
      </c>
    </row>
    <row r="9269" spans="1:20" x14ac:dyDescent="0.25">
      <c r="A9269">
        <v>9</v>
      </c>
      <c r="B9269">
        <v>461</v>
      </c>
      <c r="C9269" t="str">
        <f t="shared" si="2095"/>
        <v>36</v>
      </c>
      <c r="D9269">
        <v>6399</v>
      </c>
      <c r="E9269" t="str">
        <f>"3M"</f>
        <v>3M</v>
      </c>
      <c r="F9269" t="str">
        <f>"001"</f>
        <v>001</v>
      </c>
      <c r="G9269">
        <v>9</v>
      </c>
      <c r="H9269" t="str">
        <f>"91"</f>
        <v>91</v>
      </c>
      <c r="I9269" t="str">
        <f>"1"</f>
        <v>1</v>
      </c>
      <c r="J9269" t="str">
        <f t="shared" si="2101"/>
        <v>00</v>
      </c>
      <c r="K9269">
        <v>20190111</v>
      </c>
      <c r="L9269" t="str">
        <f>"075160"</f>
        <v>075160</v>
      </c>
      <c r="M9269" t="str">
        <f>"00420"</f>
        <v>00420</v>
      </c>
      <c r="N9269" t="s">
        <v>7020</v>
      </c>
      <c r="O9269" s="1">
        <v>1333.23</v>
      </c>
      <c r="P9269">
        <v>20190109</v>
      </c>
      <c r="Q9269" t="s">
        <v>7348</v>
      </c>
      <c r="R9269" t="s">
        <v>7349</v>
      </c>
      <c r="S9269" t="s">
        <v>7000</v>
      </c>
      <c r="T9269" t="s">
        <v>301</v>
      </c>
    </row>
    <row r="9270" spans="1:20" x14ac:dyDescent="0.25">
      <c r="A9270">
        <v>9</v>
      </c>
      <c r="B9270">
        <v>461</v>
      </c>
      <c r="C9270" t="str">
        <f t="shared" si="2095"/>
        <v>36</v>
      </c>
      <c r="D9270">
        <v>6399</v>
      </c>
      <c r="E9270" t="str">
        <f>"PR"</f>
        <v>PR</v>
      </c>
      <c r="F9270" t="str">
        <f>"104"</f>
        <v>104</v>
      </c>
      <c r="G9270">
        <v>9</v>
      </c>
      <c r="H9270" t="str">
        <f>"99"</f>
        <v>99</v>
      </c>
      <c r="I9270" t="str">
        <f t="shared" ref="I9270:I9301" si="2103">"0"</f>
        <v>0</v>
      </c>
      <c r="J9270" t="str">
        <f t="shared" si="2101"/>
        <v>00</v>
      </c>
      <c r="K9270">
        <v>20190111</v>
      </c>
      <c r="L9270" t="str">
        <f>"075163"</f>
        <v>075163</v>
      </c>
      <c r="M9270" t="str">
        <f>"00048"</f>
        <v>00048</v>
      </c>
      <c r="N9270" t="s">
        <v>7350</v>
      </c>
      <c r="O9270">
        <v>967.4</v>
      </c>
      <c r="P9270">
        <v>20190109</v>
      </c>
      <c r="Q9270" t="s">
        <v>7014</v>
      </c>
      <c r="R9270" t="s">
        <v>7351</v>
      </c>
      <c r="S9270" t="s">
        <v>7000</v>
      </c>
      <c r="T9270" t="s">
        <v>46</v>
      </c>
    </row>
    <row r="9271" spans="1:20" x14ac:dyDescent="0.25">
      <c r="A9271">
        <v>9</v>
      </c>
      <c r="B9271">
        <v>461</v>
      </c>
      <c r="C9271" t="str">
        <f t="shared" si="2095"/>
        <v>36</v>
      </c>
      <c r="D9271">
        <v>6399</v>
      </c>
      <c r="E9271" t="str">
        <f>"3D"</f>
        <v>3D</v>
      </c>
      <c r="F9271" t="str">
        <f>"041"</f>
        <v>041</v>
      </c>
      <c r="G9271">
        <v>9</v>
      </c>
      <c r="H9271" t="str">
        <f>"91"</f>
        <v>91</v>
      </c>
      <c r="I9271" t="str">
        <f t="shared" si="2103"/>
        <v>0</v>
      </c>
      <c r="J9271" t="str">
        <f t="shared" si="2101"/>
        <v>00</v>
      </c>
      <c r="K9271">
        <v>20190111</v>
      </c>
      <c r="L9271" t="str">
        <f>"075164"</f>
        <v>075164</v>
      </c>
      <c r="M9271" t="str">
        <f>"08788"</f>
        <v>08788</v>
      </c>
      <c r="N9271" t="s">
        <v>473</v>
      </c>
      <c r="O9271">
        <v>765.82</v>
      </c>
      <c r="P9271">
        <v>20190109</v>
      </c>
      <c r="Q9271" t="s">
        <v>7093</v>
      </c>
      <c r="R9271" t="s">
        <v>835</v>
      </c>
      <c r="S9271" t="s">
        <v>7000</v>
      </c>
      <c r="T9271" t="s">
        <v>106</v>
      </c>
    </row>
    <row r="9272" spans="1:20" x14ac:dyDescent="0.25">
      <c r="A9272">
        <v>9</v>
      </c>
      <c r="B9272">
        <v>461</v>
      </c>
      <c r="C9272" t="str">
        <f t="shared" si="2095"/>
        <v>36</v>
      </c>
      <c r="D9272">
        <v>6219</v>
      </c>
      <c r="E9272" t="str">
        <f>"3S"</f>
        <v>3S</v>
      </c>
      <c r="F9272" t="str">
        <f>"001"</f>
        <v>001</v>
      </c>
      <c r="G9272">
        <v>9</v>
      </c>
      <c r="H9272" t="str">
        <f>"91"</f>
        <v>91</v>
      </c>
      <c r="I9272" t="str">
        <f t="shared" si="2103"/>
        <v>0</v>
      </c>
      <c r="J9272" t="str">
        <f t="shared" si="2101"/>
        <v>00</v>
      </c>
      <c r="K9272">
        <v>20190111</v>
      </c>
      <c r="L9272" t="str">
        <f>"075168"</f>
        <v>075168</v>
      </c>
      <c r="M9272" t="str">
        <f>"00677"</f>
        <v>00677</v>
      </c>
      <c r="N9272" t="s">
        <v>7352</v>
      </c>
      <c r="O9272">
        <v>40</v>
      </c>
      <c r="P9272">
        <v>20190109</v>
      </c>
      <c r="Q9272" t="s">
        <v>7353</v>
      </c>
      <c r="R9272" t="s">
        <v>7354</v>
      </c>
      <c r="S9272" t="s">
        <v>7000</v>
      </c>
      <c r="T9272" t="s">
        <v>301</v>
      </c>
    </row>
    <row r="9273" spans="1:20" x14ac:dyDescent="0.25">
      <c r="A9273">
        <v>9</v>
      </c>
      <c r="B9273">
        <v>461</v>
      </c>
      <c r="C9273" t="str">
        <f t="shared" si="2095"/>
        <v>36</v>
      </c>
      <c r="D9273">
        <v>6219</v>
      </c>
      <c r="E9273" t="str">
        <f>"3S"</f>
        <v>3S</v>
      </c>
      <c r="F9273" t="str">
        <f>"001"</f>
        <v>001</v>
      </c>
      <c r="G9273">
        <v>9</v>
      </c>
      <c r="H9273" t="str">
        <f>"91"</f>
        <v>91</v>
      </c>
      <c r="I9273" t="str">
        <f t="shared" si="2103"/>
        <v>0</v>
      </c>
      <c r="J9273" t="str">
        <f t="shared" si="2101"/>
        <v>00</v>
      </c>
      <c r="K9273">
        <v>20190111</v>
      </c>
      <c r="L9273" t="str">
        <f>"075171"</f>
        <v>075171</v>
      </c>
      <c r="M9273" t="str">
        <f>"00187"</f>
        <v>00187</v>
      </c>
      <c r="N9273" t="s">
        <v>608</v>
      </c>
      <c r="O9273">
        <v>40</v>
      </c>
      <c r="P9273">
        <v>20190109</v>
      </c>
      <c r="Q9273" t="s">
        <v>7353</v>
      </c>
      <c r="R9273" t="s">
        <v>7354</v>
      </c>
      <c r="S9273" t="s">
        <v>7000</v>
      </c>
      <c r="T9273" t="s">
        <v>301</v>
      </c>
    </row>
    <row r="9274" spans="1:20" x14ac:dyDescent="0.25">
      <c r="A9274">
        <v>9</v>
      </c>
      <c r="B9274">
        <v>461</v>
      </c>
      <c r="C9274" t="str">
        <f t="shared" si="2095"/>
        <v>36</v>
      </c>
      <c r="D9274">
        <v>6399</v>
      </c>
      <c r="E9274" t="str">
        <f>"7B"</f>
        <v>7B</v>
      </c>
      <c r="F9274" t="str">
        <f>"001"</f>
        <v>001</v>
      </c>
      <c r="G9274">
        <v>9</v>
      </c>
      <c r="H9274" t="str">
        <f>"99"</f>
        <v>99</v>
      </c>
      <c r="I9274" t="str">
        <f t="shared" si="2103"/>
        <v>0</v>
      </c>
      <c r="J9274" t="str">
        <f t="shared" si="2101"/>
        <v>00</v>
      </c>
      <c r="K9274">
        <v>20190111</v>
      </c>
      <c r="L9274" t="str">
        <f>"075174"</f>
        <v>075174</v>
      </c>
      <c r="M9274" t="str">
        <f>"20416"</f>
        <v>20416</v>
      </c>
      <c r="N9274" t="s">
        <v>1693</v>
      </c>
      <c r="O9274">
        <v>50</v>
      </c>
      <c r="P9274">
        <v>20190109</v>
      </c>
      <c r="Q9274" t="s">
        <v>7042</v>
      </c>
      <c r="R9274" t="s">
        <v>1659</v>
      </c>
      <c r="S9274" t="s">
        <v>7000</v>
      </c>
      <c r="T9274" t="s">
        <v>301</v>
      </c>
    </row>
    <row r="9275" spans="1:20" x14ac:dyDescent="0.25">
      <c r="A9275">
        <v>9</v>
      </c>
      <c r="B9275">
        <v>461</v>
      </c>
      <c r="C9275" t="str">
        <f t="shared" si="2095"/>
        <v>36</v>
      </c>
      <c r="D9275">
        <v>6412</v>
      </c>
      <c r="E9275" t="str">
        <f>"3D"</f>
        <v>3D</v>
      </c>
      <c r="F9275" t="str">
        <f>"041"</f>
        <v>041</v>
      </c>
      <c r="G9275">
        <v>9</v>
      </c>
      <c r="H9275" t="str">
        <f>"91"</f>
        <v>91</v>
      </c>
      <c r="I9275" t="str">
        <f t="shared" si="2103"/>
        <v>0</v>
      </c>
      <c r="J9275" t="str">
        <f t="shared" si="2101"/>
        <v>00</v>
      </c>
      <c r="K9275">
        <v>20190111</v>
      </c>
      <c r="L9275" t="str">
        <f>"075178"</f>
        <v>075178</v>
      </c>
      <c r="M9275" t="str">
        <f>"22132"</f>
        <v>22132</v>
      </c>
      <c r="N9275" t="s">
        <v>775</v>
      </c>
      <c r="O9275">
        <v>200</v>
      </c>
      <c r="P9275">
        <v>20190109</v>
      </c>
      <c r="Q9275" t="s">
        <v>7224</v>
      </c>
      <c r="R9275" t="s">
        <v>7355</v>
      </c>
      <c r="S9275" t="s">
        <v>7000</v>
      </c>
      <c r="T9275" t="s">
        <v>106</v>
      </c>
    </row>
    <row r="9276" spans="1:20" x14ac:dyDescent="0.25">
      <c r="A9276">
        <v>9</v>
      </c>
      <c r="B9276">
        <v>461</v>
      </c>
      <c r="C9276" t="str">
        <f t="shared" si="2095"/>
        <v>36</v>
      </c>
      <c r="D9276">
        <v>6399</v>
      </c>
      <c r="E9276" t="str">
        <f>"25"</f>
        <v>25</v>
      </c>
      <c r="F9276" t="str">
        <f>"104"</f>
        <v>104</v>
      </c>
      <c r="G9276">
        <v>9</v>
      </c>
      <c r="H9276" t="str">
        <f>"99"</f>
        <v>99</v>
      </c>
      <c r="I9276" t="str">
        <f t="shared" si="2103"/>
        <v>0</v>
      </c>
      <c r="J9276" t="str">
        <f t="shared" si="2101"/>
        <v>00</v>
      </c>
      <c r="K9276">
        <v>20190111</v>
      </c>
      <c r="L9276" t="str">
        <f>"075179"</f>
        <v>075179</v>
      </c>
      <c r="M9276" t="str">
        <f>"00636"</f>
        <v>00636</v>
      </c>
      <c r="N9276" t="s">
        <v>7292</v>
      </c>
      <c r="O9276">
        <v>527</v>
      </c>
      <c r="P9276">
        <v>20190109</v>
      </c>
      <c r="Q9276" t="s">
        <v>7356</v>
      </c>
      <c r="R9276" t="s">
        <v>7357</v>
      </c>
      <c r="S9276" t="s">
        <v>7000</v>
      </c>
      <c r="T9276" t="s">
        <v>46</v>
      </c>
    </row>
    <row r="9277" spans="1:20" x14ac:dyDescent="0.25">
      <c r="A9277">
        <v>9</v>
      </c>
      <c r="B9277">
        <v>461</v>
      </c>
      <c r="C9277" t="str">
        <f t="shared" si="2095"/>
        <v>36</v>
      </c>
      <c r="D9277">
        <v>6299</v>
      </c>
      <c r="E9277" t="str">
        <f>"7K"</f>
        <v>7K</v>
      </c>
      <c r="F9277" t="str">
        <f t="shared" ref="F9277:F9287" si="2104">"001"</f>
        <v>001</v>
      </c>
      <c r="G9277">
        <v>9</v>
      </c>
      <c r="H9277" t="str">
        <f>"99"</f>
        <v>99</v>
      </c>
      <c r="I9277" t="str">
        <f t="shared" si="2103"/>
        <v>0</v>
      </c>
      <c r="J9277" t="str">
        <f t="shared" si="2101"/>
        <v>00</v>
      </c>
      <c r="K9277">
        <v>20190111</v>
      </c>
      <c r="L9277" t="str">
        <f>"075180"</f>
        <v>075180</v>
      </c>
      <c r="M9277" t="str">
        <f>"00629"</f>
        <v>00629</v>
      </c>
      <c r="N9277" t="s">
        <v>7271</v>
      </c>
      <c r="O9277">
        <v>340</v>
      </c>
      <c r="P9277">
        <v>20190109</v>
      </c>
      <c r="Q9277" t="s">
        <v>7205</v>
      </c>
      <c r="R9277" t="s">
        <v>2975</v>
      </c>
      <c r="S9277" t="s">
        <v>7000</v>
      </c>
      <c r="T9277" t="s">
        <v>301</v>
      </c>
    </row>
    <row r="9278" spans="1:20" x14ac:dyDescent="0.25">
      <c r="A9278">
        <v>9</v>
      </c>
      <c r="B9278">
        <v>461</v>
      </c>
      <c r="C9278" t="str">
        <f t="shared" si="2095"/>
        <v>36</v>
      </c>
      <c r="D9278">
        <v>6399</v>
      </c>
      <c r="E9278" t="str">
        <f t="shared" ref="E9278:E9287" si="2105">"3B"</f>
        <v>3B</v>
      </c>
      <c r="F9278" t="str">
        <f t="shared" si="2104"/>
        <v>001</v>
      </c>
      <c r="G9278">
        <v>9</v>
      </c>
      <c r="H9278" t="str">
        <f t="shared" ref="H9278:H9287" si="2106">"91"</f>
        <v>91</v>
      </c>
      <c r="I9278" t="str">
        <f t="shared" si="2103"/>
        <v>0</v>
      </c>
      <c r="J9278" t="str">
        <f t="shared" si="2101"/>
        <v>00</v>
      </c>
      <c r="K9278">
        <v>20190111</v>
      </c>
      <c r="L9278" t="str">
        <f>"075183"</f>
        <v>075183</v>
      </c>
      <c r="M9278" t="str">
        <f>"27135"</f>
        <v>27135</v>
      </c>
      <c r="N9278" t="s">
        <v>521</v>
      </c>
      <c r="O9278">
        <v>186.9</v>
      </c>
      <c r="P9278">
        <v>20190110</v>
      </c>
      <c r="Q9278" t="s">
        <v>7024</v>
      </c>
      <c r="R9278" t="s">
        <v>7358</v>
      </c>
      <c r="S9278" t="s">
        <v>7000</v>
      </c>
      <c r="T9278" t="s">
        <v>301</v>
      </c>
    </row>
    <row r="9279" spans="1:20" x14ac:dyDescent="0.25">
      <c r="A9279">
        <v>9</v>
      </c>
      <c r="B9279">
        <v>461</v>
      </c>
      <c r="C9279" t="str">
        <f t="shared" si="2095"/>
        <v>36</v>
      </c>
      <c r="D9279">
        <v>6412</v>
      </c>
      <c r="E9279" t="str">
        <f t="shared" si="2105"/>
        <v>3B</v>
      </c>
      <c r="F9279" t="str">
        <f t="shared" si="2104"/>
        <v>001</v>
      </c>
      <c r="G9279">
        <v>9</v>
      </c>
      <c r="H9279" t="str">
        <f t="shared" si="2106"/>
        <v>91</v>
      </c>
      <c r="I9279" t="str">
        <f t="shared" si="2103"/>
        <v>0</v>
      </c>
      <c r="J9279" t="str">
        <f t="shared" si="2101"/>
        <v>00</v>
      </c>
      <c r="K9279">
        <v>20190111</v>
      </c>
      <c r="L9279" t="str">
        <f>"075184"</f>
        <v>075184</v>
      </c>
      <c r="M9279" t="str">
        <f>"28680"</f>
        <v>28680</v>
      </c>
      <c r="N9279" t="s">
        <v>482</v>
      </c>
      <c r="O9279">
        <v>413.55</v>
      </c>
      <c r="P9279">
        <v>20190109</v>
      </c>
      <c r="Q9279" t="s">
        <v>7178</v>
      </c>
      <c r="R9279" t="s">
        <v>7179</v>
      </c>
      <c r="S9279" t="s">
        <v>7000</v>
      </c>
      <c r="T9279" t="s">
        <v>301</v>
      </c>
    </row>
    <row r="9280" spans="1:20" x14ac:dyDescent="0.25">
      <c r="A9280">
        <v>9</v>
      </c>
      <c r="B9280">
        <v>461</v>
      </c>
      <c r="C9280" t="str">
        <f t="shared" si="2095"/>
        <v>36</v>
      </c>
      <c r="D9280">
        <v>6412</v>
      </c>
      <c r="E9280" t="str">
        <f t="shared" si="2105"/>
        <v>3B</v>
      </c>
      <c r="F9280" t="str">
        <f t="shared" si="2104"/>
        <v>001</v>
      </c>
      <c r="G9280">
        <v>9</v>
      </c>
      <c r="H9280" t="str">
        <f t="shared" si="2106"/>
        <v>91</v>
      </c>
      <c r="I9280" t="str">
        <f t="shared" si="2103"/>
        <v>0</v>
      </c>
      <c r="J9280" t="str">
        <f t="shared" si="2101"/>
        <v>00</v>
      </c>
      <c r="K9280">
        <v>20190111</v>
      </c>
      <c r="L9280" t="str">
        <f>"075184"</f>
        <v>075184</v>
      </c>
      <c r="M9280" t="str">
        <f>"28680"</f>
        <v>28680</v>
      </c>
      <c r="N9280" t="s">
        <v>482</v>
      </c>
      <c r="O9280">
        <v>413.55</v>
      </c>
      <c r="P9280">
        <v>20190109</v>
      </c>
      <c r="Q9280" t="s">
        <v>7178</v>
      </c>
      <c r="R9280" t="s">
        <v>7179</v>
      </c>
      <c r="S9280" t="s">
        <v>7000</v>
      </c>
      <c r="T9280" t="s">
        <v>301</v>
      </c>
    </row>
    <row r="9281" spans="1:20" x14ac:dyDescent="0.25">
      <c r="A9281">
        <v>9</v>
      </c>
      <c r="B9281">
        <v>461</v>
      </c>
      <c r="C9281" t="str">
        <f t="shared" si="2095"/>
        <v>36</v>
      </c>
      <c r="D9281">
        <v>6412</v>
      </c>
      <c r="E9281" t="str">
        <f t="shared" si="2105"/>
        <v>3B</v>
      </c>
      <c r="F9281" t="str">
        <f t="shared" si="2104"/>
        <v>001</v>
      </c>
      <c r="G9281">
        <v>9</v>
      </c>
      <c r="H9281" t="str">
        <f t="shared" si="2106"/>
        <v>91</v>
      </c>
      <c r="I9281" t="str">
        <f t="shared" si="2103"/>
        <v>0</v>
      </c>
      <c r="J9281" t="str">
        <f t="shared" ref="J9281:J9289" si="2107">"00"</f>
        <v>00</v>
      </c>
      <c r="K9281">
        <v>20190111</v>
      </c>
      <c r="L9281" t="str">
        <f>"075184"</f>
        <v>075184</v>
      </c>
      <c r="M9281" t="str">
        <f>"28680"</f>
        <v>28680</v>
      </c>
      <c r="N9281" t="s">
        <v>482</v>
      </c>
      <c r="O9281">
        <v>413.55</v>
      </c>
      <c r="P9281">
        <v>20190109</v>
      </c>
      <c r="Q9281" t="s">
        <v>7178</v>
      </c>
      <c r="R9281" t="s">
        <v>7179</v>
      </c>
      <c r="S9281" t="s">
        <v>7000</v>
      </c>
      <c r="T9281" t="s">
        <v>301</v>
      </c>
    </row>
    <row r="9282" spans="1:20" x14ac:dyDescent="0.25">
      <c r="A9282">
        <v>9</v>
      </c>
      <c r="B9282">
        <v>461</v>
      </c>
      <c r="C9282" t="str">
        <f t="shared" si="2095"/>
        <v>36</v>
      </c>
      <c r="D9282">
        <v>6412</v>
      </c>
      <c r="E9282" t="str">
        <f t="shared" si="2105"/>
        <v>3B</v>
      </c>
      <c r="F9282" t="str">
        <f t="shared" si="2104"/>
        <v>001</v>
      </c>
      <c r="G9282">
        <v>9</v>
      </c>
      <c r="H9282" t="str">
        <f t="shared" si="2106"/>
        <v>91</v>
      </c>
      <c r="I9282" t="str">
        <f t="shared" si="2103"/>
        <v>0</v>
      </c>
      <c r="J9282" t="str">
        <f t="shared" si="2107"/>
        <v>00</v>
      </c>
      <c r="K9282">
        <v>20190111</v>
      </c>
      <c r="L9282" t="str">
        <f t="shared" ref="L9282:L9287" si="2108">"075194"</f>
        <v>075194</v>
      </c>
      <c r="M9282" t="str">
        <f t="shared" ref="M9282:M9287" si="2109">"30744"</f>
        <v>30744</v>
      </c>
      <c r="N9282" t="s">
        <v>422</v>
      </c>
      <c r="O9282">
        <v>40.74</v>
      </c>
      <c r="P9282">
        <v>20190109</v>
      </c>
      <c r="Q9282" t="s">
        <v>7178</v>
      </c>
      <c r="R9282" t="s">
        <v>7179</v>
      </c>
      <c r="S9282" t="s">
        <v>7000</v>
      </c>
      <c r="T9282" t="s">
        <v>301</v>
      </c>
    </row>
    <row r="9283" spans="1:20" x14ac:dyDescent="0.25">
      <c r="A9283">
        <v>9</v>
      </c>
      <c r="B9283">
        <v>461</v>
      </c>
      <c r="C9283" t="str">
        <f t="shared" si="2095"/>
        <v>36</v>
      </c>
      <c r="D9283">
        <v>6412</v>
      </c>
      <c r="E9283" t="str">
        <f t="shared" si="2105"/>
        <v>3B</v>
      </c>
      <c r="F9283" t="str">
        <f t="shared" si="2104"/>
        <v>001</v>
      </c>
      <c r="G9283">
        <v>9</v>
      </c>
      <c r="H9283" t="str">
        <f t="shared" si="2106"/>
        <v>91</v>
      </c>
      <c r="I9283" t="str">
        <f t="shared" si="2103"/>
        <v>0</v>
      </c>
      <c r="J9283" t="str">
        <f t="shared" si="2107"/>
        <v>00</v>
      </c>
      <c r="K9283">
        <v>20190111</v>
      </c>
      <c r="L9283" t="str">
        <f t="shared" si="2108"/>
        <v>075194</v>
      </c>
      <c r="M9283" t="str">
        <f t="shared" si="2109"/>
        <v>30744</v>
      </c>
      <c r="N9283" t="s">
        <v>422</v>
      </c>
      <c r="O9283">
        <v>52.08</v>
      </c>
      <c r="P9283">
        <v>20190109</v>
      </c>
      <c r="Q9283" t="s">
        <v>7178</v>
      </c>
      <c r="R9283" t="s">
        <v>7179</v>
      </c>
      <c r="S9283" t="s">
        <v>7000</v>
      </c>
      <c r="T9283" t="s">
        <v>301</v>
      </c>
    </row>
    <row r="9284" spans="1:20" x14ac:dyDescent="0.25">
      <c r="A9284">
        <v>9</v>
      </c>
      <c r="B9284">
        <v>461</v>
      </c>
      <c r="C9284" t="str">
        <f t="shared" si="2095"/>
        <v>36</v>
      </c>
      <c r="D9284">
        <v>6412</v>
      </c>
      <c r="E9284" t="str">
        <f t="shared" si="2105"/>
        <v>3B</v>
      </c>
      <c r="F9284" t="str">
        <f t="shared" si="2104"/>
        <v>001</v>
      </c>
      <c r="G9284">
        <v>9</v>
      </c>
      <c r="H9284" t="str">
        <f t="shared" si="2106"/>
        <v>91</v>
      </c>
      <c r="I9284" t="str">
        <f t="shared" si="2103"/>
        <v>0</v>
      </c>
      <c r="J9284" t="str">
        <f t="shared" si="2107"/>
        <v>00</v>
      </c>
      <c r="K9284">
        <v>20190111</v>
      </c>
      <c r="L9284" t="str">
        <f t="shared" si="2108"/>
        <v>075194</v>
      </c>
      <c r="M9284" t="str">
        <f t="shared" si="2109"/>
        <v>30744</v>
      </c>
      <c r="N9284" t="s">
        <v>422</v>
      </c>
      <c r="O9284">
        <v>46.46</v>
      </c>
      <c r="P9284">
        <v>20190109</v>
      </c>
      <c r="Q9284" t="s">
        <v>7178</v>
      </c>
      <c r="R9284" t="s">
        <v>7179</v>
      </c>
      <c r="S9284" t="s">
        <v>7000</v>
      </c>
      <c r="T9284" t="s">
        <v>301</v>
      </c>
    </row>
    <row r="9285" spans="1:20" x14ac:dyDescent="0.25">
      <c r="A9285">
        <v>9</v>
      </c>
      <c r="B9285">
        <v>461</v>
      </c>
      <c r="C9285" t="str">
        <f t="shared" si="2095"/>
        <v>36</v>
      </c>
      <c r="D9285">
        <v>6412</v>
      </c>
      <c r="E9285" t="str">
        <f t="shared" si="2105"/>
        <v>3B</v>
      </c>
      <c r="F9285" t="str">
        <f t="shared" si="2104"/>
        <v>001</v>
      </c>
      <c r="G9285">
        <v>9</v>
      </c>
      <c r="H9285" t="str">
        <f t="shared" si="2106"/>
        <v>91</v>
      </c>
      <c r="I9285" t="str">
        <f t="shared" si="2103"/>
        <v>0</v>
      </c>
      <c r="J9285" t="str">
        <f t="shared" si="2107"/>
        <v>00</v>
      </c>
      <c r="K9285">
        <v>20190111</v>
      </c>
      <c r="L9285" t="str">
        <f t="shared" si="2108"/>
        <v>075194</v>
      </c>
      <c r="M9285" t="str">
        <f t="shared" si="2109"/>
        <v>30744</v>
      </c>
      <c r="N9285" t="s">
        <v>422</v>
      </c>
      <c r="O9285">
        <v>22.32</v>
      </c>
      <c r="P9285">
        <v>20190109</v>
      </c>
      <c r="Q9285" t="s">
        <v>7178</v>
      </c>
      <c r="R9285" t="s">
        <v>7179</v>
      </c>
      <c r="S9285" t="s">
        <v>7000</v>
      </c>
      <c r="T9285" t="s">
        <v>301</v>
      </c>
    </row>
    <row r="9286" spans="1:20" x14ac:dyDescent="0.25">
      <c r="A9286">
        <v>9</v>
      </c>
      <c r="B9286">
        <v>461</v>
      </c>
      <c r="C9286" t="str">
        <f t="shared" si="2095"/>
        <v>36</v>
      </c>
      <c r="D9286">
        <v>6412</v>
      </c>
      <c r="E9286" t="str">
        <f t="shared" si="2105"/>
        <v>3B</v>
      </c>
      <c r="F9286" t="str">
        <f t="shared" si="2104"/>
        <v>001</v>
      </c>
      <c r="G9286">
        <v>9</v>
      </c>
      <c r="H9286" t="str">
        <f t="shared" si="2106"/>
        <v>91</v>
      </c>
      <c r="I9286" t="str">
        <f t="shared" si="2103"/>
        <v>0</v>
      </c>
      <c r="J9286" t="str">
        <f t="shared" si="2107"/>
        <v>00</v>
      </c>
      <c r="K9286">
        <v>20190111</v>
      </c>
      <c r="L9286" t="str">
        <f t="shared" si="2108"/>
        <v>075194</v>
      </c>
      <c r="M9286" t="str">
        <f t="shared" si="2109"/>
        <v>30744</v>
      </c>
      <c r="N9286" t="s">
        <v>422</v>
      </c>
      <c r="O9286">
        <v>24.15</v>
      </c>
      <c r="P9286">
        <v>20190109</v>
      </c>
      <c r="Q9286" t="s">
        <v>7178</v>
      </c>
      <c r="R9286" t="s">
        <v>7179</v>
      </c>
      <c r="S9286" t="s">
        <v>7000</v>
      </c>
      <c r="T9286" t="s">
        <v>301</v>
      </c>
    </row>
    <row r="9287" spans="1:20" x14ac:dyDescent="0.25">
      <c r="A9287">
        <v>9</v>
      </c>
      <c r="B9287">
        <v>461</v>
      </c>
      <c r="C9287" t="str">
        <f t="shared" si="2095"/>
        <v>36</v>
      </c>
      <c r="D9287">
        <v>6412</v>
      </c>
      <c r="E9287" t="str">
        <f t="shared" si="2105"/>
        <v>3B</v>
      </c>
      <c r="F9287" t="str">
        <f t="shared" si="2104"/>
        <v>001</v>
      </c>
      <c r="G9287">
        <v>9</v>
      </c>
      <c r="H9287" t="str">
        <f t="shared" si="2106"/>
        <v>91</v>
      </c>
      <c r="I9287" t="str">
        <f t="shared" si="2103"/>
        <v>0</v>
      </c>
      <c r="J9287" t="str">
        <f t="shared" si="2107"/>
        <v>00</v>
      </c>
      <c r="K9287">
        <v>20190111</v>
      </c>
      <c r="L9287" t="str">
        <f t="shared" si="2108"/>
        <v>075194</v>
      </c>
      <c r="M9287" t="str">
        <f t="shared" si="2109"/>
        <v>30744</v>
      </c>
      <c r="N9287" t="s">
        <v>422</v>
      </c>
      <c r="O9287">
        <v>23.64</v>
      </c>
      <c r="P9287">
        <v>20190109</v>
      </c>
      <c r="Q9287" t="s">
        <v>7178</v>
      </c>
      <c r="R9287" t="s">
        <v>7179</v>
      </c>
      <c r="S9287" t="s">
        <v>7000</v>
      </c>
      <c r="T9287" t="s">
        <v>301</v>
      </c>
    </row>
    <row r="9288" spans="1:20" x14ac:dyDescent="0.25">
      <c r="A9288">
        <v>9</v>
      </c>
      <c r="B9288">
        <v>461</v>
      </c>
      <c r="C9288" t="str">
        <f t="shared" si="2095"/>
        <v>36</v>
      </c>
      <c r="D9288">
        <v>6399</v>
      </c>
      <c r="E9288" t="str">
        <f>"61"</f>
        <v>61</v>
      </c>
      <c r="F9288" t="str">
        <f>"101"</f>
        <v>101</v>
      </c>
      <c r="G9288">
        <v>9</v>
      </c>
      <c r="H9288" t="str">
        <f>"99"</f>
        <v>99</v>
      </c>
      <c r="I9288" t="str">
        <f t="shared" si="2103"/>
        <v>0</v>
      </c>
      <c r="J9288" t="str">
        <f t="shared" si="2107"/>
        <v>00</v>
      </c>
      <c r="K9288">
        <v>20190111</v>
      </c>
      <c r="L9288" t="str">
        <f>"075197"</f>
        <v>075197</v>
      </c>
      <c r="M9288" t="str">
        <f>"31319"</f>
        <v>31319</v>
      </c>
      <c r="N9288" t="s">
        <v>7359</v>
      </c>
      <c r="O9288">
        <v>783.75</v>
      </c>
      <c r="P9288">
        <v>20190109</v>
      </c>
      <c r="Q9288" t="s">
        <v>7007</v>
      </c>
      <c r="R9288" t="s">
        <v>7360</v>
      </c>
      <c r="S9288" t="s">
        <v>7000</v>
      </c>
      <c r="T9288" t="s">
        <v>1479</v>
      </c>
    </row>
    <row r="9289" spans="1:20" x14ac:dyDescent="0.25">
      <c r="A9289">
        <v>9</v>
      </c>
      <c r="B9289">
        <v>461</v>
      </c>
      <c r="C9289" t="str">
        <f t="shared" si="2095"/>
        <v>36</v>
      </c>
      <c r="D9289">
        <v>6399</v>
      </c>
      <c r="E9289" t="str">
        <f>"05"</f>
        <v>05</v>
      </c>
      <c r="F9289" t="str">
        <f>"104"</f>
        <v>104</v>
      </c>
      <c r="G9289">
        <v>9</v>
      </c>
      <c r="H9289" t="str">
        <f>"99"</f>
        <v>99</v>
      </c>
      <c r="I9289" t="str">
        <f t="shared" si="2103"/>
        <v>0</v>
      </c>
      <c r="J9289" t="str">
        <f t="shared" si="2107"/>
        <v>00</v>
      </c>
      <c r="K9289">
        <v>20190111</v>
      </c>
      <c r="L9289" t="str">
        <f>"075198"</f>
        <v>075198</v>
      </c>
      <c r="M9289" t="str">
        <f>"31345"</f>
        <v>31345</v>
      </c>
      <c r="N9289" t="s">
        <v>1394</v>
      </c>
      <c r="O9289" s="1">
        <v>1487.5</v>
      </c>
      <c r="P9289">
        <v>20190109</v>
      </c>
      <c r="Q9289" t="s">
        <v>7310</v>
      </c>
      <c r="R9289" t="s">
        <v>7151</v>
      </c>
      <c r="S9289" t="s">
        <v>7000</v>
      </c>
      <c r="T9289" t="s">
        <v>46</v>
      </c>
    </row>
    <row r="9290" spans="1:20" x14ac:dyDescent="0.25">
      <c r="A9290">
        <v>9</v>
      </c>
      <c r="B9290">
        <v>461</v>
      </c>
      <c r="C9290" t="str">
        <f t="shared" si="2095"/>
        <v>36</v>
      </c>
      <c r="D9290">
        <v>6399</v>
      </c>
      <c r="E9290" t="str">
        <f>"00"</f>
        <v>00</v>
      </c>
      <c r="F9290" t="str">
        <f>"942"</f>
        <v>942</v>
      </c>
      <c r="G9290">
        <v>9</v>
      </c>
      <c r="H9290" t="str">
        <f>"99"</f>
        <v>99</v>
      </c>
      <c r="I9290" t="str">
        <f t="shared" si="2103"/>
        <v>0</v>
      </c>
      <c r="J9290" t="str">
        <f>"88"</f>
        <v>88</v>
      </c>
      <c r="K9290">
        <v>20190111</v>
      </c>
      <c r="L9290" t="str">
        <f>"075207"</f>
        <v>075207</v>
      </c>
      <c r="M9290" t="str">
        <f>"37897"</f>
        <v>37897</v>
      </c>
      <c r="N9290" t="s">
        <v>3392</v>
      </c>
      <c r="O9290">
        <v>100</v>
      </c>
      <c r="P9290">
        <v>20190109</v>
      </c>
      <c r="Q9290" t="s">
        <v>7018</v>
      </c>
      <c r="R9290" t="s">
        <v>3394</v>
      </c>
      <c r="S9290" t="s">
        <v>7000</v>
      </c>
      <c r="T9290" t="s">
        <v>1831</v>
      </c>
    </row>
    <row r="9291" spans="1:20" x14ac:dyDescent="0.25">
      <c r="A9291">
        <v>9</v>
      </c>
      <c r="B9291">
        <v>461</v>
      </c>
      <c r="C9291" t="str">
        <f t="shared" si="2095"/>
        <v>36</v>
      </c>
      <c r="D9291">
        <v>6399</v>
      </c>
      <c r="E9291" t="str">
        <f>"PR"</f>
        <v>PR</v>
      </c>
      <c r="F9291" t="str">
        <f>"104"</f>
        <v>104</v>
      </c>
      <c r="G9291">
        <v>9</v>
      </c>
      <c r="H9291" t="str">
        <f>"99"</f>
        <v>99</v>
      </c>
      <c r="I9291" t="str">
        <f t="shared" si="2103"/>
        <v>0</v>
      </c>
      <c r="J9291" t="str">
        <f>"00"</f>
        <v>00</v>
      </c>
      <c r="K9291">
        <v>20190111</v>
      </c>
      <c r="L9291" t="str">
        <f>"075210"</f>
        <v>075210</v>
      </c>
      <c r="M9291" t="str">
        <f>"40550"</f>
        <v>40550</v>
      </c>
      <c r="N9291" t="s">
        <v>2645</v>
      </c>
      <c r="O9291">
        <v>299.37</v>
      </c>
      <c r="P9291">
        <v>20190109</v>
      </c>
      <c r="Q9291" t="s">
        <v>7014</v>
      </c>
      <c r="R9291" t="s">
        <v>7200</v>
      </c>
      <c r="S9291" t="s">
        <v>7000</v>
      </c>
      <c r="T9291" t="s">
        <v>46</v>
      </c>
    </row>
    <row r="9292" spans="1:20" x14ac:dyDescent="0.25">
      <c r="A9292">
        <v>9</v>
      </c>
      <c r="B9292">
        <v>461</v>
      </c>
      <c r="C9292" t="str">
        <f t="shared" si="2095"/>
        <v>36</v>
      </c>
      <c r="D9292">
        <v>6219</v>
      </c>
      <c r="E9292" t="str">
        <f>"3S"</f>
        <v>3S</v>
      </c>
      <c r="F9292" t="str">
        <f>"001"</f>
        <v>001</v>
      </c>
      <c r="G9292">
        <v>9</v>
      </c>
      <c r="H9292" t="str">
        <f>"91"</f>
        <v>91</v>
      </c>
      <c r="I9292" t="str">
        <f t="shared" si="2103"/>
        <v>0</v>
      </c>
      <c r="J9292" t="str">
        <f>"00"</f>
        <v>00</v>
      </c>
      <c r="K9292">
        <v>20190111</v>
      </c>
      <c r="L9292" t="str">
        <f>"075212"</f>
        <v>075212</v>
      </c>
      <c r="M9292" t="str">
        <f>"40790"</f>
        <v>40790</v>
      </c>
      <c r="N9292" t="s">
        <v>983</v>
      </c>
      <c r="O9292">
        <v>55</v>
      </c>
      <c r="P9292">
        <v>20190109</v>
      </c>
      <c r="Q9292" t="s">
        <v>7353</v>
      </c>
      <c r="R9292" t="s">
        <v>7354</v>
      </c>
      <c r="S9292" t="s">
        <v>7000</v>
      </c>
      <c r="T9292" t="s">
        <v>301</v>
      </c>
    </row>
    <row r="9293" spans="1:20" x14ac:dyDescent="0.25">
      <c r="A9293">
        <v>9</v>
      </c>
      <c r="B9293">
        <v>461</v>
      </c>
      <c r="C9293" t="str">
        <f t="shared" si="2095"/>
        <v>36</v>
      </c>
      <c r="D9293">
        <v>6399</v>
      </c>
      <c r="E9293" t="str">
        <f>"00"</f>
        <v>00</v>
      </c>
      <c r="F9293" t="str">
        <f>"942"</f>
        <v>942</v>
      </c>
      <c r="G9293">
        <v>9</v>
      </c>
      <c r="H9293" t="str">
        <f>"99"</f>
        <v>99</v>
      </c>
      <c r="I9293" t="str">
        <f t="shared" si="2103"/>
        <v>0</v>
      </c>
      <c r="J9293" t="str">
        <f>"88"</f>
        <v>88</v>
      </c>
      <c r="K9293">
        <v>20190111</v>
      </c>
      <c r="L9293" t="str">
        <f>"075213"</f>
        <v>075213</v>
      </c>
      <c r="M9293" t="str">
        <f>"41230"</f>
        <v>41230</v>
      </c>
      <c r="N9293" t="s">
        <v>1350</v>
      </c>
      <c r="O9293">
        <v>169.63</v>
      </c>
      <c r="P9293">
        <v>20190109</v>
      </c>
      <c r="Q9293" t="s">
        <v>7018</v>
      </c>
      <c r="R9293" t="s">
        <v>7361</v>
      </c>
      <c r="S9293" t="s">
        <v>7000</v>
      </c>
      <c r="T9293" t="s">
        <v>1831</v>
      </c>
    </row>
    <row r="9294" spans="1:20" x14ac:dyDescent="0.25">
      <c r="A9294">
        <v>9</v>
      </c>
      <c r="B9294">
        <v>461</v>
      </c>
      <c r="C9294" t="str">
        <f t="shared" si="2095"/>
        <v>36</v>
      </c>
      <c r="D9294">
        <v>6399</v>
      </c>
      <c r="E9294" t="str">
        <f>"3R"</f>
        <v>3R</v>
      </c>
      <c r="F9294" t="str">
        <f>"001"</f>
        <v>001</v>
      </c>
      <c r="G9294">
        <v>9</v>
      </c>
      <c r="H9294" t="str">
        <f>"91"</f>
        <v>91</v>
      </c>
      <c r="I9294" t="str">
        <f t="shared" si="2103"/>
        <v>0</v>
      </c>
      <c r="J9294" t="str">
        <f t="shared" ref="J9294:J9325" si="2110">"00"</f>
        <v>00</v>
      </c>
      <c r="K9294">
        <v>20190111</v>
      </c>
      <c r="L9294" t="str">
        <f>"075228"</f>
        <v>075228</v>
      </c>
      <c r="M9294" t="str">
        <f>"49445"</f>
        <v>49445</v>
      </c>
      <c r="N9294" t="s">
        <v>986</v>
      </c>
      <c r="O9294">
        <v>370</v>
      </c>
      <c r="P9294">
        <v>20190110</v>
      </c>
      <c r="Q9294" t="s">
        <v>7218</v>
      </c>
      <c r="R9294" t="s">
        <v>7362</v>
      </c>
      <c r="S9294" t="s">
        <v>7000</v>
      </c>
      <c r="T9294" t="s">
        <v>301</v>
      </c>
    </row>
    <row r="9295" spans="1:20" x14ac:dyDescent="0.25">
      <c r="A9295">
        <v>9</v>
      </c>
      <c r="B9295">
        <v>461</v>
      </c>
      <c r="C9295" t="str">
        <f t="shared" si="2095"/>
        <v>36</v>
      </c>
      <c r="D9295">
        <v>6399</v>
      </c>
      <c r="E9295" t="str">
        <f>"7K"</f>
        <v>7K</v>
      </c>
      <c r="F9295" t="str">
        <f>"001"</f>
        <v>001</v>
      </c>
      <c r="G9295">
        <v>9</v>
      </c>
      <c r="H9295" t="str">
        <f>"99"</f>
        <v>99</v>
      </c>
      <c r="I9295" t="str">
        <f t="shared" si="2103"/>
        <v>0</v>
      </c>
      <c r="J9295" t="str">
        <f t="shared" si="2110"/>
        <v>00</v>
      </c>
      <c r="K9295">
        <v>20190111</v>
      </c>
      <c r="L9295" t="str">
        <f>"075230"</f>
        <v>075230</v>
      </c>
      <c r="M9295" t="str">
        <f>"49786"</f>
        <v>49786</v>
      </c>
      <c r="N9295" t="s">
        <v>3898</v>
      </c>
      <c r="O9295">
        <v>116.18</v>
      </c>
      <c r="P9295">
        <v>20190110</v>
      </c>
      <c r="Q9295" t="s">
        <v>7056</v>
      </c>
      <c r="R9295" t="s">
        <v>1649</v>
      </c>
      <c r="S9295" t="s">
        <v>7000</v>
      </c>
      <c r="T9295" t="s">
        <v>301</v>
      </c>
    </row>
    <row r="9296" spans="1:20" x14ac:dyDescent="0.25">
      <c r="A9296">
        <v>9</v>
      </c>
      <c r="B9296">
        <v>461</v>
      </c>
      <c r="C9296" t="str">
        <f t="shared" ref="C9296:C9359" si="2111">"36"</f>
        <v>36</v>
      </c>
      <c r="D9296">
        <v>6219</v>
      </c>
      <c r="E9296" t="str">
        <f>"3S"</f>
        <v>3S</v>
      </c>
      <c r="F9296" t="str">
        <f>"001"</f>
        <v>001</v>
      </c>
      <c r="G9296">
        <v>9</v>
      </c>
      <c r="H9296" t="str">
        <f>"91"</f>
        <v>91</v>
      </c>
      <c r="I9296" t="str">
        <f t="shared" si="2103"/>
        <v>0</v>
      </c>
      <c r="J9296" t="str">
        <f t="shared" si="2110"/>
        <v>00</v>
      </c>
      <c r="K9296">
        <v>20190111</v>
      </c>
      <c r="L9296" t="str">
        <f>"075236"</f>
        <v>075236</v>
      </c>
      <c r="M9296" t="str">
        <f>"51489"</f>
        <v>51489</v>
      </c>
      <c r="N9296" t="s">
        <v>990</v>
      </c>
      <c r="O9296">
        <v>40</v>
      </c>
      <c r="P9296">
        <v>20190110</v>
      </c>
      <c r="Q9296" t="s">
        <v>7353</v>
      </c>
      <c r="R9296" t="s">
        <v>7363</v>
      </c>
      <c r="S9296" t="s">
        <v>7000</v>
      </c>
      <c r="T9296" t="s">
        <v>301</v>
      </c>
    </row>
    <row r="9297" spans="1:20" x14ac:dyDescent="0.25">
      <c r="A9297">
        <v>9</v>
      </c>
      <c r="B9297">
        <v>461</v>
      </c>
      <c r="C9297" t="str">
        <f t="shared" si="2111"/>
        <v>36</v>
      </c>
      <c r="D9297">
        <v>6399</v>
      </c>
      <c r="E9297" t="str">
        <f>"PR"</f>
        <v>PR</v>
      </c>
      <c r="F9297" t="str">
        <f>"104"</f>
        <v>104</v>
      </c>
      <c r="G9297">
        <v>9</v>
      </c>
      <c r="H9297" t="str">
        <f>"99"</f>
        <v>99</v>
      </c>
      <c r="I9297" t="str">
        <f t="shared" si="2103"/>
        <v>0</v>
      </c>
      <c r="J9297" t="str">
        <f t="shared" si="2110"/>
        <v>00</v>
      </c>
      <c r="K9297">
        <v>20190111</v>
      </c>
      <c r="L9297" t="str">
        <f>"075238"</f>
        <v>075238</v>
      </c>
      <c r="M9297" t="str">
        <f>"52217"</f>
        <v>52217</v>
      </c>
      <c r="N9297" t="s">
        <v>630</v>
      </c>
      <c r="O9297">
        <v>171</v>
      </c>
      <c r="P9297">
        <v>20190110</v>
      </c>
      <c r="Q9297" t="s">
        <v>7014</v>
      </c>
      <c r="R9297" t="s">
        <v>7364</v>
      </c>
      <c r="S9297" t="s">
        <v>7000</v>
      </c>
      <c r="T9297" t="s">
        <v>46</v>
      </c>
    </row>
    <row r="9298" spans="1:20" x14ac:dyDescent="0.25">
      <c r="A9298">
        <v>9</v>
      </c>
      <c r="B9298">
        <v>461</v>
      </c>
      <c r="C9298" t="str">
        <f t="shared" si="2111"/>
        <v>36</v>
      </c>
      <c r="D9298">
        <v>6219</v>
      </c>
      <c r="E9298" t="str">
        <f>"3S"</f>
        <v>3S</v>
      </c>
      <c r="F9298" t="str">
        <f t="shared" ref="F9298:F9306" si="2112">"001"</f>
        <v>001</v>
      </c>
      <c r="G9298">
        <v>9</v>
      </c>
      <c r="H9298" t="str">
        <f>"91"</f>
        <v>91</v>
      </c>
      <c r="I9298" t="str">
        <f t="shared" si="2103"/>
        <v>0</v>
      </c>
      <c r="J9298" t="str">
        <f t="shared" si="2110"/>
        <v>00</v>
      </c>
      <c r="K9298">
        <v>20190111</v>
      </c>
      <c r="L9298" t="str">
        <f>"075244"</f>
        <v>075244</v>
      </c>
      <c r="M9298" t="str">
        <f>"54558"</f>
        <v>54558</v>
      </c>
      <c r="N9298" t="s">
        <v>632</v>
      </c>
      <c r="O9298">
        <v>90</v>
      </c>
      <c r="P9298">
        <v>20190110</v>
      </c>
      <c r="Q9298" t="s">
        <v>7353</v>
      </c>
      <c r="R9298" t="s">
        <v>7354</v>
      </c>
      <c r="S9298" t="s">
        <v>7000</v>
      </c>
      <c r="T9298" t="s">
        <v>301</v>
      </c>
    </row>
    <row r="9299" spans="1:20" x14ac:dyDescent="0.25">
      <c r="A9299">
        <v>9</v>
      </c>
      <c r="B9299">
        <v>461</v>
      </c>
      <c r="C9299" t="str">
        <f t="shared" si="2111"/>
        <v>36</v>
      </c>
      <c r="D9299">
        <v>6269</v>
      </c>
      <c r="E9299" t="str">
        <f>"7K"</f>
        <v>7K</v>
      </c>
      <c r="F9299" t="str">
        <f t="shared" si="2112"/>
        <v>001</v>
      </c>
      <c r="G9299">
        <v>9</v>
      </c>
      <c r="H9299" t="str">
        <f t="shared" ref="H9299:H9304" si="2113">"99"</f>
        <v>99</v>
      </c>
      <c r="I9299" t="str">
        <f t="shared" si="2103"/>
        <v>0</v>
      </c>
      <c r="J9299" t="str">
        <f t="shared" si="2110"/>
        <v>00</v>
      </c>
      <c r="K9299">
        <v>20190111</v>
      </c>
      <c r="L9299" t="str">
        <f>"075250"</f>
        <v>075250</v>
      </c>
      <c r="M9299" t="str">
        <f>"57697"</f>
        <v>57697</v>
      </c>
      <c r="N9299" t="s">
        <v>1902</v>
      </c>
      <c r="O9299">
        <v>821.54</v>
      </c>
      <c r="P9299">
        <v>20190110</v>
      </c>
      <c r="Q9299" t="s">
        <v>7365</v>
      </c>
      <c r="R9299" t="s">
        <v>2975</v>
      </c>
      <c r="S9299" t="s">
        <v>7000</v>
      </c>
      <c r="T9299" t="s">
        <v>301</v>
      </c>
    </row>
    <row r="9300" spans="1:20" x14ac:dyDescent="0.25">
      <c r="A9300">
        <v>9</v>
      </c>
      <c r="B9300">
        <v>461</v>
      </c>
      <c r="C9300" t="str">
        <f t="shared" si="2111"/>
        <v>36</v>
      </c>
      <c r="D9300">
        <v>6269</v>
      </c>
      <c r="E9300" t="str">
        <f>"7K"</f>
        <v>7K</v>
      </c>
      <c r="F9300" t="str">
        <f t="shared" si="2112"/>
        <v>001</v>
      </c>
      <c r="G9300">
        <v>9</v>
      </c>
      <c r="H9300" t="str">
        <f t="shared" si="2113"/>
        <v>99</v>
      </c>
      <c r="I9300" t="str">
        <f t="shared" si="2103"/>
        <v>0</v>
      </c>
      <c r="J9300" t="str">
        <f t="shared" si="2110"/>
        <v>00</v>
      </c>
      <c r="K9300">
        <v>20190111</v>
      </c>
      <c r="L9300" t="str">
        <f>"075250"</f>
        <v>075250</v>
      </c>
      <c r="M9300" t="str">
        <f>"57697"</f>
        <v>57697</v>
      </c>
      <c r="N9300" t="s">
        <v>1902</v>
      </c>
      <c r="O9300">
        <v>778.46</v>
      </c>
      <c r="P9300">
        <v>20190110</v>
      </c>
      <c r="Q9300" t="s">
        <v>7365</v>
      </c>
      <c r="R9300" t="s">
        <v>2975</v>
      </c>
      <c r="S9300" t="s">
        <v>7000</v>
      </c>
      <c r="T9300" t="s">
        <v>301</v>
      </c>
    </row>
    <row r="9301" spans="1:20" x14ac:dyDescent="0.25">
      <c r="A9301">
        <v>9</v>
      </c>
      <c r="B9301">
        <v>461</v>
      </c>
      <c r="C9301" t="str">
        <f t="shared" si="2111"/>
        <v>36</v>
      </c>
      <c r="D9301">
        <v>6269</v>
      </c>
      <c r="E9301" t="str">
        <f>"7K"</f>
        <v>7K</v>
      </c>
      <c r="F9301" t="str">
        <f t="shared" si="2112"/>
        <v>001</v>
      </c>
      <c r="G9301">
        <v>9</v>
      </c>
      <c r="H9301" t="str">
        <f t="shared" si="2113"/>
        <v>99</v>
      </c>
      <c r="I9301" t="str">
        <f t="shared" si="2103"/>
        <v>0</v>
      </c>
      <c r="J9301" t="str">
        <f t="shared" si="2110"/>
        <v>00</v>
      </c>
      <c r="K9301">
        <v>20190111</v>
      </c>
      <c r="L9301" t="str">
        <f>"075251"</f>
        <v>075251</v>
      </c>
      <c r="M9301" t="str">
        <f>"57697"</f>
        <v>57697</v>
      </c>
      <c r="N9301" t="s">
        <v>1902</v>
      </c>
      <c r="O9301">
        <v>28.38</v>
      </c>
      <c r="P9301">
        <v>20190110</v>
      </c>
      <c r="Q9301" t="s">
        <v>7365</v>
      </c>
      <c r="R9301" t="s">
        <v>2975</v>
      </c>
      <c r="S9301" t="s">
        <v>7000</v>
      </c>
      <c r="T9301" t="s">
        <v>301</v>
      </c>
    </row>
    <row r="9302" spans="1:20" x14ac:dyDescent="0.25">
      <c r="A9302">
        <v>9</v>
      </c>
      <c r="B9302">
        <v>461</v>
      </c>
      <c r="C9302" t="str">
        <f t="shared" si="2111"/>
        <v>36</v>
      </c>
      <c r="D9302">
        <v>6269</v>
      </c>
      <c r="E9302" t="str">
        <f>"7K"</f>
        <v>7K</v>
      </c>
      <c r="F9302" t="str">
        <f t="shared" si="2112"/>
        <v>001</v>
      </c>
      <c r="G9302">
        <v>9</v>
      </c>
      <c r="H9302" t="str">
        <f t="shared" si="2113"/>
        <v>99</v>
      </c>
      <c r="I9302" t="str">
        <f t="shared" ref="I9302:I9333" si="2114">"0"</f>
        <v>0</v>
      </c>
      <c r="J9302" t="str">
        <f t="shared" si="2110"/>
        <v>00</v>
      </c>
      <c r="K9302">
        <v>20190111</v>
      </c>
      <c r="L9302" t="str">
        <f>"075251"</f>
        <v>075251</v>
      </c>
      <c r="M9302" t="str">
        <f>"57697"</f>
        <v>57697</v>
      </c>
      <c r="N9302" t="s">
        <v>1902</v>
      </c>
      <c r="O9302">
        <v>74</v>
      </c>
      <c r="P9302">
        <v>20190110</v>
      </c>
      <c r="Q9302" t="s">
        <v>7365</v>
      </c>
      <c r="R9302" t="s">
        <v>2975</v>
      </c>
      <c r="S9302" t="s">
        <v>7000</v>
      </c>
      <c r="T9302" t="s">
        <v>301</v>
      </c>
    </row>
    <row r="9303" spans="1:20" x14ac:dyDescent="0.25">
      <c r="A9303">
        <v>9</v>
      </c>
      <c r="B9303">
        <v>461</v>
      </c>
      <c r="C9303" t="str">
        <f t="shared" si="2111"/>
        <v>36</v>
      </c>
      <c r="D9303">
        <v>6399</v>
      </c>
      <c r="E9303" t="str">
        <f>"61"</f>
        <v>61</v>
      </c>
      <c r="F9303" t="str">
        <f t="shared" si="2112"/>
        <v>001</v>
      </c>
      <c r="G9303">
        <v>9</v>
      </c>
      <c r="H9303" t="str">
        <f t="shared" si="2113"/>
        <v>99</v>
      </c>
      <c r="I9303" t="str">
        <f t="shared" si="2114"/>
        <v>0</v>
      </c>
      <c r="J9303" t="str">
        <f t="shared" si="2110"/>
        <v>00</v>
      </c>
      <c r="K9303">
        <v>20190111</v>
      </c>
      <c r="L9303" t="str">
        <f>"075253"</f>
        <v>075253</v>
      </c>
      <c r="M9303" t="str">
        <f>"58204"</f>
        <v>58204</v>
      </c>
      <c r="N9303" t="s">
        <v>1767</v>
      </c>
      <c r="O9303">
        <v>33.840000000000003</v>
      </c>
      <c r="P9303">
        <v>20190110</v>
      </c>
      <c r="Q9303" t="s">
        <v>7095</v>
      </c>
      <c r="R9303" t="s">
        <v>7366</v>
      </c>
      <c r="S9303" t="s">
        <v>7000</v>
      </c>
      <c r="T9303" t="s">
        <v>301</v>
      </c>
    </row>
    <row r="9304" spans="1:20" x14ac:dyDescent="0.25">
      <c r="A9304">
        <v>9</v>
      </c>
      <c r="B9304">
        <v>461</v>
      </c>
      <c r="C9304" t="str">
        <f t="shared" si="2111"/>
        <v>36</v>
      </c>
      <c r="D9304">
        <v>6399</v>
      </c>
      <c r="E9304" t="str">
        <f>"7E"</f>
        <v>7E</v>
      </c>
      <c r="F9304" t="str">
        <f t="shared" si="2112"/>
        <v>001</v>
      </c>
      <c r="G9304">
        <v>9</v>
      </c>
      <c r="H9304" t="str">
        <f t="shared" si="2113"/>
        <v>99</v>
      </c>
      <c r="I9304" t="str">
        <f t="shared" si="2114"/>
        <v>0</v>
      </c>
      <c r="J9304" t="str">
        <f t="shared" si="2110"/>
        <v>00</v>
      </c>
      <c r="K9304">
        <v>20190111</v>
      </c>
      <c r="L9304" t="str">
        <f>"075253"</f>
        <v>075253</v>
      </c>
      <c r="M9304" t="str">
        <f>"58204"</f>
        <v>58204</v>
      </c>
      <c r="N9304" t="s">
        <v>1767</v>
      </c>
      <c r="O9304">
        <v>22.99</v>
      </c>
      <c r="P9304">
        <v>20190110</v>
      </c>
      <c r="Q9304" t="s">
        <v>7055</v>
      </c>
      <c r="R9304" t="s">
        <v>2383</v>
      </c>
      <c r="S9304" t="s">
        <v>7000</v>
      </c>
      <c r="T9304" t="s">
        <v>301</v>
      </c>
    </row>
    <row r="9305" spans="1:20" x14ac:dyDescent="0.25">
      <c r="A9305">
        <v>9</v>
      </c>
      <c r="B9305">
        <v>461</v>
      </c>
      <c r="C9305" t="str">
        <f t="shared" si="2111"/>
        <v>36</v>
      </c>
      <c r="D9305">
        <v>6399</v>
      </c>
      <c r="E9305" t="str">
        <f>"3B"</f>
        <v>3B</v>
      </c>
      <c r="F9305" t="str">
        <f t="shared" si="2112"/>
        <v>001</v>
      </c>
      <c r="G9305">
        <v>9</v>
      </c>
      <c r="H9305" t="str">
        <f>"91"</f>
        <v>91</v>
      </c>
      <c r="I9305" t="str">
        <f t="shared" si="2114"/>
        <v>0</v>
      </c>
      <c r="J9305" t="str">
        <f t="shared" si="2110"/>
        <v>00</v>
      </c>
      <c r="K9305">
        <v>20190111</v>
      </c>
      <c r="L9305" t="str">
        <f>"075258"</f>
        <v>075258</v>
      </c>
      <c r="M9305" t="str">
        <f>"60853"</f>
        <v>60853</v>
      </c>
      <c r="N9305" t="s">
        <v>7367</v>
      </c>
      <c r="O9305">
        <v>206</v>
      </c>
      <c r="P9305">
        <v>20190110</v>
      </c>
      <c r="Q9305" t="s">
        <v>7024</v>
      </c>
      <c r="R9305" t="s">
        <v>7368</v>
      </c>
      <c r="S9305" t="s">
        <v>7000</v>
      </c>
      <c r="T9305" t="s">
        <v>301</v>
      </c>
    </row>
    <row r="9306" spans="1:20" x14ac:dyDescent="0.25">
      <c r="A9306">
        <v>9</v>
      </c>
      <c r="B9306">
        <v>461</v>
      </c>
      <c r="C9306" t="str">
        <f t="shared" si="2111"/>
        <v>36</v>
      </c>
      <c r="D9306">
        <v>6498</v>
      </c>
      <c r="E9306" t="str">
        <f>"3T"</f>
        <v>3T</v>
      </c>
      <c r="F9306" t="str">
        <f t="shared" si="2112"/>
        <v>001</v>
      </c>
      <c r="G9306">
        <v>9</v>
      </c>
      <c r="H9306" t="str">
        <f>"91"</f>
        <v>91</v>
      </c>
      <c r="I9306" t="str">
        <f t="shared" si="2114"/>
        <v>0</v>
      </c>
      <c r="J9306" t="str">
        <f t="shared" si="2110"/>
        <v>00</v>
      </c>
      <c r="K9306">
        <v>20190111</v>
      </c>
      <c r="L9306" t="str">
        <f>"075261"</f>
        <v>075261</v>
      </c>
      <c r="M9306" t="str">
        <f>"64610"</f>
        <v>64610</v>
      </c>
      <c r="N9306" t="s">
        <v>1062</v>
      </c>
      <c r="O9306">
        <v>59</v>
      </c>
      <c r="P9306">
        <v>20190110</v>
      </c>
      <c r="Q9306" t="s">
        <v>7369</v>
      </c>
      <c r="R9306" t="s">
        <v>7370</v>
      </c>
      <c r="S9306" t="s">
        <v>7000</v>
      </c>
      <c r="T9306" t="s">
        <v>301</v>
      </c>
    </row>
    <row r="9307" spans="1:20" x14ac:dyDescent="0.25">
      <c r="A9307">
        <v>9</v>
      </c>
      <c r="B9307">
        <v>461</v>
      </c>
      <c r="C9307" t="str">
        <f t="shared" si="2111"/>
        <v>36</v>
      </c>
      <c r="D9307">
        <v>6399</v>
      </c>
      <c r="E9307" t="str">
        <f>"PR"</f>
        <v>PR</v>
      </c>
      <c r="F9307" t="str">
        <f>"104"</f>
        <v>104</v>
      </c>
      <c r="G9307">
        <v>9</v>
      </c>
      <c r="H9307" t="str">
        <f t="shared" ref="H9307:H9314" si="2115">"99"</f>
        <v>99</v>
      </c>
      <c r="I9307" t="str">
        <f t="shared" si="2114"/>
        <v>0</v>
      </c>
      <c r="J9307" t="str">
        <f t="shared" si="2110"/>
        <v>00</v>
      </c>
      <c r="K9307">
        <v>20190111</v>
      </c>
      <c r="L9307" t="str">
        <f>"075267"</f>
        <v>075267</v>
      </c>
      <c r="M9307" t="str">
        <f>"65826"</f>
        <v>65826</v>
      </c>
      <c r="N9307" t="s">
        <v>2787</v>
      </c>
      <c r="O9307">
        <v>247.53</v>
      </c>
      <c r="P9307">
        <v>20190110</v>
      </c>
      <c r="Q9307" t="s">
        <v>7014</v>
      </c>
      <c r="R9307" t="s">
        <v>7371</v>
      </c>
      <c r="S9307" t="s">
        <v>7000</v>
      </c>
      <c r="T9307" t="s">
        <v>46</v>
      </c>
    </row>
    <row r="9308" spans="1:20" x14ac:dyDescent="0.25">
      <c r="A9308">
        <v>9</v>
      </c>
      <c r="B9308">
        <v>461</v>
      </c>
      <c r="C9308" t="str">
        <f t="shared" si="2111"/>
        <v>36</v>
      </c>
      <c r="D9308">
        <v>6399</v>
      </c>
      <c r="E9308" t="str">
        <f>"PR"</f>
        <v>PR</v>
      </c>
      <c r="F9308" t="str">
        <f>"104"</f>
        <v>104</v>
      </c>
      <c r="G9308">
        <v>9</v>
      </c>
      <c r="H9308" t="str">
        <f t="shared" si="2115"/>
        <v>99</v>
      </c>
      <c r="I9308" t="str">
        <f t="shared" si="2114"/>
        <v>0</v>
      </c>
      <c r="J9308" t="str">
        <f t="shared" si="2110"/>
        <v>00</v>
      </c>
      <c r="K9308">
        <v>20190111</v>
      </c>
      <c r="L9308" t="str">
        <f>"075279"</f>
        <v>075279</v>
      </c>
      <c r="M9308" t="str">
        <f>"74835"</f>
        <v>74835</v>
      </c>
      <c r="N9308" t="s">
        <v>7084</v>
      </c>
      <c r="O9308">
        <v>350</v>
      </c>
      <c r="P9308">
        <v>20190110</v>
      </c>
      <c r="Q9308" t="s">
        <v>7014</v>
      </c>
      <c r="R9308" t="s">
        <v>7372</v>
      </c>
      <c r="S9308" t="s">
        <v>7000</v>
      </c>
      <c r="T9308" t="s">
        <v>46</v>
      </c>
    </row>
    <row r="9309" spans="1:20" x14ac:dyDescent="0.25">
      <c r="A9309">
        <v>9</v>
      </c>
      <c r="B9309">
        <v>461</v>
      </c>
      <c r="C9309" t="str">
        <f t="shared" si="2111"/>
        <v>36</v>
      </c>
      <c r="D9309">
        <v>6399</v>
      </c>
      <c r="E9309" t="str">
        <f>"AB"</f>
        <v>AB</v>
      </c>
      <c r="F9309" t="str">
        <f>"001"</f>
        <v>001</v>
      </c>
      <c r="G9309">
        <v>9</v>
      </c>
      <c r="H9309" t="str">
        <f t="shared" si="2115"/>
        <v>99</v>
      </c>
      <c r="I9309" t="str">
        <f t="shared" si="2114"/>
        <v>0</v>
      </c>
      <c r="J9309" t="str">
        <f t="shared" si="2110"/>
        <v>00</v>
      </c>
      <c r="K9309">
        <v>20190111</v>
      </c>
      <c r="L9309" t="str">
        <f>"075281"</f>
        <v>075281</v>
      </c>
      <c r="M9309" t="str">
        <f>"80500"</f>
        <v>80500</v>
      </c>
      <c r="N9309" t="s">
        <v>2340</v>
      </c>
      <c r="O9309">
        <v>59.9</v>
      </c>
      <c r="P9309">
        <v>20190110</v>
      </c>
      <c r="Q9309" t="s">
        <v>7164</v>
      </c>
      <c r="R9309" t="s">
        <v>7373</v>
      </c>
      <c r="S9309" t="s">
        <v>7000</v>
      </c>
      <c r="T9309" t="s">
        <v>301</v>
      </c>
    </row>
    <row r="9310" spans="1:20" x14ac:dyDescent="0.25">
      <c r="A9310">
        <v>9</v>
      </c>
      <c r="B9310">
        <v>461</v>
      </c>
      <c r="C9310" t="str">
        <f t="shared" si="2111"/>
        <v>36</v>
      </c>
      <c r="D9310">
        <v>6399</v>
      </c>
      <c r="E9310" t="str">
        <f>"AB"</f>
        <v>AB</v>
      </c>
      <c r="F9310" t="str">
        <f>"001"</f>
        <v>001</v>
      </c>
      <c r="G9310">
        <v>9</v>
      </c>
      <c r="H9310" t="str">
        <f t="shared" si="2115"/>
        <v>99</v>
      </c>
      <c r="I9310" t="str">
        <f t="shared" si="2114"/>
        <v>0</v>
      </c>
      <c r="J9310" t="str">
        <f t="shared" si="2110"/>
        <v>00</v>
      </c>
      <c r="K9310">
        <v>20190111</v>
      </c>
      <c r="L9310" t="str">
        <f>"075281"</f>
        <v>075281</v>
      </c>
      <c r="M9310" t="str">
        <f>"80500"</f>
        <v>80500</v>
      </c>
      <c r="N9310" t="s">
        <v>2340</v>
      </c>
      <c r="O9310">
        <v>320.58999999999997</v>
      </c>
      <c r="P9310">
        <v>20190110</v>
      </c>
      <c r="Q9310" t="s">
        <v>7164</v>
      </c>
      <c r="R9310" t="s">
        <v>7374</v>
      </c>
      <c r="S9310" t="s">
        <v>7000</v>
      </c>
      <c r="T9310" t="s">
        <v>301</v>
      </c>
    </row>
    <row r="9311" spans="1:20" x14ac:dyDescent="0.25">
      <c r="A9311">
        <v>9</v>
      </c>
      <c r="B9311">
        <v>461</v>
      </c>
      <c r="C9311" t="str">
        <f t="shared" si="2111"/>
        <v>36</v>
      </c>
      <c r="D9311">
        <v>6399</v>
      </c>
      <c r="E9311" t="str">
        <f>"7B"</f>
        <v>7B</v>
      </c>
      <c r="F9311" t="str">
        <f>"001"</f>
        <v>001</v>
      </c>
      <c r="G9311">
        <v>9</v>
      </c>
      <c r="H9311" t="str">
        <f t="shared" si="2115"/>
        <v>99</v>
      </c>
      <c r="I9311" t="str">
        <f t="shared" si="2114"/>
        <v>0</v>
      </c>
      <c r="J9311" t="str">
        <f t="shared" si="2110"/>
        <v>00</v>
      </c>
      <c r="K9311">
        <v>20190111</v>
      </c>
      <c r="L9311" t="str">
        <f>"075282"</f>
        <v>075282</v>
      </c>
      <c r="M9311" t="str">
        <f>"81303"</f>
        <v>81303</v>
      </c>
      <c r="N9311" t="s">
        <v>66</v>
      </c>
      <c r="O9311">
        <v>50</v>
      </c>
      <c r="P9311">
        <v>20190110</v>
      </c>
      <c r="Q9311" t="s">
        <v>7042</v>
      </c>
      <c r="R9311" t="s">
        <v>7375</v>
      </c>
      <c r="S9311" t="s">
        <v>7000</v>
      </c>
      <c r="T9311" t="s">
        <v>301</v>
      </c>
    </row>
    <row r="9312" spans="1:20" x14ac:dyDescent="0.25">
      <c r="A9312">
        <v>9</v>
      </c>
      <c r="B9312">
        <v>461</v>
      </c>
      <c r="C9312" t="str">
        <f t="shared" si="2111"/>
        <v>36</v>
      </c>
      <c r="D9312">
        <v>6399</v>
      </c>
      <c r="E9312" t="str">
        <f>"H2"</f>
        <v>H2</v>
      </c>
      <c r="F9312" t="str">
        <f>"001"</f>
        <v>001</v>
      </c>
      <c r="G9312">
        <v>9</v>
      </c>
      <c r="H9312" t="str">
        <f t="shared" si="2115"/>
        <v>99</v>
      </c>
      <c r="I9312" t="str">
        <f t="shared" si="2114"/>
        <v>0</v>
      </c>
      <c r="J9312" t="str">
        <f t="shared" si="2110"/>
        <v>00</v>
      </c>
      <c r="K9312">
        <v>20190111</v>
      </c>
      <c r="L9312" t="str">
        <f>"075282"</f>
        <v>075282</v>
      </c>
      <c r="M9312" t="str">
        <f>"81303"</f>
        <v>81303</v>
      </c>
      <c r="N9312" t="s">
        <v>66</v>
      </c>
      <c r="O9312">
        <v>16.5</v>
      </c>
      <c r="P9312">
        <v>20190110</v>
      </c>
      <c r="Q9312" t="s">
        <v>7033</v>
      </c>
      <c r="R9312" t="s">
        <v>7376</v>
      </c>
      <c r="S9312" t="s">
        <v>7000</v>
      </c>
      <c r="T9312" t="s">
        <v>301</v>
      </c>
    </row>
    <row r="9313" spans="1:20" x14ac:dyDescent="0.25">
      <c r="A9313">
        <v>9</v>
      </c>
      <c r="B9313">
        <v>461</v>
      </c>
      <c r="C9313" t="str">
        <f t="shared" si="2111"/>
        <v>36</v>
      </c>
      <c r="D9313">
        <v>6399</v>
      </c>
      <c r="E9313" t="str">
        <f>"H2"</f>
        <v>H2</v>
      </c>
      <c r="F9313" t="str">
        <f>"001"</f>
        <v>001</v>
      </c>
      <c r="G9313">
        <v>9</v>
      </c>
      <c r="H9313" t="str">
        <f t="shared" si="2115"/>
        <v>99</v>
      </c>
      <c r="I9313" t="str">
        <f t="shared" si="2114"/>
        <v>0</v>
      </c>
      <c r="J9313" t="str">
        <f t="shared" si="2110"/>
        <v>00</v>
      </c>
      <c r="K9313">
        <v>20190111</v>
      </c>
      <c r="L9313" t="str">
        <f>"075282"</f>
        <v>075282</v>
      </c>
      <c r="M9313" t="str">
        <f>"81303"</f>
        <v>81303</v>
      </c>
      <c r="N9313" t="s">
        <v>66</v>
      </c>
      <c r="O9313">
        <v>37</v>
      </c>
      <c r="P9313">
        <v>20190110</v>
      </c>
      <c r="Q9313" t="s">
        <v>7033</v>
      </c>
      <c r="R9313" t="s">
        <v>3476</v>
      </c>
      <c r="S9313" t="s">
        <v>7000</v>
      </c>
      <c r="T9313" t="s">
        <v>301</v>
      </c>
    </row>
    <row r="9314" spans="1:20" x14ac:dyDescent="0.25">
      <c r="A9314">
        <v>9</v>
      </c>
      <c r="B9314">
        <v>461</v>
      </c>
      <c r="C9314" t="str">
        <f t="shared" si="2111"/>
        <v>36</v>
      </c>
      <c r="D9314">
        <v>6399</v>
      </c>
      <c r="E9314" t="str">
        <f>"Y5"</f>
        <v>Y5</v>
      </c>
      <c r="F9314" t="str">
        <f>"802"</f>
        <v>802</v>
      </c>
      <c r="G9314">
        <v>9</v>
      </c>
      <c r="H9314" t="str">
        <f t="shared" si="2115"/>
        <v>99</v>
      </c>
      <c r="I9314" t="str">
        <f t="shared" si="2114"/>
        <v>0</v>
      </c>
      <c r="J9314" t="str">
        <f t="shared" si="2110"/>
        <v>00</v>
      </c>
      <c r="K9314">
        <v>20190111</v>
      </c>
      <c r="L9314" t="str">
        <f>"075282"</f>
        <v>075282</v>
      </c>
      <c r="M9314" t="str">
        <f>"81303"</f>
        <v>81303</v>
      </c>
      <c r="N9314" t="s">
        <v>66</v>
      </c>
      <c r="O9314">
        <v>32.380000000000003</v>
      </c>
      <c r="P9314">
        <v>20190110</v>
      </c>
      <c r="Q9314" t="s">
        <v>7021</v>
      </c>
      <c r="R9314" t="s">
        <v>7377</v>
      </c>
      <c r="S9314" t="s">
        <v>7000</v>
      </c>
      <c r="T9314" t="s">
        <v>7023</v>
      </c>
    </row>
    <row r="9315" spans="1:20" x14ac:dyDescent="0.25">
      <c r="A9315">
        <v>9</v>
      </c>
      <c r="B9315">
        <v>461</v>
      </c>
      <c r="C9315" t="str">
        <f t="shared" si="2111"/>
        <v>36</v>
      </c>
      <c r="D9315">
        <v>6399</v>
      </c>
      <c r="E9315" t="str">
        <f>"3D"</f>
        <v>3D</v>
      </c>
      <c r="F9315" t="str">
        <f>"041"</f>
        <v>041</v>
      </c>
      <c r="G9315">
        <v>9</v>
      </c>
      <c r="H9315" t="str">
        <f>"91"</f>
        <v>91</v>
      </c>
      <c r="I9315" t="str">
        <f t="shared" si="2114"/>
        <v>0</v>
      </c>
      <c r="J9315" t="str">
        <f t="shared" si="2110"/>
        <v>00</v>
      </c>
      <c r="K9315">
        <v>20190111</v>
      </c>
      <c r="L9315" t="str">
        <f>"075288"</f>
        <v>075288</v>
      </c>
      <c r="M9315" t="str">
        <f>"83022"</f>
        <v>83022</v>
      </c>
      <c r="N9315" t="s">
        <v>691</v>
      </c>
      <c r="O9315">
        <v>456.52</v>
      </c>
      <c r="P9315">
        <v>20190110</v>
      </c>
      <c r="Q9315" t="s">
        <v>7093</v>
      </c>
      <c r="R9315" t="s">
        <v>6999</v>
      </c>
      <c r="S9315" t="s">
        <v>7000</v>
      </c>
      <c r="T9315" t="s">
        <v>106</v>
      </c>
    </row>
    <row r="9316" spans="1:20" x14ac:dyDescent="0.25">
      <c r="A9316">
        <v>9</v>
      </c>
      <c r="B9316">
        <v>461</v>
      </c>
      <c r="C9316" t="str">
        <f t="shared" si="2111"/>
        <v>36</v>
      </c>
      <c r="D9316">
        <v>6399</v>
      </c>
      <c r="E9316" t="str">
        <f>"61"</f>
        <v>61</v>
      </c>
      <c r="F9316" t="str">
        <f>"101"</f>
        <v>101</v>
      </c>
      <c r="G9316">
        <v>9</v>
      </c>
      <c r="H9316" t="str">
        <f>"99"</f>
        <v>99</v>
      </c>
      <c r="I9316" t="str">
        <f t="shared" si="2114"/>
        <v>0</v>
      </c>
      <c r="J9316" t="str">
        <f t="shared" si="2110"/>
        <v>00</v>
      </c>
      <c r="K9316">
        <v>20190111</v>
      </c>
      <c r="L9316" t="str">
        <f>"075288"</f>
        <v>075288</v>
      </c>
      <c r="M9316" t="str">
        <f>"83022"</f>
        <v>83022</v>
      </c>
      <c r="N9316" t="s">
        <v>691</v>
      </c>
      <c r="O9316">
        <v>19.48</v>
      </c>
      <c r="P9316">
        <v>20190110</v>
      </c>
      <c r="Q9316" t="s">
        <v>7007</v>
      </c>
      <c r="R9316" t="s">
        <v>7378</v>
      </c>
      <c r="S9316" t="s">
        <v>7000</v>
      </c>
      <c r="T9316" t="s">
        <v>1479</v>
      </c>
    </row>
    <row r="9317" spans="1:20" x14ac:dyDescent="0.25">
      <c r="A9317">
        <v>9</v>
      </c>
      <c r="B9317">
        <v>461</v>
      </c>
      <c r="C9317" t="str">
        <f t="shared" si="2111"/>
        <v>36</v>
      </c>
      <c r="D9317">
        <v>6412</v>
      </c>
      <c r="E9317" t="str">
        <f>"H2"</f>
        <v>H2</v>
      </c>
      <c r="F9317" t="str">
        <f>"001"</f>
        <v>001</v>
      </c>
      <c r="G9317">
        <v>9</v>
      </c>
      <c r="H9317" t="str">
        <f>"99"</f>
        <v>99</v>
      </c>
      <c r="I9317" t="str">
        <f t="shared" si="2114"/>
        <v>0</v>
      </c>
      <c r="J9317" t="str">
        <f t="shared" si="2110"/>
        <v>00</v>
      </c>
      <c r="K9317">
        <v>20190111</v>
      </c>
      <c r="L9317" t="str">
        <f>"075292"</f>
        <v>075292</v>
      </c>
      <c r="M9317" t="str">
        <f>"84370"</f>
        <v>84370</v>
      </c>
      <c r="N9317" t="s">
        <v>395</v>
      </c>
      <c r="O9317">
        <v>209.08</v>
      </c>
      <c r="P9317">
        <v>20190110</v>
      </c>
      <c r="Q9317" t="s">
        <v>7379</v>
      </c>
      <c r="R9317" t="s">
        <v>7380</v>
      </c>
      <c r="S9317" t="s">
        <v>7000</v>
      </c>
      <c r="T9317" t="s">
        <v>301</v>
      </c>
    </row>
    <row r="9318" spans="1:20" x14ac:dyDescent="0.25">
      <c r="A9318">
        <v>9</v>
      </c>
      <c r="B9318">
        <v>461</v>
      </c>
      <c r="C9318" t="str">
        <f t="shared" si="2111"/>
        <v>36</v>
      </c>
      <c r="D9318">
        <v>6399</v>
      </c>
      <c r="E9318" t="str">
        <f>"CS"</f>
        <v>CS</v>
      </c>
      <c r="F9318" t="str">
        <f>"001"</f>
        <v>001</v>
      </c>
      <c r="G9318">
        <v>9</v>
      </c>
      <c r="H9318" t="str">
        <f>"91"</f>
        <v>91</v>
      </c>
      <c r="I9318" t="str">
        <f t="shared" si="2114"/>
        <v>0</v>
      </c>
      <c r="J9318" t="str">
        <f t="shared" si="2110"/>
        <v>00</v>
      </c>
      <c r="K9318">
        <v>20190116</v>
      </c>
      <c r="L9318" t="str">
        <f>"075296"</f>
        <v>075296</v>
      </c>
      <c r="M9318" t="str">
        <f>"10418"</f>
        <v>10418</v>
      </c>
      <c r="N9318" t="s">
        <v>2360</v>
      </c>
      <c r="O9318" s="1">
        <v>1447.19</v>
      </c>
      <c r="P9318">
        <v>20190115</v>
      </c>
      <c r="Q9318" t="s">
        <v>6998</v>
      </c>
      <c r="R9318" t="s">
        <v>6999</v>
      </c>
      <c r="S9318" t="s">
        <v>7000</v>
      </c>
      <c r="T9318" t="s">
        <v>301</v>
      </c>
    </row>
    <row r="9319" spans="1:20" x14ac:dyDescent="0.25">
      <c r="A9319">
        <v>9</v>
      </c>
      <c r="B9319">
        <v>461</v>
      </c>
      <c r="C9319" t="str">
        <f t="shared" si="2111"/>
        <v>36</v>
      </c>
      <c r="D9319">
        <v>6399</v>
      </c>
      <c r="E9319" t="str">
        <f>"CS"</f>
        <v>CS</v>
      </c>
      <c r="F9319" t="str">
        <f>"001"</f>
        <v>001</v>
      </c>
      <c r="G9319">
        <v>9</v>
      </c>
      <c r="H9319" t="str">
        <f>"91"</f>
        <v>91</v>
      </c>
      <c r="I9319" t="str">
        <f t="shared" si="2114"/>
        <v>0</v>
      </c>
      <c r="J9319" t="str">
        <f t="shared" si="2110"/>
        <v>00</v>
      </c>
      <c r="K9319">
        <v>20190116</v>
      </c>
      <c r="L9319" t="str">
        <f>"075296"</f>
        <v>075296</v>
      </c>
      <c r="M9319" t="str">
        <f>"10418"</f>
        <v>10418</v>
      </c>
      <c r="N9319" t="s">
        <v>2360</v>
      </c>
      <c r="O9319">
        <v>115.12</v>
      </c>
      <c r="P9319">
        <v>20190115</v>
      </c>
      <c r="Q9319" t="s">
        <v>6998</v>
      </c>
      <c r="R9319" t="s">
        <v>6999</v>
      </c>
      <c r="S9319" t="s">
        <v>7000</v>
      </c>
      <c r="T9319" t="s">
        <v>301</v>
      </c>
    </row>
    <row r="9320" spans="1:20" x14ac:dyDescent="0.25">
      <c r="A9320">
        <v>9</v>
      </c>
      <c r="B9320">
        <v>461</v>
      </c>
      <c r="C9320" t="str">
        <f t="shared" si="2111"/>
        <v>36</v>
      </c>
      <c r="D9320">
        <v>6399</v>
      </c>
      <c r="E9320" t="str">
        <f>"7B"</f>
        <v>7B</v>
      </c>
      <c r="F9320" t="str">
        <f>"001"</f>
        <v>001</v>
      </c>
      <c r="G9320">
        <v>9</v>
      </c>
      <c r="H9320" t="str">
        <f>"99"</f>
        <v>99</v>
      </c>
      <c r="I9320" t="str">
        <f t="shared" si="2114"/>
        <v>0</v>
      </c>
      <c r="J9320" t="str">
        <f t="shared" si="2110"/>
        <v>00</v>
      </c>
      <c r="K9320">
        <v>20190116</v>
      </c>
      <c r="L9320" t="str">
        <f>"075298"</f>
        <v>075298</v>
      </c>
      <c r="M9320" t="str">
        <f>"20416"</f>
        <v>20416</v>
      </c>
      <c r="N9320" t="s">
        <v>1693</v>
      </c>
      <c r="O9320">
        <v>30</v>
      </c>
      <c r="P9320">
        <v>20190115</v>
      </c>
      <c r="Q9320" t="s">
        <v>7042</v>
      </c>
      <c r="R9320" t="s">
        <v>3328</v>
      </c>
      <c r="S9320" t="s">
        <v>7000</v>
      </c>
      <c r="T9320" t="s">
        <v>301</v>
      </c>
    </row>
    <row r="9321" spans="1:20" x14ac:dyDescent="0.25">
      <c r="A9321">
        <v>9</v>
      </c>
      <c r="B9321">
        <v>461</v>
      </c>
      <c r="C9321" t="str">
        <f t="shared" si="2111"/>
        <v>36</v>
      </c>
      <c r="D9321">
        <v>6412</v>
      </c>
      <c r="E9321" t="str">
        <f>"3B"</f>
        <v>3B</v>
      </c>
      <c r="F9321" t="str">
        <f>"041"</f>
        <v>041</v>
      </c>
      <c r="G9321">
        <v>9</v>
      </c>
      <c r="H9321" t="str">
        <f>"91"</f>
        <v>91</v>
      </c>
      <c r="I9321" t="str">
        <f t="shared" si="2114"/>
        <v>0</v>
      </c>
      <c r="J9321" t="str">
        <f t="shared" si="2110"/>
        <v>00</v>
      </c>
      <c r="K9321">
        <v>20190116</v>
      </c>
      <c r="L9321" t="str">
        <f>"075305"</f>
        <v>075305</v>
      </c>
      <c r="M9321" t="str">
        <f>"72514"</f>
        <v>72514</v>
      </c>
      <c r="N9321" t="s">
        <v>7381</v>
      </c>
      <c r="O9321">
        <v>300</v>
      </c>
      <c r="P9321">
        <v>20190115</v>
      </c>
      <c r="Q9321" t="s">
        <v>7382</v>
      </c>
      <c r="R9321" t="s">
        <v>7383</v>
      </c>
      <c r="S9321" t="s">
        <v>7000</v>
      </c>
      <c r="T9321" t="s">
        <v>106</v>
      </c>
    </row>
    <row r="9322" spans="1:20" x14ac:dyDescent="0.25">
      <c r="A9322">
        <v>9</v>
      </c>
      <c r="B9322">
        <v>461</v>
      </c>
      <c r="C9322" t="str">
        <f t="shared" si="2111"/>
        <v>36</v>
      </c>
      <c r="D9322">
        <v>6399</v>
      </c>
      <c r="E9322" t="str">
        <f>"61"</f>
        <v>61</v>
      </c>
      <c r="F9322" t="str">
        <f>"101"</f>
        <v>101</v>
      </c>
      <c r="G9322">
        <v>9</v>
      </c>
      <c r="H9322" t="str">
        <f>"99"</f>
        <v>99</v>
      </c>
      <c r="I9322" t="str">
        <f t="shared" si="2114"/>
        <v>0</v>
      </c>
      <c r="J9322" t="str">
        <f t="shared" si="2110"/>
        <v>00</v>
      </c>
      <c r="K9322">
        <v>20190116</v>
      </c>
      <c r="L9322" t="str">
        <f>"075306"</f>
        <v>075306</v>
      </c>
      <c r="M9322" t="str">
        <f>"76476"</f>
        <v>76476</v>
      </c>
      <c r="N9322" t="s">
        <v>312</v>
      </c>
      <c r="O9322">
        <v>450</v>
      </c>
      <c r="P9322">
        <v>20190115</v>
      </c>
      <c r="Q9322" t="s">
        <v>7007</v>
      </c>
      <c r="R9322" t="s">
        <v>7384</v>
      </c>
      <c r="S9322" t="s">
        <v>7000</v>
      </c>
      <c r="T9322" t="s">
        <v>1479</v>
      </c>
    </row>
    <row r="9323" spans="1:20" x14ac:dyDescent="0.25">
      <c r="A9323">
        <v>9</v>
      </c>
      <c r="B9323">
        <v>461</v>
      </c>
      <c r="C9323" t="str">
        <f t="shared" si="2111"/>
        <v>36</v>
      </c>
      <c r="D9323">
        <v>6412</v>
      </c>
      <c r="E9323" t="str">
        <f>"PR"</f>
        <v>PR</v>
      </c>
      <c r="F9323" t="str">
        <f>"104"</f>
        <v>104</v>
      </c>
      <c r="G9323">
        <v>9</v>
      </c>
      <c r="H9323" t="str">
        <f>"99"</f>
        <v>99</v>
      </c>
      <c r="I9323" t="str">
        <f t="shared" si="2114"/>
        <v>0</v>
      </c>
      <c r="J9323" t="str">
        <f t="shared" si="2110"/>
        <v>00</v>
      </c>
      <c r="K9323">
        <v>20190116</v>
      </c>
      <c r="L9323" t="str">
        <f>"075306"</f>
        <v>075306</v>
      </c>
      <c r="M9323" t="str">
        <f>"76476"</f>
        <v>76476</v>
      </c>
      <c r="N9323" t="s">
        <v>312</v>
      </c>
      <c r="O9323">
        <v>425</v>
      </c>
      <c r="P9323">
        <v>20190115</v>
      </c>
      <c r="Q9323" t="s">
        <v>7190</v>
      </c>
      <c r="R9323" t="s">
        <v>7384</v>
      </c>
      <c r="S9323" t="s">
        <v>7000</v>
      </c>
      <c r="T9323" t="s">
        <v>46</v>
      </c>
    </row>
    <row r="9324" spans="1:20" x14ac:dyDescent="0.25">
      <c r="A9324">
        <v>9</v>
      </c>
      <c r="B9324">
        <v>461</v>
      </c>
      <c r="C9324" t="str">
        <f t="shared" si="2111"/>
        <v>36</v>
      </c>
      <c r="D9324">
        <v>6399</v>
      </c>
      <c r="E9324" t="str">
        <f>"61"</f>
        <v>61</v>
      </c>
      <c r="F9324" t="str">
        <f t="shared" ref="F9324:F9348" si="2116">"001"</f>
        <v>001</v>
      </c>
      <c r="G9324">
        <v>9</v>
      </c>
      <c r="H9324" t="str">
        <f>"99"</f>
        <v>99</v>
      </c>
      <c r="I9324" t="str">
        <f t="shared" si="2114"/>
        <v>0</v>
      </c>
      <c r="J9324" t="str">
        <f t="shared" si="2110"/>
        <v>00</v>
      </c>
      <c r="K9324">
        <v>20190125</v>
      </c>
      <c r="L9324" t="str">
        <f>"075316"</f>
        <v>075316</v>
      </c>
      <c r="M9324" t="str">
        <f>"04410"</f>
        <v>04410</v>
      </c>
      <c r="N9324" t="s">
        <v>410</v>
      </c>
      <c r="O9324">
        <v>181.22</v>
      </c>
      <c r="P9324">
        <v>20190124</v>
      </c>
      <c r="Q9324" t="s">
        <v>7095</v>
      </c>
      <c r="R9324" t="s">
        <v>7385</v>
      </c>
      <c r="S9324" t="s">
        <v>7000</v>
      </c>
      <c r="T9324" t="s">
        <v>301</v>
      </c>
    </row>
    <row r="9325" spans="1:20" x14ac:dyDescent="0.25">
      <c r="A9325">
        <v>9</v>
      </c>
      <c r="B9325">
        <v>461</v>
      </c>
      <c r="C9325" t="str">
        <f t="shared" si="2111"/>
        <v>36</v>
      </c>
      <c r="D9325">
        <v>6399</v>
      </c>
      <c r="E9325" t="str">
        <f>"7U"</f>
        <v>7U</v>
      </c>
      <c r="F9325" t="str">
        <f t="shared" si="2116"/>
        <v>001</v>
      </c>
      <c r="G9325">
        <v>9</v>
      </c>
      <c r="H9325" t="str">
        <f>"99"</f>
        <v>99</v>
      </c>
      <c r="I9325" t="str">
        <f t="shared" si="2114"/>
        <v>0</v>
      </c>
      <c r="J9325" t="str">
        <f t="shared" si="2110"/>
        <v>00</v>
      </c>
      <c r="K9325">
        <v>20190125</v>
      </c>
      <c r="L9325" t="str">
        <f>"075316"</f>
        <v>075316</v>
      </c>
      <c r="M9325" t="str">
        <f>"04410"</f>
        <v>04410</v>
      </c>
      <c r="N9325" t="s">
        <v>410</v>
      </c>
      <c r="O9325">
        <v>434.05</v>
      </c>
      <c r="P9325">
        <v>20190124</v>
      </c>
      <c r="Q9325" t="s">
        <v>7386</v>
      </c>
      <c r="R9325" t="s">
        <v>1945</v>
      </c>
      <c r="S9325" t="s">
        <v>7000</v>
      </c>
      <c r="T9325" t="s">
        <v>301</v>
      </c>
    </row>
    <row r="9326" spans="1:20" x14ac:dyDescent="0.25">
      <c r="A9326">
        <v>9</v>
      </c>
      <c r="B9326">
        <v>461</v>
      </c>
      <c r="C9326" t="str">
        <f t="shared" si="2111"/>
        <v>36</v>
      </c>
      <c r="D9326">
        <v>6399</v>
      </c>
      <c r="E9326" t="str">
        <f>"PR"</f>
        <v>PR</v>
      </c>
      <c r="F9326" t="str">
        <f t="shared" si="2116"/>
        <v>001</v>
      </c>
      <c r="G9326">
        <v>9</v>
      </c>
      <c r="H9326" t="str">
        <f>"99"</f>
        <v>99</v>
      </c>
      <c r="I9326" t="str">
        <f t="shared" si="2114"/>
        <v>0</v>
      </c>
      <c r="J9326" t="str">
        <f t="shared" ref="J9326:J9357" si="2117">"00"</f>
        <v>00</v>
      </c>
      <c r="K9326">
        <v>20190125</v>
      </c>
      <c r="L9326" t="str">
        <f>"075316"</f>
        <v>075316</v>
      </c>
      <c r="M9326" t="str">
        <f>"04410"</f>
        <v>04410</v>
      </c>
      <c r="N9326" t="s">
        <v>410</v>
      </c>
      <c r="O9326">
        <v>119.8</v>
      </c>
      <c r="P9326">
        <v>20190124</v>
      </c>
      <c r="Q9326" t="s">
        <v>7009</v>
      </c>
      <c r="R9326" t="s">
        <v>7387</v>
      </c>
      <c r="S9326" t="s">
        <v>7000</v>
      </c>
      <c r="T9326" t="s">
        <v>301</v>
      </c>
    </row>
    <row r="9327" spans="1:20" x14ac:dyDescent="0.25">
      <c r="A9327">
        <v>9</v>
      </c>
      <c r="B9327">
        <v>461</v>
      </c>
      <c r="C9327" t="str">
        <f t="shared" si="2111"/>
        <v>36</v>
      </c>
      <c r="D9327">
        <v>6399</v>
      </c>
      <c r="E9327" t="str">
        <f>"3A"</f>
        <v>3A</v>
      </c>
      <c r="F9327" t="str">
        <f t="shared" si="2116"/>
        <v>001</v>
      </c>
      <c r="G9327">
        <v>9</v>
      </c>
      <c r="H9327" t="str">
        <f t="shared" ref="H9327:H9359" si="2118">"91"</f>
        <v>91</v>
      </c>
      <c r="I9327" t="str">
        <f t="shared" si="2114"/>
        <v>0</v>
      </c>
      <c r="J9327" t="str">
        <f t="shared" si="2117"/>
        <v>00</v>
      </c>
      <c r="K9327">
        <v>20190125</v>
      </c>
      <c r="L9327" t="str">
        <f>"075322"</f>
        <v>075322</v>
      </c>
      <c r="M9327" t="str">
        <f>"10020"</f>
        <v>10020</v>
      </c>
      <c r="N9327" t="s">
        <v>594</v>
      </c>
      <c r="O9327" s="1">
        <v>3499.72</v>
      </c>
      <c r="P9327">
        <v>20190124</v>
      </c>
      <c r="Q9327" t="s">
        <v>7175</v>
      </c>
      <c r="R9327" t="s">
        <v>7388</v>
      </c>
      <c r="S9327" t="s">
        <v>7000</v>
      </c>
      <c r="T9327" t="s">
        <v>301</v>
      </c>
    </row>
    <row r="9328" spans="1:20" x14ac:dyDescent="0.25">
      <c r="A9328">
        <v>9</v>
      </c>
      <c r="B9328">
        <v>461</v>
      </c>
      <c r="C9328" t="str">
        <f t="shared" si="2111"/>
        <v>36</v>
      </c>
      <c r="D9328">
        <v>6219</v>
      </c>
      <c r="E9328" t="str">
        <f>"75"</f>
        <v>75</v>
      </c>
      <c r="F9328" t="str">
        <f t="shared" si="2116"/>
        <v>001</v>
      </c>
      <c r="G9328">
        <v>9</v>
      </c>
      <c r="H9328" t="str">
        <f t="shared" si="2118"/>
        <v>91</v>
      </c>
      <c r="I9328" t="str">
        <f t="shared" si="2114"/>
        <v>0</v>
      </c>
      <c r="J9328" t="str">
        <f t="shared" si="2117"/>
        <v>00</v>
      </c>
      <c r="K9328">
        <v>20190125</v>
      </c>
      <c r="L9328" t="str">
        <f>"075323"</f>
        <v>075323</v>
      </c>
      <c r="M9328" t="str">
        <f>"10403"</f>
        <v>10403</v>
      </c>
      <c r="N9328" t="s">
        <v>469</v>
      </c>
      <c r="O9328">
        <v>155</v>
      </c>
      <c r="P9328">
        <v>20190124</v>
      </c>
      <c r="Q9328" t="s">
        <v>7389</v>
      </c>
      <c r="R9328" t="s">
        <v>7390</v>
      </c>
      <c r="S9328" t="s">
        <v>7000</v>
      </c>
      <c r="T9328" t="s">
        <v>301</v>
      </c>
    </row>
    <row r="9329" spans="1:20" x14ac:dyDescent="0.25">
      <c r="A9329">
        <v>9</v>
      </c>
      <c r="B9329">
        <v>461</v>
      </c>
      <c r="C9329" t="str">
        <f t="shared" si="2111"/>
        <v>36</v>
      </c>
      <c r="D9329">
        <v>6219</v>
      </c>
      <c r="E9329" t="str">
        <f>"75"</f>
        <v>75</v>
      </c>
      <c r="F9329" t="str">
        <f t="shared" si="2116"/>
        <v>001</v>
      </c>
      <c r="G9329">
        <v>9</v>
      </c>
      <c r="H9329" t="str">
        <f t="shared" si="2118"/>
        <v>91</v>
      </c>
      <c r="I9329" t="str">
        <f t="shared" si="2114"/>
        <v>0</v>
      </c>
      <c r="J9329" t="str">
        <f t="shared" si="2117"/>
        <v>00</v>
      </c>
      <c r="K9329">
        <v>20190125</v>
      </c>
      <c r="L9329" t="str">
        <f>"075324"</f>
        <v>075324</v>
      </c>
      <c r="M9329" t="str">
        <f>"10490"</f>
        <v>10490</v>
      </c>
      <c r="N9329" t="s">
        <v>1080</v>
      </c>
      <c r="O9329">
        <v>155</v>
      </c>
      <c r="P9329">
        <v>20190124</v>
      </c>
      <c r="Q9329" t="s">
        <v>7389</v>
      </c>
      <c r="R9329" t="s">
        <v>7390</v>
      </c>
      <c r="S9329" t="s">
        <v>7000</v>
      </c>
      <c r="T9329" t="s">
        <v>301</v>
      </c>
    </row>
    <row r="9330" spans="1:20" x14ac:dyDescent="0.25">
      <c r="A9330">
        <v>9</v>
      </c>
      <c r="B9330">
        <v>461</v>
      </c>
      <c r="C9330" t="str">
        <f t="shared" si="2111"/>
        <v>36</v>
      </c>
      <c r="D9330">
        <v>6399</v>
      </c>
      <c r="E9330" t="str">
        <f>"3A"</f>
        <v>3A</v>
      </c>
      <c r="F9330" t="str">
        <f t="shared" si="2116"/>
        <v>001</v>
      </c>
      <c r="G9330">
        <v>9</v>
      </c>
      <c r="H9330" t="str">
        <f t="shared" si="2118"/>
        <v>91</v>
      </c>
      <c r="I9330" t="str">
        <f t="shared" si="2114"/>
        <v>0</v>
      </c>
      <c r="J9330" t="str">
        <f t="shared" si="2117"/>
        <v>00</v>
      </c>
      <c r="K9330">
        <v>20190125</v>
      </c>
      <c r="L9330" t="str">
        <f>"075327"</f>
        <v>075327</v>
      </c>
      <c r="M9330" t="str">
        <f>"08788"</f>
        <v>08788</v>
      </c>
      <c r="N9330" t="s">
        <v>473</v>
      </c>
      <c r="O9330" s="1">
        <v>1526.39</v>
      </c>
      <c r="P9330">
        <v>20190124</v>
      </c>
      <c r="Q9330" t="s">
        <v>7175</v>
      </c>
      <c r="R9330" t="s">
        <v>7391</v>
      </c>
      <c r="S9330" t="s">
        <v>7000</v>
      </c>
      <c r="T9330" t="s">
        <v>301</v>
      </c>
    </row>
    <row r="9331" spans="1:20" x14ac:dyDescent="0.25">
      <c r="A9331">
        <v>9</v>
      </c>
      <c r="B9331">
        <v>461</v>
      </c>
      <c r="C9331" t="str">
        <f t="shared" si="2111"/>
        <v>36</v>
      </c>
      <c r="D9331">
        <v>6399</v>
      </c>
      <c r="E9331" t="str">
        <f>"3A"</f>
        <v>3A</v>
      </c>
      <c r="F9331" t="str">
        <f t="shared" si="2116"/>
        <v>001</v>
      </c>
      <c r="G9331">
        <v>9</v>
      </c>
      <c r="H9331" t="str">
        <f t="shared" si="2118"/>
        <v>91</v>
      </c>
      <c r="I9331" t="str">
        <f t="shared" si="2114"/>
        <v>0</v>
      </c>
      <c r="J9331" t="str">
        <f t="shared" si="2117"/>
        <v>00</v>
      </c>
      <c r="K9331">
        <v>20190125</v>
      </c>
      <c r="L9331" t="str">
        <f>"075327"</f>
        <v>075327</v>
      </c>
      <c r="M9331" t="str">
        <f>"08788"</f>
        <v>08788</v>
      </c>
      <c r="N9331" t="s">
        <v>473</v>
      </c>
      <c r="O9331">
        <v>333.24</v>
      </c>
      <c r="P9331">
        <v>20190124</v>
      </c>
      <c r="Q9331" t="s">
        <v>7175</v>
      </c>
      <c r="R9331" t="s">
        <v>3530</v>
      </c>
      <c r="S9331" t="s">
        <v>7000</v>
      </c>
      <c r="T9331" t="s">
        <v>301</v>
      </c>
    </row>
    <row r="9332" spans="1:20" x14ac:dyDescent="0.25">
      <c r="A9332">
        <v>9</v>
      </c>
      <c r="B9332">
        <v>461</v>
      </c>
      <c r="C9332" t="str">
        <f t="shared" si="2111"/>
        <v>36</v>
      </c>
      <c r="D9332">
        <v>6219</v>
      </c>
      <c r="E9332" t="str">
        <f t="shared" ref="E9332:E9337" si="2119">"75"</f>
        <v>75</v>
      </c>
      <c r="F9332" t="str">
        <f t="shared" si="2116"/>
        <v>001</v>
      </c>
      <c r="G9332">
        <v>9</v>
      </c>
      <c r="H9332" t="str">
        <f t="shared" si="2118"/>
        <v>91</v>
      </c>
      <c r="I9332" t="str">
        <f t="shared" si="2114"/>
        <v>0</v>
      </c>
      <c r="J9332" t="str">
        <f t="shared" si="2117"/>
        <v>00</v>
      </c>
      <c r="K9332">
        <v>20190125</v>
      </c>
      <c r="L9332" t="str">
        <f>"075330"</f>
        <v>075330</v>
      </c>
      <c r="M9332" t="str">
        <f>"19073"</f>
        <v>19073</v>
      </c>
      <c r="N9332" t="s">
        <v>710</v>
      </c>
      <c r="O9332">
        <v>155</v>
      </c>
      <c r="P9332">
        <v>20190124</v>
      </c>
      <c r="Q9332" t="s">
        <v>7389</v>
      </c>
      <c r="R9332" t="s">
        <v>7390</v>
      </c>
      <c r="S9332" t="s">
        <v>7000</v>
      </c>
      <c r="T9332" t="s">
        <v>301</v>
      </c>
    </row>
    <row r="9333" spans="1:20" x14ac:dyDescent="0.25">
      <c r="A9333">
        <v>9</v>
      </c>
      <c r="B9333">
        <v>461</v>
      </c>
      <c r="C9333" t="str">
        <f t="shared" si="2111"/>
        <v>36</v>
      </c>
      <c r="D9333">
        <v>6219</v>
      </c>
      <c r="E9333" t="str">
        <f t="shared" si="2119"/>
        <v>75</v>
      </c>
      <c r="F9333" t="str">
        <f t="shared" si="2116"/>
        <v>001</v>
      </c>
      <c r="G9333">
        <v>9</v>
      </c>
      <c r="H9333" t="str">
        <f t="shared" si="2118"/>
        <v>91</v>
      </c>
      <c r="I9333" t="str">
        <f t="shared" si="2114"/>
        <v>0</v>
      </c>
      <c r="J9333" t="str">
        <f t="shared" si="2117"/>
        <v>00</v>
      </c>
      <c r="K9333">
        <v>20190125</v>
      </c>
      <c r="L9333" t="str">
        <f>"075341"</f>
        <v>075341</v>
      </c>
      <c r="M9333" t="str">
        <f>"25100"</f>
        <v>25100</v>
      </c>
      <c r="N9333" t="s">
        <v>1098</v>
      </c>
      <c r="O9333">
        <v>70</v>
      </c>
      <c r="P9333">
        <v>20190124</v>
      </c>
      <c r="Q9333" t="s">
        <v>7389</v>
      </c>
      <c r="R9333" t="s">
        <v>7390</v>
      </c>
      <c r="S9333" t="s">
        <v>7000</v>
      </c>
      <c r="T9333" t="s">
        <v>301</v>
      </c>
    </row>
    <row r="9334" spans="1:20" x14ac:dyDescent="0.25">
      <c r="A9334">
        <v>9</v>
      </c>
      <c r="B9334">
        <v>461</v>
      </c>
      <c r="C9334" t="str">
        <f t="shared" si="2111"/>
        <v>36</v>
      </c>
      <c r="D9334">
        <v>6219</v>
      </c>
      <c r="E9334" t="str">
        <f t="shared" si="2119"/>
        <v>75</v>
      </c>
      <c r="F9334" t="str">
        <f t="shared" si="2116"/>
        <v>001</v>
      </c>
      <c r="G9334">
        <v>9</v>
      </c>
      <c r="H9334" t="str">
        <f t="shared" si="2118"/>
        <v>91</v>
      </c>
      <c r="I9334" t="str">
        <f t="shared" ref="I9334:I9365" si="2120">"0"</f>
        <v>0</v>
      </c>
      <c r="J9334" t="str">
        <f t="shared" si="2117"/>
        <v>00</v>
      </c>
      <c r="K9334">
        <v>20190125</v>
      </c>
      <c r="L9334" t="str">
        <f>"075341"</f>
        <v>075341</v>
      </c>
      <c r="M9334" t="str">
        <f>"25100"</f>
        <v>25100</v>
      </c>
      <c r="N9334" t="s">
        <v>1098</v>
      </c>
      <c r="O9334">
        <v>155</v>
      </c>
      <c r="P9334">
        <v>20190124</v>
      </c>
      <c r="Q9334" t="s">
        <v>7389</v>
      </c>
      <c r="R9334" t="s">
        <v>7390</v>
      </c>
      <c r="S9334" t="s">
        <v>7000</v>
      </c>
      <c r="T9334" t="s">
        <v>301</v>
      </c>
    </row>
    <row r="9335" spans="1:20" x14ac:dyDescent="0.25">
      <c r="A9335">
        <v>9</v>
      </c>
      <c r="B9335">
        <v>461</v>
      </c>
      <c r="C9335" t="str">
        <f t="shared" si="2111"/>
        <v>36</v>
      </c>
      <c r="D9335">
        <v>6219</v>
      </c>
      <c r="E9335" t="str">
        <f t="shared" si="2119"/>
        <v>75</v>
      </c>
      <c r="F9335" t="str">
        <f t="shared" si="2116"/>
        <v>001</v>
      </c>
      <c r="G9335">
        <v>9</v>
      </c>
      <c r="H9335" t="str">
        <f t="shared" si="2118"/>
        <v>91</v>
      </c>
      <c r="I9335" t="str">
        <f t="shared" si="2120"/>
        <v>0</v>
      </c>
      <c r="J9335" t="str">
        <f t="shared" si="2117"/>
        <v>00</v>
      </c>
      <c r="K9335">
        <v>20190125</v>
      </c>
      <c r="L9335" t="str">
        <f>"075343"</f>
        <v>075343</v>
      </c>
      <c r="M9335" t="str">
        <f>"25230"</f>
        <v>25230</v>
      </c>
      <c r="N9335" t="s">
        <v>965</v>
      </c>
      <c r="O9335">
        <v>155</v>
      </c>
      <c r="P9335">
        <v>20190124</v>
      </c>
      <c r="Q9335" t="s">
        <v>7389</v>
      </c>
      <c r="R9335" t="s">
        <v>7390</v>
      </c>
      <c r="S9335" t="s">
        <v>7000</v>
      </c>
      <c r="T9335" t="s">
        <v>301</v>
      </c>
    </row>
    <row r="9336" spans="1:20" x14ac:dyDescent="0.25">
      <c r="A9336">
        <v>9</v>
      </c>
      <c r="B9336">
        <v>461</v>
      </c>
      <c r="C9336" t="str">
        <f t="shared" si="2111"/>
        <v>36</v>
      </c>
      <c r="D9336">
        <v>6219</v>
      </c>
      <c r="E9336" t="str">
        <f t="shared" si="2119"/>
        <v>75</v>
      </c>
      <c r="F9336" t="str">
        <f t="shared" si="2116"/>
        <v>001</v>
      </c>
      <c r="G9336">
        <v>9</v>
      </c>
      <c r="H9336" t="str">
        <f t="shared" si="2118"/>
        <v>91</v>
      </c>
      <c r="I9336" t="str">
        <f t="shared" si="2120"/>
        <v>0</v>
      </c>
      <c r="J9336" t="str">
        <f t="shared" si="2117"/>
        <v>00</v>
      </c>
      <c r="K9336">
        <v>20190125</v>
      </c>
      <c r="L9336" t="str">
        <f>"075343"</f>
        <v>075343</v>
      </c>
      <c r="M9336" t="str">
        <f>"25230"</f>
        <v>25230</v>
      </c>
      <c r="N9336" t="s">
        <v>965</v>
      </c>
      <c r="O9336">
        <v>155</v>
      </c>
      <c r="P9336">
        <v>20190124</v>
      </c>
      <c r="Q9336" t="s">
        <v>7389</v>
      </c>
      <c r="R9336" t="s">
        <v>7390</v>
      </c>
      <c r="S9336" t="s">
        <v>7000</v>
      </c>
      <c r="T9336" t="s">
        <v>301</v>
      </c>
    </row>
    <row r="9337" spans="1:20" x14ac:dyDescent="0.25">
      <c r="A9337">
        <v>9</v>
      </c>
      <c r="B9337">
        <v>461</v>
      </c>
      <c r="C9337" t="str">
        <f t="shared" si="2111"/>
        <v>36</v>
      </c>
      <c r="D9337">
        <v>6219</v>
      </c>
      <c r="E9337" t="str">
        <f t="shared" si="2119"/>
        <v>75</v>
      </c>
      <c r="F9337" t="str">
        <f t="shared" si="2116"/>
        <v>001</v>
      </c>
      <c r="G9337">
        <v>9</v>
      </c>
      <c r="H9337" t="str">
        <f t="shared" si="2118"/>
        <v>91</v>
      </c>
      <c r="I9337" t="str">
        <f t="shared" si="2120"/>
        <v>0</v>
      </c>
      <c r="J9337" t="str">
        <f t="shared" si="2117"/>
        <v>00</v>
      </c>
      <c r="K9337">
        <v>20190125</v>
      </c>
      <c r="L9337" t="str">
        <f>"075343"</f>
        <v>075343</v>
      </c>
      <c r="M9337" t="str">
        <f>"25230"</f>
        <v>25230</v>
      </c>
      <c r="N9337" t="s">
        <v>965</v>
      </c>
      <c r="O9337">
        <v>155</v>
      </c>
      <c r="P9337">
        <v>20190124</v>
      </c>
      <c r="Q9337" t="s">
        <v>7389</v>
      </c>
      <c r="R9337" t="s">
        <v>7390</v>
      </c>
      <c r="S9337" t="s">
        <v>7000</v>
      </c>
      <c r="T9337" t="s">
        <v>301</v>
      </c>
    </row>
    <row r="9338" spans="1:20" x14ac:dyDescent="0.25">
      <c r="A9338">
        <v>9</v>
      </c>
      <c r="B9338">
        <v>461</v>
      </c>
      <c r="C9338" t="str">
        <f t="shared" si="2111"/>
        <v>36</v>
      </c>
      <c r="D9338">
        <v>6399</v>
      </c>
      <c r="E9338" t="str">
        <f>"3B"</f>
        <v>3B</v>
      </c>
      <c r="F9338" t="str">
        <f t="shared" si="2116"/>
        <v>001</v>
      </c>
      <c r="G9338">
        <v>9</v>
      </c>
      <c r="H9338" t="str">
        <f t="shared" si="2118"/>
        <v>91</v>
      </c>
      <c r="I9338" t="str">
        <f t="shared" si="2120"/>
        <v>0</v>
      </c>
      <c r="J9338" t="str">
        <f t="shared" si="2117"/>
        <v>00</v>
      </c>
      <c r="K9338">
        <v>20190125</v>
      </c>
      <c r="L9338" t="str">
        <f>"075348"</f>
        <v>075348</v>
      </c>
      <c r="M9338" t="str">
        <f>"27135"</f>
        <v>27135</v>
      </c>
      <c r="N9338" t="s">
        <v>521</v>
      </c>
      <c r="O9338">
        <v>84</v>
      </c>
      <c r="P9338">
        <v>20190124</v>
      </c>
      <c r="Q9338" t="s">
        <v>7024</v>
      </c>
      <c r="R9338" t="s">
        <v>7392</v>
      </c>
      <c r="S9338" t="s">
        <v>7000</v>
      </c>
      <c r="T9338" t="s">
        <v>301</v>
      </c>
    </row>
    <row r="9339" spans="1:20" x14ac:dyDescent="0.25">
      <c r="A9339">
        <v>9</v>
      </c>
      <c r="B9339">
        <v>461</v>
      </c>
      <c r="C9339" t="str">
        <f t="shared" si="2111"/>
        <v>36</v>
      </c>
      <c r="D9339">
        <v>6219</v>
      </c>
      <c r="E9339" t="str">
        <f t="shared" ref="E9339:E9348" si="2121">"75"</f>
        <v>75</v>
      </c>
      <c r="F9339" t="str">
        <f t="shared" si="2116"/>
        <v>001</v>
      </c>
      <c r="G9339">
        <v>9</v>
      </c>
      <c r="H9339" t="str">
        <f t="shared" si="2118"/>
        <v>91</v>
      </c>
      <c r="I9339" t="str">
        <f t="shared" si="2120"/>
        <v>0</v>
      </c>
      <c r="J9339" t="str">
        <f t="shared" si="2117"/>
        <v>00</v>
      </c>
      <c r="K9339">
        <v>20190125</v>
      </c>
      <c r="L9339" t="str">
        <f>"075359"</f>
        <v>075359</v>
      </c>
      <c r="M9339" t="str">
        <f>"30134"</f>
        <v>30134</v>
      </c>
      <c r="N9339" t="s">
        <v>969</v>
      </c>
      <c r="O9339">
        <v>225</v>
      </c>
      <c r="P9339">
        <v>20190124</v>
      </c>
      <c r="Q9339" t="s">
        <v>7389</v>
      </c>
      <c r="R9339" t="s">
        <v>7393</v>
      </c>
      <c r="S9339" t="s">
        <v>7000</v>
      </c>
      <c r="T9339" t="s">
        <v>301</v>
      </c>
    </row>
    <row r="9340" spans="1:20" x14ac:dyDescent="0.25">
      <c r="A9340">
        <v>9</v>
      </c>
      <c r="B9340">
        <v>461</v>
      </c>
      <c r="C9340" t="str">
        <f t="shared" si="2111"/>
        <v>36</v>
      </c>
      <c r="D9340">
        <v>6219</v>
      </c>
      <c r="E9340" t="str">
        <f t="shared" si="2121"/>
        <v>75</v>
      </c>
      <c r="F9340" t="str">
        <f t="shared" si="2116"/>
        <v>001</v>
      </c>
      <c r="G9340">
        <v>9</v>
      </c>
      <c r="H9340" t="str">
        <f t="shared" si="2118"/>
        <v>91</v>
      </c>
      <c r="I9340" t="str">
        <f t="shared" si="2120"/>
        <v>0</v>
      </c>
      <c r="J9340" t="str">
        <f t="shared" si="2117"/>
        <v>00</v>
      </c>
      <c r="K9340">
        <v>20190125</v>
      </c>
      <c r="L9340" t="str">
        <f>"075359"</f>
        <v>075359</v>
      </c>
      <c r="M9340" t="str">
        <f>"30134"</f>
        <v>30134</v>
      </c>
      <c r="N9340" t="s">
        <v>969</v>
      </c>
      <c r="O9340">
        <v>155</v>
      </c>
      <c r="P9340">
        <v>20190124</v>
      </c>
      <c r="Q9340" t="s">
        <v>7389</v>
      </c>
      <c r="R9340" t="s">
        <v>7393</v>
      </c>
      <c r="S9340" t="s">
        <v>7000</v>
      </c>
      <c r="T9340" t="s">
        <v>301</v>
      </c>
    </row>
    <row r="9341" spans="1:20" x14ac:dyDescent="0.25">
      <c r="A9341">
        <v>9</v>
      </c>
      <c r="B9341">
        <v>461</v>
      </c>
      <c r="C9341" t="str">
        <f t="shared" si="2111"/>
        <v>36</v>
      </c>
      <c r="D9341">
        <v>6219</v>
      </c>
      <c r="E9341" t="str">
        <f t="shared" si="2121"/>
        <v>75</v>
      </c>
      <c r="F9341" t="str">
        <f t="shared" si="2116"/>
        <v>001</v>
      </c>
      <c r="G9341">
        <v>9</v>
      </c>
      <c r="H9341" t="str">
        <f t="shared" si="2118"/>
        <v>91</v>
      </c>
      <c r="I9341" t="str">
        <f t="shared" si="2120"/>
        <v>0</v>
      </c>
      <c r="J9341" t="str">
        <f t="shared" si="2117"/>
        <v>00</v>
      </c>
      <c r="K9341">
        <v>20190125</v>
      </c>
      <c r="L9341" t="str">
        <f>"075359"</f>
        <v>075359</v>
      </c>
      <c r="M9341" t="str">
        <f>"30134"</f>
        <v>30134</v>
      </c>
      <c r="N9341" t="s">
        <v>969</v>
      </c>
      <c r="O9341">
        <v>155</v>
      </c>
      <c r="P9341">
        <v>20190124</v>
      </c>
      <c r="Q9341" t="s">
        <v>7389</v>
      </c>
      <c r="R9341" t="s">
        <v>7393</v>
      </c>
      <c r="S9341" t="s">
        <v>7000</v>
      </c>
      <c r="T9341" t="s">
        <v>301</v>
      </c>
    </row>
    <row r="9342" spans="1:20" x14ac:dyDescent="0.25">
      <c r="A9342">
        <v>9</v>
      </c>
      <c r="B9342">
        <v>461</v>
      </c>
      <c r="C9342" t="str">
        <f t="shared" si="2111"/>
        <v>36</v>
      </c>
      <c r="D9342">
        <v>6219</v>
      </c>
      <c r="E9342" t="str">
        <f t="shared" si="2121"/>
        <v>75</v>
      </c>
      <c r="F9342" t="str">
        <f t="shared" si="2116"/>
        <v>001</v>
      </c>
      <c r="G9342">
        <v>9</v>
      </c>
      <c r="H9342" t="str">
        <f t="shared" si="2118"/>
        <v>91</v>
      </c>
      <c r="I9342" t="str">
        <f t="shared" si="2120"/>
        <v>0</v>
      </c>
      <c r="J9342" t="str">
        <f t="shared" si="2117"/>
        <v>00</v>
      </c>
      <c r="K9342">
        <v>20190125</v>
      </c>
      <c r="L9342" t="str">
        <f>"075360"</f>
        <v>075360</v>
      </c>
      <c r="M9342" t="str">
        <f>"31310"</f>
        <v>31310</v>
      </c>
      <c r="N9342" t="s">
        <v>624</v>
      </c>
      <c r="O9342">
        <v>155</v>
      </c>
      <c r="P9342">
        <v>20190124</v>
      </c>
      <c r="Q9342" t="s">
        <v>7389</v>
      </c>
      <c r="R9342" t="s">
        <v>7390</v>
      </c>
      <c r="S9342" t="s">
        <v>7000</v>
      </c>
      <c r="T9342" t="s">
        <v>301</v>
      </c>
    </row>
    <row r="9343" spans="1:20" x14ac:dyDescent="0.25">
      <c r="A9343">
        <v>9</v>
      </c>
      <c r="B9343">
        <v>461</v>
      </c>
      <c r="C9343" t="str">
        <f t="shared" si="2111"/>
        <v>36</v>
      </c>
      <c r="D9343">
        <v>6219</v>
      </c>
      <c r="E9343" t="str">
        <f t="shared" si="2121"/>
        <v>75</v>
      </c>
      <c r="F9343" t="str">
        <f t="shared" si="2116"/>
        <v>001</v>
      </c>
      <c r="G9343">
        <v>9</v>
      </c>
      <c r="H9343" t="str">
        <f t="shared" si="2118"/>
        <v>91</v>
      </c>
      <c r="I9343" t="str">
        <f t="shared" si="2120"/>
        <v>0</v>
      </c>
      <c r="J9343" t="str">
        <f t="shared" si="2117"/>
        <v>00</v>
      </c>
      <c r="K9343">
        <v>20190125</v>
      </c>
      <c r="L9343" t="str">
        <f>"075363"</f>
        <v>075363</v>
      </c>
      <c r="M9343" t="str">
        <f>"33712"</f>
        <v>33712</v>
      </c>
      <c r="N9343" t="s">
        <v>846</v>
      </c>
      <c r="O9343">
        <v>155</v>
      </c>
      <c r="P9343">
        <v>20190124</v>
      </c>
      <c r="Q9343" t="s">
        <v>7389</v>
      </c>
      <c r="R9343" t="s">
        <v>7390</v>
      </c>
      <c r="S9343" t="s">
        <v>7000</v>
      </c>
      <c r="T9343" t="s">
        <v>301</v>
      </c>
    </row>
    <row r="9344" spans="1:20" x14ac:dyDescent="0.25">
      <c r="A9344">
        <v>9</v>
      </c>
      <c r="B9344">
        <v>461</v>
      </c>
      <c r="C9344" t="str">
        <f t="shared" si="2111"/>
        <v>36</v>
      </c>
      <c r="D9344">
        <v>6219</v>
      </c>
      <c r="E9344" t="str">
        <f t="shared" si="2121"/>
        <v>75</v>
      </c>
      <c r="F9344" t="str">
        <f t="shared" si="2116"/>
        <v>001</v>
      </c>
      <c r="G9344">
        <v>9</v>
      </c>
      <c r="H9344" t="str">
        <f t="shared" si="2118"/>
        <v>91</v>
      </c>
      <c r="I9344" t="str">
        <f t="shared" si="2120"/>
        <v>0</v>
      </c>
      <c r="J9344" t="str">
        <f t="shared" si="2117"/>
        <v>00</v>
      </c>
      <c r="K9344">
        <v>20190125</v>
      </c>
      <c r="L9344" t="str">
        <f>"075365"</f>
        <v>075365</v>
      </c>
      <c r="M9344" t="str">
        <f>"36704"</f>
        <v>36704</v>
      </c>
      <c r="N9344" t="s">
        <v>485</v>
      </c>
      <c r="O9344">
        <v>155</v>
      </c>
      <c r="P9344">
        <v>20190124</v>
      </c>
      <c r="Q9344" t="s">
        <v>7389</v>
      </c>
      <c r="R9344" t="s">
        <v>7393</v>
      </c>
      <c r="S9344" t="s">
        <v>7000</v>
      </c>
      <c r="T9344" t="s">
        <v>301</v>
      </c>
    </row>
    <row r="9345" spans="1:20" x14ac:dyDescent="0.25">
      <c r="A9345">
        <v>9</v>
      </c>
      <c r="B9345">
        <v>461</v>
      </c>
      <c r="C9345" t="str">
        <f t="shared" si="2111"/>
        <v>36</v>
      </c>
      <c r="D9345">
        <v>6219</v>
      </c>
      <c r="E9345" t="str">
        <f t="shared" si="2121"/>
        <v>75</v>
      </c>
      <c r="F9345" t="str">
        <f t="shared" si="2116"/>
        <v>001</v>
      </c>
      <c r="G9345">
        <v>9</v>
      </c>
      <c r="H9345" t="str">
        <f t="shared" si="2118"/>
        <v>91</v>
      </c>
      <c r="I9345" t="str">
        <f t="shared" si="2120"/>
        <v>0</v>
      </c>
      <c r="J9345" t="str">
        <f t="shared" si="2117"/>
        <v>00</v>
      </c>
      <c r="K9345">
        <v>20190125</v>
      </c>
      <c r="L9345" t="str">
        <f>"075365"</f>
        <v>075365</v>
      </c>
      <c r="M9345" t="str">
        <f>"36704"</f>
        <v>36704</v>
      </c>
      <c r="N9345" t="s">
        <v>485</v>
      </c>
      <c r="O9345">
        <v>225</v>
      </c>
      <c r="P9345">
        <v>20190124</v>
      </c>
      <c r="Q9345" t="s">
        <v>7389</v>
      </c>
      <c r="R9345" t="s">
        <v>7393</v>
      </c>
      <c r="S9345" t="s">
        <v>7000</v>
      </c>
      <c r="T9345" t="s">
        <v>301</v>
      </c>
    </row>
    <row r="9346" spans="1:20" x14ac:dyDescent="0.25">
      <c r="A9346">
        <v>9</v>
      </c>
      <c r="B9346">
        <v>461</v>
      </c>
      <c r="C9346" t="str">
        <f t="shared" si="2111"/>
        <v>36</v>
      </c>
      <c r="D9346">
        <v>6219</v>
      </c>
      <c r="E9346" t="str">
        <f t="shared" si="2121"/>
        <v>75</v>
      </c>
      <c r="F9346" t="str">
        <f t="shared" si="2116"/>
        <v>001</v>
      </c>
      <c r="G9346">
        <v>9</v>
      </c>
      <c r="H9346" t="str">
        <f t="shared" si="2118"/>
        <v>91</v>
      </c>
      <c r="I9346" t="str">
        <f t="shared" si="2120"/>
        <v>0</v>
      </c>
      <c r="J9346" t="str">
        <f t="shared" si="2117"/>
        <v>00</v>
      </c>
      <c r="K9346">
        <v>20190125</v>
      </c>
      <c r="L9346" t="str">
        <f>"075368"</f>
        <v>075368</v>
      </c>
      <c r="M9346" t="str">
        <f>"39268"</f>
        <v>39268</v>
      </c>
      <c r="N9346" t="s">
        <v>728</v>
      </c>
      <c r="O9346">
        <v>295</v>
      </c>
      <c r="P9346">
        <v>20190124</v>
      </c>
      <c r="Q9346" t="s">
        <v>7389</v>
      </c>
      <c r="R9346" t="s">
        <v>7393</v>
      </c>
      <c r="S9346" t="s">
        <v>7000</v>
      </c>
      <c r="T9346" t="s">
        <v>301</v>
      </c>
    </row>
    <row r="9347" spans="1:20" x14ac:dyDescent="0.25">
      <c r="A9347">
        <v>9</v>
      </c>
      <c r="B9347">
        <v>461</v>
      </c>
      <c r="C9347" t="str">
        <f t="shared" si="2111"/>
        <v>36</v>
      </c>
      <c r="D9347">
        <v>6219</v>
      </c>
      <c r="E9347" t="str">
        <f t="shared" si="2121"/>
        <v>75</v>
      </c>
      <c r="F9347" t="str">
        <f t="shared" si="2116"/>
        <v>001</v>
      </c>
      <c r="G9347">
        <v>9</v>
      </c>
      <c r="H9347" t="str">
        <f t="shared" si="2118"/>
        <v>91</v>
      </c>
      <c r="I9347" t="str">
        <f t="shared" si="2120"/>
        <v>0</v>
      </c>
      <c r="J9347" t="str">
        <f t="shared" si="2117"/>
        <v>00</v>
      </c>
      <c r="K9347">
        <v>20190125</v>
      </c>
      <c r="L9347" t="str">
        <f>"075368"</f>
        <v>075368</v>
      </c>
      <c r="M9347" t="str">
        <f>"39268"</f>
        <v>39268</v>
      </c>
      <c r="N9347" t="s">
        <v>728</v>
      </c>
      <c r="O9347">
        <v>155</v>
      </c>
      <c r="P9347">
        <v>20190124</v>
      </c>
      <c r="Q9347" t="s">
        <v>7389</v>
      </c>
      <c r="R9347" t="s">
        <v>7393</v>
      </c>
      <c r="S9347" t="s">
        <v>7000</v>
      </c>
      <c r="T9347" t="s">
        <v>301</v>
      </c>
    </row>
    <row r="9348" spans="1:20" x14ac:dyDescent="0.25">
      <c r="A9348">
        <v>9</v>
      </c>
      <c r="B9348">
        <v>461</v>
      </c>
      <c r="C9348" t="str">
        <f t="shared" si="2111"/>
        <v>36</v>
      </c>
      <c r="D9348">
        <v>6219</v>
      </c>
      <c r="E9348" t="str">
        <f t="shared" si="2121"/>
        <v>75</v>
      </c>
      <c r="F9348" t="str">
        <f t="shared" si="2116"/>
        <v>001</v>
      </c>
      <c r="G9348">
        <v>9</v>
      </c>
      <c r="H9348" t="str">
        <f t="shared" si="2118"/>
        <v>91</v>
      </c>
      <c r="I9348" t="str">
        <f t="shared" si="2120"/>
        <v>0</v>
      </c>
      <c r="J9348" t="str">
        <f t="shared" si="2117"/>
        <v>00</v>
      </c>
      <c r="K9348">
        <v>20190125</v>
      </c>
      <c r="L9348" t="str">
        <f>"075375"</f>
        <v>075375</v>
      </c>
      <c r="M9348" t="str">
        <f>"42199"</f>
        <v>42199</v>
      </c>
      <c r="N9348" t="s">
        <v>788</v>
      </c>
      <c r="O9348">
        <v>155</v>
      </c>
      <c r="P9348">
        <v>20190124</v>
      </c>
      <c r="Q9348" t="s">
        <v>7389</v>
      </c>
      <c r="R9348" t="s">
        <v>7390</v>
      </c>
      <c r="S9348" t="s">
        <v>7000</v>
      </c>
      <c r="T9348" t="s">
        <v>301</v>
      </c>
    </row>
    <row r="9349" spans="1:20" x14ac:dyDescent="0.25">
      <c r="A9349">
        <v>9</v>
      </c>
      <c r="B9349">
        <v>461</v>
      </c>
      <c r="C9349" t="str">
        <f t="shared" si="2111"/>
        <v>36</v>
      </c>
      <c r="D9349">
        <v>6412</v>
      </c>
      <c r="E9349" t="str">
        <f>"3D"</f>
        <v>3D</v>
      </c>
      <c r="F9349" t="str">
        <f>"041"</f>
        <v>041</v>
      </c>
      <c r="G9349">
        <v>9</v>
      </c>
      <c r="H9349" t="str">
        <f t="shared" si="2118"/>
        <v>91</v>
      </c>
      <c r="I9349" t="str">
        <f t="shared" si="2120"/>
        <v>0</v>
      </c>
      <c r="J9349" t="str">
        <f t="shared" si="2117"/>
        <v>00</v>
      </c>
      <c r="K9349">
        <v>20190125</v>
      </c>
      <c r="L9349" t="str">
        <f>"075376"</f>
        <v>075376</v>
      </c>
      <c r="M9349" t="str">
        <f>"45093"</f>
        <v>45093</v>
      </c>
      <c r="N9349" t="s">
        <v>885</v>
      </c>
      <c r="O9349">
        <v>150.6</v>
      </c>
      <c r="P9349">
        <v>20190125</v>
      </c>
      <c r="Q9349" t="s">
        <v>7224</v>
      </c>
      <c r="R9349" t="s">
        <v>7394</v>
      </c>
      <c r="S9349" t="s">
        <v>7000</v>
      </c>
      <c r="T9349" t="s">
        <v>106</v>
      </c>
    </row>
    <row r="9350" spans="1:20" x14ac:dyDescent="0.25">
      <c r="A9350">
        <v>9</v>
      </c>
      <c r="B9350">
        <v>461</v>
      </c>
      <c r="C9350" t="str">
        <f t="shared" si="2111"/>
        <v>36</v>
      </c>
      <c r="D9350">
        <v>6219</v>
      </c>
      <c r="E9350" t="str">
        <f t="shared" ref="E9350:E9359" si="2122">"75"</f>
        <v>75</v>
      </c>
      <c r="F9350" t="str">
        <f t="shared" ref="F9350:F9360" si="2123">"001"</f>
        <v>001</v>
      </c>
      <c r="G9350">
        <v>9</v>
      </c>
      <c r="H9350" t="str">
        <f t="shared" si="2118"/>
        <v>91</v>
      </c>
      <c r="I9350" t="str">
        <f t="shared" si="2120"/>
        <v>0</v>
      </c>
      <c r="J9350" t="str">
        <f t="shared" si="2117"/>
        <v>00</v>
      </c>
      <c r="K9350">
        <v>20190125</v>
      </c>
      <c r="L9350" t="str">
        <f>"075377"</f>
        <v>075377</v>
      </c>
      <c r="M9350" t="str">
        <f>"45175"</f>
        <v>45175</v>
      </c>
      <c r="N9350" t="s">
        <v>789</v>
      </c>
      <c r="O9350">
        <v>15</v>
      </c>
      <c r="P9350">
        <v>20190124</v>
      </c>
      <c r="Q9350" t="s">
        <v>7389</v>
      </c>
      <c r="R9350" t="s">
        <v>7390</v>
      </c>
      <c r="S9350" t="s">
        <v>7000</v>
      </c>
      <c r="T9350" t="s">
        <v>301</v>
      </c>
    </row>
    <row r="9351" spans="1:20" x14ac:dyDescent="0.25">
      <c r="A9351">
        <v>9</v>
      </c>
      <c r="B9351">
        <v>461</v>
      </c>
      <c r="C9351" t="str">
        <f t="shared" si="2111"/>
        <v>36</v>
      </c>
      <c r="D9351">
        <v>6219</v>
      </c>
      <c r="E9351" t="str">
        <f t="shared" si="2122"/>
        <v>75</v>
      </c>
      <c r="F9351" t="str">
        <f t="shared" si="2123"/>
        <v>001</v>
      </c>
      <c r="G9351">
        <v>9</v>
      </c>
      <c r="H9351" t="str">
        <f t="shared" si="2118"/>
        <v>91</v>
      </c>
      <c r="I9351" t="str">
        <f t="shared" si="2120"/>
        <v>0</v>
      </c>
      <c r="J9351" t="str">
        <f t="shared" si="2117"/>
        <v>00</v>
      </c>
      <c r="K9351">
        <v>20190125</v>
      </c>
      <c r="L9351" t="str">
        <f>"075381"</f>
        <v>075381</v>
      </c>
      <c r="M9351" t="str">
        <f>"46226"</f>
        <v>46226</v>
      </c>
      <c r="N9351" t="s">
        <v>732</v>
      </c>
      <c r="O9351">
        <v>155</v>
      </c>
      <c r="P9351">
        <v>20190124</v>
      </c>
      <c r="Q9351" t="s">
        <v>7389</v>
      </c>
      <c r="R9351" t="s">
        <v>7390</v>
      </c>
      <c r="S9351" t="s">
        <v>7000</v>
      </c>
      <c r="T9351" t="s">
        <v>301</v>
      </c>
    </row>
    <row r="9352" spans="1:20" x14ac:dyDescent="0.25">
      <c r="A9352">
        <v>9</v>
      </c>
      <c r="B9352">
        <v>461</v>
      </c>
      <c r="C9352" t="str">
        <f t="shared" si="2111"/>
        <v>36</v>
      </c>
      <c r="D9352">
        <v>6219</v>
      </c>
      <c r="E9352" t="str">
        <f t="shared" si="2122"/>
        <v>75</v>
      </c>
      <c r="F9352" t="str">
        <f t="shared" si="2123"/>
        <v>001</v>
      </c>
      <c r="G9352">
        <v>9</v>
      </c>
      <c r="H9352" t="str">
        <f t="shared" si="2118"/>
        <v>91</v>
      </c>
      <c r="I9352" t="str">
        <f t="shared" si="2120"/>
        <v>0</v>
      </c>
      <c r="J9352" t="str">
        <f t="shared" si="2117"/>
        <v>00</v>
      </c>
      <c r="K9352">
        <v>20190125</v>
      </c>
      <c r="L9352" t="str">
        <f>"075385"</f>
        <v>075385</v>
      </c>
      <c r="M9352" t="str">
        <f>"48074"</f>
        <v>48074</v>
      </c>
      <c r="N9352" t="s">
        <v>735</v>
      </c>
      <c r="O9352">
        <v>155</v>
      </c>
      <c r="P9352">
        <v>20190124</v>
      </c>
      <c r="Q9352" t="s">
        <v>7389</v>
      </c>
      <c r="R9352" t="s">
        <v>7390</v>
      </c>
      <c r="S9352" t="s">
        <v>7000</v>
      </c>
      <c r="T9352" t="s">
        <v>301</v>
      </c>
    </row>
    <row r="9353" spans="1:20" x14ac:dyDescent="0.25">
      <c r="A9353">
        <v>9</v>
      </c>
      <c r="B9353">
        <v>461</v>
      </c>
      <c r="C9353" t="str">
        <f t="shared" si="2111"/>
        <v>36</v>
      </c>
      <c r="D9353">
        <v>6219</v>
      </c>
      <c r="E9353" t="str">
        <f t="shared" si="2122"/>
        <v>75</v>
      </c>
      <c r="F9353" t="str">
        <f t="shared" si="2123"/>
        <v>001</v>
      </c>
      <c r="G9353">
        <v>9</v>
      </c>
      <c r="H9353" t="str">
        <f t="shared" si="2118"/>
        <v>91</v>
      </c>
      <c r="I9353" t="str">
        <f t="shared" si="2120"/>
        <v>0</v>
      </c>
      <c r="J9353" t="str">
        <f t="shared" si="2117"/>
        <v>00</v>
      </c>
      <c r="K9353">
        <v>20190125</v>
      </c>
      <c r="L9353" t="str">
        <f>"075385"</f>
        <v>075385</v>
      </c>
      <c r="M9353" t="str">
        <f>"48074"</f>
        <v>48074</v>
      </c>
      <c r="N9353" t="s">
        <v>735</v>
      </c>
      <c r="O9353">
        <v>155</v>
      </c>
      <c r="P9353">
        <v>20190124</v>
      </c>
      <c r="Q9353" t="s">
        <v>7389</v>
      </c>
      <c r="R9353" t="s">
        <v>7390</v>
      </c>
      <c r="S9353" t="s">
        <v>7000</v>
      </c>
      <c r="T9353" t="s">
        <v>301</v>
      </c>
    </row>
    <row r="9354" spans="1:20" x14ac:dyDescent="0.25">
      <c r="A9354">
        <v>9</v>
      </c>
      <c r="B9354">
        <v>461</v>
      </c>
      <c r="C9354" t="str">
        <f t="shared" si="2111"/>
        <v>36</v>
      </c>
      <c r="D9354">
        <v>6219</v>
      </c>
      <c r="E9354" t="str">
        <f t="shared" si="2122"/>
        <v>75</v>
      </c>
      <c r="F9354" t="str">
        <f t="shared" si="2123"/>
        <v>001</v>
      </c>
      <c r="G9354">
        <v>9</v>
      </c>
      <c r="H9354" t="str">
        <f t="shared" si="2118"/>
        <v>91</v>
      </c>
      <c r="I9354" t="str">
        <f t="shared" si="2120"/>
        <v>0</v>
      </c>
      <c r="J9354" t="str">
        <f t="shared" si="2117"/>
        <v>00</v>
      </c>
      <c r="K9354">
        <v>20190125</v>
      </c>
      <c r="L9354" t="str">
        <f>"075388"</f>
        <v>075388</v>
      </c>
      <c r="M9354" t="str">
        <f>"53073"</f>
        <v>53073</v>
      </c>
      <c r="N9354" t="s">
        <v>740</v>
      </c>
      <c r="O9354">
        <v>225</v>
      </c>
      <c r="P9354">
        <v>20190124</v>
      </c>
      <c r="Q9354" t="s">
        <v>7389</v>
      </c>
      <c r="R9354" t="s">
        <v>7390</v>
      </c>
      <c r="S9354" t="s">
        <v>7000</v>
      </c>
      <c r="T9354" t="s">
        <v>301</v>
      </c>
    </row>
    <row r="9355" spans="1:20" x14ac:dyDescent="0.25">
      <c r="A9355">
        <v>9</v>
      </c>
      <c r="B9355">
        <v>461</v>
      </c>
      <c r="C9355" t="str">
        <f t="shared" si="2111"/>
        <v>36</v>
      </c>
      <c r="D9355">
        <v>6219</v>
      </c>
      <c r="E9355" t="str">
        <f t="shared" si="2122"/>
        <v>75</v>
      </c>
      <c r="F9355" t="str">
        <f t="shared" si="2123"/>
        <v>001</v>
      </c>
      <c r="G9355">
        <v>9</v>
      </c>
      <c r="H9355" t="str">
        <f t="shared" si="2118"/>
        <v>91</v>
      </c>
      <c r="I9355" t="str">
        <f t="shared" si="2120"/>
        <v>0</v>
      </c>
      <c r="J9355" t="str">
        <f t="shared" si="2117"/>
        <v>00</v>
      </c>
      <c r="K9355">
        <v>20190125</v>
      </c>
      <c r="L9355" t="str">
        <f>"075391"</f>
        <v>075391</v>
      </c>
      <c r="M9355" t="str">
        <f>"53458"</f>
        <v>53458</v>
      </c>
      <c r="N9355" t="s">
        <v>742</v>
      </c>
      <c r="O9355">
        <v>155</v>
      </c>
      <c r="P9355">
        <v>20190124</v>
      </c>
      <c r="Q9355" t="s">
        <v>7389</v>
      </c>
      <c r="R9355" t="s">
        <v>7390</v>
      </c>
      <c r="S9355" t="s">
        <v>7000</v>
      </c>
      <c r="T9355" t="s">
        <v>301</v>
      </c>
    </row>
    <row r="9356" spans="1:20" x14ac:dyDescent="0.25">
      <c r="A9356">
        <v>9</v>
      </c>
      <c r="B9356">
        <v>461</v>
      </c>
      <c r="C9356" t="str">
        <f t="shared" si="2111"/>
        <v>36</v>
      </c>
      <c r="D9356">
        <v>6219</v>
      </c>
      <c r="E9356" t="str">
        <f t="shared" si="2122"/>
        <v>75</v>
      </c>
      <c r="F9356" t="str">
        <f t="shared" si="2123"/>
        <v>001</v>
      </c>
      <c r="G9356">
        <v>9</v>
      </c>
      <c r="H9356" t="str">
        <f t="shared" si="2118"/>
        <v>91</v>
      </c>
      <c r="I9356" t="str">
        <f t="shared" si="2120"/>
        <v>0</v>
      </c>
      <c r="J9356" t="str">
        <f t="shared" si="2117"/>
        <v>00</v>
      </c>
      <c r="K9356">
        <v>20190125</v>
      </c>
      <c r="L9356" t="str">
        <f>"075391"</f>
        <v>075391</v>
      </c>
      <c r="M9356" t="str">
        <f>"53458"</f>
        <v>53458</v>
      </c>
      <c r="N9356" t="s">
        <v>742</v>
      </c>
      <c r="O9356">
        <v>225</v>
      </c>
      <c r="P9356">
        <v>20190124</v>
      </c>
      <c r="Q9356" t="s">
        <v>7389</v>
      </c>
      <c r="R9356" t="s">
        <v>7390</v>
      </c>
      <c r="S9356" t="s">
        <v>7000</v>
      </c>
      <c r="T9356" t="s">
        <v>301</v>
      </c>
    </row>
    <row r="9357" spans="1:20" x14ac:dyDescent="0.25">
      <c r="A9357">
        <v>9</v>
      </c>
      <c r="B9357">
        <v>461</v>
      </c>
      <c r="C9357" t="str">
        <f t="shared" si="2111"/>
        <v>36</v>
      </c>
      <c r="D9357">
        <v>6219</v>
      </c>
      <c r="E9357" t="str">
        <f t="shared" si="2122"/>
        <v>75</v>
      </c>
      <c r="F9357" t="str">
        <f t="shared" si="2123"/>
        <v>001</v>
      </c>
      <c r="G9357">
        <v>9</v>
      </c>
      <c r="H9357" t="str">
        <f t="shared" si="2118"/>
        <v>91</v>
      </c>
      <c r="I9357" t="str">
        <f t="shared" si="2120"/>
        <v>0</v>
      </c>
      <c r="J9357" t="str">
        <f t="shared" si="2117"/>
        <v>00</v>
      </c>
      <c r="K9357">
        <v>20190125</v>
      </c>
      <c r="L9357" t="str">
        <f>"075393"</f>
        <v>075393</v>
      </c>
      <c r="M9357" t="str">
        <f>"55503"</f>
        <v>55503</v>
      </c>
      <c r="N9357" t="s">
        <v>7395</v>
      </c>
      <c r="O9357">
        <v>155</v>
      </c>
      <c r="P9357">
        <v>20190124</v>
      </c>
      <c r="Q9357" t="s">
        <v>7389</v>
      </c>
      <c r="R9357" t="s">
        <v>7393</v>
      </c>
      <c r="S9357" t="s">
        <v>7000</v>
      </c>
      <c r="T9357" t="s">
        <v>301</v>
      </c>
    </row>
    <row r="9358" spans="1:20" x14ac:dyDescent="0.25">
      <c r="A9358">
        <v>9</v>
      </c>
      <c r="B9358">
        <v>461</v>
      </c>
      <c r="C9358" t="str">
        <f t="shared" si="2111"/>
        <v>36</v>
      </c>
      <c r="D9358">
        <v>6219</v>
      </c>
      <c r="E9358" t="str">
        <f t="shared" si="2122"/>
        <v>75</v>
      </c>
      <c r="F9358" t="str">
        <f t="shared" si="2123"/>
        <v>001</v>
      </c>
      <c r="G9358">
        <v>9</v>
      </c>
      <c r="H9358" t="str">
        <f t="shared" si="2118"/>
        <v>91</v>
      </c>
      <c r="I9358" t="str">
        <f t="shared" si="2120"/>
        <v>0</v>
      </c>
      <c r="J9358" t="str">
        <f t="shared" ref="J9358:J9389" si="2124">"00"</f>
        <v>00</v>
      </c>
      <c r="K9358">
        <v>20190125</v>
      </c>
      <c r="L9358" t="str">
        <f>"075393"</f>
        <v>075393</v>
      </c>
      <c r="M9358" t="str">
        <f>"55503"</f>
        <v>55503</v>
      </c>
      <c r="N9358" t="s">
        <v>7395</v>
      </c>
      <c r="O9358">
        <v>225</v>
      </c>
      <c r="P9358">
        <v>20190124</v>
      </c>
      <c r="Q9358" t="s">
        <v>7389</v>
      </c>
      <c r="R9358" t="s">
        <v>7393</v>
      </c>
      <c r="S9358" t="s">
        <v>7000</v>
      </c>
      <c r="T9358" t="s">
        <v>301</v>
      </c>
    </row>
    <row r="9359" spans="1:20" x14ac:dyDescent="0.25">
      <c r="A9359">
        <v>9</v>
      </c>
      <c r="B9359">
        <v>461</v>
      </c>
      <c r="C9359" t="str">
        <f t="shared" si="2111"/>
        <v>36</v>
      </c>
      <c r="D9359">
        <v>6219</v>
      </c>
      <c r="E9359" t="str">
        <f t="shared" si="2122"/>
        <v>75</v>
      </c>
      <c r="F9359" t="str">
        <f t="shared" si="2123"/>
        <v>001</v>
      </c>
      <c r="G9359">
        <v>9</v>
      </c>
      <c r="H9359" t="str">
        <f t="shared" si="2118"/>
        <v>91</v>
      </c>
      <c r="I9359" t="str">
        <f t="shared" si="2120"/>
        <v>0</v>
      </c>
      <c r="J9359" t="str">
        <f t="shared" si="2124"/>
        <v>00</v>
      </c>
      <c r="K9359">
        <v>20190125</v>
      </c>
      <c r="L9359" t="str">
        <f>"075393"</f>
        <v>075393</v>
      </c>
      <c r="M9359" t="str">
        <f>"55503"</f>
        <v>55503</v>
      </c>
      <c r="N9359" t="s">
        <v>7395</v>
      </c>
      <c r="O9359">
        <v>155</v>
      </c>
      <c r="P9359">
        <v>20190124</v>
      </c>
      <c r="Q9359" t="s">
        <v>7389</v>
      </c>
      <c r="R9359" t="s">
        <v>7393</v>
      </c>
      <c r="S9359" t="s">
        <v>7000</v>
      </c>
      <c r="T9359" t="s">
        <v>301</v>
      </c>
    </row>
    <row r="9360" spans="1:20" x14ac:dyDescent="0.25">
      <c r="A9360">
        <v>9</v>
      </c>
      <c r="B9360">
        <v>461</v>
      </c>
      <c r="C9360" t="str">
        <f t="shared" ref="C9360:C9423" si="2125">"36"</f>
        <v>36</v>
      </c>
      <c r="D9360">
        <v>6269</v>
      </c>
      <c r="E9360" t="str">
        <f>"7K"</f>
        <v>7K</v>
      </c>
      <c r="F9360" t="str">
        <f t="shared" si="2123"/>
        <v>001</v>
      </c>
      <c r="G9360">
        <v>9</v>
      </c>
      <c r="H9360" t="str">
        <f>"99"</f>
        <v>99</v>
      </c>
      <c r="I9360" t="str">
        <f t="shared" si="2120"/>
        <v>0</v>
      </c>
      <c r="J9360" t="str">
        <f t="shared" si="2124"/>
        <v>00</v>
      </c>
      <c r="K9360">
        <v>20190125</v>
      </c>
      <c r="L9360" t="str">
        <f>"075394"</f>
        <v>075394</v>
      </c>
      <c r="M9360" t="str">
        <f>"57697"</f>
        <v>57697</v>
      </c>
      <c r="N9360" t="s">
        <v>1902</v>
      </c>
      <c r="O9360">
        <v>82.6</v>
      </c>
      <c r="P9360">
        <v>20190124</v>
      </c>
      <c r="Q9360" t="s">
        <v>7365</v>
      </c>
      <c r="R9360" t="s">
        <v>2975</v>
      </c>
      <c r="S9360" t="s">
        <v>7000</v>
      </c>
      <c r="T9360" t="s">
        <v>301</v>
      </c>
    </row>
    <row r="9361" spans="1:20" x14ac:dyDescent="0.25">
      <c r="A9361">
        <v>9</v>
      </c>
      <c r="B9361">
        <v>461</v>
      </c>
      <c r="C9361" t="str">
        <f t="shared" si="2125"/>
        <v>36</v>
      </c>
      <c r="D9361">
        <v>6399</v>
      </c>
      <c r="E9361" t="str">
        <f>"61"</f>
        <v>61</v>
      </c>
      <c r="F9361" t="str">
        <f>"101"</f>
        <v>101</v>
      </c>
      <c r="G9361">
        <v>9</v>
      </c>
      <c r="H9361" t="str">
        <f>"99"</f>
        <v>99</v>
      </c>
      <c r="I9361" t="str">
        <f t="shared" si="2120"/>
        <v>0</v>
      </c>
      <c r="J9361" t="str">
        <f t="shared" si="2124"/>
        <v>00</v>
      </c>
      <c r="K9361">
        <v>20190125</v>
      </c>
      <c r="L9361" t="str">
        <f>"075397"</f>
        <v>075397</v>
      </c>
      <c r="M9361" t="str">
        <f>"58203"</f>
        <v>58203</v>
      </c>
      <c r="N9361" t="s">
        <v>3051</v>
      </c>
      <c r="O9361">
        <v>6.48</v>
      </c>
      <c r="P9361">
        <v>20190124</v>
      </c>
      <c r="Q9361" t="s">
        <v>7007</v>
      </c>
      <c r="R9361" t="s">
        <v>7378</v>
      </c>
      <c r="S9361" t="s">
        <v>7000</v>
      </c>
      <c r="T9361" t="s">
        <v>1479</v>
      </c>
    </row>
    <row r="9362" spans="1:20" x14ac:dyDescent="0.25">
      <c r="A9362">
        <v>9</v>
      </c>
      <c r="B9362">
        <v>461</v>
      </c>
      <c r="C9362" t="str">
        <f t="shared" si="2125"/>
        <v>36</v>
      </c>
      <c r="D9362">
        <v>6399</v>
      </c>
      <c r="E9362" t="str">
        <f>"PH"</f>
        <v>PH</v>
      </c>
      <c r="F9362" t="str">
        <f>"101"</f>
        <v>101</v>
      </c>
      <c r="G9362">
        <v>9</v>
      </c>
      <c r="H9362" t="str">
        <f>"99"</f>
        <v>99</v>
      </c>
      <c r="I9362" t="str">
        <f t="shared" si="2120"/>
        <v>0</v>
      </c>
      <c r="J9362" t="str">
        <f t="shared" si="2124"/>
        <v>00</v>
      </c>
      <c r="K9362">
        <v>20190125</v>
      </c>
      <c r="L9362" t="str">
        <f>"075397"</f>
        <v>075397</v>
      </c>
      <c r="M9362" t="str">
        <f>"58203"</f>
        <v>58203</v>
      </c>
      <c r="N9362" t="s">
        <v>3051</v>
      </c>
      <c r="O9362">
        <v>25</v>
      </c>
      <c r="P9362">
        <v>20190124</v>
      </c>
      <c r="Q9362" t="s">
        <v>7293</v>
      </c>
      <c r="R9362" t="s">
        <v>2163</v>
      </c>
      <c r="S9362" t="s">
        <v>7000</v>
      </c>
      <c r="T9362" t="s">
        <v>1479</v>
      </c>
    </row>
    <row r="9363" spans="1:20" x14ac:dyDescent="0.25">
      <c r="A9363">
        <v>9</v>
      </c>
      <c r="B9363">
        <v>461</v>
      </c>
      <c r="C9363" t="str">
        <f t="shared" si="2125"/>
        <v>36</v>
      </c>
      <c r="D9363">
        <v>6399</v>
      </c>
      <c r="E9363" t="str">
        <f>"PH"</f>
        <v>PH</v>
      </c>
      <c r="F9363" t="str">
        <f>"101"</f>
        <v>101</v>
      </c>
      <c r="G9363">
        <v>9</v>
      </c>
      <c r="H9363" t="str">
        <f>"99"</f>
        <v>99</v>
      </c>
      <c r="I9363" t="str">
        <f t="shared" si="2120"/>
        <v>0</v>
      </c>
      <c r="J9363" t="str">
        <f t="shared" si="2124"/>
        <v>00</v>
      </c>
      <c r="K9363">
        <v>20190125</v>
      </c>
      <c r="L9363" t="str">
        <f>"075397"</f>
        <v>075397</v>
      </c>
      <c r="M9363" t="str">
        <f>"58203"</f>
        <v>58203</v>
      </c>
      <c r="N9363" t="s">
        <v>3051</v>
      </c>
      <c r="O9363">
        <v>24.9</v>
      </c>
      <c r="P9363">
        <v>20190124</v>
      </c>
      <c r="Q9363" t="s">
        <v>7293</v>
      </c>
      <c r="R9363" t="s">
        <v>7195</v>
      </c>
      <c r="S9363" t="s">
        <v>7000</v>
      </c>
      <c r="T9363" t="s">
        <v>1479</v>
      </c>
    </row>
    <row r="9364" spans="1:20" x14ac:dyDescent="0.25">
      <c r="A9364">
        <v>9</v>
      </c>
      <c r="B9364">
        <v>461</v>
      </c>
      <c r="C9364" t="str">
        <f t="shared" si="2125"/>
        <v>36</v>
      </c>
      <c r="D9364">
        <v>6499</v>
      </c>
      <c r="E9364" t="str">
        <f>"75"</f>
        <v>75</v>
      </c>
      <c r="F9364" t="str">
        <f t="shared" ref="F9364:F9369" si="2126">"001"</f>
        <v>001</v>
      </c>
      <c r="G9364">
        <v>9</v>
      </c>
      <c r="H9364" t="str">
        <f>"91"</f>
        <v>91</v>
      </c>
      <c r="I9364" t="str">
        <f t="shared" si="2120"/>
        <v>0</v>
      </c>
      <c r="J9364" t="str">
        <f t="shared" si="2124"/>
        <v>00</v>
      </c>
      <c r="K9364">
        <v>20190125</v>
      </c>
      <c r="L9364" t="str">
        <f>"075402"</f>
        <v>075402</v>
      </c>
      <c r="M9364" t="str">
        <f>"60853"</f>
        <v>60853</v>
      </c>
      <c r="N9364" t="s">
        <v>7367</v>
      </c>
      <c r="O9364">
        <v>398.6</v>
      </c>
      <c r="P9364">
        <v>20190124</v>
      </c>
      <c r="Q9364" t="s">
        <v>7396</v>
      </c>
      <c r="R9364" t="s">
        <v>7397</v>
      </c>
      <c r="S9364" t="s">
        <v>7000</v>
      </c>
      <c r="T9364" t="s">
        <v>301</v>
      </c>
    </row>
    <row r="9365" spans="1:20" x14ac:dyDescent="0.25">
      <c r="A9365">
        <v>9</v>
      </c>
      <c r="B9365">
        <v>461</v>
      </c>
      <c r="C9365" t="str">
        <f t="shared" si="2125"/>
        <v>36</v>
      </c>
      <c r="D9365">
        <v>6499</v>
      </c>
      <c r="E9365" t="str">
        <f>"75"</f>
        <v>75</v>
      </c>
      <c r="F9365" t="str">
        <f t="shared" si="2126"/>
        <v>001</v>
      </c>
      <c r="G9365">
        <v>9</v>
      </c>
      <c r="H9365" t="str">
        <f>"91"</f>
        <v>91</v>
      </c>
      <c r="I9365" t="str">
        <f t="shared" si="2120"/>
        <v>0</v>
      </c>
      <c r="J9365" t="str">
        <f t="shared" si="2124"/>
        <v>00</v>
      </c>
      <c r="K9365">
        <v>20190125</v>
      </c>
      <c r="L9365" t="str">
        <f>"075402"</f>
        <v>075402</v>
      </c>
      <c r="M9365" t="str">
        <f>"60853"</f>
        <v>60853</v>
      </c>
      <c r="N9365" t="s">
        <v>7367</v>
      </c>
      <c r="O9365">
        <v>190.11</v>
      </c>
      <c r="P9365">
        <v>20190124</v>
      </c>
      <c r="Q9365" t="s">
        <v>7396</v>
      </c>
      <c r="R9365" t="s">
        <v>7397</v>
      </c>
      <c r="S9365" t="s">
        <v>7000</v>
      </c>
      <c r="T9365" t="s">
        <v>301</v>
      </c>
    </row>
    <row r="9366" spans="1:20" x14ac:dyDescent="0.25">
      <c r="A9366">
        <v>9</v>
      </c>
      <c r="B9366">
        <v>461</v>
      </c>
      <c r="C9366" t="str">
        <f t="shared" si="2125"/>
        <v>36</v>
      </c>
      <c r="D9366">
        <v>6219</v>
      </c>
      <c r="E9366" t="str">
        <f>"75"</f>
        <v>75</v>
      </c>
      <c r="F9366" t="str">
        <f t="shared" si="2126"/>
        <v>001</v>
      </c>
      <c r="G9366">
        <v>9</v>
      </c>
      <c r="H9366" t="str">
        <f>"91"</f>
        <v>91</v>
      </c>
      <c r="I9366" t="str">
        <f t="shared" ref="I9366:I9397" si="2127">"0"</f>
        <v>0</v>
      </c>
      <c r="J9366" t="str">
        <f t="shared" si="2124"/>
        <v>00</v>
      </c>
      <c r="K9366">
        <v>20190125</v>
      </c>
      <c r="L9366" t="str">
        <f>"075403"</f>
        <v>075403</v>
      </c>
      <c r="M9366" t="str">
        <f>"00160"</f>
        <v>00160</v>
      </c>
      <c r="N9366" t="s">
        <v>7398</v>
      </c>
      <c r="O9366">
        <v>155</v>
      </c>
      <c r="P9366">
        <v>20190124</v>
      </c>
      <c r="Q9366" t="s">
        <v>7389</v>
      </c>
      <c r="R9366" t="s">
        <v>7390</v>
      </c>
      <c r="S9366" t="s">
        <v>7000</v>
      </c>
      <c r="T9366" t="s">
        <v>301</v>
      </c>
    </row>
    <row r="9367" spans="1:20" x14ac:dyDescent="0.25">
      <c r="A9367">
        <v>9</v>
      </c>
      <c r="B9367">
        <v>461</v>
      </c>
      <c r="C9367" t="str">
        <f t="shared" si="2125"/>
        <v>36</v>
      </c>
      <c r="D9367">
        <v>6399</v>
      </c>
      <c r="E9367" t="str">
        <f>"61"</f>
        <v>61</v>
      </c>
      <c r="F9367" t="str">
        <f t="shared" si="2126"/>
        <v>001</v>
      </c>
      <c r="G9367">
        <v>9</v>
      </c>
      <c r="H9367" t="str">
        <f>"99"</f>
        <v>99</v>
      </c>
      <c r="I9367" t="str">
        <f t="shared" si="2127"/>
        <v>0</v>
      </c>
      <c r="J9367" t="str">
        <f t="shared" si="2124"/>
        <v>00</v>
      </c>
      <c r="K9367">
        <v>20190125</v>
      </c>
      <c r="L9367" t="str">
        <f>"075405"</f>
        <v>075405</v>
      </c>
      <c r="M9367" t="str">
        <f>"65106"</f>
        <v>65106</v>
      </c>
      <c r="N9367" t="s">
        <v>1175</v>
      </c>
      <c r="O9367">
        <v>239.96</v>
      </c>
      <c r="P9367">
        <v>20190124</v>
      </c>
      <c r="Q9367" t="s">
        <v>7095</v>
      </c>
      <c r="R9367" t="s">
        <v>7399</v>
      </c>
      <c r="S9367" t="s">
        <v>7000</v>
      </c>
      <c r="T9367" t="s">
        <v>301</v>
      </c>
    </row>
    <row r="9368" spans="1:20" x14ac:dyDescent="0.25">
      <c r="A9368">
        <v>9</v>
      </c>
      <c r="B9368">
        <v>461</v>
      </c>
      <c r="C9368" t="str">
        <f t="shared" si="2125"/>
        <v>36</v>
      </c>
      <c r="D9368">
        <v>6399</v>
      </c>
      <c r="E9368" t="str">
        <f>"7K"</f>
        <v>7K</v>
      </c>
      <c r="F9368" t="str">
        <f t="shared" si="2126"/>
        <v>001</v>
      </c>
      <c r="G9368">
        <v>9</v>
      </c>
      <c r="H9368" t="str">
        <f>"99"</f>
        <v>99</v>
      </c>
      <c r="I9368" t="str">
        <f t="shared" si="2127"/>
        <v>0</v>
      </c>
      <c r="J9368" t="str">
        <f t="shared" si="2124"/>
        <v>00</v>
      </c>
      <c r="K9368">
        <v>20190125</v>
      </c>
      <c r="L9368" t="str">
        <f>"075405"</f>
        <v>075405</v>
      </c>
      <c r="M9368" t="str">
        <f>"65106"</f>
        <v>65106</v>
      </c>
      <c r="N9368" t="s">
        <v>1175</v>
      </c>
      <c r="O9368">
        <v>-28.26</v>
      </c>
      <c r="P9368">
        <v>20181213</v>
      </c>
      <c r="Q9368" t="s">
        <v>7056</v>
      </c>
      <c r="R9368" t="s">
        <v>4359</v>
      </c>
      <c r="S9368" t="s">
        <v>7000</v>
      </c>
      <c r="T9368" t="s">
        <v>301</v>
      </c>
    </row>
    <row r="9369" spans="1:20" x14ac:dyDescent="0.25">
      <c r="A9369">
        <v>9</v>
      </c>
      <c r="B9369">
        <v>461</v>
      </c>
      <c r="C9369" t="str">
        <f t="shared" si="2125"/>
        <v>36</v>
      </c>
      <c r="D9369">
        <v>6399</v>
      </c>
      <c r="E9369" t="str">
        <f>"CS"</f>
        <v>CS</v>
      </c>
      <c r="F9369" t="str">
        <f t="shared" si="2126"/>
        <v>001</v>
      </c>
      <c r="G9369">
        <v>9</v>
      </c>
      <c r="H9369" t="str">
        <f>"91"</f>
        <v>91</v>
      </c>
      <c r="I9369" t="str">
        <f t="shared" si="2127"/>
        <v>0</v>
      </c>
      <c r="J9369" t="str">
        <f t="shared" si="2124"/>
        <v>00</v>
      </c>
      <c r="K9369">
        <v>20190125</v>
      </c>
      <c r="L9369" t="str">
        <f>"075405"</f>
        <v>075405</v>
      </c>
      <c r="M9369" t="str">
        <f>"65106"</f>
        <v>65106</v>
      </c>
      <c r="N9369" t="s">
        <v>1175</v>
      </c>
      <c r="O9369">
        <v>772.65</v>
      </c>
      <c r="P9369">
        <v>20190124</v>
      </c>
      <c r="Q9369" t="s">
        <v>6998</v>
      </c>
      <c r="R9369" t="s">
        <v>6999</v>
      </c>
      <c r="S9369" t="s">
        <v>7000</v>
      </c>
      <c r="T9369" t="s">
        <v>301</v>
      </c>
    </row>
    <row r="9370" spans="1:20" x14ac:dyDescent="0.25">
      <c r="A9370">
        <v>9</v>
      </c>
      <c r="B9370">
        <v>461</v>
      </c>
      <c r="C9370" t="str">
        <f t="shared" si="2125"/>
        <v>36</v>
      </c>
      <c r="D9370">
        <v>6399</v>
      </c>
      <c r="E9370" t="str">
        <f>"PR"</f>
        <v>PR</v>
      </c>
      <c r="F9370" t="str">
        <f>"104"</f>
        <v>104</v>
      </c>
      <c r="G9370">
        <v>9</v>
      </c>
      <c r="H9370" t="str">
        <f>"99"</f>
        <v>99</v>
      </c>
      <c r="I9370" t="str">
        <f t="shared" si="2127"/>
        <v>0</v>
      </c>
      <c r="J9370" t="str">
        <f t="shared" si="2124"/>
        <v>00</v>
      </c>
      <c r="K9370">
        <v>20190125</v>
      </c>
      <c r="L9370" t="str">
        <f>"075405"</f>
        <v>075405</v>
      </c>
      <c r="M9370" t="str">
        <f>"65106"</f>
        <v>65106</v>
      </c>
      <c r="N9370" t="s">
        <v>1175</v>
      </c>
      <c r="O9370">
        <v>298.56</v>
      </c>
      <c r="P9370">
        <v>20190124</v>
      </c>
      <c r="Q9370" t="s">
        <v>7014</v>
      </c>
      <c r="R9370" t="s">
        <v>7200</v>
      </c>
      <c r="S9370" t="s">
        <v>7000</v>
      </c>
      <c r="T9370" t="s">
        <v>46</v>
      </c>
    </row>
    <row r="9371" spans="1:20" x14ac:dyDescent="0.25">
      <c r="A9371">
        <v>9</v>
      </c>
      <c r="B9371">
        <v>461</v>
      </c>
      <c r="C9371" t="str">
        <f t="shared" si="2125"/>
        <v>36</v>
      </c>
      <c r="D9371">
        <v>6399</v>
      </c>
      <c r="E9371" t="str">
        <f>"61"</f>
        <v>61</v>
      </c>
      <c r="F9371" t="str">
        <f>"101"</f>
        <v>101</v>
      </c>
      <c r="G9371">
        <v>9</v>
      </c>
      <c r="H9371" t="str">
        <f>"99"</f>
        <v>99</v>
      </c>
      <c r="I9371" t="str">
        <f t="shared" si="2127"/>
        <v>0</v>
      </c>
      <c r="J9371" t="str">
        <f t="shared" si="2124"/>
        <v>00</v>
      </c>
      <c r="K9371">
        <v>20190125</v>
      </c>
      <c r="L9371" t="str">
        <f>"075408"</f>
        <v>075408</v>
      </c>
      <c r="M9371" t="str">
        <f>"65819"</f>
        <v>65819</v>
      </c>
      <c r="N9371" t="s">
        <v>7400</v>
      </c>
      <c r="O9371">
        <v>287.02</v>
      </c>
      <c r="P9371">
        <v>20190124</v>
      </c>
      <c r="Q9371" t="s">
        <v>7007</v>
      </c>
      <c r="R9371" t="s">
        <v>7401</v>
      </c>
      <c r="S9371" t="s">
        <v>7000</v>
      </c>
      <c r="T9371" t="s">
        <v>1479</v>
      </c>
    </row>
    <row r="9372" spans="1:20" x14ac:dyDescent="0.25">
      <c r="A9372">
        <v>9</v>
      </c>
      <c r="B9372">
        <v>461</v>
      </c>
      <c r="C9372" t="str">
        <f t="shared" si="2125"/>
        <v>36</v>
      </c>
      <c r="D9372">
        <v>6219</v>
      </c>
      <c r="E9372" t="str">
        <f t="shared" ref="E9372:E9378" si="2128">"75"</f>
        <v>75</v>
      </c>
      <c r="F9372" t="str">
        <f t="shared" ref="F9372:F9393" si="2129">"001"</f>
        <v>001</v>
      </c>
      <c r="G9372">
        <v>9</v>
      </c>
      <c r="H9372" t="str">
        <f t="shared" ref="H9372:H9380" si="2130">"91"</f>
        <v>91</v>
      </c>
      <c r="I9372" t="str">
        <f t="shared" si="2127"/>
        <v>0</v>
      </c>
      <c r="J9372" t="str">
        <f t="shared" si="2124"/>
        <v>00</v>
      </c>
      <c r="K9372">
        <v>20190125</v>
      </c>
      <c r="L9372" t="str">
        <f>"075409"</f>
        <v>075409</v>
      </c>
      <c r="M9372" t="str">
        <f>"67631"</f>
        <v>67631</v>
      </c>
      <c r="N9372" t="s">
        <v>753</v>
      </c>
      <c r="O9372">
        <v>155</v>
      </c>
      <c r="P9372">
        <v>20190124</v>
      </c>
      <c r="Q9372" t="s">
        <v>7389</v>
      </c>
      <c r="R9372" t="s">
        <v>7390</v>
      </c>
      <c r="S9372" t="s">
        <v>7000</v>
      </c>
      <c r="T9372" t="s">
        <v>301</v>
      </c>
    </row>
    <row r="9373" spans="1:20" x14ac:dyDescent="0.25">
      <c r="A9373">
        <v>9</v>
      </c>
      <c r="B9373">
        <v>461</v>
      </c>
      <c r="C9373" t="str">
        <f t="shared" si="2125"/>
        <v>36</v>
      </c>
      <c r="D9373">
        <v>6219</v>
      </c>
      <c r="E9373" t="str">
        <f t="shared" si="2128"/>
        <v>75</v>
      </c>
      <c r="F9373" t="str">
        <f t="shared" si="2129"/>
        <v>001</v>
      </c>
      <c r="G9373">
        <v>9</v>
      </c>
      <c r="H9373" t="str">
        <f t="shared" si="2130"/>
        <v>91</v>
      </c>
      <c r="I9373" t="str">
        <f t="shared" si="2127"/>
        <v>0</v>
      </c>
      <c r="J9373" t="str">
        <f t="shared" si="2124"/>
        <v>00</v>
      </c>
      <c r="K9373">
        <v>20190125</v>
      </c>
      <c r="L9373" t="str">
        <f>"075409"</f>
        <v>075409</v>
      </c>
      <c r="M9373" t="str">
        <f>"67631"</f>
        <v>67631</v>
      </c>
      <c r="N9373" t="s">
        <v>753</v>
      </c>
      <c r="O9373">
        <v>155</v>
      </c>
      <c r="P9373">
        <v>20190124</v>
      </c>
      <c r="Q9373" t="s">
        <v>7389</v>
      </c>
      <c r="R9373" t="s">
        <v>7390</v>
      </c>
      <c r="S9373" t="s">
        <v>7000</v>
      </c>
      <c r="T9373" t="s">
        <v>301</v>
      </c>
    </row>
    <row r="9374" spans="1:20" x14ac:dyDescent="0.25">
      <c r="A9374">
        <v>9</v>
      </c>
      <c r="B9374">
        <v>461</v>
      </c>
      <c r="C9374" t="str">
        <f t="shared" si="2125"/>
        <v>36</v>
      </c>
      <c r="D9374">
        <v>6219</v>
      </c>
      <c r="E9374" t="str">
        <f t="shared" si="2128"/>
        <v>75</v>
      </c>
      <c r="F9374" t="str">
        <f t="shared" si="2129"/>
        <v>001</v>
      </c>
      <c r="G9374">
        <v>9</v>
      </c>
      <c r="H9374" t="str">
        <f t="shared" si="2130"/>
        <v>91</v>
      </c>
      <c r="I9374" t="str">
        <f t="shared" si="2127"/>
        <v>0</v>
      </c>
      <c r="J9374" t="str">
        <f t="shared" si="2124"/>
        <v>00</v>
      </c>
      <c r="K9374">
        <v>20190125</v>
      </c>
      <c r="L9374" t="str">
        <f>"075411"</f>
        <v>075411</v>
      </c>
      <c r="M9374" t="str">
        <f>"70090"</f>
        <v>70090</v>
      </c>
      <c r="N9374" t="s">
        <v>754</v>
      </c>
      <c r="O9374">
        <v>155</v>
      </c>
      <c r="P9374">
        <v>20190124</v>
      </c>
      <c r="Q9374" t="s">
        <v>7389</v>
      </c>
      <c r="R9374" t="s">
        <v>7390</v>
      </c>
      <c r="S9374" t="s">
        <v>7000</v>
      </c>
      <c r="T9374" t="s">
        <v>301</v>
      </c>
    </row>
    <row r="9375" spans="1:20" x14ac:dyDescent="0.25">
      <c r="A9375">
        <v>9</v>
      </c>
      <c r="B9375">
        <v>461</v>
      </c>
      <c r="C9375" t="str">
        <f t="shared" si="2125"/>
        <v>36</v>
      </c>
      <c r="D9375">
        <v>6219</v>
      </c>
      <c r="E9375" t="str">
        <f t="shared" si="2128"/>
        <v>75</v>
      </c>
      <c r="F9375" t="str">
        <f t="shared" si="2129"/>
        <v>001</v>
      </c>
      <c r="G9375">
        <v>9</v>
      </c>
      <c r="H9375" t="str">
        <f t="shared" si="2130"/>
        <v>91</v>
      </c>
      <c r="I9375" t="str">
        <f t="shared" si="2127"/>
        <v>0</v>
      </c>
      <c r="J9375" t="str">
        <f t="shared" si="2124"/>
        <v>00</v>
      </c>
      <c r="K9375">
        <v>20190125</v>
      </c>
      <c r="L9375" t="str">
        <f>"075411"</f>
        <v>075411</v>
      </c>
      <c r="M9375" t="str">
        <f>"70090"</f>
        <v>70090</v>
      </c>
      <c r="N9375" t="s">
        <v>754</v>
      </c>
      <c r="O9375">
        <v>140</v>
      </c>
      <c r="P9375">
        <v>20190124</v>
      </c>
      <c r="Q9375" t="s">
        <v>7389</v>
      </c>
      <c r="R9375" t="s">
        <v>7390</v>
      </c>
      <c r="S9375" t="s">
        <v>7000</v>
      </c>
      <c r="T9375" t="s">
        <v>301</v>
      </c>
    </row>
    <row r="9376" spans="1:20" x14ac:dyDescent="0.25">
      <c r="A9376">
        <v>9</v>
      </c>
      <c r="B9376">
        <v>461</v>
      </c>
      <c r="C9376" t="str">
        <f t="shared" si="2125"/>
        <v>36</v>
      </c>
      <c r="D9376">
        <v>6219</v>
      </c>
      <c r="E9376" t="str">
        <f t="shared" si="2128"/>
        <v>75</v>
      </c>
      <c r="F9376" t="str">
        <f t="shared" si="2129"/>
        <v>001</v>
      </c>
      <c r="G9376">
        <v>9</v>
      </c>
      <c r="H9376" t="str">
        <f t="shared" si="2130"/>
        <v>91</v>
      </c>
      <c r="I9376" t="str">
        <f t="shared" si="2127"/>
        <v>0</v>
      </c>
      <c r="J9376" t="str">
        <f t="shared" si="2124"/>
        <v>00</v>
      </c>
      <c r="K9376">
        <v>20190125</v>
      </c>
      <c r="L9376" t="str">
        <f>"075417"</f>
        <v>075417</v>
      </c>
      <c r="M9376" t="str">
        <f>"80527"</f>
        <v>80527</v>
      </c>
      <c r="N9376" t="s">
        <v>1131</v>
      </c>
      <c r="O9376">
        <v>155</v>
      </c>
      <c r="P9376">
        <v>20190124</v>
      </c>
      <c r="Q9376" t="s">
        <v>7389</v>
      </c>
      <c r="R9376" t="s">
        <v>7390</v>
      </c>
      <c r="S9376" t="s">
        <v>7000</v>
      </c>
      <c r="T9376" t="s">
        <v>301</v>
      </c>
    </row>
    <row r="9377" spans="1:20" x14ac:dyDescent="0.25">
      <c r="A9377">
        <v>9</v>
      </c>
      <c r="B9377">
        <v>461</v>
      </c>
      <c r="C9377" t="str">
        <f t="shared" si="2125"/>
        <v>36</v>
      </c>
      <c r="D9377">
        <v>6219</v>
      </c>
      <c r="E9377" t="str">
        <f t="shared" si="2128"/>
        <v>75</v>
      </c>
      <c r="F9377" t="str">
        <f t="shared" si="2129"/>
        <v>001</v>
      </c>
      <c r="G9377">
        <v>9</v>
      </c>
      <c r="H9377" t="str">
        <f t="shared" si="2130"/>
        <v>91</v>
      </c>
      <c r="I9377" t="str">
        <f t="shared" si="2127"/>
        <v>0</v>
      </c>
      <c r="J9377" t="str">
        <f t="shared" si="2124"/>
        <v>00</v>
      </c>
      <c r="K9377">
        <v>20190125</v>
      </c>
      <c r="L9377" t="str">
        <f>"075417"</f>
        <v>075417</v>
      </c>
      <c r="M9377" t="str">
        <f>"80527"</f>
        <v>80527</v>
      </c>
      <c r="N9377" t="s">
        <v>1131</v>
      </c>
      <c r="O9377">
        <v>70</v>
      </c>
      <c r="P9377">
        <v>20190124</v>
      </c>
      <c r="Q9377" t="s">
        <v>7389</v>
      </c>
      <c r="R9377" t="s">
        <v>7390</v>
      </c>
      <c r="S9377" t="s">
        <v>7000</v>
      </c>
      <c r="T9377" t="s">
        <v>301</v>
      </c>
    </row>
    <row r="9378" spans="1:20" x14ac:dyDescent="0.25">
      <c r="A9378">
        <v>9</v>
      </c>
      <c r="B9378">
        <v>461</v>
      </c>
      <c r="C9378" t="str">
        <f t="shared" si="2125"/>
        <v>36</v>
      </c>
      <c r="D9378">
        <v>6219</v>
      </c>
      <c r="E9378" t="str">
        <f t="shared" si="2128"/>
        <v>75</v>
      </c>
      <c r="F9378" t="str">
        <f t="shared" si="2129"/>
        <v>001</v>
      </c>
      <c r="G9378">
        <v>9</v>
      </c>
      <c r="H9378" t="str">
        <f t="shared" si="2130"/>
        <v>91</v>
      </c>
      <c r="I9378" t="str">
        <f t="shared" si="2127"/>
        <v>0</v>
      </c>
      <c r="J9378" t="str">
        <f t="shared" si="2124"/>
        <v>00</v>
      </c>
      <c r="K9378">
        <v>20190125</v>
      </c>
      <c r="L9378" t="str">
        <f>"075417"</f>
        <v>075417</v>
      </c>
      <c r="M9378" t="str">
        <f>"80527"</f>
        <v>80527</v>
      </c>
      <c r="N9378" t="s">
        <v>1131</v>
      </c>
      <c r="O9378">
        <v>85</v>
      </c>
      <c r="P9378">
        <v>20190124</v>
      </c>
      <c r="Q9378" t="s">
        <v>7389</v>
      </c>
      <c r="R9378" t="s">
        <v>7390</v>
      </c>
      <c r="S9378" t="s">
        <v>7000</v>
      </c>
      <c r="T9378" t="s">
        <v>301</v>
      </c>
    </row>
    <row r="9379" spans="1:20" x14ac:dyDescent="0.25">
      <c r="A9379">
        <v>9</v>
      </c>
      <c r="B9379">
        <v>461</v>
      </c>
      <c r="C9379" t="str">
        <f t="shared" si="2125"/>
        <v>36</v>
      </c>
      <c r="D9379">
        <v>6399</v>
      </c>
      <c r="E9379" t="str">
        <f>"3S"</f>
        <v>3S</v>
      </c>
      <c r="F9379" t="str">
        <f t="shared" si="2129"/>
        <v>001</v>
      </c>
      <c r="G9379">
        <v>9</v>
      </c>
      <c r="H9379" t="str">
        <f t="shared" si="2130"/>
        <v>91</v>
      </c>
      <c r="I9379" t="str">
        <f t="shared" si="2127"/>
        <v>0</v>
      </c>
      <c r="J9379" t="str">
        <f t="shared" si="2124"/>
        <v>00</v>
      </c>
      <c r="K9379">
        <v>20190125</v>
      </c>
      <c r="L9379" t="str">
        <f>"075418"</f>
        <v>075418</v>
      </c>
      <c r="M9379" t="str">
        <f>"80598"</f>
        <v>80598</v>
      </c>
      <c r="N9379" t="s">
        <v>7402</v>
      </c>
      <c r="O9379">
        <v>844.27</v>
      </c>
      <c r="P9379">
        <v>20190124</v>
      </c>
      <c r="Q9379" t="s">
        <v>7403</v>
      </c>
      <c r="R9379" t="s">
        <v>7404</v>
      </c>
      <c r="S9379" t="s">
        <v>7000</v>
      </c>
      <c r="T9379" t="s">
        <v>301</v>
      </c>
    </row>
    <row r="9380" spans="1:20" x14ac:dyDescent="0.25">
      <c r="A9380">
        <v>9</v>
      </c>
      <c r="B9380">
        <v>461</v>
      </c>
      <c r="C9380" t="str">
        <f t="shared" si="2125"/>
        <v>36</v>
      </c>
      <c r="D9380">
        <v>6399</v>
      </c>
      <c r="E9380" t="str">
        <f>"75"</f>
        <v>75</v>
      </c>
      <c r="F9380" t="str">
        <f t="shared" si="2129"/>
        <v>001</v>
      </c>
      <c r="G9380">
        <v>9</v>
      </c>
      <c r="H9380" t="str">
        <f t="shared" si="2130"/>
        <v>91</v>
      </c>
      <c r="I9380" t="str">
        <f t="shared" si="2127"/>
        <v>0</v>
      </c>
      <c r="J9380" t="str">
        <f t="shared" si="2124"/>
        <v>00</v>
      </c>
      <c r="K9380">
        <v>20190125</v>
      </c>
      <c r="L9380" t="str">
        <f>"075419"</f>
        <v>075419</v>
      </c>
      <c r="M9380" t="str">
        <f>"81303"</f>
        <v>81303</v>
      </c>
      <c r="N9380" t="s">
        <v>66</v>
      </c>
      <c r="O9380">
        <v>166.76</v>
      </c>
      <c r="P9380">
        <v>20190124</v>
      </c>
      <c r="Q9380" t="s">
        <v>7405</v>
      </c>
      <c r="R9380" t="s">
        <v>3923</v>
      </c>
      <c r="S9380" t="s">
        <v>7000</v>
      </c>
      <c r="T9380" t="s">
        <v>301</v>
      </c>
    </row>
    <row r="9381" spans="1:20" x14ac:dyDescent="0.25">
      <c r="A9381">
        <v>9</v>
      </c>
      <c r="B9381">
        <v>461</v>
      </c>
      <c r="C9381" t="str">
        <f t="shared" si="2125"/>
        <v>36</v>
      </c>
      <c r="D9381">
        <v>6399</v>
      </c>
      <c r="E9381" t="str">
        <f>"7E"</f>
        <v>7E</v>
      </c>
      <c r="F9381" t="str">
        <f t="shared" si="2129"/>
        <v>001</v>
      </c>
      <c r="G9381">
        <v>9</v>
      </c>
      <c r="H9381" t="str">
        <f>"99"</f>
        <v>99</v>
      </c>
      <c r="I9381" t="str">
        <f t="shared" si="2127"/>
        <v>0</v>
      </c>
      <c r="J9381" t="str">
        <f t="shared" si="2124"/>
        <v>00</v>
      </c>
      <c r="K9381">
        <v>20190125</v>
      </c>
      <c r="L9381" t="str">
        <f>"075419"</f>
        <v>075419</v>
      </c>
      <c r="M9381" t="str">
        <f>"81303"</f>
        <v>81303</v>
      </c>
      <c r="N9381" t="s">
        <v>66</v>
      </c>
      <c r="O9381">
        <v>75</v>
      </c>
      <c r="P9381">
        <v>20190124</v>
      </c>
      <c r="Q9381" t="s">
        <v>7055</v>
      </c>
      <c r="R9381" t="s">
        <v>3476</v>
      </c>
      <c r="S9381" t="s">
        <v>7000</v>
      </c>
      <c r="T9381" t="s">
        <v>301</v>
      </c>
    </row>
    <row r="9382" spans="1:20" x14ac:dyDescent="0.25">
      <c r="A9382">
        <v>9</v>
      </c>
      <c r="B9382">
        <v>461</v>
      </c>
      <c r="C9382" t="str">
        <f t="shared" si="2125"/>
        <v>36</v>
      </c>
      <c r="D9382">
        <v>6219</v>
      </c>
      <c r="E9382" t="str">
        <f t="shared" ref="E9382:E9392" si="2131">"75"</f>
        <v>75</v>
      </c>
      <c r="F9382" t="str">
        <f t="shared" si="2129"/>
        <v>001</v>
      </c>
      <c r="G9382">
        <v>9</v>
      </c>
      <c r="H9382" t="str">
        <f t="shared" ref="H9382:H9401" si="2132">"91"</f>
        <v>91</v>
      </c>
      <c r="I9382" t="str">
        <f t="shared" si="2127"/>
        <v>0</v>
      </c>
      <c r="J9382" t="str">
        <f t="shared" si="2124"/>
        <v>00</v>
      </c>
      <c r="K9382">
        <v>20190125</v>
      </c>
      <c r="L9382" t="str">
        <f>"075421"</f>
        <v>075421</v>
      </c>
      <c r="M9382" t="str">
        <f>"82482"</f>
        <v>82482</v>
      </c>
      <c r="N9382" t="s">
        <v>1009</v>
      </c>
      <c r="O9382">
        <v>155</v>
      </c>
      <c r="P9382">
        <v>20190124</v>
      </c>
      <c r="Q9382" t="s">
        <v>7389</v>
      </c>
      <c r="R9382" t="s">
        <v>7390</v>
      </c>
      <c r="S9382" t="s">
        <v>7000</v>
      </c>
      <c r="T9382" t="s">
        <v>301</v>
      </c>
    </row>
    <row r="9383" spans="1:20" x14ac:dyDescent="0.25">
      <c r="A9383">
        <v>9</v>
      </c>
      <c r="B9383">
        <v>461</v>
      </c>
      <c r="C9383" t="str">
        <f t="shared" si="2125"/>
        <v>36</v>
      </c>
      <c r="D9383">
        <v>6219</v>
      </c>
      <c r="E9383" t="str">
        <f t="shared" si="2131"/>
        <v>75</v>
      </c>
      <c r="F9383" t="str">
        <f t="shared" si="2129"/>
        <v>001</v>
      </c>
      <c r="G9383">
        <v>9</v>
      </c>
      <c r="H9383" t="str">
        <f t="shared" si="2132"/>
        <v>91</v>
      </c>
      <c r="I9383" t="str">
        <f t="shared" si="2127"/>
        <v>0</v>
      </c>
      <c r="J9383" t="str">
        <f t="shared" si="2124"/>
        <v>00</v>
      </c>
      <c r="K9383">
        <v>20190125</v>
      </c>
      <c r="L9383" t="str">
        <f>"075421"</f>
        <v>075421</v>
      </c>
      <c r="M9383" t="str">
        <f>"82482"</f>
        <v>82482</v>
      </c>
      <c r="N9383" t="s">
        <v>1009</v>
      </c>
      <c r="O9383">
        <v>155</v>
      </c>
      <c r="P9383">
        <v>20190124</v>
      </c>
      <c r="Q9383" t="s">
        <v>7389</v>
      </c>
      <c r="R9383" t="s">
        <v>7390</v>
      </c>
      <c r="S9383" t="s">
        <v>7000</v>
      </c>
      <c r="T9383" t="s">
        <v>301</v>
      </c>
    </row>
    <row r="9384" spans="1:20" x14ac:dyDescent="0.25">
      <c r="A9384">
        <v>9</v>
      </c>
      <c r="B9384">
        <v>461</v>
      </c>
      <c r="C9384" t="str">
        <f t="shared" si="2125"/>
        <v>36</v>
      </c>
      <c r="D9384">
        <v>6219</v>
      </c>
      <c r="E9384" t="str">
        <f t="shared" si="2131"/>
        <v>75</v>
      </c>
      <c r="F9384" t="str">
        <f t="shared" si="2129"/>
        <v>001</v>
      </c>
      <c r="G9384">
        <v>9</v>
      </c>
      <c r="H9384" t="str">
        <f t="shared" si="2132"/>
        <v>91</v>
      </c>
      <c r="I9384" t="str">
        <f t="shared" si="2127"/>
        <v>0</v>
      </c>
      <c r="J9384" t="str">
        <f t="shared" si="2124"/>
        <v>00</v>
      </c>
      <c r="K9384">
        <v>20190125</v>
      </c>
      <c r="L9384" t="str">
        <f>"075421"</f>
        <v>075421</v>
      </c>
      <c r="M9384" t="str">
        <f>"82482"</f>
        <v>82482</v>
      </c>
      <c r="N9384" t="s">
        <v>1009</v>
      </c>
      <c r="O9384">
        <v>155</v>
      </c>
      <c r="P9384">
        <v>20190124</v>
      </c>
      <c r="Q9384" t="s">
        <v>7389</v>
      </c>
      <c r="R9384" t="s">
        <v>7390</v>
      </c>
      <c r="S9384" t="s">
        <v>7000</v>
      </c>
      <c r="T9384" t="s">
        <v>301</v>
      </c>
    </row>
    <row r="9385" spans="1:20" x14ac:dyDescent="0.25">
      <c r="A9385">
        <v>9</v>
      </c>
      <c r="B9385">
        <v>461</v>
      </c>
      <c r="C9385" t="str">
        <f t="shared" si="2125"/>
        <v>36</v>
      </c>
      <c r="D9385">
        <v>6219</v>
      </c>
      <c r="E9385" t="str">
        <f t="shared" si="2131"/>
        <v>75</v>
      </c>
      <c r="F9385" t="str">
        <f t="shared" si="2129"/>
        <v>001</v>
      </c>
      <c r="G9385">
        <v>9</v>
      </c>
      <c r="H9385" t="str">
        <f t="shared" si="2132"/>
        <v>91</v>
      </c>
      <c r="I9385" t="str">
        <f t="shared" si="2127"/>
        <v>0</v>
      </c>
      <c r="J9385" t="str">
        <f t="shared" si="2124"/>
        <v>00</v>
      </c>
      <c r="K9385">
        <v>20190125</v>
      </c>
      <c r="L9385" t="str">
        <f>"075427"</f>
        <v>075427</v>
      </c>
      <c r="M9385" t="str">
        <f>"84557"</f>
        <v>84557</v>
      </c>
      <c r="N9385" t="s">
        <v>762</v>
      </c>
      <c r="O9385">
        <v>225</v>
      </c>
      <c r="P9385">
        <v>20190124</v>
      </c>
      <c r="Q9385" t="s">
        <v>7389</v>
      </c>
      <c r="R9385" t="s">
        <v>7390</v>
      </c>
      <c r="S9385" t="s">
        <v>7000</v>
      </c>
      <c r="T9385" t="s">
        <v>301</v>
      </c>
    </row>
    <row r="9386" spans="1:20" x14ac:dyDescent="0.25">
      <c r="A9386">
        <v>9</v>
      </c>
      <c r="B9386">
        <v>461</v>
      </c>
      <c r="C9386" t="str">
        <f t="shared" si="2125"/>
        <v>36</v>
      </c>
      <c r="D9386">
        <v>6219</v>
      </c>
      <c r="E9386" t="str">
        <f t="shared" si="2131"/>
        <v>75</v>
      </c>
      <c r="F9386" t="str">
        <f t="shared" si="2129"/>
        <v>001</v>
      </c>
      <c r="G9386">
        <v>9</v>
      </c>
      <c r="H9386" t="str">
        <f t="shared" si="2132"/>
        <v>91</v>
      </c>
      <c r="I9386" t="str">
        <f t="shared" si="2127"/>
        <v>0</v>
      </c>
      <c r="J9386" t="str">
        <f t="shared" si="2124"/>
        <v>00</v>
      </c>
      <c r="K9386">
        <v>20190125</v>
      </c>
      <c r="L9386" t="str">
        <f>"075427"</f>
        <v>075427</v>
      </c>
      <c r="M9386" t="str">
        <f>"84557"</f>
        <v>84557</v>
      </c>
      <c r="N9386" t="s">
        <v>762</v>
      </c>
      <c r="O9386">
        <v>365</v>
      </c>
      <c r="P9386">
        <v>20190124</v>
      </c>
      <c r="Q9386" t="s">
        <v>7389</v>
      </c>
      <c r="R9386" t="s">
        <v>7390</v>
      </c>
      <c r="S9386" t="s">
        <v>7000</v>
      </c>
      <c r="T9386" t="s">
        <v>301</v>
      </c>
    </row>
    <row r="9387" spans="1:20" x14ac:dyDescent="0.25">
      <c r="A9387">
        <v>9</v>
      </c>
      <c r="B9387">
        <v>461</v>
      </c>
      <c r="C9387" t="str">
        <f t="shared" si="2125"/>
        <v>36</v>
      </c>
      <c r="D9387">
        <v>6219</v>
      </c>
      <c r="E9387" t="str">
        <f t="shared" si="2131"/>
        <v>75</v>
      </c>
      <c r="F9387" t="str">
        <f t="shared" si="2129"/>
        <v>001</v>
      </c>
      <c r="G9387">
        <v>9</v>
      </c>
      <c r="H9387" t="str">
        <f t="shared" si="2132"/>
        <v>91</v>
      </c>
      <c r="I9387" t="str">
        <f t="shared" si="2127"/>
        <v>0</v>
      </c>
      <c r="J9387" t="str">
        <f t="shared" si="2124"/>
        <v>00</v>
      </c>
      <c r="K9387">
        <v>20190125</v>
      </c>
      <c r="L9387" t="str">
        <f>"075427"</f>
        <v>075427</v>
      </c>
      <c r="M9387" t="str">
        <f>"84557"</f>
        <v>84557</v>
      </c>
      <c r="N9387" t="s">
        <v>762</v>
      </c>
      <c r="O9387">
        <v>225</v>
      </c>
      <c r="P9387">
        <v>20190124</v>
      </c>
      <c r="Q9387" t="s">
        <v>7389</v>
      </c>
      <c r="R9387" t="s">
        <v>7390</v>
      </c>
      <c r="S9387" t="s">
        <v>7000</v>
      </c>
      <c r="T9387" t="s">
        <v>301</v>
      </c>
    </row>
    <row r="9388" spans="1:20" x14ac:dyDescent="0.25">
      <c r="A9388">
        <v>9</v>
      </c>
      <c r="B9388">
        <v>461</v>
      </c>
      <c r="C9388" t="str">
        <f t="shared" si="2125"/>
        <v>36</v>
      </c>
      <c r="D9388">
        <v>6219</v>
      </c>
      <c r="E9388" t="str">
        <f t="shared" si="2131"/>
        <v>75</v>
      </c>
      <c r="F9388" t="str">
        <f t="shared" si="2129"/>
        <v>001</v>
      </c>
      <c r="G9388">
        <v>9</v>
      </c>
      <c r="H9388" t="str">
        <f t="shared" si="2132"/>
        <v>91</v>
      </c>
      <c r="I9388" t="str">
        <f t="shared" si="2127"/>
        <v>0</v>
      </c>
      <c r="J9388" t="str">
        <f t="shared" si="2124"/>
        <v>00</v>
      </c>
      <c r="K9388">
        <v>20190125</v>
      </c>
      <c r="L9388" t="str">
        <f>"075428"</f>
        <v>075428</v>
      </c>
      <c r="M9388" t="str">
        <f>"84559"</f>
        <v>84559</v>
      </c>
      <c r="N9388" t="s">
        <v>590</v>
      </c>
      <c r="O9388">
        <v>155</v>
      </c>
      <c r="P9388">
        <v>20190124</v>
      </c>
      <c r="Q9388" t="s">
        <v>7389</v>
      </c>
      <c r="R9388" t="s">
        <v>7390</v>
      </c>
      <c r="S9388" t="s">
        <v>7000</v>
      </c>
      <c r="T9388" t="s">
        <v>301</v>
      </c>
    </row>
    <row r="9389" spans="1:20" x14ac:dyDescent="0.25">
      <c r="A9389">
        <v>9</v>
      </c>
      <c r="B9389">
        <v>461</v>
      </c>
      <c r="C9389" t="str">
        <f t="shared" si="2125"/>
        <v>36</v>
      </c>
      <c r="D9389">
        <v>6219</v>
      </c>
      <c r="E9389" t="str">
        <f t="shared" si="2131"/>
        <v>75</v>
      </c>
      <c r="F9389" t="str">
        <f t="shared" si="2129"/>
        <v>001</v>
      </c>
      <c r="G9389">
        <v>9</v>
      </c>
      <c r="H9389" t="str">
        <f t="shared" si="2132"/>
        <v>91</v>
      </c>
      <c r="I9389" t="str">
        <f t="shared" si="2127"/>
        <v>0</v>
      </c>
      <c r="J9389" t="str">
        <f t="shared" si="2124"/>
        <v>00</v>
      </c>
      <c r="K9389">
        <v>20190125</v>
      </c>
      <c r="L9389" t="str">
        <f>"075428"</f>
        <v>075428</v>
      </c>
      <c r="M9389" t="str">
        <f>"84559"</f>
        <v>84559</v>
      </c>
      <c r="N9389" t="s">
        <v>590</v>
      </c>
      <c r="O9389">
        <v>70</v>
      </c>
      <c r="P9389">
        <v>20190124</v>
      </c>
      <c r="Q9389" t="s">
        <v>7389</v>
      </c>
      <c r="R9389" t="s">
        <v>7390</v>
      </c>
      <c r="S9389" t="s">
        <v>7000</v>
      </c>
      <c r="T9389" t="s">
        <v>301</v>
      </c>
    </row>
    <row r="9390" spans="1:20" x14ac:dyDescent="0.25">
      <c r="A9390">
        <v>9</v>
      </c>
      <c r="B9390">
        <v>461</v>
      </c>
      <c r="C9390" t="str">
        <f t="shared" si="2125"/>
        <v>36</v>
      </c>
      <c r="D9390">
        <v>6219</v>
      </c>
      <c r="E9390" t="str">
        <f t="shared" si="2131"/>
        <v>75</v>
      </c>
      <c r="F9390" t="str">
        <f t="shared" si="2129"/>
        <v>001</v>
      </c>
      <c r="G9390">
        <v>9</v>
      </c>
      <c r="H9390" t="str">
        <f t="shared" si="2132"/>
        <v>91</v>
      </c>
      <c r="I9390" t="str">
        <f t="shared" si="2127"/>
        <v>0</v>
      </c>
      <c r="J9390" t="str">
        <f t="shared" ref="J9390:J9421" si="2133">"00"</f>
        <v>00</v>
      </c>
      <c r="K9390">
        <v>20190125</v>
      </c>
      <c r="L9390" t="str">
        <f>"075428"</f>
        <v>075428</v>
      </c>
      <c r="M9390" t="str">
        <f>"84559"</f>
        <v>84559</v>
      </c>
      <c r="N9390" t="s">
        <v>590</v>
      </c>
      <c r="O9390">
        <v>225</v>
      </c>
      <c r="P9390">
        <v>20190124</v>
      </c>
      <c r="Q9390" t="s">
        <v>7389</v>
      </c>
      <c r="R9390" t="s">
        <v>7390</v>
      </c>
      <c r="S9390" t="s">
        <v>7000</v>
      </c>
      <c r="T9390" t="s">
        <v>301</v>
      </c>
    </row>
    <row r="9391" spans="1:20" x14ac:dyDescent="0.25">
      <c r="A9391">
        <v>9</v>
      </c>
      <c r="B9391">
        <v>461</v>
      </c>
      <c r="C9391" t="str">
        <f t="shared" si="2125"/>
        <v>36</v>
      </c>
      <c r="D9391">
        <v>6219</v>
      </c>
      <c r="E9391" t="str">
        <f t="shared" si="2131"/>
        <v>75</v>
      </c>
      <c r="F9391" t="str">
        <f t="shared" si="2129"/>
        <v>001</v>
      </c>
      <c r="G9391">
        <v>9</v>
      </c>
      <c r="H9391" t="str">
        <f t="shared" si="2132"/>
        <v>91</v>
      </c>
      <c r="I9391" t="str">
        <f t="shared" si="2127"/>
        <v>0</v>
      </c>
      <c r="J9391" t="str">
        <f t="shared" si="2133"/>
        <v>00</v>
      </c>
      <c r="K9391">
        <v>20190125</v>
      </c>
      <c r="L9391" t="str">
        <f>"075428"</f>
        <v>075428</v>
      </c>
      <c r="M9391" t="str">
        <f>"84559"</f>
        <v>84559</v>
      </c>
      <c r="N9391" t="s">
        <v>590</v>
      </c>
      <c r="O9391">
        <v>85</v>
      </c>
      <c r="P9391">
        <v>20190124</v>
      </c>
      <c r="Q9391" t="s">
        <v>7389</v>
      </c>
      <c r="R9391" t="s">
        <v>7390</v>
      </c>
      <c r="S9391" t="s">
        <v>7000</v>
      </c>
      <c r="T9391" t="s">
        <v>301</v>
      </c>
    </row>
    <row r="9392" spans="1:20" x14ac:dyDescent="0.25">
      <c r="A9392">
        <v>9</v>
      </c>
      <c r="B9392">
        <v>461</v>
      </c>
      <c r="C9392" t="str">
        <f t="shared" si="2125"/>
        <v>36</v>
      </c>
      <c r="D9392">
        <v>6219</v>
      </c>
      <c r="E9392" t="str">
        <f t="shared" si="2131"/>
        <v>75</v>
      </c>
      <c r="F9392" t="str">
        <f t="shared" si="2129"/>
        <v>001</v>
      </c>
      <c r="G9392">
        <v>9</v>
      </c>
      <c r="H9392" t="str">
        <f t="shared" si="2132"/>
        <v>91</v>
      </c>
      <c r="I9392" t="str">
        <f t="shared" si="2127"/>
        <v>0</v>
      </c>
      <c r="J9392" t="str">
        <f t="shared" si="2133"/>
        <v>00</v>
      </c>
      <c r="K9392">
        <v>20190125</v>
      </c>
      <c r="L9392" t="str">
        <f>"075429"</f>
        <v>075429</v>
      </c>
      <c r="M9392" t="str">
        <f>"84400"</f>
        <v>84400</v>
      </c>
      <c r="N9392" t="s">
        <v>764</v>
      </c>
      <c r="O9392">
        <v>155</v>
      </c>
      <c r="P9392">
        <v>20190124</v>
      </c>
      <c r="Q9392" t="s">
        <v>7389</v>
      </c>
      <c r="R9392" t="s">
        <v>7390</v>
      </c>
      <c r="S9392" t="s">
        <v>7000</v>
      </c>
      <c r="T9392" t="s">
        <v>301</v>
      </c>
    </row>
    <row r="9393" spans="1:20" x14ac:dyDescent="0.25">
      <c r="A9393">
        <v>9</v>
      </c>
      <c r="B9393">
        <v>461</v>
      </c>
      <c r="C9393" t="str">
        <f t="shared" si="2125"/>
        <v>36</v>
      </c>
      <c r="D9393">
        <v>6399</v>
      </c>
      <c r="E9393" t="str">
        <f>"3T"</f>
        <v>3T</v>
      </c>
      <c r="F9393" t="str">
        <f t="shared" si="2129"/>
        <v>001</v>
      </c>
      <c r="G9393">
        <v>9</v>
      </c>
      <c r="H9393" t="str">
        <f t="shared" si="2132"/>
        <v>91</v>
      </c>
      <c r="I9393" t="str">
        <f t="shared" si="2127"/>
        <v>0</v>
      </c>
      <c r="J9393" t="str">
        <f t="shared" si="2133"/>
        <v>00</v>
      </c>
      <c r="K9393">
        <v>20190131</v>
      </c>
      <c r="L9393" t="str">
        <f>"075430"</f>
        <v>075430</v>
      </c>
      <c r="M9393" t="str">
        <f>"01150"</f>
        <v>01150</v>
      </c>
      <c r="N9393" t="s">
        <v>7226</v>
      </c>
      <c r="O9393">
        <v>233</v>
      </c>
      <c r="P9393">
        <v>20190130</v>
      </c>
      <c r="Q9393" t="s">
        <v>7053</v>
      </c>
      <c r="R9393" t="s">
        <v>7406</v>
      </c>
      <c r="S9393" t="s">
        <v>7000</v>
      </c>
      <c r="T9393" t="s">
        <v>301</v>
      </c>
    </row>
    <row r="9394" spans="1:20" x14ac:dyDescent="0.25">
      <c r="A9394">
        <v>9</v>
      </c>
      <c r="B9394">
        <v>461</v>
      </c>
      <c r="C9394" t="str">
        <f t="shared" si="2125"/>
        <v>36</v>
      </c>
      <c r="D9394">
        <v>6219</v>
      </c>
      <c r="E9394" t="str">
        <f>"3B"</f>
        <v>3B</v>
      </c>
      <c r="F9394" t="str">
        <f>"041"</f>
        <v>041</v>
      </c>
      <c r="G9394">
        <v>9</v>
      </c>
      <c r="H9394" t="str">
        <f t="shared" si="2132"/>
        <v>91</v>
      </c>
      <c r="I9394" t="str">
        <f t="shared" si="2127"/>
        <v>0</v>
      </c>
      <c r="J9394" t="str">
        <f t="shared" si="2133"/>
        <v>00</v>
      </c>
      <c r="K9394">
        <v>20190131</v>
      </c>
      <c r="L9394" t="str">
        <f>"075431"</f>
        <v>075431</v>
      </c>
      <c r="M9394" t="str">
        <f>"00646"</f>
        <v>00646</v>
      </c>
      <c r="N9394" t="s">
        <v>694</v>
      </c>
      <c r="O9394">
        <v>120</v>
      </c>
      <c r="P9394">
        <v>20190130</v>
      </c>
      <c r="Q9394" t="s">
        <v>7407</v>
      </c>
      <c r="R9394" t="s">
        <v>7408</v>
      </c>
      <c r="S9394" t="s">
        <v>7000</v>
      </c>
      <c r="T9394" t="s">
        <v>106</v>
      </c>
    </row>
    <row r="9395" spans="1:20" x14ac:dyDescent="0.25">
      <c r="A9395">
        <v>9</v>
      </c>
      <c r="B9395">
        <v>461</v>
      </c>
      <c r="C9395" t="str">
        <f t="shared" si="2125"/>
        <v>36</v>
      </c>
      <c r="D9395">
        <v>6399</v>
      </c>
      <c r="E9395" t="str">
        <f>"3K"</f>
        <v>3K</v>
      </c>
      <c r="F9395" t="str">
        <f>"001"</f>
        <v>001</v>
      </c>
      <c r="G9395">
        <v>9</v>
      </c>
      <c r="H9395" t="str">
        <f t="shared" si="2132"/>
        <v>91</v>
      </c>
      <c r="I9395" t="str">
        <f t="shared" si="2127"/>
        <v>0</v>
      </c>
      <c r="J9395" t="str">
        <f t="shared" si="2133"/>
        <v>00</v>
      </c>
      <c r="K9395">
        <v>20190131</v>
      </c>
      <c r="L9395" t="str">
        <f>"075435"</f>
        <v>075435</v>
      </c>
      <c r="M9395" t="str">
        <f>"05530"</f>
        <v>05530</v>
      </c>
      <c r="N9395" t="s">
        <v>947</v>
      </c>
      <c r="O9395">
        <v>420.25</v>
      </c>
      <c r="P9395">
        <v>20190130</v>
      </c>
      <c r="Q9395" t="s">
        <v>7284</v>
      </c>
      <c r="R9395" t="s">
        <v>7409</v>
      </c>
      <c r="S9395" t="s">
        <v>7000</v>
      </c>
      <c r="T9395" t="s">
        <v>301</v>
      </c>
    </row>
    <row r="9396" spans="1:20" x14ac:dyDescent="0.25">
      <c r="A9396">
        <v>9</v>
      </c>
      <c r="B9396">
        <v>461</v>
      </c>
      <c r="C9396" t="str">
        <f t="shared" si="2125"/>
        <v>36</v>
      </c>
      <c r="D9396">
        <v>6219</v>
      </c>
      <c r="E9396" t="str">
        <f>"3B"</f>
        <v>3B</v>
      </c>
      <c r="F9396" t="str">
        <f>"041"</f>
        <v>041</v>
      </c>
      <c r="G9396">
        <v>9</v>
      </c>
      <c r="H9396" t="str">
        <f t="shared" si="2132"/>
        <v>91</v>
      </c>
      <c r="I9396" t="str">
        <f t="shared" si="2127"/>
        <v>0</v>
      </c>
      <c r="J9396" t="str">
        <f t="shared" si="2133"/>
        <v>00</v>
      </c>
      <c r="K9396">
        <v>20190131</v>
      </c>
      <c r="L9396" t="str">
        <f>"075439"</f>
        <v>075439</v>
      </c>
      <c r="M9396" t="str">
        <f>"10167"</f>
        <v>10167</v>
      </c>
      <c r="N9396" t="s">
        <v>896</v>
      </c>
      <c r="O9396">
        <v>85</v>
      </c>
      <c r="P9396">
        <v>20190130</v>
      </c>
      <c r="Q9396" t="s">
        <v>7407</v>
      </c>
      <c r="R9396" t="s">
        <v>7410</v>
      </c>
      <c r="S9396" t="s">
        <v>7000</v>
      </c>
      <c r="T9396" t="s">
        <v>106</v>
      </c>
    </row>
    <row r="9397" spans="1:20" x14ac:dyDescent="0.25">
      <c r="A9397">
        <v>9</v>
      </c>
      <c r="B9397">
        <v>461</v>
      </c>
      <c r="C9397" t="str">
        <f t="shared" si="2125"/>
        <v>36</v>
      </c>
      <c r="D9397">
        <v>6219</v>
      </c>
      <c r="E9397" t="str">
        <f>"3B"</f>
        <v>3B</v>
      </c>
      <c r="F9397" t="str">
        <f>"041"</f>
        <v>041</v>
      </c>
      <c r="G9397">
        <v>9</v>
      </c>
      <c r="H9397" t="str">
        <f t="shared" si="2132"/>
        <v>91</v>
      </c>
      <c r="I9397" t="str">
        <f t="shared" si="2127"/>
        <v>0</v>
      </c>
      <c r="J9397" t="str">
        <f t="shared" si="2133"/>
        <v>00</v>
      </c>
      <c r="K9397">
        <v>20190131</v>
      </c>
      <c r="L9397" t="str">
        <f>"075439"</f>
        <v>075439</v>
      </c>
      <c r="M9397" t="str">
        <f>"10167"</f>
        <v>10167</v>
      </c>
      <c r="N9397" t="s">
        <v>896</v>
      </c>
      <c r="O9397">
        <v>120</v>
      </c>
      <c r="P9397">
        <v>20190130</v>
      </c>
      <c r="Q9397" t="s">
        <v>7407</v>
      </c>
      <c r="R9397" t="s">
        <v>7408</v>
      </c>
      <c r="S9397" t="s">
        <v>7000</v>
      </c>
      <c r="T9397" t="s">
        <v>106</v>
      </c>
    </row>
    <row r="9398" spans="1:20" x14ac:dyDescent="0.25">
      <c r="A9398">
        <v>9</v>
      </c>
      <c r="B9398">
        <v>461</v>
      </c>
      <c r="C9398" t="str">
        <f t="shared" si="2125"/>
        <v>36</v>
      </c>
      <c r="D9398">
        <v>6399</v>
      </c>
      <c r="E9398" t="str">
        <f>"CS"</f>
        <v>CS</v>
      </c>
      <c r="F9398" t="str">
        <f>"001"</f>
        <v>001</v>
      </c>
      <c r="G9398">
        <v>9</v>
      </c>
      <c r="H9398" t="str">
        <f t="shared" si="2132"/>
        <v>91</v>
      </c>
      <c r="I9398" t="str">
        <f t="shared" ref="I9398:I9407" si="2134">"0"</f>
        <v>0</v>
      </c>
      <c r="J9398" t="str">
        <f t="shared" si="2133"/>
        <v>00</v>
      </c>
      <c r="K9398">
        <v>20190131</v>
      </c>
      <c r="L9398" t="str">
        <f>"075440"</f>
        <v>075440</v>
      </c>
      <c r="M9398" t="str">
        <f>"10418"</f>
        <v>10418</v>
      </c>
      <c r="N9398" t="s">
        <v>2360</v>
      </c>
      <c r="O9398" s="1">
        <v>1049.04</v>
      </c>
      <c r="P9398">
        <v>20190130</v>
      </c>
      <c r="Q9398" t="s">
        <v>6998</v>
      </c>
      <c r="R9398" t="s">
        <v>6999</v>
      </c>
      <c r="S9398" t="s">
        <v>7000</v>
      </c>
      <c r="T9398" t="s">
        <v>301</v>
      </c>
    </row>
    <row r="9399" spans="1:20" x14ac:dyDescent="0.25">
      <c r="A9399">
        <v>9</v>
      </c>
      <c r="B9399">
        <v>461</v>
      </c>
      <c r="C9399" t="str">
        <f t="shared" si="2125"/>
        <v>36</v>
      </c>
      <c r="D9399">
        <v>6399</v>
      </c>
      <c r="E9399" t="str">
        <f>"CS"</f>
        <v>CS</v>
      </c>
      <c r="F9399" t="str">
        <f>"001"</f>
        <v>001</v>
      </c>
      <c r="G9399">
        <v>9</v>
      </c>
      <c r="H9399" t="str">
        <f t="shared" si="2132"/>
        <v>91</v>
      </c>
      <c r="I9399" t="str">
        <f t="shared" si="2134"/>
        <v>0</v>
      </c>
      <c r="J9399" t="str">
        <f t="shared" si="2133"/>
        <v>00</v>
      </c>
      <c r="K9399">
        <v>20190131</v>
      </c>
      <c r="L9399" t="str">
        <f>"075440"</f>
        <v>075440</v>
      </c>
      <c r="M9399" t="str">
        <f>"10418"</f>
        <v>10418</v>
      </c>
      <c r="N9399" t="s">
        <v>2360</v>
      </c>
      <c r="O9399">
        <v>388.24</v>
      </c>
      <c r="P9399">
        <v>20190130</v>
      </c>
      <c r="Q9399" t="s">
        <v>6998</v>
      </c>
      <c r="R9399" t="s">
        <v>6999</v>
      </c>
      <c r="S9399" t="s">
        <v>7000</v>
      </c>
      <c r="T9399" t="s">
        <v>301</v>
      </c>
    </row>
    <row r="9400" spans="1:20" x14ac:dyDescent="0.25">
      <c r="A9400">
        <v>9</v>
      </c>
      <c r="B9400">
        <v>461</v>
      </c>
      <c r="C9400" t="str">
        <f t="shared" si="2125"/>
        <v>36</v>
      </c>
      <c r="D9400">
        <v>6399</v>
      </c>
      <c r="E9400" t="str">
        <f>"3K"</f>
        <v>3K</v>
      </c>
      <c r="F9400" t="str">
        <f>"001"</f>
        <v>001</v>
      </c>
      <c r="G9400">
        <v>9</v>
      </c>
      <c r="H9400" t="str">
        <f t="shared" si="2132"/>
        <v>91</v>
      </c>
      <c r="I9400" t="str">
        <f t="shared" si="2134"/>
        <v>0</v>
      </c>
      <c r="J9400" t="str">
        <f t="shared" si="2133"/>
        <v>00</v>
      </c>
      <c r="K9400">
        <v>20190131</v>
      </c>
      <c r="L9400" t="str">
        <f>"075441"</f>
        <v>075441</v>
      </c>
      <c r="M9400" t="str">
        <f>"00420"</f>
        <v>00420</v>
      </c>
      <c r="N9400" t="s">
        <v>7020</v>
      </c>
      <c r="O9400">
        <v>618</v>
      </c>
      <c r="P9400">
        <v>20190130</v>
      </c>
      <c r="Q9400" t="s">
        <v>7284</v>
      </c>
      <c r="R9400" t="s">
        <v>7411</v>
      </c>
      <c r="S9400" t="s">
        <v>7000</v>
      </c>
      <c r="T9400" t="s">
        <v>301</v>
      </c>
    </row>
    <row r="9401" spans="1:20" x14ac:dyDescent="0.25">
      <c r="A9401">
        <v>9</v>
      </c>
      <c r="B9401">
        <v>461</v>
      </c>
      <c r="C9401" t="str">
        <f t="shared" si="2125"/>
        <v>36</v>
      </c>
      <c r="D9401">
        <v>6399</v>
      </c>
      <c r="E9401" t="str">
        <f>"3M"</f>
        <v>3M</v>
      </c>
      <c r="F9401" t="str">
        <f>"001"</f>
        <v>001</v>
      </c>
      <c r="G9401">
        <v>9</v>
      </c>
      <c r="H9401" t="str">
        <f t="shared" si="2132"/>
        <v>91</v>
      </c>
      <c r="I9401" t="str">
        <f t="shared" si="2134"/>
        <v>0</v>
      </c>
      <c r="J9401" t="str">
        <f t="shared" si="2133"/>
        <v>00</v>
      </c>
      <c r="K9401">
        <v>20190131</v>
      </c>
      <c r="L9401" t="str">
        <f>"075441"</f>
        <v>075441</v>
      </c>
      <c r="M9401" t="str">
        <f>"00420"</f>
        <v>00420</v>
      </c>
      <c r="N9401" t="s">
        <v>7020</v>
      </c>
      <c r="O9401" s="1">
        <v>2110</v>
      </c>
      <c r="P9401">
        <v>20190130</v>
      </c>
      <c r="Q9401" t="s">
        <v>7412</v>
      </c>
      <c r="R9401" t="s">
        <v>7413</v>
      </c>
      <c r="S9401" t="s">
        <v>7000</v>
      </c>
      <c r="T9401" t="s">
        <v>301</v>
      </c>
    </row>
    <row r="9402" spans="1:20" x14ac:dyDescent="0.25">
      <c r="A9402">
        <v>9</v>
      </c>
      <c r="B9402">
        <v>461</v>
      </c>
      <c r="C9402" t="str">
        <f t="shared" si="2125"/>
        <v>36</v>
      </c>
      <c r="D9402">
        <v>6399</v>
      </c>
      <c r="E9402" t="str">
        <f>"Y4"</f>
        <v>Y4</v>
      </c>
      <c r="F9402" t="str">
        <f>"802"</f>
        <v>802</v>
      </c>
      <c r="G9402">
        <v>9</v>
      </c>
      <c r="H9402" t="str">
        <f>"99"</f>
        <v>99</v>
      </c>
      <c r="I9402" t="str">
        <f t="shared" si="2134"/>
        <v>0</v>
      </c>
      <c r="J9402" t="str">
        <f t="shared" si="2133"/>
        <v>00</v>
      </c>
      <c r="K9402">
        <v>20190131</v>
      </c>
      <c r="L9402" t="str">
        <f>"075441"</f>
        <v>075441</v>
      </c>
      <c r="M9402" t="str">
        <f>"00420"</f>
        <v>00420</v>
      </c>
      <c r="N9402" t="s">
        <v>7020</v>
      </c>
      <c r="O9402">
        <v>72.81</v>
      </c>
      <c r="P9402">
        <v>20190130</v>
      </c>
      <c r="Q9402" t="s">
        <v>7127</v>
      </c>
      <c r="R9402" t="s">
        <v>7414</v>
      </c>
      <c r="S9402" t="s">
        <v>7000</v>
      </c>
      <c r="T9402" t="s">
        <v>7023</v>
      </c>
    </row>
    <row r="9403" spans="1:20" x14ac:dyDescent="0.25">
      <c r="A9403">
        <v>9</v>
      </c>
      <c r="B9403">
        <v>461</v>
      </c>
      <c r="C9403" t="str">
        <f t="shared" si="2125"/>
        <v>36</v>
      </c>
      <c r="D9403">
        <v>6399</v>
      </c>
      <c r="E9403" t="str">
        <f>"Y5"</f>
        <v>Y5</v>
      </c>
      <c r="F9403" t="str">
        <f>"802"</f>
        <v>802</v>
      </c>
      <c r="G9403">
        <v>9</v>
      </c>
      <c r="H9403" t="str">
        <f>"99"</f>
        <v>99</v>
      </c>
      <c r="I9403" t="str">
        <f t="shared" si="2134"/>
        <v>0</v>
      </c>
      <c r="J9403" t="str">
        <f t="shared" si="2133"/>
        <v>00</v>
      </c>
      <c r="K9403">
        <v>20190131</v>
      </c>
      <c r="L9403" t="str">
        <f>"075441"</f>
        <v>075441</v>
      </c>
      <c r="M9403" t="str">
        <f>"00420"</f>
        <v>00420</v>
      </c>
      <c r="N9403" t="s">
        <v>7020</v>
      </c>
      <c r="O9403" s="1">
        <v>1649.73</v>
      </c>
      <c r="P9403">
        <v>20190130</v>
      </c>
      <c r="Q9403" t="s">
        <v>7021</v>
      </c>
      <c r="R9403" t="s">
        <v>7415</v>
      </c>
      <c r="S9403" t="s">
        <v>7000</v>
      </c>
      <c r="T9403" t="s">
        <v>7023</v>
      </c>
    </row>
    <row r="9404" spans="1:20" x14ac:dyDescent="0.25">
      <c r="A9404">
        <v>9</v>
      </c>
      <c r="B9404">
        <v>461</v>
      </c>
      <c r="C9404" t="str">
        <f t="shared" si="2125"/>
        <v>36</v>
      </c>
      <c r="D9404">
        <v>6399</v>
      </c>
      <c r="E9404" t="str">
        <f>"H2"</f>
        <v>H2</v>
      </c>
      <c r="F9404" t="str">
        <f>"001"</f>
        <v>001</v>
      </c>
      <c r="G9404">
        <v>9</v>
      </c>
      <c r="H9404" t="str">
        <f>"99"</f>
        <v>99</v>
      </c>
      <c r="I9404" t="str">
        <f t="shared" si="2134"/>
        <v>0</v>
      </c>
      <c r="J9404" t="str">
        <f t="shared" si="2133"/>
        <v>00</v>
      </c>
      <c r="K9404">
        <v>20190131</v>
      </c>
      <c r="L9404" t="str">
        <f>"075447"</f>
        <v>075447</v>
      </c>
      <c r="M9404" t="str">
        <f>"20447"</f>
        <v>20447</v>
      </c>
      <c r="N9404" t="s">
        <v>3109</v>
      </c>
      <c r="O9404">
        <v>9</v>
      </c>
      <c r="P9404">
        <v>20190130</v>
      </c>
      <c r="Q9404" t="s">
        <v>7033</v>
      </c>
      <c r="R9404" t="s">
        <v>3627</v>
      </c>
      <c r="S9404" t="s">
        <v>7000</v>
      </c>
      <c r="T9404" t="s">
        <v>301</v>
      </c>
    </row>
    <row r="9405" spans="1:20" x14ac:dyDescent="0.25">
      <c r="A9405">
        <v>9</v>
      </c>
      <c r="B9405">
        <v>461</v>
      </c>
      <c r="C9405" t="str">
        <f t="shared" si="2125"/>
        <v>36</v>
      </c>
      <c r="D9405">
        <v>6412</v>
      </c>
      <c r="E9405" t="str">
        <f>"3D"</f>
        <v>3D</v>
      </c>
      <c r="F9405" t="str">
        <f>"041"</f>
        <v>041</v>
      </c>
      <c r="G9405">
        <v>9</v>
      </c>
      <c r="H9405" t="str">
        <f>"91"</f>
        <v>91</v>
      </c>
      <c r="I9405" t="str">
        <f t="shared" si="2134"/>
        <v>0</v>
      </c>
      <c r="J9405" t="str">
        <f t="shared" si="2133"/>
        <v>00</v>
      </c>
      <c r="K9405">
        <v>20190131</v>
      </c>
      <c r="L9405" t="str">
        <f>"075448"</f>
        <v>075448</v>
      </c>
      <c r="M9405" t="str">
        <f>"00694"</f>
        <v>00694</v>
      </c>
      <c r="N9405" t="s">
        <v>417</v>
      </c>
      <c r="O9405">
        <v>67.680000000000007</v>
      </c>
      <c r="P9405">
        <v>20190130</v>
      </c>
      <c r="Q9405" t="s">
        <v>7224</v>
      </c>
      <c r="R9405" t="s">
        <v>7416</v>
      </c>
      <c r="S9405" t="s">
        <v>7000</v>
      </c>
      <c r="T9405" t="s">
        <v>106</v>
      </c>
    </row>
    <row r="9406" spans="1:20" x14ac:dyDescent="0.25">
      <c r="A9406">
        <v>9</v>
      </c>
      <c r="B9406">
        <v>461</v>
      </c>
      <c r="C9406" t="str">
        <f t="shared" si="2125"/>
        <v>36</v>
      </c>
      <c r="D9406">
        <v>6412</v>
      </c>
      <c r="E9406" t="str">
        <f>"3D"</f>
        <v>3D</v>
      </c>
      <c r="F9406" t="str">
        <f>"001"</f>
        <v>001</v>
      </c>
      <c r="G9406">
        <v>9</v>
      </c>
      <c r="H9406" t="str">
        <f>"91"</f>
        <v>91</v>
      </c>
      <c r="I9406" t="str">
        <f t="shared" si="2134"/>
        <v>0</v>
      </c>
      <c r="J9406" t="str">
        <f t="shared" si="2133"/>
        <v>00</v>
      </c>
      <c r="K9406">
        <v>20190131</v>
      </c>
      <c r="L9406" t="str">
        <f>"075450"</f>
        <v>075450</v>
      </c>
      <c r="M9406" t="str">
        <f>"51345"</f>
        <v>51345</v>
      </c>
      <c r="N9406" t="s">
        <v>513</v>
      </c>
      <c r="O9406">
        <v>97.5</v>
      </c>
      <c r="P9406">
        <v>20190130</v>
      </c>
      <c r="Q9406" t="s">
        <v>7147</v>
      </c>
      <c r="R9406" t="s">
        <v>7417</v>
      </c>
      <c r="S9406" t="s">
        <v>7000</v>
      </c>
      <c r="T9406" t="s">
        <v>301</v>
      </c>
    </row>
    <row r="9407" spans="1:20" x14ac:dyDescent="0.25">
      <c r="A9407">
        <v>9</v>
      </c>
      <c r="B9407">
        <v>461</v>
      </c>
      <c r="C9407" t="str">
        <f t="shared" si="2125"/>
        <v>36</v>
      </c>
      <c r="D9407">
        <v>6412</v>
      </c>
      <c r="E9407" t="str">
        <f>"3S"</f>
        <v>3S</v>
      </c>
      <c r="F9407" t="str">
        <f>"001"</f>
        <v>001</v>
      </c>
      <c r="G9407">
        <v>9</v>
      </c>
      <c r="H9407" t="str">
        <f>"91"</f>
        <v>91</v>
      </c>
      <c r="I9407" t="str">
        <f t="shared" si="2134"/>
        <v>0</v>
      </c>
      <c r="J9407" t="str">
        <f t="shared" si="2133"/>
        <v>00</v>
      </c>
      <c r="K9407">
        <v>20190131</v>
      </c>
      <c r="L9407" t="str">
        <f>"075451"</f>
        <v>075451</v>
      </c>
      <c r="M9407" t="str">
        <f>"51349"</f>
        <v>51349</v>
      </c>
      <c r="N9407" t="s">
        <v>558</v>
      </c>
      <c r="O9407">
        <v>71.5</v>
      </c>
      <c r="P9407">
        <v>20190130</v>
      </c>
      <c r="Q9407" t="s">
        <v>7143</v>
      </c>
      <c r="R9407" t="s">
        <v>7290</v>
      </c>
      <c r="S9407" t="s">
        <v>7000</v>
      </c>
      <c r="T9407" t="s">
        <v>301</v>
      </c>
    </row>
    <row r="9408" spans="1:20" x14ac:dyDescent="0.25">
      <c r="A9408">
        <v>9</v>
      </c>
      <c r="B9408">
        <v>461</v>
      </c>
      <c r="C9408" t="str">
        <f t="shared" si="2125"/>
        <v>36</v>
      </c>
      <c r="D9408">
        <v>6499</v>
      </c>
      <c r="E9408" t="str">
        <f>"3M"</f>
        <v>3M</v>
      </c>
      <c r="F9408" t="str">
        <f>"001"</f>
        <v>001</v>
      </c>
      <c r="G9408">
        <v>9</v>
      </c>
      <c r="H9408" t="str">
        <f>"91"</f>
        <v>91</v>
      </c>
      <c r="I9408" t="str">
        <f>"1"</f>
        <v>1</v>
      </c>
      <c r="J9408" t="str">
        <f t="shared" si="2133"/>
        <v>00</v>
      </c>
      <c r="K9408">
        <v>20190131</v>
      </c>
      <c r="L9408" t="str">
        <f>"075454"</f>
        <v>075454</v>
      </c>
      <c r="M9408" t="str">
        <f>"21514"</f>
        <v>21514</v>
      </c>
      <c r="N9408" t="s">
        <v>5161</v>
      </c>
      <c r="O9408">
        <v>975</v>
      </c>
      <c r="P9408">
        <v>20190130</v>
      </c>
      <c r="Q9408" t="s">
        <v>7418</v>
      </c>
      <c r="R9408" t="s">
        <v>1063</v>
      </c>
      <c r="S9408" t="s">
        <v>7000</v>
      </c>
      <c r="T9408" t="s">
        <v>301</v>
      </c>
    </row>
    <row r="9409" spans="1:20" x14ac:dyDescent="0.25">
      <c r="A9409">
        <v>9</v>
      </c>
      <c r="B9409">
        <v>461</v>
      </c>
      <c r="C9409" t="str">
        <f t="shared" si="2125"/>
        <v>36</v>
      </c>
      <c r="D9409">
        <v>6412</v>
      </c>
      <c r="E9409" t="str">
        <f>"3D"</f>
        <v>3D</v>
      </c>
      <c r="F9409" t="str">
        <f>"001"</f>
        <v>001</v>
      </c>
      <c r="G9409">
        <v>9</v>
      </c>
      <c r="H9409" t="str">
        <f>"91"</f>
        <v>91</v>
      </c>
      <c r="I9409" t="str">
        <f t="shared" ref="I9409:I9438" si="2135">"0"</f>
        <v>0</v>
      </c>
      <c r="J9409" t="str">
        <f t="shared" si="2133"/>
        <v>00</v>
      </c>
      <c r="K9409">
        <v>20190131</v>
      </c>
      <c r="L9409" t="str">
        <f>"075456"</f>
        <v>075456</v>
      </c>
      <c r="M9409" t="str">
        <f>"24335"</f>
        <v>24335</v>
      </c>
      <c r="N9409" t="s">
        <v>516</v>
      </c>
      <c r="O9409">
        <v>277.04000000000002</v>
      </c>
      <c r="P9409">
        <v>20190130</v>
      </c>
      <c r="Q9409" t="s">
        <v>7147</v>
      </c>
      <c r="R9409" t="s">
        <v>7419</v>
      </c>
      <c r="S9409" t="s">
        <v>7000</v>
      </c>
      <c r="T9409" t="s">
        <v>301</v>
      </c>
    </row>
    <row r="9410" spans="1:20" x14ac:dyDescent="0.25">
      <c r="A9410">
        <v>9</v>
      </c>
      <c r="B9410">
        <v>461</v>
      </c>
      <c r="C9410" t="str">
        <f t="shared" si="2125"/>
        <v>36</v>
      </c>
      <c r="D9410">
        <v>6649</v>
      </c>
      <c r="E9410" t="str">
        <f>"7U"</f>
        <v>7U</v>
      </c>
      <c r="F9410" t="str">
        <f>"104"</f>
        <v>104</v>
      </c>
      <c r="G9410">
        <v>9</v>
      </c>
      <c r="H9410" t="str">
        <f>"99"</f>
        <v>99</v>
      </c>
      <c r="I9410" t="str">
        <f t="shared" si="2135"/>
        <v>0</v>
      </c>
      <c r="J9410" t="str">
        <f t="shared" si="2133"/>
        <v>00</v>
      </c>
      <c r="K9410">
        <v>20190131</v>
      </c>
      <c r="L9410" t="str">
        <f>"075461"</f>
        <v>075461</v>
      </c>
      <c r="M9410" t="str">
        <f>"25221"</f>
        <v>25221</v>
      </c>
      <c r="N9410" t="s">
        <v>2484</v>
      </c>
      <c r="O9410" s="1">
        <v>2113.25</v>
      </c>
      <c r="P9410">
        <v>20190130</v>
      </c>
      <c r="Q9410" t="s">
        <v>7420</v>
      </c>
      <c r="R9410" t="s">
        <v>7421</v>
      </c>
      <c r="S9410" t="s">
        <v>7000</v>
      </c>
      <c r="T9410" t="s">
        <v>46</v>
      </c>
    </row>
    <row r="9411" spans="1:20" x14ac:dyDescent="0.25">
      <c r="A9411">
        <v>9</v>
      </c>
      <c r="B9411">
        <v>461</v>
      </c>
      <c r="C9411" t="str">
        <f t="shared" si="2125"/>
        <v>36</v>
      </c>
      <c r="D9411">
        <v>6219</v>
      </c>
      <c r="E9411" t="str">
        <f>"3B"</f>
        <v>3B</v>
      </c>
      <c r="F9411" t="str">
        <f>"041"</f>
        <v>041</v>
      </c>
      <c r="G9411">
        <v>9</v>
      </c>
      <c r="H9411" t="str">
        <f>"91"</f>
        <v>91</v>
      </c>
      <c r="I9411" t="str">
        <f t="shared" si="2135"/>
        <v>0</v>
      </c>
      <c r="J9411" t="str">
        <f t="shared" si="2133"/>
        <v>00</v>
      </c>
      <c r="K9411">
        <v>20190131</v>
      </c>
      <c r="L9411" t="str">
        <f>"075462"</f>
        <v>075462</v>
      </c>
      <c r="M9411" t="str">
        <f>"00687"</f>
        <v>00687</v>
      </c>
      <c r="N9411" t="s">
        <v>7422</v>
      </c>
      <c r="O9411">
        <v>120</v>
      </c>
      <c r="P9411">
        <v>20190130</v>
      </c>
      <c r="Q9411" t="s">
        <v>7407</v>
      </c>
      <c r="R9411" t="s">
        <v>7410</v>
      </c>
      <c r="S9411" t="s">
        <v>7000</v>
      </c>
      <c r="T9411" t="s">
        <v>106</v>
      </c>
    </row>
    <row r="9412" spans="1:20" x14ac:dyDescent="0.25">
      <c r="A9412">
        <v>9</v>
      </c>
      <c r="B9412">
        <v>461</v>
      </c>
      <c r="C9412" t="str">
        <f t="shared" si="2125"/>
        <v>36</v>
      </c>
      <c r="D9412">
        <v>6412</v>
      </c>
      <c r="E9412" t="str">
        <f>"61"</f>
        <v>61</v>
      </c>
      <c r="F9412" t="str">
        <f>"001"</f>
        <v>001</v>
      </c>
      <c r="G9412">
        <v>9</v>
      </c>
      <c r="H9412" t="str">
        <f>"99"</f>
        <v>99</v>
      </c>
      <c r="I9412" t="str">
        <f t="shared" si="2135"/>
        <v>0</v>
      </c>
      <c r="J9412" t="str">
        <f t="shared" si="2133"/>
        <v>00</v>
      </c>
      <c r="K9412">
        <v>20190131</v>
      </c>
      <c r="L9412" t="str">
        <f>"075463"</f>
        <v>075463</v>
      </c>
      <c r="M9412" t="str">
        <f>"25853"</f>
        <v>25853</v>
      </c>
      <c r="N9412" t="s">
        <v>3941</v>
      </c>
      <c r="O9412">
        <v>200</v>
      </c>
      <c r="P9412">
        <v>20190131</v>
      </c>
      <c r="Q9412" t="s">
        <v>7423</v>
      </c>
      <c r="R9412" t="s">
        <v>7424</v>
      </c>
      <c r="S9412" t="s">
        <v>7000</v>
      </c>
      <c r="T9412" t="s">
        <v>301</v>
      </c>
    </row>
    <row r="9413" spans="1:20" x14ac:dyDescent="0.25">
      <c r="A9413">
        <v>9</v>
      </c>
      <c r="B9413">
        <v>461</v>
      </c>
      <c r="C9413" t="str">
        <f t="shared" si="2125"/>
        <v>36</v>
      </c>
      <c r="D9413">
        <v>6412</v>
      </c>
      <c r="E9413" t="str">
        <f>"3S"</f>
        <v>3S</v>
      </c>
      <c r="F9413" t="str">
        <f>"001"</f>
        <v>001</v>
      </c>
      <c r="G9413">
        <v>9</v>
      </c>
      <c r="H9413" t="str">
        <f t="shared" ref="H9413:H9424" si="2136">"91"</f>
        <v>91</v>
      </c>
      <c r="I9413" t="str">
        <f t="shared" si="2135"/>
        <v>0</v>
      </c>
      <c r="J9413" t="str">
        <f t="shared" si="2133"/>
        <v>00</v>
      </c>
      <c r="K9413">
        <v>20190131</v>
      </c>
      <c r="L9413" t="str">
        <f>"075471"</f>
        <v>075471</v>
      </c>
      <c r="M9413" t="str">
        <f>"30837"</f>
        <v>30837</v>
      </c>
      <c r="N9413" t="s">
        <v>621</v>
      </c>
      <c r="O9413">
        <v>311.22000000000003</v>
      </c>
      <c r="P9413">
        <v>20190130</v>
      </c>
      <c r="Q9413" t="s">
        <v>7143</v>
      </c>
      <c r="R9413" t="s">
        <v>7425</v>
      </c>
      <c r="S9413" t="s">
        <v>7000</v>
      </c>
      <c r="T9413" t="s">
        <v>301</v>
      </c>
    </row>
    <row r="9414" spans="1:20" x14ac:dyDescent="0.25">
      <c r="A9414">
        <v>9</v>
      </c>
      <c r="B9414">
        <v>461</v>
      </c>
      <c r="C9414" t="str">
        <f t="shared" si="2125"/>
        <v>36</v>
      </c>
      <c r="D9414">
        <v>6219</v>
      </c>
      <c r="E9414" t="str">
        <f>"3B"</f>
        <v>3B</v>
      </c>
      <c r="F9414" t="str">
        <f>"041"</f>
        <v>041</v>
      </c>
      <c r="G9414">
        <v>9</v>
      </c>
      <c r="H9414" t="str">
        <f t="shared" si="2136"/>
        <v>91</v>
      </c>
      <c r="I9414" t="str">
        <f t="shared" si="2135"/>
        <v>0</v>
      </c>
      <c r="J9414" t="str">
        <f t="shared" si="2133"/>
        <v>00</v>
      </c>
      <c r="K9414">
        <v>20190131</v>
      </c>
      <c r="L9414" t="str">
        <f>"075473"</f>
        <v>075473</v>
      </c>
      <c r="M9414" t="str">
        <f>"32855"</f>
        <v>32855</v>
      </c>
      <c r="N9414" t="s">
        <v>348</v>
      </c>
      <c r="O9414">
        <v>120</v>
      </c>
      <c r="P9414">
        <v>20190130</v>
      </c>
      <c r="Q9414" t="s">
        <v>7407</v>
      </c>
      <c r="R9414" t="s">
        <v>7408</v>
      </c>
      <c r="S9414" t="s">
        <v>7000</v>
      </c>
      <c r="T9414" t="s">
        <v>106</v>
      </c>
    </row>
    <row r="9415" spans="1:20" x14ac:dyDescent="0.25">
      <c r="A9415">
        <v>9</v>
      </c>
      <c r="B9415">
        <v>461</v>
      </c>
      <c r="C9415" t="str">
        <f t="shared" si="2125"/>
        <v>36</v>
      </c>
      <c r="D9415">
        <v>6219</v>
      </c>
      <c r="E9415" t="str">
        <f>"3B"</f>
        <v>3B</v>
      </c>
      <c r="F9415" t="str">
        <f>"041"</f>
        <v>041</v>
      </c>
      <c r="G9415">
        <v>9</v>
      </c>
      <c r="H9415" t="str">
        <f t="shared" si="2136"/>
        <v>91</v>
      </c>
      <c r="I9415" t="str">
        <f t="shared" si="2135"/>
        <v>0</v>
      </c>
      <c r="J9415" t="str">
        <f t="shared" si="2133"/>
        <v>00</v>
      </c>
      <c r="K9415">
        <v>20190131</v>
      </c>
      <c r="L9415" t="str">
        <f>"075474"</f>
        <v>075474</v>
      </c>
      <c r="M9415" t="str">
        <f>"33712"</f>
        <v>33712</v>
      </c>
      <c r="N9415" t="s">
        <v>846</v>
      </c>
      <c r="O9415">
        <v>120</v>
      </c>
      <c r="P9415">
        <v>20190130</v>
      </c>
      <c r="Q9415" t="s">
        <v>7407</v>
      </c>
      <c r="R9415" t="s">
        <v>7408</v>
      </c>
      <c r="S9415" t="s">
        <v>7000</v>
      </c>
      <c r="T9415" t="s">
        <v>106</v>
      </c>
    </row>
    <row r="9416" spans="1:20" x14ac:dyDescent="0.25">
      <c r="A9416">
        <v>9</v>
      </c>
      <c r="B9416">
        <v>461</v>
      </c>
      <c r="C9416" t="str">
        <f t="shared" si="2125"/>
        <v>36</v>
      </c>
      <c r="D9416">
        <v>6219</v>
      </c>
      <c r="E9416" t="str">
        <f>"3B"</f>
        <v>3B</v>
      </c>
      <c r="F9416" t="str">
        <f>"041"</f>
        <v>041</v>
      </c>
      <c r="G9416">
        <v>9</v>
      </c>
      <c r="H9416" t="str">
        <f t="shared" si="2136"/>
        <v>91</v>
      </c>
      <c r="I9416" t="str">
        <f t="shared" si="2135"/>
        <v>0</v>
      </c>
      <c r="J9416" t="str">
        <f t="shared" si="2133"/>
        <v>00</v>
      </c>
      <c r="K9416">
        <v>20190131</v>
      </c>
      <c r="L9416" t="str">
        <f>"075477"</f>
        <v>075477</v>
      </c>
      <c r="M9416" t="str">
        <f>"00207"</f>
        <v>00207</v>
      </c>
      <c r="N9416" t="s">
        <v>7426</v>
      </c>
      <c r="O9416">
        <v>120</v>
      </c>
      <c r="P9416">
        <v>20190130</v>
      </c>
      <c r="Q9416" t="s">
        <v>7407</v>
      </c>
      <c r="R9416" t="s">
        <v>7408</v>
      </c>
      <c r="S9416" t="s">
        <v>7000</v>
      </c>
      <c r="T9416" t="s">
        <v>106</v>
      </c>
    </row>
    <row r="9417" spans="1:20" x14ac:dyDescent="0.25">
      <c r="A9417">
        <v>9</v>
      </c>
      <c r="B9417">
        <v>461</v>
      </c>
      <c r="C9417" t="str">
        <f t="shared" si="2125"/>
        <v>36</v>
      </c>
      <c r="D9417">
        <v>6412</v>
      </c>
      <c r="E9417" t="str">
        <f>"3P"</f>
        <v>3P</v>
      </c>
      <c r="F9417" t="str">
        <f>"001"</f>
        <v>001</v>
      </c>
      <c r="G9417">
        <v>9</v>
      </c>
      <c r="H9417" t="str">
        <f t="shared" si="2136"/>
        <v>91</v>
      </c>
      <c r="I9417" t="str">
        <f t="shared" si="2135"/>
        <v>0</v>
      </c>
      <c r="J9417" t="str">
        <f t="shared" si="2133"/>
        <v>00</v>
      </c>
      <c r="K9417">
        <v>20190131</v>
      </c>
      <c r="L9417" t="str">
        <f>"075478"</f>
        <v>075478</v>
      </c>
      <c r="M9417" t="str">
        <f>"00680"</f>
        <v>00680</v>
      </c>
      <c r="N9417" t="s">
        <v>7427</v>
      </c>
      <c r="O9417" s="1">
        <v>1226.76</v>
      </c>
      <c r="P9417">
        <v>20190130</v>
      </c>
      <c r="Q9417" t="s">
        <v>7428</v>
      </c>
      <c r="R9417" t="s">
        <v>7429</v>
      </c>
      <c r="S9417" t="s">
        <v>7000</v>
      </c>
      <c r="T9417" t="s">
        <v>301</v>
      </c>
    </row>
    <row r="9418" spans="1:20" x14ac:dyDescent="0.25">
      <c r="A9418">
        <v>9</v>
      </c>
      <c r="B9418">
        <v>461</v>
      </c>
      <c r="C9418" t="str">
        <f t="shared" si="2125"/>
        <v>36</v>
      </c>
      <c r="D9418">
        <v>6412</v>
      </c>
      <c r="E9418" t="str">
        <f>"3P"</f>
        <v>3P</v>
      </c>
      <c r="F9418" t="str">
        <f>"001"</f>
        <v>001</v>
      </c>
      <c r="G9418">
        <v>9</v>
      </c>
      <c r="H9418" t="str">
        <f t="shared" si="2136"/>
        <v>91</v>
      </c>
      <c r="I9418" t="str">
        <f t="shared" si="2135"/>
        <v>0</v>
      </c>
      <c r="J9418" t="str">
        <f t="shared" si="2133"/>
        <v>00</v>
      </c>
      <c r="K9418">
        <v>20190131</v>
      </c>
      <c r="L9418" t="str">
        <f>"075479"</f>
        <v>075479</v>
      </c>
      <c r="M9418" t="str">
        <f>"03849"</f>
        <v>03849</v>
      </c>
      <c r="N9418" t="s">
        <v>592</v>
      </c>
      <c r="O9418" s="1">
        <v>1271.1600000000001</v>
      </c>
      <c r="P9418">
        <v>20190130</v>
      </c>
      <c r="Q9418" t="s">
        <v>7428</v>
      </c>
      <c r="R9418" t="s">
        <v>1031</v>
      </c>
      <c r="S9418" t="s">
        <v>7000</v>
      </c>
      <c r="T9418" t="s">
        <v>301</v>
      </c>
    </row>
    <row r="9419" spans="1:20" x14ac:dyDescent="0.25">
      <c r="A9419">
        <v>9</v>
      </c>
      <c r="B9419">
        <v>461</v>
      </c>
      <c r="C9419" t="str">
        <f t="shared" si="2125"/>
        <v>36</v>
      </c>
      <c r="D9419">
        <v>6219</v>
      </c>
      <c r="E9419" t="str">
        <f t="shared" ref="E9419:E9424" si="2137">"3B"</f>
        <v>3B</v>
      </c>
      <c r="F9419" t="str">
        <f t="shared" ref="F9419:F9424" si="2138">"041"</f>
        <v>041</v>
      </c>
      <c r="G9419">
        <v>9</v>
      </c>
      <c r="H9419" t="str">
        <f t="shared" si="2136"/>
        <v>91</v>
      </c>
      <c r="I9419" t="str">
        <f t="shared" si="2135"/>
        <v>0</v>
      </c>
      <c r="J9419" t="str">
        <f t="shared" si="2133"/>
        <v>00</v>
      </c>
      <c r="K9419">
        <v>20190131</v>
      </c>
      <c r="L9419" t="str">
        <f>"075483"</f>
        <v>075483</v>
      </c>
      <c r="M9419" t="str">
        <f>"46224"</f>
        <v>46224</v>
      </c>
      <c r="N9419" t="s">
        <v>731</v>
      </c>
      <c r="O9419">
        <v>225</v>
      </c>
      <c r="P9419">
        <v>20190130</v>
      </c>
      <c r="Q9419" t="s">
        <v>7407</v>
      </c>
      <c r="R9419" t="s">
        <v>7410</v>
      </c>
      <c r="S9419" t="s">
        <v>7000</v>
      </c>
      <c r="T9419" t="s">
        <v>106</v>
      </c>
    </row>
    <row r="9420" spans="1:20" x14ac:dyDescent="0.25">
      <c r="A9420">
        <v>9</v>
      </c>
      <c r="B9420">
        <v>461</v>
      </c>
      <c r="C9420" t="str">
        <f t="shared" si="2125"/>
        <v>36</v>
      </c>
      <c r="D9420">
        <v>6219</v>
      </c>
      <c r="E9420" t="str">
        <f t="shared" si="2137"/>
        <v>3B</v>
      </c>
      <c r="F9420" t="str">
        <f t="shared" si="2138"/>
        <v>041</v>
      </c>
      <c r="G9420">
        <v>9</v>
      </c>
      <c r="H9420" t="str">
        <f t="shared" si="2136"/>
        <v>91</v>
      </c>
      <c r="I9420" t="str">
        <f t="shared" si="2135"/>
        <v>0</v>
      </c>
      <c r="J9420" t="str">
        <f t="shared" si="2133"/>
        <v>00</v>
      </c>
      <c r="K9420">
        <v>20190131</v>
      </c>
      <c r="L9420" t="str">
        <f>"075484"</f>
        <v>075484</v>
      </c>
      <c r="M9420" t="str">
        <f>"46226"</f>
        <v>46226</v>
      </c>
      <c r="N9420" t="s">
        <v>732</v>
      </c>
      <c r="O9420">
        <v>45</v>
      </c>
      <c r="P9420">
        <v>20190130</v>
      </c>
      <c r="Q9420" t="s">
        <v>7407</v>
      </c>
      <c r="R9420" t="s">
        <v>7410</v>
      </c>
      <c r="S9420" t="s">
        <v>7000</v>
      </c>
      <c r="T9420" t="s">
        <v>106</v>
      </c>
    </row>
    <row r="9421" spans="1:20" x14ac:dyDescent="0.25">
      <c r="A9421">
        <v>9</v>
      </c>
      <c r="B9421">
        <v>461</v>
      </c>
      <c r="C9421" t="str">
        <f t="shared" si="2125"/>
        <v>36</v>
      </c>
      <c r="D9421">
        <v>6219</v>
      </c>
      <c r="E9421" t="str">
        <f t="shared" si="2137"/>
        <v>3B</v>
      </c>
      <c r="F9421" t="str">
        <f t="shared" si="2138"/>
        <v>041</v>
      </c>
      <c r="G9421">
        <v>9</v>
      </c>
      <c r="H9421" t="str">
        <f t="shared" si="2136"/>
        <v>91</v>
      </c>
      <c r="I9421" t="str">
        <f t="shared" si="2135"/>
        <v>0</v>
      </c>
      <c r="J9421" t="str">
        <f t="shared" si="2133"/>
        <v>00</v>
      </c>
      <c r="K9421">
        <v>20190131</v>
      </c>
      <c r="L9421" t="str">
        <f>"075496"</f>
        <v>075496</v>
      </c>
      <c r="M9421" t="str">
        <f>"57299"</f>
        <v>57299</v>
      </c>
      <c r="N9421" t="s">
        <v>7430</v>
      </c>
      <c r="O9421">
        <v>120</v>
      </c>
      <c r="P9421">
        <v>20190130</v>
      </c>
      <c r="Q9421" t="s">
        <v>7407</v>
      </c>
      <c r="R9421" t="s">
        <v>7410</v>
      </c>
      <c r="S9421" t="s">
        <v>7000</v>
      </c>
      <c r="T9421" t="s">
        <v>106</v>
      </c>
    </row>
    <row r="9422" spans="1:20" x14ac:dyDescent="0.25">
      <c r="A9422">
        <v>9</v>
      </c>
      <c r="B9422">
        <v>461</v>
      </c>
      <c r="C9422" t="str">
        <f t="shared" si="2125"/>
        <v>36</v>
      </c>
      <c r="D9422">
        <v>6219</v>
      </c>
      <c r="E9422" t="str">
        <f t="shared" si="2137"/>
        <v>3B</v>
      </c>
      <c r="F9422" t="str">
        <f t="shared" si="2138"/>
        <v>041</v>
      </c>
      <c r="G9422">
        <v>9</v>
      </c>
      <c r="H9422" t="str">
        <f t="shared" si="2136"/>
        <v>91</v>
      </c>
      <c r="I9422" t="str">
        <f t="shared" si="2135"/>
        <v>0</v>
      </c>
      <c r="J9422" t="str">
        <f t="shared" ref="J9422:J9453" si="2139">"00"</f>
        <v>00</v>
      </c>
      <c r="K9422">
        <v>20190131</v>
      </c>
      <c r="L9422" t="str">
        <f>"075498"</f>
        <v>075498</v>
      </c>
      <c r="M9422" t="str">
        <f>"00688"</f>
        <v>00688</v>
      </c>
      <c r="N9422" t="s">
        <v>916</v>
      </c>
      <c r="O9422">
        <v>190</v>
      </c>
      <c r="P9422">
        <v>20190130</v>
      </c>
      <c r="Q9422" t="s">
        <v>7407</v>
      </c>
      <c r="R9422" t="s">
        <v>7410</v>
      </c>
      <c r="S9422" t="s">
        <v>7000</v>
      </c>
      <c r="T9422" t="s">
        <v>106</v>
      </c>
    </row>
    <row r="9423" spans="1:20" x14ac:dyDescent="0.25">
      <c r="A9423">
        <v>9</v>
      </c>
      <c r="B9423">
        <v>461</v>
      </c>
      <c r="C9423" t="str">
        <f t="shared" si="2125"/>
        <v>36</v>
      </c>
      <c r="D9423">
        <v>6219</v>
      </c>
      <c r="E9423" t="str">
        <f t="shared" si="2137"/>
        <v>3B</v>
      </c>
      <c r="F9423" t="str">
        <f t="shared" si="2138"/>
        <v>041</v>
      </c>
      <c r="G9423">
        <v>9</v>
      </c>
      <c r="H9423" t="str">
        <f t="shared" si="2136"/>
        <v>91</v>
      </c>
      <c r="I9423" t="str">
        <f t="shared" si="2135"/>
        <v>0</v>
      </c>
      <c r="J9423" t="str">
        <f t="shared" si="2139"/>
        <v>00</v>
      </c>
      <c r="K9423">
        <v>20190131</v>
      </c>
      <c r="L9423" t="str">
        <f>"075499"</f>
        <v>075499</v>
      </c>
      <c r="M9423" t="str">
        <f>"00664"</f>
        <v>00664</v>
      </c>
      <c r="N9423" t="s">
        <v>795</v>
      </c>
      <c r="O9423">
        <v>155</v>
      </c>
      <c r="P9423">
        <v>20190130</v>
      </c>
      <c r="Q9423" t="s">
        <v>7407</v>
      </c>
      <c r="R9423" t="s">
        <v>7410</v>
      </c>
      <c r="S9423" t="s">
        <v>7000</v>
      </c>
      <c r="T9423" t="s">
        <v>106</v>
      </c>
    </row>
    <row r="9424" spans="1:20" x14ac:dyDescent="0.25">
      <c r="A9424">
        <v>9</v>
      </c>
      <c r="B9424">
        <v>461</v>
      </c>
      <c r="C9424" t="str">
        <f t="shared" ref="C9424:C9487" si="2140">"36"</f>
        <v>36</v>
      </c>
      <c r="D9424">
        <v>6219</v>
      </c>
      <c r="E9424" t="str">
        <f t="shared" si="2137"/>
        <v>3B</v>
      </c>
      <c r="F9424" t="str">
        <f t="shared" si="2138"/>
        <v>041</v>
      </c>
      <c r="G9424">
        <v>9</v>
      </c>
      <c r="H9424" t="str">
        <f t="shared" si="2136"/>
        <v>91</v>
      </c>
      <c r="I9424" t="str">
        <f t="shared" si="2135"/>
        <v>0</v>
      </c>
      <c r="J9424" t="str">
        <f t="shared" si="2139"/>
        <v>00</v>
      </c>
      <c r="K9424">
        <v>20190131</v>
      </c>
      <c r="L9424" t="str">
        <f>"075499"</f>
        <v>075499</v>
      </c>
      <c r="M9424" t="str">
        <f>"00664"</f>
        <v>00664</v>
      </c>
      <c r="N9424" t="s">
        <v>795</v>
      </c>
      <c r="O9424">
        <v>120</v>
      </c>
      <c r="P9424">
        <v>20190130</v>
      </c>
      <c r="Q9424" t="s">
        <v>7407</v>
      </c>
      <c r="R9424" t="s">
        <v>7408</v>
      </c>
      <c r="S9424" t="s">
        <v>7000</v>
      </c>
      <c r="T9424" t="s">
        <v>106</v>
      </c>
    </row>
    <row r="9425" spans="1:20" x14ac:dyDescent="0.25">
      <c r="A9425">
        <v>9</v>
      </c>
      <c r="B9425">
        <v>461</v>
      </c>
      <c r="C9425" t="str">
        <f t="shared" si="2140"/>
        <v>36</v>
      </c>
      <c r="D9425">
        <v>6399</v>
      </c>
      <c r="E9425" t="str">
        <f>"H2"</f>
        <v>H2</v>
      </c>
      <c r="F9425" t="str">
        <f>"001"</f>
        <v>001</v>
      </c>
      <c r="G9425">
        <v>9</v>
      </c>
      <c r="H9425" t="str">
        <f>"99"</f>
        <v>99</v>
      </c>
      <c r="I9425" t="str">
        <f t="shared" si="2135"/>
        <v>0</v>
      </c>
      <c r="J9425" t="str">
        <f t="shared" si="2139"/>
        <v>00</v>
      </c>
      <c r="K9425">
        <v>20190131</v>
      </c>
      <c r="L9425" t="str">
        <f>"075500"</f>
        <v>075500</v>
      </c>
      <c r="M9425" t="str">
        <f>"58204"</f>
        <v>58204</v>
      </c>
      <c r="N9425" t="s">
        <v>1767</v>
      </c>
      <c r="O9425">
        <v>59.8</v>
      </c>
      <c r="P9425">
        <v>20190130</v>
      </c>
      <c r="Q9425" t="s">
        <v>7033</v>
      </c>
      <c r="R9425" t="s">
        <v>7431</v>
      </c>
      <c r="S9425" t="s">
        <v>7000</v>
      </c>
      <c r="T9425" t="s">
        <v>301</v>
      </c>
    </row>
    <row r="9426" spans="1:20" x14ac:dyDescent="0.25">
      <c r="A9426">
        <v>9</v>
      </c>
      <c r="B9426">
        <v>461</v>
      </c>
      <c r="C9426" t="str">
        <f t="shared" si="2140"/>
        <v>36</v>
      </c>
      <c r="D9426">
        <v>6269</v>
      </c>
      <c r="E9426" t="str">
        <f>"69"</f>
        <v>69</v>
      </c>
      <c r="F9426" t="str">
        <f>"001"</f>
        <v>001</v>
      </c>
      <c r="G9426">
        <v>9</v>
      </c>
      <c r="H9426" t="str">
        <f>"99"</f>
        <v>99</v>
      </c>
      <c r="I9426" t="str">
        <f t="shared" si="2135"/>
        <v>0</v>
      </c>
      <c r="J9426" t="str">
        <f t="shared" si="2139"/>
        <v>00</v>
      </c>
      <c r="K9426">
        <v>20190131</v>
      </c>
      <c r="L9426" t="str">
        <f>"075503"</f>
        <v>075503</v>
      </c>
      <c r="M9426" t="str">
        <f>"62683"</f>
        <v>62683</v>
      </c>
      <c r="N9426" t="s">
        <v>7432</v>
      </c>
      <c r="O9426" s="1">
        <v>2000</v>
      </c>
      <c r="P9426">
        <v>20190130</v>
      </c>
      <c r="Q9426" t="s">
        <v>7433</v>
      </c>
      <c r="R9426" t="s">
        <v>7434</v>
      </c>
      <c r="S9426" t="s">
        <v>7000</v>
      </c>
      <c r="T9426" t="s">
        <v>301</v>
      </c>
    </row>
    <row r="9427" spans="1:20" x14ac:dyDescent="0.25">
      <c r="A9427">
        <v>9</v>
      </c>
      <c r="B9427">
        <v>461</v>
      </c>
      <c r="C9427" t="str">
        <f t="shared" si="2140"/>
        <v>36</v>
      </c>
      <c r="D9427">
        <v>6219</v>
      </c>
      <c r="E9427" t="str">
        <f>"3B"</f>
        <v>3B</v>
      </c>
      <c r="F9427" t="str">
        <f>"041"</f>
        <v>041</v>
      </c>
      <c r="G9427">
        <v>9</v>
      </c>
      <c r="H9427" t="str">
        <f>"91"</f>
        <v>91</v>
      </c>
      <c r="I9427" t="str">
        <f t="shared" si="2135"/>
        <v>0</v>
      </c>
      <c r="J9427" t="str">
        <f t="shared" si="2139"/>
        <v>00</v>
      </c>
      <c r="K9427">
        <v>20190131</v>
      </c>
      <c r="L9427" t="str">
        <f>"075506"</f>
        <v>075506</v>
      </c>
      <c r="M9427" t="str">
        <f>"63649"</f>
        <v>63649</v>
      </c>
      <c r="N9427" t="s">
        <v>747</v>
      </c>
      <c r="O9427">
        <v>120</v>
      </c>
      <c r="P9427">
        <v>20190130</v>
      </c>
      <c r="Q9427" t="s">
        <v>7407</v>
      </c>
      <c r="R9427" t="s">
        <v>7408</v>
      </c>
      <c r="S9427" t="s">
        <v>7000</v>
      </c>
      <c r="T9427" t="s">
        <v>106</v>
      </c>
    </row>
    <row r="9428" spans="1:20" x14ac:dyDescent="0.25">
      <c r="A9428">
        <v>9</v>
      </c>
      <c r="B9428">
        <v>461</v>
      </c>
      <c r="C9428" t="str">
        <f t="shared" si="2140"/>
        <v>36</v>
      </c>
      <c r="D9428">
        <v>6219</v>
      </c>
      <c r="E9428" t="str">
        <f>"3B"</f>
        <v>3B</v>
      </c>
      <c r="F9428" t="str">
        <f>"041"</f>
        <v>041</v>
      </c>
      <c r="G9428">
        <v>9</v>
      </c>
      <c r="H9428" t="str">
        <f>"91"</f>
        <v>91</v>
      </c>
      <c r="I9428" t="str">
        <f t="shared" si="2135"/>
        <v>0</v>
      </c>
      <c r="J9428" t="str">
        <f t="shared" si="2139"/>
        <v>00</v>
      </c>
      <c r="K9428">
        <v>20190131</v>
      </c>
      <c r="L9428" t="str">
        <f>"075509"</f>
        <v>075509</v>
      </c>
      <c r="M9428" t="str">
        <f>"74137"</f>
        <v>74137</v>
      </c>
      <c r="N9428" t="s">
        <v>752</v>
      </c>
      <c r="O9428">
        <v>120</v>
      </c>
      <c r="P9428">
        <v>20190130</v>
      </c>
      <c r="Q9428" t="s">
        <v>7407</v>
      </c>
      <c r="R9428" t="s">
        <v>7408</v>
      </c>
      <c r="S9428" t="s">
        <v>7000</v>
      </c>
      <c r="T9428" t="s">
        <v>106</v>
      </c>
    </row>
    <row r="9429" spans="1:20" x14ac:dyDescent="0.25">
      <c r="A9429">
        <v>9</v>
      </c>
      <c r="B9429">
        <v>461</v>
      </c>
      <c r="C9429" t="str">
        <f t="shared" si="2140"/>
        <v>36</v>
      </c>
      <c r="D9429">
        <v>6495</v>
      </c>
      <c r="E9429" t="str">
        <f>"76"</f>
        <v>76</v>
      </c>
      <c r="F9429" t="str">
        <f>"001"</f>
        <v>001</v>
      </c>
      <c r="G9429">
        <v>9</v>
      </c>
      <c r="H9429" t="str">
        <f>"99"</f>
        <v>99</v>
      </c>
      <c r="I9429" t="str">
        <f t="shared" si="2135"/>
        <v>0</v>
      </c>
      <c r="J9429" t="str">
        <f t="shared" si="2139"/>
        <v>00</v>
      </c>
      <c r="K9429">
        <v>20190131</v>
      </c>
      <c r="L9429" t="str">
        <f>"075513"</f>
        <v>075513</v>
      </c>
      <c r="M9429" t="str">
        <f>"78441"</f>
        <v>78441</v>
      </c>
      <c r="N9429" t="s">
        <v>2909</v>
      </c>
      <c r="O9429">
        <v>81</v>
      </c>
      <c r="P9429">
        <v>20190131</v>
      </c>
      <c r="Q9429" t="s">
        <v>7160</v>
      </c>
      <c r="R9429" t="s">
        <v>7161</v>
      </c>
      <c r="S9429" t="s">
        <v>7000</v>
      </c>
      <c r="T9429" t="s">
        <v>301</v>
      </c>
    </row>
    <row r="9430" spans="1:20" x14ac:dyDescent="0.25">
      <c r="A9430">
        <v>9</v>
      </c>
      <c r="B9430">
        <v>461</v>
      </c>
      <c r="C9430" t="str">
        <f t="shared" si="2140"/>
        <v>36</v>
      </c>
      <c r="D9430">
        <v>6399</v>
      </c>
      <c r="E9430" t="str">
        <f>"3M"</f>
        <v>3M</v>
      </c>
      <c r="F9430" t="str">
        <f>"001"</f>
        <v>001</v>
      </c>
      <c r="G9430">
        <v>9</v>
      </c>
      <c r="H9430" t="str">
        <f>"91"</f>
        <v>91</v>
      </c>
      <c r="I9430" t="str">
        <f t="shared" si="2135"/>
        <v>0</v>
      </c>
      <c r="J9430" t="str">
        <f t="shared" si="2139"/>
        <v>00</v>
      </c>
      <c r="K9430">
        <v>20190131</v>
      </c>
      <c r="L9430" t="str">
        <f>"075516"</f>
        <v>075516</v>
      </c>
      <c r="M9430" t="str">
        <f>"79655"</f>
        <v>79655</v>
      </c>
      <c r="N9430" t="s">
        <v>7435</v>
      </c>
      <c r="O9430" s="1">
        <v>1159.8</v>
      </c>
      <c r="P9430">
        <v>20190131</v>
      </c>
      <c r="Q9430" t="s">
        <v>7412</v>
      </c>
      <c r="R9430" t="s">
        <v>7436</v>
      </c>
      <c r="S9430" t="s">
        <v>7000</v>
      </c>
      <c r="T9430" t="s">
        <v>301</v>
      </c>
    </row>
    <row r="9431" spans="1:20" x14ac:dyDescent="0.25">
      <c r="A9431">
        <v>9</v>
      </c>
      <c r="B9431">
        <v>461</v>
      </c>
      <c r="C9431" t="str">
        <f t="shared" si="2140"/>
        <v>36</v>
      </c>
      <c r="D9431">
        <v>6412</v>
      </c>
      <c r="E9431" t="str">
        <f>"3D"</f>
        <v>3D</v>
      </c>
      <c r="F9431" t="str">
        <f>"041"</f>
        <v>041</v>
      </c>
      <c r="G9431">
        <v>9</v>
      </c>
      <c r="H9431" t="str">
        <f>"91"</f>
        <v>91</v>
      </c>
      <c r="I9431" t="str">
        <f t="shared" si="2135"/>
        <v>0</v>
      </c>
      <c r="J9431" t="str">
        <f t="shared" si="2139"/>
        <v>00</v>
      </c>
      <c r="K9431">
        <v>20190131</v>
      </c>
      <c r="L9431" t="str">
        <f>"075523"</f>
        <v>075523</v>
      </c>
      <c r="M9431" t="str">
        <f>"84370"</f>
        <v>84370</v>
      </c>
      <c r="N9431" t="s">
        <v>395</v>
      </c>
      <c r="O9431">
        <v>51.67</v>
      </c>
      <c r="P9431">
        <v>20190131</v>
      </c>
      <c r="Q9431" t="s">
        <v>7224</v>
      </c>
      <c r="R9431" t="s">
        <v>7437</v>
      </c>
      <c r="S9431" t="s">
        <v>7000</v>
      </c>
      <c r="T9431" t="s">
        <v>106</v>
      </c>
    </row>
    <row r="9432" spans="1:20" x14ac:dyDescent="0.25">
      <c r="A9432">
        <v>9</v>
      </c>
      <c r="B9432">
        <v>461</v>
      </c>
      <c r="C9432" t="str">
        <f t="shared" si="2140"/>
        <v>36</v>
      </c>
      <c r="D9432">
        <v>6412</v>
      </c>
      <c r="E9432" t="str">
        <f>"3D"</f>
        <v>3D</v>
      </c>
      <c r="F9432" t="str">
        <f>"041"</f>
        <v>041</v>
      </c>
      <c r="G9432">
        <v>9</v>
      </c>
      <c r="H9432" t="str">
        <f>"91"</f>
        <v>91</v>
      </c>
      <c r="I9432" t="str">
        <f t="shared" si="2135"/>
        <v>0</v>
      </c>
      <c r="J9432" t="str">
        <f t="shared" si="2139"/>
        <v>00</v>
      </c>
      <c r="K9432">
        <v>20190131</v>
      </c>
      <c r="L9432" t="str">
        <f>"075523"</f>
        <v>075523</v>
      </c>
      <c r="M9432" t="str">
        <f>"84370"</f>
        <v>84370</v>
      </c>
      <c r="N9432" t="s">
        <v>395</v>
      </c>
      <c r="O9432">
        <v>38.19</v>
      </c>
      <c r="P9432">
        <v>20190131</v>
      </c>
      <c r="Q9432" t="s">
        <v>7224</v>
      </c>
      <c r="R9432" t="s">
        <v>7438</v>
      </c>
      <c r="S9432" t="s">
        <v>7000</v>
      </c>
      <c r="T9432" t="s">
        <v>106</v>
      </c>
    </row>
    <row r="9433" spans="1:20" x14ac:dyDescent="0.25">
      <c r="A9433">
        <v>9</v>
      </c>
      <c r="B9433">
        <v>461</v>
      </c>
      <c r="C9433" t="str">
        <f t="shared" si="2140"/>
        <v>36</v>
      </c>
      <c r="D9433">
        <v>6399</v>
      </c>
      <c r="E9433" t="str">
        <f>"61"</f>
        <v>61</v>
      </c>
      <c r="F9433" t="str">
        <f t="shared" ref="F9433:F9459" si="2141">"001"</f>
        <v>001</v>
      </c>
      <c r="G9433">
        <v>9</v>
      </c>
      <c r="H9433" t="str">
        <f>"99"</f>
        <v>99</v>
      </c>
      <c r="I9433" t="str">
        <f t="shared" si="2135"/>
        <v>0</v>
      </c>
      <c r="J9433" t="str">
        <f t="shared" si="2139"/>
        <v>00</v>
      </c>
      <c r="K9433">
        <v>20190208</v>
      </c>
      <c r="L9433" t="str">
        <f>"075532"</f>
        <v>075532</v>
      </c>
      <c r="M9433" t="str">
        <f>"04410"</f>
        <v>04410</v>
      </c>
      <c r="N9433" t="s">
        <v>410</v>
      </c>
      <c r="O9433">
        <v>198.29</v>
      </c>
      <c r="P9433">
        <v>20190207</v>
      </c>
      <c r="Q9433" t="s">
        <v>7095</v>
      </c>
      <c r="R9433" t="s">
        <v>7439</v>
      </c>
      <c r="S9433" t="s">
        <v>7000</v>
      </c>
      <c r="T9433" t="s">
        <v>301</v>
      </c>
    </row>
    <row r="9434" spans="1:20" x14ac:dyDescent="0.25">
      <c r="A9434">
        <v>9</v>
      </c>
      <c r="B9434">
        <v>461</v>
      </c>
      <c r="C9434" t="str">
        <f t="shared" si="2140"/>
        <v>36</v>
      </c>
      <c r="D9434">
        <v>6399</v>
      </c>
      <c r="E9434" t="str">
        <f>"90"</f>
        <v>90</v>
      </c>
      <c r="F9434" t="str">
        <f t="shared" si="2141"/>
        <v>001</v>
      </c>
      <c r="G9434">
        <v>9</v>
      </c>
      <c r="H9434" t="str">
        <f>"99"</f>
        <v>99</v>
      </c>
      <c r="I9434" t="str">
        <f t="shared" si="2135"/>
        <v>0</v>
      </c>
      <c r="J9434" t="str">
        <f t="shared" si="2139"/>
        <v>00</v>
      </c>
      <c r="K9434">
        <v>20190208</v>
      </c>
      <c r="L9434" t="str">
        <f>"075532"</f>
        <v>075532</v>
      </c>
      <c r="M9434" t="str">
        <f>"04410"</f>
        <v>04410</v>
      </c>
      <c r="N9434" t="s">
        <v>410</v>
      </c>
      <c r="O9434">
        <v>129.88</v>
      </c>
      <c r="P9434">
        <v>20190207</v>
      </c>
      <c r="Q9434" t="s">
        <v>7258</v>
      </c>
      <c r="R9434" t="s">
        <v>7440</v>
      </c>
      <c r="S9434" t="s">
        <v>7000</v>
      </c>
      <c r="T9434" t="s">
        <v>301</v>
      </c>
    </row>
    <row r="9435" spans="1:20" x14ac:dyDescent="0.25">
      <c r="A9435">
        <v>9</v>
      </c>
      <c r="B9435">
        <v>461</v>
      </c>
      <c r="C9435" t="str">
        <f t="shared" si="2140"/>
        <v>36</v>
      </c>
      <c r="D9435">
        <v>6399</v>
      </c>
      <c r="E9435" t="str">
        <f>"3K"</f>
        <v>3K</v>
      </c>
      <c r="F9435" t="str">
        <f t="shared" si="2141"/>
        <v>001</v>
      </c>
      <c r="G9435">
        <v>9</v>
      </c>
      <c r="H9435" t="str">
        <f>"91"</f>
        <v>91</v>
      </c>
      <c r="I9435" t="str">
        <f t="shared" si="2135"/>
        <v>0</v>
      </c>
      <c r="J9435" t="str">
        <f t="shared" si="2139"/>
        <v>00</v>
      </c>
      <c r="K9435">
        <v>20190208</v>
      </c>
      <c r="L9435" t="str">
        <f>"075533"</f>
        <v>075533</v>
      </c>
      <c r="M9435" t="str">
        <f>"05530"</f>
        <v>05530</v>
      </c>
      <c r="N9435" t="s">
        <v>947</v>
      </c>
      <c r="O9435">
        <v>321.60000000000002</v>
      </c>
      <c r="P9435">
        <v>20190207</v>
      </c>
      <c r="Q9435" t="s">
        <v>7284</v>
      </c>
      <c r="R9435" t="s">
        <v>7441</v>
      </c>
      <c r="S9435" t="s">
        <v>7000</v>
      </c>
      <c r="T9435" t="s">
        <v>301</v>
      </c>
    </row>
    <row r="9436" spans="1:20" x14ac:dyDescent="0.25">
      <c r="A9436">
        <v>9</v>
      </c>
      <c r="B9436">
        <v>461</v>
      </c>
      <c r="C9436" t="str">
        <f t="shared" si="2140"/>
        <v>36</v>
      </c>
      <c r="D9436">
        <v>6399</v>
      </c>
      <c r="E9436" t="str">
        <f>"H2"</f>
        <v>H2</v>
      </c>
      <c r="F9436" t="str">
        <f t="shared" si="2141"/>
        <v>001</v>
      </c>
      <c r="G9436">
        <v>9</v>
      </c>
      <c r="H9436" t="str">
        <f>"99"</f>
        <v>99</v>
      </c>
      <c r="I9436" t="str">
        <f t="shared" si="2135"/>
        <v>0</v>
      </c>
      <c r="J9436" t="str">
        <f t="shared" si="2139"/>
        <v>00</v>
      </c>
      <c r="K9436">
        <v>20190208</v>
      </c>
      <c r="L9436" t="str">
        <f>"075533"</f>
        <v>075533</v>
      </c>
      <c r="M9436" t="str">
        <f>"05530"</f>
        <v>05530</v>
      </c>
      <c r="N9436" t="s">
        <v>947</v>
      </c>
      <c r="O9436">
        <v>575</v>
      </c>
      <c r="P9436">
        <v>20190207</v>
      </c>
      <c r="Q9436" t="s">
        <v>7033</v>
      </c>
      <c r="R9436" t="s">
        <v>4025</v>
      </c>
      <c r="S9436" t="s">
        <v>7000</v>
      </c>
      <c r="T9436" t="s">
        <v>301</v>
      </c>
    </row>
    <row r="9437" spans="1:20" x14ac:dyDescent="0.25">
      <c r="A9437">
        <v>9</v>
      </c>
      <c r="B9437">
        <v>461</v>
      </c>
      <c r="C9437" t="str">
        <f t="shared" si="2140"/>
        <v>36</v>
      </c>
      <c r="D9437">
        <v>6412</v>
      </c>
      <c r="E9437" t="str">
        <f>"3P"</f>
        <v>3P</v>
      </c>
      <c r="F9437" t="str">
        <f t="shared" si="2141"/>
        <v>001</v>
      </c>
      <c r="G9437">
        <v>9</v>
      </c>
      <c r="H9437" t="str">
        <f t="shared" ref="H9437:H9444" si="2142">"91"</f>
        <v>91</v>
      </c>
      <c r="I9437" t="str">
        <f t="shared" si="2135"/>
        <v>0</v>
      </c>
      <c r="J9437" t="str">
        <f t="shared" si="2139"/>
        <v>00</v>
      </c>
      <c r="K9437">
        <v>20190208</v>
      </c>
      <c r="L9437" t="str">
        <f>"075534"</f>
        <v>075534</v>
      </c>
      <c r="M9437" t="str">
        <f>"06777"</f>
        <v>06777</v>
      </c>
      <c r="N9437" t="s">
        <v>770</v>
      </c>
      <c r="O9437">
        <v>720</v>
      </c>
      <c r="P9437">
        <v>20190207</v>
      </c>
      <c r="Q9437" t="s">
        <v>7428</v>
      </c>
      <c r="R9437" t="s">
        <v>1031</v>
      </c>
      <c r="S9437" t="s">
        <v>7000</v>
      </c>
      <c r="T9437" t="s">
        <v>301</v>
      </c>
    </row>
    <row r="9438" spans="1:20" x14ac:dyDescent="0.25">
      <c r="A9438">
        <v>9</v>
      </c>
      <c r="B9438">
        <v>461</v>
      </c>
      <c r="C9438" t="str">
        <f t="shared" si="2140"/>
        <v>36</v>
      </c>
      <c r="D9438">
        <v>6412</v>
      </c>
      <c r="E9438" t="str">
        <f>"3P"</f>
        <v>3P</v>
      </c>
      <c r="F9438" t="str">
        <f t="shared" si="2141"/>
        <v>001</v>
      </c>
      <c r="G9438">
        <v>9</v>
      </c>
      <c r="H9438" t="str">
        <f t="shared" si="2142"/>
        <v>91</v>
      </c>
      <c r="I9438" t="str">
        <f t="shared" si="2135"/>
        <v>0</v>
      </c>
      <c r="J9438" t="str">
        <f t="shared" si="2139"/>
        <v>00</v>
      </c>
      <c r="K9438">
        <v>20190208</v>
      </c>
      <c r="L9438" t="str">
        <f>"075534"</f>
        <v>075534</v>
      </c>
      <c r="M9438" t="str">
        <f>"06777"</f>
        <v>06777</v>
      </c>
      <c r="N9438" t="s">
        <v>770</v>
      </c>
      <c r="O9438">
        <v>300</v>
      </c>
      <c r="P9438">
        <v>20190207</v>
      </c>
      <c r="Q9438" t="s">
        <v>7428</v>
      </c>
      <c r="R9438" t="s">
        <v>1031</v>
      </c>
      <c r="S9438" t="s">
        <v>7000</v>
      </c>
      <c r="T9438" t="s">
        <v>301</v>
      </c>
    </row>
    <row r="9439" spans="1:20" x14ac:dyDescent="0.25">
      <c r="A9439">
        <v>9</v>
      </c>
      <c r="B9439">
        <v>461</v>
      </c>
      <c r="C9439" t="str">
        <f t="shared" si="2140"/>
        <v>36</v>
      </c>
      <c r="D9439">
        <v>6219</v>
      </c>
      <c r="E9439" t="str">
        <f t="shared" ref="E9439:E9444" si="2143">"3M"</f>
        <v>3M</v>
      </c>
      <c r="F9439" t="str">
        <f t="shared" si="2141"/>
        <v>001</v>
      </c>
      <c r="G9439">
        <v>9</v>
      </c>
      <c r="H9439" t="str">
        <f t="shared" si="2142"/>
        <v>91</v>
      </c>
      <c r="I9439" t="str">
        <f t="shared" ref="I9439:I9444" si="2144">"1"</f>
        <v>1</v>
      </c>
      <c r="J9439" t="str">
        <f t="shared" si="2139"/>
        <v>00</v>
      </c>
      <c r="K9439">
        <v>20190208</v>
      </c>
      <c r="L9439" t="str">
        <f>"075537"</f>
        <v>075537</v>
      </c>
      <c r="M9439" t="str">
        <f>"00710"</f>
        <v>00710</v>
      </c>
      <c r="N9439" t="s">
        <v>7442</v>
      </c>
      <c r="O9439">
        <v>100</v>
      </c>
      <c r="P9439">
        <v>20190207</v>
      </c>
      <c r="Q9439" t="s">
        <v>7443</v>
      </c>
      <c r="R9439" t="s">
        <v>1063</v>
      </c>
      <c r="S9439" t="s">
        <v>7000</v>
      </c>
      <c r="T9439" t="s">
        <v>301</v>
      </c>
    </row>
    <row r="9440" spans="1:20" x14ac:dyDescent="0.25">
      <c r="A9440">
        <v>9</v>
      </c>
      <c r="B9440">
        <v>461</v>
      </c>
      <c r="C9440" t="str">
        <f t="shared" si="2140"/>
        <v>36</v>
      </c>
      <c r="D9440">
        <v>6219</v>
      </c>
      <c r="E9440" t="str">
        <f t="shared" si="2143"/>
        <v>3M</v>
      </c>
      <c r="F9440" t="str">
        <f t="shared" si="2141"/>
        <v>001</v>
      </c>
      <c r="G9440">
        <v>9</v>
      </c>
      <c r="H9440" t="str">
        <f t="shared" si="2142"/>
        <v>91</v>
      </c>
      <c r="I9440" t="str">
        <f t="shared" si="2144"/>
        <v>1</v>
      </c>
      <c r="J9440" t="str">
        <f t="shared" si="2139"/>
        <v>00</v>
      </c>
      <c r="K9440">
        <v>20190208</v>
      </c>
      <c r="L9440" t="str">
        <f>"075538"</f>
        <v>075538</v>
      </c>
      <c r="M9440" t="str">
        <f>"00219"</f>
        <v>00219</v>
      </c>
      <c r="N9440" t="s">
        <v>7444</v>
      </c>
      <c r="O9440">
        <v>100</v>
      </c>
      <c r="P9440">
        <v>20190207</v>
      </c>
      <c r="Q9440" t="s">
        <v>7443</v>
      </c>
      <c r="R9440" t="s">
        <v>1063</v>
      </c>
      <c r="S9440" t="s">
        <v>7000</v>
      </c>
      <c r="T9440" t="s">
        <v>301</v>
      </c>
    </row>
    <row r="9441" spans="1:20" x14ac:dyDescent="0.25">
      <c r="A9441">
        <v>9</v>
      </c>
      <c r="B9441">
        <v>461</v>
      </c>
      <c r="C9441" t="str">
        <f t="shared" si="2140"/>
        <v>36</v>
      </c>
      <c r="D9441">
        <v>6219</v>
      </c>
      <c r="E9441" t="str">
        <f t="shared" si="2143"/>
        <v>3M</v>
      </c>
      <c r="F9441" t="str">
        <f t="shared" si="2141"/>
        <v>001</v>
      </c>
      <c r="G9441">
        <v>9</v>
      </c>
      <c r="H9441" t="str">
        <f t="shared" si="2142"/>
        <v>91</v>
      </c>
      <c r="I9441" t="str">
        <f t="shared" si="2144"/>
        <v>1</v>
      </c>
      <c r="J9441" t="str">
        <f t="shared" si="2139"/>
        <v>00</v>
      </c>
      <c r="K9441">
        <v>20190208</v>
      </c>
      <c r="L9441" t="str">
        <f>"075539"</f>
        <v>075539</v>
      </c>
      <c r="M9441" t="str">
        <f>"00711"</f>
        <v>00711</v>
      </c>
      <c r="N9441" t="s">
        <v>7445</v>
      </c>
      <c r="O9441">
        <v>100</v>
      </c>
      <c r="P9441">
        <v>20190207</v>
      </c>
      <c r="Q9441" t="s">
        <v>7443</v>
      </c>
      <c r="R9441" t="s">
        <v>1063</v>
      </c>
      <c r="S9441" t="s">
        <v>7000</v>
      </c>
      <c r="T9441" t="s">
        <v>301</v>
      </c>
    </row>
    <row r="9442" spans="1:20" x14ac:dyDescent="0.25">
      <c r="A9442">
        <v>9</v>
      </c>
      <c r="B9442">
        <v>461</v>
      </c>
      <c r="C9442" t="str">
        <f t="shared" si="2140"/>
        <v>36</v>
      </c>
      <c r="D9442">
        <v>6219</v>
      </c>
      <c r="E9442" t="str">
        <f t="shared" si="2143"/>
        <v>3M</v>
      </c>
      <c r="F9442" t="str">
        <f t="shared" si="2141"/>
        <v>001</v>
      </c>
      <c r="G9442">
        <v>9</v>
      </c>
      <c r="H9442" t="str">
        <f t="shared" si="2142"/>
        <v>91</v>
      </c>
      <c r="I9442" t="str">
        <f t="shared" si="2144"/>
        <v>1</v>
      </c>
      <c r="J9442" t="str">
        <f t="shared" si="2139"/>
        <v>00</v>
      </c>
      <c r="K9442">
        <v>20190208</v>
      </c>
      <c r="L9442" t="str">
        <f>"075540"</f>
        <v>075540</v>
      </c>
      <c r="M9442" t="str">
        <f>"00712"</f>
        <v>00712</v>
      </c>
      <c r="N9442" t="s">
        <v>7446</v>
      </c>
      <c r="O9442">
        <v>100</v>
      </c>
      <c r="P9442">
        <v>20190207</v>
      </c>
      <c r="Q9442" t="s">
        <v>7443</v>
      </c>
      <c r="R9442" t="s">
        <v>1063</v>
      </c>
      <c r="S9442" t="s">
        <v>7000</v>
      </c>
      <c r="T9442" t="s">
        <v>301</v>
      </c>
    </row>
    <row r="9443" spans="1:20" x14ac:dyDescent="0.25">
      <c r="A9443">
        <v>9</v>
      </c>
      <c r="B9443">
        <v>461</v>
      </c>
      <c r="C9443" t="str">
        <f t="shared" si="2140"/>
        <v>36</v>
      </c>
      <c r="D9443">
        <v>6219</v>
      </c>
      <c r="E9443" t="str">
        <f t="shared" si="2143"/>
        <v>3M</v>
      </c>
      <c r="F9443" t="str">
        <f t="shared" si="2141"/>
        <v>001</v>
      </c>
      <c r="G9443">
        <v>9</v>
      </c>
      <c r="H9443" t="str">
        <f t="shared" si="2142"/>
        <v>91</v>
      </c>
      <c r="I9443" t="str">
        <f t="shared" si="2144"/>
        <v>1</v>
      </c>
      <c r="J9443" t="str">
        <f t="shared" si="2139"/>
        <v>00</v>
      </c>
      <c r="K9443">
        <v>20190208</v>
      </c>
      <c r="L9443" t="str">
        <f>"075546"</f>
        <v>075546</v>
      </c>
      <c r="M9443" t="str">
        <f>"00713"</f>
        <v>00713</v>
      </c>
      <c r="N9443" t="s">
        <v>7447</v>
      </c>
      <c r="O9443">
        <v>100</v>
      </c>
      <c r="P9443">
        <v>20190207</v>
      </c>
      <c r="Q9443" t="s">
        <v>7443</v>
      </c>
      <c r="R9443" t="s">
        <v>1063</v>
      </c>
      <c r="S9443" t="s">
        <v>7000</v>
      </c>
      <c r="T9443" t="s">
        <v>301</v>
      </c>
    </row>
    <row r="9444" spans="1:20" x14ac:dyDescent="0.25">
      <c r="A9444">
        <v>9</v>
      </c>
      <c r="B9444">
        <v>461</v>
      </c>
      <c r="C9444" t="str">
        <f t="shared" si="2140"/>
        <v>36</v>
      </c>
      <c r="D9444">
        <v>6219</v>
      </c>
      <c r="E9444" t="str">
        <f t="shared" si="2143"/>
        <v>3M</v>
      </c>
      <c r="F9444" t="str">
        <f t="shared" si="2141"/>
        <v>001</v>
      </c>
      <c r="G9444">
        <v>9</v>
      </c>
      <c r="H9444" t="str">
        <f t="shared" si="2142"/>
        <v>91</v>
      </c>
      <c r="I9444" t="str">
        <f t="shared" si="2144"/>
        <v>1</v>
      </c>
      <c r="J9444" t="str">
        <f t="shared" si="2139"/>
        <v>00</v>
      </c>
      <c r="K9444">
        <v>20190208</v>
      </c>
      <c r="L9444" t="str">
        <f>"075549"</f>
        <v>075549</v>
      </c>
      <c r="M9444" t="str">
        <f>"00714"</f>
        <v>00714</v>
      </c>
      <c r="N9444" t="s">
        <v>7448</v>
      </c>
      <c r="O9444">
        <v>100</v>
      </c>
      <c r="P9444">
        <v>20190207</v>
      </c>
      <c r="Q9444" t="s">
        <v>7443</v>
      </c>
      <c r="R9444" t="s">
        <v>1063</v>
      </c>
      <c r="S9444" t="s">
        <v>7000</v>
      </c>
      <c r="T9444" t="s">
        <v>301</v>
      </c>
    </row>
    <row r="9445" spans="1:20" x14ac:dyDescent="0.25">
      <c r="A9445">
        <v>9</v>
      </c>
      <c r="B9445">
        <v>461</v>
      </c>
      <c r="C9445" t="str">
        <f t="shared" si="2140"/>
        <v>36</v>
      </c>
      <c r="D9445">
        <v>6399</v>
      </c>
      <c r="E9445" t="str">
        <f>"7E"</f>
        <v>7E</v>
      </c>
      <c r="F9445" t="str">
        <f t="shared" si="2141"/>
        <v>001</v>
      </c>
      <c r="G9445">
        <v>9</v>
      </c>
      <c r="H9445" t="str">
        <f>"99"</f>
        <v>99</v>
      </c>
      <c r="I9445" t="str">
        <f>"0"</f>
        <v>0</v>
      </c>
      <c r="J9445" t="str">
        <f t="shared" si="2139"/>
        <v>00</v>
      </c>
      <c r="K9445">
        <v>20190208</v>
      </c>
      <c r="L9445" t="str">
        <f>"075553"</f>
        <v>075553</v>
      </c>
      <c r="M9445" t="str">
        <f>"46281"</f>
        <v>46281</v>
      </c>
      <c r="N9445" t="s">
        <v>2996</v>
      </c>
      <c r="O9445">
        <v>180</v>
      </c>
      <c r="P9445">
        <v>20190207</v>
      </c>
      <c r="Q9445" t="s">
        <v>7055</v>
      </c>
      <c r="R9445" t="s">
        <v>7449</v>
      </c>
      <c r="S9445" t="s">
        <v>7000</v>
      </c>
      <c r="T9445" t="s">
        <v>301</v>
      </c>
    </row>
    <row r="9446" spans="1:20" x14ac:dyDescent="0.25">
      <c r="A9446">
        <v>9</v>
      </c>
      <c r="B9446">
        <v>461</v>
      </c>
      <c r="C9446" t="str">
        <f t="shared" si="2140"/>
        <v>36</v>
      </c>
      <c r="D9446">
        <v>6399</v>
      </c>
      <c r="E9446" t="str">
        <f>"CS"</f>
        <v>CS</v>
      </c>
      <c r="F9446" t="str">
        <f t="shared" si="2141"/>
        <v>001</v>
      </c>
      <c r="G9446">
        <v>9</v>
      </c>
      <c r="H9446" t="str">
        <f>"91"</f>
        <v>91</v>
      </c>
      <c r="I9446" t="str">
        <f>"0"</f>
        <v>0</v>
      </c>
      <c r="J9446" t="str">
        <f t="shared" si="2139"/>
        <v>00</v>
      </c>
      <c r="K9446">
        <v>20190208</v>
      </c>
      <c r="L9446" t="str">
        <f>"075559"</f>
        <v>075559</v>
      </c>
      <c r="M9446" t="str">
        <f>"24955"</f>
        <v>24955</v>
      </c>
      <c r="N9446" t="s">
        <v>7046</v>
      </c>
      <c r="O9446">
        <v>100</v>
      </c>
      <c r="P9446">
        <v>20190207</v>
      </c>
      <c r="Q9446" t="s">
        <v>6998</v>
      </c>
      <c r="R9446" t="s">
        <v>7450</v>
      </c>
      <c r="S9446" t="s">
        <v>7000</v>
      </c>
      <c r="T9446" t="s">
        <v>301</v>
      </c>
    </row>
    <row r="9447" spans="1:20" x14ac:dyDescent="0.25">
      <c r="A9447">
        <v>9</v>
      </c>
      <c r="B9447">
        <v>461</v>
      </c>
      <c r="C9447" t="str">
        <f t="shared" si="2140"/>
        <v>36</v>
      </c>
      <c r="D9447">
        <v>6399</v>
      </c>
      <c r="E9447" t="str">
        <f>"3G"</f>
        <v>3G</v>
      </c>
      <c r="F9447" t="str">
        <f t="shared" si="2141"/>
        <v>001</v>
      </c>
      <c r="G9447">
        <v>9</v>
      </c>
      <c r="H9447" t="str">
        <f>"91"</f>
        <v>91</v>
      </c>
      <c r="I9447" t="str">
        <f>"0"</f>
        <v>0</v>
      </c>
      <c r="J9447" t="str">
        <f t="shared" si="2139"/>
        <v>00</v>
      </c>
      <c r="K9447">
        <v>20190208</v>
      </c>
      <c r="L9447" t="str">
        <f>"075562"</f>
        <v>075562</v>
      </c>
      <c r="M9447" t="str">
        <f>"28560"</f>
        <v>28560</v>
      </c>
      <c r="N9447" t="s">
        <v>569</v>
      </c>
      <c r="O9447">
        <v>195</v>
      </c>
      <c r="P9447">
        <v>20190207</v>
      </c>
      <c r="Q9447" t="s">
        <v>7229</v>
      </c>
      <c r="R9447" t="s">
        <v>7451</v>
      </c>
      <c r="S9447" t="s">
        <v>7000</v>
      </c>
      <c r="T9447" t="s">
        <v>301</v>
      </c>
    </row>
    <row r="9448" spans="1:20" x14ac:dyDescent="0.25">
      <c r="A9448">
        <v>9</v>
      </c>
      <c r="B9448">
        <v>461</v>
      </c>
      <c r="C9448" t="str">
        <f t="shared" si="2140"/>
        <v>36</v>
      </c>
      <c r="D9448">
        <v>6219</v>
      </c>
      <c r="E9448" t="str">
        <f>"3M"</f>
        <v>3M</v>
      </c>
      <c r="F9448" t="str">
        <f t="shared" si="2141"/>
        <v>001</v>
      </c>
      <c r="G9448">
        <v>9</v>
      </c>
      <c r="H9448" t="str">
        <f>"91"</f>
        <v>91</v>
      </c>
      <c r="I9448" t="str">
        <f>"1"</f>
        <v>1</v>
      </c>
      <c r="J9448" t="str">
        <f t="shared" si="2139"/>
        <v>00</v>
      </c>
      <c r="K9448">
        <v>20190208</v>
      </c>
      <c r="L9448" t="str">
        <f>"075563"</f>
        <v>075563</v>
      </c>
      <c r="M9448" t="str">
        <f>"00222"</f>
        <v>00222</v>
      </c>
      <c r="N9448" t="s">
        <v>7452</v>
      </c>
      <c r="O9448">
        <v>100</v>
      </c>
      <c r="P9448">
        <v>20190207</v>
      </c>
      <c r="Q9448" t="s">
        <v>7443</v>
      </c>
      <c r="R9448" t="s">
        <v>1063</v>
      </c>
      <c r="S9448" t="s">
        <v>7000</v>
      </c>
      <c r="T9448" t="s">
        <v>301</v>
      </c>
    </row>
    <row r="9449" spans="1:20" x14ac:dyDescent="0.25">
      <c r="A9449">
        <v>9</v>
      </c>
      <c r="B9449">
        <v>461</v>
      </c>
      <c r="C9449" t="str">
        <f t="shared" si="2140"/>
        <v>36</v>
      </c>
      <c r="D9449">
        <v>6399</v>
      </c>
      <c r="E9449" t="str">
        <f>"91"</f>
        <v>91</v>
      </c>
      <c r="F9449" t="str">
        <f t="shared" si="2141"/>
        <v>001</v>
      </c>
      <c r="G9449">
        <v>9</v>
      </c>
      <c r="H9449" t="str">
        <f>"99"</f>
        <v>99</v>
      </c>
      <c r="I9449" t="str">
        <f>"0"</f>
        <v>0</v>
      </c>
      <c r="J9449" t="str">
        <f t="shared" si="2139"/>
        <v>00</v>
      </c>
      <c r="K9449">
        <v>20190208</v>
      </c>
      <c r="L9449" t="str">
        <f>"075582"</f>
        <v>075582</v>
      </c>
      <c r="M9449" t="str">
        <f>"31345"</f>
        <v>31345</v>
      </c>
      <c r="N9449" t="s">
        <v>1394</v>
      </c>
      <c r="O9449">
        <v>400</v>
      </c>
      <c r="P9449">
        <v>20190207</v>
      </c>
      <c r="Q9449" t="s">
        <v>7453</v>
      </c>
      <c r="R9449" t="s">
        <v>7454</v>
      </c>
      <c r="S9449" t="s">
        <v>7000</v>
      </c>
      <c r="T9449" t="s">
        <v>301</v>
      </c>
    </row>
    <row r="9450" spans="1:20" x14ac:dyDescent="0.25">
      <c r="A9450">
        <v>9</v>
      </c>
      <c r="B9450">
        <v>461</v>
      </c>
      <c r="C9450" t="str">
        <f t="shared" si="2140"/>
        <v>36</v>
      </c>
      <c r="D9450">
        <v>6219</v>
      </c>
      <c r="E9450" t="str">
        <f>"3M"</f>
        <v>3M</v>
      </c>
      <c r="F9450" t="str">
        <f t="shared" si="2141"/>
        <v>001</v>
      </c>
      <c r="G9450">
        <v>9</v>
      </c>
      <c r="H9450" t="str">
        <f t="shared" ref="H9450:H9459" si="2145">"91"</f>
        <v>91</v>
      </c>
      <c r="I9450" t="str">
        <f>"1"</f>
        <v>1</v>
      </c>
      <c r="J9450" t="str">
        <f t="shared" si="2139"/>
        <v>00</v>
      </c>
      <c r="K9450">
        <v>20190208</v>
      </c>
      <c r="L9450" t="str">
        <f>"075585"</f>
        <v>075585</v>
      </c>
      <c r="M9450" t="str">
        <f>"00715"</f>
        <v>00715</v>
      </c>
      <c r="N9450" t="s">
        <v>7455</v>
      </c>
      <c r="O9450">
        <v>100</v>
      </c>
      <c r="P9450">
        <v>20190207</v>
      </c>
      <c r="Q9450" t="s">
        <v>7443</v>
      </c>
      <c r="R9450" t="s">
        <v>1063</v>
      </c>
      <c r="S9450" t="s">
        <v>7000</v>
      </c>
      <c r="T9450" t="s">
        <v>301</v>
      </c>
    </row>
    <row r="9451" spans="1:20" x14ac:dyDescent="0.25">
      <c r="A9451">
        <v>9</v>
      </c>
      <c r="B9451">
        <v>461</v>
      </c>
      <c r="C9451" t="str">
        <f t="shared" si="2140"/>
        <v>36</v>
      </c>
      <c r="D9451">
        <v>6219</v>
      </c>
      <c r="E9451" t="str">
        <f>"3M"</f>
        <v>3M</v>
      </c>
      <c r="F9451" t="str">
        <f t="shared" si="2141"/>
        <v>001</v>
      </c>
      <c r="G9451">
        <v>9</v>
      </c>
      <c r="H9451" t="str">
        <f t="shared" si="2145"/>
        <v>91</v>
      </c>
      <c r="I9451" t="str">
        <f>"1"</f>
        <v>1</v>
      </c>
      <c r="J9451" t="str">
        <f t="shared" si="2139"/>
        <v>00</v>
      </c>
      <c r="K9451">
        <v>20190208</v>
      </c>
      <c r="L9451" t="str">
        <f>"075587"</f>
        <v>075587</v>
      </c>
      <c r="M9451" t="str">
        <f>"33770"</f>
        <v>33770</v>
      </c>
      <c r="N9451" t="s">
        <v>7456</v>
      </c>
      <c r="O9451">
        <v>100</v>
      </c>
      <c r="P9451">
        <v>20190207</v>
      </c>
      <c r="Q9451" t="s">
        <v>7443</v>
      </c>
      <c r="R9451" t="s">
        <v>1063</v>
      </c>
      <c r="S9451" t="s">
        <v>7000</v>
      </c>
      <c r="T9451" t="s">
        <v>301</v>
      </c>
    </row>
    <row r="9452" spans="1:20" x14ac:dyDescent="0.25">
      <c r="A9452">
        <v>9</v>
      </c>
      <c r="B9452">
        <v>461</v>
      </c>
      <c r="C9452" t="str">
        <f t="shared" si="2140"/>
        <v>36</v>
      </c>
      <c r="D9452">
        <v>6219</v>
      </c>
      <c r="E9452" t="str">
        <f>"3M"</f>
        <v>3M</v>
      </c>
      <c r="F9452" t="str">
        <f t="shared" si="2141"/>
        <v>001</v>
      </c>
      <c r="G9452">
        <v>9</v>
      </c>
      <c r="H9452" t="str">
        <f t="shared" si="2145"/>
        <v>91</v>
      </c>
      <c r="I9452" t="str">
        <f>"1"</f>
        <v>1</v>
      </c>
      <c r="J9452" t="str">
        <f t="shared" si="2139"/>
        <v>00</v>
      </c>
      <c r="K9452">
        <v>20190208</v>
      </c>
      <c r="L9452" t="str">
        <f>"075592"</f>
        <v>075592</v>
      </c>
      <c r="M9452" t="str">
        <f>"37787"</f>
        <v>37787</v>
      </c>
      <c r="N9452" t="s">
        <v>7457</v>
      </c>
      <c r="O9452">
        <v>100</v>
      </c>
      <c r="P9452">
        <v>20190207</v>
      </c>
      <c r="Q9452" t="s">
        <v>7443</v>
      </c>
      <c r="R9452" t="s">
        <v>1063</v>
      </c>
      <c r="S9452" t="s">
        <v>7000</v>
      </c>
      <c r="T9452" t="s">
        <v>301</v>
      </c>
    </row>
    <row r="9453" spans="1:20" x14ac:dyDescent="0.25">
      <c r="A9453">
        <v>9</v>
      </c>
      <c r="B9453">
        <v>461</v>
      </c>
      <c r="C9453" t="str">
        <f t="shared" si="2140"/>
        <v>36</v>
      </c>
      <c r="D9453">
        <v>6219</v>
      </c>
      <c r="E9453" t="str">
        <f>"3M"</f>
        <v>3M</v>
      </c>
      <c r="F9453" t="str">
        <f t="shared" si="2141"/>
        <v>001</v>
      </c>
      <c r="G9453">
        <v>9</v>
      </c>
      <c r="H9453" t="str">
        <f t="shared" si="2145"/>
        <v>91</v>
      </c>
      <c r="I9453" t="str">
        <f>"1"</f>
        <v>1</v>
      </c>
      <c r="J9453" t="str">
        <f t="shared" si="2139"/>
        <v>00</v>
      </c>
      <c r="K9453">
        <v>20190208</v>
      </c>
      <c r="L9453" t="str">
        <f>"075593"</f>
        <v>075593</v>
      </c>
      <c r="M9453" t="str">
        <f>"00716"</f>
        <v>00716</v>
      </c>
      <c r="N9453" t="s">
        <v>7458</v>
      </c>
      <c r="O9453">
        <v>100</v>
      </c>
      <c r="P9453">
        <v>20190207</v>
      </c>
      <c r="Q9453" t="s">
        <v>7443</v>
      </c>
      <c r="R9453" t="s">
        <v>1063</v>
      </c>
      <c r="S9453" t="s">
        <v>7000</v>
      </c>
      <c r="T9453" t="s">
        <v>301</v>
      </c>
    </row>
    <row r="9454" spans="1:20" x14ac:dyDescent="0.25">
      <c r="A9454">
        <v>9</v>
      </c>
      <c r="B9454">
        <v>461</v>
      </c>
      <c r="C9454" t="str">
        <f t="shared" si="2140"/>
        <v>36</v>
      </c>
      <c r="D9454">
        <v>6412</v>
      </c>
      <c r="E9454" t="str">
        <f>"3A"</f>
        <v>3A</v>
      </c>
      <c r="F9454" t="str">
        <f t="shared" si="2141"/>
        <v>001</v>
      </c>
      <c r="G9454">
        <v>9</v>
      </c>
      <c r="H9454" t="str">
        <f t="shared" si="2145"/>
        <v>91</v>
      </c>
      <c r="I9454" t="str">
        <f>"0"</f>
        <v>0</v>
      </c>
      <c r="J9454" t="str">
        <f t="shared" ref="J9454:J9459" si="2146">"00"</f>
        <v>00</v>
      </c>
      <c r="K9454">
        <v>20190208</v>
      </c>
      <c r="L9454" t="str">
        <f>"075597"</f>
        <v>075597</v>
      </c>
      <c r="M9454" t="str">
        <f>"00243"</f>
        <v>00243</v>
      </c>
      <c r="N9454" t="s">
        <v>592</v>
      </c>
      <c r="O9454" s="1">
        <v>1909.95</v>
      </c>
      <c r="P9454">
        <v>20190207</v>
      </c>
      <c r="Q9454" t="s">
        <v>7459</v>
      </c>
      <c r="R9454" t="s">
        <v>979</v>
      </c>
      <c r="S9454" t="s">
        <v>7000</v>
      </c>
      <c r="T9454" t="s">
        <v>301</v>
      </c>
    </row>
    <row r="9455" spans="1:20" x14ac:dyDescent="0.25">
      <c r="A9455">
        <v>9</v>
      </c>
      <c r="B9455">
        <v>461</v>
      </c>
      <c r="C9455" t="str">
        <f t="shared" si="2140"/>
        <v>36</v>
      </c>
      <c r="D9455">
        <v>6219</v>
      </c>
      <c r="E9455" t="str">
        <f>"3M"</f>
        <v>3M</v>
      </c>
      <c r="F9455" t="str">
        <f t="shared" si="2141"/>
        <v>001</v>
      </c>
      <c r="G9455">
        <v>9</v>
      </c>
      <c r="H9455" t="str">
        <f t="shared" si="2145"/>
        <v>91</v>
      </c>
      <c r="I9455" t="str">
        <f>"1"</f>
        <v>1</v>
      </c>
      <c r="J9455" t="str">
        <f t="shared" si="2146"/>
        <v>00</v>
      </c>
      <c r="K9455">
        <v>20190208</v>
      </c>
      <c r="L9455" t="str">
        <f>"075606"</f>
        <v>075606</v>
      </c>
      <c r="M9455" t="str">
        <f>"00717"</f>
        <v>00717</v>
      </c>
      <c r="N9455" t="s">
        <v>7460</v>
      </c>
      <c r="O9455">
        <v>100</v>
      </c>
      <c r="P9455">
        <v>20190207</v>
      </c>
      <c r="Q9455" t="s">
        <v>7443</v>
      </c>
      <c r="R9455" t="s">
        <v>1063</v>
      </c>
      <c r="S9455" t="s">
        <v>7000</v>
      </c>
      <c r="T9455" t="s">
        <v>301</v>
      </c>
    </row>
    <row r="9456" spans="1:20" x14ac:dyDescent="0.25">
      <c r="A9456">
        <v>9</v>
      </c>
      <c r="B9456">
        <v>461</v>
      </c>
      <c r="C9456" t="str">
        <f t="shared" si="2140"/>
        <v>36</v>
      </c>
      <c r="D9456">
        <v>6219</v>
      </c>
      <c r="E9456" t="str">
        <f>"3M"</f>
        <v>3M</v>
      </c>
      <c r="F9456" t="str">
        <f t="shared" si="2141"/>
        <v>001</v>
      </c>
      <c r="G9456">
        <v>9</v>
      </c>
      <c r="H9456" t="str">
        <f t="shared" si="2145"/>
        <v>91</v>
      </c>
      <c r="I9456" t="str">
        <f>"1"</f>
        <v>1</v>
      </c>
      <c r="J9456" t="str">
        <f t="shared" si="2146"/>
        <v>00</v>
      </c>
      <c r="K9456">
        <v>20190208</v>
      </c>
      <c r="L9456" t="str">
        <f>"075611"</f>
        <v>075611</v>
      </c>
      <c r="M9456" t="str">
        <f>"00718"</f>
        <v>00718</v>
      </c>
      <c r="N9456" t="s">
        <v>7461</v>
      </c>
      <c r="O9456">
        <v>100</v>
      </c>
      <c r="P9456">
        <v>20190207</v>
      </c>
      <c r="Q9456" t="s">
        <v>7443</v>
      </c>
      <c r="R9456" t="s">
        <v>1063</v>
      </c>
      <c r="S9456" t="s">
        <v>7000</v>
      </c>
      <c r="T9456" t="s">
        <v>301</v>
      </c>
    </row>
    <row r="9457" spans="1:20" x14ac:dyDescent="0.25">
      <c r="A9457">
        <v>9</v>
      </c>
      <c r="B9457">
        <v>461</v>
      </c>
      <c r="C9457" t="str">
        <f t="shared" si="2140"/>
        <v>36</v>
      </c>
      <c r="D9457">
        <v>6399</v>
      </c>
      <c r="E9457" t="str">
        <f>"3J"</f>
        <v>3J</v>
      </c>
      <c r="F9457" t="str">
        <f t="shared" si="2141"/>
        <v>001</v>
      </c>
      <c r="G9457">
        <v>9</v>
      </c>
      <c r="H9457" t="str">
        <f t="shared" si="2145"/>
        <v>91</v>
      </c>
      <c r="I9457" t="str">
        <f>"0"</f>
        <v>0</v>
      </c>
      <c r="J9457" t="str">
        <f t="shared" si="2146"/>
        <v>00</v>
      </c>
      <c r="K9457">
        <v>20190208</v>
      </c>
      <c r="L9457" t="str">
        <f>"075612"</f>
        <v>075612</v>
      </c>
      <c r="M9457" t="str">
        <f>"49445"</f>
        <v>49445</v>
      </c>
      <c r="N9457" t="s">
        <v>986</v>
      </c>
      <c r="O9457">
        <v>316</v>
      </c>
      <c r="P9457">
        <v>20190207</v>
      </c>
      <c r="Q9457" t="s">
        <v>7462</v>
      </c>
      <c r="R9457" t="s">
        <v>987</v>
      </c>
      <c r="S9457" t="s">
        <v>7000</v>
      </c>
      <c r="T9457" t="s">
        <v>301</v>
      </c>
    </row>
    <row r="9458" spans="1:20" x14ac:dyDescent="0.25">
      <c r="A9458">
        <v>9</v>
      </c>
      <c r="B9458">
        <v>461</v>
      </c>
      <c r="C9458" t="str">
        <f t="shared" si="2140"/>
        <v>36</v>
      </c>
      <c r="D9458">
        <v>6412</v>
      </c>
      <c r="E9458" t="str">
        <f>"3A"</f>
        <v>3A</v>
      </c>
      <c r="F9458" t="str">
        <f t="shared" si="2141"/>
        <v>001</v>
      </c>
      <c r="G9458">
        <v>9</v>
      </c>
      <c r="H9458" t="str">
        <f t="shared" si="2145"/>
        <v>91</v>
      </c>
      <c r="I9458" t="str">
        <f>"0"</f>
        <v>0</v>
      </c>
      <c r="J9458" t="str">
        <f t="shared" si="2146"/>
        <v>00</v>
      </c>
      <c r="K9458">
        <v>20190208</v>
      </c>
      <c r="L9458" t="str">
        <f>"075620"</f>
        <v>075620</v>
      </c>
      <c r="M9458" t="str">
        <f>"53201"</f>
        <v>53201</v>
      </c>
      <c r="N9458" t="s">
        <v>991</v>
      </c>
      <c r="O9458">
        <v>150</v>
      </c>
      <c r="P9458">
        <v>20190207</v>
      </c>
      <c r="Q9458" t="s">
        <v>7459</v>
      </c>
      <c r="R9458" t="s">
        <v>992</v>
      </c>
      <c r="S9458" t="s">
        <v>7000</v>
      </c>
      <c r="T9458" t="s">
        <v>301</v>
      </c>
    </row>
    <row r="9459" spans="1:20" x14ac:dyDescent="0.25">
      <c r="A9459">
        <v>9</v>
      </c>
      <c r="B9459">
        <v>461</v>
      </c>
      <c r="C9459" t="str">
        <f t="shared" si="2140"/>
        <v>36</v>
      </c>
      <c r="D9459">
        <v>6219</v>
      </c>
      <c r="E9459" t="str">
        <f>"3M"</f>
        <v>3M</v>
      </c>
      <c r="F9459" t="str">
        <f t="shared" si="2141"/>
        <v>001</v>
      </c>
      <c r="G9459">
        <v>9</v>
      </c>
      <c r="H9459" t="str">
        <f t="shared" si="2145"/>
        <v>91</v>
      </c>
      <c r="I9459" t="str">
        <f>"1"</f>
        <v>1</v>
      </c>
      <c r="J9459" t="str">
        <f t="shared" si="2146"/>
        <v>00</v>
      </c>
      <c r="K9459">
        <v>20190208</v>
      </c>
      <c r="L9459" t="str">
        <f>"075622"</f>
        <v>075622</v>
      </c>
      <c r="M9459" t="str">
        <f>"00719"</f>
        <v>00719</v>
      </c>
      <c r="N9459" t="s">
        <v>7463</v>
      </c>
      <c r="O9459">
        <v>100</v>
      </c>
      <c r="P9459">
        <v>20190207</v>
      </c>
      <c r="Q9459" t="s">
        <v>7443</v>
      </c>
      <c r="R9459" t="s">
        <v>1063</v>
      </c>
      <c r="S9459" t="s">
        <v>7000</v>
      </c>
      <c r="T9459" t="s">
        <v>301</v>
      </c>
    </row>
    <row r="9460" spans="1:20" x14ac:dyDescent="0.25">
      <c r="A9460">
        <v>9</v>
      </c>
      <c r="B9460">
        <v>461</v>
      </c>
      <c r="C9460" t="str">
        <f t="shared" si="2140"/>
        <v>36</v>
      </c>
      <c r="D9460">
        <v>6399</v>
      </c>
      <c r="E9460" t="str">
        <f>"00"</f>
        <v>00</v>
      </c>
      <c r="F9460" t="str">
        <f>"942"</f>
        <v>942</v>
      </c>
      <c r="G9460">
        <v>9</v>
      </c>
      <c r="H9460" t="str">
        <f>"99"</f>
        <v>99</v>
      </c>
      <c r="I9460" t="str">
        <f>"0"</f>
        <v>0</v>
      </c>
      <c r="J9460" t="str">
        <f>"88"</f>
        <v>88</v>
      </c>
      <c r="K9460">
        <v>20190208</v>
      </c>
      <c r="L9460" t="str">
        <f>"075635"</f>
        <v>075635</v>
      </c>
      <c r="M9460" t="str">
        <f>"00689"</f>
        <v>00689</v>
      </c>
      <c r="N9460" t="s">
        <v>6124</v>
      </c>
      <c r="O9460">
        <v>740</v>
      </c>
      <c r="P9460">
        <v>20190207</v>
      </c>
      <c r="Q9460" t="s">
        <v>7018</v>
      </c>
      <c r="R9460" t="s">
        <v>7464</v>
      </c>
      <c r="S9460" t="s">
        <v>7000</v>
      </c>
      <c r="T9460" t="s">
        <v>1831</v>
      </c>
    </row>
    <row r="9461" spans="1:20" x14ac:dyDescent="0.25">
      <c r="A9461">
        <v>9</v>
      </c>
      <c r="B9461">
        <v>461</v>
      </c>
      <c r="C9461" t="str">
        <f t="shared" si="2140"/>
        <v>36</v>
      </c>
      <c r="D9461">
        <v>6399</v>
      </c>
      <c r="E9461" t="str">
        <f>"61"</f>
        <v>61</v>
      </c>
      <c r="F9461" t="str">
        <f>"001"</f>
        <v>001</v>
      </c>
      <c r="G9461">
        <v>9</v>
      </c>
      <c r="H9461" t="str">
        <f>"99"</f>
        <v>99</v>
      </c>
      <c r="I9461" t="str">
        <f>"0"</f>
        <v>0</v>
      </c>
      <c r="J9461" t="str">
        <f t="shared" ref="J9461:J9475" si="2147">"00"</f>
        <v>00</v>
      </c>
      <c r="K9461">
        <v>20190208</v>
      </c>
      <c r="L9461" t="str">
        <f>"075635"</f>
        <v>075635</v>
      </c>
      <c r="M9461" t="str">
        <f>"00689"</f>
        <v>00689</v>
      </c>
      <c r="N9461" t="s">
        <v>6124</v>
      </c>
      <c r="O9461">
        <v>555</v>
      </c>
      <c r="P9461">
        <v>20190207</v>
      </c>
      <c r="Q9461" t="s">
        <v>7095</v>
      </c>
      <c r="R9461" t="s">
        <v>7464</v>
      </c>
      <c r="S9461" t="s">
        <v>7000</v>
      </c>
      <c r="T9461" t="s">
        <v>301</v>
      </c>
    </row>
    <row r="9462" spans="1:20" x14ac:dyDescent="0.25">
      <c r="A9462">
        <v>9</v>
      </c>
      <c r="B9462">
        <v>461</v>
      </c>
      <c r="C9462" t="str">
        <f t="shared" si="2140"/>
        <v>36</v>
      </c>
      <c r="D9462">
        <v>6219</v>
      </c>
      <c r="E9462" t="str">
        <f>"3M"</f>
        <v>3M</v>
      </c>
      <c r="F9462" t="str">
        <f>"001"</f>
        <v>001</v>
      </c>
      <c r="G9462">
        <v>9</v>
      </c>
      <c r="H9462" t="str">
        <f>"91"</f>
        <v>91</v>
      </c>
      <c r="I9462" t="str">
        <f>"1"</f>
        <v>1</v>
      </c>
      <c r="J9462" t="str">
        <f t="shared" si="2147"/>
        <v>00</v>
      </c>
      <c r="K9462">
        <v>20190208</v>
      </c>
      <c r="L9462" t="str">
        <f>"075637"</f>
        <v>075637</v>
      </c>
      <c r="M9462" t="str">
        <f>"00720"</f>
        <v>00720</v>
      </c>
      <c r="N9462" t="s">
        <v>7465</v>
      </c>
      <c r="O9462">
        <v>100</v>
      </c>
      <c r="P9462">
        <v>20190207</v>
      </c>
      <c r="Q9462" t="s">
        <v>7443</v>
      </c>
      <c r="R9462" t="s">
        <v>1063</v>
      </c>
      <c r="S9462" t="s">
        <v>7000</v>
      </c>
      <c r="T9462" t="s">
        <v>301</v>
      </c>
    </row>
    <row r="9463" spans="1:20" x14ac:dyDescent="0.25">
      <c r="A9463">
        <v>9</v>
      </c>
      <c r="B9463">
        <v>461</v>
      </c>
      <c r="C9463" t="str">
        <f t="shared" si="2140"/>
        <v>36</v>
      </c>
      <c r="D9463">
        <v>6399</v>
      </c>
      <c r="E9463" t="str">
        <f>"PR"</f>
        <v>PR</v>
      </c>
      <c r="F9463" t="str">
        <f>"104"</f>
        <v>104</v>
      </c>
      <c r="G9463">
        <v>9</v>
      </c>
      <c r="H9463" t="str">
        <f>"99"</f>
        <v>99</v>
      </c>
      <c r="I9463" t="str">
        <f>"0"</f>
        <v>0</v>
      </c>
      <c r="J9463" t="str">
        <f t="shared" si="2147"/>
        <v>00</v>
      </c>
      <c r="K9463">
        <v>20190208</v>
      </c>
      <c r="L9463" t="str">
        <f>"075638"</f>
        <v>075638</v>
      </c>
      <c r="M9463" t="str">
        <f>"61221"</f>
        <v>61221</v>
      </c>
      <c r="N9463" t="s">
        <v>1782</v>
      </c>
      <c r="O9463">
        <v>990</v>
      </c>
      <c r="P9463">
        <v>20190207</v>
      </c>
      <c r="Q9463" t="s">
        <v>7014</v>
      </c>
      <c r="R9463" t="s">
        <v>7466</v>
      </c>
      <c r="S9463" t="s">
        <v>7000</v>
      </c>
      <c r="T9463" t="s">
        <v>46</v>
      </c>
    </row>
    <row r="9464" spans="1:20" x14ac:dyDescent="0.25">
      <c r="A9464">
        <v>9</v>
      </c>
      <c r="B9464">
        <v>461</v>
      </c>
      <c r="C9464" t="str">
        <f t="shared" si="2140"/>
        <v>36</v>
      </c>
      <c r="D9464">
        <v>6219</v>
      </c>
      <c r="E9464" t="str">
        <f>"3M"</f>
        <v>3M</v>
      </c>
      <c r="F9464" t="str">
        <f t="shared" ref="F9464:F9475" si="2148">"001"</f>
        <v>001</v>
      </c>
      <c r="G9464">
        <v>9</v>
      </c>
      <c r="H9464" t="str">
        <f>"91"</f>
        <v>91</v>
      </c>
      <c r="I9464" t="str">
        <f>"1"</f>
        <v>1</v>
      </c>
      <c r="J9464" t="str">
        <f t="shared" si="2147"/>
        <v>00</v>
      </c>
      <c r="K9464">
        <v>20190208</v>
      </c>
      <c r="L9464" t="str">
        <f>"075640"</f>
        <v>075640</v>
      </c>
      <c r="M9464" t="str">
        <f>"00721"</f>
        <v>00721</v>
      </c>
      <c r="N9464" t="s">
        <v>7467</v>
      </c>
      <c r="O9464">
        <v>100</v>
      </c>
      <c r="P9464">
        <v>20190207</v>
      </c>
      <c r="Q9464" t="s">
        <v>7443</v>
      </c>
      <c r="R9464" t="s">
        <v>1063</v>
      </c>
      <c r="S9464" t="s">
        <v>7000</v>
      </c>
      <c r="T9464" t="s">
        <v>301</v>
      </c>
    </row>
    <row r="9465" spans="1:20" x14ac:dyDescent="0.25">
      <c r="A9465">
        <v>9</v>
      </c>
      <c r="B9465">
        <v>461</v>
      </c>
      <c r="C9465" t="str">
        <f t="shared" si="2140"/>
        <v>36</v>
      </c>
      <c r="D9465">
        <v>6299</v>
      </c>
      <c r="E9465" t="str">
        <f>"7U"</f>
        <v>7U</v>
      </c>
      <c r="F9465" t="str">
        <f t="shared" si="2148"/>
        <v>001</v>
      </c>
      <c r="G9465">
        <v>9</v>
      </c>
      <c r="H9465" t="str">
        <f>"99"</f>
        <v>99</v>
      </c>
      <c r="I9465" t="str">
        <f>"0"</f>
        <v>0</v>
      </c>
      <c r="J9465" t="str">
        <f t="shared" si="2147"/>
        <v>00</v>
      </c>
      <c r="K9465">
        <v>20190208</v>
      </c>
      <c r="L9465" t="str">
        <f>"075641"</f>
        <v>075641</v>
      </c>
      <c r="M9465" t="str">
        <f>"00642"</f>
        <v>00642</v>
      </c>
      <c r="N9465" t="s">
        <v>7468</v>
      </c>
      <c r="O9465">
        <v>325</v>
      </c>
      <c r="P9465">
        <v>20190207</v>
      </c>
      <c r="Q9465" t="s">
        <v>7469</v>
      </c>
      <c r="R9465" t="s">
        <v>7470</v>
      </c>
      <c r="S9465" t="s">
        <v>7000</v>
      </c>
      <c r="T9465" t="s">
        <v>301</v>
      </c>
    </row>
    <row r="9466" spans="1:20" x14ac:dyDescent="0.25">
      <c r="A9466">
        <v>9</v>
      </c>
      <c r="B9466">
        <v>461</v>
      </c>
      <c r="C9466" t="str">
        <f t="shared" si="2140"/>
        <v>36</v>
      </c>
      <c r="D9466">
        <v>6219</v>
      </c>
      <c r="E9466" t="str">
        <f>"3M"</f>
        <v>3M</v>
      </c>
      <c r="F9466" t="str">
        <f t="shared" si="2148"/>
        <v>001</v>
      </c>
      <c r="G9466">
        <v>9</v>
      </c>
      <c r="H9466" t="str">
        <f>"91"</f>
        <v>91</v>
      </c>
      <c r="I9466" t="str">
        <f>"1"</f>
        <v>1</v>
      </c>
      <c r="J9466" t="str">
        <f t="shared" si="2147"/>
        <v>00</v>
      </c>
      <c r="K9466">
        <v>20190208</v>
      </c>
      <c r="L9466" t="str">
        <f>"075653"</f>
        <v>075653</v>
      </c>
      <c r="M9466" t="str">
        <f>"00224"</f>
        <v>00224</v>
      </c>
      <c r="N9466" t="s">
        <v>7471</v>
      </c>
      <c r="O9466">
        <v>100</v>
      </c>
      <c r="P9466">
        <v>20190207</v>
      </c>
      <c r="Q9466" t="s">
        <v>7443</v>
      </c>
      <c r="R9466" t="s">
        <v>1063</v>
      </c>
      <c r="S9466" t="s">
        <v>7000</v>
      </c>
      <c r="T9466" t="s">
        <v>301</v>
      </c>
    </row>
    <row r="9467" spans="1:20" x14ac:dyDescent="0.25">
      <c r="A9467">
        <v>9</v>
      </c>
      <c r="B9467">
        <v>461</v>
      </c>
      <c r="C9467" t="str">
        <f t="shared" si="2140"/>
        <v>36</v>
      </c>
      <c r="D9467">
        <v>6219</v>
      </c>
      <c r="E9467" t="str">
        <f>"3M"</f>
        <v>3M</v>
      </c>
      <c r="F9467" t="str">
        <f t="shared" si="2148"/>
        <v>001</v>
      </c>
      <c r="G9467">
        <v>9</v>
      </c>
      <c r="H9467" t="str">
        <f>"91"</f>
        <v>91</v>
      </c>
      <c r="I9467" t="str">
        <f>"1"</f>
        <v>1</v>
      </c>
      <c r="J9467" t="str">
        <f t="shared" si="2147"/>
        <v>00</v>
      </c>
      <c r="K9467">
        <v>20190208</v>
      </c>
      <c r="L9467" t="str">
        <f>"075654"</f>
        <v>075654</v>
      </c>
      <c r="M9467" t="str">
        <f>"00223"</f>
        <v>00223</v>
      </c>
      <c r="N9467" t="s">
        <v>7472</v>
      </c>
      <c r="O9467">
        <v>100</v>
      </c>
      <c r="P9467">
        <v>20190208</v>
      </c>
      <c r="Q9467" t="s">
        <v>7443</v>
      </c>
      <c r="R9467" t="s">
        <v>1063</v>
      </c>
      <c r="S9467" t="s">
        <v>7000</v>
      </c>
      <c r="T9467" t="s">
        <v>301</v>
      </c>
    </row>
    <row r="9468" spans="1:20" x14ac:dyDescent="0.25">
      <c r="A9468">
        <v>9</v>
      </c>
      <c r="B9468">
        <v>461</v>
      </c>
      <c r="C9468" t="str">
        <f t="shared" si="2140"/>
        <v>36</v>
      </c>
      <c r="D9468">
        <v>6299</v>
      </c>
      <c r="E9468" t="str">
        <f>"7K"</f>
        <v>7K</v>
      </c>
      <c r="F9468" t="str">
        <f t="shared" si="2148"/>
        <v>001</v>
      </c>
      <c r="G9468">
        <v>9</v>
      </c>
      <c r="H9468" t="str">
        <f>"99"</f>
        <v>99</v>
      </c>
      <c r="I9468" t="str">
        <f>"0"</f>
        <v>0</v>
      </c>
      <c r="J9468" t="str">
        <f t="shared" si="2147"/>
        <v>00</v>
      </c>
      <c r="K9468">
        <v>20190208</v>
      </c>
      <c r="L9468" t="str">
        <f>"075656"</f>
        <v>075656</v>
      </c>
      <c r="M9468" t="str">
        <f>"00244"</f>
        <v>00244</v>
      </c>
      <c r="N9468" t="s">
        <v>4435</v>
      </c>
      <c r="O9468">
        <v>410.55</v>
      </c>
      <c r="P9468">
        <v>20190207</v>
      </c>
      <c r="Q9468" t="s">
        <v>7205</v>
      </c>
      <c r="R9468" t="s">
        <v>7473</v>
      </c>
      <c r="S9468" t="s">
        <v>7000</v>
      </c>
      <c r="T9468" t="s">
        <v>301</v>
      </c>
    </row>
    <row r="9469" spans="1:20" x14ac:dyDescent="0.25">
      <c r="A9469">
        <v>9</v>
      </c>
      <c r="B9469">
        <v>461</v>
      </c>
      <c r="C9469" t="str">
        <f t="shared" si="2140"/>
        <v>36</v>
      </c>
      <c r="D9469">
        <v>6219</v>
      </c>
      <c r="E9469" t="str">
        <f>"3M"</f>
        <v>3M</v>
      </c>
      <c r="F9469" t="str">
        <f t="shared" si="2148"/>
        <v>001</v>
      </c>
      <c r="G9469">
        <v>9</v>
      </c>
      <c r="H9469" t="str">
        <f>"91"</f>
        <v>91</v>
      </c>
      <c r="I9469" t="str">
        <f>"1"</f>
        <v>1</v>
      </c>
      <c r="J9469" t="str">
        <f t="shared" si="2147"/>
        <v>00</v>
      </c>
      <c r="K9469">
        <v>20190208</v>
      </c>
      <c r="L9469" t="str">
        <f>"075661"</f>
        <v>075661</v>
      </c>
      <c r="M9469" t="str">
        <f>"00722"</f>
        <v>00722</v>
      </c>
      <c r="N9469" t="s">
        <v>7474</v>
      </c>
      <c r="O9469">
        <v>100</v>
      </c>
      <c r="P9469">
        <v>20190207</v>
      </c>
      <c r="Q9469" t="s">
        <v>7443</v>
      </c>
      <c r="R9469" t="s">
        <v>1063</v>
      </c>
      <c r="S9469" t="s">
        <v>7000</v>
      </c>
      <c r="T9469" t="s">
        <v>301</v>
      </c>
    </row>
    <row r="9470" spans="1:20" x14ac:dyDescent="0.25">
      <c r="A9470">
        <v>9</v>
      </c>
      <c r="B9470">
        <v>461</v>
      </c>
      <c r="C9470" t="str">
        <f t="shared" si="2140"/>
        <v>36</v>
      </c>
      <c r="D9470">
        <v>6399</v>
      </c>
      <c r="E9470" t="str">
        <f>"3M"</f>
        <v>3M</v>
      </c>
      <c r="F9470" t="str">
        <f t="shared" si="2148"/>
        <v>001</v>
      </c>
      <c r="G9470">
        <v>9</v>
      </c>
      <c r="H9470" t="str">
        <f>"91"</f>
        <v>91</v>
      </c>
      <c r="I9470" t="str">
        <f t="shared" ref="I9470:I9475" si="2149">"0"</f>
        <v>0</v>
      </c>
      <c r="J9470" t="str">
        <f t="shared" si="2147"/>
        <v>00</v>
      </c>
      <c r="K9470">
        <v>20190208</v>
      </c>
      <c r="L9470" t="str">
        <f>"075665"</f>
        <v>075665</v>
      </c>
      <c r="M9470" t="str">
        <f>"80425"</f>
        <v>80425</v>
      </c>
      <c r="N9470" t="s">
        <v>688</v>
      </c>
      <c r="O9470">
        <v>430.5</v>
      </c>
      <c r="P9470">
        <v>20190207</v>
      </c>
      <c r="Q9470" t="s">
        <v>7412</v>
      </c>
      <c r="R9470" t="s">
        <v>7475</v>
      </c>
      <c r="S9470" t="s">
        <v>7000</v>
      </c>
      <c r="T9470" t="s">
        <v>301</v>
      </c>
    </row>
    <row r="9471" spans="1:20" x14ac:dyDescent="0.25">
      <c r="A9471">
        <v>9</v>
      </c>
      <c r="B9471">
        <v>461</v>
      </c>
      <c r="C9471" t="str">
        <f t="shared" si="2140"/>
        <v>36</v>
      </c>
      <c r="D9471">
        <v>6299</v>
      </c>
      <c r="E9471" t="str">
        <f>"7K"</f>
        <v>7K</v>
      </c>
      <c r="F9471" t="str">
        <f t="shared" si="2148"/>
        <v>001</v>
      </c>
      <c r="G9471">
        <v>9</v>
      </c>
      <c r="H9471" t="str">
        <f>"99"</f>
        <v>99</v>
      </c>
      <c r="I9471" t="str">
        <f t="shared" si="2149"/>
        <v>0</v>
      </c>
      <c r="J9471" t="str">
        <f t="shared" si="2147"/>
        <v>00</v>
      </c>
      <c r="K9471">
        <v>20190215</v>
      </c>
      <c r="L9471" t="str">
        <f>"075679"</f>
        <v>075679</v>
      </c>
      <c r="M9471" t="str">
        <f>"00204"</f>
        <v>00204</v>
      </c>
      <c r="N9471" t="s">
        <v>7476</v>
      </c>
      <c r="O9471" s="1">
        <v>2100</v>
      </c>
      <c r="P9471">
        <v>20190213</v>
      </c>
      <c r="Q9471" t="s">
        <v>7205</v>
      </c>
      <c r="R9471" t="s">
        <v>4118</v>
      </c>
      <c r="S9471" t="s">
        <v>7000</v>
      </c>
      <c r="T9471" t="s">
        <v>301</v>
      </c>
    </row>
    <row r="9472" spans="1:20" x14ac:dyDescent="0.25">
      <c r="A9472">
        <v>9</v>
      </c>
      <c r="B9472">
        <v>461</v>
      </c>
      <c r="C9472" t="str">
        <f t="shared" si="2140"/>
        <v>36</v>
      </c>
      <c r="D9472">
        <v>6399</v>
      </c>
      <c r="E9472" t="str">
        <f>"61"</f>
        <v>61</v>
      </c>
      <c r="F9472" t="str">
        <f t="shared" si="2148"/>
        <v>001</v>
      </c>
      <c r="G9472">
        <v>9</v>
      </c>
      <c r="H9472" t="str">
        <f>"99"</f>
        <v>99</v>
      </c>
      <c r="I9472" t="str">
        <f t="shared" si="2149"/>
        <v>0</v>
      </c>
      <c r="J9472" t="str">
        <f t="shared" si="2147"/>
        <v>00</v>
      </c>
      <c r="K9472">
        <v>20190215</v>
      </c>
      <c r="L9472" t="str">
        <f>"075681"</f>
        <v>075681</v>
      </c>
      <c r="M9472" t="str">
        <f>"04410"</f>
        <v>04410</v>
      </c>
      <c r="N9472" t="s">
        <v>410</v>
      </c>
      <c r="O9472">
        <v>505.08</v>
      </c>
      <c r="P9472">
        <v>20190213</v>
      </c>
      <c r="Q9472" t="s">
        <v>7095</v>
      </c>
      <c r="R9472" t="s">
        <v>7477</v>
      </c>
      <c r="S9472" t="s">
        <v>7000</v>
      </c>
      <c r="T9472" t="s">
        <v>301</v>
      </c>
    </row>
    <row r="9473" spans="1:20" x14ac:dyDescent="0.25">
      <c r="A9473">
        <v>9</v>
      </c>
      <c r="B9473">
        <v>461</v>
      </c>
      <c r="C9473" t="str">
        <f t="shared" si="2140"/>
        <v>36</v>
      </c>
      <c r="D9473">
        <v>6649</v>
      </c>
      <c r="E9473" t="str">
        <f>"7E"</f>
        <v>7E</v>
      </c>
      <c r="F9473" t="str">
        <f t="shared" si="2148"/>
        <v>001</v>
      </c>
      <c r="G9473">
        <v>9</v>
      </c>
      <c r="H9473" t="str">
        <f>"99"</f>
        <v>99</v>
      </c>
      <c r="I9473" t="str">
        <f t="shared" si="2149"/>
        <v>0</v>
      </c>
      <c r="J9473" t="str">
        <f t="shared" si="2147"/>
        <v>00</v>
      </c>
      <c r="K9473">
        <v>20190215</v>
      </c>
      <c r="L9473" t="str">
        <f>"075681"</f>
        <v>075681</v>
      </c>
      <c r="M9473" t="str">
        <f>"04410"</f>
        <v>04410</v>
      </c>
      <c r="N9473" t="s">
        <v>410</v>
      </c>
      <c r="O9473">
        <v>441.99</v>
      </c>
      <c r="P9473">
        <v>20190213</v>
      </c>
      <c r="Q9473" t="s">
        <v>7478</v>
      </c>
      <c r="R9473" t="s">
        <v>7479</v>
      </c>
      <c r="S9473" t="s">
        <v>7000</v>
      </c>
      <c r="T9473" t="s">
        <v>301</v>
      </c>
    </row>
    <row r="9474" spans="1:20" x14ac:dyDescent="0.25">
      <c r="A9474">
        <v>9</v>
      </c>
      <c r="B9474">
        <v>461</v>
      </c>
      <c r="C9474" t="str">
        <f t="shared" si="2140"/>
        <v>36</v>
      </c>
      <c r="D9474">
        <v>6399</v>
      </c>
      <c r="E9474" t="str">
        <f>"3P"</f>
        <v>3P</v>
      </c>
      <c r="F9474" t="str">
        <f t="shared" si="2148"/>
        <v>001</v>
      </c>
      <c r="G9474">
        <v>9</v>
      </c>
      <c r="H9474" t="str">
        <f>"91"</f>
        <v>91</v>
      </c>
      <c r="I9474" t="str">
        <f t="shared" si="2149"/>
        <v>0</v>
      </c>
      <c r="J9474" t="str">
        <f t="shared" si="2147"/>
        <v>00</v>
      </c>
      <c r="K9474">
        <v>20190215</v>
      </c>
      <c r="L9474" t="str">
        <f>"075684"</f>
        <v>075684</v>
      </c>
      <c r="M9474" t="str">
        <f>"06777"</f>
        <v>06777</v>
      </c>
      <c r="N9474" t="s">
        <v>770</v>
      </c>
      <c r="O9474">
        <v>720</v>
      </c>
      <c r="P9474">
        <v>20190213</v>
      </c>
      <c r="Q9474" t="s">
        <v>7296</v>
      </c>
      <c r="R9474" t="s">
        <v>7429</v>
      </c>
      <c r="S9474" t="s">
        <v>7000</v>
      </c>
      <c r="T9474" t="s">
        <v>301</v>
      </c>
    </row>
    <row r="9475" spans="1:20" x14ac:dyDescent="0.25">
      <c r="A9475">
        <v>9</v>
      </c>
      <c r="B9475">
        <v>461</v>
      </c>
      <c r="C9475" t="str">
        <f t="shared" si="2140"/>
        <v>36</v>
      </c>
      <c r="D9475">
        <v>6399</v>
      </c>
      <c r="E9475" t="str">
        <f>"3P"</f>
        <v>3P</v>
      </c>
      <c r="F9475" t="str">
        <f t="shared" si="2148"/>
        <v>001</v>
      </c>
      <c r="G9475">
        <v>9</v>
      </c>
      <c r="H9475" t="str">
        <f>"91"</f>
        <v>91</v>
      </c>
      <c r="I9475" t="str">
        <f t="shared" si="2149"/>
        <v>0</v>
      </c>
      <c r="J9475" t="str">
        <f t="shared" si="2147"/>
        <v>00</v>
      </c>
      <c r="K9475">
        <v>20190215</v>
      </c>
      <c r="L9475" t="str">
        <f>"075684"</f>
        <v>075684</v>
      </c>
      <c r="M9475" t="str">
        <f>"06777"</f>
        <v>06777</v>
      </c>
      <c r="N9475" t="s">
        <v>770</v>
      </c>
      <c r="O9475">
        <v>300</v>
      </c>
      <c r="P9475">
        <v>20190213</v>
      </c>
      <c r="Q9475" t="s">
        <v>7296</v>
      </c>
      <c r="R9475" t="s">
        <v>7429</v>
      </c>
      <c r="S9475" t="s">
        <v>7000</v>
      </c>
      <c r="T9475" t="s">
        <v>301</v>
      </c>
    </row>
    <row r="9476" spans="1:20" x14ac:dyDescent="0.25">
      <c r="A9476">
        <v>9</v>
      </c>
      <c r="B9476">
        <v>461</v>
      </c>
      <c r="C9476" t="str">
        <f t="shared" si="2140"/>
        <v>36</v>
      </c>
      <c r="D9476">
        <v>6399</v>
      </c>
      <c r="E9476" t="str">
        <f>"09"</f>
        <v>09</v>
      </c>
      <c r="F9476" t="str">
        <f>"942"</f>
        <v>942</v>
      </c>
      <c r="G9476">
        <v>9</v>
      </c>
      <c r="H9476" t="str">
        <f>"99"</f>
        <v>99</v>
      </c>
      <c r="I9476" t="str">
        <f>"2"</f>
        <v>2</v>
      </c>
      <c r="J9476" t="str">
        <f>"88"</f>
        <v>88</v>
      </c>
      <c r="K9476">
        <v>20190215</v>
      </c>
      <c r="L9476" t="str">
        <f>"075686"</f>
        <v>075686</v>
      </c>
      <c r="M9476" t="str">
        <f>"07699"</f>
        <v>07699</v>
      </c>
      <c r="N9476" t="s">
        <v>2359</v>
      </c>
      <c r="O9476">
        <v>200</v>
      </c>
      <c r="P9476">
        <v>20190213</v>
      </c>
      <c r="Q9476" t="s">
        <v>7480</v>
      </c>
      <c r="R9476" t="s">
        <v>7481</v>
      </c>
      <c r="S9476" t="s">
        <v>7000</v>
      </c>
      <c r="T9476" t="s">
        <v>1831</v>
      </c>
    </row>
    <row r="9477" spans="1:20" x14ac:dyDescent="0.25">
      <c r="A9477">
        <v>9</v>
      </c>
      <c r="B9477">
        <v>461</v>
      </c>
      <c r="C9477" t="str">
        <f t="shared" si="2140"/>
        <v>36</v>
      </c>
      <c r="D9477">
        <v>6399</v>
      </c>
      <c r="E9477" t="str">
        <f>"3M"</f>
        <v>3M</v>
      </c>
      <c r="F9477" t="str">
        <f>"001"</f>
        <v>001</v>
      </c>
      <c r="G9477">
        <v>9</v>
      </c>
      <c r="H9477" t="str">
        <f>"91"</f>
        <v>91</v>
      </c>
      <c r="I9477" t="str">
        <f t="shared" ref="I9477:I9483" si="2150">"0"</f>
        <v>0</v>
      </c>
      <c r="J9477" t="str">
        <f t="shared" ref="J9477:J9483" si="2151">"00"</f>
        <v>00</v>
      </c>
      <c r="K9477">
        <v>20190215</v>
      </c>
      <c r="L9477" t="str">
        <f>"075689"</f>
        <v>075689</v>
      </c>
      <c r="M9477" t="str">
        <f>"10235"</f>
        <v>10235</v>
      </c>
      <c r="N9477" t="s">
        <v>297</v>
      </c>
      <c r="O9477">
        <v>27</v>
      </c>
      <c r="P9477">
        <v>20190213</v>
      </c>
      <c r="Q9477" t="s">
        <v>7412</v>
      </c>
      <c r="R9477" t="s">
        <v>1015</v>
      </c>
      <c r="S9477" t="s">
        <v>7000</v>
      </c>
      <c r="T9477" t="s">
        <v>301</v>
      </c>
    </row>
    <row r="9478" spans="1:20" x14ac:dyDescent="0.25">
      <c r="A9478">
        <v>9</v>
      </c>
      <c r="B9478">
        <v>461</v>
      </c>
      <c r="C9478" t="str">
        <f t="shared" si="2140"/>
        <v>36</v>
      </c>
      <c r="D9478">
        <v>6399</v>
      </c>
      <c r="E9478" t="str">
        <f>"Y5"</f>
        <v>Y5</v>
      </c>
      <c r="F9478" t="str">
        <f>"802"</f>
        <v>802</v>
      </c>
      <c r="G9478">
        <v>9</v>
      </c>
      <c r="H9478" t="str">
        <f>"99"</f>
        <v>99</v>
      </c>
      <c r="I9478" t="str">
        <f t="shared" si="2150"/>
        <v>0</v>
      </c>
      <c r="J9478" t="str">
        <f t="shared" si="2151"/>
        <v>00</v>
      </c>
      <c r="K9478">
        <v>20190215</v>
      </c>
      <c r="L9478" t="str">
        <f>"075690"</f>
        <v>075690</v>
      </c>
      <c r="M9478" t="str">
        <f>"00420"</f>
        <v>00420</v>
      </c>
      <c r="N9478" t="s">
        <v>7020</v>
      </c>
      <c r="O9478">
        <v>349.5</v>
      </c>
      <c r="P9478">
        <v>20190213</v>
      </c>
      <c r="Q9478" t="s">
        <v>7021</v>
      </c>
      <c r="R9478" t="s">
        <v>7482</v>
      </c>
      <c r="S9478" t="s">
        <v>7000</v>
      </c>
      <c r="T9478" t="s">
        <v>7023</v>
      </c>
    </row>
    <row r="9479" spans="1:20" x14ac:dyDescent="0.25">
      <c r="A9479">
        <v>9</v>
      </c>
      <c r="B9479">
        <v>461</v>
      </c>
      <c r="C9479" t="str">
        <f t="shared" si="2140"/>
        <v>36</v>
      </c>
      <c r="D9479">
        <v>6399</v>
      </c>
      <c r="E9479" t="str">
        <f>"3M"</f>
        <v>3M</v>
      </c>
      <c r="F9479" t="str">
        <f>"001"</f>
        <v>001</v>
      </c>
      <c r="G9479">
        <v>9</v>
      </c>
      <c r="H9479" t="str">
        <f>"91"</f>
        <v>91</v>
      </c>
      <c r="I9479" t="str">
        <f t="shared" si="2150"/>
        <v>0</v>
      </c>
      <c r="J9479" t="str">
        <f t="shared" si="2151"/>
        <v>00</v>
      </c>
      <c r="K9479">
        <v>20190215</v>
      </c>
      <c r="L9479" t="str">
        <f>"075691"</f>
        <v>075691</v>
      </c>
      <c r="M9479" t="str">
        <f>"11149"</f>
        <v>11149</v>
      </c>
      <c r="N9479" t="s">
        <v>863</v>
      </c>
      <c r="O9479">
        <v>370</v>
      </c>
      <c r="P9479">
        <v>20190213</v>
      </c>
      <c r="Q9479" t="s">
        <v>7412</v>
      </c>
      <c r="R9479" t="s">
        <v>7483</v>
      </c>
      <c r="S9479" t="s">
        <v>7000</v>
      </c>
      <c r="T9479" t="s">
        <v>301</v>
      </c>
    </row>
    <row r="9480" spans="1:20" x14ac:dyDescent="0.25">
      <c r="A9480">
        <v>9</v>
      </c>
      <c r="B9480">
        <v>461</v>
      </c>
      <c r="C9480" t="str">
        <f t="shared" si="2140"/>
        <v>36</v>
      </c>
      <c r="D9480">
        <v>6399</v>
      </c>
      <c r="E9480" t="str">
        <f>"61"</f>
        <v>61</v>
      </c>
      <c r="F9480" t="str">
        <f>"101"</f>
        <v>101</v>
      </c>
      <c r="G9480">
        <v>9</v>
      </c>
      <c r="H9480" t="str">
        <f>"99"</f>
        <v>99</v>
      </c>
      <c r="I9480" t="str">
        <f t="shared" si="2150"/>
        <v>0</v>
      </c>
      <c r="J9480" t="str">
        <f t="shared" si="2151"/>
        <v>00</v>
      </c>
      <c r="K9480">
        <v>20190215</v>
      </c>
      <c r="L9480" t="str">
        <f>"075699"</f>
        <v>075699</v>
      </c>
      <c r="M9480" t="str">
        <f>"20703"</f>
        <v>20703</v>
      </c>
      <c r="N9480" t="s">
        <v>2003</v>
      </c>
      <c r="O9480">
        <v>900</v>
      </c>
      <c r="P9480">
        <v>20190213</v>
      </c>
      <c r="Q9480" t="s">
        <v>7007</v>
      </c>
      <c r="R9480" t="s">
        <v>7484</v>
      </c>
      <c r="S9480" t="s">
        <v>7000</v>
      </c>
      <c r="T9480" t="s">
        <v>1479</v>
      </c>
    </row>
    <row r="9481" spans="1:20" x14ac:dyDescent="0.25">
      <c r="A9481">
        <v>9</v>
      </c>
      <c r="B9481">
        <v>461</v>
      </c>
      <c r="C9481" t="str">
        <f t="shared" si="2140"/>
        <v>36</v>
      </c>
      <c r="D9481">
        <v>6399</v>
      </c>
      <c r="E9481" t="str">
        <f>"32"</f>
        <v>32</v>
      </c>
      <c r="F9481" t="str">
        <f>"001"</f>
        <v>001</v>
      </c>
      <c r="G9481">
        <v>9</v>
      </c>
      <c r="H9481" t="str">
        <f>"99"</f>
        <v>99</v>
      </c>
      <c r="I9481" t="str">
        <f t="shared" si="2150"/>
        <v>0</v>
      </c>
      <c r="J9481" t="str">
        <f t="shared" si="2151"/>
        <v>00</v>
      </c>
      <c r="K9481">
        <v>20190215</v>
      </c>
      <c r="L9481" t="str">
        <f>"075702"</f>
        <v>075702</v>
      </c>
      <c r="M9481" t="str">
        <f>"57312"</f>
        <v>57312</v>
      </c>
      <c r="N9481" t="s">
        <v>7485</v>
      </c>
      <c r="O9481" s="1">
        <v>1320</v>
      </c>
      <c r="P9481">
        <v>20190214</v>
      </c>
      <c r="Q9481" t="s">
        <v>7486</v>
      </c>
      <c r="R9481" t="s">
        <v>7487</v>
      </c>
      <c r="S9481" t="s">
        <v>7000</v>
      </c>
      <c r="T9481" t="s">
        <v>301</v>
      </c>
    </row>
    <row r="9482" spans="1:20" x14ac:dyDescent="0.25">
      <c r="A9482">
        <v>9</v>
      </c>
      <c r="B9482">
        <v>461</v>
      </c>
      <c r="C9482" t="str">
        <f t="shared" si="2140"/>
        <v>36</v>
      </c>
      <c r="D9482">
        <v>6299</v>
      </c>
      <c r="E9482" t="str">
        <f>"69"</f>
        <v>69</v>
      </c>
      <c r="F9482" t="str">
        <f>"001"</f>
        <v>001</v>
      </c>
      <c r="G9482">
        <v>9</v>
      </c>
      <c r="H9482" t="str">
        <f>"99"</f>
        <v>99</v>
      </c>
      <c r="I9482" t="str">
        <f t="shared" si="2150"/>
        <v>0</v>
      </c>
      <c r="J9482" t="str">
        <f t="shared" si="2151"/>
        <v>00</v>
      </c>
      <c r="K9482">
        <v>20190215</v>
      </c>
      <c r="L9482" t="str">
        <f>"075707"</f>
        <v>075707</v>
      </c>
      <c r="M9482" t="str">
        <f>"73540"</f>
        <v>73540</v>
      </c>
      <c r="N9482" t="s">
        <v>7488</v>
      </c>
      <c r="O9482">
        <v>100</v>
      </c>
      <c r="P9482">
        <v>20190213</v>
      </c>
      <c r="Q9482" t="s">
        <v>7489</v>
      </c>
      <c r="R9482" t="s">
        <v>7490</v>
      </c>
      <c r="S9482" t="s">
        <v>7000</v>
      </c>
      <c r="T9482" t="s">
        <v>301</v>
      </c>
    </row>
    <row r="9483" spans="1:20" x14ac:dyDescent="0.25">
      <c r="A9483">
        <v>9</v>
      </c>
      <c r="B9483">
        <v>461</v>
      </c>
      <c r="C9483" t="str">
        <f t="shared" si="2140"/>
        <v>36</v>
      </c>
      <c r="D9483">
        <v>6412</v>
      </c>
      <c r="E9483" t="str">
        <f>"3D"</f>
        <v>3D</v>
      </c>
      <c r="F9483" t="str">
        <f>"001"</f>
        <v>001</v>
      </c>
      <c r="G9483">
        <v>9</v>
      </c>
      <c r="H9483" t="str">
        <f>"91"</f>
        <v>91</v>
      </c>
      <c r="I9483" t="str">
        <f t="shared" si="2150"/>
        <v>0</v>
      </c>
      <c r="J9483" t="str">
        <f t="shared" si="2151"/>
        <v>00</v>
      </c>
      <c r="K9483">
        <v>20190215</v>
      </c>
      <c r="L9483" t="str">
        <f>"075708"</f>
        <v>075708</v>
      </c>
      <c r="M9483" t="str">
        <f>"24335"</f>
        <v>24335</v>
      </c>
      <c r="N9483" t="s">
        <v>516</v>
      </c>
      <c r="O9483">
        <v>132.69</v>
      </c>
      <c r="P9483">
        <v>20190213</v>
      </c>
      <c r="Q9483" t="s">
        <v>7147</v>
      </c>
      <c r="R9483" t="s">
        <v>7491</v>
      </c>
      <c r="S9483" t="s">
        <v>7000</v>
      </c>
      <c r="T9483" t="s">
        <v>301</v>
      </c>
    </row>
    <row r="9484" spans="1:20" x14ac:dyDescent="0.25">
      <c r="A9484">
        <v>9</v>
      </c>
      <c r="B9484">
        <v>461</v>
      </c>
      <c r="C9484" t="str">
        <f t="shared" si="2140"/>
        <v>36</v>
      </c>
      <c r="D9484">
        <v>6299</v>
      </c>
      <c r="E9484" t="str">
        <f>"09"</f>
        <v>09</v>
      </c>
      <c r="F9484" t="str">
        <f>"942"</f>
        <v>942</v>
      </c>
      <c r="G9484">
        <v>9</v>
      </c>
      <c r="H9484" t="str">
        <f>"99"</f>
        <v>99</v>
      </c>
      <c r="I9484" t="str">
        <f>"4"</f>
        <v>4</v>
      </c>
      <c r="J9484" t="str">
        <f>"88"</f>
        <v>88</v>
      </c>
      <c r="K9484">
        <v>20190215</v>
      </c>
      <c r="L9484" t="str">
        <f>"075720"</f>
        <v>075720</v>
      </c>
      <c r="M9484" t="str">
        <f>"34661"</f>
        <v>34661</v>
      </c>
      <c r="N9484" t="s">
        <v>7492</v>
      </c>
      <c r="O9484">
        <v>691</v>
      </c>
      <c r="P9484">
        <v>20190213</v>
      </c>
      <c r="Q9484" t="s">
        <v>7493</v>
      </c>
      <c r="R9484" t="s">
        <v>7481</v>
      </c>
      <c r="S9484" t="s">
        <v>7000</v>
      </c>
      <c r="T9484" t="s">
        <v>1831</v>
      </c>
    </row>
    <row r="9485" spans="1:20" x14ac:dyDescent="0.25">
      <c r="A9485">
        <v>9</v>
      </c>
      <c r="B9485">
        <v>461</v>
      </c>
      <c r="C9485" t="str">
        <f t="shared" si="2140"/>
        <v>36</v>
      </c>
      <c r="D9485">
        <v>6412</v>
      </c>
      <c r="E9485" t="str">
        <f>"PR"</f>
        <v>PR</v>
      </c>
      <c r="F9485" t="str">
        <f>"104"</f>
        <v>104</v>
      </c>
      <c r="G9485">
        <v>9</v>
      </c>
      <c r="H9485" t="str">
        <f>"99"</f>
        <v>99</v>
      </c>
      <c r="I9485" t="str">
        <f t="shared" ref="I9485:I9490" si="2152">"0"</f>
        <v>0</v>
      </c>
      <c r="J9485" t="str">
        <f t="shared" ref="J9485:J9490" si="2153">"00"</f>
        <v>00</v>
      </c>
      <c r="K9485">
        <v>20190215</v>
      </c>
      <c r="L9485" t="str">
        <f>"075738"</f>
        <v>075738</v>
      </c>
      <c r="M9485" t="str">
        <f>"54034"</f>
        <v>54034</v>
      </c>
      <c r="N9485" t="s">
        <v>7189</v>
      </c>
      <c r="O9485" s="1">
        <v>2480.5</v>
      </c>
      <c r="P9485">
        <v>20190213</v>
      </c>
      <c r="Q9485" t="s">
        <v>7190</v>
      </c>
      <c r="R9485" t="s">
        <v>7494</v>
      </c>
      <c r="S9485" t="s">
        <v>7000</v>
      </c>
      <c r="T9485" t="s">
        <v>46</v>
      </c>
    </row>
    <row r="9486" spans="1:20" x14ac:dyDescent="0.25">
      <c r="A9486">
        <v>9</v>
      </c>
      <c r="B9486">
        <v>461</v>
      </c>
      <c r="C9486" t="str">
        <f t="shared" si="2140"/>
        <v>36</v>
      </c>
      <c r="D9486">
        <v>6399</v>
      </c>
      <c r="E9486" t="str">
        <f>"3Y"</f>
        <v>3Y</v>
      </c>
      <c r="F9486" t="str">
        <f>"041"</f>
        <v>041</v>
      </c>
      <c r="G9486">
        <v>9</v>
      </c>
      <c r="H9486" t="str">
        <f>"91"</f>
        <v>91</v>
      </c>
      <c r="I9486" t="str">
        <f t="shared" si="2152"/>
        <v>0</v>
      </c>
      <c r="J9486" t="str">
        <f t="shared" si="2153"/>
        <v>00</v>
      </c>
      <c r="K9486">
        <v>20190215</v>
      </c>
      <c r="L9486" t="str">
        <f>"075741"</f>
        <v>075741</v>
      </c>
      <c r="M9486" t="str">
        <f>"58207"</f>
        <v>58207</v>
      </c>
      <c r="N9486" t="s">
        <v>292</v>
      </c>
      <c r="O9486">
        <v>7.76</v>
      </c>
      <c r="P9486">
        <v>20190213</v>
      </c>
      <c r="Q9486" t="s">
        <v>7027</v>
      </c>
      <c r="R9486" t="s">
        <v>7495</v>
      </c>
      <c r="S9486" t="s">
        <v>7000</v>
      </c>
      <c r="T9486" t="s">
        <v>106</v>
      </c>
    </row>
    <row r="9487" spans="1:20" x14ac:dyDescent="0.25">
      <c r="A9487">
        <v>9</v>
      </c>
      <c r="B9487">
        <v>461</v>
      </c>
      <c r="C9487" t="str">
        <f t="shared" si="2140"/>
        <v>36</v>
      </c>
      <c r="D9487">
        <v>6412</v>
      </c>
      <c r="E9487" t="str">
        <f>"3V"</f>
        <v>3V</v>
      </c>
      <c r="F9487" t="str">
        <f>"041"</f>
        <v>041</v>
      </c>
      <c r="G9487">
        <v>9</v>
      </c>
      <c r="H9487" t="str">
        <f>"91"</f>
        <v>91</v>
      </c>
      <c r="I9487" t="str">
        <f t="shared" si="2152"/>
        <v>0</v>
      </c>
      <c r="J9487" t="str">
        <f t="shared" si="2153"/>
        <v>00</v>
      </c>
      <c r="K9487">
        <v>20190215</v>
      </c>
      <c r="L9487" t="str">
        <f>"075741"</f>
        <v>075741</v>
      </c>
      <c r="M9487" t="str">
        <f>"58207"</f>
        <v>58207</v>
      </c>
      <c r="N9487" t="s">
        <v>292</v>
      </c>
      <c r="O9487">
        <v>35.06</v>
      </c>
      <c r="P9487">
        <v>20190213</v>
      </c>
      <c r="Q9487" t="s">
        <v>7496</v>
      </c>
      <c r="R9487" t="s">
        <v>886</v>
      </c>
      <c r="S9487" t="s">
        <v>7000</v>
      </c>
      <c r="T9487" t="s">
        <v>106</v>
      </c>
    </row>
    <row r="9488" spans="1:20" x14ac:dyDescent="0.25">
      <c r="A9488">
        <v>9</v>
      </c>
      <c r="B9488">
        <v>461</v>
      </c>
      <c r="C9488" t="str">
        <f t="shared" ref="C9488:C9551" si="2154">"36"</f>
        <v>36</v>
      </c>
      <c r="D9488">
        <v>6399</v>
      </c>
      <c r="E9488" t="str">
        <f>"61"</f>
        <v>61</v>
      </c>
      <c r="F9488" t="str">
        <f>"001"</f>
        <v>001</v>
      </c>
      <c r="G9488">
        <v>9</v>
      </c>
      <c r="H9488" t="str">
        <f>"99"</f>
        <v>99</v>
      </c>
      <c r="I9488" t="str">
        <f t="shared" si="2152"/>
        <v>0</v>
      </c>
      <c r="J9488" t="str">
        <f t="shared" si="2153"/>
        <v>00</v>
      </c>
      <c r="K9488">
        <v>20190215</v>
      </c>
      <c r="L9488" t="str">
        <f>"075742"</f>
        <v>075742</v>
      </c>
      <c r="M9488" t="str">
        <f>"58204"</f>
        <v>58204</v>
      </c>
      <c r="N9488" t="s">
        <v>1767</v>
      </c>
      <c r="O9488">
        <v>39.93</v>
      </c>
      <c r="P9488">
        <v>20190213</v>
      </c>
      <c r="Q9488" t="s">
        <v>7095</v>
      </c>
      <c r="R9488" t="s">
        <v>2793</v>
      </c>
      <c r="S9488" t="s">
        <v>7000</v>
      </c>
      <c r="T9488" t="s">
        <v>301</v>
      </c>
    </row>
    <row r="9489" spans="1:20" x14ac:dyDescent="0.25">
      <c r="A9489">
        <v>9</v>
      </c>
      <c r="B9489">
        <v>461</v>
      </c>
      <c r="C9489" t="str">
        <f t="shared" si="2154"/>
        <v>36</v>
      </c>
      <c r="D9489">
        <v>6399</v>
      </c>
      <c r="E9489" t="str">
        <f>"PR"</f>
        <v>PR</v>
      </c>
      <c r="F9489" t="str">
        <f>"041"</f>
        <v>041</v>
      </c>
      <c r="G9489">
        <v>9</v>
      </c>
      <c r="H9489" t="str">
        <f>"99"</f>
        <v>99</v>
      </c>
      <c r="I9489" t="str">
        <f t="shared" si="2152"/>
        <v>0</v>
      </c>
      <c r="J9489" t="str">
        <f t="shared" si="2153"/>
        <v>00</v>
      </c>
      <c r="K9489">
        <v>20190215</v>
      </c>
      <c r="L9489" t="str">
        <f>"075743"</f>
        <v>075743</v>
      </c>
      <c r="M9489" t="str">
        <f>"58202"</f>
        <v>58202</v>
      </c>
      <c r="N9489" t="s">
        <v>2781</v>
      </c>
      <c r="O9489">
        <v>8.5</v>
      </c>
      <c r="P9489">
        <v>20190214</v>
      </c>
      <c r="Q9489" t="s">
        <v>7497</v>
      </c>
      <c r="R9489" t="s">
        <v>2081</v>
      </c>
      <c r="S9489" t="s">
        <v>7000</v>
      </c>
      <c r="T9489" t="s">
        <v>106</v>
      </c>
    </row>
    <row r="9490" spans="1:20" x14ac:dyDescent="0.25">
      <c r="A9490">
        <v>9</v>
      </c>
      <c r="B9490">
        <v>461</v>
      </c>
      <c r="C9490" t="str">
        <f t="shared" si="2154"/>
        <v>36</v>
      </c>
      <c r="D9490">
        <v>6399</v>
      </c>
      <c r="E9490" t="str">
        <f>"PR"</f>
        <v>PR</v>
      </c>
      <c r="F9490" t="str">
        <f>"041"</f>
        <v>041</v>
      </c>
      <c r="G9490">
        <v>9</v>
      </c>
      <c r="H9490" t="str">
        <f>"99"</f>
        <v>99</v>
      </c>
      <c r="I9490" t="str">
        <f t="shared" si="2152"/>
        <v>0</v>
      </c>
      <c r="J9490" t="str">
        <f t="shared" si="2153"/>
        <v>00</v>
      </c>
      <c r="K9490">
        <v>20190215</v>
      </c>
      <c r="L9490" t="str">
        <f>"075743"</f>
        <v>075743</v>
      </c>
      <c r="M9490" t="str">
        <f>"58202"</f>
        <v>58202</v>
      </c>
      <c r="N9490" t="s">
        <v>2781</v>
      </c>
      <c r="O9490">
        <v>13.25</v>
      </c>
      <c r="P9490">
        <v>20190214</v>
      </c>
      <c r="Q9490" t="s">
        <v>7497</v>
      </c>
      <c r="R9490" t="s">
        <v>7498</v>
      </c>
      <c r="S9490" t="s">
        <v>7000</v>
      </c>
      <c r="T9490" t="s">
        <v>106</v>
      </c>
    </row>
    <row r="9491" spans="1:20" x14ac:dyDescent="0.25">
      <c r="A9491">
        <v>9</v>
      </c>
      <c r="B9491">
        <v>461</v>
      </c>
      <c r="C9491" t="str">
        <f t="shared" si="2154"/>
        <v>36</v>
      </c>
      <c r="D9491">
        <v>6299</v>
      </c>
      <c r="E9491" t="str">
        <f>"09"</f>
        <v>09</v>
      </c>
      <c r="F9491" t="str">
        <f>"942"</f>
        <v>942</v>
      </c>
      <c r="G9491">
        <v>9</v>
      </c>
      <c r="H9491" t="str">
        <f>"99"</f>
        <v>99</v>
      </c>
      <c r="I9491" t="str">
        <f>"4"</f>
        <v>4</v>
      </c>
      <c r="J9491" t="str">
        <f>"88"</f>
        <v>88</v>
      </c>
      <c r="K9491">
        <v>20190215</v>
      </c>
      <c r="L9491" t="str">
        <f>"075753"</f>
        <v>075753</v>
      </c>
      <c r="M9491" t="str">
        <f>"00244"</f>
        <v>00244</v>
      </c>
      <c r="N9491" t="s">
        <v>4435</v>
      </c>
      <c r="O9491">
        <v>253</v>
      </c>
      <c r="P9491">
        <v>20190213</v>
      </c>
      <c r="Q9491" t="s">
        <v>7493</v>
      </c>
      <c r="R9491" t="s">
        <v>4223</v>
      </c>
      <c r="S9491" t="s">
        <v>7000</v>
      </c>
      <c r="T9491" t="s">
        <v>1831</v>
      </c>
    </row>
    <row r="9492" spans="1:20" x14ac:dyDescent="0.25">
      <c r="A9492">
        <v>9</v>
      </c>
      <c r="B9492">
        <v>461</v>
      </c>
      <c r="C9492" t="str">
        <f t="shared" si="2154"/>
        <v>36</v>
      </c>
      <c r="D9492">
        <v>6399</v>
      </c>
      <c r="E9492" t="str">
        <f>"3M"</f>
        <v>3M</v>
      </c>
      <c r="F9492" t="str">
        <f>"001"</f>
        <v>001</v>
      </c>
      <c r="G9492">
        <v>9</v>
      </c>
      <c r="H9492" t="str">
        <f>"91"</f>
        <v>91</v>
      </c>
      <c r="I9492" t="str">
        <f>"1"</f>
        <v>1</v>
      </c>
      <c r="J9492" t="str">
        <f t="shared" ref="J9492:J9523" si="2155">"00"</f>
        <v>00</v>
      </c>
      <c r="K9492">
        <v>20190215</v>
      </c>
      <c r="L9492" t="str">
        <f>"075760"</f>
        <v>075760</v>
      </c>
      <c r="M9492" t="str">
        <f>"81303"</f>
        <v>81303</v>
      </c>
      <c r="N9492" t="s">
        <v>66</v>
      </c>
      <c r="O9492" s="1">
        <v>1726.62</v>
      </c>
      <c r="P9492">
        <v>20190213</v>
      </c>
      <c r="Q9492" t="s">
        <v>7348</v>
      </c>
      <c r="R9492" t="s">
        <v>7499</v>
      </c>
      <c r="S9492" t="s">
        <v>7000</v>
      </c>
      <c r="T9492" t="s">
        <v>301</v>
      </c>
    </row>
    <row r="9493" spans="1:20" x14ac:dyDescent="0.25">
      <c r="A9493">
        <v>9</v>
      </c>
      <c r="B9493">
        <v>461</v>
      </c>
      <c r="C9493" t="str">
        <f t="shared" si="2154"/>
        <v>36</v>
      </c>
      <c r="D9493">
        <v>6399</v>
      </c>
      <c r="E9493" t="str">
        <f>"Y5"</f>
        <v>Y5</v>
      </c>
      <c r="F9493" t="str">
        <f>"802"</f>
        <v>802</v>
      </c>
      <c r="G9493">
        <v>9</v>
      </c>
      <c r="H9493" t="str">
        <f>"99"</f>
        <v>99</v>
      </c>
      <c r="I9493" t="str">
        <f t="shared" ref="I9493:I9509" si="2156">"0"</f>
        <v>0</v>
      </c>
      <c r="J9493" t="str">
        <f t="shared" si="2155"/>
        <v>00</v>
      </c>
      <c r="K9493">
        <v>20190215</v>
      </c>
      <c r="L9493" t="str">
        <f>"075760"</f>
        <v>075760</v>
      </c>
      <c r="M9493" t="str">
        <f>"81303"</f>
        <v>81303</v>
      </c>
      <c r="N9493" t="s">
        <v>66</v>
      </c>
      <c r="O9493">
        <v>25</v>
      </c>
      <c r="P9493">
        <v>20190213</v>
      </c>
      <c r="Q9493" t="s">
        <v>7021</v>
      </c>
      <c r="R9493" t="s">
        <v>7500</v>
      </c>
      <c r="S9493" t="s">
        <v>7000</v>
      </c>
      <c r="T9493" t="s">
        <v>7023</v>
      </c>
    </row>
    <row r="9494" spans="1:20" x14ac:dyDescent="0.25">
      <c r="A9494">
        <v>9</v>
      </c>
      <c r="B9494">
        <v>461</v>
      </c>
      <c r="C9494" t="str">
        <f t="shared" si="2154"/>
        <v>36</v>
      </c>
      <c r="D9494">
        <v>6399</v>
      </c>
      <c r="E9494" t="str">
        <f>"3J"</f>
        <v>3J</v>
      </c>
      <c r="F9494" t="str">
        <f t="shared" ref="F9494:F9499" si="2157">"001"</f>
        <v>001</v>
      </c>
      <c r="G9494">
        <v>9</v>
      </c>
      <c r="H9494" t="str">
        <f t="shared" ref="H9494:H9499" si="2158">"91"</f>
        <v>91</v>
      </c>
      <c r="I9494" t="str">
        <f t="shared" si="2156"/>
        <v>0</v>
      </c>
      <c r="J9494" t="str">
        <f t="shared" si="2155"/>
        <v>00</v>
      </c>
      <c r="K9494">
        <v>20190222</v>
      </c>
      <c r="L9494" t="str">
        <f t="shared" ref="L9494:L9499" si="2159">"075772"</f>
        <v>075772</v>
      </c>
      <c r="M9494" t="str">
        <f t="shared" ref="M9494:M9499" si="2160">"03693"</f>
        <v>03693</v>
      </c>
      <c r="N9494" t="s">
        <v>767</v>
      </c>
      <c r="O9494">
        <v>150</v>
      </c>
      <c r="P9494">
        <v>20190221</v>
      </c>
      <c r="Q9494" t="s">
        <v>7462</v>
      </c>
      <c r="R9494" t="s">
        <v>1043</v>
      </c>
      <c r="S9494" t="s">
        <v>7000</v>
      </c>
      <c r="T9494" t="s">
        <v>301</v>
      </c>
    </row>
    <row r="9495" spans="1:20" x14ac:dyDescent="0.25">
      <c r="A9495">
        <v>9</v>
      </c>
      <c r="B9495">
        <v>461</v>
      </c>
      <c r="C9495" t="str">
        <f t="shared" si="2154"/>
        <v>36</v>
      </c>
      <c r="D9495">
        <v>6399</v>
      </c>
      <c r="E9495" t="str">
        <f>"3W"</f>
        <v>3W</v>
      </c>
      <c r="F9495" t="str">
        <f t="shared" si="2157"/>
        <v>001</v>
      </c>
      <c r="G9495">
        <v>9</v>
      </c>
      <c r="H9495" t="str">
        <f t="shared" si="2158"/>
        <v>91</v>
      </c>
      <c r="I9495" t="str">
        <f t="shared" si="2156"/>
        <v>0</v>
      </c>
      <c r="J9495" t="str">
        <f t="shared" si="2155"/>
        <v>00</v>
      </c>
      <c r="K9495">
        <v>20190222</v>
      </c>
      <c r="L9495" t="str">
        <f t="shared" si="2159"/>
        <v>075772</v>
      </c>
      <c r="M9495" t="str">
        <f t="shared" si="2160"/>
        <v>03693</v>
      </c>
      <c r="N9495" t="s">
        <v>767</v>
      </c>
      <c r="O9495">
        <v>125</v>
      </c>
      <c r="P9495">
        <v>20190221</v>
      </c>
      <c r="Q9495" t="s">
        <v>7501</v>
      </c>
      <c r="R9495" t="s">
        <v>1044</v>
      </c>
      <c r="S9495" t="s">
        <v>7000</v>
      </c>
      <c r="T9495" t="s">
        <v>301</v>
      </c>
    </row>
    <row r="9496" spans="1:20" x14ac:dyDescent="0.25">
      <c r="A9496">
        <v>9</v>
      </c>
      <c r="B9496">
        <v>461</v>
      </c>
      <c r="C9496" t="str">
        <f t="shared" si="2154"/>
        <v>36</v>
      </c>
      <c r="D9496">
        <v>6412</v>
      </c>
      <c r="E9496" t="str">
        <f>"3W"</f>
        <v>3W</v>
      </c>
      <c r="F9496" t="str">
        <f t="shared" si="2157"/>
        <v>001</v>
      </c>
      <c r="G9496">
        <v>9</v>
      </c>
      <c r="H9496" t="str">
        <f t="shared" si="2158"/>
        <v>91</v>
      </c>
      <c r="I9496" t="str">
        <f t="shared" si="2156"/>
        <v>0</v>
      </c>
      <c r="J9496" t="str">
        <f t="shared" si="2155"/>
        <v>00</v>
      </c>
      <c r="K9496">
        <v>20190222</v>
      </c>
      <c r="L9496" t="str">
        <f t="shared" si="2159"/>
        <v>075772</v>
      </c>
      <c r="M9496" t="str">
        <f t="shared" si="2160"/>
        <v>03693</v>
      </c>
      <c r="N9496" t="s">
        <v>767</v>
      </c>
      <c r="O9496">
        <v>25</v>
      </c>
      <c r="P9496">
        <v>20190221</v>
      </c>
      <c r="Q9496" t="s">
        <v>7502</v>
      </c>
      <c r="R9496" t="s">
        <v>1044</v>
      </c>
      <c r="S9496" t="s">
        <v>7000</v>
      </c>
      <c r="T9496" t="s">
        <v>301</v>
      </c>
    </row>
    <row r="9497" spans="1:20" x14ac:dyDescent="0.25">
      <c r="A9497">
        <v>9</v>
      </c>
      <c r="B9497">
        <v>461</v>
      </c>
      <c r="C9497" t="str">
        <f t="shared" si="2154"/>
        <v>36</v>
      </c>
      <c r="D9497">
        <v>6399</v>
      </c>
      <c r="E9497" t="str">
        <f>"3J"</f>
        <v>3J</v>
      </c>
      <c r="F9497" t="str">
        <f t="shared" si="2157"/>
        <v>001</v>
      </c>
      <c r="G9497">
        <v>9</v>
      </c>
      <c r="H9497" t="str">
        <f t="shared" si="2158"/>
        <v>91</v>
      </c>
      <c r="I9497" t="str">
        <f t="shared" si="2156"/>
        <v>0</v>
      </c>
      <c r="J9497" t="str">
        <f t="shared" si="2155"/>
        <v>00</v>
      </c>
      <c r="K9497">
        <v>20190410</v>
      </c>
      <c r="L9497" t="str">
        <f t="shared" si="2159"/>
        <v>075772</v>
      </c>
      <c r="M9497" t="str">
        <f t="shared" si="2160"/>
        <v>03693</v>
      </c>
      <c r="N9497" t="s">
        <v>767</v>
      </c>
      <c r="O9497">
        <v>-150</v>
      </c>
      <c r="P9497">
        <v>20190410</v>
      </c>
      <c r="Q9497" t="s">
        <v>7462</v>
      </c>
      <c r="R9497" t="s">
        <v>845</v>
      </c>
      <c r="S9497" t="s">
        <v>7000</v>
      </c>
      <c r="T9497" t="s">
        <v>301</v>
      </c>
    </row>
    <row r="9498" spans="1:20" x14ac:dyDescent="0.25">
      <c r="A9498">
        <v>9</v>
      </c>
      <c r="B9498">
        <v>461</v>
      </c>
      <c r="C9498" t="str">
        <f t="shared" si="2154"/>
        <v>36</v>
      </c>
      <c r="D9498">
        <v>6399</v>
      </c>
      <c r="E9498" t="str">
        <f>"3W"</f>
        <v>3W</v>
      </c>
      <c r="F9498" t="str">
        <f t="shared" si="2157"/>
        <v>001</v>
      </c>
      <c r="G9498">
        <v>9</v>
      </c>
      <c r="H9498" t="str">
        <f t="shared" si="2158"/>
        <v>91</v>
      </c>
      <c r="I9498" t="str">
        <f t="shared" si="2156"/>
        <v>0</v>
      </c>
      <c r="J9498" t="str">
        <f t="shared" si="2155"/>
        <v>00</v>
      </c>
      <c r="K9498">
        <v>20190410</v>
      </c>
      <c r="L9498" t="str">
        <f t="shared" si="2159"/>
        <v>075772</v>
      </c>
      <c r="M9498" t="str">
        <f t="shared" si="2160"/>
        <v>03693</v>
      </c>
      <c r="N9498" t="s">
        <v>767</v>
      </c>
      <c r="O9498">
        <v>-125</v>
      </c>
      <c r="P9498">
        <v>20190410</v>
      </c>
      <c r="Q9498" t="s">
        <v>7501</v>
      </c>
      <c r="R9498" t="s">
        <v>845</v>
      </c>
      <c r="S9498" t="s">
        <v>7000</v>
      </c>
      <c r="T9498" t="s">
        <v>301</v>
      </c>
    </row>
    <row r="9499" spans="1:20" x14ac:dyDescent="0.25">
      <c r="A9499">
        <v>9</v>
      </c>
      <c r="B9499">
        <v>461</v>
      </c>
      <c r="C9499" t="str">
        <f t="shared" si="2154"/>
        <v>36</v>
      </c>
      <c r="D9499">
        <v>6412</v>
      </c>
      <c r="E9499" t="str">
        <f>"3W"</f>
        <v>3W</v>
      </c>
      <c r="F9499" t="str">
        <f t="shared" si="2157"/>
        <v>001</v>
      </c>
      <c r="G9499">
        <v>9</v>
      </c>
      <c r="H9499" t="str">
        <f t="shared" si="2158"/>
        <v>91</v>
      </c>
      <c r="I9499" t="str">
        <f t="shared" si="2156"/>
        <v>0</v>
      </c>
      <c r="J9499" t="str">
        <f t="shared" si="2155"/>
        <v>00</v>
      </c>
      <c r="K9499">
        <v>20190410</v>
      </c>
      <c r="L9499" t="str">
        <f t="shared" si="2159"/>
        <v>075772</v>
      </c>
      <c r="M9499" t="str">
        <f t="shared" si="2160"/>
        <v>03693</v>
      </c>
      <c r="N9499" t="s">
        <v>767</v>
      </c>
      <c r="O9499">
        <v>-25</v>
      </c>
      <c r="P9499">
        <v>20190410</v>
      </c>
      <c r="Q9499" t="s">
        <v>7502</v>
      </c>
      <c r="R9499" t="s">
        <v>845</v>
      </c>
      <c r="S9499" t="s">
        <v>7000</v>
      </c>
      <c r="T9499" t="s">
        <v>301</v>
      </c>
    </row>
    <row r="9500" spans="1:20" x14ac:dyDescent="0.25">
      <c r="A9500">
        <v>9</v>
      </c>
      <c r="B9500">
        <v>461</v>
      </c>
      <c r="C9500" t="str">
        <f t="shared" si="2154"/>
        <v>36</v>
      </c>
      <c r="D9500">
        <v>6399</v>
      </c>
      <c r="E9500" t="str">
        <f>"Y5"</f>
        <v>Y5</v>
      </c>
      <c r="F9500" t="str">
        <f>"802"</f>
        <v>802</v>
      </c>
      <c r="G9500">
        <v>9</v>
      </c>
      <c r="H9500" t="str">
        <f>"99"</f>
        <v>99</v>
      </c>
      <c r="I9500" t="str">
        <f t="shared" si="2156"/>
        <v>0</v>
      </c>
      <c r="J9500" t="str">
        <f t="shared" si="2155"/>
        <v>00</v>
      </c>
      <c r="K9500">
        <v>20190222</v>
      </c>
      <c r="L9500" t="str">
        <f>"075776"</f>
        <v>075776</v>
      </c>
      <c r="M9500" t="str">
        <f>"00420"</f>
        <v>00420</v>
      </c>
      <c r="N9500" t="s">
        <v>7020</v>
      </c>
      <c r="O9500">
        <v>27.96</v>
      </c>
      <c r="P9500">
        <v>20190221</v>
      </c>
      <c r="Q9500" t="s">
        <v>7021</v>
      </c>
      <c r="R9500" t="s">
        <v>7482</v>
      </c>
      <c r="S9500" t="s">
        <v>7000</v>
      </c>
      <c r="T9500" t="s">
        <v>7023</v>
      </c>
    </row>
    <row r="9501" spans="1:20" x14ac:dyDescent="0.25">
      <c r="A9501">
        <v>9</v>
      </c>
      <c r="B9501">
        <v>461</v>
      </c>
      <c r="C9501" t="str">
        <f t="shared" si="2154"/>
        <v>36</v>
      </c>
      <c r="D9501">
        <v>6649</v>
      </c>
      <c r="E9501" t="str">
        <f>"AB"</f>
        <v>AB</v>
      </c>
      <c r="F9501" t="str">
        <f t="shared" ref="F9501:F9506" si="2161">"001"</f>
        <v>001</v>
      </c>
      <c r="G9501">
        <v>9</v>
      </c>
      <c r="H9501" t="str">
        <f>"99"</f>
        <v>99</v>
      </c>
      <c r="I9501" t="str">
        <f t="shared" si="2156"/>
        <v>0</v>
      </c>
      <c r="J9501" t="str">
        <f t="shared" si="2155"/>
        <v>00</v>
      </c>
      <c r="K9501">
        <v>20190222</v>
      </c>
      <c r="L9501" t="str">
        <f>"075785"</f>
        <v>075785</v>
      </c>
      <c r="M9501" t="str">
        <f>"24196"</f>
        <v>24196</v>
      </c>
      <c r="N9501" t="s">
        <v>7503</v>
      </c>
      <c r="O9501" s="1">
        <v>1995</v>
      </c>
      <c r="P9501">
        <v>20190221</v>
      </c>
      <c r="Q9501" t="s">
        <v>7504</v>
      </c>
      <c r="R9501" t="s">
        <v>7505</v>
      </c>
      <c r="S9501" t="s">
        <v>7000</v>
      </c>
      <c r="T9501" t="s">
        <v>301</v>
      </c>
    </row>
    <row r="9502" spans="1:20" x14ac:dyDescent="0.25">
      <c r="A9502">
        <v>9</v>
      </c>
      <c r="B9502">
        <v>461</v>
      </c>
      <c r="C9502" t="str">
        <f t="shared" si="2154"/>
        <v>36</v>
      </c>
      <c r="D9502">
        <v>6399</v>
      </c>
      <c r="E9502" t="str">
        <f>"3G"</f>
        <v>3G</v>
      </c>
      <c r="F9502" t="str">
        <f t="shared" si="2161"/>
        <v>001</v>
      </c>
      <c r="G9502">
        <v>9</v>
      </c>
      <c r="H9502" t="str">
        <f>"91"</f>
        <v>91</v>
      </c>
      <c r="I9502" t="str">
        <f t="shared" si="2156"/>
        <v>0</v>
      </c>
      <c r="J9502" t="str">
        <f t="shared" si="2155"/>
        <v>00</v>
      </c>
      <c r="K9502">
        <v>20190222</v>
      </c>
      <c r="L9502" t="str">
        <f>"075786"</f>
        <v>075786</v>
      </c>
      <c r="M9502" t="str">
        <f>"24335"</f>
        <v>24335</v>
      </c>
      <c r="N9502" t="s">
        <v>516</v>
      </c>
      <c r="O9502">
        <v>44.97</v>
      </c>
      <c r="P9502">
        <v>20190221</v>
      </c>
      <c r="Q9502" t="s">
        <v>7229</v>
      </c>
      <c r="R9502" t="s">
        <v>894</v>
      </c>
      <c r="S9502" t="s">
        <v>7000</v>
      </c>
      <c r="T9502" t="s">
        <v>301</v>
      </c>
    </row>
    <row r="9503" spans="1:20" x14ac:dyDescent="0.25">
      <c r="A9503">
        <v>9</v>
      </c>
      <c r="B9503">
        <v>461</v>
      </c>
      <c r="C9503" t="str">
        <f t="shared" si="2154"/>
        <v>36</v>
      </c>
      <c r="D9503">
        <v>6399</v>
      </c>
      <c r="E9503" t="str">
        <f>"3B"</f>
        <v>3B</v>
      </c>
      <c r="F9503" t="str">
        <f t="shared" si="2161"/>
        <v>001</v>
      </c>
      <c r="G9503">
        <v>9</v>
      </c>
      <c r="H9503" t="str">
        <f>"91"</f>
        <v>91</v>
      </c>
      <c r="I9503" t="str">
        <f t="shared" si="2156"/>
        <v>0</v>
      </c>
      <c r="J9503" t="str">
        <f t="shared" si="2155"/>
        <v>00</v>
      </c>
      <c r="K9503">
        <v>20190222</v>
      </c>
      <c r="L9503" t="str">
        <f>"075790"</f>
        <v>075790</v>
      </c>
      <c r="M9503" t="str">
        <f>"27135"</f>
        <v>27135</v>
      </c>
      <c r="N9503" t="s">
        <v>521</v>
      </c>
      <c r="O9503">
        <v>190.05</v>
      </c>
      <c r="P9503">
        <v>20190221</v>
      </c>
      <c r="Q9503" t="s">
        <v>7024</v>
      </c>
      <c r="R9503" t="s">
        <v>1055</v>
      </c>
      <c r="S9503" t="s">
        <v>7000</v>
      </c>
      <c r="T9503" t="s">
        <v>301</v>
      </c>
    </row>
    <row r="9504" spans="1:20" x14ac:dyDescent="0.25">
      <c r="A9504">
        <v>9</v>
      </c>
      <c r="B9504">
        <v>461</v>
      </c>
      <c r="C9504" t="str">
        <f t="shared" si="2154"/>
        <v>36</v>
      </c>
      <c r="D9504">
        <v>6399</v>
      </c>
      <c r="E9504" t="str">
        <f>"H2"</f>
        <v>H2</v>
      </c>
      <c r="F9504" t="str">
        <f t="shared" si="2161"/>
        <v>001</v>
      </c>
      <c r="G9504">
        <v>9</v>
      </c>
      <c r="H9504" t="str">
        <f>"99"</f>
        <v>99</v>
      </c>
      <c r="I9504" t="str">
        <f t="shared" si="2156"/>
        <v>0</v>
      </c>
      <c r="J9504" t="str">
        <f t="shared" si="2155"/>
        <v>00</v>
      </c>
      <c r="K9504">
        <v>20190222</v>
      </c>
      <c r="L9504" t="str">
        <f>"075794"</f>
        <v>075794</v>
      </c>
      <c r="M9504" t="str">
        <f>"29680"</f>
        <v>29680</v>
      </c>
      <c r="N9504" t="s">
        <v>4622</v>
      </c>
      <c r="O9504">
        <v>75</v>
      </c>
      <c r="P9504">
        <v>20190221</v>
      </c>
      <c r="Q9504" t="s">
        <v>7033</v>
      </c>
      <c r="R9504" t="s">
        <v>7506</v>
      </c>
      <c r="S9504" t="s">
        <v>7000</v>
      </c>
      <c r="T9504" t="s">
        <v>301</v>
      </c>
    </row>
    <row r="9505" spans="1:20" x14ac:dyDescent="0.25">
      <c r="A9505">
        <v>9</v>
      </c>
      <c r="B9505">
        <v>461</v>
      </c>
      <c r="C9505" t="str">
        <f t="shared" si="2154"/>
        <v>36</v>
      </c>
      <c r="D9505">
        <v>6399</v>
      </c>
      <c r="E9505" t="str">
        <f>"3A"</f>
        <v>3A</v>
      </c>
      <c r="F9505" t="str">
        <f t="shared" si="2161"/>
        <v>001</v>
      </c>
      <c r="G9505">
        <v>9</v>
      </c>
      <c r="H9505" t="str">
        <f>"91"</f>
        <v>91</v>
      </c>
      <c r="I9505" t="str">
        <f t="shared" si="2156"/>
        <v>0</v>
      </c>
      <c r="J9505" t="str">
        <f t="shared" si="2155"/>
        <v>00</v>
      </c>
      <c r="K9505">
        <v>20190222</v>
      </c>
      <c r="L9505" t="str">
        <f>"075818"</f>
        <v>075818</v>
      </c>
      <c r="M9505" t="str">
        <f>"00661"</f>
        <v>00661</v>
      </c>
      <c r="N9505" t="s">
        <v>7507</v>
      </c>
      <c r="O9505">
        <v>287.5</v>
      </c>
      <c r="P9505">
        <v>20190221</v>
      </c>
      <c r="Q9505" t="s">
        <v>7175</v>
      </c>
      <c r="R9505" t="s">
        <v>7508</v>
      </c>
      <c r="S9505" t="s">
        <v>7000</v>
      </c>
      <c r="T9505" t="s">
        <v>301</v>
      </c>
    </row>
    <row r="9506" spans="1:20" x14ac:dyDescent="0.25">
      <c r="A9506">
        <v>9</v>
      </c>
      <c r="B9506">
        <v>461</v>
      </c>
      <c r="C9506" t="str">
        <f t="shared" si="2154"/>
        <v>36</v>
      </c>
      <c r="D9506">
        <v>6412</v>
      </c>
      <c r="E9506" t="str">
        <f>"3T"</f>
        <v>3T</v>
      </c>
      <c r="F9506" t="str">
        <f t="shared" si="2161"/>
        <v>001</v>
      </c>
      <c r="G9506">
        <v>9</v>
      </c>
      <c r="H9506" t="str">
        <f>"91"</f>
        <v>91</v>
      </c>
      <c r="I9506" t="str">
        <f t="shared" si="2156"/>
        <v>0</v>
      </c>
      <c r="J9506" t="str">
        <f t="shared" si="2155"/>
        <v>00</v>
      </c>
      <c r="K9506">
        <v>20190222</v>
      </c>
      <c r="L9506" t="str">
        <f>"075822"</f>
        <v>075822</v>
      </c>
      <c r="M9506" t="str">
        <f>"64610"</f>
        <v>64610</v>
      </c>
      <c r="N9506" t="s">
        <v>1062</v>
      </c>
      <c r="O9506">
        <v>59</v>
      </c>
      <c r="P9506">
        <v>20190221</v>
      </c>
      <c r="Q9506" t="s">
        <v>7509</v>
      </c>
      <c r="R9506" t="s">
        <v>1107</v>
      </c>
      <c r="S9506" t="s">
        <v>7000</v>
      </c>
      <c r="T9506" t="s">
        <v>301</v>
      </c>
    </row>
    <row r="9507" spans="1:20" x14ac:dyDescent="0.25">
      <c r="A9507">
        <v>9</v>
      </c>
      <c r="B9507">
        <v>461</v>
      </c>
      <c r="C9507" t="str">
        <f t="shared" si="2154"/>
        <v>36</v>
      </c>
      <c r="D9507">
        <v>6499</v>
      </c>
      <c r="E9507" t="str">
        <f>"PR"</f>
        <v>PR</v>
      </c>
      <c r="F9507" t="str">
        <f>"041"</f>
        <v>041</v>
      </c>
      <c r="G9507">
        <v>9</v>
      </c>
      <c r="H9507" t="str">
        <f>"99"</f>
        <v>99</v>
      </c>
      <c r="I9507" t="str">
        <f t="shared" si="2156"/>
        <v>0</v>
      </c>
      <c r="J9507" t="str">
        <f t="shared" si="2155"/>
        <v>00</v>
      </c>
      <c r="K9507">
        <v>20190222</v>
      </c>
      <c r="L9507" t="str">
        <f>"075822"</f>
        <v>075822</v>
      </c>
      <c r="M9507" t="str">
        <f>"64610"</f>
        <v>64610</v>
      </c>
      <c r="N9507" t="s">
        <v>1062</v>
      </c>
      <c r="O9507">
        <v>17.809999999999999</v>
      </c>
      <c r="P9507">
        <v>20190221</v>
      </c>
      <c r="Q9507" t="s">
        <v>7510</v>
      </c>
      <c r="R9507" t="s">
        <v>7511</v>
      </c>
      <c r="S9507" t="s">
        <v>7000</v>
      </c>
      <c r="T9507" t="s">
        <v>106</v>
      </c>
    </row>
    <row r="9508" spans="1:20" x14ac:dyDescent="0.25">
      <c r="A9508">
        <v>9</v>
      </c>
      <c r="B9508">
        <v>461</v>
      </c>
      <c r="C9508" t="str">
        <f t="shared" si="2154"/>
        <v>36</v>
      </c>
      <c r="D9508">
        <v>6499</v>
      </c>
      <c r="E9508" t="str">
        <f>"PR"</f>
        <v>PR</v>
      </c>
      <c r="F9508" t="str">
        <f>"041"</f>
        <v>041</v>
      </c>
      <c r="G9508">
        <v>9</v>
      </c>
      <c r="H9508" t="str">
        <f>"99"</f>
        <v>99</v>
      </c>
      <c r="I9508" t="str">
        <f t="shared" si="2156"/>
        <v>0</v>
      </c>
      <c r="J9508" t="str">
        <f t="shared" si="2155"/>
        <v>00</v>
      </c>
      <c r="K9508">
        <v>20190222</v>
      </c>
      <c r="L9508" t="str">
        <f>"075822"</f>
        <v>075822</v>
      </c>
      <c r="M9508" t="str">
        <f>"64610"</f>
        <v>64610</v>
      </c>
      <c r="N9508" t="s">
        <v>1062</v>
      </c>
      <c r="O9508">
        <v>8.1999999999999993</v>
      </c>
      <c r="P9508">
        <v>20190221</v>
      </c>
      <c r="Q9508" t="s">
        <v>7510</v>
      </c>
      <c r="R9508" t="s">
        <v>7511</v>
      </c>
      <c r="S9508" t="s">
        <v>7000</v>
      </c>
      <c r="T9508" t="s">
        <v>106</v>
      </c>
    </row>
    <row r="9509" spans="1:20" x14ac:dyDescent="0.25">
      <c r="A9509">
        <v>9</v>
      </c>
      <c r="B9509">
        <v>461</v>
      </c>
      <c r="C9509" t="str">
        <f t="shared" si="2154"/>
        <v>36</v>
      </c>
      <c r="D9509">
        <v>6499</v>
      </c>
      <c r="E9509" t="str">
        <f>"PR"</f>
        <v>PR</v>
      </c>
      <c r="F9509" t="str">
        <f>"041"</f>
        <v>041</v>
      </c>
      <c r="G9509">
        <v>9</v>
      </c>
      <c r="H9509" t="str">
        <f>"99"</f>
        <v>99</v>
      </c>
      <c r="I9509" t="str">
        <f t="shared" si="2156"/>
        <v>0</v>
      </c>
      <c r="J9509" t="str">
        <f t="shared" si="2155"/>
        <v>00</v>
      </c>
      <c r="K9509">
        <v>20190222</v>
      </c>
      <c r="L9509" t="str">
        <f>"075822"</f>
        <v>075822</v>
      </c>
      <c r="M9509" t="str">
        <f>"64610"</f>
        <v>64610</v>
      </c>
      <c r="N9509" t="s">
        <v>1062</v>
      </c>
      <c r="O9509">
        <v>17.809999999999999</v>
      </c>
      <c r="P9509">
        <v>20190221</v>
      </c>
      <c r="Q9509" t="s">
        <v>7510</v>
      </c>
      <c r="R9509" t="s">
        <v>7511</v>
      </c>
      <c r="S9509" t="s">
        <v>7000</v>
      </c>
      <c r="T9509" t="s">
        <v>106</v>
      </c>
    </row>
    <row r="9510" spans="1:20" x14ac:dyDescent="0.25">
      <c r="A9510">
        <v>9</v>
      </c>
      <c r="B9510">
        <v>461</v>
      </c>
      <c r="C9510" t="str">
        <f t="shared" si="2154"/>
        <v>36</v>
      </c>
      <c r="D9510">
        <v>6399</v>
      </c>
      <c r="E9510" t="str">
        <f>"3M"</f>
        <v>3M</v>
      </c>
      <c r="F9510" t="str">
        <f t="shared" ref="F9510:F9517" si="2162">"001"</f>
        <v>001</v>
      </c>
      <c r="G9510">
        <v>9</v>
      </c>
      <c r="H9510" t="str">
        <f>"91"</f>
        <v>91</v>
      </c>
      <c r="I9510" t="str">
        <f>"1"</f>
        <v>1</v>
      </c>
      <c r="J9510" t="str">
        <f t="shared" si="2155"/>
        <v>00</v>
      </c>
      <c r="K9510">
        <v>20190222</v>
      </c>
      <c r="L9510" t="str">
        <f t="shared" ref="L9510:L9520" si="2163">"075823"</f>
        <v>075823</v>
      </c>
      <c r="M9510" t="str">
        <f t="shared" ref="M9510:M9520" si="2164">"65106"</f>
        <v>65106</v>
      </c>
      <c r="N9510" t="s">
        <v>1175</v>
      </c>
      <c r="O9510">
        <v>539.24</v>
      </c>
      <c r="P9510">
        <v>20190221</v>
      </c>
      <c r="Q9510" t="s">
        <v>7348</v>
      </c>
      <c r="R9510" t="s">
        <v>1063</v>
      </c>
      <c r="S9510" t="s">
        <v>7000</v>
      </c>
      <c r="T9510" t="s">
        <v>301</v>
      </c>
    </row>
    <row r="9511" spans="1:20" x14ac:dyDescent="0.25">
      <c r="A9511">
        <v>9</v>
      </c>
      <c r="B9511">
        <v>461</v>
      </c>
      <c r="C9511" t="str">
        <f t="shared" si="2154"/>
        <v>36</v>
      </c>
      <c r="D9511">
        <v>6399</v>
      </c>
      <c r="E9511" t="str">
        <f>"3P"</f>
        <v>3P</v>
      </c>
      <c r="F9511" t="str">
        <f t="shared" si="2162"/>
        <v>001</v>
      </c>
      <c r="G9511">
        <v>9</v>
      </c>
      <c r="H9511" t="str">
        <f>"91"</f>
        <v>91</v>
      </c>
      <c r="I9511" t="str">
        <f t="shared" ref="I9511:I9522" si="2165">"0"</f>
        <v>0</v>
      </c>
      <c r="J9511" t="str">
        <f t="shared" si="2155"/>
        <v>00</v>
      </c>
      <c r="K9511">
        <v>20190222</v>
      </c>
      <c r="L9511" t="str">
        <f t="shared" si="2163"/>
        <v>075823</v>
      </c>
      <c r="M9511" t="str">
        <f t="shared" si="2164"/>
        <v>65106</v>
      </c>
      <c r="N9511" t="s">
        <v>1175</v>
      </c>
      <c r="O9511">
        <v>589.99</v>
      </c>
      <c r="P9511">
        <v>20190221</v>
      </c>
      <c r="Q9511" t="s">
        <v>7296</v>
      </c>
      <c r="R9511" t="s">
        <v>7512</v>
      </c>
      <c r="S9511" t="s">
        <v>7000</v>
      </c>
      <c r="T9511" t="s">
        <v>301</v>
      </c>
    </row>
    <row r="9512" spans="1:20" x14ac:dyDescent="0.25">
      <c r="A9512">
        <v>9</v>
      </c>
      <c r="B9512">
        <v>461</v>
      </c>
      <c r="C9512" t="str">
        <f t="shared" si="2154"/>
        <v>36</v>
      </c>
      <c r="D9512">
        <v>6399</v>
      </c>
      <c r="E9512" t="str">
        <f>"7K"</f>
        <v>7K</v>
      </c>
      <c r="F9512" t="str">
        <f t="shared" si="2162"/>
        <v>001</v>
      </c>
      <c r="G9512">
        <v>9</v>
      </c>
      <c r="H9512" t="str">
        <f>"99"</f>
        <v>99</v>
      </c>
      <c r="I9512" t="str">
        <f t="shared" si="2165"/>
        <v>0</v>
      </c>
      <c r="J9512" t="str">
        <f t="shared" si="2155"/>
        <v>00</v>
      </c>
      <c r="K9512">
        <v>20190222</v>
      </c>
      <c r="L9512" t="str">
        <f t="shared" si="2163"/>
        <v>075823</v>
      </c>
      <c r="M9512" t="str">
        <f t="shared" si="2164"/>
        <v>65106</v>
      </c>
      <c r="N9512" t="s">
        <v>1175</v>
      </c>
      <c r="O9512">
        <v>109.88</v>
      </c>
      <c r="P9512">
        <v>20190221</v>
      </c>
      <c r="Q9512" t="s">
        <v>7056</v>
      </c>
      <c r="R9512" t="s">
        <v>7513</v>
      </c>
      <c r="S9512" t="s">
        <v>7000</v>
      </c>
      <c r="T9512" t="s">
        <v>301</v>
      </c>
    </row>
    <row r="9513" spans="1:20" x14ac:dyDescent="0.25">
      <c r="A9513">
        <v>9</v>
      </c>
      <c r="B9513">
        <v>461</v>
      </c>
      <c r="C9513" t="str">
        <f t="shared" si="2154"/>
        <v>36</v>
      </c>
      <c r="D9513">
        <v>6399</v>
      </c>
      <c r="E9513" t="str">
        <f>"7K"</f>
        <v>7K</v>
      </c>
      <c r="F9513" t="str">
        <f t="shared" si="2162"/>
        <v>001</v>
      </c>
      <c r="G9513">
        <v>9</v>
      </c>
      <c r="H9513" t="str">
        <f>"99"</f>
        <v>99</v>
      </c>
      <c r="I9513" t="str">
        <f t="shared" si="2165"/>
        <v>0</v>
      </c>
      <c r="J9513" t="str">
        <f t="shared" si="2155"/>
        <v>00</v>
      </c>
      <c r="K9513">
        <v>20190222</v>
      </c>
      <c r="L9513" t="str">
        <f t="shared" si="2163"/>
        <v>075823</v>
      </c>
      <c r="M9513" t="str">
        <f t="shared" si="2164"/>
        <v>65106</v>
      </c>
      <c r="N9513" t="s">
        <v>1175</v>
      </c>
      <c r="O9513">
        <v>482.8</v>
      </c>
      <c r="P9513">
        <v>20190221</v>
      </c>
      <c r="Q9513" t="s">
        <v>7056</v>
      </c>
      <c r="R9513" t="s">
        <v>7514</v>
      </c>
      <c r="S9513" t="s">
        <v>7000</v>
      </c>
      <c r="T9513" t="s">
        <v>301</v>
      </c>
    </row>
    <row r="9514" spans="1:20" x14ac:dyDescent="0.25">
      <c r="A9514">
        <v>9</v>
      </c>
      <c r="B9514">
        <v>461</v>
      </c>
      <c r="C9514" t="str">
        <f t="shared" si="2154"/>
        <v>36</v>
      </c>
      <c r="D9514">
        <v>6399</v>
      </c>
      <c r="E9514" t="str">
        <f>"89"</f>
        <v>89</v>
      </c>
      <c r="F9514" t="str">
        <f t="shared" si="2162"/>
        <v>001</v>
      </c>
      <c r="G9514">
        <v>9</v>
      </c>
      <c r="H9514" t="str">
        <f>"99"</f>
        <v>99</v>
      </c>
      <c r="I9514" t="str">
        <f t="shared" si="2165"/>
        <v>0</v>
      </c>
      <c r="J9514" t="str">
        <f t="shared" si="2155"/>
        <v>00</v>
      </c>
      <c r="K9514">
        <v>20190222</v>
      </c>
      <c r="L9514" t="str">
        <f t="shared" si="2163"/>
        <v>075823</v>
      </c>
      <c r="M9514" t="str">
        <f t="shared" si="2164"/>
        <v>65106</v>
      </c>
      <c r="N9514" t="s">
        <v>1175</v>
      </c>
      <c r="O9514">
        <v>542.87</v>
      </c>
      <c r="P9514">
        <v>20190221</v>
      </c>
      <c r="Q9514" t="s">
        <v>7039</v>
      </c>
      <c r="R9514" t="s">
        <v>7513</v>
      </c>
      <c r="S9514" t="s">
        <v>7000</v>
      </c>
      <c r="T9514" t="s">
        <v>301</v>
      </c>
    </row>
    <row r="9515" spans="1:20" x14ac:dyDescent="0.25">
      <c r="A9515">
        <v>9</v>
      </c>
      <c r="B9515">
        <v>461</v>
      </c>
      <c r="C9515" t="str">
        <f t="shared" si="2154"/>
        <v>36</v>
      </c>
      <c r="D9515">
        <v>6399</v>
      </c>
      <c r="E9515" t="str">
        <f>"CS"</f>
        <v>CS</v>
      </c>
      <c r="F9515" t="str">
        <f t="shared" si="2162"/>
        <v>001</v>
      </c>
      <c r="G9515">
        <v>9</v>
      </c>
      <c r="H9515" t="str">
        <f>"91"</f>
        <v>91</v>
      </c>
      <c r="I9515" t="str">
        <f t="shared" si="2165"/>
        <v>0</v>
      </c>
      <c r="J9515" t="str">
        <f t="shared" si="2155"/>
        <v>00</v>
      </c>
      <c r="K9515">
        <v>20190222</v>
      </c>
      <c r="L9515" t="str">
        <f t="shared" si="2163"/>
        <v>075823</v>
      </c>
      <c r="M9515" t="str">
        <f t="shared" si="2164"/>
        <v>65106</v>
      </c>
      <c r="N9515" t="s">
        <v>1175</v>
      </c>
      <c r="O9515">
        <v>221.73</v>
      </c>
      <c r="P9515">
        <v>20190221</v>
      </c>
      <c r="Q9515" t="s">
        <v>6998</v>
      </c>
      <c r="R9515" t="s">
        <v>6999</v>
      </c>
      <c r="S9515" t="s">
        <v>7000</v>
      </c>
      <c r="T9515" t="s">
        <v>301</v>
      </c>
    </row>
    <row r="9516" spans="1:20" x14ac:dyDescent="0.25">
      <c r="A9516">
        <v>9</v>
      </c>
      <c r="B9516">
        <v>461</v>
      </c>
      <c r="C9516" t="str">
        <f t="shared" si="2154"/>
        <v>36</v>
      </c>
      <c r="D9516">
        <v>6399</v>
      </c>
      <c r="E9516" t="str">
        <f>"CS"</f>
        <v>CS</v>
      </c>
      <c r="F9516" t="str">
        <f t="shared" si="2162"/>
        <v>001</v>
      </c>
      <c r="G9516">
        <v>9</v>
      </c>
      <c r="H9516" t="str">
        <f>"91"</f>
        <v>91</v>
      </c>
      <c r="I9516" t="str">
        <f t="shared" si="2165"/>
        <v>0</v>
      </c>
      <c r="J9516" t="str">
        <f t="shared" si="2155"/>
        <v>00</v>
      </c>
      <c r="K9516">
        <v>20190222</v>
      </c>
      <c r="L9516" t="str">
        <f t="shared" si="2163"/>
        <v>075823</v>
      </c>
      <c r="M9516" t="str">
        <f t="shared" si="2164"/>
        <v>65106</v>
      </c>
      <c r="N9516" t="s">
        <v>1175</v>
      </c>
      <c r="O9516">
        <v>421.06</v>
      </c>
      <c r="P9516">
        <v>20190221</v>
      </c>
      <c r="Q9516" t="s">
        <v>6998</v>
      </c>
      <c r="R9516" t="s">
        <v>6999</v>
      </c>
      <c r="S9516" t="s">
        <v>7000</v>
      </c>
      <c r="T9516" t="s">
        <v>301</v>
      </c>
    </row>
    <row r="9517" spans="1:20" x14ac:dyDescent="0.25">
      <c r="A9517">
        <v>9</v>
      </c>
      <c r="B9517">
        <v>461</v>
      </c>
      <c r="C9517" t="str">
        <f t="shared" si="2154"/>
        <v>36</v>
      </c>
      <c r="D9517">
        <v>6399</v>
      </c>
      <c r="E9517" t="str">
        <f>"CS"</f>
        <v>CS</v>
      </c>
      <c r="F9517" t="str">
        <f t="shared" si="2162"/>
        <v>001</v>
      </c>
      <c r="G9517">
        <v>9</v>
      </c>
      <c r="H9517" t="str">
        <f>"91"</f>
        <v>91</v>
      </c>
      <c r="I9517" t="str">
        <f t="shared" si="2165"/>
        <v>0</v>
      </c>
      <c r="J9517" t="str">
        <f t="shared" si="2155"/>
        <v>00</v>
      </c>
      <c r="K9517">
        <v>20190222</v>
      </c>
      <c r="L9517" t="str">
        <f t="shared" si="2163"/>
        <v>075823</v>
      </c>
      <c r="M9517" t="str">
        <f t="shared" si="2164"/>
        <v>65106</v>
      </c>
      <c r="N9517" t="s">
        <v>1175</v>
      </c>
      <c r="O9517">
        <v>546.75</v>
      </c>
      <c r="P9517">
        <v>20190221</v>
      </c>
      <c r="Q9517" t="s">
        <v>6998</v>
      </c>
      <c r="R9517" t="s">
        <v>6999</v>
      </c>
      <c r="S9517" t="s">
        <v>7000</v>
      </c>
      <c r="T9517" t="s">
        <v>301</v>
      </c>
    </row>
    <row r="9518" spans="1:20" x14ac:dyDescent="0.25">
      <c r="A9518">
        <v>9</v>
      </c>
      <c r="B9518">
        <v>461</v>
      </c>
      <c r="C9518" t="str">
        <f t="shared" si="2154"/>
        <v>36</v>
      </c>
      <c r="D9518">
        <v>6399</v>
      </c>
      <c r="E9518" t="str">
        <f>"PR"</f>
        <v>PR</v>
      </c>
      <c r="F9518" t="str">
        <f>"104"</f>
        <v>104</v>
      </c>
      <c r="G9518">
        <v>9</v>
      </c>
      <c r="H9518" t="str">
        <f>"99"</f>
        <v>99</v>
      </c>
      <c r="I9518" t="str">
        <f t="shared" si="2165"/>
        <v>0</v>
      </c>
      <c r="J9518" t="str">
        <f t="shared" si="2155"/>
        <v>00</v>
      </c>
      <c r="K9518">
        <v>20190222</v>
      </c>
      <c r="L9518" t="str">
        <f t="shared" si="2163"/>
        <v>075823</v>
      </c>
      <c r="M9518" t="str">
        <f t="shared" si="2164"/>
        <v>65106</v>
      </c>
      <c r="N9518" t="s">
        <v>1175</v>
      </c>
      <c r="O9518">
        <v>326.82</v>
      </c>
      <c r="P9518">
        <v>20190221</v>
      </c>
      <c r="Q9518" t="s">
        <v>7014</v>
      </c>
      <c r="R9518" t="s">
        <v>7515</v>
      </c>
      <c r="S9518" t="s">
        <v>7000</v>
      </c>
      <c r="T9518" t="s">
        <v>46</v>
      </c>
    </row>
    <row r="9519" spans="1:20" x14ac:dyDescent="0.25">
      <c r="A9519">
        <v>9</v>
      </c>
      <c r="B9519">
        <v>461</v>
      </c>
      <c r="C9519" t="str">
        <f t="shared" si="2154"/>
        <v>36</v>
      </c>
      <c r="D9519">
        <v>6499</v>
      </c>
      <c r="E9519" t="str">
        <f>"61"</f>
        <v>61</v>
      </c>
      <c r="F9519" t="str">
        <f>"001"</f>
        <v>001</v>
      </c>
      <c r="G9519">
        <v>9</v>
      </c>
      <c r="H9519" t="str">
        <f>"99"</f>
        <v>99</v>
      </c>
      <c r="I9519" t="str">
        <f t="shared" si="2165"/>
        <v>0</v>
      </c>
      <c r="J9519" t="str">
        <f t="shared" si="2155"/>
        <v>00</v>
      </c>
      <c r="K9519">
        <v>20190222</v>
      </c>
      <c r="L9519" t="str">
        <f t="shared" si="2163"/>
        <v>075823</v>
      </c>
      <c r="M9519" t="str">
        <f t="shared" si="2164"/>
        <v>65106</v>
      </c>
      <c r="N9519" t="s">
        <v>1175</v>
      </c>
      <c r="O9519">
        <v>33.94</v>
      </c>
      <c r="P9519">
        <v>20190221</v>
      </c>
      <c r="Q9519" t="s">
        <v>7115</v>
      </c>
      <c r="R9519" t="s">
        <v>7513</v>
      </c>
      <c r="S9519" t="s">
        <v>7000</v>
      </c>
      <c r="T9519" t="s">
        <v>301</v>
      </c>
    </row>
    <row r="9520" spans="1:20" x14ac:dyDescent="0.25">
      <c r="A9520">
        <v>9</v>
      </c>
      <c r="B9520">
        <v>461</v>
      </c>
      <c r="C9520" t="str">
        <f t="shared" si="2154"/>
        <v>36</v>
      </c>
      <c r="D9520">
        <v>6499</v>
      </c>
      <c r="E9520" t="str">
        <f>"7K"</f>
        <v>7K</v>
      </c>
      <c r="F9520" t="str">
        <f>"001"</f>
        <v>001</v>
      </c>
      <c r="G9520">
        <v>9</v>
      </c>
      <c r="H9520" t="str">
        <f>"99"</f>
        <v>99</v>
      </c>
      <c r="I9520" t="str">
        <f t="shared" si="2165"/>
        <v>0</v>
      </c>
      <c r="J9520" t="str">
        <f t="shared" si="2155"/>
        <v>00</v>
      </c>
      <c r="K9520">
        <v>20190222</v>
      </c>
      <c r="L9520" t="str">
        <f t="shared" si="2163"/>
        <v>075823</v>
      </c>
      <c r="M9520" t="str">
        <f t="shared" si="2164"/>
        <v>65106</v>
      </c>
      <c r="N9520" t="s">
        <v>1175</v>
      </c>
      <c r="O9520">
        <v>311.86</v>
      </c>
      <c r="P9520">
        <v>20190221</v>
      </c>
      <c r="Q9520" t="s">
        <v>7320</v>
      </c>
      <c r="R9520" t="s">
        <v>7516</v>
      </c>
      <c r="S9520" t="s">
        <v>7000</v>
      </c>
      <c r="T9520" t="s">
        <v>301</v>
      </c>
    </row>
    <row r="9521" spans="1:20" x14ac:dyDescent="0.25">
      <c r="A9521">
        <v>9</v>
      </c>
      <c r="B9521">
        <v>461</v>
      </c>
      <c r="C9521" t="str">
        <f t="shared" si="2154"/>
        <v>36</v>
      </c>
      <c r="D9521">
        <v>6299</v>
      </c>
      <c r="E9521" t="str">
        <f>"7K"</f>
        <v>7K</v>
      </c>
      <c r="F9521" t="str">
        <f>"001"</f>
        <v>001</v>
      </c>
      <c r="G9521">
        <v>9</v>
      </c>
      <c r="H9521" t="str">
        <f>"99"</f>
        <v>99</v>
      </c>
      <c r="I9521" t="str">
        <f t="shared" si="2165"/>
        <v>0</v>
      </c>
      <c r="J9521" t="str">
        <f t="shared" si="2155"/>
        <v>00</v>
      </c>
      <c r="K9521">
        <v>20190222</v>
      </c>
      <c r="L9521" t="str">
        <f>"075830"</f>
        <v>075830</v>
      </c>
      <c r="M9521" t="str">
        <f>"00202"</f>
        <v>00202</v>
      </c>
      <c r="N9521" t="s">
        <v>7517</v>
      </c>
      <c r="O9521">
        <v>500</v>
      </c>
      <c r="P9521">
        <v>20190221</v>
      </c>
      <c r="Q9521" t="s">
        <v>7205</v>
      </c>
      <c r="R9521" t="s">
        <v>7518</v>
      </c>
      <c r="S9521" t="s">
        <v>7000</v>
      </c>
      <c r="T9521" t="s">
        <v>301</v>
      </c>
    </row>
    <row r="9522" spans="1:20" x14ac:dyDescent="0.25">
      <c r="A9522">
        <v>9</v>
      </c>
      <c r="B9522">
        <v>461</v>
      </c>
      <c r="C9522" t="str">
        <f t="shared" si="2154"/>
        <v>36</v>
      </c>
      <c r="D9522">
        <v>6399</v>
      </c>
      <c r="E9522" t="str">
        <f>"PR"</f>
        <v>PR</v>
      </c>
      <c r="F9522" t="str">
        <f>"104"</f>
        <v>104</v>
      </c>
      <c r="G9522">
        <v>9</v>
      </c>
      <c r="H9522" t="str">
        <f>"99"</f>
        <v>99</v>
      </c>
      <c r="I9522" t="str">
        <f t="shared" si="2165"/>
        <v>0</v>
      </c>
      <c r="J9522" t="str">
        <f t="shared" si="2155"/>
        <v>00</v>
      </c>
      <c r="K9522">
        <v>20190222</v>
      </c>
      <c r="L9522" t="str">
        <f>"075837"</f>
        <v>075837</v>
      </c>
      <c r="M9522" t="str">
        <f>"24519"</f>
        <v>24519</v>
      </c>
      <c r="N9522" t="s">
        <v>7037</v>
      </c>
      <c r="O9522" s="1">
        <v>10094</v>
      </c>
      <c r="P9522">
        <v>20190221</v>
      </c>
      <c r="Q9522" t="s">
        <v>7014</v>
      </c>
      <c r="R9522" t="s">
        <v>7519</v>
      </c>
      <c r="S9522" t="s">
        <v>7000</v>
      </c>
      <c r="T9522" t="s">
        <v>46</v>
      </c>
    </row>
    <row r="9523" spans="1:20" x14ac:dyDescent="0.25">
      <c r="A9523">
        <v>9</v>
      </c>
      <c r="B9523">
        <v>461</v>
      </c>
      <c r="C9523" t="str">
        <f t="shared" si="2154"/>
        <v>36</v>
      </c>
      <c r="D9523">
        <v>6399</v>
      </c>
      <c r="E9523" t="str">
        <f>"3M"</f>
        <v>3M</v>
      </c>
      <c r="F9523" t="str">
        <f>"001"</f>
        <v>001</v>
      </c>
      <c r="G9523">
        <v>9</v>
      </c>
      <c r="H9523" t="str">
        <f>"91"</f>
        <v>91</v>
      </c>
      <c r="I9523" t="str">
        <f>"1"</f>
        <v>1</v>
      </c>
      <c r="J9523" t="str">
        <f t="shared" si="2155"/>
        <v>00</v>
      </c>
      <c r="K9523">
        <v>20190222</v>
      </c>
      <c r="L9523" t="str">
        <f>"075839"</f>
        <v>075839</v>
      </c>
      <c r="M9523" t="str">
        <f>"80600"</f>
        <v>80600</v>
      </c>
      <c r="N9523" t="s">
        <v>1927</v>
      </c>
      <c r="O9523" s="1">
        <v>1182.5</v>
      </c>
      <c r="P9523">
        <v>20190221</v>
      </c>
      <c r="Q9523" t="s">
        <v>7348</v>
      </c>
      <c r="R9523" t="s">
        <v>1063</v>
      </c>
      <c r="S9523" t="s">
        <v>7000</v>
      </c>
      <c r="T9523" t="s">
        <v>301</v>
      </c>
    </row>
    <row r="9524" spans="1:20" x14ac:dyDescent="0.25">
      <c r="A9524">
        <v>9</v>
      </c>
      <c r="B9524">
        <v>461</v>
      </c>
      <c r="C9524" t="str">
        <f t="shared" si="2154"/>
        <v>36</v>
      </c>
      <c r="D9524">
        <v>6412</v>
      </c>
      <c r="E9524" t="str">
        <f>"61"</f>
        <v>61</v>
      </c>
      <c r="F9524" t="str">
        <f>"001"</f>
        <v>001</v>
      </c>
      <c r="G9524">
        <v>9</v>
      </c>
      <c r="H9524" t="str">
        <f>"99"</f>
        <v>99</v>
      </c>
      <c r="I9524" t="str">
        <f t="shared" ref="I9524:I9566" si="2166">"0"</f>
        <v>0</v>
      </c>
      <c r="J9524" t="str">
        <f t="shared" ref="J9524:J9555" si="2167">"00"</f>
        <v>00</v>
      </c>
      <c r="K9524">
        <v>20190222</v>
      </c>
      <c r="L9524" t="str">
        <f>"075842"</f>
        <v>075842</v>
      </c>
      <c r="M9524" t="str">
        <f>"83007"</f>
        <v>83007</v>
      </c>
      <c r="N9524" t="s">
        <v>2690</v>
      </c>
      <c r="O9524">
        <v>648.75</v>
      </c>
      <c r="P9524">
        <v>20190221</v>
      </c>
      <c r="Q9524" t="s">
        <v>7423</v>
      </c>
      <c r="R9524" t="s">
        <v>7520</v>
      </c>
      <c r="S9524" t="s">
        <v>7000</v>
      </c>
      <c r="T9524" t="s">
        <v>301</v>
      </c>
    </row>
    <row r="9525" spans="1:20" x14ac:dyDescent="0.25">
      <c r="A9525">
        <v>9</v>
      </c>
      <c r="B9525">
        <v>461</v>
      </c>
      <c r="C9525" t="str">
        <f t="shared" si="2154"/>
        <v>36</v>
      </c>
      <c r="D9525">
        <v>6399</v>
      </c>
      <c r="E9525" t="str">
        <f>"61"</f>
        <v>61</v>
      </c>
      <c r="F9525" t="str">
        <f>"041"</f>
        <v>041</v>
      </c>
      <c r="G9525">
        <v>9</v>
      </c>
      <c r="H9525" t="str">
        <f>"99"</f>
        <v>99</v>
      </c>
      <c r="I9525" t="str">
        <f t="shared" si="2166"/>
        <v>0</v>
      </c>
      <c r="J9525" t="str">
        <f t="shared" si="2167"/>
        <v>00</v>
      </c>
      <c r="K9525">
        <v>20190222</v>
      </c>
      <c r="L9525" t="str">
        <f>"075843"</f>
        <v>075843</v>
      </c>
      <c r="M9525" t="str">
        <f>"83022"</f>
        <v>83022</v>
      </c>
      <c r="N9525" t="s">
        <v>691</v>
      </c>
      <c r="O9525">
        <v>120.78</v>
      </c>
      <c r="P9525">
        <v>20190221</v>
      </c>
      <c r="Q9525" t="s">
        <v>7131</v>
      </c>
      <c r="R9525" t="s">
        <v>7521</v>
      </c>
      <c r="S9525" t="s">
        <v>7000</v>
      </c>
      <c r="T9525" t="s">
        <v>106</v>
      </c>
    </row>
    <row r="9526" spans="1:20" x14ac:dyDescent="0.25">
      <c r="A9526">
        <v>9</v>
      </c>
      <c r="B9526">
        <v>461</v>
      </c>
      <c r="C9526" t="str">
        <f t="shared" si="2154"/>
        <v>36</v>
      </c>
      <c r="D9526">
        <v>6399</v>
      </c>
      <c r="E9526" t="str">
        <f>"PR"</f>
        <v>PR</v>
      </c>
      <c r="F9526" t="str">
        <f>"041"</f>
        <v>041</v>
      </c>
      <c r="G9526">
        <v>9</v>
      </c>
      <c r="H9526" t="str">
        <f>"99"</f>
        <v>99</v>
      </c>
      <c r="I9526" t="str">
        <f t="shared" si="2166"/>
        <v>0</v>
      </c>
      <c r="J9526" t="str">
        <f t="shared" si="2167"/>
        <v>00</v>
      </c>
      <c r="K9526">
        <v>20190222</v>
      </c>
      <c r="L9526" t="str">
        <f>"075843"</f>
        <v>075843</v>
      </c>
      <c r="M9526" t="str">
        <f>"83022"</f>
        <v>83022</v>
      </c>
      <c r="N9526" t="s">
        <v>691</v>
      </c>
      <c r="O9526">
        <v>216.5</v>
      </c>
      <c r="P9526">
        <v>20190221</v>
      </c>
      <c r="Q9526" t="s">
        <v>7497</v>
      </c>
      <c r="R9526" t="s">
        <v>7522</v>
      </c>
      <c r="S9526" t="s">
        <v>7000</v>
      </c>
      <c r="T9526" t="s">
        <v>106</v>
      </c>
    </row>
    <row r="9527" spans="1:20" x14ac:dyDescent="0.25">
      <c r="A9527">
        <v>9</v>
      </c>
      <c r="B9527">
        <v>461</v>
      </c>
      <c r="C9527" t="str">
        <f t="shared" si="2154"/>
        <v>36</v>
      </c>
      <c r="D9527">
        <v>6399</v>
      </c>
      <c r="E9527" t="str">
        <f>"44"</f>
        <v>44</v>
      </c>
      <c r="F9527" t="str">
        <f>"104"</f>
        <v>104</v>
      </c>
      <c r="G9527">
        <v>9</v>
      </c>
      <c r="H9527" t="str">
        <f>"99"</f>
        <v>99</v>
      </c>
      <c r="I9527" t="str">
        <f t="shared" si="2166"/>
        <v>0</v>
      </c>
      <c r="J9527" t="str">
        <f t="shared" si="2167"/>
        <v>00</v>
      </c>
      <c r="K9527">
        <v>20190222</v>
      </c>
      <c r="L9527" t="str">
        <f>"075845"</f>
        <v>075845</v>
      </c>
      <c r="M9527" t="str">
        <f>"83800"</f>
        <v>83800</v>
      </c>
      <c r="N9527" t="s">
        <v>7523</v>
      </c>
      <c r="O9527">
        <v>558.25</v>
      </c>
      <c r="P9527">
        <v>20190221</v>
      </c>
      <c r="Q9527" t="s">
        <v>7104</v>
      </c>
      <c r="R9527" t="s">
        <v>7524</v>
      </c>
      <c r="S9527" t="s">
        <v>7000</v>
      </c>
      <c r="T9527" t="s">
        <v>46</v>
      </c>
    </row>
    <row r="9528" spans="1:20" x14ac:dyDescent="0.25">
      <c r="A9528">
        <v>9</v>
      </c>
      <c r="B9528">
        <v>461</v>
      </c>
      <c r="C9528" t="str">
        <f t="shared" si="2154"/>
        <v>36</v>
      </c>
      <c r="D9528">
        <v>6412</v>
      </c>
      <c r="E9528" t="str">
        <f>"3K"</f>
        <v>3K</v>
      </c>
      <c r="F9528" t="str">
        <f t="shared" ref="F9528:F9555" si="2168">"001"</f>
        <v>001</v>
      </c>
      <c r="G9528">
        <v>9</v>
      </c>
      <c r="H9528" t="str">
        <f>"91"</f>
        <v>91</v>
      </c>
      <c r="I9528" t="str">
        <f t="shared" si="2166"/>
        <v>0</v>
      </c>
      <c r="J9528" t="str">
        <f t="shared" si="2167"/>
        <v>00</v>
      </c>
      <c r="K9528">
        <v>20190222</v>
      </c>
      <c r="L9528" t="str">
        <f>"075847"</f>
        <v>075847</v>
      </c>
      <c r="M9528" t="str">
        <f>"84370"</f>
        <v>84370</v>
      </c>
      <c r="N9528" t="s">
        <v>395</v>
      </c>
      <c r="O9528">
        <v>164.94</v>
      </c>
      <c r="P9528">
        <v>20190221</v>
      </c>
      <c r="Q9528" t="s">
        <v>7525</v>
      </c>
      <c r="R9528" t="s">
        <v>7526</v>
      </c>
      <c r="S9528" t="s">
        <v>7000</v>
      </c>
      <c r="T9528" t="s">
        <v>301</v>
      </c>
    </row>
    <row r="9529" spans="1:20" x14ac:dyDescent="0.25">
      <c r="A9529">
        <v>9</v>
      </c>
      <c r="B9529">
        <v>461</v>
      </c>
      <c r="C9529" t="str">
        <f t="shared" si="2154"/>
        <v>36</v>
      </c>
      <c r="D9529">
        <v>6399</v>
      </c>
      <c r="E9529" t="str">
        <f>"7U"</f>
        <v>7U</v>
      </c>
      <c r="F9529" t="str">
        <f t="shared" si="2168"/>
        <v>001</v>
      </c>
      <c r="G9529">
        <v>9</v>
      </c>
      <c r="H9529" t="str">
        <f>"99"</f>
        <v>99</v>
      </c>
      <c r="I9529" t="str">
        <f t="shared" si="2166"/>
        <v>0</v>
      </c>
      <c r="J9529" t="str">
        <f t="shared" si="2167"/>
        <v>00</v>
      </c>
      <c r="K9529">
        <v>20190308</v>
      </c>
      <c r="L9529" t="str">
        <f>"075862"</f>
        <v>075862</v>
      </c>
      <c r="M9529" t="str">
        <f>"04410"</f>
        <v>04410</v>
      </c>
      <c r="N9529" t="s">
        <v>410</v>
      </c>
      <c r="O9529">
        <v>138.22</v>
      </c>
      <c r="P9529">
        <v>20190305</v>
      </c>
      <c r="Q9529" t="s">
        <v>7386</v>
      </c>
      <c r="R9529" t="s">
        <v>2486</v>
      </c>
      <c r="S9529" t="s">
        <v>7000</v>
      </c>
      <c r="T9529" t="s">
        <v>301</v>
      </c>
    </row>
    <row r="9530" spans="1:20" x14ac:dyDescent="0.25">
      <c r="A9530">
        <v>9</v>
      </c>
      <c r="B9530">
        <v>461</v>
      </c>
      <c r="C9530" t="str">
        <f t="shared" si="2154"/>
        <v>36</v>
      </c>
      <c r="D9530">
        <v>6649</v>
      </c>
      <c r="E9530" t="str">
        <f>"7E"</f>
        <v>7E</v>
      </c>
      <c r="F9530" t="str">
        <f t="shared" si="2168"/>
        <v>001</v>
      </c>
      <c r="G9530">
        <v>9</v>
      </c>
      <c r="H9530" t="str">
        <f>"99"</f>
        <v>99</v>
      </c>
      <c r="I9530" t="str">
        <f t="shared" si="2166"/>
        <v>0</v>
      </c>
      <c r="J9530" t="str">
        <f t="shared" si="2167"/>
        <v>00</v>
      </c>
      <c r="K9530">
        <v>20190308</v>
      </c>
      <c r="L9530" t="str">
        <f>"075862"</f>
        <v>075862</v>
      </c>
      <c r="M9530" t="str">
        <f>"04410"</f>
        <v>04410</v>
      </c>
      <c r="N9530" t="s">
        <v>410</v>
      </c>
      <c r="O9530">
        <v>329</v>
      </c>
      <c r="P9530">
        <v>20190305</v>
      </c>
      <c r="Q9530" t="s">
        <v>7478</v>
      </c>
      <c r="R9530" t="s">
        <v>7527</v>
      </c>
      <c r="S9530" t="s">
        <v>7000</v>
      </c>
      <c r="T9530" t="s">
        <v>301</v>
      </c>
    </row>
    <row r="9531" spans="1:20" x14ac:dyDescent="0.25">
      <c r="A9531">
        <v>9</v>
      </c>
      <c r="B9531">
        <v>461</v>
      </c>
      <c r="C9531" t="str">
        <f t="shared" si="2154"/>
        <v>36</v>
      </c>
      <c r="D9531">
        <v>6399</v>
      </c>
      <c r="E9531" t="str">
        <f>"3K"</f>
        <v>3K</v>
      </c>
      <c r="F9531" t="str">
        <f t="shared" si="2168"/>
        <v>001</v>
      </c>
      <c r="G9531">
        <v>9</v>
      </c>
      <c r="H9531" t="str">
        <f t="shared" ref="H9531:H9539" si="2169">"91"</f>
        <v>91</v>
      </c>
      <c r="I9531" t="str">
        <f t="shared" si="2166"/>
        <v>0</v>
      </c>
      <c r="J9531" t="str">
        <f t="shared" si="2167"/>
        <v>00</v>
      </c>
      <c r="K9531">
        <v>20190308</v>
      </c>
      <c r="L9531" t="str">
        <f>"075872"</f>
        <v>075872</v>
      </c>
      <c r="M9531" t="str">
        <f>"10418"</f>
        <v>10418</v>
      </c>
      <c r="N9531" t="s">
        <v>2360</v>
      </c>
      <c r="O9531">
        <v>875.99</v>
      </c>
      <c r="P9531">
        <v>20190305</v>
      </c>
      <c r="Q9531" t="s">
        <v>7284</v>
      </c>
      <c r="R9531" t="s">
        <v>6999</v>
      </c>
      <c r="S9531" t="s">
        <v>7000</v>
      </c>
      <c r="T9531" t="s">
        <v>301</v>
      </c>
    </row>
    <row r="9532" spans="1:20" x14ac:dyDescent="0.25">
      <c r="A9532">
        <v>9</v>
      </c>
      <c r="B9532">
        <v>461</v>
      </c>
      <c r="C9532" t="str">
        <f t="shared" si="2154"/>
        <v>36</v>
      </c>
      <c r="D9532">
        <v>6399</v>
      </c>
      <c r="E9532" t="str">
        <f>"CS"</f>
        <v>CS</v>
      </c>
      <c r="F9532" t="str">
        <f t="shared" si="2168"/>
        <v>001</v>
      </c>
      <c r="G9532">
        <v>9</v>
      </c>
      <c r="H9532" t="str">
        <f t="shared" si="2169"/>
        <v>91</v>
      </c>
      <c r="I9532" t="str">
        <f t="shared" si="2166"/>
        <v>0</v>
      </c>
      <c r="J9532" t="str">
        <f t="shared" si="2167"/>
        <v>00</v>
      </c>
      <c r="K9532">
        <v>20190308</v>
      </c>
      <c r="L9532" t="str">
        <f>"075872"</f>
        <v>075872</v>
      </c>
      <c r="M9532" t="str">
        <f>"10418"</f>
        <v>10418</v>
      </c>
      <c r="N9532" t="s">
        <v>2360</v>
      </c>
      <c r="O9532" s="1">
        <v>1692.53</v>
      </c>
      <c r="P9532">
        <v>20190305</v>
      </c>
      <c r="Q9532" t="s">
        <v>6998</v>
      </c>
      <c r="R9532" t="s">
        <v>6999</v>
      </c>
      <c r="S9532" t="s">
        <v>7000</v>
      </c>
      <c r="T9532" t="s">
        <v>301</v>
      </c>
    </row>
    <row r="9533" spans="1:20" x14ac:dyDescent="0.25">
      <c r="A9533">
        <v>9</v>
      </c>
      <c r="B9533">
        <v>461</v>
      </c>
      <c r="C9533" t="str">
        <f t="shared" si="2154"/>
        <v>36</v>
      </c>
      <c r="D9533">
        <v>6399</v>
      </c>
      <c r="E9533" t="str">
        <f>"3A"</f>
        <v>3A</v>
      </c>
      <c r="F9533" t="str">
        <f t="shared" si="2168"/>
        <v>001</v>
      </c>
      <c r="G9533">
        <v>9</v>
      </c>
      <c r="H9533" t="str">
        <f t="shared" si="2169"/>
        <v>91</v>
      </c>
      <c r="I9533" t="str">
        <f t="shared" si="2166"/>
        <v>0</v>
      </c>
      <c r="J9533" t="str">
        <f t="shared" si="2167"/>
        <v>00</v>
      </c>
      <c r="K9533">
        <v>20190308</v>
      </c>
      <c r="L9533" t="str">
        <f t="shared" ref="L9533:L9539" si="2170">"075876"</f>
        <v>075876</v>
      </c>
      <c r="M9533" t="str">
        <f t="shared" ref="M9533:M9539" si="2171">"08788"</f>
        <v>08788</v>
      </c>
      <c r="N9533" t="s">
        <v>473</v>
      </c>
      <c r="O9533">
        <v>431.51</v>
      </c>
      <c r="P9533">
        <v>20190305</v>
      </c>
      <c r="Q9533" t="s">
        <v>7175</v>
      </c>
      <c r="R9533" t="s">
        <v>7528</v>
      </c>
      <c r="S9533" t="s">
        <v>7000</v>
      </c>
      <c r="T9533" t="s">
        <v>301</v>
      </c>
    </row>
    <row r="9534" spans="1:20" x14ac:dyDescent="0.25">
      <c r="A9534">
        <v>9</v>
      </c>
      <c r="B9534">
        <v>461</v>
      </c>
      <c r="C9534" t="str">
        <f t="shared" si="2154"/>
        <v>36</v>
      </c>
      <c r="D9534">
        <v>6399</v>
      </c>
      <c r="E9534" t="str">
        <f>"3G"</f>
        <v>3G</v>
      </c>
      <c r="F9534" t="str">
        <f t="shared" si="2168"/>
        <v>001</v>
      </c>
      <c r="G9534">
        <v>9</v>
      </c>
      <c r="H9534" t="str">
        <f t="shared" si="2169"/>
        <v>91</v>
      </c>
      <c r="I9534" t="str">
        <f t="shared" si="2166"/>
        <v>0</v>
      </c>
      <c r="J9534" t="str">
        <f t="shared" si="2167"/>
        <v>00</v>
      </c>
      <c r="K9534">
        <v>20190308</v>
      </c>
      <c r="L9534" t="str">
        <f t="shared" si="2170"/>
        <v>075876</v>
      </c>
      <c r="M9534" t="str">
        <f t="shared" si="2171"/>
        <v>08788</v>
      </c>
      <c r="N9534" t="s">
        <v>473</v>
      </c>
      <c r="O9534" s="1">
        <v>1772.27</v>
      </c>
      <c r="P9534">
        <v>20190305</v>
      </c>
      <c r="Q9534" t="s">
        <v>7229</v>
      </c>
      <c r="R9534" t="s">
        <v>7529</v>
      </c>
      <c r="S9534" t="s">
        <v>7000</v>
      </c>
      <c r="T9534" t="s">
        <v>301</v>
      </c>
    </row>
    <row r="9535" spans="1:20" x14ac:dyDescent="0.25">
      <c r="A9535">
        <v>9</v>
      </c>
      <c r="B9535">
        <v>461</v>
      </c>
      <c r="C9535" t="str">
        <f t="shared" si="2154"/>
        <v>36</v>
      </c>
      <c r="D9535">
        <v>6399</v>
      </c>
      <c r="E9535" t="str">
        <f>"3K"</f>
        <v>3K</v>
      </c>
      <c r="F9535" t="str">
        <f t="shared" si="2168"/>
        <v>001</v>
      </c>
      <c r="G9535">
        <v>9</v>
      </c>
      <c r="H9535" t="str">
        <f t="shared" si="2169"/>
        <v>91</v>
      </c>
      <c r="I9535" t="str">
        <f t="shared" si="2166"/>
        <v>0</v>
      </c>
      <c r="J9535" t="str">
        <f t="shared" si="2167"/>
        <v>00</v>
      </c>
      <c r="K9535">
        <v>20190308</v>
      </c>
      <c r="L9535" t="str">
        <f t="shared" si="2170"/>
        <v>075876</v>
      </c>
      <c r="M9535" t="str">
        <f t="shared" si="2171"/>
        <v>08788</v>
      </c>
      <c r="N9535" t="s">
        <v>473</v>
      </c>
      <c r="O9535" s="1">
        <v>2225.15</v>
      </c>
      <c r="P9535">
        <v>20190305</v>
      </c>
      <c r="Q9535" t="s">
        <v>7284</v>
      </c>
      <c r="R9535" t="s">
        <v>7530</v>
      </c>
      <c r="S9535" t="s">
        <v>7000</v>
      </c>
      <c r="T9535" t="s">
        <v>301</v>
      </c>
    </row>
    <row r="9536" spans="1:20" x14ac:dyDescent="0.25">
      <c r="A9536">
        <v>9</v>
      </c>
      <c r="B9536">
        <v>461</v>
      </c>
      <c r="C9536" t="str">
        <f t="shared" si="2154"/>
        <v>36</v>
      </c>
      <c r="D9536">
        <v>6399</v>
      </c>
      <c r="E9536" t="str">
        <f>"3K"</f>
        <v>3K</v>
      </c>
      <c r="F9536" t="str">
        <f t="shared" si="2168"/>
        <v>001</v>
      </c>
      <c r="G9536">
        <v>9</v>
      </c>
      <c r="H9536" t="str">
        <f t="shared" si="2169"/>
        <v>91</v>
      </c>
      <c r="I9536" t="str">
        <f t="shared" si="2166"/>
        <v>0</v>
      </c>
      <c r="J9536" t="str">
        <f t="shared" si="2167"/>
        <v>00</v>
      </c>
      <c r="K9536">
        <v>20190308</v>
      </c>
      <c r="L9536" t="str">
        <f t="shared" si="2170"/>
        <v>075876</v>
      </c>
      <c r="M9536" t="str">
        <f t="shared" si="2171"/>
        <v>08788</v>
      </c>
      <c r="N9536" t="s">
        <v>473</v>
      </c>
      <c r="O9536" s="1">
        <v>1080</v>
      </c>
      <c r="P9536">
        <v>20190305</v>
      </c>
      <c r="Q9536" t="s">
        <v>7284</v>
      </c>
      <c r="R9536" t="s">
        <v>1084</v>
      </c>
      <c r="S9536" t="s">
        <v>7000</v>
      </c>
      <c r="T9536" t="s">
        <v>301</v>
      </c>
    </row>
    <row r="9537" spans="1:20" x14ac:dyDescent="0.25">
      <c r="A9537">
        <v>9</v>
      </c>
      <c r="B9537">
        <v>461</v>
      </c>
      <c r="C9537" t="str">
        <f t="shared" si="2154"/>
        <v>36</v>
      </c>
      <c r="D9537">
        <v>6399</v>
      </c>
      <c r="E9537" t="str">
        <f>"3P"</f>
        <v>3P</v>
      </c>
      <c r="F9537" t="str">
        <f t="shared" si="2168"/>
        <v>001</v>
      </c>
      <c r="G9537">
        <v>9</v>
      </c>
      <c r="H9537" t="str">
        <f t="shared" si="2169"/>
        <v>91</v>
      </c>
      <c r="I9537" t="str">
        <f t="shared" si="2166"/>
        <v>0</v>
      </c>
      <c r="J9537" t="str">
        <f t="shared" si="2167"/>
        <v>00</v>
      </c>
      <c r="K9537">
        <v>20190308</v>
      </c>
      <c r="L9537" t="str">
        <f t="shared" si="2170"/>
        <v>075876</v>
      </c>
      <c r="M9537" t="str">
        <f t="shared" si="2171"/>
        <v>08788</v>
      </c>
      <c r="N9537" t="s">
        <v>473</v>
      </c>
      <c r="O9537" s="1">
        <v>2489.6999999999998</v>
      </c>
      <c r="P9537">
        <v>20190305</v>
      </c>
      <c r="Q9537" t="s">
        <v>7296</v>
      </c>
      <c r="R9537" t="s">
        <v>4049</v>
      </c>
      <c r="S9537" t="s">
        <v>7000</v>
      </c>
      <c r="T9537" t="s">
        <v>301</v>
      </c>
    </row>
    <row r="9538" spans="1:20" x14ac:dyDescent="0.25">
      <c r="A9538">
        <v>9</v>
      </c>
      <c r="B9538">
        <v>461</v>
      </c>
      <c r="C9538" t="str">
        <f t="shared" si="2154"/>
        <v>36</v>
      </c>
      <c r="D9538">
        <v>6399</v>
      </c>
      <c r="E9538" t="str">
        <f>"3P"</f>
        <v>3P</v>
      </c>
      <c r="F9538" t="str">
        <f t="shared" si="2168"/>
        <v>001</v>
      </c>
      <c r="G9538">
        <v>9</v>
      </c>
      <c r="H9538" t="str">
        <f t="shared" si="2169"/>
        <v>91</v>
      </c>
      <c r="I9538" t="str">
        <f t="shared" si="2166"/>
        <v>0</v>
      </c>
      <c r="J9538" t="str">
        <f t="shared" si="2167"/>
        <v>00</v>
      </c>
      <c r="K9538">
        <v>20190308</v>
      </c>
      <c r="L9538" t="str">
        <f t="shared" si="2170"/>
        <v>075876</v>
      </c>
      <c r="M9538" t="str">
        <f t="shared" si="2171"/>
        <v>08788</v>
      </c>
      <c r="N9538" t="s">
        <v>473</v>
      </c>
      <c r="O9538">
        <v>309.85000000000002</v>
      </c>
      <c r="P9538">
        <v>20190305</v>
      </c>
      <c r="Q9538" t="s">
        <v>7296</v>
      </c>
      <c r="R9538" t="s">
        <v>4049</v>
      </c>
      <c r="S9538" t="s">
        <v>7000</v>
      </c>
      <c r="T9538" t="s">
        <v>301</v>
      </c>
    </row>
    <row r="9539" spans="1:20" x14ac:dyDescent="0.25">
      <c r="A9539">
        <v>9</v>
      </c>
      <c r="B9539">
        <v>461</v>
      </c>
      <c r="C9539" t="str">
        <f t="shared" si="2154"/>
        <v>36</v>
      </c>
      <c r="D9539">
        <v>6399</v>
      </c>
      <c r="E9539" t="str">
        <f>"3P"</f>
        <v>3P</v>
      </c>
      <c r="F9539" t="str">
        <f t="shared" si="2168"/>
        <v>001</v>
      </c>
      <c r="G9539">
        <v>9</v>
      </c>
      <c r="H9539" t="str">
        <f t="shared" si="2169"/>
        <v>91</v>
      </c>
      <c r="I9539" t="str">
        <f t="shared" si="2166"/>
        <v>0</v>
      </c>
      <c r="J9539" t="str">
        <f t="shared" si="2167"/>
        <v>00</v>
      </c>
      <c r="K9539">
        <v>20190308</v>
      </c>
      <c r="L9539" t="str">
        <f t="shared" si="2170"/>
        <v>075876</v>
      </c>
      <c r="M9539" t="str">
        <f t="shared" si="2171"/>
        <v>08788</v>
      </c>
      <c r="N9539" t="s">
        <v>473</v>
      </c>
      <c r="O9539">
        <v>282.95999999999998</v>
      </c>
      <c r="P9539">
        <v>20190305</v>
      </c>
      <c r="Q9539" t="s">
        <v>7296</v>
      </c>
      <c r="R9539" t="s">
        <v>7531</v>
      </c>
      <c r="S9539" t="s">
        <v>7000</v>
      </c>
      <c r="T9539" t="s">
        <v>301</v>
      </c>
    </row>
    <row r="9540" spans="1:20" x14ac:dyDescent="0.25">
      <c r="A9540">
        <v>9</v>
      </c>
      <c r="B9540">
        <v>461</v>
      </c>
      <c r="C9540" t="str">
        <f t="shared" si="2154"/>
        <v>36</v>
      </c>
      <c r="D9540">
        <v>6399</v>
      </c>
      <c r="E9540" t="str">
        <f>"61"</f>
        <v>61</v>
      </c>
      <c r="F9540" t="str">
        <f t="shared" si="2168"/>
        <v>001</v>
      </c>
      <c r="G9540">
        <v>9</v>
      </c>
      <c r="H9540" t="str">
        <f>"99"</f>
        <v>99</v>
      </c>
      <c r="I9540" t="str">
        <f t="shared" si="2166"/>
        <v>0</v>
      </c>
      <c r="J9540" t="str">
        <f t="shared" si="2167"/>
        <v>00</v>
      </c>
      <c r="K9540">
        <v>20190308</v>
      </c>
      <c r="L9540" t="str">
        <f>"075883"</f>
        <v>075883</v>
      </c>
      <c r="M9540" t="str">
        <f>"16807"</f>
        <v>16807</v>
      </c>
      <c r="N9540" t="s">
        <v>1581</v>
      </c>
      <c r="O9540">
        <v>211.89</v>
      </c>
      <c r="P9540">
        <v>20190305</v>
      </c>
      <c r="Q9540" t="s">
        <v>7095</v>
      </c>
      <c r="R9540" t="s">
        <v>7532</v>
      </c>
      <c r="S9540" t="s">
        <v>7000</v>
      </c>
      <c r="T9540" t="s">
        <v>301</v>
      </c>
    </row>
    <row r="9541" spans="1:20" x14ac:dyDescent="0.25">
      <c r="A9541">
        <v>9</v>
      </c>
      <c r="B9541">
        <v>461</v>
      </c>
      <c r="C9541" t="str">
        <f t="shared" si="2154"/>
        <v>36</v>
      </c>
      <c r="D9541">
        <v>6219</v>
      </c>
      <c r="E9541" t="str">
        <f>"75"</f>
        <v>75</v>
      </c>
      <c r="F9541" t="str">
        <f t="shared" si="2168"/>
        <v>001</v>
      </c>
      <c r="G9541">
        <v>9</v>
      </c>
      <c r="H9541" t="str">
        <f>"91"</f>
        <v>91</v>
      </c>
      <c r="I9541" t="str">
        <f t="shared" si="2166"/>
        <v>0</v>
      </c>
      <c r="J9541" t="str">
        <f t="shared" si="2167"/>
        <v>00</v>
      </c>
      <c r="K9541">
        <v>20190308</v>
      </c>
      <c r="L9541" t="str">
        <f>"075899"</f>
        <v>075899</v>
      </c>
      <c r="M9541" t="str">
        <f>"22252"</f>
        <v>22252</v>
      </c>
      <c r="N9541" t="s">
        <v>1097</v>
      </c>
      <c r="O9541">
        <v>155</v>
      </c>
      <c r="P9541">
        <v>20190306</v>
      </c>
      <c r="Q9541" t="s">
        <v>7389</v>
      </c>
      <c r="R9541" t="s">
        <v>7390</v>
      </c>
      <c r="S9541" t="s">
        <v>7000</v>
      </c>
      <c r="T9541" t="s">
        <v>301</v>
      </c>
    </row>
    <row r="9542" spans="1:20" x14ac:dyDescent="0.25">
      <c r="A9542">
        <v>9</v>
      </c>
      <c r="B9542">
        <v>461</v>
      </c>
      <c r="C9542" t="str">
        <f t="shared" si="2154"/>
        <v>36</v>
      </c>
      <c r="D9542">
        <v>6412</v>
      </c>
      <c r="E9542" t="str">
        <f>"3D"</f>
        <v>3D</v>
      </c>
      <c r="F9542" t="str">
        <f t="shared" si="2168"/>
        <v>001</v>
      </c>
      <c r="G9542">
        <v>9</v>
      </c>
      <c r="H9542" t="str">
        <f>"91"</f>
        <v>91</v>
      </c>
      <c r="I9542" t="str">
        <f t="shared" si="2166"/>
        <v>0</v>
      </c>
      <c r="J9542" t="str">
        <f t="shared" si="2167"/>
        <v>00</v>
      </c>
      <c r="K9542">
        <v>20190308</v>
      </c>
      <c r="L9542" t="str">
        <f>"075906"</f>
        <v>075906</v>
      </c>
      <c r="M9542" t="str">
        <f>"24335"</f>
        <v>24335</v>
      </c>
      <c r="N9542" t="s">
        <v>516</v>
      </c>
      <c r="O9542">
        <v>294.79000000000002</v>
      </c>
      <c r="P9542">
        <v>20190306</v>
      </c>
      <c r="Q9542" t="s">
        <v>7147</v>
      </c>
      <c r="R9542" t="s">
        <v>7419</v>
      </c>
      <c r="S9542" t="s">
        <v>7000</v>
      </c>
      <c r="T9542" t="s">
        <v>301</v>
      </c>
    </row>
    <row r="9543" spans="1:20" x14ac:dyDescent="0.25">
      <c r="A9543">
        <v>9</v>
      </c>
      <c r="B9543">
        <v>461</v>
      </c>
      <c r="C9543" t="str">
        <f t="shared" si="2154"/>
        <v>36</v>
      </c>
      <c r="D9543">
        <v>6649</v>
      </c>
      <c r="E9543" t="str">
        <f>"AB"</f>
        <v>AB</v>
      </c>
      <c r="F9543" t="str">
        <f t="shared" si="2168"/>
        <v>001</v>
      </c>
      <c r="G9543">
        <v>9</v>
      </c>
      <c r="H9543" t="str">
        <f>"99"</f>
        <v>99</v>
      </c>
      <c r="I9543" t="str">
        <f t="shared" si="2166"/>
        <v>0</v>
      </c>
      <c r="J9543" t="str">
        <f t="shared" si="2167"/>
        <v>00</v>
      </c>
      <c r="K9543">
        <v>20190308</v>
      </c>
      <c r="L9543" t="str">
        <f>"075910"</f>
        <v>075910</v>
      </c>
      <c r="M9543" t="str">
        <f>"25165"</f>
        <v>25165</v>
      </c>
      <c r="N9543" t="s">
        <v>2860</v>
      </c>
      <c r="O9543">
        <v>634.11</v>
      </c>
      <c r="P9543">
        <v>20190306</v>
      </c>
      <c r="Q9543" t="s">
        <v>7504</v>
      </c>
      <c r="R9543" t="s">
        <v>7533</v>
      </c>
      <c r="S9543" t="s">
        <v>7000</v>
      </c>
      <c r="T9543" t="s">
        <v>301</v>
      </c>
    </row>
    <row r="9544" spans="1:20" x14ac:dyDescent="0.25">
      <c r="A9544">
        <v>9</v>
      </c>
      <c r="B9544">
        <v>461</v>
      </c>
      <c r="C9544" t="str">
        <f t="shared" si="2154"/>
        <v>36</v>
      </c>
      <c r="D9544">
        <v>6412</v>
      </c>
      <c r="E9544" t="str">
        <f>"3A"</f>
        <v>3A</v>
      </c>
      <c r="F9544" t="str">
        <f t="shared" si="2168"/>
        <v>001</v>
      </c>
      <c r="G9544">
        <v>9</v>
      </c>
      <c r="H9544" t="str">
        <f t="shared" ref="H9544:H9551" si="2172">"91"</f>
        <v>91</v>
      </c>
      <c r="I9544" t="str">
        <f t="shared" si="2166"/>
        <v>0</v>
      </c>
      <c r="J9544" t="str">
        <f t="shared" si="2167"/>
        <v>00</v>
      </c>
      <c r="K9544">
        <v>20190308</v>
      </c>
      <c r="L9544" t="str">
        <f t="shared" ref="L9544:L9552" si="2173">"075915"</f>
        <v>075915</v>
      </c>
      <c r="M9544" t="str">
        <f t="shared" ref="M9544:M9552" si="2174">"28680"</f>
        <v>28680</v>
      </c>
      <c r="N9544" t="s">
        <v>482</v>
      </c>
      <c r="O9544">
        <v>458</v>
      </c>
      <c r="P9544">
        <v>20190306</v>
      </c>
      <c r="Q9544" t="s">
        <v>7459</v>
      </c>
      <c r="R9544" t="s">
        <v>979</v>
      </c>
      <c r="S9544" t="s">
        <v>7000</v>
      </c>
      <c r="T9544" t="s">
        <v>301</v>
      </c>
    </row>
    <row r="9545" spans="1:20" x14ac:dyDescent="0.25">
      <c r="A9545">
        <v>9</v>
      </c>
      <c r="B9545">
        <v>461</v>
      </c>
      <c r="C9545" t="str">
        <f t="shared" si="2154"/>
        <v>36</v>
      </c>
      <c r="D9545">
        <v>6412</v>
      </c>
      <c r="E9545" t="str">
        <f>"3A"</f>
        <v>3A</v>
      </c>
      <c r="F9545" t="str">
        <f t="shared" si="2168"/>
        <v>001</v>
      </c>
      <c r="G9545">
        <v>9</v>
      </c>
      <c r="H9545" t="str">
        <f t="shared" si="2172"/>
        <v>91</v>
      </c>
      <c r="I9545" t="str">
        <f t="shared" si="2166"/>
        <v>0</v>
      </c>
      <c r="J9545" t="str">
        <f t="shared" si="2167"/>
        <v>00</v>
      </c>
      <c r="K9545">
        <v>20190308</v>
      </c>
      <c r="L9545" t="str">
        <f t="shared" si="2173"/>
        <v>075915</v>
      </c>
      <c r="M9545" t="str">
        <f t="shared" si="2174"/>
        <v>28680</v>
      </c>
      <c r="N9545" t="s">
        <v>482</v>
      </c>
      <c r="O9545">
        <v>458</v>
      </c>
      <c r="P9545">
        <v>20190306</v>
      </c>
      <c r="Q9545" t="s">
        <v>7459</v>
      </c>
      <c r="R9545" t="s">
        <v>979</v>
      </c>
      <c r="S9545" t="s">
        <v>7000</v>
      </c>
      <c r="T9545" t="s">
        <v>301</v>
      </c>
    </row>
    <row r="9546" spans="1:20" x14ac:dyDescent="0.25">
      <c r="A9546">
        <v>9</v>
      </c>
      <c r="B9546">
        <v>461</v>
      </c>
      <c r="C9546" t="str">
        <f t="shared" si="2154"/>
        <v>36</v>
      </c>
      <c r="D9546">
        <v>6412</v>
      </c>
      <c r="E9546" t="str">
        <f>"3A"</f>
        <v>3A</v>
      </c>
      <c r="F9546" t="str">
        <f t="shared" si="2168"/>
        <v>001</v>
      </c>
      <c r="G9546">
        <v>9</v>
      </c>
      <c r="H9546" t="str">
        <f t="shared" si="2172"/>
        <v>91</v>
      </c>
      <c r="I9546" t="str">
        <f t="shared" si="2166"/>
        <v>0</v>
      </c>
      <c r="J9546" t="str">
        <f t="shared" si="2167"/>
        <v>00</v>
      </c>
      <c r="K9546">
        <v>20190308</v>
      </c>
      <c r="L9546" t="str">
        <f t="shared" si="2173"/>
        <v>075915</v>
      </c>
      <c r="M9546" t="str">
        <f t="shared" si="2174"/>
        <v>28680</v>
      </c>
      <c r="N9546" t="s">
        <v>482</v>
      </c>
      <c r="O9546">
        <v>249.11</v>
      </c>
      <c r="P9546">
        <v>20190306</v>
      </c>
      <c r="Q9546" t="s">
        <v>7459</v>
      </c>
      <c r="R9546" t="s">
        <v>979</v>
      </c>
      <c r="S9546" t="s">
        <v>7000</v>
      </c>
      <c r="T9546" t="s">
        <v>301</v>
      </c>
    </row>
    <row r="9547" spans="1:20" x14ac:dyDescent="0.25">
      <c r="A9547">
        <v>9</v>
      </c>
      <c r="B9547">
        <v>461</v>
      </c>
      <c r="C9547" t="str">
        <f t="shared" si="2154"/>
        <v>36</v>
      </c>
      <c r="D9547">
        <v>6412</v>
      </c>
      <c r="E9547" t="str">
        <f>"3P"</f>
        <v>3P</v>
      </c>
      <c r="F9547" t="str">
        <f t="shared" si="2168"/>
        <v>001</v>
      </c>
      <c r="G9547">
        <v>9</v>
      </c>
      <c r="H9547" t="str">
        <f t="shared" si="2172"/>
        <v>91</v>
      </c>
      <c r="I9547" t="str">
        <f t="shared" si="2166"/>
        <v>0</v>
      </c>
      <c r="J9547" t="str">
        <f t="shared" si="2167"/>
        <v>00</v>
      </c>
      <c r="K9547">
        <v>20190308</v>
      </c>
      <c r="L9547" t="str">
        <f t="shared" si="2173"/>
        <v>075915</v>
      </c>
      <c r="M9547" t="str">
        <f t="shared" si="2174"/>
        <v>28680</v>
      </c>
      <c r="N9547" t="s">
        <v>482</v>
      </c>
      <c r="O9547">
        <v>156</v>
      </c>
      <c r="P9547">
        <v>20190306</v>
      </c>
      <c r="Q9547" t="s">
        <v>7428</v>
      </c>
      <c r="R9547" t="s">
        <v>1031</v>
      </c>
      <c r="S9547" t="s">
        <v>7000</v>
      </c>
      <c r="T9547" t="s">
        <v>301</v>
      </c>
    </row>
    <row r="9548" spans="1:20" x14ac:dyDescent="0.25">
      <c r="A9548">
        <v>9</v>
      </c>
      <c r="B9548">
        <v>461</v>
      </c>
      <c r="C9548" t="str">
        <f t="shared" si="2154"/>
        <v>36</v>
      </c>
      <c r="D9548">
        <v>6412</v>
      </c>
      <c r="E9548" t="str">
        <f>"3P"</f>
        <v>3P</v>
      </c>
      <c r="F9548" t="str">
        <f t="shared" si="2168"/>
        <v>001</v>
      </c>
      <c r="G9548">
        <v>9</v>
      </c>
      <c r="H9548" t="str">
        <f t="shared" si="2172"/>
        <v>91</v>
      </c>
      <c r="I9548" t="str">
        <f t="shared" si="2166"/>
        <v>0</v>
      </c>
      <c r="J9548" t="str">
        <f t="shared" si="2167"/>
        <v>00</v>
      </c>
      <c r="K9548">
        <v>20190308</v>
      </c>
      <c r="L9548" t="str">
        <f t="shared" si="2173"/>
        <v>075915</v>
      </c>
      <c r="M9548" t="str">
        <f t="shared" si="2174"/>
        <v>28680</v>
      </c>
      <c r="N9548" t="s">
        <v>482</v>
      </c>
      <c r="O9548">
        <v>249.11</v>
      </c>
      <c r="P9548">
        <v>20190306</v>
      </c>
      <c r="Q9548" t="s">
        <v>7428</v>
      </c>
      <c r="R9548" t="s">
        <v>1031</v>
      </c>
      <c r="S9548" t="s">
        <v>7000</v>
      </c>
      <c r="T9548" t="s">
        <v>301</v>
      </c>
    </row>
    <row r="9549" spans="1:20" x14ac:dyDescent="0.25">
      <c r="A9549">
        <v>9</v>
      </c>
      <c r="B9549">
        <v>461</v>
      </c>
      <c r="C9549" t="str">
        <f t="shared" si="2154"/>
        <v>36</v>
      </c>
      <c r="D9549">
        <v>6412</v>
      </c>
      <c r="E9549" t="str">
        <f>"3P"</f>
        <v>3P</v>
      </c>
      <c r="F9549" t="str">
        <f t="shared" si="2168"/>
        <v>001</v>
      </c>
      <c r="G9549">
        <v>9</v>
      </c>
      <c r="H9549" t="str">
        <f t="shared" si="2172"/>
        <v>91</v>
      </c>
      <c r="I9549" t="str">
        <f t="shared" si="2166"/>
        <v>0</v>
      </c>
      <c r="J9549" t="str">
        <f t="shared" si="2167"/>
        <v>00</v>
      </c>
      <c r="K9549">
        <v>20190308</v>
      </c>
      <c r="L9549" t="str">
        <f t="shared" si="2173"/>
        <v>075915</v>
      </c>
      <c r="M9549" t="str">
        <f t="shared" si="2174"/>
        <v>28680</v>
      </c>
      <c r="N9549" t="s">
        <v>482</v>
      </c>
      <c r="O9549">
        <v>272.68</v>
      </c>
      <c r="P9549">
        <v>20190306</v>
      </c>
      <c r="Q9549" t="s">
        <v>7428</v>
      </c>
      <c r="R9549" t="s">
        <v>1031</v>
      </c>
      <c r="S9549" t="s">
        <v>7000</v>
      </c>
      <c r="T9549" t="s">
        <v>301</v>
      </c>
    </row>
    <row r="9550" spans="1:20" x14ac:dyDescent="0.25">
      <c r="A9550">
        <v>9</v>
      </c>
      <c r="B9550">
        <v>461</v>
      </c>
      <c r="C9550" t="str">
        <f t="shared" si="2154"/>
        <v>36</v>
      </c>
      <c r="D9550">
        <v>6412</v>
      </c>
      <c r="E9550" t="str">
        <f>"3P"</f>
        <v>3P</v>
      </c>
      <c r="F9550" t="str">
        <f t="shared" si="2168"/>
        <v>001</v>
      </c>
      <c r="G9550">
        <v>9</v>
      </c>
      <c r="H9550" t="str">
        <f t="shared" si="2172"/>
        <v>91</v>
      </c>
      <c r="I9550" t="str">
        <f t="shared" si="2166"/>
        <v>0</v>
      </c>
      <c r="J9550" t="str">
        <f t="shared" si="2167"/>
        <v>00</v>
      </c>
      <c r="K9550">
        <v>20190308</v>
      </c>
      <c r="L9550" t="str">
        <f t="shared" si="2173"/>
        <v>075915</v>
      </c>
      <c r="M9550" t="str">
        <f t="shared" si="2174"/>
        <v>28680</v>
      </c>
      <c r="N9550" t="s">
        <v>482</v>
      </c>
      <c r="O9550">
        <v>156</v>
      </c>
      <c r="P9550">
        <v>20190306</v>
      </c>
      <c r="Q9550" t="s">
        <v>7428</v>
      </c>
      <c r="R9550" t="s">
        <v>7429</v>
      </c>
      <c r="S9550" t="s">
        <v>7000</v>
      </c>
      <c r="T9550" t="s">
        <v>301</v>
      </c>
    </row>
    <row r="9551" spans="1:20" x14ac:dyDescent="0.25">
      <c r="A9551">
        <v>9</v>
      </c>
      <c r="B9551">
        <v>461</v>
      </c>
      <c r="C9551" t="str">
        <f t="shared" si="2154"/>
        <v>36</v>
      </c>
      <c r="D9551">
        <v>6412</v>
      </c>
      <c r="E9551" t="str">
        <f>"3P"</f>
        <v>3P</v>
      </c>
      <c r="F9551" t="str">
        <f t="shared" si="2168"/>
        <v>001</v>
      </c>
      <c r="G9551">
        <v>9</v>
      </c>
      <c r="H9551" t="str">
        <f t="shared" si="2172"/>
        <v>91</v>
      </c>
      <c r="I9551" t="str">
        <f t="shared" si="2166"/>
        <v>0</v>
      </c>
      <c r="J9551" t="str">
        <f t="shared" si="2167"/>
        <v>00</v>
      </c>
      <c r="K9551">
        <v>20190308</v>
      </c>
      <c r="L9551" t="str">
        <f t="shared" si="2173"/>
        <v>075915</v>
      </c>
      <c r="M9551" t="str">
        <f t="shared" si="2174"/>
        <v>28680</v>
      </c>
      <c r="N9551" t="s">
        <v>482</v>
      </c>
      <c r="O9551">
        <v>156</v>
      </c>
      <c r="P9551">
        <v>20190306</v>
      </c>
      <c r="Q9551" t="s">
        <v>7428</v>
      </c>
      <c r="R9551" t="s">
        <v>7429</v>
      </c>
      <c r="S9551" t="s">
        <v>7000</v>
      </c>
      <c r="T9551" t="s">
        <v>301</v>
      </c>
    </row>
    <row r="9552" spans="1:20" x14ac:dyDescent="0.25">
      <c r="A9552">
        <v>9</v>
      </c>
      <c r="B9552">
        <v>461</v>
      </c>
      <c r="C9552" t="str">
        <f t="shared" ref="C9552:C9615" si="2175">"36"</f>
        <v>36</v>
      </c>
      <c r="D9552">
        <v>6412</v>
      </c>
      <c r="E9552" t="str">
        <f>"61"</f>
        <v>61</v>
      </c>
      <c r="F9552" t="str">
        <f t="shared" si="2168"/>
        <v>001</v>
      </c>
      <c r="G9552">
        <v>9</v>
      </c>
      <c r="H9552" t="str">
        <f>"99"</f>
        <v>99</v>
      </c>
      <c r="I9552" t="str">
        <f t="shared" si="2166"/>
        <v>0</v>
      </c>
      <c r="J9552" t="str">
        <f t="shared" si="2167"/>
        <v>00</v>
      </c>
      <c r="K9552">
        <v>20190308</v>
      </c>
      <c r="L9552" t="str">
        <f t="shared" si="2173"/>
        <v>075915</v>
      </c>
      <c r="M9552" t="str">
        <f t="shared" si="2174"/>
        <v>28680</v>
      </c>
      <c r="N9552" t="s">
        <v>482</v>
      </c>
      <c r="O9552">
        <v>52</v>
      </c>
      <c r="P9552">
        <v>20190306</v>
      </c>
      <c r="Q9552" t="s">
        <v>7423</v>
      </c>
      <c r="R9552" t="s">
        <v>7424</v>
      </c>
      <c r="S9552" t="s">
        <v>7000</v>
      </c>
      <c r="T9552" t="s">
        <v>301</v>
      </c>
    </row>
    <row r="9553" spans="1:20" x14ac:dyDescent="0.25">
      <c r="A9553">
        <v>9</v>
      </c>
      <c r="B9553">
        <v>461</v>
      </c>
      <c r="C9553" t="str">
        <f t="shared" si="2175"/>
        <v>36</v>
      </c>
      <c r="D9553">
        <v>6399</v>
      </c>
      <c r="E9553" t="str">
        <f>"3D"</f>
        <v>3D</v>
      </c>
      <c r="F9553" t="str">
        <f t="shared" si="2168"/>
        <v>001</v>
      </c>
      <c r="G9553">
        <v>9</v>
      </c>
      <c r="H9553" t="str">
        <f>"91"</f>
        <v>91</v>
      </c>
      <c r="I9553" t="str">
        <f t="shared" si="2166"/>
        <v>0</v>
      </c>
      <c r="J9553" t="str">
        <f t="shared" si="2167"/>
        <v>00</v>
      </c>
      <c r="K9553">
        <v>20190308</v>
      </c>
      <c r="L9553" t="str">
        <f t="shared" ref="L9553:L9559" si="2176">"075924"</f>
        <v>075924</v>
      </c>
      <c r="M9553" t="str">
        <f t="shared" ref="M9553:M9559" si="2177">"31345"</f>
        <v>31345</v>
      </c>
      <c r="N9553" t="s">
        <v>1394</v>
      </c>
      <c r="O9553" s="1">
        <v>1424</v>
      </c>
      <c r="P9553">
        <v>20190306</v>
      </c>
      <c r="Q9553" t="s">
        <v>7146</v>
      </c>
      <c r="R9553" t="s">
        <v>7534</v>
      </c>
      <c r="S9553" t="s">
        <v>7000</v>
      </c>
      <c r="T9553" t="s">
        <v>301</v>
      </c>
    </row>
    <row r="9554" spans="1:20" x14ac:dyDescent="0.25">
      <c r="A9554">
        <v>9</v>
      </c>
      <c r="B9554">
        <v>461</v>
      </c>
      <c r="C9554" t="str">
        <f t="shared" si="2175"/>
        <v>36</v>
      </c>
      <c r="D9554">
        <v>6399</v>
      </c>
      <c r="E9554" t="str">
        <f>"3P"</f>
        <v>3P</v>
      </c>
      <c r="F9554" t="str">
        <f t="shared" si="2168"/>
        <v>001</v>
      </c>
      <c r="G9554">
        <v>9</v>
      </c>
      <c r="H9554" t="str">
        <f>"91"</f>
        <v>91</v>
      </c>
      <c r="I9554" t="str">
        <f t="shared" si="2166"/>
        <v>0</v>
      </c>
      <c r="J9554" t="str">
        <f t="shared" si="2167"/>
        <v>00</v>
      </c>
      <c r="K9554">
        <v>20190308</v>
      </c>
      <c r="L9554" t="str">
        <f t="shared" si="2176"/>
        <v>075924</v>
      </c>
      <c r="M9554" t="str">
        <f t="shared" si="2177"/>
        <v>31345</v>
      </c>
      <c r="N9554" t="s">
        <v>1394</v>
      </c>
      <c r="O9554" s="1">
        <v>2062</v>
      </c>
      <c r="P9554">
        <v>20190306</v>
      </c>
      <c r="Q9554" t="s">
        <v>7296</v>
      </c>
      <c r="R9554" t="s">
        <v>7534</v>
      </c>
      <c r="S9554" t="s">
        <v>7000</v>
      </c>
      <c r="T9554" t="s">
        <v>301</v>
      </c>
    </row>
    <row r="9555" spans="1:20" x14ac:dyDescent="0.25">
      <c r="A9555">
        <v>9</v>
      </c>
      <c r="B9555">
        <v>461</v>
      </c>
      <c r="C9555" t="str">
        <f t="shared" si="2175"/>
        <v>36</v>
      </c>
      <c r="D9555">
        <v>6399</v>
      </c>
      <c r="E9555" t="str">
        <f>"3S"</f>
        <v>3S</v>
      </c>
      <c r="F9555" t="str">
        <f t="shared" si="2168"/>
        <v>001</v>
      </c>
      <c r="G9555">
        <v>9</v>
      </c>
      <c r="H9555" t="str">
        <f>"91"</f>
        <v>91</v>
      </c>
      <c r="I9555" t="str">
        <f t="shared" si="2166"/>
        <v>0</v>
      </c>
      <c r="J9555" t="str">
        <f t="shared" si="2167"/>
        <v>00</v>
      </c>
      <c r="K9555">
        <v>20190308</v>
      </c>
      <c r="L9555" t="str">
        <f t="shared" si="2176"/>
        <v>075924</v>
      </c>
      <c r="M9555" t="str">
        <f t="shared" si="2177"/>
        <v>31345</v>
      </c>
      <c r="N9555" t="s">
        <v>1394</v>
      </c>
      <c r="O9555">
        <v>804.95</v>
      </c>
      <c r="P9555">
        <v>20190306</v>
      </c>
      <c r="Q9555" t="s">
        <v>7403</v>
      </c>
      <c r="R9555" t="s">
        <v>7534</v>
      </c>
      <c r="S9555" t="s">
        <v>7000</v>
      </c>
      <c r="T9555" t="s">
        <v>301</v>
      </c>
    </row>
    <row r="9556" spans="1:20" x14ac:dyDescent="0.25">
      <c r="A9556">
        <v>9</v>
      </c>
      <c r="B9556">
        <v>461</v>
      </c>
      <c r="C9556" t="str">
        <f t="shared" si="2175"/>
        <v>36</v>
      </c>
      <c r="D9556">
        <v>6399</v>
      </c>
      <c r="E9556" t="str">
        <f>"44"</f>
        <v>44</v>
      </c>
      <c r="F9556" t="str">
        <f>"104"</f>
        <v>104</v>
      </c>
      <c r="G9556">
        <v>9</v>
      </c>
      <c r="H9556" t="str">
        <f>"99"</f>
        <v>99</v>
      </c>
      <c r="I9556" t="str">
        <f t="shared" si="2166"/>
        <v>0</v>
      </c>
      <c r="J9556" t="str">
        <f t="shared" ref="J9556:J9566" si="2178">"00"</f>
        <v>00</v>
      </c>
      <c r="K9556">
        <v>20190308</v>
      </c>
      <c r="L9556" t="str">
        <f t="shared" si="2176"/>
        <v>075924</v>
      </c>
      <c r="M9556" t="str">
        <f t="shared" si="2177"/>
        <v>31345</v>
      </c>
      <c r="N9556" t="s">
        <v>1394</v>
      </c>
      <c r="O9556">
        <v>587.25</v>
      </c>
      <c r="P9556">
        <v>20190306</v>
      </c>
      <c r="Q9556" t="s">
        <v>7104</v>
      </c>
      <c r="R9556" t="s">
        <v>7535</v>
      </c>
      <c r="S9556" t="s">
        <v>7000</v>
      </c>
      <c r="T9556" t="s">
        <v>46</v>
      </c>
    </row>
    <row r="9557" spans="1:20" x14ac:dyDescent="0.25">
      <c r="A9557">
        <v>9</v>
      </c>
      <c r="B9557">
        <v>461</v>
      </c>
      <c r="C9557" t="str">
        <f t="shared" si="2175"/>
        <v>36</v>
      </c>
      <c r="D9557">
        <v>6399</v>
      </c>
      <c r="E9557" t="str">
        <f>"44"</f>
        <v>44</v>
      </c>
      <c r="F9557" t="str">
        <f>"104"</f>
        <v>104</v>
      </c>
      <c r="G9557">
        <v>9</v>
      </c>
      <c r="H9557" t="str">
        <f>"99"</f>
        <v>99</v>
      </c>
      <c r="I9557" t="str">
        <f t="shared" si="2166"/>
        <v>0</v>
      </c>
      <c r="J9557" t="str">
        <f t="shared" si="2178"/>
        <v>00</v>
      </c>
      <c r="K9557">
        <v>20190308</v>
      </c>
      <c r="L9557" t="str">
        <f t="shared" si="2176"/>
        <v>075924</v>
      </c>
      <c r="M9557" t="str">
        <f t="shared" si="2177"/>
        <v>31345</v>
      </c>
      <c r="N9557" t="s">
        <v>1394</v>
      </c>
      <c r="O9557">
        <v>497.75</v>
      </c>
      <c r="P9557">
        <v>20190306</v>
      </c>
      <c r="Q9557" t="s">
        <v>7104</v>
      </c>
      <c r="R9557" t="s">
        <v>3781</v>
      </c>
      <c r="S9557" t="s">
        <v>7000</v>
      </c>
      <c r="T9557" t="s">
        <v>46</v>
      </c>
    </row>
    <row r="9558" spans="1:20" x14ac:dyDescent="0.25">
      <c r="A9558">
        <v>9</v>
      </c>
      <c r="B9558">
        <v>461</v>
      </c>
      <c r="C9558" t="str">
        <f t="shared" si="2175"/>
        <v>36</v>
      </c>
      <c r="D9558">
        <v>6412</v>
      </c>
      <c r="E9558" t="str">
        <f>"3T"</f>
        <v>3T</v>
      </c>
      <c r="F9558" t="str">
        <f t="shared" ref="F9558:F9563" si="2179">"001"</f>
        <v>001</v>
      </c>
      <c r="G9558">
        <v>9</v>
      </c>
      <c r="H9558" t="str">
        <f>"91"</f>
        <v>91</v>
      </c>
      <c r="I9558" t="str">
        <f t="shared" si="2166"/>
        <v>0</v>
      </c>
      <c r="J9558" t="str">
        <f t="shared" si="2178"/>
        <v>00</v>
      </c>
      <c r="K9558">
        <v>20190308</v>
      </c>
      <c r="L9558" t="str">
        <f t="shared" si="2176"/>
        <v>075924</v>
      </c>
      <c r="M9558" t="str">
        <f t="shared" si="2177"/>
        <v>31345</v>
      </c>
      <c r="N9558" t="s">
        <v>1394</v>
      </c>
      <c r="O9558">
        <v>808.4</v>
      </c>
      <c r="P9558">
        <v>20190306</v>
      </c>
      <c r="Q9558" t="s">
        <v>7509</v>
      </c>
      <c r="R9558" t="s">
        <v>7536</v>
      </c>
      <c r="S9558" t="s">
        <v>7000</v>
      </c>
      <c r="T9558" t="s">
        <v>301</v>
      </c>
    </row>
    <row r="9559" spans="1:20" x14ac:dyDescent="0.25">
      <c r="A9559">
        <v>9</v>
      </c>
      <c r="B9559">
        <v>461</v>
      </c>
      <c r="C9559" t="str">
        <f t="shared" si="2175"/>
        <v>36</v>
      </c>
      <c r="D9559">
        <v>6412</v>
      </c>
      <c r="E9559" t="str">
        <f>"3T"</f>
        <v>3T</v>
      </c>
      <c r="F9559" t="str">
        <f t="shared" si="2179"/>
        <v>001</v>
      </c>
      <c r="G9559">
        <v>9</v>
      </c>
      <c r="H9559" t="str">
        <f>"91"</f>
        <v>91</v>
      </c>
      <c r="I9559" t="str">
        <f t="shared" si="2166"/>
        <v>0</v>
      </c>
      <c r="J9559" t="str">
        <f t="shared" si="2178"/>
        <v>00</v>
      </c>
      <c r="K9559">
        <v>20190308</v>
      </c>
      <c r="L9559" t="str">
        <f t="shared" si="2176"/>
        <v>075924</v>
      </c>
      <c r="M9559" t="str">
        <f t="shared" si="2177"/>
        <v>31345</v>
      </c>
      <c r="N9559" t="s">
        <v>1394</v>
      </c>
      <c r="O9559">
        <v>319.7</v>
      </c>
      <c r="P9559">
        <v>20190306</v>
      </c>
      <c r="Q9559" t="s">
        <v>7509</v>
      </c>
      <c r="R9559" t="s">
        <v>7537</v>
      </c>
      <c r="S9559" t="s">
        <v>7000</v>
      </c>
      <c r="T9559" t="s">
        <v>301</v>
      </c>
    </row>
    <row r="9560" spans="1:20" x14ac:dyDescent="0.25">
      <c r="A9560">
        <v>9</v>
      </c>
      <c r="B9560">
        <v>461</v>
      </c>
      <c r="C9560" t="str">
        <f t="shared" si="2175"/>
        <v>36</v>
      </c>
      <c r="D9560">
        <v>6399</v>
      </c>
      <c r="E9560" t="str">
        <f>"7C"</f>
        <v>7C</v>
      </c>
      <c r="F9560" t="str">
        <f t="shared" si="2179"/>
        <v>001</v>
      </c>
      <c r="G9560">
        <v>9</v>
      </c>
      <c r="H9560" t="str">
        <f>"99"</f>
        <v>99</v>
      </c>
      <c r="I9560" t="str">
        <f t="shared" si="2166"/>
        <v>0</v>
      </c>
      <c r="J9560" t="str">
        <f t="shared" si="2178"/>
        <v>00</v>
      </c>
      <c r="K9560">
        <v>20190308</v>
      </c>
      <c r="L9560" t="str">
        <f>"075938"</f>
        <v>075938</v>
      </c>
      <c r="M9560" t="str">
        <f>"41230"</f>
        <v>41230</v>
      </c>
      <c r="N9560" t="s">
        <v>1350</v>
      </c>
      <c r="O9560">
        <v>50.4</v>
      </c>
      <c r="P9560">
        <v>20190306</v>
      </c>
      <c r="Q9560" t="s">
        <v>7538</v>
      </c>
      <c r="R9560" t="s">
        <v>7539</v>
      </c>
      <c r="S9560" t="s">
        <v>7000</v>
      </c>
      <c r="T9560" t="s">
        <v>301</v>
      </c>
    </row>
    <row r="9561" spans="1:20" x14ac:dyDescent="0.25">
      <c r="A9561">
        <v>9</v>
      </c>
      <c r="B9561">
        <v>461</v>
      </c>
      <c r="C9561" t="str">
        <f t="shared" si="2175"/>
        <v>36</v>
      </c>
      <c r="D9561">
        <v>6399</v>
      </c>
      <c r="E9561" t="str">
        <f>"3J"</f>
        <v>3J</v>
      </c>
      <c r="F9561" t="str">
        <f t="shared" si="2179"/>
        <v>001</v>
      </c>
      <c r="G9561">
        <v>9</v>
      </c>
      <c r="H9561" t="str">
        <f>"91"</f>
        <v>91</v>
      </c>
      <c r="I9561" t="str">
        <f t="shared" si="2166"/>
        <v>0</v>
      </c>
      <c r="J9561" t="str">
        <f t="shared" si="2178"/>
        <v>00</v>
      </c>
      <c r="K9561">
        <v>20190308</v>
      </c>
      <c r="L9561" t="str">
        <f>"075953"</f>
        <v>075953</v>
      </c>
      <c r="M9561" t="str">
        <f>"49445"</f>
        <v>49445</v>
      </c>
      <c r="N9561" t="s">
        <v>986</v>
      </c>
      <c r="O9561">
        <v>280</v>
      </c>
      <c r="P9561">
        <v>20190306</v>
      </c>
      <c r="Q9561" t="s">
        <v>7462</v>
      </c>
      <c r="R9561" t="s">
        <v>7540</v>
      </c>
      <c r="S9561" t="s">
        <v>7000</v>
      </c>
      <c r="T9561" t="s">
        <v>301</v>
      </c>
    </row>
    <row r="9562" spans="1:20" x14ac:dyDescent="0.25">
      <c r="A9562">
        <v>9</v>
      </c>
      <c r="B9562">
        <v>461</v>
      </c>
      <c r="C9562" t="str">
        <f t="shared" si="2175"/>
        <v>36</v>
      </c>
      <c r="D9562">
        <v>6399</v>
      </c>
      <c r="E9562" t="str">
        <f>"3A"</f>
        <v>3A</v>
      </c>
      <c r="F9562" t="str">
        <f t="shared" si="2179"/>
        <v>001</v>
      </c>
      <c r="G9562">
        <v>9</v>
      </c>
      <c r="H9562" t="str">
        <f>"91"</f>
        <v>91</v>
      </c>
      <c r="I9562" t="str">
        <f t="shared" si="2166"/>
        <v>0</v>
      </c>
      <c r="J9562" t="str">
        <f t="shared" si="2178"/>
        <v>00</v>
      </c>
      <c r="K9562">
        <v>20190308</v>
      </c>
      <c r="L9562" t="str">
        <f>"075959"</f>
        <v>075959</v>
      </c>
      <c r="M9562" t="str">
        <f>"52217"</f>
        <v>52217</v>
      </c>
      <c r="N9562" t="s">
        <v>630</v>
      </c>
      <c r="O9562" s="1">
        <v>1581.9</v>
      </c>
      <c r="P9562">
        <v>20190306</v>
      </c>
      <c r="Q9562" t="s">
        <v>7175</v>
      </c>
      <c r="R9562" t="s">
        <v>7541</v>
      </c>
      <c r="S9562" t="s">
        <v>7000</v>
      </c>
      <c r="T9562" t="s">
        <v>301</v>
      </c>
    </row>
    <row r="9563" spans="1:20" x14ac:dyDescent="0.25">
      <c r="A9563">
        <v>9</v>
      </c>
      <c r="B9563">
        <v>461</v>
      </c>
      <c r="C9563" t="str">
        <f t="shared" si="2175"/>
        <v>36</v>
      </c>
      <c r="D9563">
        <v>6399</v>
      </c>
      <c r="E9563" t="str">
        <f>"3P"</f>
        <v>3P</v>
      </c>
      <c r="F9563" t="str">
        <f t="shared" si="2179"/>
        <v>001</v>
      </c>
      <c r="G9563">
        <v>9</v>
      </c>
      <c r="H9563" t="str">
        <f>"91"</f>
        <v>91</v>
      </c>
      <c r="I9563" t="str">
        <f t="shared" si="2166"/>
        <v>0</v>
      </c>
      <c r="J9563" t="str">
        <f t="shared" si="2178"/>
        <v>00</v>
      </c>
      <c r="K9563">
        <v>20190308</v>
      </c>
      <c r="L9563" t="str">
        <f>"075959"</f>
        <v>075959</v>
      </c>
      <c r="M9563" t="str">
        <f>"52217"</f>
        <v>52217</v>
      </c>
      <c r="N9563" t="s">
        <v>630</v>
      </c>
      <c r="O9563">
        <v>23.92</v>
      </c>
      <c r="P9563">
        <v>20190306</v>
      </c>
      <c r="Q9563" t="s">
        <v>7296</v>
      </c>
      <c r="R9563" t="s">
        <v>7542</v>
      </c>
      <c r="S9563" t="s">
        <v>7000</v>
      </c>
      <c r="T9563" t="s">
        <v>301</v>
      </c>
    </row>
    <row r="9564" spans="1:20" x14ac:dyDescent="0.25">
      <c r="A9564">
        <v>9</v>
      </c>
      <c r="B9564">
        <v>461</v>
      </c>
      <c r="C9564" t="str">
        <f t="shared" si="2175"/>
        <v>36</v>
      </c>
      <c r="D9564">
        <v>6399</v>
      </c>
      <c r="E9564" t="str">
        <f>"PR"</f>
        <v>PR</v>
      </c>
      <c r="F9564" t="str">
        <f>"104"</f>
        <v>104</v>
      </c>
      <c r="G9564">
        <v>9</v>
      </c>
      <c r="H9564" t="str">
        <f>"99"</f>
        <v>99</v>
      </c>
      <c r="I9564" t="str">
        <f t="shared" si="2166"/>
        <v>0</v>
      </c>
      <c r="J9564" t="str">
        <f t="shared" si="2178"/>
        <v>00</v>
      </c>
      <c r="K9564">
        <v>20190308</v>
      </c>
      <c r="L9564" t="str">
        <f>"075988"</f>
        <v>075988</v>
      </c>
      <c r="M9564" t="str">
        <f>"65826"</f>
        <v>65826</v>
      </c>
      <c r="N9564" t="s">
        <v>2787</v>
      </c>
      <c r="O9564">
        <v>245.48</v>
      </c>
      <c r="P9564">
        <v>20190306</v>
      </c>
      <c r="Q9564" t="s">
        <v>7014</v>
      </c>
      <c r="R9564" t="s">
        <v>2793</v>
      </c>
      <c r="S9564" t="s">
        <v>7000</v>
      </c>
      <c r="T9564" t="s">
        <v>46</v>
      </c>
    </row>
    <row r="9565" spans="1:20" x14ac:dyDescent="0.25">
      <c r="A9565">
        <v>9</v>
      </c>
      <c r="B9565">
        <v>461</v>
      </c>
      <c r="C9565" t="str">
        <f t="shared" si="2175"/>
        <v>36</v>
      </c>
      <c r="D9565">
        <v>6399</v>
      </c>
      <c r="E9565" t="str">
        <f>"PR"</f>
        <v>PR</v>
      </c>
      <c r="F9565" t="str">
        <f>"104"</f>
        <v>104</v>
      </c>
      <c r="G9565">
        <v>9</v>
      </c>
      <c r="H9565" t="str">
        <f>"99"</f>
        <v>99</v>
      </c>
      <c r="I9565" t="str">
        <f t="shared" si="2166"/>
        <v>0</v>
      </c>
      <c r="J9565" t="str">
        <f t="shared" si="2178"/>
        <v>00</v>
      </c>
      <c r="K9565">
        <v>20190308</v>
      </c>
      <c r="L9565" t="str">
        <f>"075988"</f>
        <v>075988</v>
      </c>
      <c r="M9565" t="str">
        <f>"65826"</f>
        <v>65826</v>
      </c>
      <c r="N9565" t="s">
        <v>2787</v>
      </c>
      <c r="O9565">
        <v>224.9</v>
      </c>
      <c r="P9565">
        <v>20190306</v>
      </c>
      <c r="Q9565" t="s">
        <v>7014</v>
      </c>
      <c r="R9565" t="s">
        <v>7543</v>
      </c>
      <c r="S9565" t="s">
        <v>7000</v>
      </c>
      <c r="T9565" t="s">
        <v>46</v>
      </c>
    </row>
    <row r="9566" spans="1:20" x14ac:dyDescent="0.25">
      <c r="A9566">
        <v>9</v>
      </c>
      <c r="B9566">
        <v>461</v>
      </c>
      <c r="C9566" t="str">
        <f t="shared" si="2175"/>
        <v>36</v>
      </c>
      <c r="D9566">
        <v>6399</v>
      </c>
      <c r="E9566" t="str">
        <f>"AB"</f>
        <v>AB</v>
      </c>
      <c r="F9566" t="str">
        <f>"001"</f>
        <v>001</v>
      </c>
      <c r="G9566">
        <v>9</v>
      </c>
      <c r="H9566" t="str">
        <f>"99"</f>
        <v>99</v>
      </c>
      <c r="I9566" t="str">
        <f t="shared" si="2166"/>
        <v>0</v>
      </c>
      <c r="J9566" t="str">
        <f t="shared" si="2178"/>
        <v>00</v>
      </c>
      <c r="K9566">
        <v>20190308</v>
      </c>
      <c r="L9566" t="str">
        <f>"075998"</f>
        <v>075998</v>
      </c>
      <c r="M9566" t="str">
        <f>"74104"</f>
        <v>74104</v>
      </c>
      <c r="N9566" t="s">
        <v>7544</v>
      </c>
      <c r="O9566" s="1">
        <v>1743.83</v>
      </c>
      <c r="P9566">
        <v>20190306</v>
      </c>
      <c r="Q9566" t="s">
        <v>7164</v>
      </c>
      <c r="R9566" t="s">
        <v>7545</v>
      </c>
      <c r="S9566" t="s">
        <v>7000</v>
      </c>
      <c r="T9566" t="s">
        <v>301</v>
      </c>
    </row>
    <row r="9567" spans="1:20" x14ac:dyDescent="0.25">
      <c r="A9567">
        <v>9</v>
      </c>
      <c r="B9567">
        <v>461</v>
      </c>
      <c r="C9567" t="str">
        <f t="shared" si="2175"/>
        <v>36</v>
      </c>
      <c r="D9567">
        <v>6499</v>
      </c>
      <c r="E9567" t="str">
        <f>"09"</f>
        <v>09</v>
      </c>
      <c r="F9567" t="str">
        <f>"942"</f>
        <v>942</v>
      </c>
      <c r="G9567">
        <v>9</v>
      </c>
      <c r="H9567" t="str">
        <f>"99"</f>
        <v>99</v>
      </c>
      <c r="I9567" t="str">
        <f>"4"</f>
        <v>4</v>
      </c>
      <c r="J9567" t="str">
        <f>"88"</f>
        <v>88</v>
      </c>
      <c r="K9567">
        <v>20190308</v>
      </c>
      <c r="L9567" t="str">
        <f>"076003"</f>
        <v>076003</v>
      </c>
      <c r="M9567" t="str">
        <f>"80598"</f>
        <v>80598</v>
      </c>
      <c r="N9567" t="s">
        <v>7402</v>
      </c>
      <c r="O9567">
        <v>280.68</v>
      </c>
      <c r="P9567">
        <v>20190306</v>
      </c>
      <c r="Q9567" t="s">
        <v>7546</v>
      </c>
      <c r="R9567" t="s">
        <v>7547</v>
      </c>
      <c r="S9567" t="s">
        <v>7000</v>
      </c>
      <c r="T9567" t="s">
        <v>1831</v>
      </c>
    </row>
    <row r="9568" spans="1:20" x14ac:dyDescent="0.25">
      <c r="A9568">
        <v>9</v>
      </c>
      <c r="B9568">
        <v>461</v>
      </c>
      <c r="C9568" t="str">
        <f t="shared" si="2175"/>
        <v>36</v>
      </c>
      <c r="D9568">
        <v>6399</v>
      </c>
      <c r="E9568" t="str">
        <f>"3J"</f>
        <v>3J</v>
      </c>
      <c r="F9568" t="str">
        <f t="shared" ref="F9568:F9573" si="2180">"001"</f>
        <v>001</v>
      </c>
      <c r="G9568">
        <v>9</v>
      </c>
      <c r="H9568" t="str">
        <f>"91"</f>
        <v>91</v>
      </c>
      <c r="I9568" t="str">
        <f t="shared" ref="I9568:I9599" si="2181">"0"</f>
        <v>0</v>
      </c>
      <c r="J9568" t="str">
        <f t="shared" ref="J9568:J9599" si="2182">"00"</f>
        <v>00</v>
      </c>
      <c r="K9568">
        <v>20190308</v>
      </c>
      <c r="L9568" t="str">
        <f>"076004"</f>
        <v>076004</v>
      </c>
      <c r="M9568" t="str">
        <f>"80755"</f>
        <v>80755</v>
      </c>
      <c r="N9568" t="s">
        <v>4181</v>
      </c>
      <c r="O9568" s="1">
        <v>1625.39</v>
      </c>
      <c r="P9568">
        <v>20190306</v>
      </c>
      <c r="Q9568" t="s">
        <v>7462</v>
      </c>
      <c r="R9568" t="s">
        <v>5749</v>
      </c>
      <c r="S9568" t="s">
        <v>7000</v>
      </c>
      <c r="T9568" t="s">
        <v>301</v>
      </c>
    </row>
    <row r="9569" spans="1:20" x14ac:dyDescent="0.25">
      <c r="A9569">
        <v>9</v>
      </c>
      <c r="B9569">
        <v>461</v>
      </c>
      <c r="C9569" t="str">
        <f t="shared" si="2175"/>
        <v>36</v>
      </c>
      <c r="D9569">
        <v>6412</v>
      </c>
      <c r="E9569" t="str">
        <f>"3G"</f>
        <v>3G</v>
      </c>
      <c r="F9569" t="str">
        <f t="shared" si="2180"/>
        <v>001</v>
      </c>
      <c r="G9569">
        <v>9</v>
      </c>
      <c r="H9569" t="str">
        <f>"91"</f>
        <v>91</v>
      </c>
      <c r="I9569" t="str">
        <f t="shared" si="2181"/>
        <v>0</v>
      </c>
      <c r="J9569" t="str">
        <f t="shared" si="2182"/>
        <v>00</v>
      </c>
      <c r="K9569">
        <v>20190308</v>
      </c>
      <c r="L9569" t="str">
        <f>"076011"</f>
        <v>076011</v>
      </c>
      <c r="M9569" t="str">
        <f>"82970"</f>
        <v>82970</v>
      </c>
      <c r="N9569" t="s">
        <v>1041</v>
      </c>
      <c r="O9569">
        <v>100</v>
      </c>
      <c r="P9569">
        <v>20190306</v>
      </c>
      <c r="Q9569" t="s">
        <v>7002</v>
      </c>
      <c r="R9569" t="s">
        <v>7548</v>
      </c>
      <c r="S9569" t="s">
        <v>7000</v>
      </c>
      <c r="T9569" t="s">
        <v>301</v>
      </c>
    </row>
    <row r="9570" spans="1:20" x14ac:dyDescent="0.25">
      <c r="A9570">
        <v>9</v>
      </c>
      <c r="B9570">
        <v>461</v>
      </c>
      <c r="C9570" t="str">
        <f t="shared" si="2175"/>
        <v>36</v>
      </c>
      <c r="D9570">
        <v>6412</v>
      </c>
      <c r="E9570" t="str">
        <f>"3G"</f>
        <v>3G</v>
      </c>
      <c r="F9570" t="str">
        <f t="shared" si="2180"/>
        <v>001</v>
      </c>
      <c r="G9570">
        <v>9</v>
      </c>
      <c r="H9570" t="str">
        <f>"91"</f>
        <v>91</v>
      </c>
      <c r="I9570" t="str">
        <f t="shared" si="2181"/>
        <v>0</v>
      </c>
      <c r="J9570" t="str">
        <f t="shared" si="2182"/>
        <v>00</v>
      </c>
      <c r="K9570">
        <v>20190326</v>
      </c>
      <c r="L9570" t="str">
        <f>"076011"</f>
        <v>076011</v>
      </c>
      <c r="M9570" t="str">
        <f>"82970"</f>
        <v>82970</v>
      </c>
      <c r="N9570" t="s">
        <v>1041</v>
      </c>
      <c r="O9570">
        <v>-100</v>
      </c>
      <c r="P9570">
        <v>20190326</v>
      </c>
      <c r="Q9570" t="s">
        <v>7002</v>
      </c>
      <c r="R9570" t="s">
        <v>7549</v>
      </c>
      <c r="S9570" t="s">
        <v>7000</v>
      </c>
      <c r="T9570" t="s">
        <v>301</v>
      </c>
    </row>
    <row r="9571" spans="1:20" x14ac:dyDescent="0.25">
      <c r="A9571">
        <v>9</v>
      </c>
      <c r="B9571">
        <v>461</v>
      </c>
      <c r="C9571" t="str">
        <f t="shared" si="2175"/>
        <v>36</v>
      </c>
      <c r="D9571">
        <v>6399</v>
      </c>
      <c r="E9571" t="str">
        <f>"3T"</f>
        <v>3T</v>
      </c>
      <c r="F9571" t="str">
        <f t="shared" si="2180"/>
        <v>001</v>
      </c>
      <c r="G9571">
        <v>9</v>
      </c>
      <c r="H9571" t="str">
        <f>"91"</f>
        <v>91</v>
      </c>
      <c r="I9571" t="str">
        <f t="shared" si="2181"/>
        <v>0</v>
      </c>
      <c r="J9571" t="str">
        <f t="shared" si="2182"/>
        <v>00</v>
      </c>
      <c r="K9571">
        <v>20190315</v>
      </c>
      <c r="L9571" t="str">
        <f>"076019"</f>
        <v>076019</v>
      </c>
      <c r="M9571" t="str">
        <f>"01150"</f>
        <v>01150</v>
      </c>
      <c r="N9571" t="s">
        <v>7226</v>
      </c>
      <c r="O9571">
        <v>284</v>
      </c>
      <c r="P9571">
        <v>20190313</v>
      </c>
      <c r="Q9571" t="s">
        <v>7053</v>
      </c>
      <c r="R9571" t="s">
        <v>1274</v>
      </c>
      <c r="S9571" t="s">
        <v>7000</v>
      </c>
      <c r="T9571" t="s">
        <v>301</v>
      </c>
    </row>
    <row r="9572" spans="1:20" x14ac:dyDescent="0.25">
      <c r="A9572">
        <v>9</v>
      </c>
      <c r="B9572">
        <v>461</v>
      </c>
      <c r="C9572" t="str">
        <f t="shared" si="2175"/>
        <v>36</v>
      </c>
      <c r="D9572">
        <v>6399</v>
      </c>
      <c r="E9572" t="str">
        <f>"3T"</f>
        <v>3T</v>
      </c>
      <c r="F9572" t="str">
        <f t="shared" si="2180"/>
        <v>001</v>
      </c>
      <c r="G9572">
        <v>9</v>
      </c>
      <c r="H9572" t="str">
        <f>"91"</f>
        <v>91</v>
      </c>
      <c r="I9572" t="str">
        <f t="shared" si="2181"/>
        <v>0</v>
      </c>
      <c r="J9572" t="str">
        <f t="shared" si="2182"/>
        <v>00</v>
      </c>
      <c r="K9572">
        <v>20190315</v>
      </c>
      <c r="L9572" t="str">
        <f>"076019"</f>
        <v>076019</v>
      </c>
      <c r="M9572" t="str">
        <f>"01150"</f>
        <v>01150</v>
      </c>
      <c r="N9572" t="s">
        <v>7226</v>
      </c>
      <c r="O9572">
        <v>225</v>
      </c>
      <c r="P9572">
        <v>20190313</v>
      </c>
      <c r="Q9572" t="s">
        <v>7053</v>
      </c>
      <c r="R9572" t="s">
        <v>1274</v>
      </c>
      <c r="S9572" t="s">
        <v>7000</v>
      </c>
      <c r="T9572" t="s">
        <v>301</v>
      </c>
    </row>
    <row r="9573" spans="1:20" x14ac:dyDescent="0.25">
      <c r="A9573">
        <v>9</v>
      </c>
      <c r="B9573">
        <v>461</v>
      </c>
      <c r="C9573" t="str">
        <f t="shared" si="2175"/>
        <v>36</v>
      </c>
      <c r="D9573">
        <v>6399</v>
      </c>
      <c r="E9573" t="str">
        <f>"H2"</f>
        <v>H2</v>
      </c>
      <c r="F9573" t="str">
        <f t="shared" si="2180"/>
        <v>001</v>
      </c>
      <c r="G9573">
        <v>9</v>
      </c>
      <c r="H9573" t="str">
        <f t="shared" ref="H9573:H9578" si="2183">"99"</f>
        <v>99</v>
      </c>
      <c r="I9573" t="str">
        <f t="shared" si="2181"/>
        <v>0</v>
      </c>
      <c r="J9573" t="str">
        <f t="shared" si="2182"/>
        <v>00</v>
      </c>
      <c r="K9573">
        <v>20190315</v>
      </c>
      <c r="L9573" t="str">
        <f>"076024"</f>
        <v>076024</v>
      </c>
      <c r="M9573" t="str">
        <f>"04410"</f>
        <v>04410</v>
      </c>
      <c r="N9573" t="s">
        <v>410</v>
      </c>
      <c r="O9573">
        <v>419.14</v>
      </c>
      <c r="P9573">
        <v>20190313</v>
      </c>
      <c r="Q9573" t="s">
        <v>7033</v>
      </c>
      <c r="R9573" t="s">
        <v>7550</v>
      </c>
      <c r="S9573" t="s">
        <v>7000</v>
      </c>
      <c r="T9573" t="s">
        <v>301</v>
      </c>
    </row>
    <row r="9574" spans="1:20" x14ac:dyDescent="0.25">
      <c r="A9574">
        <v>9</v>
      </c>
      <c r="B9574">
        <v>461</v>
      </c>
      <c r="C9574" t="str">
        <f t="shared" si="2175"/>
        <v>36</v>
      </c>
      <c r="D9574">
        <v>6399</v>
      </c>
      <c r="E9574" t="str">
        <f>"PR"</f>
        <v>PR</v>
      </c>
      <c r="F9574" t="str">
        <f>"104"</f>
        <v>104</v>
      </c>
      <c r="G9574">
        <v>9</v>
      </c>
      <c r="H9574" t="str">
        <f t="shared" si="2183"/>
        <v>99</v>
      </c>
      <c r="I9574" t="str">
        <f t="shared" si="2181"/>
        <v>0</v>
      </c>
      <c r="J9574" t="str">
        <f t="shared" si="2182"/>
        <v>00</v>
      </c>
      <c r="K9574">
        <v>20190315</v>
      </c>
      <c r="L9574" t="str">
        <f>"076024"</f>
        <v>076024</v>
      </c>
      <c r="M9574" t="str">
        <f>"04410"</f>
        <v>04410</v>
      </c>
      <c r="N9574" t="s">
        <v>410</v>
      </c>
      <c r="O9574">
        <v>89.96</v>
      </c>
      <c r="P9574">
        <v>20190313</v>
      </c>
      <c r="Q9574" t="s">
        <v>7014</v>
      </c>
      <c r="R9574" t="s">
        <v>7551</v>
      </c>
      <c r="S9574" t="s">
        <v>7000</v>
      </c>
      <c r="T9574" t="s">
        <v>46</v>
      </c>
    </row>
    <row r="9575" spans="1:20" x14ac:dyDescent="0.25">
      <c r="A9575">
        <v>9</v>
      </c>
      <c r="B9575">
        <v>461</v>
      </c>
      <c r="C9575" t="str">
        <f t="shared" si="2175"/>
        <v>36</v>
      </c>
      <c r="D9575">
        <v>6399</v>
      </c>
      <c r="E9575" t="str">
        <f>"PR"</f>
        <v>PR</v>
      </c>
      <c r="F9575" t="str">
        <f>"104"</f>
        <v>104</v>
      </c>
      <c r="G9575">
        <v>9</v>
      </c>
      <c r="H9575" t="str">
        <f t="shared" si="2183"/>
        <v>99</v>
      </c>
      <c r="I9575" t="str">
        <f t="shared" si="2181"/>
        <v>0</v>
      </c>
      <c r="J9575" t="str">
        <f t="shared" si="2182"/>
        <v>00</v>
      </c>
      <c r="K9575">
        <v>20190315</v>
      </c>
      <c r="L9575" t="str">
        <f>"076024"</f>
        <v>076024</v>
      </c>
      <c r="M9575" t="str">
        <f>"04410"</f>
        <v>04410</v>
      </c>
      <c r="N9575" t="s">
        <v>410</v>
      </c>
      <c r="O9575">
        <v>161.08000000000001</v>
      </c>
      <c r="P9575">
        <v>20190313</v>
      </c>
      <c r="Q9575" t="s">
        <v>7014</v>
      </c>
      <c r="R9575" t="s">
        <v>7552</v>
      </c>
      <c r="S9575" t="s">
        <v>7000</v>
      </c>
      <c r="T9575" t="s">
        <v>46</v>
      </c>
    </row>
    <row r="9576" spans="1:20" x14ac:dyDescent="0.25">
      <c r="A9576">
        <v>9</v>
      </c>
      <c r="B9576">
        <v>461</v>
      </c>
      <c r="C9576" t="str">
        <f t="shared" si="2175"/>
        <v>36</v>
      </c>
      <c r="D9576">
        <v>6299</v>
      </c>
      <c r="E9576" t="str">
        <f>"GN"</f>
        <v>GN</v>
      </c>
      <c r="F9576" t="str">
        <f>"001"</f>
        <v>001</v>
      </c>
      <c r="G9576">
        <v>9</v>
      </c>
      <c r="H9576" t="str">
        <f t="shared" si="2183"/>
        <v>99</v>
      </c>
      <c r="I9576" t="str">
        <f t="shared" si="2181"/>
        <v>0</v>
      </c>
      <c r="J9576" t="str">
        <f t="shared" si="2182"/>
        <v>00</v>
      </c>
      <c r="K9576">
        <v>20190315</v>
      </c>
      <c r="L9576" t="str">
        <f>"076033"</f>
        <v>076033</v>
      </c>
      <c r="M9576" t="str">
        <f>"00269"</f>
        <v>00269</v>
      </c>
      <c r="N9576" t="s">
        <v>7553</v>
      </c>
      <c r="O9576" s="1">
        <v>2440</v>
      </c>
      <c r="P9576">
        <v>20190315</v>
      </c>
      <c r="Q9576" t="s">
        <v>7554</v>
      </c>
      <c r="R9576" t="s">
        <v>7555</v>
      </c>
      <c r="S9576" t="s">
        <v>7000</v>
      </c>
      <c r="T9576" t="s">
        <v>301</v>
      </c>
    </row>
    <row r="9577" spans="1:20" x14ac:dyDescent="0.25">
      <c r="A9577">
        <v>9</v>
      </c>
      <c r="B9577">
        <v>461</v>
      </c>
      <c r="C9577" t="str">
        <f t="shared" si="2175"/>
        <v>36</v>
      </c>
      <c r="D9577">
        <v>6299</v>
      </c>
      <c r="E9577" t="str">
        <f>"00"</f>
        <v>00</v>
      </c>
      <c r="F9577" t="str">
        <f>"802"</f>
        <v>802</v>
      </c>
      <c r="G9577">
        <v>9</v>
      </c>
      <c r="H9577" t="str">
        <f t="shared" si="2183"/>
        <v>99</v>
      </c>
      <c r="I9577" t="str">
        <f t="shared" si="2181"/>
        <v>0</v>
      </c>
      <c r="J9577" t="str">
        <f t="shared" si="2182"/>
        <v>00</v>
      </c>
      <c r="K9577">
        <v>20190315</v>
      </c>
      <c r="L9577" t="str">
        <f>"076038"</f>
        <v>076038</v>
      </c>
      <c r="M9577" t="str">
        <f>"00571"</f>
        <v>00571</v>
      </c>
      <c r="N9577" t="s">
        <v>7098</v>
      </c>
      <c r="O9577">
        <v>400</v>
      </c>
      <c r="P9577">
        <v>20190313</v>
      </c>
      <c r="Q9577" t="s">
        <v>7099</v>
      </c>
      <c r="R9577" t="s">
        <v>7556</v>
      </c>
      <c r="S9577" t="s">
        <v>7000</v>
      </c>
      <c r="T9577" t="s">
        <v>7023</v>
      </c>
    </row>
    <row r="9578" spans="1:20" x14ac:dyDescent="0.25">
      <c r="A9578">
        <v>9</v>
      </c>
      <c r="B9578">
        <v>461</v>
      </c>
      <c r="C9578" t="str">
        <f t="shared" si="2175"/>
        <v>36</v>
      </c>
      <c r="D9578">
        <v>6399</v>
      </c>
      <c r="E9578" t="str">
        <f>"Y5"</f>
        <v>Y5</v>
      </c>
      <c r="F9578" t="str">
        <f>"802"</f>
        <v>802</v>
      </c>
      <c r="G9578">
        <v>9</v>
      </c>
      <c r="H9578" t="str">
        <f t="shared" si="2183"/>
        <v>99</v>
      </c>
      <c r="I9578" t="str">
        <f t="shared" si="2181"/>
        <v>0</v>
      </c>
      <c r="J9578" t="str">
        <f t="shared" si="2182"/>
        <v>00</v>
      </c>
      <c r="K9578">
        <v>20190315</v>
      </c>
      <c r="L9578" t="str">
        <f>"076039"</f>
        <v>076039</v>
      </c>
      <c r="M9578" t="str">
        <f>"00531"</f>
        <v>00531</v>
      </c>
      <c r="N9578" t="s">
        <v>2982</v>
      </c>
      <c r="O9578">
        <v>159.9</v>
      </c>
      <c r="P9578">
        <v>20190313</v>
      </c>
      <c r="Q9578" t="s">
        <v>7021</v>
      </c>
      <c r="R9578" t="s">
        <v>7557</v>
      </c>
      <c r="S9578" t="s">
        <v>7000</v>
      </c>
      <c r="T9578" t="s">
        <v>7023</v>
      </c>
    </row>
    <row r="9579" spans="1:20" x14ac:dyDescent="0.25">
      <c r="A9579">
        <v>9</v>
      </c>
      <c r="B9579">
        <v>461</v>
      </c>
      <c r="C9579" t="str">
        <f t="shared" si="2175"/>
        <v>36</v>
      </c>
      <c r="D9579">
        <v>6412</v>
      </c>
      <c r="E9579" t="str">
        <f>"3S"</f>
        <v>3S</v>
      </c>
      <c r="F9579" t="str">
        <f>"001"</f>
        <v>001</v>
      </c>
      <c r="G9579">
        <v>9</v>
      </c>
      <c r="H9579" t="str">
        <f>"91"</f>
        <v>91</v>
      </c>
      <c r="I9579" t="str">
        <f t="shared" si="2181"/>
        <v>0</v>
      </c>
      <c r="J9579" t="str">
        <f t="shared" si="2182"/>
        <v>00</v>
      </c>
      <c r="K9579">
        <v>20190315</v>
      </c>
      <c r="L9579" t="str">
        <f>"076040"</f>
        <v>076040</v>
      </c>
      <c r="M9579" t="str">
        <f>"22120"</f>
        <v>22120</v>
      </c>
      <c r="N9579" t="s">
        <v>556</v>
      </c>
      <c r="O9579">
        <v>274.31</v>
      </c>
      <c r="P9579">
        <v>20190313</v>
      </c>
      <c r="Q9579" t="s">
        <v>7143</v>
      </c>
      <c r="R9579" t="s">
        <v>7425</v>
      </c>
      <c r="S9579" t="s">
        <v>7000</v>
      </c>
      <c r="T9579" t="s">
        <v>301</v>
      </c>
    </row>
    <row r="9580" spans="1:20" x14ac:dyDescent="0.25">
      <c r="A9580">
        <v>9</v>
      </c>
      <c r="B9580">
        <v>461</v>
      </c>
      <c r="C9580" t="str">
        <f t="shared" si="2175"/>
        <v>36</v>
      </c>
      <c r="D9580">
        <v>6219</v>
      </c>
      <c r="E9580" t="str">
        <f>"3R"</f>
        <v>3R</v>
      </c>
      <c r="F9580" t="str">
        <f>"001"</f>
        <v>001</v>
      </c>
      <c r="G9580">
        <v>9</v>
      </c>
      <c r="H9580" t="str">
        <f>"91"</f>
        <v>91</v>
      </c>
      <c r="I9580" t="str">
        <f t="shared" si="2181"/>
        <v>0</v>
      </c>
      <c r="J9580" t="str">
        <f t="shared" si="2182"/>
        <v>00</v>
      </c>
      <c r="K9580">
        <v>20190315</v>
      </c>
      <c r="L9580" t="str">
        <f>"076042"</f>
        <v>076042</v>
      </c>
      <c r="M9580" t="str">
        <f>"20433"</f>
        <v>20433</v>
      </c>
      <c r="N9580" t="s">
        <v>332</v>
      </c>
      <c r="O9580">
        <v>200</v>
      </c>
      <c r="P9580">
        <v>20190313</v>
      </c>
      <c r="Q9580" t="s">
        <v>7558</v>
      </c>
      <c r="R9580" t="s">
        <v>7559</v>
      </c>
      <c r="S9580" t="s">
        <v>7000</v>
      </c>
      <c r="T9580" t="s">
        <v>301</v>
      </c>
    </row>
    <row r="9581" spans="1:20" x14ac:dyDescent="0.25">
      <c r="A9581">
        <v>9</v>
      </c>
      <c r="B9581">
        <v>461</v>
      </c>
      <c r="C9581" t="str">
        <f t="shared" si="2175"/>
        <v>36</v>
      </c>
      <c r="D9581">
        <v>6412</v>
      </c>
      <c r="E9581" t="str">
        <f>"58"</f>
        <v>58</v>
      </c>
      <c r="F9581" t="str">
        <f>"041"</f>
        <v>041</v>
      </c>
      <c r="G9581">
        <v>9</v>
      </c>
      <c r="H9581" t="str">
        <f>"99"</f>
        <v>99</v>
      </c>
      <c r="I9581" t="str">
        <f t="shared" si="2181"/>
        <v>0</v>
      </c>
      <c r="J9581" t="str">
        <f t="shared" si="2182"/>
        <v>00</v>
      </c>
      <c r="K9581">
        <v>20190315</v>
      </c>
      <c r="L9581" t="str">
        <f>"076047"</f>
        <v>076047</v>
      </c>
      <c r="M9581" t="str">
        <f>"51346"</f>
        <v>51346</v>
      </c>
      <c r="N9581" t="s">
        <v>418</v>
      </c>
      <c r="O9581">
        <v>161</v>
      </c>
      <c r="P9581">
        <v>20190313</v>
      </c>
      <c r="Q9581" t="s">
        <v>7560</v>
      </c>
      <c r="R9581" t="s">
        <v>7561</v>
      </c>
      <c r="S9581" t="s">
        <v>7000</v>
      </c>
      <c r="T9581" t="s">
        <v>106</v>
      </c>
    </row>
    <row r="9582" spans="1:20" x14ac:dyDescent="0.25">
      <c r="A9582">
        <v>9</v>
      </c>
      <c r="B9582">
        <v>461</v>
      </c>
      <c r="C9582" t="str">
        <f t="shared" si="2175"/>
        <v>36</v>
      </c>
      <c r="D9582">
        <v>6269</v>
      </c>
      <c r="E9582" t="str">
        <f>"3A"</f>
        <v>3A</v>
      </c>
      <c r="F9582" t="str">
        <f>"001"</f>
        <v>001</v>
      </c>
      <c r="G9582">
        <v>9</v>
      </c>
      <c r="H9582" t="str">
        <f>"91"</f>
        <v>91</v>
      </c>
      <c r="I9582" t="str">
        <f t="shared" si="2181"/>
        <v>0</v>
      </c>
      <c r="J9582" t="str">
        <f t="shared" si="2182"/>
        <v>00</v>
      </c>
      <c r="K9582">
        <v>20190315</v>
      </c>
      <c r="L9582" t="str">
        <f>"076050"</f>
        <v>076050</v>
      </c>
      <c r="M9582" t="str">
        <f>"21870"</f>
        <v>21870</v>
      </c>
      <c r="N9582" t="s">
        <v>7562</v>
      </c>
      <c r="O9582" s="1">
        <v>1500</v>
      </c>
      <c r="P9582">
        <v>20190313</v>
      </c>
      <c r="Q9582" t="s">
        <v>7563</v>
      </c>
      <c r="R9582" t="s">
        <v>7564</v>
      </c>
      <c r="S9582" t="s">
        <v>7000</v>
      </c>
      <c r="T9582" t="s">
        <v>301</v>
      </c>
    </row>
    <row r="9583" spans="1:20" x14ac:dyDescent="0.25">
      <c r="A9583">
        <v>9</v>
      </c>
      <c r="B9583">
        <v>461</v>
      </c>
      <c r="C9583" t="str">
        <f t="shared" si="2175"/>
        <v>36</v>
      </c>
      <c r="D9583">
        <v>6399</v>
      </c>
      <c r="E9583" t="str">
        <f>"61"</f>
        <v>61</v>
      </c>
      <c r="F9583" t="str">
        <f>"101"</f>
        <v>101</v>
      </c>
      <c r="G9583">
        <v>9</v>
      </c>
      <c r="H9583" t="str">
        <f>"99"</f>
        <v>99</v>
      </c>
      <c r="I9583" t="str">
        <f t="shared" si="2181"/>
        <v>0</v>
      </c>
      <c r="J9583" t="str">
        <f t="shared" si="2182"/>
        <v>00</v>
      </c>
      <c r="K9583">
        <v>20190315</v>
      </c>
      <c r="L9583" t="str">
        <f>"076052"</f>
        <v>076052</v>
      </c>
      <c r="M9583" t="str">
        <f>"00636"</f>
        <v>00636</v>
      </c>
      <c r="N9583" t="s">
        <v>7292</v>
      </c>
      <c r="O9583">
        <v>310</v>
      </c>
      <c r="P9583">
        <v>20190313</v>
      </c>
      <c r="Q9583" t="s">
        <v>7007</v>
      </c>
      <c r="R9583" t="s">
        <v>7565</v>
      </c>
      <c r="S9583" t="s">
        <v>7000</v>
      </c>
      <c r="T9583" t="s">
        <v>1479</v>
      </c>
    </row>
    <row r="9584" spans="1:20" x14ac:dyDescent="0.25">
      <c r="A9584">
        <v>9</v>
      </c>
      <c r="B9584">
        <v>461</v>
      </c>
      <c r="C9584" t="str">
        <f t="shared" si="2175"/>
        <v>36</v>
      </c>
      <c r="D9584">
        <v>6412</v>
      </c>
      <c r="E9584" t="str">
        <f>"3V"</f>
        <v>3V</v>
      </c>
      <c r="F9584" t="str">
        <f>"041"</f>
        <v>041</v>
      </c>
      <c r="G9584">
        <v>9</v>
      </c>
      <c r="H9584" t="str">
        <f t="shared" ref="H9584:H9595" si="2184">"91"</f>
        <v>91</v>
      </c>
      <c r="I9584" t="str">
        <f t="shared" si="2181"/>
        <v>0</v>
      </c>
      <c r="J9584" t="str">
        <f t="shared" si="2182"/>
        <v>00</v>
      </c>
      <c r="K9584">
        <v>20190315</v>
      </c>
      <c r="L9584" t="str">
        <f>"076053"</f>
        <v>076053</v>
      </c>
      <c r="M9584" t="str">
        <f>"24339"</f>
        <v>24339</v>
      </c>
      <c r="N9584" t="s">
        <v>906</v>
      </c>
      <c r="O9584">
        <v>194.38</v>
      </c>
      <c r="P9584">
        <v>20190313</v>
      </c>
      <c r="Q9584" t="s">
        <v>7496</v>
      </c>
      <c r="R9584" t="s">
        <v>7566</v>
      </c>
      <c r="S9584" t="s">
        <v>7000</v>
      </c>
      <c r="T9584" t="s">
        <v>106</v>
      </c>
    </row>
    <row r="9585" spans="1:20" x14ac:dyDescent="0.25">
      <c r="A9585">
        <v>9</v>
      </c>
      <c r="B9585">
        <v>461</v>
      </c>
      <c r="C9585" t="str">
        <f t="shared" si="2175"/>
        <v>36</v>
      </c>
      <c r="D9585">
        <v>6399</v>
      </c>
      <c r="E9585" t="str">
        <f>"3R"</f>
        <v>3R</v>
      </c>
      <c r="F9585" t="str">
        <f t="shared" ref="F9585:F9595" si="2185">"001"</f>
        <v>001</v>
      </c>
      <c r="G9585">
        <v>9</v>
      </c>
      <c r="H9585" t="str">
        <f t="shared" si="2184"/>
        <v>91</v>
      </c>
      <c r="I9585" t="str">
        <f t="shared" si="2181"/>
        <v>0</v>
      </c>
      <c r="J9585" t="str">
        <f t="shared" si="2182"/>
        <v>00</v>
      </c>
      <c r="K9585">
        <v>20190315</v>
      </c>
      <c r="L9585" t="str">
        <f>"076054"</f>
        <v>076054</v>
      </c>
      <c r="M9585" t="str">
        <f>"25283"</f>
        <v>25283</v>
      </c>
      <c r="N9585" t="s">
        <v>7567</v>
      </c>
      <c r="O9585">
        <v>540</v>
      </c>
      <c r="P9585">
        <v>20190313</v>
      </c>
      <c r="Q9585" t="s">
        <v>7218</v>
      </c>
      <c r="R9585" t="s">
        <v>7568</v>
      </c>
      <c r="S9585" t="s">
        <v>7000</v>
      </c>
      <c r="T9585" t="s">
        <v>301</v>
      </c>
    </row>
    <row r="9586" spans="1:20" x14ac:dyDescent="0.25">
      <c r="A9586">
        <v>9</v>
      </c>
      <c r="B9586">
        <v>461</v>
      </c>
      <c r="C9586" t="str">
        <f t="shared" si="2175"/>
        <v>36</v>
      </c>
      <c r="D9586">
        <v>6219</v>
      </c>
      <c r="E9586" t="str">
        <f>"3R"</f>
        <v>3R</v>
      </c>
      <c r="F9586" t="str">
        <f t="shared" si="2185"/>
        <v>001</v>
      </c>
      <c r="G9586">
        <v>9</v>
      </c>
      <c r="H9586" t="str">
        <f t="shared" si="2184"/>
        <v>91</v>
      </c>
      <c r="I9586" t="str">
        <f t="shared" si="2181"/>
        <v>0</v>
      </c>
      <c r="J9586" t="str">
        <f t="shared" si="2182"/>
        <v>00</v>
      </c>
      <c r="K9586">
        <v>20190315</v>
      </c>
      <c r="L9586" t="str">
        <f>"076068"</f>
        <v>076068</v>
      </c>
      <c r="M9586" t="str">
        <f>"30501"</f>
        <v>30501</v>
      </c>
      <c r="N9586" t="s">
        <v>7569</v>
      </c>
      <c r="O9586">
        <v>200</v>
      </c>
      <c r="P9586">
        <v>20190313</v>
      </c>
      <c r="Q9586" t="s">
        <v>7558</v>
      </c>
      <c r="R9586" t="s">
        <v>7559</v>
      </c>
      <c r="S9586" t="s">
        <v>7000</v>
      </c>
      <c r="T9586" t="s">
        <v>301</v>
      </c>
    </row>
    <row r="9587" spans="1:20" x14ac:dyDescent="0.25">
      <c r="A9587">
        <v>9</v>
      </c>
      <c r="B9587">
        <v>461</v>
      </c>
      <c r="C9587" t="str">
        <f t="shared" si="2175"/>
        <v>36</v>
      </c>
      <c r="D9587">
        <v>6399</v>
      </c>
      <c r="E9587" t="str">
        <f>"3A"</f>
        <v>3A</v>
      </c>
      <c r="F9587" t="str">
        <f t="shared" si="2185"/>
        <v>001</v>
      </c>
      <c r="G9587">
        <v>9</v>
      </c>
      <c r="H9587" t="str">
        <f t="shared" si="2184"/>
        <v>91</v>
      </c>
      <c r="I9587" t="str">
        <f t="shared" si="2181"/>
        <v>0</v>
      </c>
      <c r="J9587" t="str">
        <f t="shared" si="2182"/>
        <v>00</v>
      </c>
      <c r="K9587">
        <v>20190315</v>
      </c>
      <c r="L9587" t="str">
        <f t="shared" ref="L9587:L9595" si="2186">"076070"</f>
        <v>076070</v>
      </c>
      <c r="M9587" t="str">
        <f t="shared" ref="M9587:M9595" si="2187">"30744"</f>
        <v>30744</v>
      </c>
      <c r="N9587" t="s">
        <v>422</v>
      </c>
      <c r="O9587">
        <v>38.590000000000003</v>
      </c>
      <c r="P9587">
        <v>20190313</v>
      </c>
      <c r="Q9587" t="s">
        <v>7175</v>
      </c>
      <c r="R9587" t="s">
        <v>979</v>
      </c>
      <c r="S9587" t="s">
        <v>7000</v>
      </c>
      <c r="T9587" t="s">
        <v>301</v>
      </c>
    </row>
    <row r="9588" spans="1:20" x14ac:dyDescent="0.25">
      <c r="A9588">
        <v>9</v>
      </c>
      <c r="B9588">
        <v>461</v>
      </c>
      <c r="C9588" t="str">
        <f t="shared" si="2175"/>
        <v>36</v>
      </c>
      <c r="D9588">
        <v>6399</v>
      </c>
      <c r="E9588" t="str">
        <f>"3A"</f>
        <v>3A</v>
      </c>
      <c r="F9588" t="str">
        <f t="shared" si="2185"/>
        <v>001</v>
      </c>
      <c r="G9588">
        <v>9</v>
      </c>
      <c r="H9588" t="str">
        <f t="shared" si="2184"/>
        <v>91</v>
      </c>
      <c r="I9588" t="str">
        <f t="shared" si="2181"/>
        <v>0</v>
      </c>
      <c r="J9588" t="str">
        <f t="shared" si="2182"/>
        <v>00</v>
      </c>
      <c r="K9588">
        <v>20190315</v>
      </c>
      <c r="L9588" t="str">
        <f t="shared" si="2186"/>
        <v>076070</v>
      </c>
      <c r="M9588" t="str">
        <f t="shared" si="2187"/>
        <v>30744</v>
      </c>
      <c r="N9588" t="s">
        <v>422</v>
      </c>
      <c r="O9588">
        <v>31.8</v>
      </c>
      <c r="P9588">
        <v>20190313</v>
      </c>
      <c r="Q9588" t="s">
        <v>7175</v>
      </c>
      <c r="R9588" t="s">
        <v>979</v>
      </c>
      <c r="S9588" t="s">
        <v>7000</v>
      </c>
      <c r="T9588" t="s">
        <v>301</v>
      </c>
    </row>
    <row r="9589" spans="1:20" x14ac:dyDescent="0.25">
      <c r="A9589">
        <v>9</v>
      </c>
      <c r="B9589">
        <v>461</v>
      </c>
      <c r="C9589" t="str">
        <f t="shared" si="2175"/>
        <v>36</v>
      </c>
      <c r="D9589">
        <v>6399</v>
      </c>
      <c r="E9589" t="str">
        <f>"3A"</f>
        <v>3A</v>
      </c>
      <c r="F9589" t="str">
        <f t="shared" si="2185"/>
        <v>001</v>
      </c>
      <c r="G9589">
        <v>9</v>
      </c>
      <c r="H9589" t="str">
        <f t="shared" si="2184"/>
        <v>91</v>
      </c>
      <c r="I9589" t="str">
        <f t="shared" si="2181"/>
        <v>0</v>
      </c>
      <c r="J9589" t="str">
        <f t="shared" si="2182"/>
        <v>00</v>
      </c>
      <c r="K9589">
        <v>20190315</v>
      </c>
      <c r="L9589" t="str">
        <f t="shared" si="2186"/>
        <v>076070</v>
      </c>
      <c r="M9589" t="str">
        <f t="shared" si="2187"/>
        <v>30744</v>
      </c>
      <c r="N9589" t="s">
        <v>422</v>
      </c>
      <c r="O9589">
        <v>31.63</v>
      </c>
      <c r="P9589">
        <v>20190313</v>
      </c>
      <c r="Q9589" t="s">
        <v>7175</v>
      </c>
      <c r="R9589" t="s">
        <v>979</v>
      </c>
      <c r="S9589" t="s">
        <v>7000</v>
      </c>
      <c r="T9589" t="s">
        <v>301</v>
      </c>
    </row>
    <row r="9590" spans="1:20" x14ac:dyDescent="0.25">
      <c r="A9590">
        <v>9</v>
      </c>
      <c r="B9590">
        <v>461</v>
      </c>
      <c r="C9590" t="str">
        <f t="shared" si="2175"/>
        <v>36</v>
      </c>
      <c r="D9590">
        <v>6399</v>
      </c>
      <c r="E9590" t="str">
        <f>"3A"</f>
        <v>3A</v>
      </c>
      <c r="F9590" t="str">
        <f t="shared" si="2185"/>
        <v>001</v>
      </c>
      <c r="G9590">
        <v>9</v>
      </c>
      <c r="H9590" t="str">
        <f t="shared" si="2184"/>
        <v>91</v>
      </c>
      <c r="I9590" t="str">
        <f t="shared" si="2181"/>
        <v>0</v>
      </c>
      <c r="J9590" t="str">
        <f t="shared" si="2182"/>
        <v>00</v>
      </c>
      <c r="K9590">
        <v>20190315</v>
      </c>
      <c r="L9590" t="str">
        <f t="shared" si="2186"/>
        <v>076070</v>
      </c>
      <c r="M9590" t="str">
        <f t="shared" si="2187"/>
        <v>30744</v>
      </c>
      <c r="N9590" t="s">
        <v>422</v>
      </c>
      <c r="O9590">
        <v>26.17</v>
      </c>
      <c r="P9590">
        <v>20190313</v>
      </c>
      <c r="Q9590" t="s">
        <v>7175</v>
      </c>
      <c r="R9590" t="s">
        <v>979</v>
      </c>
      <c r="S9590" t="s">
        <v>7000</v>
      </c>
      <c r="T9590" t="s">
        <v>301</v>
      </c>
    </row>
    <row r="9591" spans="1:20" x14ac:dyDescent="0.25">
      <c r="A9591">
        <v>9</v>
      </c>
      <c r="B9591">
        <v>461</v>
      </c>
      <c r="C9591" t="str">
        <f t="shared" si="2175"/>
        <v>36</v>
      </c>
      <c r="D9591">
        <v>6399</v>
      </c>
      <c r="E9591" t="str">
        <f>"3A"</f>
        <v>3A</v>
      </c>
      <c r="F9591" t="str">
        <f t="shared" si="2185"/>
        <v>001</v>
      </c>
      <c r="G9591">
        <v>9</v>
      </c>
      <c r="H9591" t="str">
        <f t="shared" si="2184"/>
        <v>91</v>
      </c>
      <c r="I9591" t="str">
        <f t="shared" si="2181"/>
        <v>0</v>
      </c>
      <c r="J9591" t="str">
        <f t="shared" si="2182"/>
        <v>00</v>
      </c>
      <c r="K9591">
        <v>20190315</v>
      </c>
      <c r="L9591" t="str">
        <f t="shared" si="2186"/>
        <v>076070</v>
      </c>
      <c r="M9591" t="str">
        <f t="shared" si="2187"/>
        <v>30744</v>
      </c>
      <c r="N9591" t="s">
        <v>422</v>
      </c>
      <c r="O9591">
        <v>47.99</v>
      </c>
      <c r="P9591">
        <v>20190313</v>
      </c>
      <c r="Q9591" t="s">
        <v>7175</v>
      </c>
      <c r="R9591" t="s">
        <v>979</v>
      </c>
      <c r="S9591" t="s">
        <v>7000</v>
      </c>
      <c r="T9591" t="s">
        <v>301</v>
      </c>
    </row>
    <row r="9592" spans="1:20" x14ac:dyDescent="0.25">
      <c r="A9592">
        <v>9</v>
      </c>
      <c r="B9592">
        <v>461</v>
      </c>
      <c r="C9592" t="str">
        <f t="shared" si="2175"/>
        <v>36</v>
      </c>
      <c r="D9592">
        <v>6412</v>
      </c>
      <c r="E9592" t="str">
        <f>"3P"</f>
        <v>3P</v>
      </c>
      <c r="F9592" t="str">
        <f t="shared" si="2185"/>
        <v>001</v>
      </c>
      <c r="G9592">
        <v>9</v>
      </c>
      <c r="H9592" t="str">
        <f t="shared" si="2184"/>
        <v>91</v>
      </c>
      <c r="I9592" t="str">
        <f t="shared" si="2181"/>
        <v>0</v>
      </c>
      <c r="J9592" t="str">
        <f t="shared" si="2182"/>
        <v>00</v>
      </c>
      <c r="K9592">
        <v>20190315</v>
      </c>
      <c r="L9592" t="str">
        <f t="shared" si="2186"/>
        <v>076070</v>
      </c>
      <c r="M9592" t="str">
        <f t="shared" si="2187"/>
        <v>30744</v>
      </c>
      <c r="N9592" t="s">
        <v>422</v>
      </c>
      <c r="O9592">
        <v>24.12</v>
      </c>
      <c r="P9592">
        <v>20190313</v>
      </c>
      <c r="Q9592" t="s">
        <v>7428</v>
      </c>
      <c r="R9592" t="s">
        <v>7429</v>
      </c>
      <c r="S9592" t="s">
        <v>7000</v>
      </c>
      <c r="T9592" t="s">
        <v>301</v>
      </c>
    </row>
    <row r="9593" spans="1:20" x14ac:dyDescent="0.25">
      <c r="A9593">
        <v>9</v>
      </c>
      <c r="B9593">
        <v>461</v>
      </c>
      <c r="C9593" t="str">
        <f t="shared" si="2175"/>
        <v>36</v>
      </c>
      <c r="D9593">
        <v>6412</v>
      </c>
      <c r="E9593" t="str">
        <f>"3P"</f>
        <v>3P</v>
      </c>
      <c r="F9593" t="str">
        <f t="shared" si="2185"/>
        <v>001</v>
      </c>
      <c r="G9593">
        <v>9</v>
      </c>
      <c r="H9593" t="str">
        <f t="shared" si="2184"/>
        <v>91</v>
      </c>
      <c r="I9593" t="str">
        <f t="shared" si="2181"/>
        <v>0</v>
      </c>
      <c r="J9593" t="str">
        <f t="shared" si="2182"/>
        <v>00</v>
      </c>
      <c r="K9593">
        <v>20190315</v>
      </c>
      <c r="L9593" t="str">
        <f t="shared" si="2186"/>
        <v>076070</v>
      </c>
      <c r="M9593" t="str">
        <f t="shared" si="2187"/>
        <v>30744</v>
      </c>
      <c r="N9593" t="s">
        <v>422</v>
      </c>
      <c r="O9593">
        <v>31.75</v>
      </c>
      <c r="P9593">
        <v>20190313</v>
      </c>
      <c r="Q9593" t="s">
        <v>7428</v>
      </c>
      <c r="R9593" t="s">
        <v>7429</v>
      </c>
      <c r="S9593" t="s">
        <v>7000</v>
      </c>
      <c r="T9593" t="s">
        <v>301</v>
      </c>
    </row>
    <row r="9594" spans="1:20" x14ac:dyDescent="0.25">
      <c r="A9594">
        <v>9</v>
      </c>
      <c r="B9594">
        <v>461</v>
      </c>
      <c r="C9594" t="str">
        <f t="shared" si="2175"/>
        <v>36</v>
      </c>
      <c r="D9594">
        <v>6412</v>
      </c>
      <c r="E9594" t="str">
        <f>"3P"</f>
        <v>3P</v>
      </c>
      <c r="F9594" t="str">
        <f t="shared" si="2185"/>
        <v>001</v>
      </c>
      <c r="G9594">
        <v>9</v>
      </c>
      <c r="H9594" t="str">
        <f t="shared" si="2184"/>
        <v>91</v>
      </c>
      <c r="I9594" t="str">
        <f t="shared" si="2181"/>
        <v>0</v>
      </c>
      <c r="J9594" t="str">
        <f t="shared" si="2182"/>
        <v>00</v>
      </c>
      <c r="K9594">
        <v>20190315</v>
      </c>
      <c r="L9594" t="str">
        <f t="shared" si="2186"/>
        <v>076070</v>
      </c>
      <c r="M9594" t="str">
        <f t="shared" si="2187"/>
        <v>30744</v>
      </c>
      <c r="N9594" t="s">
        <v>422</v>
      </c>
      <c r="O9594">
        <v>26.86</v>
      </c>
      <c r="P9594">
        <v>20190313</v>
      </c>
      <c r="Q9594" t="s">
        <v>7428</v>
      </c>
      <c r="R9594" t="s">
        <v>7429</v>
      </c>
      <c r="S9594" t="s">
        <v>7000</v>
      </c>
      <c r="T9594" t="s">
        <v>301</v>
      </c>
    </row>
    <row r="9595" spans="1:20" x14ac:dyDescent="0.25">
      <c r="A9595">
        <v>9</v>
      </c>
      <c r="B9595">
        <v>461</v>
      </c>
      <c r="C9595" t="str">
        <f t="shared" si="2175"/>
        <v>36</v>
      </c>
      <c r="D9595">
        <v>6412</v>
      </c>
      <c r="E9595" t="str">
        <f>"3P"</f>
        <v>3P</v>
      </c>
      <c r="F9595" t="str">
        <f t="shared" si="2185"/>
        <v>001</v>
      </c>
      <c r="G9595">
        <v>9</v>
      </c>
      <c r="H9595" t="str">
        <f t="shared" si="2184"/>
        <v>91</v>
      </c>
      <c r="I9595" t="str">
        <f t="shared" si="2181"/>
        <v>0</v>
      </c>
      <c r="J9595" t="str">
        <f t="shared" si="2182"/>
        <v>00</v>
      </c>
      <c r="K9595">
        <v>20190315</v>
      </c>
      <c r="L9595" t="str">
        <f t="shared" si="2186"/>
        <v>076070</v>
      </c>
      <c r="M9595" t="str">
        <f t="shared" si="2187"/>
        <v>30744</v>
      </c>
      <c r="N9595" t="s">
        <v>422</v>
      </c>
      <c r="O9595">
        <v>10.72</v>
      </c>
      <c r="P9595">
        <v>20190313</v>
      </c>
      <c r="Q9595" t="s">
        <v>7428</v>
      </c>
      <c r="R9595" t="s">
        <v>7429</v>
      </c>
      <c r="S9595" t="s">
        <v>7000</v>
      </c>
      <c r="T9595" t="s">
        <v>301</v>
      </c>
    </row>
    <row r="9596" spans="1:20" x14ac:dyDescent="0.25">
      <c r="A9596">
        <v>9</v>
      </c>
      <c r="B9596">
        <v>461</v>
      </c>
      <c r="C9596" t="str">
        <f t="shared" si="2175"/>
        <v>36</v>
      </c>
      <c r="D9596">
        <v>6399</v>
      </c>
      <c r="E9596" t="str">
        <f>"61"</f>
        <v>61</v>
      </c>
      <c r="F9596" t="str">
        <f>"101"</f>
        <v>101</v>
      </c>
      <c r="G9596">
        <v>9</v>
      </c>
      <c r="H9596" t="str">
        <f>"99"</f>
        <v>99</v>
      </c>
      <c r="I9596" t="str">
        <f t="shared" si="2181"/>
        <v>0</v>
      </c>
      <c r="J9596" t="str">
        <f t="shared" si="2182"/>
        <v>00</v>
      </c>
      <c r="K9596">
        <v>20190315</v>
      </c>
      <c r="L9596" t="str">
        <f>"076076"</f>
        <v>076076</v>
      </c>
      <c r="M9596" t="str">
        <f>"37500"</f>
        <v>37500</v>
      </c>
      <c r="N9596" t="s">
        <v>2077</v>
      </c>
      <c r="O9596">
        <v>99.6</v>
      </c>
      <c r="P9596">
        <v>20190314</v>
      </c>
      <c r="Q9596" t="s">
        <v>7007</v>
      </c>
      <c r="R9596" t="s">
        <v>7570</v>
      </c>
      <c r="S9596" t="s">
        <v>7000</v>
      </c>
      <c r="T9596" t="s">
        <v>1479</v>
      </c>
    </row>
    <row r="9597" spans="1:20" x14ac:dyDescent="0.25">
      <c r="A9597">
        <v>9</v>
      </c>
      <c r="B9597">
        <v>461</v>
      </c>
      <c r="C9597" t="str">
        <f t="shared" si="2175"/>
        <v>36</v>
      </c>
      <c r="D9597">
        <v>6399</v>
      </c>
      <c r="E9597" t="str">
        <f>"3R"</f>
        <v>3R</v>
      </c>
      <c r="F9597" t="str">
        <f>"001"</f>
        <v>001</v>
      </c>
      <c r="G9597">
        <v>9</v>
      </c>
      <c r="H9597" t="str">
        <f>"91"</f>
        <v>91</v>
      </c>
      <c r="I9597" t="str">
        <f t="shared" si="2181"/>
        <v>0</v>
      </c>
      <c r="J9597" t="str">
        <f t="shared" si="2182"/>
        <v>00</v>
      </c>
      <c r="K9597">
        <v>20190315</v>
      </c>
      <c r="L9597" t="str">
        <f>"076078"</f>
        <v>076078</v>
      </c>
      <c r="M9597" t="str">
        <f>"39422"</f>
        <v>39422</v>
      </c>
      <c r="N9597" t="s">
        <v>525</v>
      </c>
      <c r="O9597">
        <v>139.5</v>
      </c>
      <c r="P9597">
        <v>20190314</v>
      </c>
      <c r="Q9597" t="s">
        <v>7218</v>
      </c>
      <c r="R9597" t="s">
        <v>7559</v>
      </c>
      <c r="S9597" t="s">
        <v>7000</v>
      </c>
      <c r="T9597" t="s">
        <v>301</v>
      </c>
    </row>
    <row r="9598" spans="1:20" x14ac:dyDescent="0.25">
      <c r="A9598">
        <v>9</v>
      </c>
      <c r="B9598">
        <v>461</v>
      </c>
      <c r="C9598" t="str">
        <f t="shared" si="2175"/>
        <v>36</v>
      </c>
      <c r="D9598">
        <v>6399</v>
      </c>
      <c r="E9598" t="str">
        <f>"PR"</f>
        <v>PR</v>
      </c>
      <c r="F9598" t="str">
        <f>"041"</f>
        <v>041</v>
      </c>
      <c r="G9598">
        <v>9</v>
      </c>
      <c r="H9598" t="str">
        <f>"99"</f>
        <v>99</v>
      </c>
      <c r="I9598" t="str">
        <f t="shared" si="2181"/>
        <v>0</v>
      </c>
      <c r="J9598" t="str">
        <f t="shared" si="2182"/>
        <v>00</v>
      </c>
      <c r="K9598">
        <v>20190315</v>
      </c>
      <c r="L9598" t="str">
        <f>"076081"</f>
        <v>076081</v>
      </c>
      <c r="M9598" t="str">
        <f>"40550"</f>
        <v>40550</v>
      </c>
      <c r="N9598" t="s">
        <v>2645</v>
      </c>
      <c r="O9598">
        <v>24.27</v>
      </c>
      <c r="P9598">
        <v>20190314</v>
      </c>
      <c r="Q9598" t="s">
        <v>7497</v>
      </c>
      <c r="R9598" t="s">
        <v>7571</v>
      </c>
      <c r="S9598" t="s">
        <v>7000</v>
      </c>
      <c r="T9598" t="s">
        <v>106</v>
      </c>
    </row>
    <row r="9599" spans="1:20" x14ac:dyDescent="0.25">
      <c r="A9599">
        <v>9</v>
      </c>
      <c r="B9599">
        <v>461</v>
      </c>
      <c r="C9599" t="str">
        <f t="shared" si="2175"/>
        <v>36</v>
      </c>
      <c r="D9599">
        <v>6412</v>
      </c>
      <c r="E9599" t="str">
        <f>"3V"</f>
        <v>3V</v>
      </c>
      <c r="F9599" t="str">
        <f>"041"</f>
        <v>041</v>
      </c>
      <c r="G9599">
        <v>9</v>
      </c>
      <c r="H9599" t="str">
        <f>"91"</f>
        <v>91</v>
      </c>
      <c r="I9599" t="str">
        <f t="shared" si="2181"/>
        <v>0</v>
      </c>
      <c r="J9599" t="str">
        <f t="shared" si="2182"/>
        <v>00</v>
      </c>
      <c r="K9599">
        <v>20190315</v>
      </c>
      <c r="L9599" t="str">
        <f>"076084"</f>
        <v>076084</v>
      </c>
      <c r="M9599" t="str">
        <f>"45093"</f>
        <v>45093</v>
      </c>
      <c r="N9599" t="s">
        <v>885</v>
      </c>
      <c r="O9599">
        <v>206</v>
      </c>
      <c r="P9599">
        <v>20190314</v>
      </c>
      <c r="Q9599" t="s">
        <v>7496</v>
      </c>
      <c r="R9599" t="s">
        <v>7572</v>
      </c>
      <c r="S9599" t="s">
        <v>7000</v>
      </c>
      <c r="T9599" t="s">
        <v>106</v>
      </c>
    </row>
    <row r="9600" spans="1:20" x14ac:dyDescent="0.25">
      <c r="A9600">
        <v>9</v>
      </c>
      <c r="B9600">
        <v>461</v>
      </c>
      <c r="C9600" t="str">
        <f t="shared" si="2175"/>
        <v>36</v>
      </c>
      <c r="D9600">
        <v>6499</v>
      </c>
      <c r="E9600" t="str">
        <f>"7U"</f>
        <v>7U</v>
      </c>
      <c r="F9600" t="str">
        <f>"001"</f>
        <v>001</v>
      </c>
      <c r="G9600">
        <v>9</v>
      </c>
      <c r="H9600" t="str">
        <f>"99"</f>
        <v>99</v>
      </c>
      <c r="I9600" t="str">
        <f t="shared" ref="I9600:I9626" si="2188">"0"</f>
        <v>0</v>
      </c>
      <c r="J9600" t="str">
        <f t="shared" ref="J9600:J9626" si="2189">"00"</f>
        <v>00</v>
      </c>
      <c r="K9600">
        <v>20190315</v>
      </c>
      <c r="L9600" t="str">
        <f>"076084"</f>
        <v>076084</v>
      </c>
      <c r="M9600" t="str">
        <f>"45093"</f>
        <v>45093</v>
      </c>
      <c r="N9600" t="s">
        <v>885</v>
      </c>
      <c r="O9600">
        <v>190.58</v>
      </c>
      <c r="P9600">
        <v>20190314</v>
      </c>
      <c r="Q9600" t="s">
        <v>7573</v>
      </c>
      <c r="R9600" t="s">
        <v>7574</v>
      </c>
      <c r="S9600" t="s">
        <v>7000</v>
      </c>
      <c r="T9600" t="s">
        <v>301</v>
      </c>
    </row>
    <row r="9601" spans="1:20" x14ac:dyDescent="0.25">
      <c r="A9601">
        <v>9</v>
      </c>
      <c r="B9601">
        <v>461</v>
      </c>
      <c r="C9601" t="str">
        <f t="shared" si="2175"/>
        <v>36</v>
      </c>
      <c r="D9601">
        <v>6399</v>
      </c>
      <c r="E9601" t="str">
        <f>"8M"</f>
        <v>8M</v>
      </c>
      <c r="F9601" t="str">
        <f>"001"</f>
        <v>001</v>
      </c>
      <c r="G9601">
        <v>9</v>
      </c>
      <c r="H9601" t="str">
        <f>"99"</f>
        <v>99</v>
      </c>
      <c r="I9601" t="str">
        <f t="shared" si="2188"/>
        <v>0</v>
      </c>
      <c r="J9601" t="str">
        <f t="shared" si="2189"/>
        <v>00</v>
      </c>
      <c r="K9601">
        <v>20190315</v>
      </c>
      <c r="L9601" t="str">
        <f>"076086"</f>
        <v>076086</v>
      </c>
      <c r="M9601" t="str">
        <f>"00498"</f>
        <v>00498</v>
      </c>
      <c r="N9601" t="s">
        <v>7575</v>
      </c>
      <c r="O9601">
        <v>225</v>
      </c>
      <c r="P9601">
        <v>20190314</v>
      </c>
      <c r="Q9601" t="s">
        <v>7138</v>
      </c>
      <c r="R9601" t="s">
        <v>7576</v>
      </c>
      <c r="S9601" t="s">
        <v>7000</v>
      </c>
      <c r="T9601" t="s">
        <v>301</v>
      </c>
    </row>
    <row r="9602" spans="1:20" x14ac:dyDescent="0.25">
      <c r="A9602">
        <v>9</v>
      </c>
      <c r="B9602">
        <v>461</v>
      </c>
      <c r="C9602" t="str">
        <f t="shared" si="2175"/>
        <v>36</v>
      </c>
      <c r="D9602">
        <v>6412</v>
      </c>
      <c r="E9602" t="str">
        <f>"3B"</f>
        <v>3B</v>
      </c>
      <c r="F9602" t="str">
        <f>"001"</f>
        <v>001</v>
      </c>
      <c r="G9602">
        <v>9</v>
      </c>
      <c r="H9602" t="str">
        <f>"91"</f>
        <v>91</v>
      </c>
      <c r="I9602" t="str">
        <f t="shared" si="2188"/>
        <v>0</v>
      </c>
      <c r="J9602" t="str">
        <f t="shared" si="2189"/>
        <v>00</v>
      </c>
      <c r="K9602">
        <v>20190315</v>
      </c>
      <c r="L9602" t="str">
        <f>"076087"</f>
        <v>076087</v>
      </c>
      <c r="M9602" t="str">
        <f>"46233"</f>
        <v>46233</v>
      </c>
      <c r="N9602" t="s">
        <v>813</v>
      </c>
      <c r="O9602">
        <v>88</v>
      </c>
      <c r="P9602">
        <v>20190314</v>
      </c>
      <c r="Q9602" t="s">
        <v>7178</v>
      </c>
      <c r="R9602" t="s">
        <v>709</v>
      </c>
      <c r="S9602" t="s">
        <v>7000</v>
      </c>
      <c r="T9602" t="s">
        <v>301</v>
      </c>
    </row>
    <row r="9603" spans="1:20" x14ac:dyDescent="0.25">
      <c r="A9603">
        <v>9</v>
      </c>
      <c r="B9603">
        <v>461</v>
      </c>
      <c r="C9603" t="str">
        <f t="shared" si="2175"/>
        <v>36</v>
      </c>
      <c r="D9603">
        <v>6499</v>
      </c>
      <c r="E9603" t="str">
        <f>"7K"</f>
        <v>7K</v>
      </c>
      <c r="F9603" t="str">
        <f>"001"</f>
        <v>001</v>
      </c>
      <c r="G9603">
        <v>9</v>
      </c>
      <c r="H9603" t="str">
        <f t="shared" ref="H9603:H9618" si="2190">"99"</f>
        <v>99</v>
      </c>
      <c r="I9603" t="str">
        <f t="shared" si="2188"/>
        <v>0</v>
      </c>
      <c r="J9603" t="str">
        <f t="shared" si="2189"/>
        <v>00</v>
      </c>
      <c r="K9603">
        <v>20190315</v>
      </c>
      <c r="L9603" t="str">
        <f>"076094"</f>
        <v>076094</v>
      </c>
      <c r="M9603" t="str">
        <f>"51347"</f>
        <v>51347</v>
      </c>
      <c r="N9603" t="s">
        <v>1158</v>
      </c>
      <c r="O9603">
        <v>210</v>
      </c>
      <c r="P9603">
        <v>20190314</v>
      </c>
      <c r="Q9603" t="s">
        <v>7320</v>
      </c>
      <c r="R9603" t="s">
        <v>1160</v>
      </c>
      <c r="S9603" t="s">
        <v>7000</v>
      </c>
      <c r="T9603" t="s">
        <v>301</v>
      </c>
    </row>
    <row r="9604" spans="1:20" x14ac:dyDescent="0.25">
      <c r="A9604">
        <v>9</v>
      </c>
      <c r="B9604">
        <v>461</v>
      </c>
      <c r="C9604" t="str">
        <f t="shared" si="2175"/>
        <v>36</v>
      </c>
      <c r="D9604">
        <v>6299</v>
      </c>
      <c r="E9604" t="str">
        <f>"GN"</f>
        <v>GN</v>
      </c>
      <c r="F9604" t="str">
        <f>"001"</f>
        <v>001</v>
      </c>
      <c r="G9604">
        <v>9</v>
      </c>
      <c r="H9604" t="str">
        <f t="shared" si="2190"/>
        <v>99</v>
      </c>
      <c r="I9604" t="str">
        <f t="shared" si="2188"/>
        <v>0</v>
      </c>
      <c r="J9604" t="str">
        <f t="shared" si="2189"/>
        <v>00</v>
      </c>
      <c r="K9604">
        <v>20190315</v>
      </c>
      <c r="L9604" t="str">
        <f>"076097"</f>
        <v>076097</v>
      </c>
      <c r="M9604" t="str">
        <f>"56010"</f>
        <v>56010</v>
      </c>
      <c r="N9604" t="s">
        <v>7577</v>
      </c>
      <c r="O9604">
        <v>250</v>
      </c>
      <c r="P9604">
        <v>20190314</v>
      </c>
      <c r="Q9604" t="s">
        <v>7554</v>
      </c>
      <c r="R9604" t="s">
        <v>7578</v>
      </c>
      <c r="S9604" t="s">
        <v>7000</v>
      </c>
      <c r="T9604" t="s">
        <v>301</v>
      </c>
    </row>
    <row r="9605" spans="1:20" x14ac:dyDescent="0.25">
      <c r="A9605">
        <v>9</v>
      </c>
      <c r="B9605">
        <v>461</v>
      </c>
      <c r="C9605" t="str">
        <f t="shared" si="2175"/>
        <v>36</v>
      </c>
      <c r="D9605">
        <v>6399</v>
      </c>
      <c r="E9605" t="str">
        <f>"61"</f>
        <v>61</v>
      </c>
      <c r="F9605" t="str">
        <f>"101"</f>
        <v>101</v>
      </c>
      <c r="G9605">
        <v>9</v>
      </c>
      <c r="H9605" t="str">
        <f t="shared" si="2190"/>
        <v>99</v>
      </c>
      <c r="I9605" t="str">
        <f t="shared" si="2188"/>
        <v>0</v>
      </c>
      <c r="J9605" t="str">
        <f t="shared" si="2189"/>
        <v>00</v>
      </c>
      <c r="K9605">
        <v>20190315</v>
      </c>
      <c r="L9605" t="str">
        <f>"076101"</f>
        <v>076101</v>
      </c>
      <c r="M9605" t="str">
        <f>"56564"</f>
        <v>56564</v>
      </c>
      <c r="N9605" t="s">
        <v>4765</v>
      </c>
      <c r="O9605">
        <v>179.84</v>
      </c>
      <c r="P9605">
        <v>20190314</v>
      </c>
      <c r="Q9605" t="s">
        <v>7007</v>
      </c>
      <c r="R9605" t="s">
        <v>7314</v>
      </c>
      <c r="S9605" t="s">
        <v>7000</v>
      </c>
      <c r="T9605" t="s">
        <v>1479</v>
      </c>
    </row>
    <row r="9606" spans="1:20" x14ac:dyDescent="0.25">
      <c r="A9606">
        <v>9</v>
      </c>
      <c r="B9606">
        <v>461</v>
      </c>
      <c r="C9606" t="str">
        <f t="shared" si="2175"/>
        <v>36</v>
      </c>
      <c r="D9606">
        <v>6399</v>
      </c>
      <c r="E9606" t="str">
        <f>"PR"</f>
        <v>PR</v>
      </c>
      <c r="F9606" t="str">
        <f>"104"</f>
        <v>104</v>
      </c>
      <c r="G9606">
        <v>9</v>
      </c>
      <c r="H9606" t="str">
        <f t="shared" si="2190"/>
        <v>99</v>
      </c>
      <c r="I9606" t="str">
        <f t="shared" si="2188"/>
        <v>0</v>
      </c>
      <c r="J9606" t="str">
        <f t="shared" si="2189"/>
        <v>00</v>
      </c>
      <c r="K9606">
        <v>20190315</v>
      </c>
      <c r="L9606" t="str">
        <f>"076101"</f>
        <v>076101</v>
      </c>
      <c r="M9606" t="str">
        <f>"56564"</f>
        <v>56564</v>
      </c>
      <c r="N9606" t="s">
        <v>4765</v>
      </c>
      <c r="O9606">
        <v>145.01</v>
      </c>
      <c r="P9606">
        <v>20190314</v>
      </c>
      <c r="Q9606" t="s">
        <v>7014</v>
      </c>
      <c r="R9606" t="s">
        <v>7314</v>
      </c>
      <c r="S9606" t="s">
        <v>7000</v>
      </c>
      <c r="T9606" t="s">
        <v>46</v>
      </c>
    </row>
    <row r="9607" spans="1:20" x14ac:dyDescent="0.25">
      <c r="A9607">
        <v>9</v>
      </c>
      <c r="B9607">
        <v>461</v>
      </c>
      <c r="C9607" t="str">
        <f t="shared" si="2175"/>
        <v>36</v>
      </c>
      <c r="D9607">
        <v>6399</v>
      </c>
      <c r="E9607" t="str">
        <f>"7C"</f>
        <v>7C</v>
      </c>
      <c r="F9607" t="str">
        <f>"001"</f>
        <v>001</v>
      </c>
      <c r="G9607">
        <v>9</v>
      </c>
      <c r="H9607" t="str">
        <f t="shared" si="2190"/>
        <v>99</v>
      </c>
      <c r="I9607" t="str">
        <f t="shared" si="2188"/>
        <v>0</v>
      </c>
      <c r="J9607" t="str">
        <f t="shared" si="2189"/>
        <v>00</v>
      </c>
      <c r="K9607">
        <v>20190315</v>
      </c>
      <c r="L9607" t="str">
        <f>"076104"</f>
        <v>076104</v>
      </c>
      <c r="M9607" t="str">
        <f>"58204"</f>
        <v>58204</v>
      </c>
      <c r="N9607" t="s">
        <v>1767</v>
      </c>
      <c r="O9607">
        <v>73</v>
      </c>
      <c r="P9607">
        <v>20190314</v>
      </c>
      <c r="Q9607" t="s">
        <v>7538</v>
      </c>
      <c r="R9607" t="s">
        <v>7579</v>
      </c>
      <c r="S9607" t="s">
        <v>7000</v>
      </c>
      <c r="T9607" t="s">
        <v>301</v>
      </c>
    </row>
    <row r="9608" spans="1:20" x14ac:dyDescent="0.25">
      <c r="A9608">
        <v>9</v>
      </c>
      <c r="B9608">
        <v>461</v>
      </c>
      <c r="C9608" t="str">
        <f t="shared" si="2175"/>
        <v>36</v>
      </c>
      <c r="D9608">
        <v>6399</v>
      </c>
      <c r="E9608" t="str">
        <f>"05"</f>
        <v>05</v>
      </c>
      <c r="F9608" t="str">
        <f t="shared" ref="F9608:F9618" si="2191">"104"</f>
        <v>104</v>
      </c>
      <c r="G9608">
        <v>9</v>
      </c>
      <c r="H9608" t="str">
        <f t="shared" si="2190"/>
        <v>99</v>
      </c>
      <c r="I9608" t="str">
        <f t="shared" si="2188"/>
        <v>0</v>
      </c>
      <c r="J9608" t="str">
        <f t="shared" si="2189"/>
        <v>00</v>
      </c>
      <c r="K9608">
        <v>20190315</v>
      </c>
      <c r="L9608" t="str">
        <f t="shared" ref="L9608:L9617" si="2192">"076105"</f>
        <v>076105</v>
      </c>
      <c r="M9608" t="str">
        <f t="shared" ref="M9608:M9617" si="2193">"58201"</f>
        <v>58201</v>
      </c>
      <c r="N9608" t="s">
        <v>2662</v>
      </c>
      <c r="O9608">
        <v>55.86</v>
      </c>
      <c r="P9608">
        <v>20190314</v>
      </c>
      <c r="Q9608" t="s">
        <v>7310</v>
      </c>
      <c r="R9608" t="s">
        <v>7311</v>
      </c>
      <c r="S9608" t="s">
        <v>7000</v>
      </c>
      <c r="T9608" t="s">
        <v>46</v>
      </c>
    </row>
    <row r="9609" spans="1:20" x14ac:dyDescent="0.25">
      <c r="A9609">
        <v>9</v>
      </c>
      <c r="B9609">
        <v>461</v>
      </c>
      <c r="C9609" t="str">
        <f t="shared" si="2175"/>
        <v>36</v>
      </c>
      <c r="D9609">
        <v>6399</v>
      </c>
      <c r="E9609" t="str">
        <f>"7U"</f>
        <v>7U</v>
      </c>
      <c r="F9609" t="str">
        <f t="shared" si="2191"/>
        <v>104</v>
      </c>
      <c r="G9609">
        <v>9</v>
      </c>
      <c r="H9609" t="str">
        <f t="shared" si="2190"/>
        <v>99</v>
      </c>
      <c r="I9609" t="str">
        <f t="shared" si="2188"/>
        <v>0</v>
      </c>
      <c r="J9609" t="str">
        <f t="shared" si="2189"/>
        <v>00</v>
      </c>
      <c r="K9609">
        <v>20190315</v>
      </c>
      <c r="L9609" t="str">
        <f t="shared" si="2192"/>
        <v>076105</v>
      </c>
      <c r="M9609" t="str">
        <f t="shared" si="2193"/>
        <v>58201</v>
      </c>
      <c r="N9609" t="s">
        <v>2662</v>
      </c>
      <c r="O9609">
        <v>65.61</v>
      </c>
      <c r="P9609">
        <v>20190314</v>
      </c>
      <c r="Q9609" t="s">
        <v>7193</v>
      </c>
      <c r="R9609" t="s">
        <v>2486</v>
      </c>
      <c r="S9609" t="s">
        <v>7000</v>
      </c>
      <c r="T9609" t="s">
        <v>46</v>
      </c>
    </row>
    <row r="9610" spans="1:20" x14ac:dyDescent="0.25">
      <c r="A9610">
        <v>9</v>
      </c>
      <c r="B9610">
        <v>461</v>
      </c>
      <c r="C9610" t="str">
        <f t="shared" si="2175"/>
        <v>36</v>
      </c>
      <c r="D9610">
        <v>6399</v>
      </c>
      <c r="E9610" t="str">
        <f>"7U"</f>
        <v>7U</v>
      </c>
      <c r="F9610" t="str">
        <f t="shared" si="2191"/>
        <v>104</v>
      </c>
      <c r="G9610">
        <v>9</v>
      </c>
      <c r="H9610" t="str">
        <f t="shared" si="2190"/>
        <v>99</v>
      </c>
      <c r="I9610" t="str">
        <f t="shared" si="2188"/>
        <v>0</v>
      </c>
      <c r="J9610" t="str">
        <f t="shared" si="2189"/>
        <v>00</v>
      </c>
      <c r="K9610">
        <v>20190315</v>
      </c>
      <c r="L9610" t="str">
        <f t="shared" si="2192"/>
        <v>076105</v>
      </c>
      <c r="M9610" t="str">
        <f t="shared" si="2193"/>
        <v>58201</v>
      </c>
      <c r="N9610" t="s">
        <v>2662</v>
      </c>
      <c r="O9610">
        <v>26.98</v>
      </c>
      <c r="P9610">
        <v>20190314</v>
      </c>
      <c r="Q9610" t="s">
        <v>7193</v>
      </c>
      <c r="R9610" t="s">
        <v>2486</v>
      </c>
      <c r="S9610" t="s">
        <v>7000</v>
      </c>
      <c r="T9610" t="s">
        <v>46</v>
      </c>
    </row>
    <row r="9611" spans="1:20" x14ac:dyDescent="0.25">
      <c r="A9611">
        <v>9</v>
      </c>
      <c r="B9611">
        <v>461</v>
      </c>
      <c r="C9611" t="str">
        <f t="shared" si="2175"/>
        <v>36</v>
      </c>
      <c r="D9611">
        <v>6399</v>
      </c>
      <c r="E9611" t="str">
        <f>"7U"</f>
        <v>7U</v>
      </c>
      <c r="F9611" t="str">
        <f t="shared" si="2191"/>
        <v>104</v>
      </c>
      <c r="G9611">
        <v>9</v>
      </c>
      <c r="H9611" t="str">
        <f t="shared" si="2190"/>
        <v>99</v>
      </c>
      <c r="I9611" t="str">
        <f t="shared" si="2188"/>
        <v>0</v>
      </c>
      <c r="J9611" t="str">
        <f t="shared" si="2189"/>
        <v>00</v>
      </c>
      <c r="K9611">
        <v>20190315</v>
      </c>
      <c r="L9611" t="str">
        <f t="shared" si="2192"/>
        <v>076105</v>
      </c>
      <c r="M9611" t="str">
        <f t="shared" si="2193"/>
        <v>58201</v>
      </c>
      <c r="N9611" t="s">
        <v>2662</v>
      </c>
      <c r="O9611">
        <v>28.5</v>
      </c>
      <c r="P9611">
        <v>20190314</v>
      </c>
      <c r="Q9611" t="s">
        <v>7193</v>
      </c>
      <c r="R9611" t="s">
        <v>7580</v>
      </c>
      <c r="S9611" t="s">
        <v>7000</v>
      </c>
      <c r="T9611" t="s">
        <v>46</v>
      </c>
    </row>
    <row r="9612" spans="1:20" x14ac:dyDescent="0.25">
      <c r="A9612">
        <v>9</v>
      </c>
      <c r="B9612">
        <v>461</v>
      </c>
      <c r="C9612" t="str">
        <f t="shared" si="2175"/>
        <v>36</v>
      </c>
      <c r="D9612">
        <v>6399</v>
      </c>
      <c r="E9612" t="str">
        <f>"90"</f>
        <v>90</v>
      </c>
      <c r="F9612" t="str">
        <f t="shared" si="2191"/>
        <v>104</v>
      </c>
      <c r="G9612">
        <v>9</v>
      </c>
      <c r="H9612" t="str">
        <f t="shared" si="2190"/>
        <v>99</v>
      </c>
      <c r="I9612" t="str">
        <f t="shared" si="2188"/>
        <v>0</v>
      </c>
      <c r="J9612" t="str">
        <f t="shared" si="2189"/>
        <v>00</v>
      </c>
      <c r="K9612">
        <v>20190315</v>
      </c>
      <c r="L9612" t="str">
        <f t="shared" si="2192"/>
        <v>076105</v>
      </c>
      <c r="M9612" t="str">
        <f t="shared" si="2193"/>
        <v>58201</v>
      </c>
      <c r="N9612" t="s">
        <v>2662</v>
      </c>
      <c r="O9612">
        <v>22.92</v>
      </c>
      <c r="P9612">
        <v>20190314</v>
      </c>
      <c r="Q9612" t="s">
        <v>7581</v>
      </c>
      <c r="R9612" t="s">
        <v>7582</v>
      </c>
      <c r="S9612" t="s">
        <v>7000</v>
      </c>
      <c r="T9612" t="s">
        <v>46</v>
      </c>
    </row>
    <row r="9613" spans="1:20" x14ac:dyDescent="0.25">
      <c r="A9613">
        <v>9</v>
      </c>
      <c r="B9613">
        <v>461</v>
      </c>
      <c r="C9613" t="str">
        <f t="shared" si="2175"/>
        <v>36</v>
      </c>
      <c r="D9613">
        <v>6399</v>
      </c>
      <c r="E9613" t="str">
        <f>"PR"</f>
        <v>PR</v>
      </c>
      <c r="F9613" t="str">
        <f t="shared" si="2191"/>
        <v>104</v>
      </c>
      <c r="G9613">
        <v>9</v>
      </c>
      <c r="H9613" t="str">
        <f t="shared" si="2190"/>
        <v>99</v>
      </c>
      <c r="I9613" t="str">
        <f t="shared" si="2188"/>
        <v>0</v>
      </c>
      <c r="J9613" t="str">
        <f t="shared" si="2189"/>
        <v>00</v>
      </c>
      <c r="K9613">
        <v>20190315</v>
      </c>
      <c r="L9613" t="str">
        <f t="shared" si="2192"/>
        <v>076105</v>
      </c>
      <c r="M9613" t="str">
        <f t="shared" si="2193"/>
        <v>58201</v>
      </c>
      <c r="N9613" t="s">
        <v>2662</v>
      </c>
      <c r="O9613">
        <v>19</v>
      </c>
      <c r="P9613">
        <v>20190314</v>
      </c>
      <c r="Q9613" t="s">
        <v>7014</v>
      </c>
      <c r="R9613" t="s">
        <v>7583</v>
      </c>
      <c r="S9613" t="s">
        <v>7000</v>
      </c>
      <c r="T9613" t="s">
        <v>46</v>
      </c>
    </row>
    <row r="9614" spans="1:20" x14ac:dyDescent="0.25">
      <c r="A9614">
        <v>9</v>
      </c>
      <c r="B9614">
        <v>461</v>
      </c>
      <c r="C9614" t="str">
        <f t="shared" si="2175"/>
        <v>36</v>
      </c>
      <c r="D9614">
        <v>6399</v>
      </c>
      <c r="E9614" t="str">
        <f>"PR"</f>
        <v>PR</v>
      </c>
      <c r="F9614" t="str">
        <f t="shared" si="2191"/>
        <v>104</v>
      </c>
      <c r="G9614">
        <v>9</v>
      </c>
      <c r="H9614" t="str">
        <f t="shared" si="2190"/>
        <v>99</v>
      </c>
      <c r="I9614" t="str">
        <f t="shared" si="2188"/>
        <v>0</v>
      </c>
      <c r="J9614" t="str">
        <f t="shared" si="2189"/>
        <v>00</v>
      </c>
      <c r="K9614">
        <v>20190315</v>
      </c>
      <c r="L9614" t="str">
        <f t="shared" si="2192"/>
        <v>076105</v>
      </c>
      <c r="M9614" t="str">
        <f t="shared" si="2193"/>
        <v>58201</v>
      </c>
      <c r="N9614" t="s">
        <v>2662</v>
      </c>
      <c r="O9614">
        <v>22.9</v>
      </c>
      <c r="P9614">
        <v>20190314</v>
      </c>
      <c r="Q9614" t="s">
        <v>7014</v>
      </c>
      <c r="R9614" t="s">
        <v>7584</v>
      </c>
      <c r="S9614" t="s">
        <v>7000</v>
      </c>
      <c r="T9614" t="s">
        <v>46</v>
      </c>
    </row>
    <row r="9615" spans="1:20" x14ac:dyDescent="0.25">
      <c r="A9615">
        <v>9</v>
      </c>
      <c r="B9615">
        <v>461</v>
      </c>
      <c r="C9615" t="str">
        <f t="shared" si="2175"/>
        <v>36</v>
      </c>
      <c r="D9615">
        <v>6399</v>
      </c>
      <c r="E9615" t="str">
        <f>"PR"</f>
        <v>PR</v>
      </c>
      <c r="F9615" t="str">
        <f t="shared" si="2191"/>
        <v>104</v>
      </c>
      <c r="G9615">
        <v>9</v>
      </c>
      <c r="H9615" t="str">
        <f t="shared" si="2190"/>
        <v>99</v>
      </c>
      <c r="I9615" t="str">
        <f t="shared" si="2188"/>
        <v>0</v>
      </c>
      <c r="J9615" t="str">
        <f t="shared" si="2189"/>
        <v>00</v>
      </c>
      <c r="K9615">
        <v>20190315</v>
      </c>
      <c r="L9615" t="str">
        <f t="shared" si="2192"/>
        <v>076105</v>
      </c>
      <c r="M9615" t="str">
        <f t="shared" si="2193"/>
        <v>58201</v>
      </c>
      <c r="N9615" t="s">
        <v>2662</v>
      </c>
      <c r="O9615">
        <v>13.32</v>
      </c>
      <c r="P9615">
        <v>20190314</v>
      </c>
      <c r="Q9615" t="s">
        <v>7014</v>
      </c>
      <c r="R9615" t="s">
        <v>7585</v>
      </c>
      <c r="S9615" t="s">
        <v>7000</v>
      </c>
      <c r="T9615" t="s">
        <v>46</v>
      </c>
    </row>
    <row r="9616" spans="1:20" x14ac:dyDescent="0.25">
      <c r="A9616">
        <v>9</v>
      </c>
      <c r="B9616">
        <v>461</v>
      </c>
      <c r="C9616" t="str">
        <f t="shared" ref="C9616:C9679" si="2194">"36"</f>
        <v>36</v>
      </c>
      <c r="D9616">
        <v>6399</v>
      </c>
      <c r="E9616" t="str">
        <f>"PR"</f>
        <v>PR</v>
      </c>
      <c r="F9616" t="str">
        <f t="shared" si="2191"/>
        <v>104</v>
      </c>
      <c r="G9616">
        <v>9</v>
      </c>
      <c r="H9616" t="str">
        <f t="shared" si="2190"/>
        <v>99</v>
      </c>
      <c r="I9616" t="str">
        <f t="shared" si="2188"/>
        <v>0</v>
      </c>
      <c r="J9616" t="str">
        <f t="shared" si="2189"/>
        <v>00</v>
      </c>
      <c r="K9616">
        <v>20190315</v>
      </c>
      <c r="L9616" t="str">
        <f t="shared" si="2192"/>
        <v>076105</v>
      </c>
      <c r="M9616" t="str">
        <f t="shared" si="2193"/>
        <v>58201</v>
      </c>
      <c r="N9616" t="s">
        <v>2662</v>
      </c>
      <c r="O9616">
        <v>9.84</v>
      </c>
      <c r="P9616">
        <v>20190314</v>
      </c>
      <c r="Q9616" t="s">
        <v>7014</v>
      </c>
      <c r="R9616" t="s">
        <v>7195</v>
      </c>
      <c r="S9616" t="s">
        <v>7000</v>
      </c>
      <c r="T9616" t="s">
        <v>46</v>
      </c>
    </row>
    <row r="9617" spans="1:20" x14ac:dyDescent="0.25">
      <c r="A9617">
        <v>9</v>
      </c>
      <c r="B9617">
        <v>461</v>
      </c>
      <c r="C9617" t="str">
        <f t="shared" si="2194"/>
        <v>36</v>
      </c>
      <c r="D9617">
        <v>6399</v>
      </c>
      <c r="E9617" t="str">
        <f>"PR"</f>
        <v>PR</v>
      </c>
      <c r="F9617" t="str">
        <f t="shared" si="2191"/>
        <v>104</v>
      </c>
      <c r="G9617">
        <v>9</v>
      </c>
      <c r="H9617" t="str">
        <f t="shared" si="2190"/>
        <v>99</v>
      </c>
      <c r="I9617" t="str">
        <f t="shared" si="2188"/>
        <v>0</v>
      </c>
      <c r="J9617" t="str">
        <f t="shared" si="2189"/>
        <v>00</v>
      </c>
      <c r="K9617">
        <v>20190315</v>
      </c>
      <c r="L9617" t="str">
        <f t="shared" si="2192"/>
        <v>076105</v>
      </c>
      <c r="M9617" t="str">
        <f t="shared" si="2193"/>
        <v>58201</v>
      </c>
      <c r="N9617" t="s">
        <v>2662</v>
      </c>
      <c r="O9617">
        <v>50.41</v>
      </c>
      <c r="P9617">
        <v>20190314</v>
      </c>
      <c r="Q9617" t="s">
        <v>7014</v>
      </c>
      <c r="R9617" t="s">
        <v>2784</v>
      </c>
      <c r="S9617" t="s">
        <v>7000</v>
      </c>
      <c r="T9617" t="s">
        <v>46</v>
      </c>
    </row>
    <row r="9618" spans="1:20" x14ac:dyDescent="0.25">
      <c r="A9618">
        <v>9</v>
      </c>
      <c r="B9618">
        <v>461</v>
      </c>
      <c r="C9618" t="str">
        <f t="shared" si="2194"/>
        <v>36</v>
      </c>
      <c r="D9618">
        <v>6399</v>
      </c>
      <c r="E9618" t="str">
        <f>"7U"</f>
        <v>7U</v>
      </c>
      <c r="F9618" t="str">
        <f t="shared" si="2191"/>
        <v>104</v>
      </c>
      <c r="G9618">
        <v>9</v>
      </c>
      <c r="H9618" t="str">
        <f t="shared" si="2190"/>
        <v>99</v>
      </c>
      <c r="I9618" t="str">
        <f t="shared" si="2188"/>
        <v>0</v>
      </c>
      <c r="J9618" t="str">
        <f t="shared" si="2189"/>
        <v>00</v>
      </c>
      <c r="K9618">
        <v>20190315</v>
      </c>
      <c r="L9618" t="str">
        <f>"076113"</f>
        <v>076113</v>
      </c>
      <c r="M9618" t="str">
        <f>"65766"</f>
        <v>65766</v>
      </c>
      <c r="N9618" t="s">
        <v>7201</v>
      </c>
      <c r="O9618" s="1">
        <v>4245.96</v>
      </c>
      <c r="P9618">
        <v>20190315</v>
      </c>
      <c r="Q9618" t="s">
        <v>7193</v>
      </c>
      <c r="R9618" t="s">
        <v>7586</v>
      </c>
      <c r="S9618" t="s">
        <v>7000</v>
      </c>
      <c r="T9618" t="s">
        <v>46</v>
      </c>
    </row>
    <row r="9619" spans="1:20" x14ac:dyDescent="0.25">
      <c r="A9619">
        <v>9</v>
      </c>
      <c r="B9619">
        <v>461</v>
      </c>
      <c r="C9619" t="str">
        <f t="shared" si="2194"/>
        <v>36</v>
      </c>
      <c r="D9619">
        <v>6399</v>
      </c>
      <c r="E9619" t="str">
        <f>"3B"</f>
        <v>3B</v>
      </c>
      <c r="F9619" t="str">
        <f>"001"</f>
        <v>001</v>
      </c>
      <c r="G9619">
        <v>9</v>
      </c>
      <c r="H9619" t="str">
        <f>"91"</f>
        <v>91</v>
      </c>
      <c r="I9619" t="str">
        <f t="shared" si="2188"/>
        <v>0</v>
      </c>
      <c r="J9619" t="str">
        <f t="shared" si="2189"/>
        <v>00</v>
      </c>
      <c r="K9619">
        <v>20190315</v>
      </c>
      <c r="L9619" t="str">
        <f>"076118"</f>
        <v>076118</v>
      </c>
      <c r="M9619" t="str">
        <f>"71250"</f>
        <v>71250</v>
      </c>
      <c r="N9619" t="s">
        <v>1389</v>
      </c>
      <c r="O9619">
        <v>38.450000000000003</v>
      </c>
      <c r="P9619">
        <v>20190315</v>
      </c>
      <c r="Q9619" t="s">
        <v>7024</v>
      </c>
      <c r="R9619" t="s">
        <v>7587</v>
      </c>
      <c r="S9619" t="s">
        <v>7000</v>
      </c>
      <c r="T9619" t="s">
        <v>301</v>
      </c>
    </row>
    <row r="9620" spans="1:20" x14ac:dyDescent="0.25">
      <c r="A9620">
        <v>9</v>
      </c>
      <c r="B9620">
        <v>461</v>
      </c>
      <c r="C9620" t="str">
        <f t="shared" si="2194"/>
        <v>36</v>
      </c>
      <c r="D9620">
        <v>6399</v>
      </c>
      <c r="E9620" t="str">
        <f>"3K"</f>
        <v>3K</v>
      </c>
      <c r="F9620" t="str">
        <f>"001"</f>
        <v>001</v>
      </c>
      <c r="G9620">
        <v>9</v>
      </c>
      <c r="H9620" t="str">
        <f>"91"</f>
        <v>91</v>
      </c>
      <c r="I9620" t="str">
        <f t="shared" si="2188"/>
        <v>0</v>
      </c>
      <c r="J9620" t="str">
        <f t="shared" si="2189"/>
        <v>00</v>
      </c>
      <c r="K9620">
        <v>20190315</v>
      </c>
      <c r="L9620" t="str">
        <f>"076118"</f>
        <v>076118</v>
      </c>
      <c r="M9620" t="str">
        <f>"71250"</f>
        <v>71250</v>
      </c>
      <c r="N9620" t="s">
        <v>1389</v>
      </c>
      <c r="O9620">
        <v>28.36</v>
      </c>
      <c r="P9620">
        <v>20190315</v>
      </c>
      <c r="Q9620" t="s">
        <v>7284</v>
      </c>
      <c r="R9620" t="s">
        <v>7588</v>
      </c>
      <c r="S9620" t="s">
        <v>7000</v>
      </c>
      <c r="T9620" t="s">
        <v>301</v>
      </c>
    </row>
    <row r="9621" spans="1:20" x14ac:dyDescent="0.25">
      <c r="A9621">
        <v>9</v>
      </c>
      <c r="B9621">
        <v>461</v>
      </c>
      <c r="C9621" t="str">
        <f t="shared" si="2194"/>
        <v>36</v>
      </c>
      <c r="D9621">
        <v>6399</v>
      </c>
      <c r="E9621" t="str">
        <f>"3S"</f>
        <v>3S</v>
      </c>
      <c r="F9621" t="str">
        <f>"001"</f>
        <v>001</v>
      </c>
      <c r="G9621">
        <v>9</v>
      </c>
      <c r="H9621" t="str">
        <f>"91"</f>
        <v>91</v>
      </c>
      <c r="I9621" t="str">
        <f t="shared" si="2188"/>
        <v>0</v>
      </c>
      <c r="J9621" t="str">
        <f t="shared" si="2189"/>
        <v>00</v>
      </c>
      <c r="K9621">
        <v>20190315</v>
      </c>
      <c r="L9621" t="str">
        <f>"076120"</f>
        <v>076120</v>
      </c>
      <c r="M9621" t="str">
        <f>"74131"</f>
        <v>74131</v>
      </c>
      <c r="N9621" t="s">
        <v>495</v>
      </c>
      <c r="O9621">
        <v>500</v>
      </c>
      <c r="P9621">
        <v>20190315</v>
      </c>
      <c r="Q9621" t="s">
        <v>7403</v>
      </c>
      <c r="R9621" t="s">
        <v>7589</v>
      </c>
      <c r="S9621" t="s">
        <v>7000</v>
      </c>
      <c r="T9621" t="s">
        <v>301</v>
      </c>
    </row>
    <row r="9622" spans="1:20" x14ac:dyDescent="0.25">
      <c r="A9622">
        <v>9</v>
      </c>
      <c r="B9622">
        <v>461</v>
      </c>
      <c r="C9622" t="str">
        <f t="shared" si="2194"/>
        <v>36</v>
      </c>
      <c r="D9622">
        <v>6399</v>
      </c>
      <c r="E9622" t="str">
        <f>"3S"</f>
        <v>3S</v>
      </c>
      <c r="F9622" t="str">
        <f>"041"</f>
        <v>041</v>
      </c>
      <c r="G9622">
        <v>9</v>
      </c>
      <c r="H9622" t="str">
        <f>"91"</f>
        <v>91</v>
      </c>
      <c r="I9622" t="str">
        <f t="shared" si="2188"/>
        <v>0</v>
      </c>
      <c r="J9622" t="str">
        <f t="shared" si="2189"/>
        <v>00</v>
      </c>
      <c r="K9622">
        <v>20190315</v>
      </c>
      <c r="L9622" t="str">
        <f>"076120"</f>
        <v>076120</v>
      </c>
      <c r="M9622" t="str">
        <f>"74131"</f>
        <v>74131</v>
      </c>
      <c r="N9622" t="s">
        <v>495</v>
      </c>
      <c r="O9622">
        <v>572</v>
      </c>
      <c r="P9622">
        <v>20190315</v>
      </c>
      <c r="Q9622" t="s">
        <v>7107</v>
      </c>
      <c r="R9622" t="s">
        <v>7590</v>
      </c>
      <c r="S9622" t="s">
        <v>7000</v>
      </c>
      <c r="T9622" t="s">
        <v>106</v>
      </c>
    </row>
    <row r="9623" spans="1:20" x14ac:dyDescent="0.25">
      <c r="A9623">
        <v>9</v>
      </c>
      <c r="B9623">
        <v>461</v>
      </c>
      <c r="C9623" t="str">
        <f t="shared" si="2194"/>
        <v>36</v>
      </c>
      <c r="D9623">
        <v>6412</v>
      </c>
      <c r="E9623" t="str">
        <f>"61"</f>
        <v>61</v>
      </c>
      <c r="F9623" t="str">
        <f>"101"</f>
        <v>101</v>
      </c>
      <c r="G9623">
        <v>9</v>
      </c>
      <c r="H9623" t="str">
        <f>"99"</f>
        <v>99</v>
      </c>
      <c r="I9623" t="str">
        <f t="shared" si="2188"/>
        <v>0</v>
      </c>
      <c r="J9623" t="str">
        <f t="shared" si="2189"/>
        <v>00</v>
      </c>
      <c r="K9623">
        <v>20190315</v>
      </c>
      <c r="L9623" t="str">
        <f>"076126"</f>
        <v>076126</v>
      </c>
      <c r="M9623" t="str">
        <f>"79426"</f>
        <v>79426</v>
      </c>
      <c r="N9623" t="s">
        <v>6539</v>
      </c>
      <c r="O9623" s="1">
        <v>1610</v>
      </c>
      <c r="P9623">
        <v>20190315</v>
      </c>
      <c r="Q9623" t="s">
        <v>7268</v>
      </c>
      <c r="R9623" t="s">
        <v>7591</v>
      </c>
      <c r="S9623" t="s">
        <v>7000</v>
      </c>
      <c r="T9623" t="s">
        <v>1479</v>
      </c>
    </row>
    <row r="9624" spans="1:20" x14ac:dyDescent="0.25">
      <c r="A9624">
        <v>9</v>
      </c>
      <c r="B9624">
        <v>461</v>
      </c>
      <c r="C9624" t="str">
        <f t="shared" si="2194"/>
        <v>36</v>
      </c>
      <c r="D9624">
        <v>6412</v>
      </c>
      <c r="E9624" t="str">
        <f>"61"</f>
        <v>61</v>
      </c>
      <c r="F9624" t="str">
        <f>"101"</f>
        <v>101</v>
      </c>
      <c r="G9624">
        <v>9</v>
      </c>
      <c r="H9624" t="str">
        <f>"99"</f>
        <v>99</v>
      </c>
      <c r="I9624" t="str">
        <f t="shared" si="2188"/>
        <v>0</v>
      </c>
      <c r="J9624" t="str">
        <f t="shared" si="2189"/>
        <v>00</v>
      </c>
      <c r="K9624">
        <v>20190315</v>
      </c>
      <c r="L9624" t="str">
        <f>"076127"</f>
        <v>076127</v>
      </c>
      <c r="M9624" t="str">
        <f>"79426"</f>
        <v>79426</v>
      </c>
      <c r="N9624" t="s">
        <v>6539</v>
      </c>
      <c r="O9624" s="1">
        <v>1518</v>
      </c>
      <c r="P9624">
        <v>20190315</v>
      </c>
      <c r="Q9624" t="s">
        <v>7268</v>
      </c>
      <c r="R9624" t="s">
        <v>7592</v>
      </c>
      <c r="S9624" t="s">
        <v>7000</v>
      </c>
      <c r="T9624" t="s">
        <v>1479</v>
      </c>
    </row>
    <row r="9625" spans="1:20" x14ac:dyDescent="0.25">
      <c r="A9625">
        <v>9</v>
      </c>
      <c r="B9625">
        <v>461</v>
      </c>
      <c r="C9625" t="str">
        <f t="shared" si="2194"/>
        <v>36</v>
      </c>
      <c r="D9625">
        <v>6499</v>
      </c>
      <c r="E9625" t="str">
        <f>"3B"</f>
        <v>3B</v>
      </c>
      <c r="F9625" t="str">
        <f>"001"</f>
        <v>001</v>
      </c>
      <c r="G9625">
        <v>9</v>
      </c>
      <c r="H9625" t="str">
        <f>"91"</f>
        <v>91</v>
      </c>
      <c r="I9625" t="str">
        <f t="shared" si="2188"/>
        <v>0</v>
      </c>
      <c r="J9625" t="str">
        <f t="shared" si="2189"/>
        <v>00</v>
      </c>
      <c r="K9625">
        <v>20190315</v>
      </c>
      <c r="L9625" t="str">
        <f>"076131"</f>
        <v>076131</v>
      </c>
      <c r="M9625" t="str">
        <f>"81299"</f>
        <v>81299</v>
      </c>
      <c r="N9625" t="s">
        <v>4298</v>
      </c>
      <c r="O9625">
        <v>100</v>
      </c>
      <c r="P9625">
        <v>20190315</v>
      </c>
      <c r="Q9625" t="s">
        <v>7593</v>
      </c>
      <c r="R9625" t="s">
        <v>7390</v>
      </c>
      <c r="S9625" t="s">
        <v>7000</v>
      </c>
      <c r="T9625" t="s">
        <v>301</v>
      </c>
    </row>
    <row r="9626" spans="1:20" x14ac:dyDescent="0.25">
      <c r="A9626">
        <v>9</v>
      </c>
      <c r="B9626">
        <v>461</v>
      </c>
      <c r="C9626" t="str">
        <f t="shared" si="2194"/>
        <v>36</v>
      </c>
      <c r="D9626">
        <v>6499</v>
      </c>
      <c r="E9626" t="str">
        <f>"3D"</f>
        <v>3D</v>
      </c>
      <c r="F9626" t="str">
        <f>"001"</f>
        <v>001</v>
      </c>
      <c r="G9626">
        <v>9</v>
      </c>
      <c r="H9626" t="str">
        <f>"91"</f>
        <v>91</v>
      </c>
      <c r="I9626" t="str">
        <f t="shared" si="2188"/>
        <v>0</v>
      </c>
      <c r="J9626" t="str">
        <f t="shared" si="2189"/>
        <v>00</v>
      </c>
      <c r="K9626">
        <v>20190315</v>
      </c>
      <c r="L9626" t="str">
        <f>"076131"</f>
        <v>076131</v>
      </c>
      <c r="M9626" t="str">
        <f>"81299"</f>
        <v>81299</v>
      </c>
      <c r="N9626" t="s">
        <v>4298</v>
      </c>
      <c r="O9626">
        <v>100</v>
      </c>
      <c r="P9626">
        <v>20190315</v>
      </c>
      <c r="Q9626" t="s">
        <v>7594</v>
      </c>
      <c r="R9626" t="s">
        <v>7390</v>
      </c>
      <c r="S9626" t="s">
        <v>7000</v>
      </c>
      <c r="T9626" t="s">
        <v>301</v>
      </c>
    </row>
    <row r="9627" spans="1:20" x14ac:dyDescent="0.25">
      <c r="A9627">
        <v>9</v>
      </c>
      <c r="B9627">
        <v>461</v>
      </c>
      <c r="C9627" t="str">
        <f t="shared" si="2194"/>
        <v>36</v>
      </c>
      <c r="D9627">
        <v>6399</v>
      </c>
      <c r="E9627" t="str">
        <f>"09"</f>
        <v>09</v>
      </c>
      <c r="F9627" t="str">
        <f>"942"</f>
        <v>942</v>
      </c>
      <c r="G9627">
        <v>9</v>
      </c>
      <c r="H9627" t="str">
        <f>"99"</f>
        <v>99</v>
      </c>
      <c r="I9627" t="str">
        <f>"4"</f>
        <v>4</v>
      </c>
      <c r="J9627" t="str">
        <f>"88"</f>
        <v>88</v>
      </c>
      <c r="K9627">
        <v>20190315</v>
      </c>
      <c r="L9627" t="str">
        <f t="shared" ref="L9627:L9633" si="2195">"076132"</f>
        <v>076132</v>
      </c>
      <c r="M9627" t="str">
        <f t="shared" ref="M9627:M9633" si="2196">"81303"</f>
        <v>81303</v>
      </c>
      <c r="N9627" t="s">
        <v>66</v>
      </c>
      <c r="O9627">
        <v>97.5</v>
      </c>
      <c r="P9627">
        <v>20190315</v>
      </c>
      <c r="Q9627" t="s">
        <v>7595</v>
      </c>
      <c r="R9627" t="s">
        <v>3476</v>
      </c>
      <c r="S9627" t="s">
        <v>7000</v>
      </c>
      <c r="T9627" t="s">
        <v>1831</v>
      </c>
    </row>
    <row r="9628" spans="1:20" x14ac:dyDescent="0.25">
      <c r="A9628">
        <v>9</v>
      </c>
      <c r="B9628">
        <v>461</v>
      </c>
      <c r="C9628" t="str">
        <f t="shared" si="2194"/>
        <v>36</v>
      </c>
      <c r="D9628">
        <v>6399</v>
      </c>
      <c r="E9628" t="str">
        <f>"3B"</f>
        <v>3B</v>
      </c>
      <c r="F9628" t="str">
        <f t="shared" ref="F9628:F9634" si="2197">"001"</f>
        <v>001</v>
      </c>
      <c r="G9628">
        <v>9</v>
      </c>
      <c r="H9628" t="str">
        <f>"91"</f>
        <v>91</v>
      </c>
      <c r="I9628" t="str">
        <f t="shared" ref="I9628:I9637" si="2198">"0"</f>
        <v>0</v>
      </c>
      <c r="J9628" t="str">
        <f t="shared" ref="J9628:J9637" si="2199">"00"</f>
        <v>00</v>
      </c>
      <c r="K9628">
        <v>20190315</v>
      </c>
      <c r="L9628" t="str">
        <f t="shared" si="2195"/>
        <v>076132</v>
      </c>
      <c r="M9628" t="str">
        <f t="shared" si="2196"/>
        <v>81303</v>
      </c>
      <c r="N9628" t="s">
        <v>66</v>
      </c>
      <c r="O9628">
        <v>975</v>
      </c>
      <c r="P9628">
        <v>20190315</v>
      </c>
      <c r="Q9628" t="s">
        <v>7024</v>
      </c>
      <c r="R9628" t="s">
        <v>7596</v>
      </c>
      <c r="S9628" t="s">
        <v>7000</v>
      </c>
      <c r="T9628" t="s">
        <v>301</v>
      </c>
    </row>
    <row r="9629" spans="1:20" x14ac:dyDescent="0.25">
      <c r="A9629">
        <v>9</v>
      </c>
      <c r="B9629">
        <v>461</v>
      </c>
      <c r="C9629" t="str">
        <f t="shared" si="2194"/>
        <v>36</v>
      </c>
      <c r="D9629">
        <v>6399</v>
      </c>
      <c r="E9629" t="str">
        <f>"3D"</f>
        <v>3D</v>
      </c>
      <c r="F9629" t="str">
        <f t="shared" si="2197"/>
        <v>001</v>
      </c>
      <c r="G9629">
        <v>9</v>
      </c>
      <c r="H9629" t="str">
        <f>"91"</f>
        <v>91</v>
      </c>
      <c r="I9629" t="str">
        <f t="shared" si="2198"/>
        <v>0</v>
      </c>
      <c r="J9629" t="str">
        <f t="shared" si="2199"/>
        <v>00</v>
      </c>
      <c r="K9629">
        <v>20190315</v>
      </c>
      <c r="L9629" t="str">
        <f t="shared" si="2195"/>
        <v>076132</v>
      </c>
      <c r="M9629" t="str">
        <f t="shared" si="2196"/>
        <v>81303</v>
      </c>
      <c r="N9629" t="s">
        <v>66</v>
      </c>
      <c r="O9629">
        <v>900</v>
      </c>
      <c r="P9629">
        <v>20190315</v>
      </c>
      <c r="Q9629" t="s">
        <v>7146</v>
      </c>
      <c r="R9629" t="s">
        <v>7597</v>
      </c>
      <c r="S9629" t="s">
        <v>7000</v>
      </c>
      <c r="T9629" t="s">
        <v>301</v>
      </c>
    </row>
    <row r="9630" spans="1:20" x14ac:dyDescent="0.25">
      <c r="A9630">
        <v>9</v>
      </c>
      <c r="B9630">
        <v>461</v>
      </c>
      <c r="C9630" t="str">
        <f t="shared" si="2194"/>
        <v>36</v>
      </c>
      <c r="D9630">
        <v>6399</v>
      </c>
      <c r="E9630" t="str">
        <f>"3D"</f>
        <v>3D</v>
      </c>
      <c r="F9630" t="str">
        <f t="shared" si="2197"/>
        <v>001</v>
      </c>
      <c r="G9630">
        <v>9</v>
      </c>
      <c r="H9630" t="str">
        <f>"91"</f>
        <v>91</v>
      </c>
      <c r="I9630" t="str">
        <f t="shared" si="2198"/>
        <v>0</v>
      </c>
      <c r="J9630" t="str">
        <f t="shared" si="2199"/>
        <v>00</v>
      </c>
      <c r="K9630">
        <v>20190315</v>
      </c>
      <c r="L9630" t="str">
        <f t="shared" si="2195"/>
        <v>076132</v>
      </c>
      <c r="M9630" t="str">
        <f t="shared" si="2196"/>
        <v>81303</v>
      </c>
      <c r="N9630" t="s">
        <v>66</v>
      </c>
      <c r="O9630">
        <v>34</v>
      </c>
      <c r="P9630">
        <v>20190315</v>
      </c>
      <c r="Q9630" t="s">
        <v>7146</v>
      </c>
      <c r="R9630" t="s">
        <v>7598</v>
      </c>
      <c r="S9630" t="s">
        <v>7000</v>
      </c>
      <c r="T9630" t="s">
        <v>301</v>
      </c>
    </row>
    <row r="9631" spans="1:20" x14ac:dyDescent="0.25">
      <c r="A9631">
        <v>9</v>
      </c>
      <c r="B9631">
        <v>461</v>
      </c>
      <c r="C9631" t="str">
        <f t="shared" si="2194"/>
        <v>36</v>
      </c>
      <c r="D9631">
        <v>6399</v>
      </c>
      <c r="E9631" t="str">
        <f>"3K"</f>
        <v>3K</v>
      </c>
      <c r="F9631" t="str">
        <f t="shared" si="2197"/>
        <v>001</v>
      </c>
      <c r="G9631">
        <v>9</v>
      </c>
      <c r="H9631" t="str">
        <f>"91"</f>
        <v>91</v>
      </c>
      <c r="I9631" t="str">
        <f t="shared" si="2198"/>
        <v>0</v>
      </c>
      <c r="J9631" t="str">
        <f t="shared" si="2199"/>
        <v>00</v>
      </c>
      <c r="K9631">
        <v>20190315</v>
      </c>
      <c r="L9631" t="str">
        <f t="shared" si="2195"/>
        <v>076132</v>
      </c>
      <c r="M9631" t="str">
        <f t="shared" si="2196"/>
        <v>81303</v>
      </c>
      <c r="N9631" t="s">
        <v>66</v>
      </c>
      <c r="O9631">
        <v>149.84</v>
      </c>
      <c r="P9631">
        <v>20190315</v>
      </c>
      <c r="Q9631" t="s">
        <v>7284</v>
      </c>
      <c r="R9631" t="s">
        <v>7599</v>
      </c>
      <c r="S9631" t="s">
        <v>7000</v>
      </c>
      <c r="T9631" t="s">
        <v>301</v>
      </c>
    </row>
    <row r="9632" spans="1:20" x14ac:dyDescent="0.25">
      <c r="A9632">
        <v>9</v>
      </c>
      <c r="B9632">
        <v>461</v>
      </c>
      <c r="C9632" t="str">
        <f t="shared" si="2194"/>
        <v>36</v>
      </c>
      <c r="D9632">
        <v>6399</v>
      </c>
      <c r="E9632" t="str">
        <f>"3P"</f>
        <v>3P</v>
      </c>
      <c r="F9632" t="str">
        <f t="shared" si="2197"/>
        <v>001</v>
      </c>
      <c r="G9632">
        <v>9</v>
      </c>
      <c r="H9632" t="str">
        <f>"91"</f>
        <v>91</v>
      </c>
      <c r="I9632" t="str">
        <f t="shared" si="2198"/>
        <v>0</v>
      </c>
      <c r="J9632" t="str">
        <f t="shared" si="2199"/>
        <v>00</v>
      </c>
      <c r="K9632">
        <v>20190315</v>
      </c>
      <c r="L9632" t="str">
        <f t="shared" si="2195"/>
        <v>076132</v>
      </c>
      <c r="M9632" t="str">
        <f t="shared" si="2196"/>
        <v>81303</v>
      </c>
      <c r="N9632" t="s">
        <v>66</v>
      </c>
      <c r="O9632">
        <v>37.43</v>
      </c>
      <c r="P9632">
        <v>20190315</v>
      </c>
      <c r="Q9632" t="s">
        <v>7296</v>
      </c>
      <c r="R9632" t="s">
        <v>7600</v>
      </c>
      <c r="S9632" t="s">
        <v>7000</v>
      </c>
      <c r="T9632" t="s">
        <v>301</v>
      </c>
    </row>
    <row r="9633" spans="1:20" x14ac:dyDescent="0.25">
      <c r="A9633">
        <v>9</v>
      </c>
      <c r="B9633">
        <v>461</v>
      </c>
      <c r="C9633" t="str">
        <f t="shared" si="2194"/>
        <v>36</v>
      </c>
      <c r="D9633">
        <v>6399</v>
      </c>
      <c r="E9633" t="str">
        <f>"8M"</f>
        <v>8M</v>
      </c>
      <c r="F9633" t="str">
        <f t="shared" si="2197"/>
        <v>001</v>
      </c>
      <c r="G9633">
        <v>9</v>
      </c>
      <c r="H9633" t="str">
        <f>"99"</f>
        <v>99</v>
      </c>
      <c r="I9633" t="str">
        <f t="shared" si="2198"/>
        <v>0</v>
      </c>
      <c r="J9633" t="str">
        <f t="shared" si="2199"/>
        <v>00</v>
      </c>
      <c r="K9633">
        <v>20190315</v>
      </c>
      <c r="L9633" t="str">
        <f t="shared" si="2195"/>
        <v>076132</v>
      </c>
      <c r="M9633" t="str">
        <f t="shared" si="2196"/>
        <v>81303</v>
      </c>
      <c r="N9633" t="s">
        <v>66</v>
      </c>
      <c r="O9633">
        <v>25</v>
      </c>
      <c r="P9633">
        <v>20190315</v>
      </c>
      <c r="Q9633" t="s">
        <v>7138</v>
      </c>
      <c r="R9633" t="s">
        <v>7601</v>
      </c>
      <c r="S9633" t="s">
        <v>7000</v>
      </c>
      <c r="T9633" t="s">
        <v>301</v>
      </c>
    </row>
    <row r="9634" spans="1:20" x14ac:dyDescent="0.25">
      <c r="A9634">
        <v>9</v>
      </c>
      <c r="B9634">
        <v>461</v>
      </c>
      <c r="C9634" t="str">
        <f t="shared" si="2194"/>
        <v>36</v>
      </c>
      <c r="D9634">
        <v>6399</v>
      </c>
      <c r="E9634" t="str">
        <f>"3R"</f>
        <v>3R</v>
      </c>
      <c r="F9634" t="str">
        <f t="shared" si="2197"/>
        <v>001</v>
      </c>
      <c r="G9634">
        <v>9</v>
      </c>
      <c r="H9634" t="str">
        <f>"91"</f>
        <v>91</v>
      </c>
      <c r="I9634" t="str">
        <f t="shared" si="2198"/>
        <v>0</v>
      </c>
      <c r="J9634" t="str">
        <f t="shared" si="2199"/>
        <v>00</v>
      </c>
      <c r="K9634">
        <v>20190322</v>
      </c>
      <c r="L9634" t="str">
        <f>"076135"</f>
        <v>076135</v>
      </c>
      <c r="M9634" t="str">
        <f>"01150"</f>
        <v>01150</v>
      </c>
      <c r="N9634" t="s">
        <v>7226</v>
      </c>
      <c r="O9634" s="1">
        <v>2314.1999999999998</v>
      </c>
      <c r="P9634">
        <v>20190320</v>
      </c>
      <c r="Q9634" t="s">
        <v>7218</v>
      </c>
      <c r="R9634" t="s">
        <v>7602</v>
      </c>
      <c r="S9634" t="s">
        <v>7000</v>
      </c>
      <c r="T9634" t="s">
        <v>301</v>
      </c>
    </row>
    <row r="9635" spans="1:20" x14ac:dyDescent="0.25">
      <c r="A9635">
        <v>9</v>
      </c>
      <c r="B9635">
        <v>461</v>
      </c>
      <c r="C9635" t="str">
        <f t="shared" si="2194"/>
        <v>36</v>
      </c>
      <c r="D9635">
        <v>6399</v>
      </c>
      <c r="E9635" t="str">
        <f>"3R"</f>
        <v>3R</v>
      </c>
      <c r="F9635" t="str">
        <f>"041"</f>
        <v>041</v>
      </c>
      <c r="G9635">
        <v>9</v>
      </c>
      <c r="H9635" t="str">
        <f>"91"</f>
        <v>91</v>
      </c>
      <c r="I9635" t="str">
        <f t="shared" si="2198"/>
        <v>0</v>
      </c>
      <c r="J9635" t="str">
        <f t="shared" si="2199"/>
        <v>00</v>
      </c>
      <c r="K9635">
        <v>20190322</v>
      </c>
      <c r="L9635" t="str">
        <f>"076135"</f>
        <v>076135</v>
      </c>
      <c r="M9635" t="str">
        <f>"01150"</f>
        <v>01150</v>
      </c>
      <c r="N9635" t="s">
        <v>7226</v>
      </c>
      <c r="O9635">
        <v>270.63</v>
      </c>
      <c r="P9635">
        <v>20190320</v>
      </c>
      <c r="Q9635" t="s">
        <v>7603</v>
      </c>
      <c r="R9635" t="s">
        <v>7604</v>
      </c>
      <c r="S9635" t="s">
        <v>7000</v>
      </c>
      <c r="T9635" t="s">
        <v>106</v>
      </c>
    </row>
    <row r="9636" spans="1:20" x14ac:dyDescent="0.25">
      <c r="A9636">
        <v>9</v>
      </c>
      <c r="B9636">
        <v>461</v>
      </c>
      <c r="C9636" t="str">
        <f t="shared" si="2194"/>
        <v>36</v>
      </c>
      <c r="D9636">
        <v>6299</v>
      </c>
      <c r="E9636" t="str">
        <f>"00"</f>
        <v>00</v>
      </c>
      <c r="F9636" t="str">
        <f>"802"</f>
        <v>802</v>
      </c>
      <c r="G9636">
        <v>9</v>
      </c>
      <c r="H9636" t="str">
        <f>"99"</f>
        <v>99</v>
      </c>
      <c r="I9636" t="str">
        <f t="shared" si="2198"/>
        <v>0</v>
      </c>
      <c r="J9636" t="str">
        <f t="shared" si="2199"/>
        <v>00</v>
      </c>
      <c r="K9636">
        <v>20190322</v>
      </c>
      <c r="L9636" t="str">
        <f>"076137"</f>
        <v>076137</v>
      </c>
      <c r="M9636" t="str">
        <f>"00692"</f>
        <v>00692</v>
      </c>
      <c r="N9636" t="s">
        <v>7605</v>
      </c>
      <c r="O9636">
        <v>680</v>
      </c>
      <c r="P9636">
        <v>20190320</v>
      </c>
      <c r="Q9636" t="s">
        <v>7099</v>
      </c>
      <c r="R9636" t="s">
        <v>7606</v>
      </c>
      <c r="S9636" t="s">
        <v>7000</v>
      </c>
      <c r="T9636" t="s">
        <v>7023</v>
      </c>
    </row>
    <row r="9637" spans="1:20" x14ac:dyDescent="0.25">
      <c r="A9637">
        <v>9</v>
      </c>
      <c r="B9637">
        <v>461</v>
      </c>
      <c r="C9637" t="str">
        <f t="shared" si="2194"/>
        <v>36</v>
      </c>
      <c r="D9637">
        <v>6399</v>
      </c>
      <c r="E9637" t="str">
        <f>"7K"</f>
        <v>7K</v>
      </c>
      <c r="F9637" t="str">
        <f>"001"</f>
        <v>001</v>
      </c>
      <c r="G9637">
        <v>9</v>
      </c>
      <c r="H9637" t="str">
        <f>"99"</f>
        <v>99</v>
      </c>
      <c r="I9637" t="str">
        <f t="shared" si="2198"/>
        <v>0</v>
      </c>
      <c r="J9637" t="str">
        <f t="shared" si="2199"/>
        <v>00</v>
      </c>
      <c r="K9637">
        <v>20190322</v>
      </c>
      <c r="L9637" t="str">
        <f>"076140"</f>
        <v>076140</v>
      </c>
      <c r="M9637" t="str">
        <f>"07699"</f>
        <v>07699</v>
      </c>
      <c r="N9637" t="s">
        <v>2359</v>
      </c>
      <c r="O9637" s="1">
        <v>1146.0999999999999</v>
      </c>
      <c r="P9637">
        <v>20190320</v>
      </c>
      <c r="Q9637" t="s">
        <v>7056</v>
      </c>
      <c r="R9637" t="s">
        <v>7607</v>
      </c>
      <c r="S9637" t="s">
        <v>7000</v>
      </c>
      <c r="T9637" t="s">
        <v>301</v>
      </c>
    </row>
    <row r="9638" spans="1:20" x14ac:dyDescent="0.25">
      <c r="A9638">
        <v>9</v>
      </c>
      <c r="B9638">
        <v>461</v>
      </c>
      <c r="C9638" t="str">
        <f t="shared" si="2194"/>
        <v>36</v>
      </c>
      <c r="D9638">
        <v>6399</v>
      </c>
      <c r="E9638" t="str">
        <f>"09"</f>
        <v>09</v>
      </c>
      <c r="F9638" t="str">
        <f>"942"</f>
        <v>942</v>
      </c>
      <c r="G9638">
        <v>9</v>
      </c>
      <c r="H9638" t="str">
        <f>"99"</f>
        <v>99</v>
      </c>
      <c r="I9638" t="str">
        <f>"1"</f>
        <v>1</v>
      </c>
      <c r="J9638" t="str">
        <f>"88"</f>
        <v>88</v>
      </c>
      <c r="K9638">
        <v>20190322</v>
      </c>
      <c r="L9638" t="str">
        <f>"076141"</f>
        <v>076141</v>
      </c>
      <c r="M9638" t="str">
        <f>"07699"</f>
        <v>07699</v>
      </c>
      <c r="N9638" t="s">
        <v>2359</v>
      </c>
      <c r="O9638">
        <v>200</v>
      </c>
      <c r="P9638">
        <v>20190320</v>
      </c>
      <c r="Q9638" t="s">
        <v>7608</v>
      </c>
      <c r="R9638" t="s">
        <v>4702</v>
      </c>
      <c r="S9638" t="s">
        <v>7000</v>
      </c>
      <c r="T9638" t="s">
        <v>1831</v>
      </c>
    </row>
    <row r="9639" spans="1:20" x14ac:dyDescent="0.25">
      <c r="A9639">
        <v>9</v>
      </c>
      <c r="B9639">
        <v>461</v>
      </c>
      <c r="C9639" t="str">
        <f t="shared" si="2194"/>
        <v>36</v>
      </c>
      <c r="D9639">
        <v>6412</v>
      </c>
      <c r="E9639" t="str">
        <f>"3G"</f>
        <v>3G</v>
      </c>
      <c r="F9639" t="str">
        <f>"001"</f>
        <v>001</v>
      </c>
      <c r="G9639">
        <v>9</v>
      </c>
      <c r="H9639" t="str">
        <f t="shared" ref="H9639:H9645" si="2200">"91"</f>
        <v>91</v>
      </c>
      <c r="I9639" t="str">
        <f>"0"</f>
        <v>0</v>
      </c>
      <c r="J9639" t="str">
        <f t="shared" ref="J9639:J9646" si="2201">"00"</f>
        <v>00</v>
      </c>
      <c r="K9639">
        <v>20190322</v>
      </c>
      <c r="L9639" t="str">
        <f>"076143"</f>
        <v>076143</v>
      </c>
      <c r="M9639" t="str">
        <f>"00553"</f>
        <v>00553</v>
      </c>
      <c r="N9639" t="s">
        <v>7001</v>
      </c>
      <c r="O9639">
        <v>928.72</v>
      </c>
      <c r="P9639">
        <v>20190320</v>
      </c>
      <c r="Q9639" t="s">
        <v>7002</v>
      </c>
      <c r="R9639" t="s">
        <v>1211</v>
      </c>
      <c r="S9639" t="s">
        <v>7000</v>
      </c>
      <c r="T9639" t="s">
        <v>301</v>
      </c>
    </row>
    <row r="9640" spans="1:20" x14ac:dyDescent="0.25">
      <c r="A9640">
        <v>9</v>
      </c>
      <c r="B9640">
        <v>461</v>
      </c>
      <c r="C9640" t="str">
        <f t="shared" si="2194"/>
        <v>36</v>
      </c>
      <c r="D9640">
        <v>6399</v>
      </c>
      <c r="E9640" t="str">
        <f>"3A"</f>
        <v>3A</v>
      </c>
      <c r="F9640" t="str">
        <f>"001"</f>
        <v>001</v>
      </c>
      <c r="G9640">
        <v>9</v>
      </c>
      <c r="H9640" t="str">
        <f t="shared" si="2200"/>
        <v>91</v>
      </c>
      <c r="I9640" t="str">
        <f>"0"</f>
        <v>0</v>
      </c>
      <c r="J9640" t="str">
        <f t="shared" si="2201"/>
        <v>00</v>
      </c>
      <c r="K9640">
        <v>20190322</v>
      </c>
      <c r="L9640" t="str">
        <f t="shared" ref="L9640:L9645" si="2202">"076145"</f>
        <v>076145</v>
      </c>
      <c r="M9640" t="str">
        <f t="shared" ref="M9640:M9645" si="2203">"08788"</f>
        <v>08788</v>
      </c>
      <c r="N9640" t="s">
        <v>473</v>
      </c>
      <c r="O9640" s="1">
        <v>1371.13</v>
      </c>
      <c r="P9640">
        <v>20190320</v>
      </c>
      <c r="Q9640" t="s">
        <v>7175</v>
      </c>
      <c r="R9640" t="s">
        <v>7609</v>
      </c>
      <c r="S9640" t="s">
        <v>7000</v>
      </c>
      <c r="T9640" t="s">
        <v>301</v>
      </c>
    </row>
    <row r="9641" spans="1:20" x14ac:dyDescent="0.25">
      <c r="A9641">
        <v>9</v>
      </c>
      <c r="B9641">
        <v>461</v>
      </c>
      <c r="C9641" t="str">
        <f t="shared" si="2194"/>
        <v>36</v>
      </c>
      <c r="D9641">
        <v>6399</v>
      </c>
      <c r="E9641" t="str">
        <f>"3C"</f>
        <v>3C</v>
      </c>
      <c r="F9641" t="str">
        <f>"001"</f>
        <v>001</v>
      </c>
      <c r="G9641">
        <v>9</v>
      </c>
      <c r="H9641" t="str">
        <f t="shared" si="2200"/>
        <v>91</v>
      </c>
      <c r="I9641" t="str">
        <f>"0"</f>
        <v>0</v>
      </c>
      <c r="J9641" t="str">
        <f t="shared" si="2201"/>
        <v>00</v>
      </c>
      <c r="K9641">
        <v>20190322</v>
      </c>
      <c r="L9641" t="str">
        <f t="shared" si="2202"/>
        <v>076145</v>
      </c>
      <c r="M9641" t="str">
        <f t="shared" si="2203"/>
        <v>08788</v>
      </c>
      <c r="N9641" t="s">
        <v>473</v>
      </c>
      <c r="O9641">
        <v>24.32</v>
      </c>
      <c r="P9641">
        <v>20190320</v>
      </c>
      <c r="Q9641" t="s">
        <v>7003</v>
      </c>
      <c r="R9641" t="s">
        <v>1167</v>
      </c>
      <c r="S9641" t="s">
        <v>7000</v>
      </c>
      <c r="T9641" t="s">
        <v>301</v>
      </c>
    </row>
    <row r="9642" spans="1:20" x14ac:dyDescent="0.25">
      <c r="A9642">
        <v>9</v>
      </c>
      <c r="B9642">
        <v>461</v>
      </c>
      <c r="C9642" t="str">
        <f t="shared" si="2194"/>
        <v>36</v>
      </c>
      <c r="D9642">
        <v>6399</v>
      </c>
      <c r="E9642" t="str">
        <f>"3J"</f>
        <v>3J</v>
      </c>
      <c r="F9642" t="str">
        <f>"041"</f>
        <v>041</v>
      </c>
      <c r="G9642">
        <v>9</v>
      </c>
      <c r="H9642" t="str">
        <f t="shared" si="2200"/>
        <v>91</v>
      </c>
      <c r="I9642" t="str">
        <f>"0"</f>
        <v>0</v>
      </c>
      <c r="J9642" t="str">
        <f t="shared" si="2201"/>
        <v>00</v>
      </c>
      <c r="K9642">
        <v>20190322</v>
      </c>
      <c r="L9642" t="str">
        <f t="shared" si="2202"/>
        <v>076145</v>
      </c>
      <c r="M9642" t="str">
        <f t="shared" si="2203"/>
        <v>08788</v>
      </c>
      <c r="N9642" t="s">
        <v>473</v>
      </c>
      <c r="O9642">
        <v>281.88</v>
      </c>
      <c r="P9642">
        <v>20190320</v>
      </c>
      <c r="Q9642" t="s">
        <v>7610</v>
      </c>
      <c r="R9642" t="s">
        <v>833</v>
      </c>
      <c r="S9642" t="s">
        <v>7000</v>
      </c>
      <c r="T9642" t="s">
        <v>106</v>
      </c>
    </row>
    <row r="9643" spans="1:20" x14ac:dyDescent="0.25">
      <c r="A9643">
        <v>9</v>
      </c>
      <c r="B9643">
        <v>461</v>
      </c>
      <c r="C9643" t="str">
        <f t="shared" si="2194"/>
        <v>36</v>
      </c>
      <c r="D9643">
        <v>6399</v>
      </c>
      <c r="E9643" t="str">
        <f>"3K"</f>
        <v>3K</v>
      </c>
      <c r="F9643" t="str">
        <f>"001"</f>
        <v>001</v>
      </c>
      <c r="G9643">
        <v>9</v>
      </c>
      <c r="H9643" t="str">
        <f t="shared" si="2200"/>
        <v>91</v>
      </c>
      <c r="I9643" t="str">
        <f>"0"</f>
        <v>0</v>
      </c>
      <c r="J9643" t="str">
        <f t="shared" si="2201"/>
        <v>00</v>
      </c>
      <c r="K9643">
        <v>20190322</v>
      </c>
      <c r="L9643" t="str">
        <f t="shared" si="2202"/>
        <v>076145</v>
      </c>
      <c r="M9643" t="str">
        <f t="shared" si="2203"/>
        <v>08788</v>
      </c>
      <c r="N9643" t="s">
        <v>473</v>
      </c>
      <c r="O9643">
        <v>282</v>
      </c>
      <c r="P9643">
        <v>20190320</v>
      </c>
      <c r="Q9643" t="s">
        <v>7284</v>
      </c>
      <c r="R9643" t="s">
        <v>7611</v>
      </c>
      <c r="S9643" t="s">
        <v>7000</v>
      </c>
      <c r="T9643" t="s">
        <v>301</v>
      </c>
    </row>
    <row r="9644" spans="1:20" x14ac:dyDescent="0.25">
      <c r="A9644">
        <v>9</v>
      </c>
      <c r="B9644">
        <v>461</v>
      </c>
      <c r="C9644" t="str">
        <f t="shared" si="2194"/>
        <v>36</v>
      </c>
      <c r="D9644">
        <v>6399</v>
      </c>
      <c r="E9644" t="str">
        <f>"3M"</f>
        <v>3M</v>
      </c>
      <c r="F9644" t="str">
        <f>"001"</f>
        <v>001</v>
      </c>
      <c r="G9644">
        <v>9</v>
      </c>
      <c r="H9644" t="str">
        <f t="shared" si="2200"/>
        <v>91</v>
      </c>
      <c r="I9644" t="str">
        <f>"1"</f>
        <v>1</v>
      </c>
      <c r="J9644" t="str">
        <f t="shared" si="2201"/>
        <v>00</v>
      </c>
      <c r="K9644">
        <v>20190322</v>
      </c>
      <c r="L9644" t="str">
        <f t="shared" si="2202"/>
        <v>076145</v>
      </c>
      <c r="M9644" t="str">
        <f t="shared" si="2203"/>
        <v>08788</v>
      </c>
      <c r="N9644" t="s">
        <v>473</v>
      </c>
      <c r="O9644" s="1">
        <v>2483.27</v>
      </c>
      <c r="P9644">
        <v>20190320</v>
      </c>
      <c r="Q9644" t="s">
        <v>7348</v>
      </c>
      <c r="R9644" t="s">
        <v>7612</v>
      </c>
      <c r="S9644" t="s">
        <v>7000</v>
      </c>
      <c r="T9644" t="s">
        <v>301</v>
      </c>
    </row>
    <row r="9645" spans="1:20" x14ac:dyDescent="0.25">
      <c r="A9645">
        <v>9</v>
      </c>
      <c r="B9645">
        <v>461</v>
      </c>
      <c r="C9645" t="str">
        <f t="shared" si="2194"/>
        <v>36</v>
      </c>
      <c r="D9645">
        <v>6399</v>
      </c>
      <c r="E9645" t="str">
        <f>"3P"</f>
        <v>3P</v>
      </c>
      <c r="F9645" t="str">
        <f>"001"</f>
        <v>001</v>
      </c>
      <c r="G9645">
        <v>9</v>
      </c>
      <c r="H9645" t="str">
        <f t="shared" si="2200"/>
        <v>91</v>
      </c>
      <c r="I9645" t="str">
        <f>"0"</f>
        <v>0</v>
      </c>
      <c r="J9645" t="str">
        <f t="shared" si="2201"/>
        <v>00</v>
      </c>
      <c r="K9645">
        <v>20190322</v>
      </c>
      <c r="L9645" t="str">
        <f t="shared" si="2202"/>
        <v>076145</v>
      </c>
      <c r="M9645" t="str">
        <f t="shared" si="2203"/>
        <v>08788</v>
      </c>
      <c r="N9645" t="s">
        <v>473</v>
      </c>
      <c r="O9645">
        <v>261.60000000000002</v>
      </c>
      <c r="P9645">
        <v>20190320</v>
      </c>
      <c r="Q9645" t="s">
        <v>7296</v>
      </c>
      <c r="R9645" t="s">
        <v>7613</v>
      </c>
      <c r="S9645" t="s">
        <v>7000</v>
      </c>
      <c r="T9645" t="s">
        <v>301</v>
      </c>
    </row>
    <row r="9646" spans="1:20" x14ac:dyDescent="0.25">
      <c r="A9646">
        <v>9</v>
      </c>
      <c r="B9646">
        <v>461</v>
      </c>
      <c r="C9646" t="str">
        <f t="shared" si="2194"/>
        <v>36</v>
      </c>
      <c r="D9646">
        <v>6299</v>
      </c>
      <c r="E9646" t="str">
        <f>"00"</f>
        <v>00</v>
      </c>
      <c r="F9646" t="str">
        <f>"802"</f>
        <v>802</v>
      </c>
      <c r="G9646">
        <v>9</v>
      </c>
      <c r="H9646" t="str">
        <f>"99"</f>
        <v>99</v>
      </c>
      <c r="I9646" t="str">
        <f>"0"</f>
        <v>0</v>
      </c>
      <c r="J9646" t="str">
        <f t="shared" si="2201"/>
        <v>00</v>
      </c>
      <c r="K9646">
        <v>20190322</v>
      </c>
      <c r="L9646" t="str">
        <f>"076152"</f>
        <v>076152</v>
      </c>
      <c r="M9646" t="str">
        <f>"20433"</f>
        <v>20433</v>
      </c>
      <c r="N9646" t="s">
        <v>332</v>
      </c>
      <c r="O9646">
        <v>820</v>
      </c>
      <c r="P9646">
        <v>20190320</v>
      </c>
      <c r="Q9646" t="s">
        <v>7099</v>
      </c>
      <c r="R9646" t="s">
        <v>7614</v>
      </c>
      <c r="S9646" t="s">
        <v>7000</v>
      </c>
      <c r="T9646" t="s">
        <v>7023</v>
      </c>
    </row>
    <row r="9647" spans="1:20" x14ac:dyDescent="0.25">
      <c r="A9647">
        <v>9</v>
      </c>
      <c r="B9647">
        <v>461</v>
      </c>
      <c r="C9647" t="str">
        <f t="shared" si="2194"/>
        <v>36</v>
      </c>
      <c r="D9647">
        <v>6299</v>
      </c>
      <c r="E9647" t="str">
        <f>"09"</f>
        <v>09</v>
      </c>
      <c r="F9647" t="str">
        <f>"942"</f>
        <v>942</v>
      </c>
      <c r="G9647">
        <v>9</v>
      </c>
      <c r="H9647" t="str">
        <f>"99"</f>
        <v>99</v>
      </c>
      <c r="I9647" t="str">
        <f>"1"</f>
        <v>1</v>
      </c>
      <c r="J9647" t="str">
        <f>"88"</f>
        <v>88</v>
      </c>
      <c r="K9647">
        <v>20190322</v>
      </c>
      <c r="L9647" t="str">
        <f>"076162"</f>
        <v>076162</v>
      </c>
      <c r="M9647" t="str">
        <f>"00771"</f>
        <v>00771</v>
      </c>
      <c r="N9647" t="s">
        <v>7615</v>
      </c>
      <c r="O9647">
        <v>531</v>
      </c>
      <c r="P9647">
        <v>20190320</v>
      </c>
      <c r="Q9647" t="s">
        <v>7616</v>
      </c>
      <c r="R9647" t="s">
        <v>4702</v>
      </c>
      <c r="S9647" t="s">
        <v>7000</v>
      </c>
      <c r="T9647" t="s">
        <v>1831</v>
      </c>
    </row>
    <row r="9648" spans="1:20" x14ac:dyDescent="0.25">
      <c r="A9648">
        <v>9</v>
      </c>
      <c r="B9648">
        <v>461</v>
      </c>
      <c r="C9648" t="str">
        <f t="shared" si="2194"/>
        <v>36</v>
      </c>
      <c r="D9648">
        <v>6399</v>
      </c>
      <c r="E9648" t="str">
        <f>"3P"</f>
        <v>3P</v>
      </c>
      <c r="F9648" t="str">
        <f>"001"</f>
        <v>001</v>
      </c>
      <c r="G9648">
        <v>9</v>
      </c>
      <c r="H9648" t="str">
        <f>"91"</f>
        <v>91</v>
      </c>
      <c r="I9648" t="str">
        <f>"0"</f>
        <v>0</v>
      </c>
      <c r="J9648" t="str">
        <f>"00"</f>
        <v>00</v>
      </c>
      <c r="K9648">
        <v>20190322</v>
      </c>
      <c r="L9648" t="str">
        <f>"076163"</f>
        <v>076163</v>
      </c>
      <c r="M9648" t="str">
        <f>"48954"</f>
        <v>48954</v>
      </c>
      <c r="N9648" t="s">
        <v>1296</v>
      </c>
      <c r="O9648">
        <v>139.46</v>
      </c>
      <c r="P9648">
        <v>20190320</v>
      </c>
      <c r="Q9648" t="s">
        <v>7296</v>
      </c>
      <c r="R9648" t="s">
        <v>1031</v>
      </c>
      <c r="S9648" t="s">
        <v>7000</v>
      </c>
      <c r="T9648" t="s">
        <v>301</v>
      </c>
    </row>
    <row r="9649" spans="1:20" x14ac:dyDescent="0.25">
      <c r="A9649">
        <v>9</v>
      </c>
      <c r="B9649">
        <v>461</v>
      </c>
      <c r="C9649" t="str">
        <f t="shared" si="2194"/>
        <v>36</v>
      </c>
      <c r="D9649">
        <v>6299</v>
      </c>
      <c r="E9649" t="str">
        <f>"09"</f>
        <v>09</v>
      </c>
      <c r="F9649" t="str">
        <f>"942"</f>
        <v>942</v>
      </c>
      <c r="G9649">
        <v>9</v>
      </c>
      <c r="H9649" t="str">
        <f>"99"</f>
        <v>99</v>
      </c>
      <c r="I9649" t="str">
        <f>"1"</f>
        <v>1</v>
      </c>
      <c r="J9649" t="str">
        <f>"88"</f>
        <v>88</v>
      </c>
      <c r="K9649">
        <v>20190322</v>
      </c>
      <c r="L9649" t="str">
        <f>"076169"</f>
        <v>076169</v>
      </c>
      <c r="M9649" t="str">
        <f>"34661"</f>
        <v>34661</v>
      </c>
      <c r="N9649" t="s">
        <v>7492</v>
      </c>
      <c r="O9649">
        <v>640</v>
      </c>
      <c r="P9649">
        <v>20190320</v>
      </c>
      <c r="Q9649" t="s">
        <v>7616</v>
      </c>
      <c r="R9649" t="s">
        <v>4702</v>
      </c>
      <c r="S9649" t="s">
        <v>7000</v>
      </c>
      <c r="T9649" t="s">
        <v>1831</v>
      </c>
    </row>
    <row r="9650" spans="1:20" x14ac:dyDescent="0.25">
      <c r="A9650">
        <v>9</v>
      </c>
      <c r="B9650">
        <v>461</v>
      </c>
      <c r="C9650" t="str">
        <f t="shared" si="2194"/>
        <v>36</v>
      </c>
      <c r="D9650">
        <v>6412</v>
      </c>
      <c r="E9650" t="str">
        <f>"3J"</f>
        <v>3J</v>
      </c>
      <c r="F9650" t="str">
        <f>"001"</f>
        <v>001</v>
      </c>
      <c r="G9650">
        <v>9</v>
      </c>
      <c r="H9650" t="str">
        <f>"91"</f>
        <v>91</v>
      </c>
      <c r="I9650" t="str">
        <f>"0"</f>
        <v>0</v>
      </c>
      <c r="J9650" t="str">
        <f>"00"</f>
        <v>00</v>
      </c>
      <c r="K9650">
        <v>20190322</v>
      </c>
      <c r="L9650" t="str">
        <f>"076172"</f>
        <v>076172</v>
      </c>
      <c r="M9650" t="str">
        <f>"39422"</f>
        <v>39422</v>
      </c>
      <c r="N9650" t="s">
        <v>525</v>
      </c>
      <c r="O9650">
        <v>432</v>
      </c>
      <c r="P9650">
        <v>20190320</v>
      </c>
      <c r="Q9650" t="s">
        <v>7617</v>
      </c>
      <c r="R9650" t="s">
        <v>1305</v>
      </c>
      <c r="S9650" t="s">
        <v>7000</v>
      </c>
      <c r="T9650" t="s">
        <v>301</v>
      </c>
    </row>
    <row r="9651" spans="1:20" x14ac:dyDescent="0.25">
      <c r="A9651">
        <v>9</v>
      </c>
      <c r="B9651">
        <v>461</v>
      </c>
      <c r="C9651" t="str">
        <f t="shared" si="2194"/>
        <v>36</v>
      </c>
      <c r="D9651">
        <v>6412</v>
      </c>
      <c r="E9651" t="str">
        <f>"3J"</f>
        <v>3J</v>
      </c>
      <c r="F9651" t="str">
        <f>"001"</f>
        <v>001</v>
      </c>
      <c r="G9651">
        <v>9</v>
      </c>
      <c r="H9651" t="str">
        <f>"91"</f>
        <v>91</v>
      </c>
      <c r="I9651" t="str">
        <f>"0"</f>
        <v>0</v>
      </c>
      <c r="J9651" t="str">
        <f>"00"</f>
        <v>00</v>
      </c>
      <c r="K9651">
        <v>20190322</v>
      </c>
      <c r="L9651" t="str">
        <f>"076177"</f>
        <v>076177</v>
      </c>
      <c r="M9651" t="str">
        <f>"40856"</f>
        <v>40856</v>
      </c>
      <c r="N9651" t="s">
        <v>3578</v>
      </c>
      <c r="O9651">
        <v>823.97</v>
      </c>
      <c r="P9651">
        <v>20190320</v>
      </c>
      <c r="Q9651" t="s">
        <v>7617</v>
      </c>
      <c r="R9651" t="s">
        <v>1305</v>
      </c>
      <c r="S9651" t="s">
        <v>7000</v>
      </c>
      <c r="T9651" t="s">
        <v>301</v>
      </c>
    </row>
    <row r="9652" spans="1:20" x14ac:dyDescent="0.25">
      <c r="A9652">
        <v>9</v>
      </c>
      <c r="B9652">
        <v>461</v>
      </c>
      <c r="C9652" t="str">
        <f t="shared" si="2194"/>
        <v>36</v>
      </c>
      <c r="D9652">
        <v>6499</v>
      </c>
      <c r="E9652" t="str">
        <f>"32"</f>
        <v>32</v>
      </c>
      <c r="F9652" t="str">
        <f>"001"</f>
        <v>001</v>
      </c>
      <c r="G9652">
        <v>9</v>
      </c>
      <c r="H9652" t="str">
        <f>"99"</f>
        <v>99</v>
      </c>
      <c r="I9652" t="str">
        <f>"0"</f>
        <v>0</v>
      </c>
      <c r="J9652" t="str">
        <f>"00"</f>
        <v>00</v>
      </c>
      <c r="K9652">
        <v>20190322</v>
      </c>
      <c r="L9652" t="str">
        <f>"076183"</f>
        <v>076183</v>
      </c>
      <c r="M9652" t="str">
        <f>"49748"</f>
        <v>49748</v>
      </c>
      <c r="N9652" t="s">
        <v>3044</v>
      </c>
      <c r="O9652">
        <v>396.33</v>
      </c>
      <c r="P9652">
        <v>20190320</v>
      </c>
      <c r="Q9652" t="s">
        <v>7618</v>
      </c>
      <c r="R9652" t="s">
        <v>7619</v>
      </c>
      <c r="S9652" t="s">
        <v>7000</v>
      </c>
      <c r="T9652" t="s">
        <v>301</v>
      </c>
    </row>
    <row r="9653" spans="1:20" x14ac:dyDescent="0.25">
      <c r="A9653">
        <v>9</v>
      </c>
      <c r="B9653">
        <v>461</v>
      </c>
      <c r="C9653" t="str">
        <f t="shared" si="2194"/>
        <v>36</v>
      </c>
      <c r="D9653">
        <v>6299</v>
      </c>
      <c r="E9653" t="str">
        <f>"09"</f>
        <v>09</v>
      </c>
      <c r="F9653" t="str">
        <f>"942"</f>
        <v>942</v>
      </c>
      <c r="G9653">
        <v>9</v>
      </c>
      <c r="H9653" t="str">
        <f>"99"</f>
        <v>99</v>
      </c>
      <c r="I9653" t="str">
        <f>"1"</f>
        <v>1</v>
      </c>
      <c r="J9653" t="str">
        <f>"88"</f>
        <v>88</v>
      </c>
      <c r="K9653">
        <v>20190322</v>
      </c>
      <c r="L9653" t="str">
        <f>"076185"</f>
        <v>076185</v>
      </c>
      <c r="M9653" t="str">
        <f>"00770"</f>
        <v>00770</v>
      </c>
      <c r="N9653" t="s">
        <v>7620</v>
      </c>
      <c r="O9653">
        <v>526</v>
      </c>
      <c r="P9653">
        <v>20190320</v>
      </c>
      <c r="Q9653" t="s">
        <v>7616</v>
      </c>
      <c r="R9653" t="s">
        <v>4702</v>
      </c>
      <c r="S9653" t="s">
        <v>7000</v>
      </c>
      <c r="T9653" t="s">
        <v>1831</v>
      </c>
    </row>
    <row r="9654" spans="1:20" x14ac:dyDescent="0.25">
      <c r="A9654">
        <v>9</v>
      </c>
      <c r="B9654">
        <v>461</v>
      </c>
      <c r="C9654" t="str">
        <f t="shared" si="2194"/>
        <v>36</v>
      </c>
      <c r="D9654">
        <v>6412</v>
      </c>
      <c r="E9654" t="str">
        <f>"3G"</f>
        <v>3G</v>
      </c>
      <c r="F9654" t="str">
        <f>"001"</f>
        <v>001</v>
      </c>
      <c r="G9654">
        <v>9</v>
      </c>
      <c r="H9654" t="str">
        <f>"91"</f>
        <v>91</v>
      </c>
      <c r="I9654" t="str">
        <f t="shared" ref="I9654:I9664" si="2204">"0"</f>
        <v>0</v>
      </c>
      <c r="J9654" t="str">
        <f>"00"</f>
        <v>00</v>
      </c>
      <c r="K9654">
        <v>20190322</v>
      </c>
      <c r="L9654" t="str">
        <f>"076189"</f>
        <v>076189</v>
      </c>
      <c r="M9654" t="str">
        <f>"57322"</f>
        <v>57322</v>
      </c>
      <c r="N9654" t="s">
        <v>1278</v>
      </c>
      <c r="O9654">
        <v>150</v>
      </c>
      <c r="P9654">
        <v>20190320</v>
      </c>
      <c r="Q9654" t="s">
        <v>7002</v>
      </c>
      <c r="R9654" t="s">
        <v>1211</v>
      </c>
      <c r="S9654" t="s">
        <v>7000</v>
      </c>
      <c r="T9654" t="s">
        <v>301</v>
      </c>
    </row>
    <row r="9655" spans="1:20" x14ac:dyDescent="0.25">
      <c r="A9655">
        <v>9</v>
      </c>
      <c r="B9655">
        <v>461</v>
      </c>
      <c r="C9655" t="str">
        <f t="shared" si="2194"/>
        <v>36</v>
      </c>
      <c r="D9655">
        <v>6412</v>
      </c>
      <c r="E9655" t="str">
        <f>"3G"</f>
        <v>3G</v>
      </c>
      <c r="F9655" t="str">
        <f>"001"</f>
        <v>001</v>
      </c>
      <c r="G9655">
        <v>9</v>
      </c>
      <c r="H9655" t="str">
        <f>"91"</f>
        <v>91</v>
      </c>
      <c r="I9655" t="str">
        <f t="shared" si="2204"/>
        <v>0</v>
      </c>
      <c r="J9655" t="str">
        <f>"00"</f>
        <v>00</v>
      </c>
      <c r="K9655">
        <v>20190322</v>
      </c>
      <c r="L9655" t="str">
        <f>"076189"</f>
        <v>076189</v>
      </c>
      <c r="M9655" t="str">
        <f>"57322"</f>
        <v>57322</v>
      </c>
      <c r="N9655" t="s">
        <v>1278</v>
      </c>
      <c r="O9655">
        <v>360</v>
      </c>
      <c r="P9655">
        <v>20190320</v>
      </c>
      <c r="Q9655" t="s">
        <v>7002</v>
      </c>
      <c r="R9655" t="s">
        <v>1211</v>
      </c>
      <c r="S9655" t="s">
        <v>7000</v>
      </c>
      <c r="T9655" t="s">
        <v>301</v>
      </c>
    </row>
    <row r="9656" spans="1:20" x14ac:dyDescent="0.25">
      <c r="A9656">
        <v>9</v>
      </c>
      <c r="B9656">
        <v>461</v>
      </c>
      <c r="C9656" t="str">
        <f t="shared" si="2194"/>
        <v>36</v>
      </c>
      <c r="D9656">
        <v>6399</v>
      </c>
      <c r="E9656" t="str">
        <f>"H2"</f>
        <v>H2</v>
      </c>
      <c r="F9656" t="str">
        <f>"001"</f>
        <v>001</v>
      </c>
      <c r="G9656">
        <v>9</v>
      </c>
      <c r="H9656" t="str">
        <f>"99"</f>
        <v>99</v>
      </c>
      <c r="I9656" t="str">
        <f t="shared" si="2204"/>
        <v>0</v>
      </c>
      <c r="J9656" t="str">
        <f>"00"</f>
        <v>00</v>
      </c>
      <c r="K9656">
        <v>20190322</v>
      </c>
      <c r="L9656" t="str">
        <f>"076190"</f>
        <v>076190</v>
      </c>
      <c r="M9656" t="str">
        <f>"58204"</f>
        <v>58204</v>
      </c>
      <c r="N9656" t="s">
        <v>1767</v>
      </c>
      <c r="O9656">
        <v>140.41</v>
      </c>
      <c r="P9656">
        <v>20190320</v>
      </c>
      <c r="Q9656" t="s">
        <v>7033</v>
      </c>
      <c r="R9656" t="s">
        <v>2780</v>
      </c>
      <c r="S9656" t="s">
        <v>7000</v>
      </c>
      <c r="T9656" t="s">
        <v>301</v>
      </c>
    </row>
    <row r="9657" spans="1:20" x14ac:dyDescent="0.25">
      <c r="A9657">
        <v>9</v>
      </c>
      <c r="B9657">
        <v>461</v>
      </c>
      <c r="C9657" t="str">
        <f t="shared" si="2194"/>
        <v>36</v>
      </c>
      <c r="D9657">
        <v>6399</v>
      </c>
      <c r="E9657" t="str">
        <f>"00"</f>
        <v>00</v>
      </c>
      <c r="F9657" t="str">
        <f>"942"</f>
        <v>942</v>
      </c>
      <c r="G9657">
        <v>9</v>
      </c>
      <c r="H9657" t="str">
        <f>"99"</f>
        <v>99</v>
      </c>
      <c r="I9657" t="str">
        <f t="shared" si="2204"/>
        <v>0</v>
      </c>
      <c r="J9657" t="str">
        <f>"88"</f>
        <v>88</v>
      </c>
      <c r="K9657">
        <v>20190322</v>
      </c>
      <c r="L9657" t="str">
        <f t="shared" ref="L9657:L9664" si="2205">"076198"</f>
        <v>076198</v>
      </c>
      <c r="M9657" t="str">
        <f t="shared" ref="M9657:M9664" si="2206">"65106"</f>
        <v>65106</v>
      </c>
      <c r="N9657" t="s">
        <v>1175</v>
      </c>
      <c r="O9657">
        <v>119.94</v>
      </c>
      <c r="P9657">
        <v>20190320</v>
      </c>
      <c r="Q9657" t="s">
        <v>7018</v>
      </c>
      <c r="R9657" t="s">
        <v>7621</v>
      </c>
      <c r="S9657" t="s">
        <v>7000</v>
      </c>
      <c r="T9657" t="s">
        <v>1831</v>
      </c>
    </row>
    <row r="9658" spans="1:20" x14ac:dyDescent="0.25">
      <c r="A9658">
        <v>9</v>
      </c>
      <c r="B9658">
        <v>461</v>
      </c>
      <c r="C9658" t="str">
        <f t="shared" si="2194"/>
        <v>36</v>
      </c>
      <c r="D9658">
        <v>6399</v>
      </c>
      <c r="E9658" t="str">
        <f>"3K"</f>
        <v>3K</v>
      </c>
      <c r="F9658" t="str">
        <f t="shared" ref="F9658:F9664" si="2207">"001"</f>
        <v>001</v>
      </c>
      <c r="G9658">
        <v>9</v>
      </c>
      <c r="H9658" t="str">
        <f>"91"</f>
        <v>91</v>
      </c>
      <c r="I9658" t="str">
        <f t="shared" si="2204"/>
        <v>0</v>
      </c>
      <c r="J9658" t="str">
        <f t="shared" ref="J9658:J9664" si="2208">"00"</f>
        <v>00</v>
      </c>
      <c r="K9658">
        <v>20190322</v>
      </c>
      <c r="L9658" t="str">
        <f t="shared" si="2205"/>
        <v>076198</v>
      </c>
      <c r="M9658" t="str">
        <f t="shared" si="2206"/>
        <v>65106</v>
      </c>
      <c r="N9658" t="s">
        <v>1175</v>
      </c>
      <c r="O9658">
        <v>99.9</v>
      </c>
      <c r="P9658">
        <v>20190320</v>
      </c>
      <c r="Q9658" t="s">
        <v>7284</v>
      </c>
      <c r="R9658" t="s">
        <v>6999</v>
      </c>
      <c r="S9658" t="s">
        <v>7000</v>
      </c>
      <c r="T9658" t="s">
        <v>301</v>
      </c>
    </row>
    <row r="9659" spans="1:20" x14ac:dyDescent="0.25">
      <c r="A9659">
        <v>9</v>
      </c>
      <c r="B9659">
        <v>461</v>
      </c>
      <c r="C9659" t="str">
        <f t="shared" si="2194"/>
        <v>36</v>
      </c>
      <c r="D9659">
        <v>6399</v>
      </c>
      <c r="E9659" t="str">
        <f>"3K"</f>
        <v>3K</v>
      </c>
      <c r="F9659" t="str">
        <f t="shared" si="2207"/>
        <v>001</v>
      </c>
      <c r="G9659">
        <v>9</v>
      </c>
      <c r="H9659" t="str">
        <f>"91"</f>
        <v>91</v>
      </c>
      <c r="I9659" t="str">
        <f t="shared" si="2204"/>
        <v>0</v>
      </c>
      <c r="J9659" t="str">
        <f t="shared" si="2208"/>
        <v>00</v>
      </c>
      <c r="K9659">
        <v>20190322</v>
      </c>
      <c r="L9659" t="str">
        <f t="shared" si="2205"/>
        <v>076198</v>
      </c>
      <c r="M9659" t="str">
        <f t="shared" si="2206"/>
        <v>65106</v>
      </c>
      <c r="N9659" t="s">
        <v>1175</v>
      </c>
      <c r="O9659">
        <v>183.48</v>
      </c>
      <c r="P9659">
        <v>20190320</v>
      </c>
      <c r="Q9659" t="s">
        <v>7284</v>
      </c>
      <c r="R9659" t="s">
        <v>6999</v>
      </c>
      <c r="S9659" t="s">
        <v>7000</v>
      </c>
      <c r="T9659" t="s">
        <v>301</v>
      </c>
    </row>
    <row r="9660" spans="1:20" x14ac:dyDescent="0.25">
      <c r="A9660">
        <v>9</v>
      </c>
      <c r="B9660">
        <v>461</v>
      </c>
      <c r="C9660" t="str">
        <f t="shared" si="2194"/>
        <v>36</v>
      </c>
      <c r="D9660">
        <v>6399</v>
      </c>
      <c r="E9660" t="str">
        <f>"3K"</f>
        <v>3K</v>
      </c>
      <c r="F9660" t="str">
        <f t="shared" si="2207"/>
        <v>001</v>
      </c>
      <c r="G9660">
        <v>9</v>
      </c>
      <c r="H9660" t="str">
        <f>"91"</f>
        <v>91</v>
      </c>
      <c r="I9660" t="str">
        <f t="shared" si="2204"/>
        <v>0</v>
      </c>
      <c r="J9660" t="str">
        <f t="shared" si="2208"/>
        <v>00</v>
      </c>
      <c r="K9660">
        <v>20190322</v>
      </c>
      <c r="L9660" t="str">
        <f t="shared" si="2205"/>
        <v>076198</v>
      </c>
      <c r="M9660" t="str">
        <f t="shared" si="2206"/>
        <v>65106</v>
      </c>
      <c r="N9660" t="s">
        <v>1175</v>
      </c>
      <c r="O9660">
        <v>75.78</v>
      </c>
      <c r="P9660">
        <v>20190320</v>
      </c>
      <c r="Q9660" t="s">
        <v>7284</v>
      </c>
      <c r="R9660" t="s">
        <v>6999</v>
      </c>
      <c r="S9660" t="s">
        <v>7000</v>
      </c>
      <c r="T9660" t="s">
        <v>301</v>
      </c>
    </row>
    <row r="9661" spans="1:20" x14ac:dyDescent="0.25">
      <c r="A9661">
        <v>9</v>
      </c>
      <c r="B9661">
        <v>461</v>
      </c>
      <c r="C9661" t="str">
        <f t="shared" si="2194"/>
        <v>36</v>
      </c>
      <c r="D9661">
        <v>6399</v>
      </c>
      <c r="E9661" t="str">
        <f>"3K"</f>
        <v>3K</v>
      </c>
      <c r="F9661" t="str">
        <f t="shared" si="2207"/>
        <v>001</v>
      </c>
      <c r="G9661">
        <v>9</v>
      </c>
      <c r="H9661" t="str">
        <f>"91"</f>
        <v>91</v>
      </c>
      <c r="I9661" t="str">
        <f t="shared" si="2204"/>
        <v>0</v>
      </c>
      <c r="J9661" t="str">
        <f t="shared" si="2208"/>
        <v>00</v>
      </c>
      <c r="K9661">
        <v>20190322</v>
      </c>
      <c r="L9661" t="str">
        <f t="shared" si="2205"/>
        <v>076198</v>
      </c>
      <c r="M9661" t="str">
        <f t="shared" si="2206"/>
        <v>65106</v>
      </c>
      <c r="N9661" t="s">
        <v>1175</v>
      </c>
      <c r="O9661">
        <v>886.34</v>
      </c>
      <c r="P9661">
        <v>20190320</v>
      </c>
      <c r="Q9661" t="s">
        <v>7284</v>
      </c>
      <c r="R9661" t="s">
        <v>6999</v>
      </c>
      <c r="S9661" t="s">
        <v>7000</v>
      </c>
      <c r="T9661" t="s">
        <v>301</v>
      </c>
    </row>
    <row r="9662" spans="1:20" x14ac:dyDescent="0.25">
      <c r="A9662">
        <v>9</v>
      </c>
      <c r="B9662">
        <v>461</v>
      </c>
      <c r="C9662" t="str">
        <f t="shared" si="2194"/>
        <v>36</v>
      </c>
      <c r="D9662">
        <v>6399</v>
      </c>
      <c r="E9662" t="str">
        <f>"7E"</f>
        <v>7E</v>
      </c>
      <c r="F9662" t="str">
        <f t="shared" si="2207"/>
        <v>001</v>
      </c>
      <c r="G9662">
        <v>9</v>
      </c>
      <c r="H9662" t="str">
        <f>"99"</f>
        <v>99</v>
      </c>
      <c r="I9662" t="str">
        <f t="shared" si="2204"/>
        <v>0</v>
      </c>
      <c r="J9662" t="str">
        <f t="shared" si="2208"/>
        <v>00</v>
      </c>
      <c r="K9662">
        <v>20190322</v>
      </c>
      <c r="L9662" t="str">
        <f t="shared" si="2205"/>
        <v>076198</v>
      </c>
      <c r="M9662" t="str">
        <f t="shared" si="2206"/>
        <v>65106</v>
      </c>
      <c r="N9662" t="s">
        <v>1175</v>
      </c>
      <c r="O9662">
        <v>66.760000000000005</v>
      </c>
      <c r="P9662">
        <v>20190320</v>
      </c>
      <c r="Q9662" t="s">
        <v>7055</v>
      </c>
      <c r="R9662" t="s">
        <v>7622</v>
      </c>
      <c r="S9662" t="s">
        <v>7000</v>
      </c>
      <c r="T9662" t="s">
        <v>301</v>
      </c>
    </row>
    <row r="9663" spans="1:20" x14ac:dyDescent="0.25">
      <c r="A9663">
        <v>9</v>
      </c>
      <c r="B9663">
        <v>461</v>
      </c>
      <c r="C9663" t="str">
        <f t="shared" si="2194"/>
        <v>36</v>
      </c>
      <c r="D9663">
        <v>6399</v>
      </c>
      <c r="E9663" t="str">
        <f>"CS"</f>
        <v>CS</v>
      </c>
      <c r="F9663" t="str">
        <f t="shared" si="2207"/>
        <v>001</v>
      </c>
      <c r="G9663">
        <v>9</v>
      </c>
      <c r="H9663" t="str">
        <f>"91"</f>
        <v>91</v>
      </c>
      <c r="I9663" t="str">
        <f t="shared" si="2204"/>
        <v>0</v>
      </c>
      <c r="J9663" t="str">
        <f t="shared" si="2208"/>
        <v>00</v>
      </c>
      <c r="K9663">
        <v>20190322</v>
      </c>
      <c r="L9663" t="str">
        <f t="shared" si="2205"/>
        <v>076198</v>
      </c>
      <c r="M9663" t="str">
        <f t="shared" si="2206"/>
        <v>65106</v>
      </c>
      <c r="N9663" t="s">
        <v>1175</v>
      </c>
      <c r="O9663">
        <v>407.28</v>
      </c>
      <c r="P9663">
        <v>20190320</v>
      </c>
      <c r="Q9663" t="s">
        <v>6998</v>
      </c>
      <c r="R9663" t="s">
        <v>6999</v>
      </c>
      <c r="S9663" t="s">
        <v>7000</v>
      </c>
      <c r="T9663" t="s">
        <v>301</v>
      </c>
    </row>
    <row r="9664" spans="1:20" x14ac:dyDescent="0.25">
      <c r="A9664">
        <v>9</v>
      </c>
      <c r="B9664">
        <v>461</v>
      </c>
      <c r="C9664" t="str">
        <f t="shared" si="2194"/>
        <v>36</v>
      </c>
      <c r="D9664">
        <v>6399</v>
      </c>
      <c r="E9664" t="str">
        <f>"CS"</f>
        <v>CS</v>
      </c>
      <c r="F9664" t="str">
        <f t="shared" si="2207"/>
        <v>001</v>
      </c>
      <c r="G9664">
        <v>9</v>
      </c>
      <c r="H9664" t="str">
        <f>"91"</f>
        <v>91</v>
      </c>
      <c r="I9664" t="str">
        <f t="shared" si="2204"/>
        <v>0</v>
      </c>
      <c r="J9664" t="str">
        <f t="shared" si="2208"/>
        <v>00</v>
      </c>
      <c r="K9664">
        <v>20190322</v>
      </c>
      <c r="L9664" t="str">
        <f t="shared" si="2205"/>
        <v>076198</v>
      </c>
      <c r="M9664" t="str">
        <f t="shared" si="2206"/>
        <v>65106</v>
      </c>
      <c r="N9664" t="s">
        <v>1175</v>
      </c>
      <c r="O9664">
        <v>488.37</v>
      </c>
      <c r="P9664">
        <v>20190320</v>
      </c>
      <c r="Q9664" t="s">
        <v>6998</v>
      </c>
      <c r="R9664" t="s">
        <v>6999</v>
      </c>
      <c r="S9664" t="s">
        <v>7000</v>
      </c>
      <c r="T9664" t="s">
        <v>301</v>
      </c>
    </row>
    <row r="9665" spans="1:20" x14ac:dyDescent="0.25">
      <c r="A9665">
        <v>9</v>
      </c>
      <c r="B9665">
        <v>461</v>
      </c>
      <c r="C9665" t="str">
        <f t="shared" si="2194"/>
        <v>36</v>
      </c>
      <c r="D9665">
        <v>6299</v>
      </c>
      <c r="E9665" t="str">
        <f>"09"</f>
        <v>09</v>
      </c>
      <c r="F9665" t="str">
        <f>"942"</f>
        <v>942</v>
      </c>
      <c r="G9665">
        <v>9</v>
      </c>
      <c r="H9665" t="str">
        <f>"99"</f>
        <v>99</v>
      </c>
      <c r="I9665" t="str">
        <f>"1"</f>
        <v>1</v>
      </c>
      <c r="J9665" t="str">
        <f>"88"</f>
        <v>88</v>
      </c>
      <c r="K9665">
        <v>20190322</v>
      </c>
      <c r="L9665" t="str">
        <f>"076205"</f>
        <v>076205</v>
      </c>
      <c r="M9665" t="str">
        <f>"00244"</f>
        <v>00244</v>
      </c>
      <c r="N9665" t="s">
        <v>4435</v>
      </c>
      <c r="O9665">
        <v>915.4</v>
      </c>
      <c r="P9665">
        <v>20190320</v>
      </c>
      <c r="Q9665" t="s">
        <v>7616</v>
      </c>
      <c r="R9665" t="s">
        <v>7623</v>
      </c>
      <c r="S9665" t="s">
        <v>7000</v>
      </c>
      <c r="T9665" t="s">
        <v>1831</v>
      </c>
    </row>
    <row r="9666" spans="1:20" x14ac:dyDescent="0.25">
      <c r="A9666">
        <v>9</v>
      </c>
      <c r="B9666">
        <v>461</v>
      </c>
      <c r="C9666" t="str">
        <f t="shared" si="2194"/>
        <v>36</v>
      </c>
      <c r="D9666">
        <v>6299</v>
      </c>
      <c r="E9666" t="str">
        <f>"7K"</f>
        <v>7K</v>
      </c>
      <c r="F9666" t="str">
        <f>"001"</f>
        <v>001</v>
      </c>
      <c r="G9666">
        <v>9</v>
      </c>
      <c r="H9666" t="str">
        <f>"99"</f>
        <v>99</v>
      </c>
      <c r="I9666" t="str">
        <f t="shared" ref="I9666:I9699" si="2209">"0"</f>
        <v>0</v>
      </c>
      <c r="J9666" t="str">
        <f t="shared" ref="J9666:J9697" si="2210">"00"</f>
        <v>00</v>
      </c>
      <c r="K9666">
        <v>20190322</v>
      </c>
      <c r="L9666" t="str">
        <f>"076207"</f>
        <v>076207</v>
      </c>
      <c r="M9666" t="str">
        <f>"00202"</f>
        <v>00202</v>
      </c>
      <c r="N9666" t="s">
        <v>7517</v>
      </c>
      <c r="O9666">
        <v>250</v>
      </c>
      <c r="P9666">
        <v>20190320</v>
      </c>
      <c r="Q9666" t="s">
        <v>7205</v>
      </c>
      <c r="R9666" t="s">
        <v>7624</v>
      </c>
      <c r="S9666" t="s">
        <v>7000</v>
      </c>
      <c r="T9666" t="s">
        <v>301</v>
      </c>
    </row>
    <row r="9667" spans="1:20" x14ac:dyDescent="0.25">
      <c r="A9667">
        <v>9</v>
      </c>
      <c r="B9667">
        <v>461</v>
      </c>
      <c r="C9667" t="str">
        <f t="shared" si="2194"/>
        <v>36</v>
      </c>
      <c r="D9667">
        <v>6399</v>
      </c>
      <c r="E9667" t="str">
        <f>"61"</f>
        <v>61</v>
      </c>
      <c r="F9667" t="str">
        <f>"101"</f>
        <v>101</v>
      </c>
      <c r="G9667">
        <v>9</v>
      </c>
      <c r="H9667" t="str">
        <f>"99"</f>
        <v>99</v>
      </c>
      <c r="I9667" t="str">
        <f t="shared" si="2209"/>
        <v>0</v>
      </c>
      <c r="J9667" t="str">
        <f t="shared" si="2210"/>
        <v>00</v>
      </c>
      <c r="K9667">
        <v>20190322</v>
      </c>
      <c r="L9667" t="str">
        <f>"076214"</f>
        <v>076214</v>
      </c>
      <c r="M9667" t="str">
        <f>"83022"</f>
        <v>83022</v>
      </c>
      <c r="N9667" t="s">
        <v>691</v>
      </c>
      <c r="O9667">
        <v>45.16</v>
      </c>
      <c r="P9667">
        <v>20190320</v>
      </c>
      <c r="Q9667" t="s">
        <v>7007</v>
      </c>
      <c r="R9667" t="s">
        <v>7570</v>
      </c>
      <c r="S9667" t="s">
        <v>7000</v>
      </c>
      <c r="T9667" t="s">
        <v>1479</v>
      </c>
    </row>
    <row r="9668" spans="1:20" x14ac:dyDescent="0.25">
      <c r="A9668">
        <v>9</v>
      </c>
      <c r="B9668">
        <v>461</v>
      </c>
      <c r="C9668" t="str">
        <f t="shared" si="2194"/>
        <v>36</v>
      </c>
      <c r="D9668">
        <v>6412</v>
      </c>
      <c r="E9668" t="str">
        <f>"3G"</f>
        <v>3G</v>
      </c>
      <c r="F9668" t="str">
        <f>"001"</f>
        <v>001</v>
      </c>
      <c r="G9668">
        <v>9</v>
      </c>
      <c r="H9668" t="str">
        <f>"91"</f>
        <v>91</v>
      </c>
      <c r="I9668" t="str">
        <f t="shared" si="2209"/>
        <v>0</v>
      </c>
      <c r="J9668" t="str">
        <f t="shared" si="2210"/>
        <v>00</v>
      </c>
      <c r="K9668">
        <v>20190322</v>
      </c>
      <c r="L9668" t="str">
        <f>"076216"</f>
        <v>076216</v>
      </c>
      <c r="M9668" t="str">
        <f>"82970"</f>
        <v>82970</v>
      </c>
      <c r="N9668" t="s">
        <v>1041</v>
      </c>
      <c r="O9668">
        <v>400</v>
      </c>
      <c r="P9668">
        <v>20190320</v>
      </c>
      <c r="Q9668" t="s">
        <v>7002</v>
      </c>
      <c r="R9668" t="s">
        <v>1348</v>
      </c>
      <c r="S9668" t="s">
        <v>7000</v>
      </c>
      <c r="T9668" t="s">
        <v>301</v>
      </c>
    </row>
    <row r="9669" spans="1:20" x14ac:dyDescent="0.25">
      <c r="A9669">
        <v>9</v>
      </c>
      <c r="B9669">
        <v>461</v>
      </c>
      <c r="C9669" t="str">
        <f t="shared" si="2194"/>
        <v>36</v>
      </c>
      <c r="D9669">
        <v>6412</v>
      </c>
      <c r="E9669" t="str">
        <f>"3D"</f>
        <v>3D</v>
      </c>
      <c r="F9669" t="str">
        <f>"001"</f>
        <v>001</v>
      </c>
      <c r="G9669">
        <v>9</v>
      </c>
      <c r="H9669" t="str">
        <f>"91"</f>
        <v>91</v>
      </c>
      <c r="I9669" t="str">
        <f t="shared" si="2209"/>
        <v>0</v>
      </c>
      <c r="J9669" t="str">
        <f t="shared" si="2210"/>
        <v>00</v>
      </c>
      <c r="K9669">
        <v>20190322</v>
      </c>
      <c r="L9669" t="str">
        <f>"076217"</f>
        <v>076217</v>
      </c>
      <c r="M9669" t="str">
        <f>"84370"</f>
        <v>84370</v>
      </c>
      <c r="N9669" t="s">
        <v>395</v>
      </c>
      <c r="O9669">
        <v>177.78</v>
      </c>
      <c r="P9669">
        <v>20190320</v>
      </c>
      <c r="Q9669" t="s">
        <v>7147</v>
      </c>
      <c r="R9669" t="s">
        <v>7625</v>
      </c>
      <c r="S9669" t="s">
        <v>7000</v>
      </c>
      <c r="T9669" t="s">
        <v>301</v>
      </c>
    </row>
    <row r="9670" spans="1:20" x14ac:dyDescent="0.25">
      <c r="A9670">
        <v>9</v>
      </c>
      <c r="B9670">
        <v>461</v>
      </c>
      <c r="C9670" t="str">
        <f t="shared" si="2194"/>
        <v>36</v>
      </c>
      <c r="D9670">
        <v>6412</v>
      </c>
      <c r="E9670" t="str">
        <f>"3G"</f>
        <v>3G</v>
      </c>
      <c r="F9670" t="str">
        <f>"001"</f>
        <v>001</v>
      </c>
      <c r="G9670">
        <v>9</v>
      </c>
      <c r="H9670" t="str">
        <f>"91"</f>
        <v>91</v>
      </c>
      <c r="I9670" t="str">
        <f t="shared" si="2209"/>
        <v>0</v>
      </c>
      <c r="J9670" t="str">
        <f t="shared" si="2210"/>
        <v>00</v>
      </c>
      <c r="K9670">
        <v>20190322</v>
      </c>
      <c r="L9670" t="str">
        <f>"076217"</f>
        <v>076217</v>
      </c>
      <c r="M9670" t="str">
        <f>"84370"</f>
        <v>84370</v>
      </c>
      <c r="N9670" t="s">
        <v>395</v>
      </c>
      <c r="O9670">
        <v>34.06</v>
      </c>
      <c r="P9670">
        <v>20190320</v>
      </c>
      <c r="Q9670" t="s">
        <v>7002</v>
      </c>
      <c r="R9670" t="s">
        <v>998</v>
      </c>
      <c r="S9670" t="s">
        <v>7000</v>
      </c>
      <c r="T9670" t="s">
        <v>301</v>
      </c>
    </row>
    <row r="9671" spans="1:20" x14ac:dyDescent="0.25">
      <c r="A9671">
        <v>9</v>
      </c>
      <c r="B9671">
        <v>461</v>
      </c>
      <c r="C9671" t="str">
        <f t="shared" si="2194"/>
        <v>36</v>
      </c>
      <c r="D9671">
        <v>6399</v>
      </c>
      <c r="E9671" t="str">
        <f>"7U"</f>
        <v>7U</v>
      </c>
      <c r="F9671" t="str">
        <f>"041"</f>
        <v>041</v>
      </c>
      <c r="G9671">
        <v>9</v>
      </c>
      <c r="H9671" t="str">
        <f>"99"</f>
        <v>99</v>
      </c>
      <c r="I9671" t="str">
        <f t="shared" si="2209"/>
        <v>0</v>
      </c>
      <c r="J9671" t="str">
        <f t="shared" si="2210"/>
        <v>00</v>
      </c>
      <c r="K9671">
        <v>20190329</v>
      </c>
      <c r="L9671" t="str">
        <f>"076219"</f>
        <v>076219</v>
      </c>
      <c r="M9671" t="str">
        <f>"04410"</f>
        <v>04410</v>
      </c>
      <c r="N9671" t="s">
        <v>410</v>
      </c>
      <c r="O9671">
        <v>456.88</v>
      </c>
      <c r="P9671">
        <v>20190327</v>
      </c>
      <c r="Q9671" t="s">
        <v>7339</v>
      </c>
      <c r="R9671" t="s">
        <v>7626</v>
      </c>
      <c r="S9671" t="s">
        <v>7000</v>
      </c>
      <c r="T9671" t="s">
        <v>106</v>
      </c>
    </row>
    <row r="9672" spans="1:20" x14ac:dyDescent="0.25">
      <c r="A9672">
        <v>9</v>
      </c>
      <c r="B9672">
        <v>461</v>
      </c>
      <c r="C9672" t="str">
        <f t="shared" si="2194"/>
        <v>36</v>
      </c>
      <c r="D9672">
        <v>6399</v>
      </c>
      <c r="E9672" t="str">
        <f>"DC"</f>
        <v>DC</v>
      </c>
      <c r="F9672" t="str">
        <f>"101"</f>
        <v>101</v>
      </c>
      <c r="G9672">
        <v>9</v>
      </c>
      <c r="H9672" t="str">
        <f>"99"</f>
        <v>99</v>
      </c>
      <c r="I9672" t="str">
        <f t="shared" si="2209"/>
        <v>0</v>
      </c>
      <c r="J9672" t="str">
        <f t="shared" si="2210"/>
        <v>00</v>
      </c>
      <c r="K9672">
        <v>20190329</v>
      </c>
      <c r="L9672" t="str">
        <f>"076219"</f>
        <v>076219</v>
      </c>
      <c r="M9672" t="str">
        <f>"04410"</f>
        <v>04410</v>
      </c>
      <c r="N9672" t="s">
        <v>410</v>
      </c>
      <c r="O9672">
        <v>101.94</v>
      </c>
      <c r="P9672">
        <v>20190327</v>
      </c>
      <c r="Q9672" t="s">
        <v>7156</v>
      </c>
      <c r="R9672" t="s">
        <v>7627</v>
      </c>
      <c r="S9672" t="s">
        <v>7000</v>
      </c>
      <c r="T9672" t="s">
        <v>1479</v>
      </c>
    </row>
    <row r="9673" spans="1:20" x14ac:dyDescent="0.25">
      <c r="A9673">
        <v>9</v>
      </c>
      <c r="B9673">
        <v>461</v>
      </c>
      <c r="C9673" t="str">
        <f t="shared" si="2194"/>
        <v>36</v>
      </c>
      <c r="D9673">
        <v>6399</v>
      </c>
      <c r="E9673" t="str">
        <f>"PR"</f>
        <v>PR</v>
      </c>
      <c r="F9673" t="str">
        <f>"104"</f>
        <v>104</v>
      </c>
      <c r="G9673">
        <v>9</v>
      </c>
      <c r="H9673" t="str">
        <f>"99"</f>
        <v>99</v>
      </c>
      <c r="I9673" t="str">
        <f t="shared" si="2209"/>
        <v>0</v>
      </c>
      <c r="J9673" t="str">
        <f t="shared" si="2210"/>
        <v>00</v>
      </c>
      <c r="K9673">
        <v>20190329</v>
      </c>
      <c r="L9673" t="str">
        <f>"076220"</f>
        <v>076220</v>
      </c>
      <c r="M9673" t="str">
        <f>"04985"</f>
        <v>04985</v>
      </c>
      <c r="N9673" t="s">
        <v>7628</v>
      </c>
      <c r="O9673" s="1">
        <v>1054.8399999999999</v>
      </c>
      <c r="P9673">
        <v>20190328</v>
      </c>
      <c r="Q9673" t="s">
        <v>7014</v>
      </c>
      <c r="R9673" t="s">
        <v>7629</v>
      </c>
      <c r="S9673" t="s">
        <v>7000</v>
      </c>
      <c r="T9673" t="s">
        <v>46</v>
      </c>
    </row>
    <row r="9674" spans="1:20" x14ac:dyDescent="0.25">
      <c r="A9674">
        <v>9</v>
      </c>
      <c r="B9674">
        <v>461</v>
      </c>
      <c r="C9674" t="str">
        <f t="shared" si="2194"/>
        <v>36</v>
      </c>
      <c r="D9674">
        <v>6412</v>
      </c>
      <c r="E9674" t="str">
        <f>"TD"</f>
        <v>TD</v>
      </c>
      <c r="F9674" t="str">
        <f>"002"</f>
        <v>002</v>
      </c>
      <c r="G9674">
        <v>9</v>
      </c>
      <c r="H9674" t="str">
        <f>"99"</f>
        <v>99</v>
      </c>
      <c r="I9674" t="str">
        <f t="shared" si="2209"/>
        <v>0</v>
      </c>
      <c r="J9674" t="str">
        <f t="shared" si="2210"/>
        <v>00</v>
      </c>
      <c r="K9674">
        <v>20190329</v>
      </c>
      <c r="L9674" t="str">
        <f>"076224"</f>
        <v>076224</v>
      </c>
      <c r="M9674" t="str">
        <f>"09170"</f>
        <v>09170</v>
      </c>
      <c r="N9674" t="s">
        <v>679</v>
      </c>
      <c r="O9674">
        <v>288.5</v>
      </c>
      <c r="P9674">
        <v>20190327</v>
      </c>
      <c r="Q9674" t="s">
        <v>7630</v>
      </c>
      <c r="R9674" t="s">
        <v>7631</v>
      </c>
      <c r="S9674" t="s">
        <v>7000</v>
      </c>
      <c r="T9674" t="s">
        <v>1485</v>
      </c>
    </row>
    <row r="9675" spans="1:20" x14ac:dyDescent="0.25">
      <c r="A9675">
        <v>9</v>
      </c>
      <c r="B9675">
        <v>461</v>
      </c>
      <c r="C9675" t="str">
        <f t="shared" si="2194"/>
        <v>36</v>
      </c>
      <c r="D9675">
        <v>6412</v>
      </c>
      <c r="E9675" t="str">
        <f>"3G"</f>
        <v>3G</v>
      </c>
      <c r="F9675" t="str">
        <f>"001"</f>
        <v>001</v>
      </c>
      <c r="G9675">
        <v>9</v>
      </c>
      <c r="H9675" t="str">
        <f>"91"</f>
        <v>91</v>
      </c>
      <c r="I9675" t="str">
        <f t="shared" si="2209"/>
        <v>0</v>
      </c>
      <c r="J9675" t="str">
        <f t="shared" si="2210"/>
        <v>00</v>
      </c>
      <c r="K9675">
        <v>20190329</v>
      </c>
      <c r="L9675" t="str">
        <f>"076233"</f>
        <v>076233</v>
      </c>
      <c r="M9675" t="str">
        <f>"20463"</f>
        <v>20463</v>
      </c>
      <c r="N9675" t="s">
        <v>509</v>
      </c>
      <c r="O9675">
        <v>22.45</v>
      </c>
      <c r="P9675">
        <v>20190327</v>
      </c>
      <c r="Q9675" t="s">
        <v>7002</v>
      </c>
      <c r="R9675" t="s">
        <v>1265</v>
      </c>
      <c r="S9675" t="s">
        <v>7000</v>
      </c>
      <c r="T9675" t="s">
        <v>301</v>
      </c>
    </row>
    <row r="9676" spans="1:20" x14ac:dyDescent="0.25">
      <c r="A9676">
        <v>9</v>
      </c>
      <c r="B9676">
        <v>461</v>
      </c>
      <c r="C9676" t="str">
        <f t="shared" si="2194"/>
        <v>36</v>
      </c>
      <c r="D9676">
        <v>6399</v>
      </c>
      <c r="E9676" t="str">
        <f>"8M"</f>
        <v>8M</v>
      </c>
      <c r="F9676" t="str">
        <f>"001"</f>
        <v>001</v>
      </c>
      <c r="G9676">
        <v>9</v>
      </c>
      <c r="H9676" t="str">
        <f>"99"</f>
        <v>99</v>
      </c>
      <c r="I9676" t="str">
        <f t="shared" si="2209"/>
        <v>0</v>
      </c>
      <c r="J9676" t="str">
        <f t="shared" si="2210"/>
        <v>00</v>
      </c>
      <c r="K9676">
        <v>20190329</v>
      </c>
      <c r="L9676" t="str">
        <f>"076238"</f>
        <v>076238</v>
      </c>
      <c r="M9676" t="str">
        <f>"00115"</f>
        <v>00115</v>
      </c>
      <c r="N9676" t="s">
        <v>7632</v>
      </c>
      <c r="O9676">
        <v>422.4</v>
      </c>
      <c r="P9676">
        <v>20190327</v>
      </c>
      <c r="Q9676" t="s">
        <v>7138</v>
      </c>
      <c r="R9676" t="s">
        <v>7633</v>
      </c>
      <c r="S9676" t="s">
        <v>7000</v>
      </c>
      <c r="T9676" t="s">
        <v>301</v>
      </c>
    </row>
    <row r="9677" spans="1:20" x14ac:dyDescent="0.25">
      <c r="A9677">
        <v>9</v>
      </c>
      <c r="B9677">
        <v>461</v>
      </c>
      <c r="C9677" t="str">
        <f t="shared" si="2194"/>
        <v>36</v>
      </c>
      <c r="D9677">
        <v>6299</v>
      </c>
      <c r="E9677" t="str">
        <f>"69"</f>
        <v>69</v>
      </c>
      <c r="F9677" t="str">
        <f>"001"</f>
        <v>001</v>
      </c>
      <c r="G9677">
        <v>9</v>
      </c>
      <c r="H9677" t="str">
        <f>"99"</f>
        <v>99</v>
      </c>
      <c r="I9677" t="str">
        <f t="shared" si="2209"/>
        <v>0</v>
      </c>
      <c r="J9677" t="str">
        <f t="shared" si="2210"/>
        <v>00</v>
      </c>
      <c r="K9677">
        <v>20190329</v>
      </c>
      <c r="L9677" t="str">
        <f>"076243"</f>
        <v>076243</v>
      </c>
      <c r="M9677" t="str">
        <f>"73540"</f>
        <v>73540</v>
      </c>
      <c r="N9677" t="s">
        <v>7488</v>
      </c>
      <c r="O9677" s="1">
        <v>1100</v>
      </c>
      <c r="P9677">
        <v>20190327</v>
      </c>
      <c r="Q9677" t="s">
        <v>7489</v>
      </c>
      <c r="R9677" t="s">
        <v>7490</v>
      </c>
      <c r="S9677" t="s">
        <v>7000</v>
      </c>
      <c r="T9677" t="s">
        <v>301</v>
      </c>
    </row>
    <row r="9678" spans="1:20" x14ac:dyDescent="0.25">
      <c r="A9678">
        <v>9</v>
      </c>
      <c r="B9678">
        <v>461</v>
      </c>
      <c r="C9678" t="str">
        <f t="shared" si="2194"/>
        <v>36</v>
      </c>
      <c r="D9678">
        <v>6399</v>
      </c>
      <c r="E9678" t="str">
        <f>"GN"</f>
        <v>GN</v>
      </c>
      <c r="F9678" t="str">
        <f>"001"</f>
        <v>001</v>
      </c>
      <c r="G9678">
        <v>9</v>
      </c>
      <c r="H9678" t="str">
        <f>"99"</f>
        <v>99</v>
      </c>
      <c r="I9678" t="str">
        <f t="shared" si="2209"/>
        <v>0</v>
      </c>
      <c r="J9678" t="str">
        <f t="shared" si="2210"/>
        <v>00</v>
      </c>
      <c r="K9678">
        <v>20190329</v>
      </c>
      <c r="L9678" t="str">
        <f>"076249"</f>
        <v>076249</v>
      </c>
      <c r="M9678" t="str">
        <f>"29624"</f>
        <v>29624</v>
      </c>
      <c r="N9678" t="s">
        <v>2753</v>
      </c>
      <c r="O9678">
        <v>128.6</v>
      </c>
      <c r="P9678">
        <v>20190327</v>
      </c>
      <c r="Q9678" t="s">
        <v>7043</v>
      </c>
      <c r="R9678" t="s">
        <v>7634</v>
      </c>
      <c r="S9678" t="s">
        <v>7000</v>
      </c>
      <c r="T9678" t="s">
        <v>301</v>
      </c>
    </row>
    <row r="9679" spans="1:20" x14ac:dyDescent="0.25">
      <c r="A9679">
        <v>9</v>
      </c>
      <c r="B9679">
        <v>461</v>
      </c>
      <c r="C9679" t="str">
        <f t="shared" si="2194"/>
        <v>36</v>
      </c>
      <c r="D9679">
        <v>6399</v>
      </c>
      <c r="E9679" t="str">
        <f>"44"</f>
        <v>44</v>
      </c>
      <c r="F9679" t="str">
        <f>"104"</f>
        <v>104</v>
      </c>
      <c r="G9679">
        <v>9</v>
      </c>
      <c r="H9679" t="str">
        <f>"99"</f>
        <v>99</v>
      </c>
      <c r="I9679" t="str">
        <f t="shared" si="2209"/>
        <v>0</v>
      </c>
      <c r="J9679" t="str">
        <f t="shared" si="2210"/>
        <v>00</v>
      </c>
      <c r="K9679">
        <v>20190329</v>
      </c>
      <c r="L9679" t="str">
        <f>"076256"</f>
        <v>076256</v>
      </c>
      <c r="M9679" t="str">
        <f>"33701"</f>
        <v>33701</v>
      </c>
      <c r="N9679" t="s">
        <v>7635</v>
      </c>
      <c r="O9679" s="1">
        <v>3950</v>
      </c>
      <c r="P9679">
        <v>20190327</v>
      </c>
      <c r="Q9679" t="s">
        <v>7104</v>
      </c>
      <c r="R9679" t="s">
        <v>7636</v>
      </c>
      <c r="S9679" t="s">
        <v>7000</v>
      </c>
      <c r="T9679" t="s">
        <v>46</v>
      </c>
    </row>
    <row r="9680" spans="1:20" x14ac:dyDescent="0.25">
      <c r="A9680">
        <v>9</v>
      </c>
      <c r="B9680">
        <v>461</v>
      </c>
      <c r="C9680" t="str">
        <f t="shared" ref="C9680:C9743" si="2211">"36"</f>
        <v>36</v>
      </c>
      <c r="D9680">
        <v>6412</v>
      </c>
      <c r="E9680" t="str">
        <f>"3G"</f>
        <v>3G</v>
      </c>
      <c r="F9680" t="str">
        <f>"001"</f>
        <v>001</v>
      </c>
      <c r="G9680">
        <v>9</v>
      </c>
      <c r="H9680" t="str">
        <f>"91"</f>
        <v>91</v>
      </c>
      <c r="I9680" t="str">
        <f t="shared" si="2209"/>
        <v>0</v>
      </c>
      <c r="J9680" t="str">
        <f t="shared" si="2210"/>
        <v>00</v>
      </c>
      <c r="K9680">
        <v>20190329</v>
      </c>
      <c r="L9680" t="str">
        <f>"076270"</f>
        <v>076270</v>
      </c>
      <c r="M9680" t="str">
        <f>"47201"</f>
        <v>47201</v>
      </c>
      <c r="N9680" t="s">
        <v>1210</v>
      </c>
      <c r="O9680">
        <v>242</v>
      </c>
      <c r="P9680">
        <v>20190327</v>
      </c>
      <c r="Q9680" t="s">
        <v>7002</v>
      </c>
      <c r="R9680" t="s">
        <v>7637</v>
      </c>
      <c r="S9680" t="s">
        <v>7000</v>
      </c>
      <c r="T9680" t="s">
        <v>301</v>
      </c>
    </row>
    <row r="9681" spans="1:20" x14ac:dyDescent="0.25">
      <c r="A9681">
        <v>9</v>
      </c>
      <c r="B9681">
        <v>461</v>
      </c>
      <c r="C9681" t="str">
        <f t="shared" si="2211"/>
        <v>36</v>
      </c>
      <c r="D9681">
        <v>6412</v>
      </c>
      <c r="E9681" t="str">
        <f>"3G"</f>
        <v>3G</v>
      </c>
      <c r="F9681" t="str">
        <f>"001"</f>
        <v>001</v>
      </c>
      <c r="G9681">
        <v>9</v>
      </c>
      <c r="H9681" t="str">
        <f>"91"</f>
        <v>91</v>
      </c>
      <c r="I9681" t="str">
        <f t="shared" si="2209"/>
        <v>0</v>
      </c>
      <c r="J9681" t="str">
        <f t="shared" si="2210"/>
        <v>00</v>
      </c>
      <c r="K9681">
        <v>20190410</v>
      </c>
      <c r="L9681" t="str">
        <f>"076270"</f>
        <v>076270</v>
      </c>
      <c r="M9681" t="str">
        <f>"47201"</f>
        <v>47201</v>
      </c>
      <c r="N9681" t="s">
        <v>1210</v>
      </c>
      <c r="O9681">
        <v>-242</v>
      </c>
      <c r="P9681">
        <v>20190410</v>
      </c>
      <c r="Q9681" t="s">
        <v>7002</v>
      </c>
      <c r="R9681" t="s">
        <v>1212</v>
      </c>
      <c r="S9681" t="s">
        <v>7000</v>
      </c>
      <c r="T9681" t="s">
        <v>301</v>
      </c>
    </row>
    <row r="9682" spans="1:20" x14ac:dyDescent="0.25">
      <c r="A9682">
        <v>9</v>
      </c>
      <c r="B9682">
        <v>461</v>
      </c>
      <c r="C9682" t="str">
        <f t="shared" si="2211"/>
        <v>36</v>
      </c>
      <c r="D9682">
        <v>6399</v>
      </c>
      <c r="E9682" t="str">
        <f>"7U"</f>
        <v>7U</v>
      </c>
      <c r="F9682" t="str">
        <f>"101"</f>
        <v>101</v>
      </c>
      <c r="G9682">
        <v>9</v>
      </c>
      <c r="H9682" t="str">
        <f>"99"</f>
        <v>99</v>
      </c>
      <c r="I9682" t="str">
        <f t="shared" si="2209"/>
        <v>0</v>
      </c>
      <c r="J9682" t="str">
        <f t="shared" si="2210"/>
        <v>00</v>
      </c>
      <c r="K9682">
        <v>20190329</v>
      </c>
      <c r="L9682" t="str">
        <f>"076271"</f>
        <v>076271</v>
      </c>
      <c r="M9682" t="str">
        <f>"00200"</f>
        <v>00200</v>
      </c>
      <c r="N9682" t="s">
        <v>7638</v>
      </c>
      <c r="O9682">
        <v>619.05999999999995</v>
      </c>
      <c r="P9682">
        <v>20190328</v>
      </c>
      <c r="Q9682" t="s">
        <v>7274</v>
      </c>
      <c r="R9682" t="s">
        <v>1945</v>
      </c>
      <c r="S9682" t="s">
        <v>7000</v>
      </c>
      <c r="T9682" t="s">
        <v>1479</v>
      </c>
    </row>
    <row r="9683" spans="1:20" x14ac:dyDescent="0.25">
      <c r="A9683">
        <v>9</v>
      </c>
      <c r="B9683">
        <v>461</v>
      </c>
      <c r="C9683" t="str">
        <f t="shared" si="2211"/>
        <v>36</v>
      </c>
      <c r="D9683">
        <v>6399</v>
      </c>
      <c r="E9683" t="str">
        <f>"7U"</f>
        <v>7U</v>
      </c>
      <c r="F9683" t="str">
        <f>"001"</f>
        <v>001</v>
      </c>
      <c r="G9683">
        <v>9</v>
      </c>
      <c r="H9683" t="str">
        <f>"99"</f>
        <v>99</v>
      </c>
      <c r="I9683" t="str">
        <f t="shared" si="2209"/>
        <v>0</v>
      </c>
      <c r="J9683" t="str">
        <f t="shared" si="2210"/>
        <v>00</v>
      </c>
      <c r="K9683">
        <v>20190329</v>
      </c>
      <c r="L9683" t="str">
        <f>"076272"</f>
        <v>076272</v>
      </c>
      <c r="M9683" t="str">
        <f>"80056"</f>
        <v>80056</v>
      </c>
      <c r="N9683" t="s">
        <v>4416</v>
      </c>
      <c r="O9683">
        <v>445</v>
      </c>
      <c r="P9683">
        <v>20190327</v>
      </c>
      <c r="Q9683" t="s">
        <v>7386</v>
      </c>
      <c r="R9683" t="s">
        <v>2486</v>
      </c>
      <c r="S9683" t="s">
        <v>7000</v>
      </c>
      <c r="T9683" t="s">
        <v>301</v>
      </c>
    </row>
    <row r="9684" spans="1:20" x14ac:dyDescent="0.25">
      <c r="A9684">
        <v>9</v>
      </c>
      <c r="B9684">
        <v>461</v>
      </c>
      <c r="C9684" t="str">
        <f t="shared" si="2211"/>
        <v>36</v>
      </c>
      <c r="D9684">
        <v>6399</v>
      </c>
      <c r="E9684" t="str">
        <f>"61"</f>
        <v>61</v>
      </c>
      <c r="F9684" t="str">
        <f>"001"</f>
        <v>001</v>
      </c>
      <c r="G9684">
        <v>9</v>
      </c>
      <c r="H9684" t="str">
        <f>"99"</f>
        <v>99</v>
      </c>
      <c r="I9684" t="str">
        <f t="shared" si="2209"/>
        <v>0</v>
      </c>
      <c r="J9684" t="str">
        <f t="shared" si="2210"/>
        <v>00</v>
      </c>
      <c r="K9684">
        <v>20190329</v>
      </c>
      <c r="L9684" t="str">
        <f>"076284"</f>
        <v>076284</v>
      </c>
      <c r="M9684" t="str">
        <f>"58204"</f>
        <v>58204</v>
      </c>
      <c r="N9684" t="s">
        <v>1767</v>
      </c>
      <c r="O9684">
        <v>2.0699999999999998</v>
      </c>
      <c r="P9684">
        <v>20190328</v>
      </c>
      <c r="Q9684" t="s">
        <v>7095</v>
      </c>
      <c r="R9684" t="s">
        <v>7639</v>
      </c>
      <c r="S9684" t="s">
        <v>7000</v>
      </c>
      <c r="T9684" t="s">
        <v>301</v>
      </c>
    </row>
    <row r="9685" spans="1:20" x14ac:dyDescent="0.25">
      <c r="A9685">
        <v>9</v>
      </c>
      <c r="B9685">
        <v>461</v>
      </c>
      <c r="C9685" t="str">
        <f t="shared" si="2211"/>
        <v>36</v>
      </c>
      <c r="D9685">
        <v>6399</v>
      </c>
      <c r="E9685" t="str">
        <f>"61"</f>
        <v>61</v>
      </c>
      <c r="F9685" t="str">
        <f>"001"</f>
        <v>001</v>
      </c>
      <c r="G9685">
        <v>9</v>
      </c>
      <c r="H9685" t="str">
        <f>"99"</f>
        <v>99</v>
      </c>
      <c r="I9685" t="str">
        <f t="shared" si="2209"/>
        <v>0</v>
      </c>
      <c r="J9685" t="str">
        <f t="shared" si="2210"/>
        <v>00</v>
      </c>
      <c r="K9685">
        <v>20190329</v>
      </c>
      <c r="L9685" t="str">
        <f>"076284"</f>
        <v>076284</v>
      </c>
      <c r="M9685" t="str">
        <f>"58204"</f>
        <v>58204</v>
      </c>
      <c r="N9685" t="s">
        <v>1767</v>
      </c>
      <c r="O9685">
        <v>32.68</v>
      </c>
      <c r="P9685">
        <v>20190328</v>
      </c>
      <c r="Q9685" t="s">
        <v>7095</v>
      </c>
      <c r="R9685" t="s">
        <v>2793</v>
      </c>
      <c r="S9685" t="s">
        <v>7000</v>
      </c>
      <c r="T9685" t="s">
        <v>301</v>
      </c>
    </row>
    <row r="9686" spans="1:20" x14ac:dyDescent="0.25">
      <c r="A9686">
        <v>9</v>
      </c>
      <c r="B9686">
        <v>461</v>
      </c>
      <c r="C9686" t="str">
        <f t="shared" si="2211"/>
        <v>36</v>
      </c>
      <c r="D9686">
        <v>6399</v>
      </c>
      <c r="E9686" t="str">
        <f>"7E"</f>
        <v>7E</v>
      </c>
      <c r="F9686" t="str">
        <f>"001"</f>
        <v>001</v>
      </c>
      <c r="G9686">
        <v>9</v>
      </c>
      <c r="H9686" t="str">
        <f>"99"</f>
        <v>99</v>
      </c>
      <c r="I9686" t="str">
        <f t="shared" si="2209"/>
        <v>0</v>
      </c>
      <c r="J9686" t="str">
        <f t="shared" si="2210"/>
        <v>00</v>
      </c>
      <c r="K9686">
        <v>20190329</v>
      </c>
      <c r="L9686" t="str">
        <f>"076289"</f>
        <v>076289</v>
      </c>
      <c r="M9686" t="str">
        <f>"63053"</f>
        <v>63053</v>
      </c>
      <c r="N9686" t="s">
        <v>2309</v>
      </c>
      <c r="O9686">
        <v>51</v>
      </c>
      <c r="P9686">
        <v>20190328</v>
      </c>
      <c r="Q9686" t="s">
        <v>7055</v>
      </c>
      <c r="R9686" t="s">
        <v>2912</v>
      </c>
      <c r="S9686" t="s">
        <v>7000</v>
      </c>
      <c r="T9686" t="s">
        <v>301</v>
      </c>
    </row>
    <row r="9687" spans="1:20" x14ac:dyDescent="0.25">
      <c r="A9687">
        <v>9</v>
      </c>
      <c r="B9687">
        <v>461</v>
      </c>
      <c r="C9687" t="str">
        <f t="shared" si="2211"/>
        <v>36</v>
      </c>
      <c r="D9687">
        <v>6399</v>
      </c>
      <c r="E9687" t="str">
        <f>"3A"</f>
        <v>3A</v>
      </c>
      <c r="F9687" t="str">
        <f>"001"</f>
        <v>001</v>
      </c>
      <c r="G9687">
        <v>9</v>
      </c>
      <c r="H9687" t="str">
        <f>"91"</f>
        <v>91</v>
      </c>
      <c r="I9687" t="str">
        <f t="shared" si="2209"/>
        <v>0</v>
      </c>
      <c r="J9687" t="str">
        <f t="shared" si="2210"/>
        <v>00</v>
      </c>
      <c r="K9687">
        <v>20190329</v>
      </c>
      <c r="L9687" t="str">
        <f>"076294"</f>
        <v>076294</v>
      </c>
      <c r="M9687" t="str">
        <f>"00737"</f>
        <v>00737</v>
      </c>
      <c r="N9687" t="s">
        <v>7640</v>
      </c>
      <c r="O9687">
        <v>393.98</v>
      </c>
      <c r="P9687">
        <v>20190328</v>
      </c>
      <c r="Q9687" t="s">
        <v>7175</v>
      </c>
      <c r="R9687" t="s">
        <v>7641</v>
      </c>
      <c r="S9687" t="s">
        <v>7000</v>
      </c>
      <c r="T9687" t="s">
        <v>301</v>
      </c>
    </row>
    <row r="9688" spans="1:20" x14ac:dyDescent="0.25">
      <c r="A9688">
        <v>9</v>
      </c>
      <c r="B9688">
        <v>461</v>
      </c>
      <c r="C9688" t="str">
        <f t="shared" si="2211"/>
        <v>36</v>
      </c>
      <c r="D9688">
        <v>6399</v>
      </c>
      <c r="E9688" t="str">
        <f>"3S"</f>
        <v>3S</v>
      </c>
      <c r="F9688" t="str">
        <f>"041"</f>
        <v>041</v>
      </c>
      <c r="G9688">
        <v>9</v>
      </c>
      <c r="H9688" t="str">
        <f>"91"</f>
        <v>91</v>
      </c>
      <c r="I9688" t="str">
        <f t="shared" si="2209"/>
        <v>0</v>
      </c>
      <c r="J9688" t="str">
        <f t="shared" si="2210"/>
        <v>00</v>
      </c>
      <c r="K9688">
        <v>20190329</v>
      </c>
      <c r="L9688" t="str">
        <f>"076296"</f>
        <v>076296</v>
      </c>
      <c r="M9688" t="str">
        <f>"74131"</f>
        <v>74131</v>
      </c>
      <c r="N9688" t="s">
        <v>495</v>
      </c>
      <c r="O9688">
        <v>198</v>
      </c>
      <c r="P9688">
        <v>20190328</v>
      </c>
      <c r="Q9688" t="s">
        <v>7107</v>
      </c>
      <c r="R9688" t="s">
        <v>7642</v>
      </c>
      <c r="S9688" t="s">
        <v>7000</v>
      </c>
      <c r="T9688" t="s">
        <v>106</v>
      </c>
    </row>
    <row r="9689" spans="1:20" x14ac:dyDescent="0.25">
      <c r="A9689">
        <v>9</v>
      </c>
      <c r="B9689">
        <v>461</v>
      </c>
      <c r="C9689" t="str">
        <f t="shared" si="2211"/>
        <v>36</v>
      </c>
      <c r="D9689">
        <v>6411</v>
      </c>
      <c r="E9689" t="str">
        <f>"3T"</f>
        <v>3T</v>
      </c>
      <c r="F9689" t="str">
        <f>"001"</f>
        <v>001</v>
      </c>
      <c r="G9689">
        <v>9</v>
      </c>
      <c r="H9689" t="str">
        <f>"91"</f>
        <v>91</v>
      </c>
      <c r="I9689" t="str">
        <f t="shared" si="2209"/>
        <v>0</v>
      </c>
      <c r="J9689" t="str">
        <f t="shared" si="2210"/>
        <v>00</v>
      </c>
      <c r="K9689">
        <v>20190329</v>
      </c>
      <c r="L9689" t="str">
        <f>"076298"</f>
        <v>076298</v>
      </c>
      <c r="M9689" t="str">
        <f>"00539"</f>
        <v>00539</v>
      </c>
      <c r="N9689" t="s">
        <v>2332</v>
      </c>
      <c r="O9689">
        <v>199.8</v>
      </c>
      <c r="P9689">
        <v>20190328</v>
      </c>
      <c r="Q9689" t="s">
        <v>7643</v>
      </c>
      <c r="R9689" t="s">
        <v>7644</v>
      </c>
      <c r="S9689" t="s">
        <v>7000</v>
      </c>
      <c r="T9689" t="s">
        <v>301</v>
      </c>
    </row>
    <row r="9690" spans="1:20" x14ac:dyDescent="0.25">
      <c r="A9690">
        <v>9</v>
      </c>
      <c r="B9690">
        <v>461</v>
      </c>
      <c r="C9690" t="str">
        <f t="shared" si="2211"/>
        <v>36</v>
      </c>
      <c r="D9690">
        <v>6399</v>
      </c>
      <c r="E9690" t="str">
        <f>"Y5"</f>
        <v>Y5</v>
      </c>
      <c r="F9690" t="str">
        <f>"802"</f>
        <v>802</v>
      </c>
      <c r="G9690">
        <v>9</v>
      </c>
      <c r="H9690" t="str">
        <f>"99"</f>
        <v>99</v>
      </c>
      <c r="I9690" t="str">
        <f t="shared" si="2209"/>
        <v>0</v>
      </c>
      <c r="J9690" t="str">
        <f t="shared" si="2210"/>
        <v>00</v>
      </c>
      <c r="K9690">
        <v>20190329</v>
      </c>
      <c r="L9690" t="str">
        <f>"076302"</f>
        <v>076302</v>
      </c>
      <c r="M9690" t="str">
        <f>"80600"</f>
        <v>80600</v>
      </c>
      <c r="N9690" t="s">
        <v>1927</v>
      </c>
      <c r="O9690">
        <v>712.5</v>
      </c>
      <c r="P9690">
        <v>20190328</v>
      </c>
      <c r="Q9690" t="s">
        <v>7021</v>
      </c>
      <c r="R9690" t="s">
        <v>7645</v>
      </c>
      <c r="S9690" t="s">
        <v>7000</v>
      </c>
      <c r="T9690" t="s">
        <v>7023</v>
      </c>
    </row>
    <row r="9691" spans="1:20" x14ac:dyDescent="0.25">
      <c r="A9691">
        <v>9</v>
      </c>
      <c r="B9691">
        <v>461</v>
      </c>
      <c r="C9691" t="str">
        <f t="shared" si="2211"/>
        <v>36</v>
      </c>
      <c r="D9691">
        <v>6499</v>
      </c>
      <c r="E9691" t="str">
        <f>"7C"</f>
        <v>7C</v>
      </c>
      <c r="F9691" t="str">
        <f>"001"</f>
        <v>001</v>
      </c>
      <c r="G9691">
        <v>9</v>
      </c>
      <c r="H9691" t="str">
        <f>"99"</f>
        <v>99</v>
      </c>
      <c r="I9691" t="str">
        <f t="shared" si="2209"/>
        <v>0</v>
      </c>
      <c r="J9691" t="str">
        <f t="shared" si="2210"/>
        <v>00</v>
      </c>
      <c r="K9691">
        <v>20190329</v>
      </c>
      <c r="L9691" t="str">
        <f>"076304"</f>
        <v>076304</v>
      </c>
      <c r="M9691" t="str">
        <f>"82166"</f>
        <v>82166</v>
      </c>
      <c r="N9691" t="s">
        <v>1286</v>
      </c>
      <c r="O9691">
        <v>750</v>
      </c>
      <c r="P9691">
        <v>20190328</v>
      </c>
      <c r="Q9691" t="s">
        <v>7119</v>
      </c>
      <c r="R9691" t="s">
        <v>7646</v>
      </c>
      <c r="S9691" t="s">
        <v>7000</v>
      </c>
      <c r="T9691" t="s">
        <v>301</v>
      </c>
    </row>
    <row r="9692" spans="1:20" x14ac:dyDescent="0.25">
      <c r="A9692">
        <v>9</v>
      </c>
      <c r="B9692">
        <v>461</v>
      </c>
      <c r="C9692" t="str">
        <f t="shared" si="2211"/>
        <v>36</v>
      </c>
      <c r="D9692">
        <v>6412</v>
      </c>
      <c r="E9692" t="str">
        <f>"3G"</f>
        <v>3G</v>
      </c>
      <c r="F9692" t="str">
        <f>"001"</f>
        <v>001</v>
      </c>
      <c r="G9692">
        <v>9</v>
      </c>
      <c r="H9692" t="str">
        <f>"91"</f>
        <v>91</v>
      </c>
      <c r="I9692" t="str">
        <f t="shared" si="2209"/>
        <v>0</v>
      </c>
      <c r="J9692" t="str">
        <f t="shared" si="2210"/>
        <v>00</v>
      </c>
      <c r="K9692">
        <v>20190405</v>
      </c>
      <c r="L9692" t="str">
        <f>"076319"</f>
        <v>076319</v>
      </c>
      <c r="M9692" t="str">
        <f>"03694"</f>
        <v>03694</v>
      </c>
      <c r="N9692" t="s">
        <v>459</v>
      </c>
      <c r="O9692">
        <v>500</v>
      </c>
      <c r="P9692">
        <v>20190404</v>
      </c>
      <c r="Q9692" t="s">
        <v>7002</v>
      </c>
      <c r="R9692" t="s">
        <v>1211</v>
      </c>
      <c r="S9692" t="s">
        <v>7000</v>
      </c>
      <c r="T9692" t="s">
        <v>301</v>
      </c>
    </row>
    <row r="9693" spans="1:20" x14ac:dyDescent="0.25">
      <c r="A9693">
        <v>9</v>
      </c>
      <c r="B9693">
        <v>461</v>
      </c>
      <c r="C9693" t="str">
        <f t="shared" si="2211"/>
        <v>36</v>
      </c>
      <c r="D9693">
        <v>6399</v>
      </c>
      <c r="E9693" t="str">
        <f>"61"</f>
        <v>61</v>
      </c>
      <c r="F9693" t="str">
        <f>"001"</f>
        <v>001</v>
      </c>
      <c r="G9693">
        <v>9</v>
      </c>
      <c r="H9693" t="str">
        <f t="shared" ref="H9693:H9698" si="2212">"99"</f>
        <v>99</v>
      </c>
      <c r="I9693" t="str">
        <f t="shared" si="2209"/>
        <v>0</v>
      </c>
      <c r="J9693" t="str">
        <f t="shared" si="2210"/>
        <v>00</v>
      </c>
      <c r="K9693">
        <v>20190405</v>
      </c>
      <c r="L9693" t="str">
        <f>"076321"</f>
        <v>076321</v>
      </c>
      <c r="M9693" t="str">
        <f>"04410"</f>
        <v>04410</v>
      </c>
      <c r="N9693" t="s">
        <v>410</v>
      </c>
      <c r="O9693">
        <v>50.65</v>
      </c>
      <c r="P9693">
        <v>20190404</v>
      </c>
      <c r="Q9693" t="s">
        <v>7095</v>
      </c>
      <c r="R9693" t="s">
        <v>7647</v>
      </c>
      <c r="S9693" t="s">
        <v>7000</v>
      </c>
      <c r="T9693" t="s">
        <v>301</v>
      </c>
    </row>
    <row r="9694" spans="1:20" x14ac:dyDescent="0.25">
      <c r="A9694">
        <v>9</v>
      </c>
      <c r="B9694">
        <v>461</v>
      </c>
      <c r="C9694" t="str">
        <f t="shared" si="2211"/>
        <v>36</v>
      </c>
      <c r="D9694">
        <v>6399</v>
      </c>
      <c r="E9694" t="str">
        <f>"69"</f>
        <v>69</v>
      </c>
      <c r="F9694" t="str">
        <f>"001"</f>
        <v>001</v>
      </c>
      <c r="G9694">
        <v>9</v>
      </c>
      <c r="H9694" t="str">
        <f t="shared" si="2212"/>
        <v>99</v>
      </c>
      <c r="I9694" t="str">
        <f t="shared" si="2209"/>
        <v>0</v>
      </c>
      <c r="J9694" t="str">
        <f t="shared" si="2210"/>
        <v>00</v>
      </c>
      <c r="K9694">
        <v>20190405</v>
      </c>
      <c r="L9694" t="str">
        <f>"076321"</f>
        <v>076321</v>
      </c>
      <c r="M9694" t="str">
        <f>"04410"</f>
        <v>04410</v>
      </c>
      <c r="N9694" t="s">
        <v>410</v>
      </c>
      <c r="O9694" s="1">
        <v>1858.71</v>
      </c>
      <c r="P9694">
        <v>20190404</v>
      </c>
      <c r="Q9694" t="s">
        <v>7648</v>
      </c>
      <c r="R9694" t="s">
        <v>7649</v>
      </c>
      <c r="S9694" t="s">
        <v>7000</v>
      </c>
      <c r="T9694" t="s">
        <v>301</v>
      </c>
    </row>
    <row r="9695" spans="1:20" x14ac:dyDescent="0.25">
      <c r="A9695">
        <v>9</v>
      </c>
      <c r="B9695">
        <v>461</v>
      </c>
      <c r="C9695" t="str">
        <f t="shared" si="2211"/>
        <v>36</v>
      </c>
      <c r="D9695">
        <v>6399</v>
      </c>
      <c r="E9695" t="str">
        <f>"69"</f>
        <v>69</v>
      </c>
      <c r="F9695" t="str">
        <f>"001"</f>
        <v>001</v>
      </c>
      <c r="G9695">
        <v>9</v>
      </c>
      <c r="H9695" t="str">
        <f t="shared" si="2212"/>
        <v>99</v>
      </c>
      <c r="I9695" t="str">
        <f t="shared" si="2209"/>
        <v>0</v>
      </c>
      <c r="J9695" t="str">
        <f t="shared" si="2210"/>
        <v>00</v>
      </c>
      <c r="K9695">
        <v>20190405</v>
      </c>
      <c r="L9695" t="str">
        <f>"076321"</f>
        <v>076321</v>
      </c>
      <c r="M9695" t="str">
        <f>"04410"</f>
        <v>04410</v>
      </c>
      <c r="N9695" t="s">
        <v>410</v>
      </c>
      <c r="O9695">
        <v>377.15</v>
      </c>
      <c r="P9695">
        <v>20190404</v>
      </c>
      <c r="Q9695" t="s">
        <v>7648</v>
      </c>
      <c r="R9695" t="s">
        <v>7650</v>
      </c>
      <c r="S9695" t="s">
        <v>7000</v>
      </c>
      <c r="T9695" t="s">
        <v>301</v>
      </c>
    </row>
    <row r="9696" spans="1:20" x14ac:dyDescent="0.25">
      <c r="A9696">
        <v>9</v>
      </c>
      <c r="B9696">
        <v>461</v>
      </c>
      <c r="C9696" t="str">
        <f t="shared" si="2211"/>
        <v>36</v>
      </c>
      <c r="D9696">
        <v>6399</v>
      </c>
      <c r="E9696" t="str">
        <f>"61"</f>
        <v>61</v>
      </c>
      <c r="F9696" t="str">
        <f>"101"</f>
        <v>101</v>
      </c>
      <c r="G9696">
        <v>9</v>
      </c>
      <c r="H9696" t="str">
        <f t="shared" si="2212"/>
        <v>99</v>
      </c>
      <c r="I9696" t="str">
        <f t="shared" si="2209"/>
        <v>0</v>
      </c>
      <c r="J9696" t="str">
        <f t="shared" si="2210"/>
        <v>00</v>
      </c>
      <c r="K9696">
        <v>20190405</v>
      </c>
      <c r="L9696" t="str">
        <f>"076322"</f>
        <v>076322</v>
      </c>
      <c r="M9696" t="str">
        <f>"06252"</f>
        <v>06252</v>
      </c>
      <c r="N9696" t="s">
        <v>7651</v>
      </c>
      <c r="O9696">
        <v>237.58</v>
      </c>
      <c r="P9696">
        <v>20190404</v>
      </c>
      <c r="Q9696" t="s">
        <v>7007</v>
      </c>
      <c r="R9696" t="s">
        <v>7652</v>
      </c>
      <c r="S9696" t="s">
        <v>7000</v>
      </c>
      <c r="T9696" t="s">
        <v>1479</v>
      </c>
    </row>
    <row r="9697" spans="1:20" x14ac:dyDescent="0.25">
      <c r="A9697">
        <v>9</v>
      </c>
      <c r="B9697">
        <v>461</v>
      </c>
      <c r="C9697" t="str">
        <f t="shared" si="2211"/>
        <v>36</v>
      </c>
      <c r="D9697">
        <v>6399</v>
      </c>
      <c r="E9697" t="str">
        <f>"7U"</f>
        <v>7U</v>
      </c>
      <c r="F9697" t="str">
        <f>"104"</f>
        <v>104</v>
      </c>
      <c r="G9697">
        <v>9</v>
      </c>
      <c r="H9697" t="str">
        <f t="shared" si="2212"/>
        <v>99</v>
      </c>
      <c r="I9697" t="str">
        <f t="shared" si="2209"/>
        <v>0</v>
      </c>
      <c r="J9697" t="str">
        <f t="shared" si="2210"/>
        <v>00</v>
      </c>
      <c r="K9697">
        <v>20190405</v>
      </c>
      <c r="L9697" t="str">
        <f>"076324"</f>
        <v>076324</v>
      </c>
      <c r="M9697" t="str">
        <f>"10033"</f>
        <v>10033</v>
      </c>
      <c r="N9697" t="s">
        <v>6982</v>
      </c>
      <c r="O9697">
        <v>312.93</v>
      </c>
      <c r="P9697">
        <v>20190404</v>
      </c>
      <c r="Q9697" t="s">
        <v>7193</v>
      </c>
      <c r="R9697" t="s">
        <v>1945</v>
      </c>
      <c r="S9697" t="s">
        <v>7000</v>
      </c>
      <c r="T9697" t="s">
        <v>46</v>
      </c>
    </row>
    <row r="9698" spans="1:20" x14ac:dyDescent="0.25">
      <c r="A9698">
        <v>9</v>
      </c>
      <c r="B9698">
        <v>461</v>
      </c>
      <c r="C9698" t="str">
        <f t="shared" si="2211"/>
        <v>36</v>
      </c>
      <c r="D9698">
        <v>6399</v>
      </c>
      <c r="E9698" t="str">
        <f>"7U"</f>
        <v>7U</v>
      </c>
      <c r="F9698" t="str">
        <f>"104"</f>
        <v>104</v>
      </c>
      <c r="G9698">
        <v>9</v>
      </c>
      <c r="H9698" t="str">
        <f t="shared" si="2212"/>
        <v>99</v>
      </c>
      <c r="I9698" t="str">
        <f t="shared" si="2209"/>
        <v>0</v>
      </c>
      <c r="J9698" t="str">
        <f t="shared" ref="J9698:J9729" si="2213">"00"</f>
        <v>00</v>
      </c>
      <c r="K9698">
        <v>20190405</v>
      </c>
      <c r="L9698" t="str">
        <f>"076324"</f>
        <v>076324</v>
      </c>
      <c r="M9698" t="str">
        <f>"10033"</f>
        <v>10033</v>
      </c>
      <c r="N9698" t="s">
        <v>6982</v>
      </c>
      <c r="O9698">
        <v>127.8</v>
      </c>
      <c r="P9698">
        <v>20190404</v>
      </c>
      <c r="Q9698" t="s">
        <v>7193</v>
      </c>
      <c r="R9698" t="s">
        <v>7653</v>
      </c>
      <c r="S9698" t="s">
        <v>7000</v>
      </c>
      <c r="T9698" t="s">
        <v>46</v>
      </c>
    </row>
    <row r="9699" spans="1:20" x14ac:dyDescent="0.25">
      <c r="A9699">
        <v>9</v>
      </c>
      <c r="B9699">
        <v>461</v>
      </c>
      <c r="C9699" t="str">
        <f t="shared" si="2211"/>
        <v>36</v>
      </c>
      <c r="D9699">
        <v>6399</v>
      </c>
      <c r="E9699" t="str">
        <f>"3F"</f>
        <v>3F</v>
      </c>
      <c r="F9699" t="str">
        <f>"001"</f>
        <v>001</v>
      </c>
      <c r="G9699">
        <v>9</v>
      </c>
      <c r="H9699" t="str">
        <f>"91"</f>
        <v>91</v>
      </c>
      <c r="I9699" t="str">
        <f t="shared" si="2209"/>
        <v>0</v>
      </c>
      <c r="J9699" t="str">
        <f t="shared" si="2213"/>
        <v>00</v>
      </c>
      <c r="K9699">
        <v>20190405</v>
      </c>
      <c r="L9699" t="str">
        <f>"076325"</f>
        <v>076325</v>
      </c>
      <c r="M9699" t="str">
        <f>"10418"</f>
        <v>10418</v>
      </c>
      <c r="N9699" t="s">
        <v>2360</v>
      </c>
      <c r="O9699">
        <v>665</v>
      </c>
      <c r="P9699">
        <v>20190404</v>
      </c>
      <c r="Q9699" t="s">
        <v>7117</v>
      </c>
      <c r="R9699" t="s">
        <v>7559</v>
      </c>
      <c r="S9699" t="s">
        <v>7000</v>
      </c>
      <c r="T9699" t="s">
        <v>301</v>
      </c>
    </row>
    <row r="9700" spans="1:20" x14ac:dyDescent="0.25">
      <c r="A9700">
        <v>9</v>
      </c>
      <c r="B9700">
        <v>461</v>
      </c>
      <c r="C9700" t="str">
        <f t="shared" si="2211"/>
        <v>36</v>
      </c>
      <c r="D9700">
        <v>6399</v>
      </c>
      <c r="E9700" t="str">
        <f>"3M"</f>
        <v>3M</v>
      </c>
      <c r="F9700" t="str">
        <f>"001"</f>
        <v>001</v>
      </c>
      <c r="G9700">
        <v>9</v>
      </c>
      <c r="H9700" t="str">
        <f>"91"</f>
        <v>91</v>
      </c>
      <c r="I9700" t="str">
        <f>"1"</f>
        <v>1</v>
      </c>
      <c r="J9700" t="str">
        <f t="shared" si="2213"/>
        <v>00</v>
      </c>
      <c r="K9700">
        <v>20190405</v>
      </c>
      <c r="L9700" t="str">
        <f>"076325"</f>
        <v>076325</v>
      </c>
      <c r="M9700" t="str">
        <f>"10418"</f>
        <v>10418</v>
      </c>
      <c r="N9700" t="s">
        <v>2360</v>
      </c>
      <c r="O9700">
        <v>425.79</v>
      </c>
      <c r="P9700">
        <v>20190404</v>
      </c>
      <c r="Q9700" t="s">
        <v>7348</v>
      </c>
      <c r="R9700" t="s">
        <v>7559</v>
      </c>
      <c r="S9700" t="s">
        <v>7000</v>
      </c>
      <c r="T9700" t="s">
        <v>301</v>
      </c>
    </row>
    <row r="9701" spans="1:20" x14ac:dyDescent="0.25">
      <c r="A9701">
        <v>9</v>
      </c>
      <c r="B9701">
        <v>461</v>
      </c>
      <c r="C9701" t="str">
        <f t="shared" si="2211"/>
        <v>36</v>
      </c>
      <c r="D9701">
        <v>6399</v>
      </c>
      <c r="E9701" t="str">
        <f>"7E"</f>
        <v>7E</v>
      </c>
      <c r="F9701" t="str">
        <f>"001"</f>
        <v>001</v>
      </c>
      <c r="G9701">
        <v>9</v>
      </c>
      <c r="H9701" t="str">
        <f>"99"</f>
        <v>99</v>
      </c>
      <c r="I9701" t="str">
        <f t="shared" ref="I9701:I9741" si="2214">"0"</f>
        <v>0</v>
      </c>
      <c r="J9701" t="str">
        <f t="shared" si="2213"/>
        <v>00</v>
      </c>
      <c r="K9701">
        <v>20190405</v>
      </c>
      <c r="L9701" t="str">
        <f>"076325"</f>
        <v>076325</v>
      </c>
      <c r="M9701" t="str">
        <f>"10418"</f>
        <v>10418</v>
      </c>
      <c r="N9701" t="s">
        <v>2360</v>
      </c>
      <c r="O9701">
        <v>125.87</v>
      </c>
      <c r="P9701">
        <v>20190404</v>
      </c>
      <c r="Q9701" t="s">
        <v>7055</v>
      </c>
      <c r="R9701" t="s">
        <v>7654</v>
      </c>
      <c r="S9701" t="s">
        <v>7000</v>
      </c>
      <c r="T9701" t="s">
        <v>301</v>
      </c>
    </row>
    <row r="9702" spans="1:20" x14ac:dyDescent="0.25">
      <c r="A9702">
        <v>9</v>
      </c>
      <c r="B9702">
        <v>461</v>
      </c>
      <c r="C9702" t="str">
        <f t="shared" si="2211"/>
        <v>36</v>
      </c>
      <c r="D9702">
        <v>6399</v>
      </c>
      <c r="E9702" t="str">
        <f>"CS"</f>
        <v>CS</v>
      </c>
      <c r="F9702" t="str">
        <f>"001"</f>
        <v>001</v>
      </c>
      <c r="G9702">
        <v>9</v>
      </c>
      <c r="H9702" t="str">
        <f>"91"</f>
        <v>91</v>
      </c>
      <c r="I9702" t="str">
        <f t="shared" si="2214"/>
        <v>0</v>
      </c>
      <c r="J9702" t="str">
        <f t="shared" si="2213"/>
        <v>00</v>
      </c>
      <c r="K9702">
        <v>20190405</v>
      </c>
      <c r="L9702" t="str">
        <f>"076325"</f>
        <v>076325</v>
      </c>
      <c r="M9702" t="str">
        <f>"10418"</f>
        <v>10418</v>
      </c>
      <c r="N9702" t="s">
        <v>2360</v>
      </c>
      <c r="O9702" s="1">
        <v>1321.8</v>
      </c>
      <c r="P9702">
        <v>20190404</v>
      </c>
      <c r="Q9702" t="s">
        <v>6998</v>
      </c>
      <c r="R9702" t="s">
        <v>6999</v>
      </c>
      <c r="S9702" t="s">
        <v>7000</v>
      </c>
      <c r="T9702" t="s">
        <v>301</v>
      </c>
    </row>
    <row r="9703" spans="1:20" x14ac:dyDescent="0.25">
      <c r="A9703">
        <v>9</v>
      </c>
      <c r="B9703">
        <v>461</v>
      </c>
      <c r="C9703" t="str">
        <f t="shared" si="2211"/>
        <v>36</v>
      </c>
      <c r="D9703">
        <v>6399</v>
      </c>
      <c r="E9703" t="str">
        <f>"3T"</f>
        <v>3T</v>
      </c>
      <c r="F9703" t="str">
        <f>"001"</f>
        <v>001</v>
      </c>
      <c r="G9703">
        <v>9</v>
      </c>
      <c r="H9703" t="str">
        <f>"91"</f>
        <v>91</v>
      </c>
      <c r="I9703" t="str">
        <f t="shared" si="2214"/>
        <v>0</v>
      </c>
      <c r="J9703" t="str">
        <f t="shared" si="2213"/>
        <v>00</v>
      </c>
      <c r="K9703">
        <v>20190405</v>
      </c>
      <c r="L9703" t="str">
        <f>"076327"</f>
        <v>076327</v>
      </c>
      <c r="M9703" t="str">
        <f>"00420"</f>
        <v>00420</v>
      </c>
      <c r="N9703" t="s">
        <v>7020</v>
      </c>
      <c r="O9703" s="1">
        <v>1585</v>
      </c>
      <c r="P9703">
        <v>20190404</v>
      </c>
      <c r="Q9703" t="s">
        <v>7053</v>
      </c>
      <c r="R9703" t="s">
        <v>1453</v>
      </c>
      <c r="S9703" t="s">
        <v>7000</v>
      </c>
      <c r="T9703" t="s">
        <v>301</v>
      </c>
    </row>
    <row r="9704" spans="1:20" x14ac:dyDescent="0.25">
      <c r="A9704">
        <v>9</v>
      </c>
      <c r="B9704">
        <v>461</v>
      </c>
      <c r="C9704" t="str">
        <f t="shared" si="2211"/>
        <v>36</v>
      </c>
      <c r="D9704">
        <v>6412</v>
      </c>
      <c r="E9704" t="str">
        <f>"3V"</f>
        <v>3V</v>
      </c>
      <c r="F9704" t="str">
        <f>"041"</f>
        <v>041</v>
      </c>
      <c r="G9704">
        <v>9</v>
      </c>
      <c r="H9704" t="str">
        <f>"91"</f>
        <v>91</v>
      </c>
      <c r="I9704" t="str">
        <f t="shared" si="2214"/>
        <v>0</v>
      </c>
      <c r="J9704" t="str">
        <f t="shared" si="2213"/>
        <v>00</v>
      </c>
      <c r="K9704">
        <v>20190405</v>
      </c>
      <c r="L9704" t="str">
        <f>"076345"</f>
        <v>076345</v>
      </c>
      <c r="M9704" t="str">
        <f>"00796"</f>
        <v>00796</v>
      </c>
      <c r="N9704" t="s">
        <v>7655</v>
      </c>
      <c r="O9704">
        <v>190</v>
      </c>
      <c r="P9704">
        <v>20190404</v>
      </c>
      <c r="Q9704" t="s">
        <v>7496</v>
      </c>
      <c r="R9704" t="s">
        <v>1071</v>
      </c>
      <c r="S9704" t="s">
        <v>7000</v>
      </c>
      <c r="T9704" t="s">
        <v>106</v>
      </c>
    </row>
    <row r="9705" spans="1:20" x14ac:dyDescent="0.25">
      <c r="A9705">
        <v>9</v>
      </c>
      <c r="B9705">
        <v>461</v>
      </c>
      <c r="C9705" t="str">
        <f t="shared" si="2211"/>
        <v>36</v>
      </c>
      <c r="D9705">
        <v>6399</v>
      </c>
      <c r="E9705" t="str">
        <f>"PR"</f>
        <v>PR</v>
      </c>
      <c r="F9705" t="str">
        <f>"104"</f>
        <v>104</v>
      </c>
      <c r="G9705">
        <v>9</v>
      </c>
      <c r="H9705" t="str">
        <f t="shared" ref="H9705:H9710" si="2215">"99"</f>
        <v>99</v>
      </c>
      <c r="I9705" t="str">
        <f t="shared" si="2214"/>
        <v>0</v>
      </c>
      <c r="J9705" t="str">
        <f t="shared" si="2213"/>
        <v>00</v>
      </c>
      <c r="K9705">
        <v>20190405</v>
      </c>
      <c r="L9705" t="str">
        <f>"076351"</f>
        <v>076351</v>
      </c>
      <c r="M9705" t="str">
        <f>"25221"</f>
        <v>25221</v>
      </c>
      <c r="N9705" t="s">
        <v>2484</v>
      </c>
      <c r="O9705" s="1">
        <v>1019.21</v>
      </c>
      <c r="P9705">
        <v>20190404</v>
      </c>
      <c r="Q9705" t="s">
        <v>7014</v>
      </c>
      <c r="R9705" t="s">
        <v>7656</v>
      </c>
      <c r="S9705" t="s">
        <v>7000</v>
      </c>
      <c r="T9705" t="s">
        <v>46</v>
      </c>
    </row>
    <row r="9706" spans="1:20" x14ac:dyDescent="0.25">
      <c r="A9706">
        <v>9</v>
      </c>
      <c r="B9706">
        <v>461</v>
      </c>
      <c r="C9706" t="str">
        <f t="shared" si="2211"/>
        <v>36</v>
      </c>
      <c r="D9706">
        <v>6399</v>
      </c>
      <c r="E9706" t="str">
        <f>"DG"</f>
        <v>DG</v>
      </c>
      <c r="F9706" t="str">
        <f>"101"</f>
        <v>101</v>
      </c>
      <c r="G9706">
        <v>9</v>
      </c>
      <c r="H9706" t="str">
        <f t="shared" si="2215"/>
        <v>99</v>
      </c>
      <c r="I9706" t="str">
        <f t="shared" si="2214"/>
        <v>0</v>
      </c>
      <c r="J9706" t="str">
        <f t="shared" si="2213"/>
        <v>00</v>
      </c>
      <c r="K9706">
        <v>20190405</v>
      </c>
      <c r="L9706" t="str">
        <f>"076353"</f>
        <v>076353</v>
      </c>
      <c r="M9706" t="str">
        <f>"25871"</f>
        <v>25871</v>
      </c>
      <c r="N9706" t="s">
        <v>1150</v>
      </c>
      <c r="O9706">
        <v>131</v>
      </c>
      <c r="P9706">
        <v>20190404</v>
      </c>
      <c r="Q9706" t="s">
        <v>7058</v>
      </c>
      <c r="R9706" t="s">
        <v>7657</v>
      </c>
      <c r="S9706" t="s">
        <v>7000</v>
      </c>
      <c r="T9706" t="s">
        <v>1479</v>
      </c>
    </row>
    <row r="9707" spans="1:20" x14ac:dyDescent="0.25">
      <c r="A9707">
        <v>9</v>
      </c>
      <c r="B9707">
        <v>461</v>
      </c>
      <c r="C9707" t="str">
        <f t="shared" si="2211"/>
        <v>36</v>
      </c>
      <c r="D9707">
        <v>6499</v>
      </c>
      <c r="E9707" t="str">
        <f>"09"</f>
        <v>09</v>
      </c>
      <c r="F9707" t="str">
        <f>"001"</f>
        <v>001</v>
      </c>
      <c r="G9707">
        <v>9</v>
      </c>
      <c r="H9707" t="str">
        <f t="shared" si="2215"/>
        <v>99</v>
      </c>
      <c r="I9707" t="str">
        <f t="shared" si="2214"/>
        <v>0</v>
      </c>
      <c r="J9707" t="str">
        <f t="shared" si="2213"/>
        <v>00</v>
      </c>
      <c r="K9707">
        <v>20190405</v>
      </c>
      <c r="L9707" t="str">
        <f>"076353"</f>
        <v>076353</v>
      </c>
      <c r="M9707" t="str">
        <f>"25871"</f>
        <v>25871</v>
      </c>
      <c r="N9707" t="s">
        <v>1150</v>
      </c>
      <c r="O9707">
        <v>141.19999999999999</v>
      </c>
      <c r="P9707">
        <v>20190404</v>
      </c>
      <c r="Q9707" t="s">
        <v>7658</v>
      </c>
      <c r="R9707" t="s">
        <v>7659</v>
      </c>
      <c r="S9707" t="s">
        <v>7000</v>
      </c>
      <c r="T9707" t="s">
        <v>301</v>
      </c>
    </row>
    <row r="9708" spans="1:20" x14ac:dyDescent="0.25">
      <c r="A9708">
        <v>9</v>
      </c>
      <c r="B9708">
        <v>461</v>
      </c>
      <c r="C9708" t="str">
        <f t="shared" si="2211"/>
        <v>36</v>
      </c>
      <c r="D9708">
        <v>6399</v>
      </c>
      <c r="E9708" t="str">
        <f>"7U"</f>
        <v>7U</v>
      </c>
      <c r="F9708" t="str">
        <f>"101"</f>
        <v>101</v>
      </c>
      <c r="G9708">
        <v>9</v>
      </c>
      <c r="H9708" t="str">
        <f t="shared" si="2215"/>
        <v>99</v>
      </c>
      <c r="I9708" t="str">
        <f t="shared" si="2214"/>
        <v>0</v>
      </c>
      <c r="J9708" t="str">
        <f t="shared" si="2213"/>
        <v>00</v>
      </c>
      <c r="K9708">
        <v>20190405</v>
      </c>
      <c r="L9708" t="str">
        <f>"076358"</f>
        <v>076358</v>
      </c>
      <c r="M9708" t="str">
        <f>"00684"</f>
        <v>00684</v>
      </c>
      <c r="N9708" t="s">
        <v>7660</v>
      </c>
      <c r="O9708">
        <v>314.02</v>
      </c>
      <c r="P9708">
        <v>20190404</v>
      </c>
      <c r="Q9708" t="s">
        <v>7274</v>
      </c>
      <c r="R9708" t="s">
        <v>1945</v>
      </c>
      <c r="S9708" t="s">
        <v>7000</v>
      </c>
      <c r="T9708" t="s">
        <v>1479</v>
      </c>
    </row>
    <row r="9709" spans="1:20" x14ac:dyDescent="0.25">
      <c r="A9709">
        <v>9</v>
      </c>
      <c r="B9709">
        <v>461</v>
      </c>
      <c r="C9709" t="str">
        <f t="shared" si="2211"/>
        <v>36</v>
      </c>
      <c r="D9709">
        <v>6399</v>
      </c>
      <c r="E9709" t="str">
        <f>"7U"</f>
        <v>7U</v>
      </c>
      <c r="F9709" t="str">
        <f>"101"</f>
        <v>101</v>
      </c>
      <c r="G9709">
        <v>9</v>
      </c>
      <c r="H9709" t="str">
        <f t="shared" si="2215"/>
        <v>99</v>
      </c>
      <c r="I9709" t="str">
        <f t="shared" si="2214"/>
        <v>0</v>
      </c>
      <c r="J9709" t="str">
        <f t="shared" si="2213"/>
        <v>00</v>
      </c>
      <c r="K9709">
        <v>20190405</v>
      </c>
      <c r="L9709" t="str">
        <f>"076358"</f>
        <v>076358</v>
      </c>
      <c r="M9709" t="str">
        <f>"00684"</f>
        <v>00684</v>
      </c>
      <c r="N9709" t="s">
        <v>7660</v>
      </c>
      <c r="O9709">
        <v>84.99</v>
      </c>
      <c r="P9709">
        <v>20190404</v>
      </c>
      <c r="Q9709" t="s">
        <v>7274</v>
      </c>
      <c r="R9709" t="s">
        <v>7661</v>
      </c>
      <c r="S9709" t="s">
        <v>7000</v>
      </c>
      <c r="T9709" t="s">
        <v>1479</v>
      </c>
    </row>
    <row r="9710" spans="1:20" x14ac:dyDescent="0.25">
      <c r="A9710">
        <v>9</v>
      </c>
      <c r="B9710">
        <v>461</v>
      </c>
      <c r="C9710" t="str">
        <f t="shared" si="2211"/>
        <v>36</v>
      </c>
      <c r="D9710">
        <v>6399</v>
      </c>
      <c r="E9710" t="str">
        <f>"7U"</f>
        <v>7U</v>
      </c>
      <c r="F9710" t="str">
        <f>"101"</f>
        <v>101</v>
      </c>
      <c r="G9710">
        <v>9</v>
      </c>
      <c r="H9710" t="str">
        <f t="shared" si="2215"/>
        <v>99</v>
      </c>
      <c r="I9710" t="str">
        <f t="shared" si="2214"/>
        <v>0</v>
      </c>
      <c r="J9710" t="str">
        <f t="shared" si="2213"/>
        <v>00</v>
      </c>
      <c r="K9710">
        <v>20190405</v>
      </c>
      <c r="L9710" t="str">
        <f>"076358"</f>
        <v>076358</v>
      </c>
      <c r="M9710" t="str">
        <f>"00684"</f>
        <v>00684</v>
      </c>
      <c r="N9710" t="s">
        <v>7660</v>
      </c>
      <c r="O9710">
        <v>99.99</v>
      </c>
      <c r="P9710">
        <v>20190404</v>
      </c>
      <c r="Q9710" t="s">
        <v>7274</v>
      </c>
      <c r="R9710" t="s">
        <v>7662</v>
      </c>
      <c r="S9710" t="s">
        <v>7000</v>
      </c>
      <c r="T9710" t="s">
        <v>1479</v>
      </c>
    </row>
    <row r="9711" spans="1:20" x14ac:dyDescent="0.25">
      <c r="A9711">
        <v>9</v>
      </c>
      <c r="B9711">
        <v>461</v>
      </c>
      <c r="C9711" t="str">
        <f t="shared" si="2211"/>
        <v>36</v>
      </c>
      <c r="D9711">
        <v>6412</v>
      </c>
      <c r="E9711" t="str">
        <f>"3K"</f>
        <v>3K</v>
      </c>
      <c r="F9711" t="str">
        <f t="shared" ref="F9711:F9716" si="2216">"001"</f>
        <v>001</v>
      </c>
      <c r="G9711">
        <v>9</v>
      </c>
      <c r="H9711" t="str">
        <f>"91"</f>
        <v>91</v>
      </c>
      <c r="I9711" t="str">
        <f t="shared" si="2214"/>
        <v>0</v>
      </c>
      <c r="J9711" t="str">
        <f t="shared" si="2213"/>
        <v>00</v>
      </c>
      <c r="K9711">
        <v>20190405</v>
      </c>
      <c r="L9711" t="str">
        <f>"076362"</f>
        <v>076362</v>
      </c>
      <c r="M9711" t="str">
        <f>"38853"</f>
        <v>38853</v>
      </c>
      <c r="N9711" t="s">
        <v>349</v>
      </c>
      <c r="O9711">
        <v>100</v>
      </c>
      <c r="P9711">
        <v>20190404</v>
      </c>
      <c r="Q9711" t="s">
        <v>7525</v>
      </c>
      <c r="R9711" t="s">
        <v>7663</v>
      </c>
      <c r="S9711" t="s">
        <v>7000</v>
      </c>
      <c r="T9711" t="s">
        <v>301</v>
      </c>
    </row>
    <row r="9712" spans="1:20" x14ac:dyDescent="0.25">
      <c r="A9712">
        <v>9</v>
      </c>
      <c r="B9712">
        <v>461</v>
      </c>
      <c r="C9712" t="str">
        <f t="shared" si="2211"/>
        <v>36</v>
      </c>
      <c r="D9712">
        <v>6399</v>
      </c>
      <c r="E9712" t="str">
        <f>"7B"</f>
        <v>7B</v>
      </c>
      <c r="F9712" t="str">
        <f t="shared" si="2216"/>
        <v>001</v>
      </c>
      <c r="G9712">
        <v>9</v>
      </c>
      <c r="H9712" t="str">
        <f>"99"</f>
        <v>99</v>
      </c>
      <c r="I9712" t="str">
        <f t="shared" si="2214"/>
        <v>0</v>
      </c>
      <c r="J9712" t="str">
        <f t="shared" si="2213"/>
        <v>00</v>
      </c>
      <c r="K9712">
        <v>20190405</v>
      </c>
      <c r="L9712" t="str">
        <f>"076364"</f>
        <v>076364</v>
      </c>
      <c r="M9712" t="str">
        <f>"34880"</f>
        <v>34880</v>
      </c>
      <c r="N9712" t="s">
        <v>124</v>
      </c>
      <c r="O9712" s="1">
        <v>1174.0999999999999</v>
      </c>
      <c r="P9712">
        <v>20190404</v>
      </c>
      <c r="Q9712" t="s">
        <v>7042</v>
      </c>
      <c r="R9712" t="s">
        <v>7664</v>
      </c>
      <c r="S9712" t="s">
        <v>7000</v>
      </c>
      <c r="T9712" t="s">
        <v>301</v>
      </c>
    </row>
    <row r="9713" spans="1:20" x14ac:dyDescent="0.25">
      <c r="A9713">
        <v>9</v>
      </c>
      <c r="B9713">
        <v>461</v>
      </c>
      <c r="C9713" t="str">
        <f t="shared" si="2211"/>
        <v>36</v>
      </c>
      <c r="D9713">
        <v>6399</v>
      </c>
      <c r="E9713" t="str">
        <f>"3B"</f>
        <v>3B</v>
      </c>
      <c r="F9713" t="str">
        <f t="shared" si="2216"/>
        <v>001</v>
      </c>
      <c r="G9713">
        <v>9</v>
      </c>
      <c r="H9713" t="str">
        <f>"91"</f>
        <v>91</v>
      </c>
      <c r="I9713" t="str">
        <f t="shared" si="2214"/>
        <v>0</v>
      </c>
      <c r="J9713" t="str">
        <f t="shared" si="2213"/>
        <v>00</v>
      </c>
      <c r="K9713">
        <v>20190405</v>
      </c>
      <c r="L9713" t="str">
        <f>"076388"</f>
        <v>076388</v>
      </c>
      <c r="M9713" t="str">
        <f>"58207"</f>
        <v>58207</v>
      </c>
      <c r="N9713" t="s">
        <v>292</v>
      </c>
      <c r="O9713">
        <v>89.55</v>
      </c>
      <c r="P9713">
        <v>20190404</v>
      </c>
      <c r="Q9713" t="s">
        <v>7024</v>
      </c>
      <c r="R9713" t="s">
        <v>1239</v>
      </c>
      <c r="S9713" t="s">
        <v>7000</v>
      </c>
      <c r="T9713" t="s">
        <v>301</v>
      </c>
    </row>
    <row r="9714" spans="1:20" x14ac:dyDescent="0.25">
      <c r="A9714">
        <v>9</v>
      </c>
      <c r="B9714">
        <v>461</v>
      </c>
      <c r="C9714" t="str">
        <f t="shared" si="2211"/>
        <v>36</v>
      </c>
      <c r="D9714">
        <v>6399</v>
      </c>
      <c r="E9714" t="str">
        <f>"3M"</f>
        <v>3M</v>
      </c>
      <c r="F9714" t="str">
        <f t="shared" si="2216"/>
        <v>001</v>
      </c>
      <c r="G9714">
        <v>9</v>
      </c>
      <c r="H9714" t="str">
        <f>"91"</f>
        <v>91</v>
      </c>
      <c r="I9714" t="str">
        <f t="shared" si="2214"/>
        <v>0</v>
      </c>
      <c r="J9714" t="str">
        <f t="shared" si="2213"/>
        <v>00</v>
      </c>
      <c r="K9714">
        <v>20190405</v>
      </c>
      <c r="L9714" t="str">
        <f>"076388"</f>
        <v>076388</v>
      </c>
      <c r="M9714" t="str">
        <f>"58207"</f>
        <v>58207</v>
      </c>
      <c r="N9714" t="s">
        <v>292</v>
      </c>
      <c r="O9714">
        <v>6.03</v>
      </c>
      <c r="P9714">
        <v>20190404</v>
      </c>
      <c r="Q9714" t="s">
        <v>7412</v>
      </c>
      <c r="R9714" t="s">
        <v>1241</v>
      </c>
      <c r="S9714" t="s">
        <v>7000</v>
      </c>
      <c r="T9714" t="s">
        <v>301</v>
      </c>
    </row>
    <row r="9715" spans="1:20" x14ac:dyDescent="0.25">
      <c r="A9715">
        <v>9</v>
      </c>
      <c r="B9715">
        <v>461</v>
      </c>
      <c r="C9715" t="str">
        <f t="shared" si="2211"/>
        <v>36</v>
      </c>
      <c r="D9715">
        <v>6399</v>
      </c>
      <c r="E9715" t="str">
        <f>"3R"</f>
        <v>3R</v>
      </c>
      <c r="F9715" t="str">
        <f t="shared" si="2216"/>
        <v>001</v>
      </c>
      <c r="G9715">
        <v>9</v>
      </c>
      <c r="H9715" t="str">
        <f>"91"</f>
        <v>91</v>
      </c>
      <c r="I9715" t="str">
        <f t="shared" si="2214"/>
        <v>0</v>
      </c>
      <c r="J9715" t="str">
        <f t="shared" si="2213"/>
        <v>00</v>
      </c>
      <c r="K9715">
        <v>20190405</v>
      </c>
      <c r="L9715" t="str">
        <f>"076388"</f>
        <v>076388</v>
      </c>
      <c r="M9715" t="str">
        <f>"58207"</f>
        <v>58207</v>
      </c>
      <c r="N9715" t="s">
        <v>292</v>
      </c>
      <c r="O9715">
        <v>75</v>
      </c>
      <c r="P9715">
        <v>20190404</v>
      </c>
      <c r="Q9715" t="s">
        <v>7218</v>
      </c>
      <c r="R9715" t="s">
        <v>7559</v>
      </c>
      <c r="S9715" t="s">
        <v>7000</v>
      </c>
      <c r="T9715" t="s">
        <v>301</v>
      </c>
    </row>
    <row r="9716" spans="1:20" x14ac:dyDescent="0.25">
      <c r="A9716">
        <v>9</v>
      </c>
      <c r="B9716">
        <v>461</v>
      </c>
      <c r="C9716" t="str">
        <f t="shared" si="2211"/>
        <v>36</v>
      </c>
      <c r="D9716">
        <v>6399</v>
      </c>
      <c r="E9716" t="str">
        <f>"32"</f>
        <v>32</v>
      </c>
      <c r="F9716" t="str">
        <f t="shared" si="2216"/>
        <v>001</v>
      </c>
      <c r="G9716">
        <v>9</v>
      </c>
      <c r="H9716" t="str">
        <f t="shared" ref="H9716:H9723" si="2217">"99"</f>
        <v>99</v>
      </c>
      <c r="I9716" t="str">
        <f t="shared" si="2214"/>
        <v>0</v>
      </c>
      <c r="J9716" t="str">
        <f t="shared" si="2213"/>
        <v>00</v>
      </c>
      <c r="K9716">
        <v>20190405</v>
      </c>
      <c r="L9716" t="str">
        <f>"076389"</f>
        <v>076389</v>
      </c>
      <c r="M9716" t="str">
        <f>"58204"</f>
        <v>58204</v>
      </c>
      <c r="N9716" t="s">
        <v>1767</v>
      </c>
      <c r="O9716">
        <v>40</v>
      </c>
      <c r="P9716">
        <v>20190404</v>
      </c>
      <c r="Q9716" t="s">
        <v>7486</v>
      </c>
      <c r="R9716" t="s">
        <v>7665</v>
      </c>
      <c r="S9716" t="s">
        <v>7000</v>
      </c>
      <c r="T9716" t="s">
        <v>301</v>
      </c>
    </row>
    <row r="9717" spans="1:20" x14ac:dyDescent="0.25">
      <c r="A9717">
        <v>9</v>
      </c>
      <c r="B9717">
        <v>461</v>
      </c>
      <c r="C9717" t="str">
        <f t="shared" si="2211"/>
        <v>36</v>
      </c>
      <c r="D9717">
        <v>6399</v>
      </c>
      <c r="E9717" t="str">
        <f>"05"</f>
        <v>05</v>
      </c>
      <c r="F9717" t="str">
        <f>"104"</f>
        <v>104</v>
      </c>
      <c r="G9717">
        <v>9</v>
      </c>
      <c r="H9717" t="str">
        <f t="shared" si="2217"/>
        <v>99</v>
      </c>
      <c r="I9717" t="str">
        <f t="shared" si="2214"/>
        <v>0</v>
      </c>
      <c r="J9717" t="str">
        <f t="shared" si="2213"/>
        <v>00</v>
      </c>
      <c r="K9717">
        <v>20190405</v>
      </c>
      <c r="L9717" t="str">
        <f>"076390"</f>
        <v>076390</v>
      </c>
      <c r="M9717" t="str">
        <f>"58201"</f>
        <v>58201</v>
      </c>
      <c r="N9717" t="s">
        <v>2662</v>
      </c>
      <c r="O9717">
        <v>34.090000000000003</v>
      </c>
      <c r="P9717">
        <v>20190404</v>
      </c>
      <c r="Q9717" t="s">
        <v>7310</v>
      </c>
      <c r="R9717" t="s">
        <v>7666</v>
      </c>
      <c r="S9717" t="s">
        <v>7000</v>
      </c>
      <c r="T9717" t="s">
        <v>46</v>
      </c>
    </row>
    <row r="9718" spans="1:20" x14ac:dyDescent="0.25">
      <c r="A9718">
        <v>9</v>
      </c>
      <c r="B9718">
        <v>461</v>
      </c>
      <c r="C9718" t="str">
        <f t="shared" si="2211"/>
        <v>36</v>
      </c>
      <c r="D9718">
        <v>6399</v>
      </c>
      <c r="E9718" t="str">
        <f>"50"</f>
        <v>50</v>
      </c>
      <c r="F9718" t="str">
        <f>"104"</f>
        <v>104</v>
      </c>
      <c r="G9718">
        <v>9</v>
      </c>
      <c r="H9718" t="str">
        <f t="shared" si="2217"/>
        <v>99</v>
      </c>
      <c r="I9718" t="str">
        <f t="shared" si="2214"/>
        <v>0</v>
      </c>
      <c r="J9718" t="str">
        <f t="shared" si="2213"/>
        <v>00</v>
      </c>
      <c r="K9718">
        <v>20190405</v>
      </c>
      <c r="L9718" t="str">
        <f>"076390"</f>
        <v>076390</v>
      </c>
      <c r="M9718" t="str">
        <f>"58201"</f>
        <v>58201</v>
      </c>
      <c r="N9718" t="s">
        <v>2662</v>
      </c>
      <c r="O9718">
        <v>75.12</v>
      </c>
      <c r="P9718">
        <v>20190404</v>
      </c>
      <c r="Q9718" t="s">
        <v>7173</v>
      </c>
      <c r="R9718" t="s">
        <v>7667</v>
      </c>
      <c r="S9718" t="s">
        <v>7000</v>
      </c>
      <c r="T9718" t="s">
        <v>46</v>
      </c>
    </row>
    <row r="9719" spans="1:20" x14ac:dyDescent="0.25">
      <c r="A9719">
        <v>9</v>
      </c>
      <c r="B9719">
        <v>461</v>
      </c>
      <c r="C9719" t="str">
        <f t="shared" si="2211"/>
        <v>36</v>
      </c>
      <c r="D9719">
        <v>6399</v>
      </c>
      <c r="E9719" t="str">
        <f>"7U"</f>
        <v>7U</v>
      </c>
      <c r="F9719" t="str">
        <f>"104"</f>
        <v>104</v>
      </c>
      <c r="G9719">
        <v>9</v>
      </c>
      <c r="H9719" t="str">
        <f t="shared" si="2217"/>
        <v>99</v>
      </c>
      <c r="I9719" t="str">
        <f t="shared" si="2214"/>
        <v>0</v>
      </c>
      <c r="J9719" t="str">
        <f t="shared" si="2213"/>
        <v>00</v>
      </c>
      <c r="K9719">
        <v>20190405</v>
      </c>
      <c r="L9719" t="str">
        <f>"076390"</f>
        <v>076390</v>
      </c>
      <c r="M9719" t="str">
        <f>"58201"</f>
        <v>58201</v>
      </c>
      <c r="N9719" t="s">
        <v>2662</v>
      </c>
      <c r="O9719">
        <v>183.64</v>
      </c>
      <c r="P9719">
        <v>20190404</v>
      </c>
      <c r="Q9719" t="s">
        <v>7193</v>
      </c>
      <c r="R9719" t="s">
        <v>2486</v>
      </c>
      <c r="S9719" t="s">
        <v>7000</v>
      </c>
      <c r="T9719" t="s">
        <v>46</v>
      </c>
    </row>
    <row r="9720" spans="1:20" x14ac:dyDescent="0.25">
      <c r="A9720">
        <v>9</v>
      </c>
      <c r="B9720">
        <v>461</v>
      </c>
      <c r="C9720" t="str">
        <f t="shared" si="2211"/>
        <v>36</v>
      </c>
      <c r="D9720">
        <v>6399</v>
      </c>
      <c r="E9720" t="str">
        <f>"PR"</f>
        <v>PR</v>
      </c>
      <c r="F9720" t="str">
        <f>"104"</f>
        <v>104</v>
      </c>
      <c r="G9720">
        <v>9</v>
      </c>
      <c r="H9720" t="str">
        <f t="shared" si="2217"/>
        <v>99</v>
      </c>
      <c r="I9720" t="str">
        <f t="shared" si="2214"/>
        <v>0</v>
      </c>
      <c r="J9720" t="str">
        <f t="shared" si="2213"/>
        <v>00</v>
      </c>
      <c r="K9720">
        <v>20190405</v>
      </c>
      <c r="L9720" t="str">
        <f>"076390"</f>
        <v>076390</v>
      </c>
      <c r="M9720" t="str">
        <f>"58201"</f>
        <v>58201</v>
      </c>
      <c r="N9720" t="s">
        <v>2662</v>
      </c>
      <c r="O9720">
        <v>201.32</v>
      </c>
      <c r="P9720">
        <v>20190404</v>
      </c>
      <c r="Q9720" t="s">
        <v>7014</v>
      </c>
      <c r="R9720" t="s">
        <v>7668</v>
      </c>
      <c r="S9720" t="s">
        <v>7000</v>
      </c>
      <c r="T9720" t="s">
        <v>46</v>
      </c>
    </row>
    <row r="9721" spans="1:20" x14ac:dyDescent="0.25">
      <c r="A9721">
        <v>9</v>
      </c>
      <c r="B9721">
        <v>461</v>
      </c>
      <c r="C9721" t="str">
        <f t="shared" si="2211"/>
        <v>36</v>
      </c>
      <c r="D9721">
        <v>6399</v>
      </c>
      <c r="E9721" t="str">
        <f>"61"</f>
        <v>61</v>
      </c>
      <c r="F9721" t="str">
        <f>"101"</f>
        <v>101</v>
      </c>
      <c r="G9721">
        <v>9</v>
      </c>
      <c r="H9721" t="str">
        <f t="shared" si="2217"/>
        <v>99</v>
      </c>
      <c r="I9721" t="str">
        <f t="shared" si="2214"/>
        <v>0</v>
      </c>
      <c r="J9721" t="str">
        <f t="shared" si="2213"/>
        <v>00</v>
      </c>
      <c r="K9721">
        <v>20190405</v>
      </c>
      <c r="L9721" t="str">
        <f>"076391"</f>
        <v>076391</v>
      </c>
      <c r="M9721" t="str">
        <f>"58203"</f>
        <v>58203</v>
      </c>
      <c r="N9721" t="s">
        <v>3051</v>
      </c>
      <c r="O9721">
        <v>22.58</v>
      </c>
      <c r="P9721">
        <v>20190404</v>
      </c>
      <c r="Q9721" t="s">
        <v>7007</v>
      </c>
      <c r="R9721" t="s">
        <v>7570</v>
      </c>
      <c r="S9721" t="s">
        <v>7000</v>
      </c>
      <c r="T9721" t="s">
        <v>1479</v>
      </c>
    </row>
    <row r="9722" spans="1:20" x14ac:dyDescent="0.25">
      <c r="A9722">
        <v>9</v>
      </c>
      <c r="B9722">
        <v>461</v>
      </c>
      <c r="C9722" t="str">
        <f t="shared" si="2211"/>
        <v>36</v>
      </c>
      <c r="D9722">
        <v>6399</v>
      </c>
      <c r="E9722" t="str">
        <f>"7U"</f>
        <v>7U</v>
      </c>
      <c r="F9722" t="str">
        <f>"041"</f>
        <v>041</v>
      </c>
      <c r="G9722">
        <v>9</v>
      </c>
      <c r="H9722" t="str">
        <f t="shared" si="2217"/>
        <v>99</v>
      </c>
      <c r="I9722" t="str">
        <f t="shared" si="2214"/>
        <v>0</v>
      </c>
      <c r="J9722" t="str">
        <f t="shared" si="2213"/>
        <v>00</v>
      </c>
      <c r="K9722">
        <v>20190405</v>
      </c>
      <c r="L9722" t="str">
        <f>"076398"</f>
        <v>076398</v>
      </c>
      <c r="M9722" t="str">
        <f>"65766"</f>
        <v>65766</v>
      </c>
      <c r="N9722" t="s">
        <v>7201</v>
      </c>
      <c r="O9722" s="1">
        <v>1756.14</v>
      </c>
      <c r="P9722">
        <v>20190404</v>
      </c>
      <c r="Q9722" t="s">
        <v>7339</v>
      </c>
      <c r="R9722" t="s">
        <v>7586</v>
      </c>
      <c r="S9722" t="s">
        <v>7000</v>
      </c>
      <c r="T9722" t="s">
        <v>106</v>
      </c>
    </row>
    <row r="9723" spans="1:20" x14ac:dyDescent="0.25">
      <c r="A9723">
        <v>9</v>
      </c>
      <c r="B9723">
        <v>461</v>
      </c>
      <c r="C9723" t="str">
        <f t="shared" si="2211"/>
        <v>36</v>
      </c>
      <c r="D9723">
        <v>6412</v>
      </c>
      <c r="E9723" t="str">
        <f>"61"</f>
        <v>61</v>
      </c>
      <c r="F9723" t="str">
        <f>"101"</f>
        <v>101</v>
      </c>
      <c r="G9723">
        <v>9</v>
      </c>
      <c r="H9723" t="str">
        <f t="shared" si="2217"/>
        <v>99</v>
      </c>
      <c r="I9723" t="str">
        <f t="shared" si="2214"/>
        <v>0</v>
      </c>
      <c r="J9723" t="str">
        <f t="shared" si="2213"/>
        <v>00</v>
      </c>
      <c r="K9723">
        <v>20190405</v>
      </c>
      <c r="L9723" t="str">
        <f>"076401"</f>
        <v>076401</v>
      </c>
      <c r="M9723" t="str">
        <f>"70245"</f>
        <v>70245</v>
      </c>
      <c r="N9723" t="s">
        <v>7669</v>
      </c>
      <c r="O9723" s="1">
        <v>1132</v>
      </c>
      <c r="P9723">
        <v>20190405</v>
      </c>
      <c r="Q9723" t="s">
        <v>7268</v>
      </c>
      <c r="R9723" t="s">
        <v>7670</v>
      </c>
      <c r="S9723" t="s">
        <v>7000</v>
      </c>
      <c r="T9723" t="s">
        <v>1479</v>
      </c>
    </row>
    <row r="9724" spans="1:20" x14ac:dyDescent="0.25">
      <c r="A9724">
        <v>9</v>
      </c>
      <c r="B9724">
        <v>461</v>
      </c>
      <c r="C9724" t="str">
        <f t="shared" si="2211"/>
        <v>36</v>
      </c>
      <c r="D9724">
        <v>6399</v>
      </c>
      <c r="E9724" t="str">
        <f>"3F"</f>
        <v>3F</v>
      </c>
      <c r="F9724" t="str">
        <f>"001"</f>
        <v>001</v>
      </c>
      <c r="G9724">
        <v>9</v>
      </c>
      <c r="H9724" t="str">
        <f>"91"</f>
        <v>91</v>
      </c>
      <c r="I9724" t="str">
        <f t="shared" si="2214"/>
        <v>0</v>
      </c>
      <c r="J9724" t="str">
        <f t="shared" si="2213"/>
        <v>00</v>
      </c>
      <c r="K9724">
        <v>20190405</v>
      </c>
      <c r="L9724" t="str">
        <f>"076405"</f>
        <v>076405</v>
      </c>
      <c r="M9724" t="str">
        <f>"81303"</f>
        <v>81303</v>
      </c>
      <c r="N9724" t="s">
        <v>66</v>
      </c>
      <c r="O9724">
        <v>70</v>
      </c>
      <c r="P9724">
        <v>20190405</v>
      </c>
      <c r="Q9724" t="s">
        <v>7117</v>
      </c>
      <c r="R9724" t="s">
        <v>7259</v>
      </c>
      <c r="S9724" t="s">
        <v>7000</v>
      </c>
      <c r="T9724" t="s">
        <v>301</v>
      </c>
    </row>
    <row r="9725" spans="1:20" x14ac:dyDescent="0.25">
      <c r="A9725">
        <v>9</v>
      </c>
      <c r="B9725">
        <v>461</v>
      </c>
      <c r="C9725" t="str">
        <f t="shared" si="2211"/>
        <v>36</v>
      </c>
      <c r="D9725">
        <v>6399</v>
      </c>
      <c r="E9725" t="str">
        <f>"Y5"</f>
        <v>Y5</v>
      </c>
      <c r="F9725" t="str">
        <f>"802"</f>
        <v>802</v>
      </c>
      <c r="G9725">
        <v>9</v>
      </c>
      <c r="H9725" t="str">
        <f>"99"</f>
        <v>99</v>
      </c>
      <c r="I9725" t="str">
        <f t="shared" si="2214"/>
        <v>0</v>
      </c>
      <c r="J9725" t="str">
        <f t="shared" si="2213"/>
        <v>00</v>
      </c>
      <c r="K9725">
        <v>20190405</v>
      </c>
      <c r="L9725" t="str">
        <f>"076405"</f>
        <v>076405</v>
      </c>
      <c r="M9725" t="str">
        <f>"81303"</f>
        <v>81303</v>
      </c>
      <c r="N9725" t="s">
        <v>66</v>
      </c>
      <c r="O9725">
        <v>16.25</v>
      </c>
      <c r="P9725">
        <v>20190405</v>
      </c>
      <c r="Q9725" t="s">
        <v>7021</v>
      </c>
      <c r="R9725" t="s">
        <v>7671</v>
      </c>
      <c r="S9725" t="s">
        <v>7000</v>
      </c>
      <c r="T9725" t="s">
        <v>7023</v>
      </c>
    </row>
    <row r="9726" spans="1:20" x14ac:dyDescent="0.25">
      <c r="A9726">
        <v>9</v>
      </c>
      <c r="B9726">
        <v>461</v>
      </c>
      <c r="C9726" t="str">
        <f t="shared" si="2211"/>
        <v>36</v>
      </c>
      <c r="D9726">
        <v>6399</v>
      </c>
      <c r="E9726" t="str">
        <f>"Y5"</f>
        <v>Y5</v>
      </c>
      <c r="F9726" t="str">
        <f>"802"</f>
        <v>802</v>
      </c>
      <c r="G9726">
        <v>9</v>
      </c>
      <c r="H9726" t="str">
        <f>"99"</f>
        <v>99</v>
      </c>
      <c r="I9726" t="str">
        <f t="shared" si="2214"/>
        <v>0</v>
      </c>
      <c r="J9726" t="str">
        <f t="shared" si="2213"/>
        <v>00</v>
      </c>
      <c r="K9726">
        <v>20190405</v>
      </c>
      <c r="L9726" t="str">
        <f>"076405"</f>
        <v>076405</v>
      </c>
      <c r="M9726" t="str">
        <f>"81303"</f>
        <v>81303</v>
      </c>
      <c r="N9726" t="s">
        <v>66</v>
      </c>
      <c r="O9726">
        <v>58.55</v>
      </c>
      <c r="P9726">
        <v>20190405</v>
      </c>
      <c r="Q9726" t="s">
        <v>7021</v>
      </c>
      <c r="R9726" t="s">
        <v>3475</v>
      </c>
      <c r="S9726" t="s">
        <v>7000</v>
      </c>
      <c r="T9726" t="s">
        <v>7023</v>
      </c>
    </row>
    <row r="9727" spans="1:20" x14ac:dyDescent="0.25">
      <c r="A9727">
        <v>9</v>
      </c>
      <c r="B9727">
        <v>461</v>
      </c>
      <c r="C9727" t="str">
        <f t="shared" si="2211"/>
        <v>36</v>
      </c>
      <c r="D9727">
        <v>6399</v>
      </c>
      <c r="E9727" t="str">
        <f>"7C"</f>
        <v>7C</v>
      </c>
      <c r="F9727" t="str">
        <f>"001"</f>
        <v>001</v>
      </c>
      <c r="G9727">
        <v>9</v>
      </c>
      <c r="H9727" t="str">
        <f>"99"</f>
        <v>99</v>
      </c>
      <c r="I9727" t="str">
        <f t="shared" si="2214"/>
        <v>0</v>
      </c>
      <c r="J9727" t="str">
        <f t="shared" si="2213"/>
        <v>00</v>
      </c>
      <c r="K9727">
        <v>20190405</v>
      </c>
      <c r="L9727" t="str">
        <f>"076406"</f>
        <v>076406</v>
      </c>
      <c r="M9727" t="str">
        <f>"82381"</f>
        <v>82381</v>
      </c>
      <c r="N9727" t="s">
        <v>4578</v>
      </c>
      <c r="O9727">
        <v>744.55</v>
      </c>
      <c r="P9727">
        <v>20190405</v>
      </c>
      <c r="Q9727" t="s">
        <v>7538</v>
      </c>
      <c r="R9727" t="s">
        <v>4693</v>
      </c>
      <c r="S9727" t="s">
        <v>7000</v>
      </c>
      <c r="T9727" t="s">
        <v>301</v>
      </c>
    </row>
    <row r="9728" spans="1:20" x14ac:dyDescent="0.25">
      <c r="A9728">
        <v>9</v>
      </c>
      <c r="B9728">
        <v>461</v>
      </c>
      <c r="C9728" t="str">
        <f t="shared" si="2211"/>
        <v>36</v>
      </c>
      <c r="D9728">
        <v>6412</v>
      </c>
      <c r="E9728" t="str">
        <f>"3A"</f>
        <v>3A</v>
      </c>
      <c r="F9728" t="str">
        <f>"001"</f>
        <v>001</v>
      </c>
      <c r="G9728">
        <v>9</v>
      </c>
      <c r="H9728" t="str">
        <f>"91"</f>
        <v>91</v>
      </c>
      <c r="I9728" t="str">
        <f t="shared" si="2214"/>
        <v>0</v>
      </c>
      <c r="J9728" t="str">
        <f t="shared" si="2213"/>
        <v>00</v>
      </c>
      <c r="K9728">
        <v>20190405</v>
      </c>
      <c r="L9728" t="str">
        <f>"076409"</f>
        <v>076409</v>
      </c>
      <c r="M9728" t="str">
        <f>"84370"</f>
        <v>84370</v>
      </c>
      <c r="N9728" t="s">
        <v>395</v>
      </c>
      <c r="O9728">
        <v>85.97</v>
      </c>
      <c r="P9728">
        <v>20190405</v>
      </c>
      <c r="Q9728" t="s">
        <v>7459</v>
      </c>
      <c r="R9728" t="s">
        <v>7672</v>
      </c>
      <c r="S9728" t="s">
        <v>7000</v>
      </c>
      <c r="T9728" t="s">
        <v>301</v>
      </c>
    </row>
    <row r="9729" spans="1:20" x14ac:dyDescent="0.25">
      <c r="A9729">
        <v>9</v>
      </c>
      <c r="B9729">
        <v>461</v>
      </c>
      <c r="C9729" t="str">
        <f t="shared" si="2211"/>
        <v>36</v>
      </c>
      <c r="D9729">
        <v>6412</v>
      </c>
      <c r="E9729" t="str">
        <f>"3K"</f>
        <v>3K</v>
      </c>
      <c r="F9729" t="str">
        <f>"001"</f>
        <v>001</v>
      </c>
      <c r="G9729">
        <v>9</v>
      </c>
      <c r="H9729" t="str">
        <f>"91"</f>
        <v>91</v>
      </c>
      <c r="I9729" t="str">
        <f t="shared" si="2214"/>
        <v>0</v>
      </c>
      <c r="J9729" t="str">
        <f t="shared" si="2213"/>
        <v>00</v>
      </c>
      <c r="K9729">
        <v>20190405</v>
      </c>
      <c r="L9729" t="str">
        <f>"076409"</f>
        <v>076409</v>
      </c>
      <c r="M9729" t="str">
        <f>"84370"</f>
        <v>84370</v>
      </c>
      <c r="N9729" t="s">
        <v>395</v>
      </c>
      <c r="O9729">
        <v>136.09</v>
      </c>
      <c r="P9729">
        <v>20190405</v>
      </c>
      <c r="Q9729" t="s">
        <v>7525</v>
      </c>
      <c r="R9729" t="s">
        <v>7673</v>
      </c>
      <c r="S9729" t="s">
        <v>7000</v>
      </c>
      <c r="T9729" t="s">
        <v>301</v>
      </c>
    </row>
    <row r="9730" spans="1:20" x14ac:dyDescent="0.25">
      <c r="A9730">
        <v>9</v>
      </c>
      <c r="B9730">
        <v>461</v>
      </c>
      <c r="C9730" t="str">
        <f t="shared" si="2211"/>
        <v>36</v>
      </c>
      <c r="D9730">
        <v>6499</v>
      </c>
      <c r="E9730" t="str">
        <f>"09"</f>
        <v>09</v>
      </c>
      <c r="F9730" t="str">
        <f>"001"</f>
        <v>001</v>
      </c>
      <c r="G9730">
        <v>9</v>
      </c>
      <c r="H9730" t="str">
        <f t="shared" ref="H9730:H9736" si="2218">"99"</f>
        <v>99</v>
      </c>
      <c r="I9730" t="str">
        <f t="shared" si="2214"/>
        <v>0</v>
      </c>
      <c r="J9730" t="str">
        <f t="shared" ref="J9730:J9749" si="2219">"00"</f>
        <v>00</v>
      </c>
      <c r="K9730">
        <v>20190405</v>
      </c>
      <c r="L9730" t="str">
        <f>"076409"</f>
        <v>076409</v>
      </c>
      <c r="M9730" t="str">
        <f>"84370"</f>
        <v>84370</v>
      </c>
      <c r="N9730" t="s">
        <v>395</v>
      </c>
      <c r="O9730">
        <v>94.57</v>
      </c>
      <c r="P9730">
        <v>20190405</v>
      </c>
      <c r="Q9730" t="s">
        <v>7658</v>
      </c>
      <c r="R9730" t="s">
        <v>7674</v>
      </c>
      <c r="S9730" t="s">
        <v>7000</v>
      </c>
      <c r="T9730" t="s">
        <v>301</v>
      </c>
    </row>
    <row r="9731" spans="1:20" x14ac:dyDescent="0.25">
      <c r="A9731">
        <v>9</v>
      </c>
      <c r="B9731">
        <v>461</v>
      </c>
      <c r="C9731" t="str">
        <f t="shared" si="2211"/>
        <v>36</v>
      </c>
      <c r="D9731">
        <v>6399</v>
      </c>
      <c r="E9731" t="str">
        <f>"61"</f>
        <v>61</v>
      </c>
      <c r="F9731" t="str">
        <f>"101"</f>
        <v>101</v>
      </c>
      <c r="G9731">
        <v>9</v>
      </c>
      <c r="H9731" t="str">
        <f t="shared" si="2218"/>
        <v>99</v>
      </c>
      <c r="I9731" t="str">
        <f t="shared" si="2214"/>
        <v>0</v>
      </c>
      <c r="J9731" t="str">
        <f t="shared" si="2219"/>
        <v>00</v>
      </c>
      <c r="K9731">
        <v>20190405</v>
      </c>
      <c r="L9731" t="str">
        <f>"076410"</f>
        <v>076410</v>
      </c>
      <c r="M9731" t="str">
        <f>"84614"</f>
        <v>84614</v>
      </c>
      <c r="N9731" t="s">
        <v>7675</v>
      </c>
      <c r="O9731">
        <v>950</v>
      </c>
      <c r="P9731">
        <v>20190405</v>
      </c>
      <c r="Q9731" t="s">
        <v>7007</v>
      </c>
      <c r="R9731" t="s">
        <v>7676</v>
      </c>
      <c r="S9731" t="s">
        <v>7000</v>
      </c>
      <c r="T9731" t="s">
        <v>1479</v>
      </c>
    </row>
    <row r="9732" spans="1:20" x14ac:dyDescent="0.25">
      <c r="A9732">
        <v>9</v>
      </c>
      <c r="B9732">
        <v>461</v>
      </c>
      <c r="C9732" t="str">
        <f t="shared" si="2211"/>
        <v>36</v>
      </c>
      <c r="D9732">
        <v>6399</v>
      </c>
      <c r="E9732" t="str">
        <f>"PR"</f>
        <v>PR</v>
      </c>
      <c r="F9732" t="str">
        <f>"104"</f>
        <v>104</v>
      </c>
      <c r="G9732">
        <v>9</v>
      </c>
      <c r="H9732" t="str">
        <f t="shared" si="2218"/>
        <v>99</v>
      </c>
      <c r="I9732" t="str">
        <f t="shared" si="2214"/>
        <v>0</v>
      </c>
      <c r="J9732" t="str">
        <f t="shared" si="2219"/>
        <v>00</v>
      </c>
      <c r="K9732">
        <v>20190405</v>
      </c>
      <c r="L9732" t="str">
        <f>"076410"</f>
        <v>076410</v>
      </c>
      <c r="M9732" t="str">
        <f>"84614"</f>
        <v>84614</v>
      </c>
      <c r="N9732" t="s">
        <v>7675</v>
      </c>
      <c r="O9732">
        <v>950</v>
      </c>
      <c r="P9732">
        <v>20190405</v>
      </c>
      <c r="Q9732" t="s">
        <v>7014</v>
      </c>
      <c r="R9732" t="s">
        <v>7676</v>
      </c>
      <c r="S9732" t="s">
        <v>7000</v>
      </c>
      <c r="T9732" t="s">
        <v>46</v>
      </c>
    </row>
    <row r="9733" spans="1:20" x14ac:dyDescent="0.25">
      <c r="A9733">
        <v>9</v>
      </c>
      <c r="B9733">
        <v>461</v>
      </c>
      <c r="C9733" t="str">
        <f t="shared" si="2211"/>
        <v>36</v>
      </c>
      <c r="D9733">
        <v>6399</v>
      </c>
      <c r="E9733" t="str">
        <f>"61"</f>
        <v>61</v>
      </c>
      <c r="F9733" t="str">
        <f>"101"</f>
        <v>101</v>
      </c>
      <c r="G9733">
        <v>9</v>
      </c>
      <c r="H9733" t="str">
        <f t="shared" si="2218"/>
        <v>99</v>
      </c>
      <c r="I9733" t="str">
        <f t="shared" si="2214"/>
        <v>0</v>
      </c>
      <c r="J9733" t="str">
        <f t="shared" si="2219"/>
        <v>00</v>
      </c>
      <c r="K9733">
        <v>20190412</v>
      </c>
      <c r="L9733" t="str">
        <f>"076414"</f>
        <v>076414</v>
      </c>
      <c r="M9733" t="str">
        <f>"04410"</f>
        <v>04410</v>
      </c>
      <c r="N9733" t="s">
        <v>410</v>
      </c>
      <c r="O9733">
        <v>141.36000000000001</v>
      </c>
      <c r="P9733">
        <v>20190410</v>
      </c>
      <c r="Q9733" t="s">
        <v>7007</v>
      </c>
      <c r="R9733" t="s">
        <v>7677</v>
      </c>
      <c r="S9733" t="s">
        <v>7000</v>
      </c>
      <c r="T9733" t="s">
        <v>1479</v>
      </c>
    </row>
    <row r="9734" spans="1:20" x14ac:dyDescent="0.25">
      <c r="A9734">
        <v>9</v>
      </c>
      <c r="B9734">
        <v>461</v>
      </c>
      <c r="C9734" t="str">
        <f t="shared" si="2211"/>
        <v>36</v>
      </c>
      <c r="D9734">
        <v>6399</v>
      </c>
      <c r="E9734" t="str">
        <f>"69"</f>
        <v>69</v>
      </c>
      <c r="F9734" t="str">
        <f>"001"</f>
        <v>001</v>
      </c>
      <c r="G9734">
        <v>9</v>
      </c>
      <c r="H9734" t="str">
        <f t="shared" si="2218"/>
        <v>99</v>
      </c>
      <c r="I9734" t="str">
        <f t="shared" si="2214"/>
        <v>0</v>
      </c>
      <c r="J9734" t="str">
        <f t="shared" si="2219"/>
        <v>00</v>
      </c>
      <c r="K9734">
        <v>20190412</v>
      </c>
      <c r="L9734" t="str">
        <f>"076414"</f>
        <v>076414</v>
      </c>
      <c r="M9734" t="str">
        <f>"04410"</f>
        <v>04410</v>
      </c>
      <c r="N9734" t="s">
        <v>410</v>
      </c>
      <c r="O9734">
        <v>951.42</v>
      </c>
      <c r="P9734">
        <v>20190410</v>
      </c>
      <c r="Q9734" t="s">
        <v>7648</v>
      </c>
      <c r="R9734" t="s">
        <v>7678</v>
      </c>
      <c r="S9734" t="s">
        <v>7000</v>
      </c>
      <c r="T9734" t="s">
        <v>301</v>
      </c>
    </row>
    <row r="9735" spans="1:20" x14ac:dyDescent="0.25">
      <c r="A9735">
        <v>9</v>
      </c>
      <c r="B9735">
        <v>461</v>
      </c>
      <c r="C9735" t="str">
        <f t="shared" si="2211"/>
        <v>36</v>
      </c>
      <c r="D9735">
        <v>6399</v>
      </c>
      <c r="E9735" t="str">
        <f>"69"</f>
        <v>69</v>
      </c>
      <c r="F9735" t="str">
        <f>"001"</f>
        <v>001</v>
      </c>
      <c r="G9735">
        <v>9</v>
      </c>
      <c r="H9735" t="str">
        <f t="shared" si="2218"/>
        <v>99</v>
      </c>
      <c r="I9735" t="str">
        <f t="shared" si="2214"/>
        <v>0</v>
      </c>
      <c r="J9735" t="str">
        <f t="shared" si="2219"/>
        <v>00</v>
      </c>
      <c r="K9735">
        <v>20190412</v>
      </c>
      <c r="L9735" t="str">
        <f>"076414"</f>
        <v>076414</v>
      </c>
      <c r="M9735" t="str">
        <f>"04410"</f>
        <v>04410</v>
      </c>
      <c r="N9735" t="s">
        <v>410</v>
      </c>
      <c r="O9735">
        <v>300.27</v>
      </c>
      <c r="P9735">
        <v>20190410</v>
      </c>
      <c r="Q9735" t="s">
        <v>7648</v>
      </c>
      <c r="R9735" t="s">
        <v>7679</v>
      </c>
      <c r="S9735" t="s">
        <v>7000</v>
      </c>
      <c r="T9735" t="s">
        <v>301</v>
      </c>
    </row>
    <row r="9736" spans="1:20" x14ac:dyDescent="0.25">
      <c r="A9736">
        <v>9</v>
      </c>
      <c r="B9736">
        <v>461</v>
      </c>
      <c r="C9736" t="str">
        <f t="shared" si="2211"/>
        <v>36</v>
      </c>
      <c r="D9736">
        <v>6399</v>
      </c>
      <c r="E9736" t="str">
        <f>"Y5"</f>
        <v>Y5</v>
      </c>
      <c r="F9736" t="str">
        <f>"802"</f>
        <v>802</v>
      </c>
      <c r="G9736">
        <v>9</v>
      </c>
      <c r="H9736" t="str">
        <f t="shared" si="2218"/>
        <v>99</v>
      </c>
      <c r="I9736" t="str">
        <f t="shared" si="2214"/>
        <v>0</v>
      </c>
      <c r="J9736" t="str">
        <f t="shared" si="2219"/>
        <v>00</v>
      </c>
      <c r="K9736">
        <v>20190412</v>
      </c>
      <c r="L9736" t="str">
        <f>"076419"</f>
        <v>076419</v>
      </c>
      <c r="M9736" t="str">
        <f>"00420"</f>
        <v>00420</v>
      </c>
      <c r="N9736" t="s">
        <v>7020</v>
      </c>
      <c r="O9736" s="1">
        <v>1137</v>
      </c>
      <c r="P9736">
        <v>20190410</v>
      </c>
      <c r="Q9736" t="s">
        <v>7021</v>
      </c>
      <c r="R9736" t="s">
        <v>7482</v>
      </c>
      <c r="S9736" t="s">
        <v>7000</v>
      </c>
      <c r="T9736" t="s">
        <v>7023</v>
      </c>
    </row>
    <row r="9737" spans="1:20" x14ac:dyDescent="0.25">
      <c r="A9737">
        <v>9</v>
      </c>
      <c r="B9737">
        <v>461</v>
      </c>
      <c r="C9737" t="str">
        <f t="shared" si="2211"/>
        <v>36</v>
      </c>
      <c r="D9737">
        <v>6412</v>
      </c>
      <c r="E9737" t="str">
        <f>"3M"</f>
        <v>3M</v>
      </c>
      <c r="F9737" t="str">
        <f>"001"</f>
        <v>001</v>
      </c>
      <c r="G9737">
        <v>9</v>
      </c>
      <c r="H9737" t="str">
        <f t="shared" ref="H9737:H9744" si="2220">"91"</f>
        <v>91</v>
      </c>
      <c r="I9737" t="str">
        <f t="shared" si="2214"/>
        <v>0</v>
      </c>
      <c r="J9737" t="str">
        <f t="shared" si="2219"/>
        <v>00</v>
      </c>
      <c r="K9737">
        <v>20190412</v>
      </c>
      <c r="L9737" t="str">
        <f>"076442"</f>
        <v>076442</v>
      </c>
      <c r="M9737" t="str">
        <f>"28680"</f>
        <v>28680</v>
      </c>
      <c r="N9737" t="s">
        <v>482</v>
      </c>
      <c r="O9737">
        <v>178</v>
      </c>
      <c r="P9737">
        <v>20190410</v>
      </c>
      <c r="Q9737" t="s">
        <v>7680</v>
      </c>
      <c r="R9737" t="s">
        <v>1029</v>
      </c>
      <c r="S9737" t="s">
        <v>7000</v>
      </c>
      <c r="T9737" t="s">
        <v>301</v>
      </c>
    </row>
    <row r="9738" spans="1:20" x14ac:dyDescent="0.25">
      <c r="A9738">
        <v>9</v>
      </c>
      <c r="B9738">
        <v>461</v>
      </c>
      <c r="C9738" t="str">
        <f t="shared" si="2211"/>
        <v>36</v>
      </c>
      <c r="D9738">
        <v>6412</v>
      </c>
      <c r="E9738" t="str">
        <f>"3M"</f>
        <v>3M</v>
      </c>
      <c r="F9738" t="str">
        <f>"001"</f>
        <v>001</v>
      </c>
      <c r="G9738">
        <v>9</v>
      </c>
      <c r="H9738" t="str">
        <f t="shared" si="2220"/>
        <v>91</v>
      </c>
      <c r="I9738" t="str">
        <f t="shared" si="2214"/>
        <v>0</v>
      </c>
      <c r="J9738" t="str">
        <f t="shared" si="2219"/>
        <v>00</v>
      </c>
      <c r="K9738">
        <v>20190412</v>
      </c>
      <c r="L9738" t="str">
        <f>"076442"</f>
        <v>076442</v>
      </c>
      <c r="M9738" t="str">
        <f>"28680"</f>
        <v>28680</v>
      </c>
      <c r="N9738" t="s">
        <v>482</v>
      </c>
      <c r="O9738">
        <v>178</v>
      </c>
      <c r="P9738">
        <v>20190410</v>
      </c>
      <c r="Q9738" t="s">
        <v>7680</v>
      </c>
      <c r="R9738" t="s">
        <v>1029</v>
      </c>
      <c r="S9738" t="s">
        <v>7000</v>
      </c>
      <c r="T9738" t="s">
        <v>301</v>
      </c>
    </row>
    <row r="9739" spans="1:20" x14ac:dyDescent="0.25">
      <c r="A9739">
        <v>9</v>
      </c>
      <c r="B9739">
        <v>461</v>
      </c>
      <c r="C9739" t="str">
        <f t="shared" si="2211"/>
        <v>36</v>
      </c>
      <c r="D9739">
        <v>6412</v>
      </c>
      <c r="E9739" t="str">
        <f>"3M"</f>
        <v>3M</v>
      </c>
      <c r="F9739" t="str">
        <f>"001"</f>
        <v>001</v>
      </c>
      <c r="G9739">
        <v>9</v>
      </c>
      <c r="H9739" t="str">
        <f t="shared" si="2220"/>
        <v>91</v>
      </c>
      <c r="I9739" t="str">
        <f t="shared" si="2214"/>
        <v>0</v>
      </c>
      <c r="J9739" t="str">
        <f t="shared" si="2219"/>
        <v>00</v>
      </c>
      <c r="K9739">
        <v>20190412</v>
      </c>
      <c r="L9739" t="str">
        <f>"076442"</f>
        <v>076442</v>
      </c>
      <c r="M9739" t="str">
        <f>"28680"</f>
        <v>28680</v>
      </c>
      <c r="N9739" t="s">
        <v>482</v>
      </c>
      <c r="O9739">
        <v>178</v>
      </c>
      <c r="P9739">
        <v>20190410</v>
      </c>
      <c r="Q9739" t="s">
        <v>7680</v>
      </c>
      <c r="R9739" t="s">
        <v>1029</v>
      </c>
      <c r="S9739" t="s">
        <v>7000</v>
      </c>
      <c r="T9739" t="s">
        <v>301</v>
      </c>
    </row>
    <row r="9740" spans="1:20" x14ac:dyDescent="0.25">
      <c r="A9740">
        <v>9</v>
      </c>
      <c r="B9740">
        <v>461</v>
      </c>
      <c r="C9740" t="str">
        <f t="shared" si="2211"/>
        <v>36</v>
      </c>
      <c r="D9740">
        <v>6412</v>
      </c>
      <c r="E9740" t="str">
        <f>"3M"</f>
        <v>3M</v>
      </c>
      <c r="F9740" t="str">
        <f>"001"</f>
        <v>001</v>
      </c>
      <c r="G9740">
        <v>9</v>
      </c>
      <c r="H9740" t="str">
        <f t="shared" si="2220"/>
        <v>91</v>
      </c>
      <c r="I9740" t="str">
        <f t="shared" si="2214"/>
        <v>0</v>
      </c>
      <c r="J9740" t="str">
        <f t="shared" si="2219"/>
        <v>00</v>
      </c>
      <c r="K9740">
        <v>20190412</v>
      </c>
      <c r="L9740" t="str">
        <f>"076442"</f>
        <v>076442</v>
      </c>
      <c r="M9740" t="str">
        <f>"28680"</f>
        <v>28680</v>
      </c>
      <c r="N9740" t="s">
        <v>482</v>
      </c>
      <c r="O9740">
        <v>267</v>
      </c>
      <c r="P9740">
        <v>20190410</v>
      </c>
      <c r="Q9740" t="s">
        <v>7680</v>
      </c>
      <c r="R9740" t="s">
        <v>1057</v>
      </c>
      <c r="S9740" t="s">
        <v>7000</v>
      </c>
      <c r="T9740" t="s">
        <v>301</v>
      </c>
    </row>
    <row r="9741" spans="1:20" x14ac:dyDescent="0.25">
      <c r="A9741">
        <v>9</v>
      </c>
      <c r="B9741">
        <v>461</v>
      </c>
      <c r="C9741" t="str">
        <f t="shared" si="2211"/>
        <v>36</v>
      </c>
      <c r="D9741">
        <v>6412</v>
      </c>
      <c r="E9741" t="str">
        <f>"3P"</f>
        <v>3P</v>
      </c>
      <c r="F9741" t="str">
        <f>"001"</f>
        <v>001</v>
      </c>
      <c r="G9741">
        <v>9</v>
      </c>
      <c r="H9741" t="str">
        <f t="shared" si="2220"/>
        <v>91</v>
      </c>
      <c r="I9741" t="str">
        <f t="shared" si="2214"/>
        <v>0</v>
      </c>
      <c r="J9741" t="str">
        <f t="shared" si="2219"/>
        <v>00</v>
      </c>
      <c r="K9741">
        <v>20190412</v>
      </c>
      <c r="L9741" t="str">
        <f>"076442"</f>
        <v>076442</v>
      </c>
      <c r="M9741" t="str">
        <f>"28680"</f>
        <v>28680</v>
      </c>
      <c r="N9741" t="s">
        <v>482</v>
      </c>
      <c r="O9741">
        <v>249.11</v>
      </c>
      <c r="P9741">
        <v>20190410</v>
      </c>
      <c r="Q9741" t="s">
        <v>7428</v>
      </c>
      <c r="R9741" t="s">
        <v>7429</v>
      </c>
      <c r="S9741" t="s">
        <v>7000</v>
      </c>
      <c r="T9741" t="s">
        <v>301</v>
      </c>
    </row>
    <row r="9742" spans="1:20" x14ac:dyDescent="0.25">
      <c r="A9742">
        <v>9</v>
      </c>
      <c r="B9742">
        <v>461</v>
      </c>
      <c r="C9742" t="str">
        <f t="shared" si="2211"/>
        <v>36</v>
      </c>
      <c r="D9742">
        <v>6219</v>
      </c>
      <c r="E9742" t="str">
        <f>"3R"</f>
        <v>3R</v>
      </c>
      <c r="F9742" t="str">
        <f>"041"</f>
        <v>041</v>
      </c>
      <c r="G9742">
        <v>9</v>
      </c>
      <c r="H9742" t="str">
        <f t="shared" si="2220"/>
        <v>91</v>
      </c>
      <c r="I9742" t="str">
        <f>"1"</f>
        <v>1</v>
      </c>
      <c r="J9742" t="str">
        <f t="shared" si="2219"/>
        <v>00</v>
      </c>
      <c r="K9742">
        <v>20190412</v>
      </c>
      <c r="L9742" t="str">
        <f>"076453"</f>
        <v>076453</v>
      </c>
      <c r="M9742" t="str">
        <f>"30118"</f>
        <v>30118</v>
      </c>
      <c r="N9742" t="s">
        <v>347</v>
      </c>
      <c r="O9742">
        <v>157.5</v>
      </c>
      <c r="P9742">
        <v>20190410</v>
      </c>
      <c r="Q9742" t="s">
        <v>7681</v>
      </c>
      <c r="R9742" t="s">
        <v>7682</v>
      </c>
      <c r="S9742" t="s">
        <v>7000</v>
      </c>
      <c r="T9742" t="s">
        <v>106</v>
      </c>
    </row>
    <row r="9743" spans="1:20" x14ac:dyDescent="0.25">
      <c r="A9743">
        <v>9</v>
      </c>
      <c r="B9743">
        <v>461</v>
      </c>
      <c r="C9743" t="str">
        <f t="shared" si="2211"/>
        <v>36</v>
      </c>
      <c r="D9743">
        <v>6412</v>
      </c>
      <c r="E9743" t="str">
        <f>"3G"</f>
        <v>3G</v>
      </c>
      <c r="F9743" t="str">
        <f>"001"</f>
        <v>001</v>
      </c>
      <c r="G9743">
        <v>9</v>
      </c>
      <c r="H9743" t="str">
        <f t="shared" si="2220"/>
        <v>91</v>
      </c>
      <c r="I9743" t="str">
        <f>"0"</f>
        <v>0</v>
      </c>
      <c r="J9743" t="str">
        <f t="shared" si="2219"/>
        <v>00</v>
      </c>
      <c r="K9743">
        <v>20190412</v>
      </c>
      <c r="L9743" t="str">
        <f>"076454"</f>
        <v>076454</v>
      </c>
      <c r="M9743" t="str">
        <f>"30837"</f>
        <v>30837</v>
      </c>
      <c r="N9743" t="s">
        <v>621</v>
      </c>
      <c r="O9743">
        <v>70.88</v>
      </c>
      <c r="P9743">
        <v>20190410</v>
      </c>
      <c r="Q9743" t="s">
        <v>7002</v>
      </c>
      <c r="R9743" t="s">
        <v>1348</v>
      </c>
      <c r="S9743" t="s">
        <v>7000</v>
      </c>
      <c r="T9743" t="s">
        <v>301</v>
      </c>
    </row>
    <row r="9744" spans="1:20" x14ac:dyDescent="0.25">
      <c r="A9744">
        <v>9</v>
      </c>
      <c r="B9744">
        <v>461</v>
      </c>
      <c r="C9744" t="str">
        <f t="shared" ref="C9744:C9807" si="2221">"36"</f>
        <v>36</v>
      </c>
      <c r="D9744">
        <v>6399</v>
      </c>
      <c r="E9744" t="str">
        <f>"38"</f>
        <v>38</v>
      </c>
      <c r="F9744" t="str">
        <f>"001"</f>
        <v>001</v>
      </c>
      <c r="G9744">
        <v>9</v>
      </c>
      <c r="H9744" t="str">
        <f t="shared" si="2220"/>
        <v>91</v>
      </c>
      <c r="I9744" t="str">
        <f>"0"</f>
        <v>0</v>
      </c>
      <c r="J9744" t="str">
        <f t="shared" si="2219"/>
        <v>00</v>
      </c>
      <c r="K9744">
        <v>20190412</v>
      </c>
      <c r="L9744" t="str">
        <f>"076456"</f>
        <v>076456</v>
      </c>
      <c r="M9744" t="str">
        <f>"31345"</f>
        <v>31345</v>
      </c>
      <c r="N9744" t="s">
        <v>1394</v>
      </c>
      <c r="O9744" s="1">
        <v>1920</v>
      </c>
      <c r="P9744">
        <v>20190410</v>
      </c>
      <c r="Q9744" t="s">
        <v>7094</v>
      </c>
      <c r="R9744" t="s">
        <v>7683</v>
      </c>
      <c r="S9744" t="s">
        <v>7000</v>
      </c>
      <c r="T9744" t="s">
        <v>301</v>
      </c>
    </row>
    <row r="9745" spans="1:20" x14ac:dyDescent="0.25">
      <c r="A9745">
        <v>9</v>
      </c>
      <c r="B9745">
        <v>461</v>
      </c>
      <c r="C9745" t="str">
        <f t="shared" si="2221"/>
        <v>36</v>
      </c>
      <c r="D9745">
        <v>6399</v>
      </c>
      <c r="E9745" t="str">
        <f>"7K"</f>
        <v>7K</v>
      </c>
      <c r="F9745" t="str">
        <f>"001"</f>
        <v>001</v>
      </c>
      <c r="G9745">
        <v>9</v>
      </c>
      <c r="H9745" t="str">
        <f>"99"</f>
        <v>99</v>
      </c>
      <c r="I9745" t="str">
        <f>"0"</f>
        <v>0</v>
      </c>
      <c r="J9745" t="str">
        <f t="shared" si="2219"/>
        <v>00</v>
      </c>
      <c r="K9745">
        <v>20190412</v>
      </c>
      <c r="L9745" t="str">
        <f>"076456"</f>
        <v>076456</v>
      </c>
      <c r="M9745" t="str">
        <f>"31345"</f>
        <v>31345</v>
      </c>
      <c r="N9745" t="s">
        <v>1394</v>
      </c>
      <c r="O9745">
        <v>628</v>
      </c>
      <c r="P9745">
        <v>20190410</v>
      </c>
      <c r="Q9745" t="s">
        <v>7056</v>
      </c>
      <c r="R9745" t="s">
        <v>3781</v>
      </c>
      <c r="S9745" t="s">
        <v>7000</v>
      </c>
      <c r="T9745" t="s">
        <v>301</v>
      </c>
    </row>
    <row r="9746" spans="1:20" x14ac:dyDescent="0.25">
      <c r="A9746">
        <v>9</v>
      </c>
      <c r="B9746">
        <v>461</v>
      </c>
      <c r="C9746" t="str">
        <f t="shared" si="2221"/>
        <v>36</v>
      </c>
      <c r="D9746">
        <v>6219</v>
      </c>
      <c r="E9746" t="str">
        <f>"3R"</f>
        <v>3R</v>
      </c>
      <c r="F9746" t="str">
        <f>"041"</f>
        <v>041</v>
      </c>
      <c r="G9746">
        <v>9</v>
      </c>
      <c r="H9746" t="str">
        <f>"91"</f>
        <v>91</v>
      </c>
      <c r="I9746" t="str">
        <f>"1"</f>
        <v>1</v>
      </c>
      <c r="J9746" t="str">
        <f t="shared" si="2219"/>
        <v>00</v>
      </c>
      <c r="K9746">
        <v>20190412</v>
      </c>
      <c r="L9746" t="str">
        <f>"076461"</f>
        <v>076461</v>
      </c>
      <c r="M9746" t="str">
        <f>"00749"</f>
        <v>00749</v>
      </c>
      <c r="N9746" t="s">
        <v>1102</v>
      </c>
      <c r="O9746">
        <v>157.5</v>
      </c>
      <c r="P9746">
        <v>20190410</v>
      </c>
      <c r="Q9746" t="s">
        <v>7681</v>
      </c>
      <c r="R9746" t="s">
        <v>7682</v>
      </c>
      <c r="S9746" t="s">
        <v>7000</v>
      </c>
      <c r="T9746" t="s">
        <v>106</v>
      </c>
    </row>
    <row r="9747" spans="1:20" x14ac:dyDescent="0.25">
      <c r="A9747">
        <v>9</v>
      </c>
      <c r="B9747">
        <v>461</v>
      </c>
      <c r="C9747" t="str">
        <f t="shared" si="2221"/>
        <v>36</v>
      </c>
      <c r="D9747">
        <v>6412</v>
      </c>
      <c r="E9747" t="str">
        <f>"7K"</f>
        <v>7K</v>
      </c>
      <c r="F9747" t="str">
        <f>"001"</f>
        <v>001</v>
      </c>
      <c r="G9747">
        <v>9</v>
      </c>
      <c r="H9747" t="str">
        <f t="shared" ref="H9747:H9753" si="2222">"99"</f>
        <v>99</v>
      </c>
      <c r="I9747" t="str">
        <f>"0"</f>
        <v>0</v>
      </c>
      <c r="J9747" t="str">
        <f t="shared" si="2219"/>
        <v>00</v>
      </c>
      <c r="K9747">
        <v>20190412</v>
      </c>
      <c r="L9747" t="str">
        <f>"076476"</f>
        <v>076476</v>
      </c>
      <c r="M9747" t="str">
        <f>"43871"</f>
        <v>43871</v>
      </c>
      <c r="N9747" t="s">
        <v>4413</v>
      </c>
      <c r="O9747">
        <v>198</v>
      </c>
      <c r="P9747">
        <v>20190410</v>
      </c>
      <c r="Q9747" t="s">
        <v>7082</v>
      </c>
      <c r="R9747" t="s">
        <v>4415</v>
      </c>
      <c r="S9747" t="s">
        <v>7000</v>
      </c>
      <c r="T9747" t="s">
        <v>301</v>
      </c>
    </row>
    <row r="9748" spans="1:20" x14ac:dyDescent="0.25">
      <c r="A9748">
        <v>9</v>
      </c>
      <c r="B9748">
        <v>461</v>
      </c>
      <c r="C9748" t="str">
        <f t="shared" si="2221"/>
        <v>36</v>
      </c>
      <c r="D9748">
        <v>6499</v>
      </c>
      <c r="E9748" t="str">
        <f>"09"</f>
        <v>09</v>
      </c>
      <c r="F9748" t="str">
        <f>"001"</f>
        <v>001</v>
      </c>
      <c r="G9748">
        <v>9</v>
      </c>
      <c r="H9748" t="str">
        <f t="shared" si="2222"/>
        <v>99</v>
      </c>
      <c r="I9748" t="str">
        <f>"0"</f>
        <v>0</v>
      </c>
      <c r="J9748" t="str">
        <f t="shared" si="2219"/>
        <v>00</v>
      </c>
      <c r="K9748">
        <v>20190412</v>
      </c>
      <c r="L9748" t="str">
        <f>"076477"</f>
        <v>076477</v>
      </c>
      <c r="M9748" t="str">
        <f>"45093"</f>
        <v>45093</v>
      </c>
      <c r="N9748" t="s">
        <v>885</v>
      </c>
      <c r="O9748">
        <v>243.03</v>
      </c>
      <c r="P9748">
        <v>20190410</v>
      </c>
      <c r="Q9748" t="s">
        <v>7658</v>
      </c>
      <c r="R9748" t="s">
        <v>7674</v>
      </c>
      <c r="S9748" t="s">
        <v>7000</v>
      </c>
      <c r="T9748" t="s">
        <v>301</v>
      </c>
    </row>
    <row r="9749" spans="1:20" x14ac:dyDescent="0.25">
      <c r="A9749">
        <v>9</v>
      </c>
      <c r="B9749">
        <v>461</v>
      </c>
      <c r="C9749" t="str">
        <f t="shared" si="2221"/>
        <v>36</v>
      </c>
      <c r="D9749">
        <v>6499</v>
      </c>
      <c r="E9749" t="str">
        <f>"09"</f>
        <v>09</v>
      </c>
      <c r="F9749" t="str">
        <f>"001"</f>
        <v>001</v>
      </c>
      <c r="G9749">
        <v>9</v>
      </c>
      <c r="H9749" t="str">
        <f t="shared" si="2222"/>
        <v>99</v>
      </c>
      <c r="I9749" t="str">
        <f>"0"</f>
        <v>0</v>
      </c>
      <c r="J9749" t="str">
        <f t="shared" si="2219"/>
        <v>00</v>
      </c>
      <c r="K9749">
        <v>20190412</v>
      </c>
      <c r="L9749" t="str">
        <f>"076477"</f>
        <v>076477</v>
      </c>
      <c r="M9749" t="str">
        <f>"45093"</f>
        <v>45093</v>
      </c>
      <c r="N9749" t="s">
        <v>885</v>
      </c>
      <c r="O9749">
        <v>439.49</v>
      </c>
      <c r="P9749">
        <v>20190410</v>
      </c>
      <c r="Q9749" t="s">
        <v>7658</v>
      </c>
      <c r="R9749" t="s">
        <v>7674</v>
      </c>
      <c r="S9749" t="s">
        <v>7000</v>
      </c>
      <c r="T9749" t="s">
        <v>301</v>
      </c>
    </row>
    <row r="9750" spans="1:20" x14ac:dyDescent="0.25">
      <c r="A9750">
        <v>9</v>
      </c>
      <c r="B9750">
        <v>461</v>
      </c>
      <c r="C9750" t="str">
        <f t="shared" si="2221"/>
        <v>36</v>
      </c>
      <c r="D9750">
        <v>6499</v>
      </c>
      <c r="E9750" t="str">
        <f>"09"</f>
        <v>09</v>
      </c>
      <c r="F9750" t="str">
        <f>"942"</f>
        <v>942</v>
      </c>
      <c r="G9750">
        <v>9</v>
      </c>
      <c r="H9750" t="str">
        <f t="shared" si="2222"/>
        <v>99</v>
      </c>
      <c r="I9750" t="str">
        <f>"4"</f>
        <v>4</v>
      </c>
      <c r="J9750" t="str">
        <f>"88"</f>
        <v>88</v>
      </c>
      <c r="K9750">
        <v>20190412</v>
      </c>
      <c r="L9750" t="str">
        <f>"076477"</f>
        <v>076477</v>
      </c>
      <c r="M9750" t="str">
        <f>"45093"</f>
        <v>45093</v>
      </c>
      <c r="N9750" t="s">
        <v>885</v>
      </c>
      <c r="O9750">
        <v>145.83000000000001</v>
      </c>
      <c r="P9750">
        <v>20190410</v>
      </c>
      <c r="Q9750" t="s">
        <v>7546</v>
      </c>
      <c r="R9750" t="s">
        <v>7684</v>
      </c>
      <c r="S9750" t="s">
        <v>7000</v>
      </c>
      <c r="T9750" t="s">
        <v>1831</v>
      </c>
    </row>
    <row r="9751" spans="1:20" x14ac:dyDescent="0.25">
      <c r="A9751">
        <v>9</v>
      </c>
      <c r="B9751">
        <v>461</v>
      </c>
      <c r="C9751" t="str">
        <f t="shared" si="2221"/>
        <v>36</v>
      </c>
      <c r="D9751">
        <v>6499</v>
      </c>
      <c r="E9751" t="str">
        <f>"09"</f>
        <v>09</v>
      </c>
      <c r="F9751" t="str">
        <f>"942"</f>
        <v>942</v>
      </c>
      <c r="G9751">
        <v>9</v>
      </c>
      <c r="H9751" t="str">
        <f t="shared" si="2222"/>
        <v>99</v>
      </c>
      <c r="I9751" t="str">
        <f>"4"</f>
        <v>4</v>
      </c>
      <c r="J9751" t="str">
        <f>"88"</f>
        <v>88</v>
      </c>
      <c r="K9751">
        <v>20190412</v>
      </c>
      <c r="L9751" t="str">
        <f>"076477"</f>
        <v>076477</v>
      </c>
      <c r="M9751" t="str">
        <f>"45093"</f>
        <v>45093</v>
      </c>
      <c r="N9751" t="s">
        <v>885</v>
      </c>
      <c r="O9751">
        <v>164.23</v>
      </c>
      <c r="P9751">
        <v>20190410</v>
      </c>
      <c r="Q9751" t="s">
        <v>7546</v>
      </c>
      <c r="R9751" t="s">
        <v>3946</v>
      </c>
      <c r="S9751" t="s">
        <v>7000</v>
      </c>
      <c r="T9751" t="s">
        <v>1831</v>
      </c>
    </row>
    <row r="9752" spans="1:20" x14ac:dyDescent="0.25">
      <c r="A9752">
        <v>9</v>
      </c>
      <c r="B9752">
        <v>461</v>
      </c>
      <c r="C9752" t="str">
        <f t="shared" si="2221"/>
        <v>36</v>
      </c>
      <c r="D9752">
        <v>6499</v>
      </c>
      <c r="E9752" t="str">
        <f>"7C"</f>
        <v>7C</v>
      </c>
      <c r="F9752" t="str">
        <f>"001"</f>
        <v>001</v>
      </c>
      <c r="G9752">
        <v>9</v>
      </c>
      <c r="H9752" t="str">
        <f t="shared" si="2222"/>
        <v>99</v>
      </c>
      <c r="I9752" t="str">
        <f t="shared" ref="I9752:I9785" si="2223">"0"</f>
        <v>0</v>
      </c>
      <c r="J9752" t="str">
        <f t="shared" ref="J9752:J9785" si="2224">"00"</f>
        <v>00</v>
      </c>
      <c r="K9752">
        <v>20190412</v>
      </c>
      <c r="L9752" t="str">
        <f>"076477"</f>
        <v>076477</v>
      </c>
      <c r="M9752" t="str">
        <f>"45093"</f>
        <v>45093</v>
      </c>
      <c r="N9752" t="s">
        <v>885</v>
      </c>
      <c r="O9752">
        <v>166.58</v>
      </c>
      <c r="P9752">
        <v>20190410</v>
      </c>
      <c r="Q9752" t="s">
        <v>7119</v>
      </c>
      <c r="R9752" t="s">
        <v>3954</v>
      </c>
      <c r="S9752" t="s">
        <v>7000</v>
      </c>
      <c r="T9752" t="s">
        <v>301</v>
      </c>
    </row>
    <row r="9753" spans="1:20" x14ac:dyDescent="0.25">
      <c r="A9753">
        <v>9</v>
      </c>
      <c r="B9753">
        <v>461</v>
      </c>
      <c r="C9753" t="str">
        <f t="shared" si="2221"/>
        <v>36</v>
      </c>
      <c r="D9753">
        <v>6399</v>
      </c>
      <c r="E9753" t="str">
        <f>"30"</f>
        <v>30</v>
      </c>
      <c r="F9753" t="str">
        <f>"002"</f>
        <v>002</v>
      </c>
      <c r="G9753">
        <v>9</v>
      </c>
      <c r="H9753" t="str">
        <f t="shared" si="2222"/>
        <v>99</v>
      </c>
      <c r="I9753" t="str">
        <f t="shared" si="2223"/>
        <v>0</v>
      </c>
      <c r="J9753" t="str">
        <f t="shared" si="2224"/>
        <v>00</v>
      </c>
      <c r="K9753">
        <v>20190412</v>
      </c>
      <c r="L9753" t="str">
        <f>"076499"</f>
        <v>076499</v>
      </c>
      <c r="M9753" t="str">
        <f>"58211"</f>
        <v>58211</v>
      </c>
      <c r="N9753" t="s">
        <v>1472</v>
      </c>
      <c r="O9753">
        <v>38</v>
      </c>
      <c r="P9753">
        <v>20190411</v>
      </c>
      <c r="Q9753" t="s">
        <v>7125</v>
      </c>
      <c r="R9753" t="s">
        <v>7685</v>
      </c>
      <c r="S9753" t="s">
        <v>7000</v>
      </c>
      <c r="T9753" t="s">
        <v>1485</v>
      </c>
    </row>
    <row r="9754" spans="1:20" x14ac:dyDescent="0.25">
      <c r="A9754">
        <v>9</v>
      </c>
      <c r="B9754">
        <v>461</v>
      </c>
      <c r="C9754" t="str">
        <f t="shared" si="2221"/>
        <v>36</v>
      </c>
      <c r="D9754">
        <v>6399</v>
      </c>
      <c r="E9754" t="str">
        <f>"3R"</f>
        <v>3R</v>
      </c>
      <c r="F9754" t="str">
        <f>"041"</f>
        <v>041</v>
      </c>
      <c r="G9754">
        <v>9</v>
      </c>
      <c r="H9754" t="str">
        <f>"91"</f>
        <v>91</v>
      </c>
      <c r="I9754" t="str">
        <f t="shared" si="2223"/>
        <v>0</v>
      </c>
      <c r="J9754" t="str">
        <f t="shared" si="2224"/>
        <v>00</v>
      </c>
      <c r="K9754">
        <v>20190412</v>
      </c>
      <c r="L9754" t="str">
        <f>"076500"</f>
        <v>076500</v>
      </c>
      <c r="M9754" t="str">
        <f>"58207"</f>
        <v>58207</v>
      </c>
      <c r="N9754" t="s">
        <v>292</v>
      </c>
      <c r="O9754">
        <v>75</v>
      </c>
      <c r="P9754">
        <v>20190411</v>
      </c>
      <c r="Q9754" t="s">
        <v>7603</v>
      </c>
      <c r="R9754" t="s">
        <v>7682</v>
      </c>
      <c r="S9754" t="s">
        <v>7000</v>
      </c>
      <c r="T9754" t="s">
        <v>106</v>
      </c>
    </row>
    <row r="9755" spans="1:20" x14ac:dyDescent="0.25">
      <c r="A9755">
        <v>9</v>
      </c>
      <c r="B9755">
        <v>461</v>
      </c>
      <c r="C9755" t="str">
        <f t="shared" si="2221"/>
        <v>36</v>
      </c>
      <c r="D9755">
        <v>6399</v>
      </c>
      <c r="E9755" t="str">
        <f>"7U"</f>
        <v>7U</v>
      </c>
      <c r="F9755" t="str">
        <f>"104"</f>
        <v>104</v>
      </c>
      <c r="G9755">
        <v>9</v>
      </c>
      <c r="H9755" t="str">
        <f>"99"</f>
        <v>99</v>
      </c>
      <c r="I9755" t="str">
        <f t="shared" si="2223"/>
        <v>0</v>
      </c>
      <c r="J9755" t="str">
        <f t="shared" si="2224"/>
        <v>00</v>
      </c>
      <c r="K9755">
        <v>20190412</v>
      </c>
      <c r="L9755" t="str">
        <f>"076506"</f>
        <v>076506</v>
      </c>
      <c r="M9755" t="str">
        <f>"61308"</f>
        <v>61308</v>
      </c>
      <c r="N9755" t="s">
        <v>7199</v>
      </c>
      <c r="O9755">
        <v>161.76</v>
      </c>
      <c r="P9755">
        <v>20190411</v>
      </c>
      <c r="Q9755" t="s">
        <v>7193</v>
      </c>
      <c r="R9755" t="s">
        <v>2486</v>
      </c>
      <c r="S9755" t="s">
        <v>7000</v>
      </c>
      <c r="T9755" t="s">
        <v>46</v>
      </c>
    </row>
    <row r="9756" spans="1:20" x14ac:dyDescent="0.25">
      <c r="A9756">
        <v>9</v>
      </c>
      <c r="B9756">
        <v>461</v>
      </c>
      <c r="C9756" t="str">
        <f t="shared" si="2221"/>
        <v>36</v>
      </c>
      <c r="D9756">
        <v>6399</v>
      </c>
      <c r="E9756" t="str">
        <f>"3T"</f>
        <v>3T</v>
      </c>
      <c r="F9756" t="str">
        <f>"001"</f>
        <v>001</v>
      </c>
      <c r="G9756">
        <v>9</v>
      </c>
      <c r="H9756" t="str">
        <f>"91"</f>
        <v>91</v>
      </c>
      <c r="I9756" t="str">
        <f t="shared" si="2223"/>
        <v>0</v>
      </c>
      <c r="J9756" t="str">
        <f t="shared" si="2224"/>
        <v>00</v>
      </c>
      <c r="K9756">
        <v>20190412</v>
      </c>
      <c r="L9756" t="str">
        <f>"076509"</f>
        <v>076509</v>
      </c>
      <c r="M9756" t="str">
        <f>"64610"</f>
        <v>64610</v>
      </c>
      <c r="N9756" t="s">
        <v>1062</v>
      </c>
      <c r="O9756">
        <v>38</v>
      </c>
      <c r="P9756">
        <v>20190412</v>
      </c>
      <c r="Q9756" t="s">
        <v>7053</v>
      </c>
      <c r="R9756" t="s">
        <v>7686</v>
      </c>
      <c r="S9756" t="s">
        <v>7000</v>
      </c>
      <c r="T9756" t="s">
        <v>301</v>
      </c>
    </row>
    <row r="9757" spans="1:20" x14ac:dyDescent="0.25">
      <c r="A9757">
        <v>9</v>
      </c>
      <c r="B9757">
        <v>461</v>
      </c>
      <c r="C9757" t="str">
        <f t="shared" si="2221"/>
        <v>36</v>
      </c>
      <c r="D9757">
        <v>6412</v>
      </c>
      <c r="E9757" t="str">
        <f>"3T"</f>
        <v>3T</v>
      </c>
      <c r="F9757" t="str">
        <f>"001"</f>
        <v>001</v>
      </c>
      <c r="G9757">
        <v>9</v>
      </c>
      <c r="H9757" t="str">
        <f>"91"</f>
        <v>91</v>
      </c>
      <c r="I9757" t="str">
        <f t="shared" si="2223"/>
        <v>0</v>
      </c>
      <c r="J9757" t="str">
        <f t="shared" si="2224"/>
        <v>00</v>
      </c>
      <c r="K9757">
        <v>20190412</v>
      </c>
      <c r="L9757" t="str">
        <f>"076509"</f>
        <v>076509</v>
      </c>
      <c r="M9757" t="str">
        <f>"64610"</f>
        <v>64610</v>
      </c>
      <c r="N9757" t="s">
        <v>1062</v>
      </c>
      <c r="O9757">
        <v>59</v>
      </c>
      <c r="P9757">
        <v>20190411</v>
      </c>
      <c r="Q9757" t="s">
        <v>7509</v>
      </c>
      <c r="R9757" t="s">
        <v>7687</v>
      </c>
      <c r="S9757" t="s">
        <v>7000</v>
      </c>
      <c r="T9757" t="s">
        <v>301</v>
      </c>
    </row>
    <row r="9758" spans="1:20" x14ac:dyDescent="0.25">
      <c r="A9758">
        <v>9</v>
      </c>
      <c r="B9758">
        <v>461</v>
      </c>
      <c r="C9758" t="str">
        <f t="shared" si="2221"/>
        <v>36</v>
      </c>
      <c r="D9758">
        <v>6499</v>
      </c>
      <c r="E9758" t="str">
        <f>"7K"</f>
        <v>7K</v>
      </c>
      <c r="F9758" t="str">
        <f>"001"</f>
        <v>001</v>
      </c>
      <c r="G9758">
        <v>9</v>
      </c>
      <c r="H9758" t="str">
        <f t="shared" ref="H9758:H9773" si="2225">"99"</f>
        <v>99</v>
      </c>
      <c r="I9758" t="str">
        <f t="shared" si="2223"/>
        <v>0</v>
      </c>
      <c r="J9758" t="str">
        <f t="shared" si="2224"/>
        <v>00</v>
      </c>
      <c r="K9758">
        <v>20190412</v>
      </c>
      <c r="L9758" t="str">
        <f>"076509"</f>
        <v>076509</v>
      </c>
      <c r="M9758" t="str">
        <f>"64610"</f>
        <v>64610</v>
      </c>
      <c r="N9758" t="s">
        <v>1062</v>
      </c>
      <c r="O9758">
        <v>62.2</v>
      </c>
      <c r="P9758">
        <v>20190411</v>
      </c>
      <c r="Q9758" t="s">
        <v>7320</v>
      </c>
      <c r="R9758" t="s">
        <v>7684</v>
      </c>
      <c r="S9758" t="s">
        <v>7000</v>
      </c>
      <c r="T9758" t="s">
        <v>301</v>
      </c>
    </row>
    <row r="9759" spans="1:20" x14ac:dyDescent="0.25">
      <c r="A9759">
        <v>9</v>
      </c>
      <c r="B9759">
        <v>461</v>
      </c>
      <c r="C9759" t="str">
        <f t="shared" si="2221"/>
        <v>36</v>
      </c>
      <c r="D9759">
        <v>6399</v>
      </c>
      <c r="E9759" t="str">
        <f>"PR"</f>
        <v>PR</v>
      </c>
      <c r="F9759" t="str">
        <f>"104"</f>
        <v>104</v>
      </c>
      <c r="G9759">
        <v>9</v>
      </c>
      <c r="H9759" t="str">
        <f t="shared" si="2225"/>
        <v>99</v>
      </c>
      <c r="I9759" t="str">
        <f t="shared" si="2223"/>
        <v>0</v>
      </c>
      <c r="J9759" t="str">
        <f t="shared" si="2224"/>
        <v>00</v>
      </c>
      <c r="K9759">
        <v>20190412</v>
      </c>
      <c r="L9759" t="str">
        <f>"076519"</f>
        <v>076519</v>
      </c>
      <c r="M9759" t="str">
        <f>"74119"</f>
        <v>74119</v>
      </c>
      <c r="N9759" t="s">
        <v>7688</v>
      </c>
      <c r="O9759">
        <v>300</v>
      </c>
      <c r="P9759">
        <v>20190411</v>
      </c>
      <c r="Q9759" t="s">
        <v>7014</v>
      </c>
      <c r="R9759" t="s">
        <v>7689</v>
      </c>
      <c r="S9759" t="s">
        <v>7000</v>
      </c>
      <c r="T9759" t="s">
        <v>46</v>
      </c>
    </row>
    <row r="9760" spans="1:20" x14ac:dyDescent="0.25">
      <c r="A9760">
        <v>9</v>
      </c>
      <c r="B9760">
        <v>461</v>
      </c>
      <c r="C9760" t="str">
        <f t="shared" si="2221"/>
        <v>36</v>
      </c>
      <c r="D9760">
        <v>6412</v>
      </c>
      <c r="E9760" t="str">
        <f>"PL"</f>
        <v>PL</v>
      </c>
      <c r="F9760" t="str">
        <f>"001"</f>
        <v>001</v>
      </c>
      <c r="G9760">
        <v>9</v>
      </c>
      <c r="H9760" t="str">
        <f t="shared" si="2225"/>
        <v>99</v>
      </c>
      <c r="I9760" t="str">
        <f t="shared" si="2223"/>
        <v>0</v>
      </c>
      <c r="J9760" t="str">
        <f t="shared" si="2224"/>
        <v>00</v>
      </c>
      <c r="K9760">
        <v>20190412</v>
      </c>
      <c r="L9760" t="str">
        <f>"076522"</f>
        <v>076522</v>
      </c>
      <c r="M9760" t="str">
        <f>"79426"</f>
        <v>79426</v>
      </c>
      <c r="N9760" t="s">
        <v>6539</v>
      </c>
      <c r="O9760">
        <v>540.5</v>
      </c>
      <c r="P9760">
        <v>20190412</v>
      </c>
      <c r="Q9760" t="s">
        <v>7050</v>
      </c>
      <c r="R9760" t="s">
        <v>7690</v>
      </c>
      <c r="S9760" t="s">
        <v>7000</v>
      </c>
      <c r="T9760" t="s">
        <v>301</v>
      </c>
    </row>
    <row r="9761" spans="1:20" x14ac:dyDescent="0.25">
      <c r="A9761">
        <v>9</v>
      </c>
      <c r="B9761">
        <v>461</v>
      </c>
      <c r="C9761" t="str">
        <f t="shared" si="2221"/>
        <v>36</v>
      </c>
      <c r="D9761">
        <v>6412</v>
      </c>
      <c r="E9761" t="str">
        <f>"7C"</f>
        <v>7C</v>
      </c>
      <c r="F9761" t="str">
        <f>"999"</f>
        <v>999</v>
      </c>
      <c r="G9761">
        <v>9</v>
      </c>
      <c r="H9761" t="str">
        <f t="shared" si="2225"/>
        <v>99</v>
      </c>
      <c r="I9761" t="str">
        <f t="shared" si="2223"/>
        <v>0</v>
      </c>
      <c r="J9761" t="str">
        <f t="shared" si="2224"/>
        <v>00</v>
      </c>
      <c r="K9761">
        <v>20190412</v>
      </c>
      <c r="L9761" t="str">
        <f>"076526"</f>
        <v>076526</v>
      </c>
      <c r="M9761" t="str">
        <f>"81719"</f>
        <v>81719</v>
      </c>
      <c r="N9761" t="s">
        <v>4688</v>
      </c>
      <c r="O9761" s="1">
        <v>8074</v>
      </c>
      <c r="P9761">
        <v>20190412</v>
      </c>
      <c r="Q9761" t="s">
        <v>7691</v>
      </c>
      <c r="R9761" t="s">
        <v>4690</v>
      </c>
      <c r="S9761" t="s">
        <v>7000</v>
      </c>
      <c r="T9761" t="s">
        <v>3622</v>
      </c>
    </row>
    <row r="9762" spans="1:20" x14ac:dyDescent="0.25">
      <c r="A9762">
        <v>9</v>
      </c>
      <c r="B9762">
        <v>461</v>
      </c>
      <c r="C9762" t="str">
        <f t="shared" si="2221"/>
        <v>36</v>
      </c>
      <c r="D9762">
        <v>6291</v>
      </c>
      <c r="E9762" t="str">
        <f>"11"</f>
        <v>11</v>
      </c>
      <c r="F9762" t="str">
        <f>"041"</f>
        <v>041</v>
      </c>
      <c r="G9762">
        <v>9</v>
      </c>
      <c r="H9762" t="str">
        <f t="shared" si="2225"/>
        <v>99</v>
      </c>
      <c r="I9762" t="str">
        <f t="shared" si="2223"/>
        <v>0</v>
      </c>
      <c r="J9762" t="str">
        <f t="shared" si="2224"/>
        <v>00</v>
      </c>
      <c r="K9762">
        <v>20190412</v>
      </c>
      <c r="L9762" t="str">
        <f>"076533"</f>
        <v>076533</v>
      </c>
      <c r="M9762" t="str">
        <f>"84614"</f>
        <v>84614</v>
      </c>
      <c r="N9762" t="s">
        <v>7675</v>
      </c>
      <c r="O9762">
        <v>949</v>
      </c>
      <c r="P9762">
        <v>20190412</v>
      </c>
      <c r="Q9762" t="s">
        <v>7692</v>
      </c>
      <c r="R9762" t="s">
        <v>7676</v>
      </c>
      <c r="S9762" t="s">
        <v>7000</v>
      </c>
      <c r="T9762" t="s">
        <v>106</v>
      </c>
    </row>
    <row r="9763" spans="1:20" x14ac:dyDescent="0.25">
      <c r="A9763">
        <v>9</v>
      </c>
      <c r="B9763">
        <v>461</v>
      </c>
      <c r="C9763" t="str">
        <f t="shared" si="2221"/>
        <v>36</v>
      </c>
      <c r="D9763">
        <v>6399</v>
      </c>
      <c r="E9763" t="str">
        <f>"69"</f>
        <v>69</v>
      </c>
      <c r="F9763" t="str">
        <f>"001"</f>
        <v>001</v>
      </c>
      <c r="G9763">
        <v>9</v>
      </c>
      <c r="H9763" t="str">
        <f t="shared" si="2225"/>
        <v>99</v>
      </c>
      <c r="I9763" t="str">
        <f t="shared" si="2223"/>
        <v>0</v>
      </c>
      <c r="J9763" t="str">
        <f t="shared" si="2224"/>
        <v>00</v>
      </c>
      <c r="K9763">
        <v>20190419</v>
      </c>
      <c r="L9763" t="str">
        <f>"076534"</f>
        <v>076534</v>
      </c>
      <c r="M9763" t="str">
        <f>"09170"</f>
        <v>09170</v>
      </c>
      <c r="N9763" t="s">
        <v>679</v>
      </c>
      <c r="O9763" s="1">
        <v>1095</v>
      </c>
      <c r="P9763">
        <v>20190418</v>
      </c>
      <c r="Q9763" t="s">
        <v>7648</v>
      </c>
      <c r="R9763" t="s">
        <v>7693</v>
      </c>
      <c r="S9763" t="s">
        <v>7000</v>
      </c>
      <c r="T9763" t="s">
        <v>301</v>
      </c>
    </row>
    <row r="9764" spans="1:20" x14ac:dyDescent="0.25">
      <c r="A9764">
        <v>9</v>
      </c>
      <c r="B9764">
        <v>461</v>
      </c>
      <c r="C9764" t="str">
        <f t="shared" si="2221"/>
        <v>36</v>
      </c>
      <c r="D9764">
        <v>6412</v>
      </c>
      <c r="E9764" t="str">
        <f>"7C"</f>
        <v>7C</v>
      </c>
      <c r="F9764" t="str">
        <f>"999"</f>
        <v>999</v>
      </c>
      <c r="G9764">
        <v>9</v>
      </c>
      <c r="H9764" t="str">
        <f t="shared" si="2225"/>
        <v>99</v>
      </c>
      <c r="I9764" t="str">
        <f t="shared" si="2223"/>
        <v>0</v>
      </c>
      <c r="J9764" t="str">
        <f t="shared" si="2224"/>
        <v>00</v>
      </c>
      <c r="K9764">
        <v>20190419</v>
      </c>
      <c r="L9764" t="str">
        <f>"076534"</f>
        <v>076534</v>
      </c>
      <c r="M9764" t="str">
        <f>"09170"</f>
        <v>09170</v>
      </c>
      <c r="N9764" t="s">
        <v>679</v>
      </c>
      <c r="O9764" s="1">
        <v>4846.38</v>
      </c>
      <c r="P9764">
        <v>20190418</v>
      </c>
      <c r="Q9764" t="s">
        <v>7691</v>
      </c>
      <c r="R9764" t="s">
        <v>4713</v>
      </c>
      <c r="S9764" t="s">
        <v>7000</v>
      </c>
      <c r="T9764" t="s">
        <v>3622</v>
      </c>
    </row>
    <row r="9765" spans="1:20" x14ac:dyDescent="0.25">
      <c r="A9765">
        <v>9</v>
      </c>
      <c r="B9765">
        <v>461</v>
      </c>
      <c r="C9765" t="str">
        <f t="shared" si="2221"/>
        <v>36</v>
      </c>
      <c r="D9765">
        <v>6399</v>
      </c>
      <c r="E9765" t="str">
        <f>"PR"</f>
        <v>PR</v>
      </c>
      <c r="F9765" t="str">
        <f>"041"</f>
        <v>041</v>
      </c>
      <c r="G9765">
        <v>9</v>
      </c>
      <c r="H9765" t="str">
        <f t="shared" si="2225"/>
        <v>99</v>
      </c>
      <c r="I9765" t="str">
        <f t="shared" si="2223"/>
        <v>0</v>
      </c>
      <c r="J9765" t="str">
        <f t="shared" si="2224"/>
        <v>00</v>
      </c>
      <c r="K9765">
        <v>20190419</v>
      </c>
      <c r="L9765" t="str">
        <f>"076536"</f>
        <v>076536</v>
      </c>
      <c r="M9765" t="str">
        <f>"40550"</f>
        <v>40550</v>
      </c>
      <c r="N9765" t="s">
        <v>2645</v>
      </c>
      <c r="O9765">
        <v>17.53</v>
      </c>
      <c r="P9765">
        <v>20190418</v>
      </c>
      <c r="Q9765" t="s">
        <v>7497</v>
      </c>
      <c r="R9765" t="s">
        <v>7694</v>
      </c>
      <c r="S9765" t="s">
        <v>7000</v>
      </c>
      <c r="T9765" t="s">
        <v>106</v>
      </c>
    </row>
    <row r="9766" spans="1:20" x14ac:dyDescent="0.25">
      <c r="A9766">
        <v>9</v>
      </c>
      <c r="B9766">
        <v>461</v>
      </c>
      <c r="C9766" t="str">
        <f t="shared" si="2221"/>
        <v>36</v>
      </c>
      <c r="D9766">
        <v>6399</v>
      </c>
      <c r="E9766" t="str">
        <f>"69"</f>
        <v>69</v>
      </c>
      <c r="F9766" t="str">
        <f>"001"</f>
        <v>001</v>
      </c>
      <c r="G9766">
        <v>9</v>
      </c>
      <c r="H9766" t="str">
        <f t="shared" si="2225"/>
        <v>99</v>
      </c>
      <c r="I9766" t="str">
        <f t="shared" si="2223"/>
        <v>0</v>
      </c>
      <c r="J9766" t="str">
        <f t="shared" si="2224"/>
        <v>00</v>
      </c>
      <c r="K9766">
        <v>20190419</v>
      </c>
      <c r="L9766" t="str">
        <f>"076538"</f>
        <v>076538</v>
      </c>
      <c r="M9766" t="str">
        <f>"58204"</f>
        <v>58204</v>
      </c>
      <c r="N9766" t="s">
        <v>1767</v>
      </c>
      <c r="O9766">
        <v>228.65</v>
      </c>
      <c r="P9766">
        <v>20190418</v>
      </c>
      <c r="Q9766" t="s">
        <v>7648</v>
      </c>
      <c r="R9766" t="s">
        <v>7490</v>
      </c>
      <c r="S9766" t="s">
        <v>7000</v>
      </c>
      <c r="T9766" t="s">
        <v>301</v>
      </c>
    </row>
    <row r="9767" spans="1:20" x14ac:dyDescent="0.25">
      <c r="A9767">
        <v>9</v>
      </c>
      <c r="B9767">
        <v>461</v>
      </c>
      <c r="C9767" t="str">
        <f t="shared" si="2221"/>
        <v>36</v>
      </c>
      <c r="D9767">
        <v>6399</v>
      </c>
      <c r="E9767" t="str">
        <f>"7K"</f>
        <v>7K</v>
      </c>
      <c r="F9767" t="str">
        <f>"001"</f>
        <v>001</v>
      </c>
      <c r="G9767">
        <v>9</v>
      </c>
      <c r="H9767" t="str">
        <f t="shared" si="2225"/>
        <v>99</v>
      </c>
      <c r="I9767" t="str">
        <f t="shared" si="2223"/>
        <v>0</v>
      </c>
      <c r="J9767" t="str">
        <f t="shared" si="2224"/>
        <v>00</v>
      </c>
      <c r="K9767">
        <v>20190419</v>
      </c>
      <c r="L9767" t="str">
        <f>"076538"</f>
        <v>076538</v>
      </c>
      <c r="M9767" t="str">
        <f>"58204"</f>
        <v>58204</v>
      </c>
      <c r="N9767" t="s">
        <v>1767</v>
      </c>
      <c r="O9767">
        <v>99.49</v>
      </c>
      <c r="P9767">
        <v>20190418</v>
      </c>
      <c r="Q9767" t="s">
        <v>7056</v>
      </c>
      <c r="R9767" t="s">
        <v>7695</v>
      </c>
      <c r="S9767" t="s">
        <v>7000</v>
      </c>
      <c r="T9767" t="s">
        <v>301</v>
      </c>
    </row>
    <row r="9768" spans="1:20" x14ac:dyDescent="0.25">
      <c r="A9768">
        <v>9</v>
      </c>
      <c r="B9768">
        <v>461</v>
      </c>
      <c r="C9768" t="str">
        <f t="shared" si="2221"/>
        <v>36</v>
      </c>
      <c r="D9768">
        <v>6399</v>
      </c>
      <c r="E9768" t="str">
        <f>"PR"</f>
        <v>PR</v>
      </c>
      <c r="F9768" t="str">
        <f>"104"</f>
        <v>104</v>
      </c>
      <c r="G9768">
        <v>9</v>
      </c>
      <c r="H9768" t="str">
        <f t="shared" si="2225"/>
        <v>99</v>
      </c>
      <c r="I9768" t="str">
        <f t="shared" si="2223"/>
        <v>0</v>
      </c>
      <c r="J9768" t="str">
        <f t="shared" si="2224"/>
        <v>00</v>
      </c>
      <c r="K9768">
        <v>20190419</v>
      </c>
      <c r="L9768" t="str">
        <f>"076541"</f>
        <v>076541</v>
      </c>
      <c r="M9768" t="str">
        <f>"53995"</f>
        <v>53995</v>
      </c>
      <c r="N9768" t="s">
        <v>3989</v>
      </c>
      <c r="O9768">
        <v>30</v>
      </c>
      <c r="P9768">
        <v>20190418</v>
      </c>
      <c r="Q9768" t="s">
        <v>7014</v>
      </c>
      <c r="R9768" t="s">
        <v>4711</v>
      </c>
      <c r="S9768" t="s">
        <v>7000</v>
      </c>
      <c r="T9768" t="s">
        <v>46</v>
      </c>
    </row>
    <row r="9769" spans="1:20" x14ac:dyDescent="0.25">
      <c r="A9769">
        <v>9</v>
      </c>
      <c r="B9769">
        <v>461</v>
      </c>
      <c r="C9769" t="str">
        <f t="shared" si="2221"/>
        <v>36</v>
      </c>
      <c r="D9769">
        <v>6412</v>
      </c>
      <c r="E9769" t="str">
        <f>"7C"</f>
        <v>7C</v>
      </c>
      <c r="F9769" t="str">
        <f>"999"</f>
        <v>999</v>
      </c>
      <c r="G9769">
        <v>9</v>
      </c>
      <c r="H9769" t="str">
        <f t="shared" si="2225"/>
        <v>99</v>
      </c>
      <c r="I9769" t="str">
        <f t="shared" si="2223"/>
        <v>0</v>
      </c>
      <c r="J9769" t="str">
        <f t="shared" si="2224"/>
        <v>00</v>
      </c>
      <c r="K9769">
        <v>20190419</v>
      </c>
      <c r="L9769" t="str">
        <f>"076546"</f>
        <v>076546</v>
      </c>
      <c r="M9769" t="str">
        <f>"81719"</f>
        <v>81719</v>
      </c>
      <c r="N9769" t="s">
        <v>4688</v>
      </c>
      <c r="O9769" s="1">
        <v>6155</v>
      </c>
      <c r="P9769">
        <v>20190418</v>
      </c>
      <c r="Q9769" t="s">
        <v>7691</v>
      </c>
      <c r="R9769" t="s">
        <v>4713</v>
      </c>
      <c r="S9769" t="s">
        <v>7000</v>
      </c>
      <c r="T9769" t="s">
        <v>3622</v>
      </c>
    </row>
    <row r="9770" spans="1:20" x14ac:dyDescent="0.25">
      <c r="A9770">
        <v>9</v>
      </c>
      <c r="B9770">
        <v>461</v>
      </c>
      <c r="C9770" t="str">
        <f t="shared" si="2221"/>
        <v>36</v>
      </c>
      <c r="D9770">
        <v>6399</v>
      </c>
      <c r="E9770" t="str">
        <f>"7C"</f>
        <v>7C</v>
      </c>
      <c r="F9770" t="str">
        <f>"001"</f>
        <v>001</v>
      </c>
      <c r="G9770">
        <v>9</v>
      </c>
      <c r="H9770" t="str">
        <f t="shared" si="2225"/>
        <v>99</v>
      </c>
      <c r="I9770" t="str">
        <f t="shared" si="2223"/>
        <v>0</v>
      </c>
      <c r="J9770" t="str">
        <f t="shared" si="2224"/>
        <v>00</v>
      </c>
      <c r="K9770">
        <v>20190426</v>
      </c>
      <c r="L9770" t="str">
        <f>"076550"</f>
        <v>076550</v>
      </c>
      <c r="M9770" t="str">
        <f>"04410"</f>
        <v>04410</v>
      </c>
      <c r="N9770" t="s">
        <v>410</v>
      </c>
      <c r="O9770">
        <v>52</v>
      </c>
      <c r="P9770">
        <v>20190424</v>
      </c>
      <c r="Q9770" t="s">
        <v>7538</v>
      </c>
      <c r="R9770" t="s">
        <v>4721</v>
      </c>
      <c r="S9770" t="s">
        <v>7000</v>
      </c>
      <c r="T9770" t="s">
        <v>301</v>
      </c>
    </row>
    <row r="9771" spans="1:20" x14ac:dyDescent="0.25">
      <c r="A9771">
        <v>9</v>
      </c>
      <c r="B9771">
        <v>461</v>
      </c>
      <c r="C9771" t="str">
        <f t="shared" si="2221"/>
        <v>36</v>
      </c>
      <c r="D9771">
        <v>6499</v>
      </c>
      <c r="E9771" t="str">
        <f>"GN"</f>
        <v>GN</v>
      </c>
      <c r="F9771" t="str">
        <f>"001"</f>
        <v>001</v>
      </c>
      <c r="G9771">
        <v>9</v>
      </c>
      <c r="H9771" t="str">
        <f t="shared" si="2225"/>
        <v>99</v>
      </c>
      <c r="I9771" t="str">
        <f t="shared" si="2223"/>
        <v>0</v>
      </c>
      <c r="J9771" t="str">
        <f t="shared" si="2224"/>
        <v>00</v>
      </c>
      <c r="K9771">
        <v>20190426</v>
      </c>
      <c r="L9771" t="str">
        <f>"076550"</f>
        <v>076550</v>
      </c>
      <c r="M9771" t="str">
        <f>"04410"</f>
        <v>04410</v>
      </c>
      <c r="N9771" t="s">
        <v>410</v>
      </c>
      <c r="O9771">
        <v>827.37</v>
      </c>
      <c r="P9771">
        <v>20190424</v>
      </c>
      <c r="Q9771" t="s">
        <v>7696</v>
      </c>
      <c r="R9771" t="s">
        <v>7697</v>
      </c>
      <c r="S9771" t="s">
        <v>7000</v>
      </c>
      <c r="T9771" t="s">
        <v>301</v>
      </c>
    </row>
    <row r="9772" spans="1:20" x14ac:dyDescent="0.25">
      <c r="A9772">
        <v>9</v>
      </c>
      <c r="B9772">
        <v>461</v>
      </c>
      <c r="C9772" t="str">
        <f t="shared" si="2221"/>
        <v>36</v>
      </c>
      <c r="D9772">
        <v>6399</v>
      </c>
      <c r="E9772" t="str">
        <f>"GN"</f>
        <v>GN</v>
      </c>
      <c r="F9772" t="str">
        <f>"001"</f>
        <v>001</v>
      </c>
      <c r="G9772">
        <v>9</v>
      </c>
      <c r="H9772" t="str">
        <f t="shared" si="2225"/>
        <v>99</v>
      </c>
      <c r="I9772" t="str">
        <f t="shared" si="2223"/>
        <v>0</v>
      </c>
      <c r="J9772" t="str">
        <f t="shared" si="2224"/>
        <v>00</v>
      </c>
      <c r="K9772">
        <v>20190426</v>
      </c>
      <c r="L9772" t="str">
        <f>"076557"</f>
        <v>076557</v>
      </c>
      <c r="M9772" t="str">
        <f>"10418"</f>
        <v>10418</v>
      </c>
      <c r="N9772" t="s">
        <v>2360</v>
      </c>
      <c r="O9772" s="1">
        <v>2681.09</v>
      </c>
      <c r="P9772">
        <v>20190424</v>
      </c>
      <c r="Q9772" t="s">
        <v>7043</v>
      </c>
      <c r="R9772" t="s">
        <v>7698</v>
      </c>
      <c r="S9772" t="s">
        <v>7000</v>
      </c>
      <c r="T9772" t="s">
        <v>301</v>
      </c>
    </row>
    <row r="9773" spans="1:20" x14ac:dyDescent="0.25">
      <c r="A9773">
        <v>9</v>
      </c>
      <c r="B9773">
        <v>461</v>
      </c>
      <c r="C9773" t="str">
        <f t="shared" si="2221"/>
        <v>36</v>
      </c>
      <c r="D9773">
        <v>6399</v>
      </c>
      <c r="E9773" t="str">
        <f>"Y5"</f>
        <v>Y5</v>
      </c>
      <c r="F9773" t="str">
        <f>"802"</f>
        <v>802</v>
      </c>
      <c r="G9773">
        <v>9</v>
      </c>
      <c r="H9773" t="str">
        <f t="shared" si="2225"/>
        <v>99</v>
      </c>
      <c r="I9773" t="str">
        <f t="shared" si="2223"/>
        <v>0</v>
      </c>
      <c r="J9773" t="str">
        <f t="shared" si="2224"/>
        <v>00</v>
      </c>
      <c r="K9773">
        <v>20190426</v>
      </c>
      <c r="L9773" t="str">
        <f>"076558"</f>
        <v>076558</v>
      </c>
      <c r="M9773" t="str">
        <f>"00420"</f>
        <v>00420</v>
      </c>
      <c r="N9773" t="s">
        <v>7020</v>
      </c>
      <c r="O9773">
        <v>63</v>
      </c>
      <c r="P9773">
        <v>20190425</v>
      </c>
      <c r="Q9773" t="s">
        <v>7021</v>
      </c>
      <c r="R9773" t="s">
        <v>7699</v>
      </c>
      <c r="S9773" t="s">
        <v>7000</v>
      </c>
      <c r="T9773" t="s">
        <v>7023</v>
      </c>
    </row>
    <row r="9774" spans="1:20" x14ac:dyDescent="0.25">
      <c r="A9774">
        <v>9</v>
      </c>
      <c r="B9774">
        <v>461</v>
      </c>
      <c r="C9774" t="str">
        <f t="shared" si="2221"/>
        <v>36</v>
      </c>
      <c r="D9774">
        <v>6399</v>
      </c>
      <c r="E9774" t="str">
        <f>"3A"</f>
        <v>3A</v>
      </c>
      <c r="F9774" t="str">
        <f>"001"</f>
        <v>001</v>
      </c>
      <c r="G9774">
        <v>9</v>
      </c>
      <c r="H9774" t="str">
        <f>"91"</f>
        <v>91</v>
      </c>
      <c r="I9774" t="str">
        <f t="shared" si="2223"/>
        <v>0</v>
      </c>
      <c r="J9774" t="str">
        <f t="shared" si="2224"/>
        <v>00</v>
      </c>
      <c r="K9774">
        <v>20190426</v>
      </c>
      <c r="L9774" t="str">
        <f>"076560"</f>
        <v>076560</v>
      </c>
      <c r="M9774" t="str">
        <f>"08788"</f>
        <v>08788</v>
      </c>
      <c r="N9774" t="s">
        <v>473</v>
      </c>
      <c r="O9774">
        <v>416.77</v>
      </c>
      <c r="P9774">
        <v>20190425</v>
      </c>
      <c r="Q9774" t="s">
        <v>7175</v>
      </c>
      <c r="R9774" t="s">
        <v>7700</v>
      </c>
      <c r="S9774" t="s">
        <v>7000</v>
      </c>
      <c r="T9774" t="s">
        <v>301</v>
      </c>
    </row>
    <row r="9775" spans="1:20" x14ac:dyDescent="0.25">
      <c r="A9775">
        <v>9</v>
      </c>
      <c r="B9775">
        <v>461</v>
      </c>
      <c r="C9775" t="str">
        <f t="shared" si="2221"/>
        <v>36</v>
      </c>
      <c r="D9775">
        <v>6399</v>
      </c>
      <c r="E9775" t="str">
        <f>"3A"</f>
        <v>3A</v>
      </c>
      <c r="F9775" t="str">
        <f>"001"</f>
        <v>001</v>
      </c>
      <c r="G9775">
        <v>9</v>
      </c>
      <c r="H9775" t="str">
        <f>"91"</f>
        <v>91</v>
      </c>
      <c r="I9775" t="str">
        <f t="shared" si="2223"/>
        <v>0</v>
      </c>
      <c r="J9775" t="str">
        <f t="shared" si="2224"/>
        <v>00</v>
      </c>
      <c r="K9775">
        <v>20190426</v>
      </c>
      <c r="L9775" t="str">
        <f>"076560"</f>
        <v>076560</v>
      </c>
      <c r="M9775" t="str">
        <f>"08788"</f>
        <v>08788</v>
      </c>
      <c r="N9775" t="s">
        <v>473</v>
      </c>
      <c r="O9775">
        <v>323.93</v>
      </c>
      <c r="P9775">
        <v>20190425</v>
      </c>
      <c r="Q9775" t="s">
        <v>7175</v>
      </c>
      <c r="R9775" t="s">
        <v>7701</v>
      </c>
      <c r="S9775" t="s">
        <v>7000</v>
      </c>
      <c r="T9775" t="s">
        <v>301</v>
      </c>
    </row>
    <row r="9776" spans="1:20" x14ac:dyDescent="0.25">
      <c r="A9776">
        <v>9</v>
      </c>
      <c r="B9776">
        <v>461</v>
      </c>
      <c r="C9776" t="str">
        <f t="shared" si="2221"/>
        <v>36</v>
      </c>
      <c r="D9776">
        <v>6399</v>
      </c>
      <c r="E9776" t="str">
        <f>"3G"</f>
        <v>3G</v>
      </c>
      <c r="F9776" t="str">
        <f>"001"</f>
        <v>001</v>
      </c>
      <c r="G9776">
        <v>9</v>
      </c>
      <c r="H9776" t="str">
        <f>"91"</f>
        <v>91</v>
      </c>
      <c r="I9776" t="str">
        <f t="shared" si="2223"/>
        <v>0</v>
      </c>
      <c r="J9776" t="str">
        <f t="shared" si="2224"/>
        <v>00</v>
      </c>
      <c r="K9776">
        <v>20190426</v>
      </c>
      <c r="L9776" t="str">
        <f>"076560"</f>
        <v>076560</v>
      </c>
      <c r="M9776" t="str">
        <f>"08788"</f>
        <v>08788</v>
      </c>
      <c r="N9776" t="s">
        <v>473</v>
      </c>
      <c r="O9776">
        <v>716.9</v>
      </c>
      <c r="P9776">
        <v>20190425</v>
      </c>
      <c r="Q9776" t="s">
        <v>7229</v>
      </c>
      <c r="R9776" t="s">
        <v>7702</v>
      </c>
      <c r="S9776" t="s">
        <v>7000</v>
      </c>
      <c r="T9776" t="s">
        <v>301</v>
      </c>
    </row>
    <row r="9777" spans="1:20" x14ac:dyDescent="0.25">
      <c r="A9777">
        <v>9</v>
      </c>
      <c r="B9777">
        <v>461</v>
      </c>
      <c r="C9777" t="str">
        <f t="shared" si="2221"/>
        <v>36</v>
      </c>
      <c r="D9777">
        <v>6399</v>
      </c>
      <c r="E9777" t="str">
        <f>"3P"</f>
        <v>3P</v>
      </c>
      <c r="F9777" t="str">
        <f>"001"</f>
        <v>001</v>
      </c>
      <c r="G9777">
        <v>9</v>
      </c>
      <c r="H9777" t="str">
        <f>"91"</f>
        <v>91</v>
      </c>
      <c r="I9777" t="str">
        <f t="shared" si="2223"/>
        <v>0</v>
      </c>
      <c r="J9777" t="str">
        <f t="shared" si="2224"/>
        <v>00</v>
      </c>
      <c r="K9777">
        <v>20190426</v>
      </c>
      <c r="L9777" t="str">
        <f>"076560"</f>
        <v>076560</v>
      </c>
      <c r="M9777" t="str">
        <f>"08788"</f>
        <v>08788</v>
      </c>
      <c r="N9777" t="s">
        <v>473</v>
      </c>
      <c r="O9777">
        <v>327.99</v>
      </c>
      <c r="P9777">
        <v>20190425</v>
      </c>
      <c r="Q9777" t="s">
        <v>7296</v>
      </c>
      <c r="R9777" t="s">
        <v>1169</v>
      </c>
      <c r="S9777" t="s">
        <v>7000</v>
      </c>
      <c r="T9777" t="s">
        <v>301</v>
      </c>
    </row>
    <row r="9778" spans="1:20" x14ac:dyDescent="0.25">
      <c r="A9778">
        <v>9</v>
      </c>
      <c r="B9778">
        <v>461</v>
      </c>
      <c r="C9778" t="str">
        <f t="shared" si="2221"/>
        <v>36</v>
      </c>
      <c r="D9778">
        <v>6219</v>
      </c>
      <c r="E9778" t="str">
        <f>"3S"</f>
        <v>3S</v>
      </c>
      <c r="F9778" t="str">
        <f>"041"</f>
        <v>041</v>
      </c>
      <c r="G9778">
        <v>9</v>
      </c>
      <c r="H9778" t="str">
        <f>"91"</f>
        <v>91</v>
      </c>
      <c r="I9778" t="str">
        <f t="shared" si="2223"/>
        <v>0</v>
      </c>
      <c r="J9778" t="str">
        <f t="shared" si="2224"/>
        <v>00</v>
      </c>
      <c r="K9778">
        <v>20190426</v>
      </c>
      <c r="L9778" t="str">
        <f>"076562"</f>
        <v>076562</v>
      </c>
      <c r="M9778" t="str">
        <f>"00677"</f>
        <v>00677</v>
      </c>
      <c r="N9778" t="s">
        <v>7352</v>
      </c>
      <c r="O9778">
        <v>40</v>
      </c>
      <c r="P9778">
        <v>20190425</v>
      </c>
      <c r="Q9778" t="s">
        <v>7703</v>
      </c>
      <c r="R9778" t="s">
        <v>7704</v>
      </c>
      <c r="S9778" t="s">
        <v>7000</v>
      </c>
      <c r="T9778" t="s">
        <v>106</v>
      </c>
    </row>
    <row r="9779" spans="1:20" x14ac:dyDescent="0.25">
      <c r="A9779">
        <v>9</v>
      </c>
      <c r="B9779">
        <v>461</v>
      </c>
      <c r="C9779" t="str">
        <f t="shared" si="2221"/>
        <v>36</v>
      </c>
      <c r="D9779">
        <v>6399</v>
      </c>
      <c r="E9779" t="str">
        <f>"PR"</f>
        <v>PR</v>
      </c>
      <c r="F9779" t="str">
        <f>"104"</f>
        <v>104</v>
      </c>
      <c r="G9779">
        <v>9</v>
      </c>
      <c r="H9779" t="str">
        <f>"99"</f>
        <v>99</v>
      </c>
      <c r="I9779" t="str">
        <f t="shared" si="2223"/>
        <v>0</v>
      </c>
      <c r="J9779" t="str">
        <f t="shared" si="2224"/>
        <v>00</v>
      </c>
      <c r="K9779">
        <v>20190426</v>
      </c>
      <c r="L9779" t="str">
        <f>"076565"</f>
        <v>076565</v>
      </c>
      <c r="M9779" t="str">
        <f>"51346"</f>
        <v>51346</v>
      </c>
      <c r="N9779" t="s">
        <v>418</v>
      </c>
      <c r="O9779">
        <v>130</v>
      </c>
      <c r="P9779">
        <v>20190425</v>
      </c>
      <c r="Q9779" t="s">
        <v>7014</v>
      </c>
      <c r="R9779" t="s">
        <v>7705</v>
      </c>
      <c r="S9779" t="s">
        <v>7000</v>
      </c>
      <c r="T9779" t="s">
        <v>46</v>
      </c>
    </row>
    <row r="9780" spans="1:20" x14ac:dyDescent="0.25">
      <c r="A9780">
        <v>9</v>
      </c>
      <c r="B9780">
        <v>461</v>
      </c>
      <c r="C9780" t="str">
        <f t="shared" si="2221"/>
        <v>36</v>
      </c>
      <c r="D9780">
        <v>6399</v>
      </c>
      <c r="E9780" t="str">
        <f>"PR"</f>
        <v>PR</v>
      </c>
      <c r="F9780" t="str">
        <f>"104"</f>
        <v>104</v>
      </c>
      <c r="G9780">
        <v>9</v>
      </c>
      <c r="H9780" t="str">
        <f>"99"</f>
        <v>99</v>
      </c>
      <c r="I9780" t="str">
        <f t="shared" si="2223"/>
        <v>0</v>
      </c>
      <c r="J9780" t="str">
        <f t="shared" si="2224"/>
        <v>00</v>
      </c>
      <c r="K9780">
        <v>20190426</v>
      </c>
      <c r="L9780" t="str">
        <f>"076570"</f>
        <v>076570</v>
      </c>
      <c r="M9780" t="str">
        <f>"21514"</f>
        <v>21514</v>
      </c>
      <c r="N9780" t="s">
        <v>5161</v>
      </c>
      <c r="O9780">
        <v>230</v>
      </c>
      <c r="P9780">
        <v>20190425</v>
      </c>
      <c r="Q9780" t="s">
        <v>7014</v>
      </c>
      <c r="R9780" t="s">
        <v>5199</v>
      </c>
      <c r="S9780" t="s">
        <v>7000</v>
      </c>
      <c r="T9780" t="s">
        <v>46</v>
      </c>
    </row>
    <row r="9781" spans="1:20" x14ac:dyDescent="0.25">
      <c r="A9781">
        <v>9</v>
      </c>
      <c r="B9781">
        <v>461</v>
      </c>
      <c r="C9781" t="str">
        <f t="shared" si="2221"/>
        <v>36</v>
      </c>
      <c r="D9781">
        <v>6399</v>
      </c>
      <c r="E9781" t="str">
        <f>"PR"</f>
        <v>PR</v>
      </c>
      <c r="F9781" t="str">
        <f>"104"</f>
        <v>104</v>
      </c>
      <c r="G9781">
        <v>9</v>
      </c>
      <c r="H9781" t="str">
        <f>"99"</f>
        <v>99</v>
      </c>
      <c r="I9781" t="str">
        <f t="shared" si="2223"/>
        <v>0</v>
      </c>
      <c r="J9781" t="str">
        <f t="shared" si="2224"/>
        <v>00</v>
      </c>
      <c r="K9781">
        <v>20190426</v>
      </c>
      <c r="L9781" t="str">
        <f>"076577"</f>
        <v>076577</v>
      </c>
      <c r="M9781" t="str">
        <f>"29090"</f>
        <v>29090</v>
      </c>
      <c r="N9781" t="s">
        <v>7706</v>
      </c>
      <c r="O9781" s="1">
        <v>5750</v>
      </c>
      <c r="P9781">
        <v>20190425</v>
      </c>
      <c r="Q9781" t="s">
        <v>7014</v>
      </c>
      <c r="R9781" t="s">
        <v>7707</v>
      </c>
      <c r="S9781" t="s">
        <v>7000</v>
      </c>
      <c r="T9781" t="s">
        <v>46</v>
      </c>
    </row>
    <row r="9782" spans="1:20" x14ac:dyDescent="0.25">
      <c r="A9782">
        <v>9</v>
      </c>
      <c r="B9782">
        <v>461</v>
      </c>
      <c r="C9782" t="str">
        <f t="shared" si="2221"/>
        <v>36</v>
      </c>
      <c r="D9782">
        <v>6399</v>
      </c>
      <c r="E9782" t="str">
        <f>"PR"</f>
        <v>PR</v>
      </c>
      <c r="F9782" t="str">
        <f>"104"</f>
        <v>104</v>
      </c>
      <c r="G9782">
        <v>9</v>
      </c>
      <c r="H9782" t="str">
        <f>"99"</f>
        <v>99</v>
      </c>
      <c r="I9782" t="str">
        <f t="shared" si="2223"/>
        <v>0</v>
      </c>
      <c r="J9782" t="str">
        <f t="shared" si="2224"/>
        <v>00</v>
      </c>
      <c r="K9782">
        <v>20190426</v>
      </c>
      <c r="L9782" t="str">
        <f>"076577"</f>
        <v>076577</v>
      </c>
      <c r="M9782" t="str">
        <f>"29090"</f>
        <v>29090</v>
      </c>
      <c r="N9782" t="s">
        <v>7706</v>
      </c>
      <c r="O9782">
        <v>575</v>
      </c>
      <c r="P9782">
        <v>20190425</v>
      </c>
      <c r="Q9782" t="s">
        <v>7014</v>
      </c>
      <c r="R9782" t="s">
        <v>7707</v>
      </c>
      <c r="S9782" t="s">
        <v>7000</v>
      </c>
      <c r="T9782" t="s">
        <v>46</v>
      </c>
    </row>
    <row r="9783" spans="1:20" x14ac:dyDescent="0.25">
      <c r="A9783">
        <v>9</v>
      </c>
      <c r="B9783">
        <v>461</v>
      </c>
      <c r="C9783" t="str">
        <f t="shared" si="2221"/>
        <v>36</v>
      </c>
      <c r="D9783">
        <v>6399</v>
      </c>
      <c r="E9783" t="str">
        <f>"3F"</f>
        <v>3F</v>
      </c>
      <c r="F9783" t="str">
        <f>"041"</f>
        <v>041</v>
      </c>
      <c r="G9783">
        <v>9</v>
      </c>
      <c r="H9783" t="str">
        <f>"91"</f>
        <v>91</v>
      </c>
      <c r="I9783" t="str">
        <f t="shared" si="2223"/>
        <v>0</v>
      </c>
      <c r="J9783" t="str">
        <f t="shared" si="2224"/>
        <v>00</v>
      </c>
      <c r="K9783">
        <v>20190426</v>
      </c>
      <c r="L9783" t="str">
        <f>"076578"</f>
        <v>076578</v>
      </c>
      <c r="M9783" t="str">
        <f>"29528"</f>
        <v>29528</v>
      </c>
      <c r="N9783" t="s">
        <v>7295</v>
      </c>
      <c r="O9783" s="1">
        <v>2553</v>
      </c>
      <c r="P9783">
        <v>20190425</v>
      </c>
      <c r="Q9783" t="s">
        <v>7708</v>
      </c>
      <c r="R9783" t="s">
        <v>7709</v>
      </c>
      <c r="S9783" t="s">
        <v>7000</v>
      </c>
      <c r="T9783" t="s">
        <v>106</v>
      </c>
    </row>
    <row r="9784" spans="1:20" x14ac:dyDescent="0.25">
      <c r="A9784">
        <v>9</v>
      </c>
      <c r="B9784">
        <v>461</v>
      </c>
      <c r="C9784" t="str">
        <f t="shared" si="2221"/>
        <v>36</v>
      </c>
      <c r="D9784">
        <v>6412</v>
      </c>
      <c r="E9784" t="str">
        <f>"93"</f>
        <v>93</v>
      </c>
      <c r="F9784" t="str">
        <f>"001"</f>
        <v>001</v>
      </c>
      <c r="G9784">
        <v>9</v>
      </c>
      <c r="H9784" t="str">
        <f>"99"</f>
        <v>99</v>
      </c>
      <c r="I9784" t="str">
        <f t="shared" si="2223"/>
        <v>0</v>
      </c>
      <c r="J9784" t="str">
        <f t="shared" si="2224"/>
        <v>00</v>
      </c>
      <c r="K9784">
        <v>20190426</v>
      </c>
      <c r="L9784" t="str">
        <f>"076582"</f>
        <v>076582</v>
      </c>
      <c r="M9784" t="str">
        <f>"00542"</f>
        <v>00542</v>
      </c>
      <c r="N9784" t="s">
        <v>7710</v>
      </c>
      <c r="O9784">
        <v>185</v>
      </c>
      <c r="P9784">
        <v>20190425</v>
      </c>
      <c r="Q9784" t="s">
        <v>7711</v>
      </c>
      <c r="R9784" t="s">
        <v>7712</v>
      </c>
      <c r="S9784" t="s">
        <v>7000</v>
      </c>
      <c r="T9784" t="s">
        <v>301</v>
      </c>
    </row>
    <row r="9785" spans="1:20" x14ac:dyDescent="0.25">
      <c r="A9785">
        <v>9</v>
      </c>
      <c r="B9785">
        <v>461</v>
      </c>
      <c r="C9785" t="str">
        <f t="shared" si="2221"/>
        <v>36</v>
      </c>
      <c r="D9785">
        <v>6219</v>
      </c>
      <c r="E9785" t="str">
        <f>"3S"</f>
        <v>3S</v>
      </c>
      <c r="F9785" t="str">
        <f>"041"</f>
        <v>041</v>
      </c>
      <c r="G9785">
        <v>9</v>
      </c>
      <c r="H9785" t="str">
        <f>"91"</f>
        <v>91</v>
      </c>
      <c r="I9785" t="str">
        <f t="shared" si="2223"/>
        <v>0</v>
      </c>
      <c r="J9785" t="str">
        <f t="shared" si="2224"/>
        <v>00</v>
      </c>
      <c r="K9785">
        <v>20190426</v>
      </c>
      <c r="L9785" t="str">
        <f>"076586"</f>
        <v>076586</v>
      </c>
      <c r="M9785" t="str">
        <f>"40790"</f>
        <v>40790</v>
      </c>
      <c r="N9785" t="s">
        <v>983</v>
      </c>
      <c r="O9785">
        <v>35</v>
      </c>
      <c r="P9785">
        <v>20190425</v>
      </c>
      <c r="Q9785" t="s">
        <v>7703</v>
      </c>
      <c r="R9785" t="s">
        <v>7704</v>
      </c>
      <c r="S9785" t="s">
        <v>7000</v>
      </c>
      <c r="T9785" t="s">
        <v>106</v>
      </c>
    </row>
    <row r="9786" spans="1:20" x14ac:dyDescent="0.25">
      <c r="A9786">
        <v>9</v>
      </c>
      <c r="B9786">
        <v>461</v>
      </c>
      <c r="C9786" t="str">
        <f t="shared" si="2221"/>
        <v>36</v>
      </c>
      <c r="D9786">
        <v>6499</v>
      </c>
      <c r="E9786" t="str">
        <f>"09"</f>
        <v>09</v>
      </c>
      <c r="F9786" t="str">
        <f>"942"</f>
        <v>942</v>
      </c>
      <c r="G9786">
        <v>9</v>
      </c>
      <c r="H9786" t="str">
        <f>"99"</f>
        <v>99</v>
      </c>
      <c r="I9786" t="str">
        <f>"1"</f>
        <v>1</v>
      </c>
      <c r="J9786" t="str">
        <f>"88"</f>
        <v>88</v>
      </c>
      <c r="K9786">
        <v>20190426</v>
      </c>
      <c r="L9786" t="str">
        <f>"076599"</f>
        <v>076599</v>
      </c>
      <c r="M9786" t="str">
        <f>"26870"</f>
        <v>26870</v>
      </c>
      <c r="N9786" t="s">
        <v>7713</v>
      </c>
      <c r="O9786">
        <v>560</v>
      </c>
      <c r="P9786">
        <v>20190425</v>
      </c>
      <c r="Q9786" t="s">
        <v>7714</v>
      </c>
      <c r="R9786" t="s">
        <v>7715</v>
      </c>
      <c r="S9786" t="s">
        <v>7000</v>
      </c>
      <c r="T9786" t="s">
        <v>1831</v>
      </c>
    </row>
    <row r="9787" spans="1:20" x14ac:dyDescent="0.25">
      <c r="A9787">
        <v>9</v>
      </c>
      <c r="B9787">
        <v>461</v>
      </c>
      <c r="C9787" t="str">
        <f t="shared" si="2221"/>
        <v>36</v>
      </c>
      <c r="D9787">
        <v>6219</v>
      </c>
      <c r="E9787" t="str">
        <f>"3S"</f>
        <v>3S</v>
      </c>
      <c r="F9787" t="str">
        <f>"041"</f>
        <v>041</v>
      </c>
      <c r="G9787">
        <v>9</v>
      </c>
      <c r="H9787" t="str">
        <f>"91"</f>
        <v>91</v>
      </c>
      <c r="I9787" t="str">
        <f t="shared" ref="I9787:I9797" si="2226">"0"</f>
        <v>0</v>
      </c>
      <c r="J9787" t="str">
        <f t="shared" ref="J9787:J9797" si="2227">"00"</f>
        <v>00</v>
      </c>
      <c r="K9787">
        <v>20190426</v>
      </c>
      <c r="L9787" t="str">
        <f>"076601"</f>
        <v>076601</v>
      </c>
      <c r="M9787" t="str">
        <f>"00811"</f>
        <v>00811</v>
      </c>
      <c r="N9787" t="s">
        <v>7716</v>
      </c>
      <c r="O9787">
        <v>40</v>
      </c>
      <c r="P9787">
        <v>20190425</v>
      </c>
      <c r="Q9787" t="s">
        <v>7703</v>
      </c>
      <c r="R9787" t="s">
        <v>7704</v>
      </c>
      <c r="S9787" t="s">
        <v>7000</v>
      </c>
      <c r="T9787" t="s">
        <v>106</v>
      </c>
    </row>
    <row r="9788" spans="1:20" x14ac:dyDescent="0.25">
      <c r="A9788">
        <v>9</v>
      </c>
      <c r="B9788">
        <v>461</v>
      </c>
      <c r="C9788" t="str">
        <f t="shared" si="2221"/>
        <v>36</v>
      </c>
      <c r="D9788">
        <v>6219</v>
      </c>
      <c r="E9788" t="str">
        <f>"3S"</f>
        <v>3S</v>
      </c>
      <c r="F9788" t="str">
        <f>"041"</f>
        <v>041</v>
      </c>
      <c r="G9788">
        <v>9</v>
      </c>
      <c r="H9788" t="str">
        <f>"91"</f>
        <v>91</v>
      </c>
      <c r="I9788" t="str">
        <f t="shared" si="2226"/>
        <v>0</v>
      </c>
      <c r="J9788" t="str">
        <f t="shared" si="2227"/>
        <v>00</v>
      </c>
      <c r="K9788">
        <v>20190426</v>
      </c>
      <c r="L9788" t="str">
        <f>"076605"</f>
        <v>076605</v>
      </c>
      <c r="M9788" t="str">
        <f>"54558"</f>
        <v>54558</v>
      </c>
      <c r="N9788" t="s">
        <v>632</v>
      </c>
      <c r="O9788">
        <v>90</v>
      </c>
      <c r="P9788">
        <v>20190425</v>
      </c>
      <c r="Q9788" t="s">
        <v>7703</v>
      </c>
      <c r="R9788" t="s">
        <v>7704</v>
      </c>
      <c r="S9788" t="s">
        <v>7000</v>
      </c>
      <c r="T9788" t="s">
        <v>106</v>
      </c>
    </row>
    <row r="9789" spans="1:20" x14ac:dyDescent="0.25">
      <c r="A9789">
        <v>9</v>
      </c>
      <c r="B9789">
        <v>461</v>
      </c>
      <c r="C9789" t="str">
        <f t="shared" si="2221"/>
        <v>36</v>
      </c>
      <c r="D9789">
        <v>6399</v>
      </c>
      <c r="E9789" t="str">
        <f>"61"</f>
        <v>61</v>
      </c>
      <c r="F9789" t="str">
        <f>"101"</f>
        <v>101</v>
      </c>
      <c r="G9789">
        <v>9</v>
      </c>
      <c r="H9789" t="str">
        <f>"99"</f>
        <v>99</v>
      </c>
      <c r="I9789" t="str">
        <f t="shared" si="2226"/>
        <v>0</v>
      </c>
      <c r="J9789" t="str">
        <f t="shared" si="2227"/>
        <v>00</v>
      </c>
      <c r="K9789">
        <v>20190426</v>
      </c>
      <c r="L9789" t="str">
        <f>"076608"</f>
        <v>076608</v>
      </c>
      <c r="M9789" t="str">
        <f>"56564"</f>
        <v>56564</v>
      </c>
      <c r="N9789" t="s">
        <v>4765</v>
      </c>
      <c r="O9789">
        <v>367.89</v>
      </c>
      <c r="P9789">
        <v>20190425</v>
      </c>
      <c r="Q9789" t="s">
        <v>7007</v>
      </c>
      <c r="R9789" t="s">
        <v>7717</v>
      </c>
      <c r="S9789" t="s">
        <v>7000</v>
      </c>
      <c r="T9789" t="s">
        <v>1479</v>
      </c>
    </row>
    <row r="9790" spans="1:20" x14ac:dyDescent="0.25">
      <c r="A9790">
        <v>9</v>
      </c>
      <c r="B9790">
        <v>461</v>
      </c>
      <c r="C9790" t="str">
        <f t="shared" si="2221"/>
        <v>36</v>
      </c>
      <c r="D9790">
        <v>6399</v>
      </c>
      <c r="E9790" t="str">
        <f>"GN"</f>
        <v>GN</v>
      </c>
      <c r="F9790" t="str">
        <f>"001"</f>
        <v>001</v>
      </c>
      <c r="G9790">
        <v>9</v>
      </c>
      <c r="H9790" t="str">
        <f>"99"</f>
        <v>99</v>
      </c>
      <c r="I9790" t="str">
        <f t="shared" si="2226"/>
        <v>0</v>
      </c>
      <c r="J9790" t="str">
        <f t="shared" si="2227"/>
        <v>00</v>
      </c>
      <c r="K9790">
        <v>20190426</v>
      </c>
      <c r="L9790" t="str">
        <f>"076608"</f>
        <v>076608</v>
      </c>
      <c r="M9790" t="str">
        <f>"56564"</f>
        <v>56564</v>
      </c>
      <c r="N9790" t="s">
        <v>4765</v>
      </c>
      <c r="O9790">
        <v>475.12</v>
      </c>
      <c r="P9790">
        <v>20190425</v>
      </c>
      <c r="Q9790" t="s">
        <v>7043</v>
      </c>
      <c r="R9790" t="s">
        <v>7718</v>
      </c>
      <c r="S9790" t="s">
        <v>7000</v>
      </c>
      <c r="T9790" t="s">
        <v>301</v>
      </c>
    </row>
    <row r="9791" spans="1:20" x14ac:dyDescent="0.25">
      <c r="A9791">
        <v>9</v>
      </c>
      <c r="B9791">
        <v>461</v>
      </c>
      <c r="C9791" t="str">
        <f t="shared" si="2221"/>
        <v>36</v>
      </c>
      <c r="D9791">
        <v>6399</v>
      </c>
      <c r="E9791" t="str">
        <f>"30"</f>
        <v>30</v>
      </c>
      <c r="F9791" t="str">
        <f>"002"</f>
        <v>002</v>
      </c>
      <c r="G9791">
        <v>9</v>
      </c>
      <c r="H9791" t="str">
        <f>"99"</f>
        <v>99</v>
      </c>
      <c r="I9791" t="str">
        <f t="shared" si="2226"/>
        <v>0</v>
      </c>
      <c r="J9791" t="str">
        <f t="shared" si="2227"/>
        <v>00</v>
      </c>
      <c r="K9791">
        <v>20190426</v>
      </c>
      <c r="L9791" t="str">
        <f>"076619"</f>
        <v>076619</v>
      </c>
      <c r="M9791" t="str">
        <f>"65106"</f>
        <v>65106</v>
      </c>
      <c r="N9791" t="s">
        <v>1175</v>
      </c>
      <c r="O9791">
        <v>404.62</v>
      </c>
      <c r="P9791">
        <v>20190425</v>
      </c>
      <c r="Q9791" t="s">
        <v>7125</v>
      </c>
      <c r="R9791" t="s">
        <v>7136</v>
      </c>
      <c r="S9791" t="s">
        <v>7000</v>
      </c>
      <c r="T9791" t="s">
        <v>1485</v>
      </c>
    </row>
    <row r="9792" spans="1:20" x14ac:dyDescent="0.25">
      <c r="A9792">
        <v>9</v>
      </c>
      <c r="B9792">
        <v>461</v>
      </c>
      <c r="C9792" t="str">
        <f t="shared" si="2221"/>
        <v>36</v>
      </c>
      <c r="D9792">
        <v>6399</v>
      </c>
      <c r="E9792" t="str">
        <f>"CS"</f>
        <v>CS</v>
      </c>
      <c r="F9792" t="str">
        <f>"001"</f>
        <v>001</v>
      </c>
      <c r="G9792">
        <v>9</v>
      </c>
      <c r="H9792" t="str">
        <f>"91"</f>
        <v>91</v>
      </c>
      <c r="I9792" t="str">
        <f t="shared" si="2226"/>
        <v>0</v>
      </c>
      <c r="J9792" t="str">
        <f t="shared" si="2227"/>
        <v>00</v>
      </c>
      <c r="K9792">
        <v>20190426</v>
      </c>
      <c r="L9792" t="str">
        <f>"076619"</f>
        <v>076619</v>
      </c>
      <c r="M9792" t="str">
        <f>"65106"</f>
        <v>65106</v>
      </c>
      <c r="N9792" t="s">
        <v>1175</v>
      </c>
      <c r="O9792">
        <v>473.45</v>
      </c>
      <c r="P9792">
        <v>20190425</v>
      </c>
      <c r="Q9792" t="s">
        <v>6998</v>
      </c>
      <c r="R9792" t="s">
        <v>6999</v>
      </c>
      <c r="S9792" t="s">
        <v>7000</v>
      </c>
      <c r="T9792" t="s">
        <v>301</v>
      </c>
    </row>
    <row r="9793" spans="1:20" x14ac:dyDescent="0.25">
      <c r="A9793">
        <v>9</v>
      </c>
      <c r="B9793">
        <v>461</v>
      </c>
      <c r="C9793" t="str">
        <f t="shared" si="2221"/>
        <v>36</v>
      </c>
      <c r="D9793">
        <v>6399</v>
      </c>
      <c r="E9793" t="str">
        <f>"CS"</f>
        <v>CS</v>
      </c>
      <c r="F9793" t="str">
        <f>"001"</f>
        <v>001</v>
      </c>
      <c r="G9793">
        <v>9</v>
      </c>
      <c r="H9793" t="str">
        <f>"91"</f>
        <v>91</v>
      </c>
      <c r="I9793" t="str">
        <f t="shared" si="2226"/>
        <v>0</v>
      </c>
      <c r="J9793" t="str">
        <f t="shared" si="2227"/>
        <v>00</v>
      </c>
      <c r="K9793">
        <v>20190426</v>
      </c>
      <c r="L9793" t="str">
        <f>"076619"</f>
        <v>076619</v>
      </c>
      <c r="M9793" t="str">
        <f>"65106"</f>
        <v>65106</v>
      </c>
      <c r="N9793" t="s">
        <v>1175</v>
      </c>
      <c r="O9793">
        <v>168.3</v>
      </c>
      <c r="P9793">
        <v>20190425</v>
      </c>
      <c r="Q9793" t="s">
        <v>6998</v>
      </c>
      <c r="R9793" t="s">
        <v>6999</v>
      </c>
      <c r="S9793" t="s">
        <v>7000</v>
      </c>
      <c r="T9793" t="s">
        <v>301</v>
      </c>
    </row>
    <row r="9794" spans="1:20" x14ac:dyDescent="0.25">
      <c r="A9794">
        <v>9</v>
      </c>
      <c r="B9794">
        <v>461</v>
      </c>
      <c r="C9794" t="str">
        <f t="shared" si="2221"/>
        <v>36</v>
      </c>
      <c r="D9794">
        <v>6399</v>
      </c>
      <c r="E9794" t="str">
        <f>"CS"</f>
        <v>CS</v>
      </c>
      <c r="F9794" t="str">
        <f>"001"</f>
        <v>001</v>
      </c>
      <c r="G9794">
        <v>9</v>
      </c>
      <c r="H9794" t="str">
        <f>"91"</f>
        <v>91</v>
      </c>
      <c r="I9794" t="str">
        <f t="shared" si="2226"/>
        <v>0</v>
      </c>
      <c r="J9794" t="str">
        <f t="shared" si="2227"/>
        <v>00</v>
      </c>
      <c r="K9794">
        <v>20190426</v>
      </c>
      <c r="L9794" t="str">
        <f>"076619"</f>
        <v>076619</v>
      </c>
      <c r="M9794" t="str">
        <f>"65106"</f>
        <v>65106</v>
      </c>
      <c r="N9794" t="s">
        <v>1175</v>
      </c>
      <c r="O9794">
        <v>245.92</v>
      </c>
      <c r="P9794">
        <v>20190425</v>
      </c>
      <c r="Q9794" t="s">
        <v>6998</v>
      </c>
      <c r="R9794" t="s">
        <v>6999</v>
      </c>
      <c r="S9794" t="s">
        <v>7000</v>
      </c>
      <c r="T9794" t="s">
        <v>301</v>
      </c>
    </row>
    <row r="9795" spans="1:20" x14ac:dyDescent="0.25">
      <c r="A9795">
        <v>9</v>
      </c>
      <c r="B9795">
        <v>461</v>
      </c>
      <c r="C9795" t="str">
        <f t="shared" si="2221"/>
        <v>36</v>
      </c>
      <c r="D9795">
        <v>6399</v>
      </c>
      <c r="E9795" t="str">
        <f>"PR"</f>
        <v>PR</v>
      </c>
      <c r="F9795" t="str">
        <f>"104"</f>
        <v>104</v>
      </c>
      <c r="G9795">
        <v>9</v>
      </c>
      <c r="H9795" t="str">
        <f>"99"</f>
        <v>99</v>
      </c>
      <c r="I9795" t="str">
        <f t="shared" si="2226"/>
        <v>0</v>
      </c>
      <c r="J9795" t="str">
        <f t="shared" si="2227"/>
        <v>00</v>
      </c>
      <c r="K9795">
        <v>20190426</v>
      </c>
      <c r="L9795" t="str">
        <f>"076619"</f>
        <v>076619</v>
      </c>
      <c r="M9795" t="str">
        <f>"65106"</f>
        <v>65106</v>
      </c>
      <c r="N9795" t="s">
        <v>1175</v>
      </c>
      <c r="O9795">
        <v>305.14999999999998</v>
      </c>
      <c r="P9795">
        <v>20190425</v>
      </c>
      <c r="Q9795" t="s">
        <v>7014</v>
      </c>
      <c r="R9795" t="s">
        <v>7314</v>
      </c>
      <c r="S9795" t="s">
        <v>7000</v>
      </c>
      <c r="T9795" t="s">
        <v>46</v>
      </c>
    </row>
    <row r="9796" spans="1:20" x14ac:dyDescent="0.25">
      <c r="A9796">
        <v>9</v>
      </c>
      <c r="B9796">
        <v>461</v>
      </c>
      <c r="C9796" t="str">
        <f t="shared" si="2221"/>
        <v>36</v>
      </c>
      <c r="D9796">
        <v>6412</v>
      </c>
      <c r="E9796" t="str">
        <f>"H2"</f>
        <v>H2</v>
      </c>
      <c r="F9796" t="str">
        <f>"001"</f>
        <v>001</v>
      </c>
      <c r="G9796">
        <v>9</v>
      </c>
      <c r="H9796" t="str">
        <f>"99"</f>
        <v>99</v>
      </c>
      <c r="I9796" t="str">
        <f t="shared" si="2226"/>
        <v>0</v>
      </c>
      <c r="J9796" t="str">
        <f t="shared" si="2227"/>
        <v>00</v>
      </c>
      <c r="K9796">
        <v>20190426</v>
      </c>
      <c r="L9796" t="str">
        <f>"076621"</f>
        <v>076621</v>
      </c>
      <c r="M9796" t="str">
        <f>"00417"</f>
        <v>00417</v>
      </c>
      <c r="N9796" t="s">
        <v>7719</v>
      </c>
      <c r="O9796" s="1">
        <v>3120</v>
      </c>
      <c r="P9796">
        <v>20190425</v>
      </c>
      <c r="Q9796" t="s">
        <v>7379</v>
      </c>
      <c r="R9796" t="s">
        <v>7720</v>
      </c>
      <c r="S9796" t="s">
        <v>7000</v>
      </c>
      <c r="T9796" t="s">
        <v>301</v>
      </c>
    </row>
    <row r="9797" spans="1:20" x14ac:dyDescent="0.25">
      <c r="A9797">
        <v>9</v>
      </c>
      <c r="B9797">
        <v>461</v>
      </c>
      <c r="C9797" t="str">
        <f t="shared" si="2221"/>
        <v>36</v>
      </c>
      <c r="D9797">
        <v>6399</v>
      </c>
      <c r="E9797" t="str">
        <f>"44"</f>
        <v>44</v>
      </c>
      <c r="F9797" t="str">
        <f>"104"</f>
        <v>104</v>
      </c>
      <c r="G9797">
        <v>9</v>
      </c>
      <c r="H9797" t="str">
        <f>"99"</f>
        <v>99</v>
      </c>
      <c r="I9797" t="str">
        <f t="shared" si="2226"/>
        <v>0</v>
      </c>
      <c r="J9797" t="str">
        <f t="shared" si="2227"/>
        <v>00</v>
      </c>
      <c r="K9797">
        <v>20190426</v>
      </c>
      <c r="L9797" t="str">
        <f>"076624"</f>
        <v>076624</v>
      </c>
      <c r="M9797" t="str">
        <f>"73875"</f>
        <v>73875</v>
      </c>
      <c r="N9797" t="s">
        <v>7721</v>
      </c>
      <c r="O9797" s="1">
        <v>1344.27</v>
      </c>
      <c r="P9797">
        <v>20190425</v>
      </c>
      <c r="Q9797" t="s">
        <v>7104</v>
      </c>
      <c r="R9797" t="s">
        <v>4261</v>
      </c>
      <c r="S9797" t="s">
        <v>7000</v>
      </c>
      <c r="T9797" t="s">
        <v>46</v>
      </c>
    </row>
    <row r="9798" spans="1:20" x14ac:dyDescent="0.25">
      <c r="A9798">
        <v>9</v>
      </c>
      <c r="B9798">
        <v>461</v>
      </c>
      <c r="C9798" t="str">
        <f t="shared" si="2221"/>
        <v>36</v>
      </c>
      <c r="D9798">
        <v>6399</v>
      </c>
      <c r="E9798" t="str">
        <f>"09"</f>
        <v>09</v>
      </c>
      <c r="F9798" t="str">
        <f>"942"</f>
        <v>942</v>
      </c>
      <c r="G9798">
        <v>9</v>
      </c>
      <c r="H9798" t="str">
        <f>"99"</f>
        <v>99</v>
      </c>
      <c r="I9798" t="str">
        <f>"1"</f>
        <v>1</v>
      </c>
      <c r="J9798" t="str">
        <f>"88"</f>
        <v>88</v>
      </c>
      <c r="K9798">
        <v>20190426</v>
      </c>
      <c r="L9798" t="str">
        <f t="shared" ref="L9798:L9803" si="2228">"076629"</f>
        <v>076629</v>
      </c>
      <c r="M9798" t="str">
        <f t="shared" ref="M9798:M9803" si="2229">"81303"</f>
        <v>81303</v>
      </c>
      <c r="N9798" t="s">
        <v>66</v>
      </c>
      <c r="O9798">
        <v>98.83</v>
      </c>
      <c r="P9798">
        <v>20190425</v>
      </c>
      <c r="Q9798" t="s">
        <v>7608</v>
      </c>
      <c r="R9798" t="s">
        <v>7722</v>
      </c>
      <c r="S9798" t="s">
        <v>7000</v>
      </c>
      <c r="T9798" t="s">
        <v>1831</v>
      </c>
    </row>
    <row r="9799" spans="1:20" x14ac:dyDescent="0.25">
      <c r="A9799">
        <v>9</v>
      </c>
      <c r="B9799">
        <v>461</v>
      </c>
      <c r="C9799" t="str">
        <f t="shared" si="2221"/>
        <v>36</v>
      </c>
      <c r="D9799">
        <v>6399</v>
      </c>
      <c r="E9799" t="str">
        <f>"3A"</f>
        <v>3A</v>
      </c>
      <c r="F9799" t="str">
        <f>"001"</f>
        <v>001</v>
      </c>
      <c r="G9799">
        <v>9</v>
      </c>
      <c r="H9799" t="str">
        <f>"91"</f>
        <v>91</v>
      </c>
      <c r="I9799" t="str">
        <f t="shared" ref="I9799:I9830" si="2230">"0"</f>
        <v>0</v>
      </c>
      <c r="J9799" t="str">
        <f t="shared" ref="J9799:J9841" si="2231">"00"</f>
        <v>00</v>
      </c>
      <c r="K9799">
        <v>20190426</v>
      </c>
      <c r="L9799" t="str">
        <f t="shared" si="2228"/>
        <v>076629</v>
      </c>
      <c r="M9799" t="str">
        <f t="shared" si="2229"/>
        <v>81303</v>
      </c>
      <c r="N9799" t="s">
        <v>66</v>
      </c>
      <c r="O9799" s="1">
        <v>1125.0999999999999</v>
      </c>
      <c r="P9799">
        <v>20190425</v>
      </c>
      <c r="Q9799" t="s">
        <v>7175</v>
      </c>
      <c r="R9799" t="s">
        <v>6324</v>
      </c>
      <c r="S9799" t="s">
        <v>7000</v>
      </c>
      <c r="T9799" t="s">
        <v>301</v>
      </c>
    </row>
    <row r="9800" spans="1:20" x14ac:dyDescent="0.25">
      <c r="A9800">
        <v>9</v>
      </c>
      <c r="B9800">
        <v>461</v>
      </c>
      <c r="C9800" t="str">
        <f t="shared" si="2221"/>
        <v>36</v>
      </c>
      <c r="D9800">
        <v>6399</v>
      </c>
      <c r="E9800" t="str">
        <f>"3D"</f>
        <v>3D</v>
      </c>
      <c r="F9800" t="str">
        <f>"041"</f>
        <v>041</v>
      </c>
      <c r="G9800">
        <v>9</v>
      </c>
      <c r="H9800" t="str">
        <f>"91"</f>
        <v>91</v>
      </c>
      <c r="I9800" t="str">
        <f t="shared" si="2230"/>
        <v>0</v>
      </c>
      <c r="J9800" t="str">
        <f t="shared" si="2231"/>
        <v>00</v>
      </c>
      <c r="K9800">
        <v>20190426</v>
      </c>
      <c r="L9800" t="str">
        <f t="shared" si="2228"/>
        <v>076629</v>
      </c>
      <c r="M9800" t="str">
        <f t="shared" si="2229"/>
        <v>81303</v>
      </c>
      <c r="N9800" t="s">
        <v>66</v>
      </c>
      <c r="O9800">
        <v>110</v>
      </c>
      <c r="P9800">
        <v>20190425</v>
      </c>
      <c r="Q9800" t="s">
        <v>7093</v>
      </c>
      <c r="R9800" t="s">
        <v>7723</v>
      </c>
      <c r="S9800" t="s">
        <v>7000</v>
      </c>
      <c r="T9800" t="s">
        <v>106</v>
      </c>
    </row>
    <row r="9801" spans="1:20" x14ac:dyDescent="0.25">
      <c r="A9801">
        <v>9</v>
      </c>
      <c r="B9801">
        <v>461</v>
      </c>
      <c r="C9801" t="str">
        <f t="shared" si="2221"/>
        <v>36</v>
      </c>
      <c r="D9801">
        <v>6399</v>
      </c>
      <c r="E9801" t="str">
        <f>"3P"</f>
        <v>3P</v>
      </c>
      <c r="F9801" t="str">
        <f>"001"</f>
        <v>001</v>
      </c>
      <c r="G9801">
        <v>9</v>
      </c>
      <c r="H9801" t="str">
        <f>"91"</f>
        <v>91</v>
      </c>
      <c r="I9801" t="str">
        <f t="shared" si="2230"/>
        <v>0</v>
      </c>
      <c r="J9801" t="str">
        <f t="shared" si="2231"/>
        <v>00</v>
      </c>
      <c r="K9801">
        <v>20190426</v>
      </c>
      <c r="L9801" t="str">
        <f t="shared" si="2228"/>
        <v>076629</v>
      </c>
      <c r="M9801" t="str">
        <f t="shared" si="2229"/>
        <v>81303</v>
      </c>
      <c r="N9801" t="s">
        <v>66</v>
      </c>
      <c r="O9801">
        <v>642.91999999999996</v>
      </c>
      <c r="P9801">
        <v>20190425</v>
      </c>
      <c r="Q9801" t="s">
        <v>7296</v>
      </c>
      <c r="R9801" t="s">
        <v>6324</v>
      </c>
      <c r="S9801" t="s">
        <v>7000</v>
      </c>
      <c r="T9801" t="s">
        <v>301</v>
      </c>
    </row>
    <row r="9802" spans="1:20" x14ac:dyDescent="0.25">
      <c r="A9802">
        <v>9</v>
      </c>
      <c r="B9802">
        <v>461</v>
      </c>
      <c r="C9802" t="str">
        <f t="shared" si="2221"/>
        <v>36</v>
      </c>
      <c r="D9802">
        <v>6399</v>
      </c>
      <c r="E9802" t="str">
        <f>"3P"</f>
        <v>3P</v>
      </c>
      <c r="F9802" t="str">
        <f>"001"</f>
        <v>001</v>
      </c>
      <c r="G9802">
        <v>9</v>
      </c>
      <c r="H9802" t="str">
        <f>"91"</f>
        <v>91</v>
      </c>
      <c r="I9802" t="str">
        <f t="shared" si="2230"/>
        <v>0</v>
      </c>
      <c r="J9802" t="str">
        <f t="shared" si="2231"/>
        <v>00</v>
      </c>
      <c r="K9802">
        <v>20190426</v>
      </c>
      <c r="L9802" t="str">
        <f t="shared" si="2228"/>
        <v>076629</v>
      </c>
      <c r="M9802" t="str">
        <f t="shared" si="2229"/>
        <v>81303</v>
      </c>
      <c r="N9802" t="s">
        <v>66</v>
      </c>
      <c r="O9802">
        <v>630</v>
      </c>
      <c r="P9802">
        <v>20190425</v>
      </c>
      <c r="Q9802" t="s">
        <v>7296</v>
      </c>
      <c r="R9802" t="s">
        <v>7724</v>
      </c>
      <c r="S9802" t="s">
        <v>7000</v>
      </c>
      <c r="T9802" t="s">
        <v>301</v>
      </c>
    </row>
    <row r="9803" spans="1:20" x14ac:dyDescent="0.25">
      <c r="A9803">
        <v>9</v>
      </c>
      <c r="B9803">
        <v>461</v>
      </c>
      <c r="C9803" t="str">
        <f t="shared" si="2221"/>
        <v>36</v>
      </c>
      <c r="D9803">
        <v>6399</v>
      </c>
      <c r="E9803" t="str">
        <f>"7E"</f>
        <v>7E</v>
      </c>
      <c r="F9803" t="str">
        <f>"001"</f>
        <v>001</v>
      </c>
      <c r="G9803">
        <v>9</v>
      </c>
      <c r="H9803" t="str">
        <f>"99"</f>
        <v>99</v>
      </c>
      <c r="I9803" t="str">
        <f t="shared" si="2230"/>
        <v>0</v>
      </c>
      <c r="J9803" t="str">
        <f t="shared" si="2231"/>
        <v>00</v>
      </c>
      <c r="K9803">
        <v>20190426</v>
      </c>
      <c r="L9803" t="str">
        <f t="shared" si="2228"/>
        <v>076629</v>
      </c>
      <c r="M9803" t="str">
        <f t="shared" si="2229"/>
        <v>81303</v>
      </c>
      <c r="N9803" t="s">
        <v>66</v>
      </c>
      <c r="O9803">
        <v>94.86</v>
      </c>
      <c r="P9803">
        <v>20190425</v>
      </c>
      <c r="Q9803" t="s">
        <v>7055</v>
      </c>
      <c r="R9803" t="s">
        <v>7725</v>
      </c>
      <c r="S9803" t="s">
        <v>7000</v>
      </c>
      <c r="T9803" t="s">
        <v>301</v>
      </c>
    </row>
    <row r="9804" spans="1:20" x14ac:dyDescent="0.25">
      <c r="A9804">
        <v>9</v>
      </c>
      <c r="B9804">
        <v>461</v>
      </c>
      <c r="C9804" t="str">
        <f t="shared" si="2221"/>
        <v>36</v>
      </c>
      <c r="D9804">
        <v>6219</v>
      </c>
      <c r="E9804" t="str">
        <f>"3S"</f>
        <v>3S</v>
      </c>
      <c r="F9804" t="str">
        <f>"041"</f>
        <v>041</v>
      </c>
      <c r="G9804">
        <v>9</v>
      </c>
      <c r="H9804" t="str">
        <f>"91"</f>
        <v>91</v>
      </c>
      <c r="I9804" t="str">
        <f t="shared" si="2230"/>
        <v>0</v>
      </c>
      <c r="J9804" t="str">
        <f t="shared" si="2231"/>
        <v>00</v>
      </c>
      <c r="K9804">
        <v>20190426</v>
      </c>
      <c r="L9804" t="str">
        <f>"076632"</f>
        <v>076632</v>
      </c>
      <c r="M9804" t="str">
        <f>"82384"</f>
        <v>82384</v>
      </c>
      <c r="N9804" t="s">
        <v>1005</v>
      </c>
      <c r="O9804">
        <v>40</v>
      </c>
      <c r="P9804">
        <v>20190425</v>
      </c>
      <c r="Q9804" t="s">
        <v>7703</v>
      </c>
      <c r="R9804" t="s">
        <v>7704</v>
      </c>
      <c r="S9804" t="s">
        <v>7000</v>
      </c>
      <c r="T9804" t="s">
        <v>106</v>
      </c>
    </row>
    <row r="9805" spans="1:20" x14ac:dyDescent="0.25">
      <c r="A9805">
        <v>9</v>
      </c>
      <c r="B9805">
        <v>461</v>
      </c>
      <c r="C9805" t="str">
        <f t="shared" si="2221"/>
        <v>36</v>
      </c>
      <c r="D9805">
        <v>6399</v>
      </c>
      <c r="E9805" t="str">
        <f>"61"</f>
        <v>61</v>
      </c>
      <c r="F9805" t="str">
        <f>"041"</f>
        <v>041</v>
      </c>
      <c r="G9805">
        <v>9</v>
      </c>
      <c r="H9805" t="str">
        <f t="shared" ref="H9805:H9821" si="2232">"99"</f>
        <v>99</v>
      </c>
      <c r="I9805" t="str">
        <f t="shared" si="2230"/>
        <v>0</v>
      </c>
      <c r="J9805" t="str">
        <f t="shared" si="2231"/>
        <v>00</v>
      </c>
      <c r="K9805">
        <v>20190426</v>
      </c>
      <c r="L9805" t="str">
        <f t="shared" ref="L9805:L9810" si="2233">"076633"</f>
        <v>076633</v>
      </c>
      <c r="M9805" t="str">
        <f t="shared" ref="M9805:M9810" si="2234">"83022"</f>
        <v>83022</v>
      </c>
      <c r="N9805" t="s">
        <v>691</v>
      </c>
      <c r="O9805">
        <v>142.86000000000001</v>
      </c>
      <c r="P9805">
        <v>20190425</v>
      </c>
      <c r="Q9805" t="s">
        <v>7131</v>
      </c>
      <c r="R9805" t="s">
        <v>7726</v>
      </c>
      <c r="S9805" t="s">
        <v>7000</v>
      </c>
      <c r="T9805" t="s">
        <v>106</v>
      </c>
    </row>
    <row r="9806" spans="1:20" x14ac:dyDescent="0.25">
      <c r="A9806">
        <v>9</v>
      </c>
      <c r="B9806">
        <v>461</v>
      </c>
      <c r="C9806" t="str">
        <f t="shared" si="2221"/>
        <v>36</v>
      </c>
      <c r="D9806">
        <v>6399</v>
      </c>
      <c r="E9806" t="str">
        <f>"61"</f>
        <v>61</v>
      </c>
      <c r="F9806" t="str">
        <f>"041"</f>
        <v>041</v>
      </c>
      <c r="G9806">
        <v>9</v>
      </c>
      <c r="H9806" t="str">
        <f t="shared" si="2232"/>
        <v>99</v>
      </c>
      <c r="I9806" t="str">
        <f t="shared" si="2230"/>
        <v>0</v>
      </c>
      <c r="J9806" t="str">
        <f t="shared" si="2231"/>
        <v>00</v>
      </c>
      <c r="K9806">
        <v>20190426</v>
      </c>
      <c r="L9806" t="str">
        <f t="shared" si="2233"/>
        <v>076633</v>
      </c>
      <c r="M9806" t="str">
        <f t="shared" si="2234"/>
        <v>83022</v>
      </c>
      <c r="N9806" t="s">
        <v>691</v>
      </c>
      <c r="O9806">
        <v>181.72</v>
      </c>
      <c r="P9806">
        <v>20190425</v>
      </c>
      <c r="Q9806" t="s">
        <v>7131</v>
      </c>
      <c r="R9806" t="s">
        <v>7726</v>
      </c>
      <c r="S9806" t="s">
        <v>7000</v>
      </c>
      <c r="T9806" t="s">
        <v>106</v>
      </c>
    </row>
    <row r="9807" spans="1:20" x14ac:dyDescent="0.25">
      <c r="A9807">
        <v>9</v>
      </c>
      <c r="B9807">
        <v>461</v>
      </c>
      <c r="C9807" t="str">
        <f t="shared" si="2221"/>
        <v>36</v>
      </c>
      <c r="D9807">
        <v>6399</v>
      </c>
      <c r="E9807" t="str">
        <f>"61"</f>
        <v>61</v>
      </c>
      <c r="F9807" t="str">
        <f>"101"</f>
        <v>101</v>
      </c>
      <c r="G9807">
        <v>9</v>
      </c>
      <c r="H9807" t="str">
        <f t="shared" si="2232"/>
        <v>99</v>
      </c>
      <c r="I9807" t="str">
        <f t="shared" si="2230"/>
        <v>0</v>
      </c>
      <c r="J9807" t="str">
        <f t="shared" si="2231"/>
        <v>00</v>
      </c>
      <c r="K9807">
        <v>20190426</v>
      </c>
      <c r="L9807" t="str">
        <f t="shared" si="2233"/>
        <v>076633</v>
      </c>
      <c r="M9807" t="str">
        <f t="shared" si="2234"/>
        <v>83022</v>
      </c>
      <c r="N9807" t="s">
        <v>691</v>
      </c>
      <c r="O9807">
        <v>62.9</v>
      </c>
      <c r="P9807">
        <v>20190425</v>
      </c>
      <c r="Q9807" t="s">
        <v>7007</v>
      </c>
      <c r="R9807" t="s">
        <v>7727</v>
      </c>
      <c r="S9807" t="s">
        <v>7000</v>
      </c>
      <c r="T9807" t="s">
        <v>1479</v>
      </c>
    </row>
    <row r="9808" spans="1:20" x14ac:dyDescent="0.25">
      <c r="A9808">
        <v>9</v>
      </c>
      <c r="B9808">
        <v>461</v>
      </c>
      <c r="C9808" t="str">
        <f t="shared" ref="C9808:C9871" si="2235">"36"</f>
        <v>36</v>
      </c>
      <c r="D9808">
        <v>6399</v>
      </c>
      <c r="E9808" t="str">
        <f>"61"</f>
        <v>61</v>
      </c>
      <c r="F9808" t="str">
        <f>"101"</f>
        <v>101</v>
      </c>
      <c r="G9808">
        <v>9</v>
      </c>
      <c r="H9808" t="str">
        <f t="shared" si="2232"/>
        <v>99</v>
      </c>
      <c r="I9808" t="str">
        <f t="shared" si="2230"/>
        <v>0</v>
      </c>
      <c r="J9808" t="str">
        <f t="shared" si="2231"/>
        <v>00</v>
      </c>
      <c r="K9808">
        <v>20190426</v>
      </c>
      <c r="L9808" t="str">
        <f t="shared" si="2233"/>
        <v>076633</v>
      </c>
      <c r="M9808" t="str">
        <f t="shared" si="2234"/>
        <v>83022</v>
      </c>
      <c r="N9808" t="s">
        <v>691</v>
      </c>
      <c r="O9808">
        <v>13.48</v>
      </c>
      <c r="P9808">
        <v>20190425</v>
      </c>
      <c r="Q9808" t="s">
        <v>7007</v>
      </c>
      <c r="R9808" t="s">
        <v>7728</v>
      </c>
      <c r="S9808" t="s">
        <v>7000</v>
      </c>
      <c r="T9808" t="s">
        <v>1479</v>
      </c>
    </row>
    <row r="9809" spans="1:20" x14ac:dyDescent="0.25">
      <c r="A9809">
        <v>9</v>
      </c>
      <c r="B9809">
        <v>461</v>
      </c>
      <c r="C9809" t="str">
        <f t="shared" si="2235"/>
        <v>36</v>
      </c>
      <c r="D9809">
        <v>6399</v>
      </c>
      <c r="E9809" t="str">
        <f>"Y5"</f>
        <v>Y5</v>
      </c>
      <c r="F9809" t="str">
        <f>"802"</f>
        <v>802</v>
      </c>
      <c r="G9809">
        <v>9</v>
      </c>
      <c r="H9809" t="str">
        <f t="shared" si="2232"/>
        <v>99</v>
      </c>
      <c r="I9809" t="str">
        <f t="shared" si="2230"/>
        <v>0</v>
      </c>
      <c r="J9809" t="str">
        <f t="shared" si="2231"/>
        <v>00</v>
      </c>
      <c r="K9809">
        <v>20190426</v>
      </c>
      <c r="L9809" t="str">
        <f t="shared" si="2233"/>
        <v>076633</v>
      </c>
      <c r="M9809" t="str">
        <f t="shared" si="2234"/>
        <v>83022</v>
      </c>
      <c r="N9809" t="s">
        <v>691</v>
      </c>
      <c r="O9809">
        <v>166.09</v>
      </c>
      <c r="P9809">
        <v>20190425</v>
      </c>
      <c r="Q9809" t="s">
        <v>7021</v>
      </c>
      <c r="R9809" t="s">
        <v>7729</v>
      </c>
      <c r="S9809" t="s">
        <v>7000</v>
      </c>
      <c r="T9809" t="s">
        <v>7023</v>
      </c>
    </row>
    <row r="9810" spans="1:20" x14ac:dyDescent="0.25">
      <c r="A9810">
        <v>9</v>
      </c>
      <c r="B9810">
        <v>461</v>
      </c>
      <c r="C9810" t="str">
        <f t="shared" si="2235"/>
        <v>36</v>
      </c>
      <c r="D9810">
        <v>6399</v>
      </c>
      <c r="E9810" t="str">
        <f>"Y5"</f>
        <v>Y5</v>
      </c>
      <c r="F9810" t="str">
        <f>"802"</f>
        <v>802</v>
      </c>
      <c r="G9810">
        <v>9</v>
      </c>
      <c r="H9810" t="str">
        <f t="shared" si="2232"/>
        <v>99</v>
      </c>
      <c r="I9810" t="str">
        <f t="shared" si="2230"/>
        <v>0</v>
      </c>
      <c r="J9810" t="str">
        <f t="shared" si="2231"/>
        <v>00</v>
      </c>
      <c r="K9810">
        <v>20190426</v>
      </c>
      <c r="L9810" t="str">
        <f t="shared" si="2233"/>
        <v>076633</v>
      </c>
      <c r="M9810" t="str">
        <f t="shared" si="2234"/>
        <v>83022</v>
      </c>
      <c r="N9810" t="s">
        <v>691</v>
      </c>
      <c r="O9810">
        <v>56.49</v>
      </c>
      <c r="P9810">
        <v>20190425</v>
      </c>
      <c r="Q9810" t="s">
        <v>7021</v>
      </c>
      <c r="R9810" t="s">
        <v>7729</v>
      </c>
      <c r="S9810" t="s">
        <v>7000</v>
      </c>
      <c r="T9810" t="s">
        <v>7023</v>
      </c>
    </row>
    <row r="9811" spans="1:20" x14ac:dyDescent="0.25">
      <c r="A9811">
        <v>9</v>
      </c>
      <c r="B9811">
        <v>461</v>
      </c>
      <c r="C9811" t="str">
        <f t="shared" si="2235"/>
        <v>36</v>
      </c>
      <c r="D9811">
        <v>6499</v>
      </c>
      <c r="E9811" t="str">
        <f>"69"</f>
        <v>69</v>
      </c>
      <c r="F9811" t="str">
        <f>"001"</f>
        <v>001</v>
      </c>
      <c r="G9811">
        <v>9</v>
      </c>
      <c r="H9811" t="str">
        <f t="shared" si="2232"/>
        <v>99</v>
      </c>
      <c r="I9811" t="str">
        <f t="shared" si="2230"/>
        <v>0</v>
      </c>
      <c r="J9811" t="str">
        <f t="shared" si="2231"/>
        <v>00</v>
      </c>
      <c r="K9811">
        <v>20190503</v>
      </c>
      <c r="L9811" t="str">
        <f>"076640"</f>
        <v>076640</v>
      </c>
      <c r="M9811" t="str">
        <f>"00814"</f>
        <v>00814</v>
      </c>
      <c r="N9811" t="s">
        <v>7730</v>
      </c>
      <c r="O9811">
        <v>500</v>
      </c>
      <c r="P9811">
        <v>20190502</v>
      </c>
      <c r="Q9811" t="s">
        <v>7731</v>
      </c>
      <c r="R9811" t="s">
        <v>7732</v>
      </c>
      <c r="S9811" t="s">
        <v>7000</v>
      </c>
      <c r="T9811" t="s">
        <v>301</v>
      </c>
    </row>
    <row r="9812" spans="1:20" x14ac:dyDescent="0.25">
      <c r="A9812">
        <v>9</v>
      </c>
      <c r="B9812">
        <v>461</v>
      </c>
      <c r="C9812" t="str">
        <f t="shared" si="2235"/>
        <v>36</v>
      </c>
      <c r="D9812">
        <v>6399</v>
      </c>
      <c r="E9812" t="str">
        <f>"7U"</f>
        <v>7U</v>
      </c>
      <c r="F9812" t="str">
        <f>"104"</f>
        <v>104</v>
      </c>
      <c r="G9812">
        <v>9</v>
      </c>
      <c r="H9812" t="str">
        <f t="shared" si="2232"/>
        <v>99</v>
      </c>
      <c r="I9812" t="str">
        <f t="shared" si="2230"/>
        <v>0</v>
      </c>
      <c r="J9812" t="str">
        <f t="shared" si="2231"/>
        <v>00</v>
      </c>
      <c r="K9812">
        <v>20190503</v>
      </c>
      <c r="L9812" t="str">
        <f>"076648"</f>
        <v>076648</v>
      </c>
      <c r="M9812" t="str">
        <f>"11759"</f>
        <v>11759</v>
      </c>
      <c r="N9812" t="s">
        <v>2845</v>
      </c>
      <c r="O9812">
        <v>616.87</v>
      </c>
      <c r="P9812">
        <v>20190502</v>
      </c>
      <c r="Q9812" t="s">
        <v>7193</v>
      </c>
      <c r="R9812" t="s">
        <v>1945</v>
      </c>
      <c r="S9812" t="s">
        <v>7000</v>
      </c>
      <c r="T9812" t="s">
        <v>46</v>
      </c>
    </row>
    <row r="9813" spans="1:20" x14ac:dyDescent="0.25">
      <c r="A9813">
        <v>9</v>
      </c>
      <c r="B9813">
        <v>461</v>
      </c>
      <c r="C9813" t="str">
        <f t="shared" si="2235"/>
        <v>36</v>
      </c>
      <c r="D9813">
        <v>6399</v>
      </c>
      <c r="E9813" t="str">
        <f>"PR"</f>
        <v>PR</v>
      </c>
      <c r="F9813" t="str">
        <f>"104"</f>
        <v>104</v>
      </c>
      <c r="G9813">
        <v>9</v>
      </c>
      <c r="H9813" t="str">
        <f t="shared" si="2232"/>
        <v>99</v>
      </c>
      <c r="I9813" t="str">
        <f t="shared" si="2230"/>
        <v>0</v>
      </c>
      <c r="J9813" t="str">
        <f t="shared" si="2231"/>
        <v>00</v>
      </c>
      <c r="K9813">
        <v>20190503</v>
      </c>
      <c r="L9813" t="str">
        <f>"076651"</f>
        <v>076651</v>
      </c>
      <c r="M9813" t="str">
        <f>"19160"</f>
        <v>19160</v>
      </c>
      <c r="N9813" t="s">
        <v>3097</v>
      </c>
      <c r="O9813">
        <v>259.76</v>
      </c>
      <c r="P9813">
        <v>20190502</v>
      </c>
      <c r="Q9813" t="s">
        <v>7014</v>
      </c>
      <c r="R9813" t="s">
        <v>7733</v>
      </c>
      <c r="S9813" t="s">
        <v>7000</v>
      </c>
      <c r="T9813" t="s">
        <v>46</v>
      </c>
    </row>
    <row r="9814" spans="1:20" x14ac:dyDescent="0.25">
      <c r="A9814">
        <v>9</v>
      </c>
      <c r="B9814">
        <v>461</v>
      </c>
      <c r="C9814" t="str">
        <f t="shared" si="2235"/>
        <v>36</v>
      </c>
      <c r="D9814">
        <v>6399</v>
      </c>
      <c r="E9814" t="str">
        <f>"PR"</f>
        <v>PR</v>
      </c>
      <c r="F9814" t="str">
        <f>"104"</f>
        <v>104</v>
      </c>
      <c r="G9814">
        <v>9</v>
      </c>
      <c r="H9814" t="str">
        <f t="shared" si="2232"/>
        <v>99</v>
      </c>
      <c r="I9814" t="str">
        <f t="shared" si="2230"/>
        <v>0</v>
      </c>
      <c r="J9814" t="str">
        <f t="shared" si="2231"/>
        <v>00</v>
      </c>
      <c r="K9814">
        <v>20190503</v>
      </c>
      <c r="L9814" t="str">
        <f>"076651"</f>
        <v>076651</v>
      </c>
      <c r="M9814" t="str">
        <f>"19160"</f>
        <v>19160</v>
      </c>
      <c r="N9814" t="s">
        <v>3097</v>
      </c>
      <c r="O9814">
        <v>123.49</v>
      </c>
      <c r="P9814">
        <v>20190502</v>
      </c>
      <c r="Q9814" t="s">
        <v>7014</v>
      </c>
      <c r="R9814" t="s">
        <v>7734</v>
      </c>
      <c r="S9814" t="s">
        <v>7000</v>
      </c>
      <c r="T9814" t="s">
        <v>46</v>
      </c>
    </row>
    <row r="9815" spans="1:20" x14ac:dyDescent="0.25">
      <c r="A9815">
        <v>9</v>
      </c>
      <c r="B9815">
        <v>461</v>
      </c>
      <c r="C9815" t="str">
        <f t="shared" si="2235"/>
        <v>36</v>
      </c>
      <c r="D9815">
        <v>6399</v>
      </c>
      <c r="E9815" t="str">
        <f>"H2"</f>
        <v>H2</v>
      </c>
      <c r="F9815" t="str">
        <f>"001"</f>
        <v>001</v>
      </c>
      <c r="G9815">
        <v>9</v>
      </c>
      <c r="H9815" t="str">
        <f t="shared" si="2232"/>
        <v>99</v>
      </c>
      <c r="I9815" t="str">
        <f t="shared" si="2230"/>
        <v>0</v>
      </c>
      <c r="J9815" t="str">
        <f t="shared" si="2231"/>
        <v>00</v>
      </c>
      <c r="K9815">
        <v>20190503</v>
      </c>
      <c r="L9815" t="str">
        <f>"076658"</f>
        <v>076658</v>
      </c>
      <c r="M9815" t="str">
        <f>"20447"</f>
        <v>20447</v>
      </c>
      <c r="N9815" t="s">
        <v>3109</v>
      </c>
      <c r="O9815">
        <v>685.28</v>
      </c>
      <c r="P9815">
        <v>20190502</v>
      </c>
      <c r="Q9815" t="s">
        <v>7033</v>
      </c>
      <c r="R9815" t="s">
        <v>3110</v>
      </c>
      <c r="S9815" t="s">
        <v>7000</v>
      </c>
      <c r="T9815" t="s">
        <v>301</v>
      </c>
    </row>
    <row r="9816" spans="1:20" x14ac:dyDescent="0.25">
      <c r="A9816">
        <v>9</v>
      </c>
      <c r="B9816">
        <v>461</v>
      </c>
      <c r="C9816" t="str">
        <f t="shared" si="2235"/>
        <v>36</v>
      </c>
      <c r="D9816">
        <v>6399</v>
      </c>
      <c r="E9816" t="str">
        <f>"76"</f>
        <v>76</v>
      </c>
      <c r="F9816" t="str">
        <f>"001"</f>
        <v>001</v>
      </c>
      <c r="G9816">
        <v>9</v>
      </c>
      <c r="H9816" t="str">
        <f t="shared" si="2232"/>
        <v>99</v>
      </c>
      <c r="I9816" t="str">
        <f t="shared" si="2230"/>
        <v>0</v>
      </c>
      <c r="J9816" t="str">
        <f t="shared" si="2231"/>
        <v>00</v>
      </c>
      <c r="K9816">
        <v>20190503</v>
      </c>
      <c r="L9816" t="str">
        <f>"076666"</f>
        <v>076666</v>
      </c>
      <c r="M9816" t="str">
        <f>"29090"</f>
        <v>29090</v>
      </c>
      <c r="N9816" t="s">
        <v>7706</v>
      </c>
      <c r="O9816" s="1">
        <v>22750</v>
      </c>
      <c r="P9816">
        <v>20190502</v>
      </c>
      <c r="Q9816" t="s">
        <v>7735</v>
      </c>
      <c r="R9816" t="s">
        <v>7707</v>
      </c>
      <c r="S9816" t="s">
        <v>7000</v>
      </c>
      <c r="T9816" t="s">
        <v>301</v>
      </c>
    </row>
    <row r="9817" spans="1:20" x14ac:dyDescent="0.25">
      <c r="A9817">
        <v>9</v>
      </c>
      <c r="B9817">
        <v>461</v>
      </c>
      <c r="C9817" t="str">
        <f t="shared" si="2235"/>
        <v>36</v>
      </c>
      <c r="D9817">
        <v>6299</v>
      </c>
      <c r="E9817" t="str">
        <f>"7E"</f>
        <v>7E</v>
      </c>
      <c r="F9817" t="str">
        <f>"001"</f>
        <v>001</v>
      </c>
      <c r="G9817">
        <v>9</v>
      </c>
      <c r="H9817" t="str">
        <f t="shared" si="2232"/>
        <v>99</v>
      </c>
      <c r="I9817" t="str">
        <f t="shared" si="2230"/>
        <v>0</v>
      </c>
      <c r="J9817" t="str">
        <f t="shared" si="2231"/>
        <v>00</v>
      </c>
      <c r="K9817">
        <v>20190503</v>
      </c>
      <c r="L9817" t="str">
        <f>"076668"</f>
        <v>076668</v>
      </c>
      <c r="M9817" t="str">
        <f>"00791"</f>
        <v>00791</v>
      </c>
      <c r="N9817" t="s">
        <v>7736</v>
      </c>
      <c r="O9817">
        <v>100</v>
      </c>
      <c r="P9817">
        <v>20190502</v>
      </c>
      <c r="Q9817" t="s">
        <v>7737</v>
      </c>
      <c r="R9817" t="s">
        <v>4556</v>
      </c>
      <c r="S9817" t="s">
        <v>7000</v>
      </c>
      <c r="T9817" t="s">
        <v>301</v>
      </c>
    </row>
    <row r="9818" spans="1:20" x14ac:dyDescent="0.25">
      <c r="A9818">
        <v>9</v>
      </c>
      <c r="B9818">
        <v>461</v>
      </c>
      <c r="C9818" t="str">
        <f t="shared" si="2235"/>
        <v>36</v>
      </c>
      <c r="D9818">
        <v>6299</v>
      </c>
      <c r="E9818" t="str">
        <f>"7E"</f>
        <v>7E</v>
      </c>
      <c r="F9818" t="str">
        <f>"001"</f>
        <v>001</v>
      </c>
      <c r="G9818">
        <v>9</v>
      </c>
      <c r="H9818" t="str">
        <f t="shared" si="2232"/>
        <v>99</v>
      </c>
      <c r="I9818" t="str">
        <f t="shared" si="2230"/>
        <v>0</v>
      </c>
      <c r="J9818" t="str">
        <f t="shared" si="2231"/>
        <v>00</v>
      </c>
      <c r="K9818">
        <v>20190503</v>
      </c>
      <c r="L9818" t="str">
        <f>"076671"</f>
        <v>076671</v>
      </c>
      <c r="M9818" t="str">
        <f>"00396"</f>
        <v>00396</v>
      </c>
      <c r="N9818" t="s">
        <v>7738</v>
      </c>
      <c r="O9818">
        <v>150</v>
      </c>
      <c r="P9818">
        <v>20190502</v>
      </c>
      <c r="Q9818" t="s">
        <v>7737</v>
      </c>
      <c r="R9818" t="s">
        <v>7739</v>
      </c>
      <c r="S9818" t="s">
        <v>7000</v>
      </c>
      <c r="T9818" t="s">
        <v>301</v>
      </c>
    </row>
    <row r="9819" spans="1:20" x14ac:dyDescent="0.25">
      <c r="A9819">
        <v>9</v>
      </c>
      <c r="B9819">
        <v>461</v>
      </c>
      <c r="C9819" t="str">
        <f t="shared" si="2235"/>
        <v>36</v>
      </c>
      <c r="D9819">
        <v>6299</v>
      </c>
      <c r="E9819" t="str">
        <f>"GN"</f>
        <v>GN</v>
      </c>
      <c r="F9819" t="str">
        <f>"001"</f>
        <v>001</v>
      </c>
      <c r="G9819">
        <v>9</v>
      </c>
      <c r="H9819" t="str">
        <f t="shared" si="2232"/>
        <v>99</v>
      </c>
      <c r="I9819" t="str">
        <f t="shared" si="2230"/>
        <v>0</v>
      </c>
      <c r="J9819" t="str">
        <f t="shared" si="2231"/>
        <v>00</v>
      </c>
      <c r="K9819">
        <v>20190503</v>
      </c>
      <c r="L9819" t="str">
        <f>"076672"</f>
        <v>076672</v>
      </c>
      <c r="M9819" t="str">
        <f>"32920"</f>
        <v>32920</v>
      </c>
      <c r="N9819" t="s">
        <v>7740</v>
      </c>
      <c r="O9819" s="1">
        <v>2850</v>
      </c>
      <c r="P9819">
        <v>20190502</v>
      </c>
      <c r="Q9819" t="s">
        <v>7554</v>
      </c>
      <c r="R9819" t="s">
        <v>7555</v>
      </c>
      <c r="S9819" t="s">
        <v>7000</v>
      </c>
      <c r="T9819" t="s">
        <v>301</v>
      </c>
    </row>
    <row r="9820" spans="1:20" x14ac:dyDescent="0.25">
      <c r="A9820">
        <v>9</v>
      </c>
      <c r="B9820">
        <v>461</v>
      </c>
      <c r="C9820" t="str">
        <f t="shared" si="2235"/>
        <v>36</v>
      </c>
      <c r="D9820">
        <v>6412</v>
      </c>
      <c r="E9820" t="str">
        <f>"44"</f>
        <v>44</v>
      </c>
      <c r="F9820" t="str">
        <f>"104"</f>
        <v>104</v>
      </c>
      <c r="G9820">
        <v>9</v>
      </c>
      <c r="H9820" t="str">
        <f t="shared" si="2232"/>
        <v>99</v>
      </c>
      <c r="I9820" t="str">
        <f t="shared" si="2230"/>
        <v>0</v>
      </c>
      <c r="J9820" t="str">
        <f t="shared" si="2231"/>
        <v>00</v>
      </c>
      <c r="K9820">
        <v>20190503</v>
      </c>
      <c r="L9820" t="str">
        <f>"076696"</f>
        <v>076696</v>
      </c>
      <c r="M9820" t="str">
        <f>"54034"</f>
        <v>54034</v>
      </c>
      <c r="N9820" t="s">
        <v>7189</v>
      </c>
      <c r="O9820">
        <v>356</v>
      </c>
      <c r="P9820">
        <v>20190502</v>
      </c>
      <c r="Q9820" t="s">
        <v>7741</v>
      </c>
      <c r="R9820" t="s">
        <v>7742</v>
      </c>
      <c r="S9820" t="s">
        <v>7000</v>
      </c>
      <c r="T9820" t="s">
        <v>46</v>
      </c>
    </row>
    <row r="9821" spans="1:20" x14ac:dyDescent="0.25">
      <c r="A9821">
        <v>9</v>
      </c>
      <c r="B9821">
        <v>461</v>
      </c>
      <c r="C9821" t="str">
        <f t="shared" si="2235"/>
        <v>36</v>
      </c>
      <c r="D9821">
        <v>6299</v>
      </c>
      <c r="E9821" t="str">
        <f>"7E"</f>
        <v>7E</v>
      </c>
      <c r="F9821" t="str">
        <f>"001"</f>
        <v>001</v>
      </c>
      <c r="G9821">
        <v>9</v>
      </c>
      <c r="H9821" t="str">
        <f t="shared" si="2232"/>
        <v>99</v>
      </c>
      <c r="I9821" t="str">
        <f t="shared" si="2230"/>
        <v>0</v>
      </c>
      <c r="J9821" t="str">
        <f t="shared" si="2231"/>
        <v>00</v>
      </c>
      <c r="K9821">
        <v>20190503</v>
      </c>
      <c r="L9821" t="str">
        <f>"076699"</f>
        <v>076699</v>
      </c>
      <c r="M9821" t="str">
        <f>"00786"</f>
        <v>00786</v>
      </c>
      <c r="N9821" t="s">
        <v>7743</v>
      </c>
      <c r="O9821">
        <v>100</v>
      </c>
      <c r="P9821">
        <v>20190502</v>
      </c>
      <c r="Q9821" t="s">
        <v>7737</v>
      </c>
      <c r="R9821" t="s">
        <v>7739</v>
      </c>
      <c r="S9821" t="s">
        <v>7000</v>
      </c>
      <c r="T9821" t="s">
        <v>301</v>
      </c>
    </row>
    <row r="9822" spans="1:20" x14ac:dyDescent="0.25">
      <c r="A9822">
        <v>9</v>
      </c>
      <c r="B9822">
        <v>461</v>
      </c>
      <c r="C9822" t="str">
        <f t="shared" si="2235"/>
        <v>36</v>
      </c>
      <c r="D9822">
        <v>6499</v>
      </c>
      <c r="E9822" t="str">
        <f>"3Y"</f>
        <v>3Y</v>
      </c>
      <c r="F9822" t="str">
        <f>"041"</f>
        <v>041</v>
      </c>
      <c r="G9822">
        <v>9</v>
      </c>
      <c r="H9822" t="str">
        <f>"91"</f>
        <v>91</v>
      </c>
      <c r="I9822" t="str">
        <f t="shared" si="2230"/>
        <v>0</v>
      </c>
      <c r="J9822" t="str">
        <f t="shared" si="2231"/>
        <v>00</v>
      </c>
      <c r="K9822">
        <v>20190503</v>
      </c>
      <c r="L9822" t="str">
        <f>"076701"</f>
        <v>076701</v>
      </c>
      <c r="M9822" t="str">
        <f>"56199"</f>
        <v>56199</v>
      </c>
      <c r="N9822" t="s">
        <v>7744</v>
      </c>
      <c r="O9822">
        <v>275</v>
      </c>
      <c r="P9822">
        <v>20190502</v>
      </c>
      <c r="Q9822" t="s">
        <v>7745</v>
      </c>
      <c r="R9822" t="s">
        <v>7746</v>
      </c>
      <c r="S9822" t="s">
        <v>7000</v>
      </c>
      <c r="T9822" t="s">
        <v>106</v>
      </c>
    </row>
    <row r="9823" spans="1:20" x14ac:dyDescent="0.25">
      <c r="A9823">
        <v>9</v>
      </c>
      <c r="B9823">
        <v>461</v>
      </c>
      <c r="C9823" t="str">
        <f t="shared" si="2235"/>
        <v>36</v>
      </c>
      <c r="D9823">
        <v>6399</v>
      </c>
      <c r="E9823" t="str">
        <f>"7K"</f>
        <v>7K</v>
      </c>
      <c r="F9823" t="str">
        <f>"001"</f>
        <v>001</v>
      </c>
      <c r="G9823">
        <v>9</v>
      </c>
      <c r="H9823" t="str">
        <f t="shared" ref="H9823:H9834" si="2236">"99"</f>
        <v>99</v>
      </c>
      <c r="I9823" t="str">
        <f t="shared" si="2230"/>
        <v>0</v>
      </c>
      <c r="J9823" t="str">
        <f t="shared" si="2231"/>
        <v>00</v>
      </c>
      <c r="K9823">
        <v>20190503</v>
      </c>
      <c r="L9823" t="str">
        <f>"076706"</f>
        <v>076706</v>
      </c>
      <c r="M9823" t="str">
        <f>"58204"</f>
        <v>58204</v>
      </c>
      <c r="N9823" t="s">
        <v>1767</v>
      </c>
      <c r="O9823">
        <v>33.65</v>
      </c>
      <c r="P9823">
        <v>20190502</v>
      </c>
      <c r="Q9823" t="s">
        <v>7056</v>
      </c>
      <c r="R9823" t="s">
        <v>4432</v>
      </c>
      <c r="S9823" t="s">
        <v>7000</v>
      </c>
      <c r="T9823" t="s">
        <v>301</v>
      </c>
    </row>
    <row r="9824" spans="1:20" x14ac:dyDescent="0.25">
      <c r="A9824">
        <v>9</v>
      </c>
      <c r="B9824">
        <v>461</v>
      </c>
      <c r="C9824" t="str">
        <f t="shared" si="2235"/>
        <v>36</v>
      </c>
      <c r="D9824">
        <v>6399</v>
      </c>
      <c r="E9824" t="str">
        <f>"GN"</f>
        <v>GN</v>
      </c>
      <c r="F9824" t="str">
        <f>"001"</f>
        <v>001</v>
      </c>
      <c r="G9824">
        <v>9</v>
      </c>
      <c r="H9824" t="str">
        <f t="shared" si="2236"/>
        <v>99</v>
      </c>
      <c r="I9824" t="str">
        <f t="shared" si="2230"/>
        <v>0</v>
      </c>
      <c r="J9824" t="str">
        <f t="shared" si="2231"/>
        <v>00</v>
      </c>
      <c r="K9824">
        <v>20190503</v>
      </c>
      <c r="L9824" t="str">
        <f>"076706"</f>
        <v>076706</v>
      </c>
      <c r="M9824" t="str">
        <f>"58204"</f>
        <v>58204</v>
      </c>
      <c r="N9824" t="s">
        <v>1767</v>
      </c>
      <c r="O9824">
        <v>25</v>
      </c>
      <c r="P9824">
        <v>20190502</v>
      </c>
      <c r="Q9824" t="s">
        <v>7043</v>
      </c>
      <c r="R9824" t="s">
        <v>7555</v>
      </c>
      <c r="S9824" t="s">
        <v>7000</v>
      </c>
      <c r="T9824" t="s">
        <v>301</v>
      </c>
    </row>
    <row r="9825" spans="1:20" x14ac:dyDescent="0.25">
      <c r="A9825">
        <v>9</v>
      </c>
      <c r="B9825">
        <v>461</v>
      </c>
      <c r="C9825" t="str">
        <f t="shared" si="2235"/>
        <v>36</v>
      </c>
      <c r="D9825">
        <v>6399</v>
      </c>
      <c r="E9825" t="str">
        <f>"Y5"</f>
        <v>Y5</v>
      </c>
      <c r="F9825" t="str">
        <f>"802"</f>
        <v>802</v>
      </c>
      <c r="G9825">
        <v>9</v>
      </c>
      <c r="H9825" t="str">
        <f t="shared" si="2236"/>
        <v>99</v>
      </c>
      <c r="I9825" t="str">
        <f t="shared" si="2230"/>
        <v>0</v>
      </c>
      <c r="J9825" t="str">
        <f t="shared" si="2231"/>
        <v>00</v>
      </c>
      <c r="K9825">
        <v>20190503</v>
      </c>
      <c r="L9825" t="str">
        <f>"076708"</f>
        <v>076708</v>
      </c>
      <c r="M9825" t="str">
        <f>"00429"</f>
        <v>00429</v>
      </c>
      <c r="N9825" t="s">
        <v>7337</v>
      </c>
      <c r="O9825">
        <v>990</v>
      </c>
      <c r="P9825">
        <v>20190502</v>
      </c>
      <c r="Q9825" t="s">
        <v>7021</v>
      </c>
      <c r="R9825" t="s">
        <v>7747</v>
      </c>
      <c r="S9825" t="s">
        <v>7000</v>
      </c>
      <c r="T9825" t="s">
        <v>7023</v>
      </c>
    </row>
    <row r="9826" spans="1:20" x14ac:dyDescent="0.25">
      <c r="A9826">
        <v>9</v>
      </c>
      <c r="B9826">
        <v>461</v>
      </c>
      <c r="C9826" t="str">
        <f t="shared" si="2235"/>
        <v>36</v>
      </c>
      <c r="D9826">
        <v>6269</v>
      </c>
      <c r="E9826" t="str">
        <f>"69"</f>
        <v>69</v>
      </c>
      <c r="F9826" t="str">
        <f>"001"</f>
        <v>001</v>
      </c>
      <c r="G9826">
        <v>9</v>
      </c>
      <c r="H9826" t="str">
        <f t="shared" si="2236"/>
        <v>99</v>
      </c>
      <c r="I9826" t="str">
        <f t="shared" si="2230"/>
        <v>0</v>
      </c>
      <c r="J9826" t="str">
        <f t="shared" si="2231"/>
        <v>00</v>
      </c>
      <c r="K9826">
        <v>20190503</v>
      </c>
      <c r="L9826" t="str">
        <f>"076715"</f>
        <v>076715</v>
      </c>
      <c r="M9826" t="str">
        <f>"62683"</f>
        <v>62683</v>
      </c>
      <c r="N9826" t="s">
        <v>7432</v>
      </c>
      <c r="O9826" s="1">
        <v>3995</v>
      </c>
      <c r="P9826">
        <v>20190502</v>
      </c>
      <c r="Q9826" t="s">
        <v>7433</v>
      </c>
      <c r="R9826" t="s">
        <v>7490</v>
      </c>
      <c r="S9826" t="s">
        <v>7000</v>
      </c>
      <c r="T9826" t="s">
        <v>301</v>
      </c>
    </row>
    <row r="9827" spans="1:20" x14ac:dyDescent="0.25">
      <c r="A9827">
        <v>9</v>
      </c>
      <c r="B9827">
        <v>461</v>
      </c>
      <c r="C9827" t="str">
        <f t="shared" si="2235"/>
        <v>36</v>
      </c>
      <c r="D9827">
        <v>6299</v>
      </c>
      <c r="E9827" t="str">
        <f>"7E"</f>
        <v>7E</v>
      </c>
      <c r="F9827" t="str">
        <f>"001"</f>
        <v>001</v>
      </c>
      <c r="G9827">
        <v>9</v>
      </c>
      <c r="H9827" t="str">
        <f t="shared" si="2236"/>
        <v>99</v>
      </c>
      <c r="I9827" t="str">
        <f t="shared" si="2230"/>
        <v>0</v>
      </c>
      <c r="J9827" t="str">
        <f t="shared" si="2231"/>
        <v>00</v>
      </c>
      <c r="K9827">
        <v>20190503</v>
      </c>
      <c r="L9827" t="str">
        <f>"076719"</f>
        <v>076719</v>
      </c>
      <c r="M9827" t="str">
        <f>"69035"</f>
        <v>69035</v>
      </c>
      <c r="N9827" t="s">
        <v>3462</v>
      </c>
      <c r="O9827">
        <v>215</v>
      </c>
      <c r="P9827">
        <v>20190502</v>
      </c>
      <c r="Q9827" t="s">
        <v>7737</v>
      </c>
      <c r="R9827" t="s">
        <v>4556</v>
      </c>
      <c r="S9827" t="s">
        <v>7000</v>
      </c>
      <c r="T9827" t="s">
        <v>301</v>
      </c>
    </row>
    <row r="9828" spans="1:20" x14ac:dyDescent="0.25">
      <c r="A9828">
        <v>9</v>
      </c>
      <c r="B9828">
        <v>461</v>
      </c>
      <c r="C9828" t="str">
        <f t="shared" si="2235"/>
        <v>36</v>
      </c>
      <c r="D9828">
        <v>6299</v>
      </c>
      <c r="E9828" t="str">
        <f>"7E"</f>
        <v>7E</v>
      </c>
      <c r="F9828" t="str">
        <f>"001"</f>
        <v>001</v>
      </c>
      <c r="G9828">
        <v>9</v>
      </c>
      <c r="H9828" t="str">
        <f t="shared" si="2236"/>
        <v>99</v>
      </c>
      <c r="I9828" t="str">
        <f t="shared" si="2230"/>
        <v>0</v>
      </c>
      <c r="J9828" t="str">
        <f t="shared" si="2231"/>
        <v>00</v>
      </c>
      <c r="K9828">
        <v>20190503</v>
      </c>
      <c r="L9828" t="str">
        <f>"076721"</f>
        <v>076721</v>
      </c>
      <c r="M9828" t="str">
        <f>"80175"</f>
        <v>80175</v>
      </c>
      <c r="N9828" t="s">
        <v>3470</v>
      </c>
      <c r="O9828">
        <v>235</v>
      </c>
      <c r="P9828">
        <v>20190502</v>
      </c>
      <c r="Q9828" t="s">
        <v>7737</v>
      </c>
      <c r="R9828" t="s">
        <v>4556</v>
      </c>
      <c r="S9828" t="s">
        <v>7000</v>
      </c>
      <c r="T9828" t="s">
        <v>301</v>
      </c>
    </row>
    <row r="9829" spans="1:20" x14ac:dyDescent="0.25">
      <c r="A9829">
        <v>9</v>
      </c>
      <c r="B9829">
        <v>461</v>
      </c>
      <c r="C9829" t="str">
        <f t="shared" si="2235"/>
        <v>36</v>
      </c>
      <c r="D9829">
        <v>6412</v>
      </c>
      <c r="E9829" t="str">
        <f>"7C"</f>
        <v>7C</v>
      </c>
      <c r="F9829" t="str">
        <f>"999"</f>
        <v>999</v>
      </c>
      <c r="G9829">
        <v>9</v>
      </c>
      <c r="H9829" t="str">
        <f t="shared" si="2236"/>
        <v>99</v>
      </c>
      <c r="I9829" t="str">
        <f t="shared" si="2230"/>
        <v>0</v>
      </c>
      <c r="J9829" t="str">
        <f t="shared" si="2231"/>
        <v>00</v>
      </c>
      <c r="K9829">
        <v>20190503</v>
      </c>
      <c r="L9829" t="str">
        <f>"076723"</f>
        <v>076723</v>
      </c>
      <c r="M9829" t="str">
        <f>"81719"</f>
        <v>81719</v>
      </c>
      <c r="N9829" t="s">
        <v>4688</v>
      </c>
      <c r="O9829">
        <v>548</v>
      </c>
      <c r="P9829">
        <v>20190502</v>
      </c>
      <c r="Q9829" t="s">
        <v>7691</v>
      </c>
      <c r="R9829" t="s">
        <v>4713</v>
      </c>
      <c r="S9829" t="s">
        <v>7000</v>
      </c>
      <c r="T9829" t="s">
        <v>3622</v>
      </c>
    </row>
    <row r="9830" spans="1:20" x14ac:dyDescent="0.25">
      <c r="A9830">
        <v>9</v>
      </c>
      <c r="B9830">
        <v>461</v>
      </c>
      <c r="C9830" t="str">
        <f t="shared" si="2235"/>
        <v>36</v>
      </c>
      <c r="D9830">
        <v>6399</v>
      </c>
      <c r="E9830" t="str">
        <f>"7C"</f>
        <v>7C</v>
      </c>
      <c r="F9830" t="str">
        <f>"001"</f>
        <v>001</v>
      </c>
      <c r="G9830">
        <v>9</v>
      </c>
      <c r="H9830" t="str">
        <f t="shared" si="2236"/>
        <v>99</v>
      </c>
      <c r="I9830" t="str">
        <f t="shared" si="2230"/>
        <v>0</v>
      </c>
      <c r="J9830" t="str">
        <f t="shared" si="2231"/>
        <v>00</v>
      </c>
      <c r="K9830">
        <v>20190510</v>
      </c>
      <c r="L9830" t="str">
        <f>"076731"</f>
        <v>076731</v>
      </c>
      <c r="M9830" t="str">
        <f>"04410"</f>
        <v>04410</v>
      </c>
      <c r="N9830" t="s">
        <v>410</v>
      </c>
      <c r="O9830">
        <v>350.4</v>
      </c>
      <c r="P9830">
        <v>20190508</v>
      </c>
      <c r="Q9830" t="s">
        <v>7538</v>
      </c>
      <c r="R9830" t="s">
        <v>7748</v>
      </c>
      <c r="S9830" t="s">
        <v>7000</v>
      </c>
      <c r="T9830" t="s">
        <v>301</v>
      </c>
    </row>
    <row r="9831" spans="1:20" x14ac:dyDescent="0.25">
      <c r="A9831">
        <v>9</v>
      </c>
      <c r="B9831">
        <v>461</v>
      </c>
      <c r="C9831" t="str">
        <f t="shared" si="2235"/>
        <v>36</v>
      </c>
      <c r="D9831">
        <v>6399</v>
      </c>
      <c r="E9831" t="str">
        <f>"H2"</f>
        <v>H2</v>
      </c>
      <c r="F9831" t="str">
        <f>"001"</f>
        <v>001</v>
      </c>
      <c r="G9831">
        <v>9</v>
      </c>
      <c r="H9831" t="str">
        <f t="shared" si="2236"/>
        <v>99</v>
      </c>
      <c r="I9831" t="str">
        <f t="shared" ref="I9831:I9861" si="2237">"0"</f>
        <v>0</v>
      </c>
      <c r="J9831" t="str">
        <f t="shared" si="2231"/>
        <v>00</v>
      </c>
      <c r="K9831">
        <v>20190510</v>
      </c>
      <c r="L9831" t="str">
        <f>"076731"</f>
        <v>076731</v>
      </c>
      <c r="M9831" t="str">
        <f>"04410"</f>
        <v>04410</v>
      </c>
      <c r="N9831" t="s">
        <v>410</v>
      </c>
      <c r="O9831">
        <v>322.10000000000002</v>
      </c>
      <c r="P9831">
        <v>20190508</v>
      </c>
      <c r="Q9831" t="s">
        <v>7033</v>
      </c>
      <c r="R9831" t="s">
        <v>7749</v>
      </c>
      <c r="S9831" t="s">
        <v>7000</v>
      </c>
      <c r="T9831" t="s">
        <v>301</v>
      </c>
    </row>
    <row r="9832" spans="1:20" x14ac:dyDescent="0.25">
      <c r="A9832">
        <v>9</v>
      </c>
      <c r="B9832">
        <v>461</v>
      </c>
      <c r="C9832" t="str">
        <f t="shared" si="2235"/>
        <v>36</v>
      </c>
      <c r="D9832">
        <v>6399</v>
      </c>
      <c r="E9832" t="str">
        <f>"H2"</f>
        <v>H2</v>
      </c>
      <c r="F9832" t="str">
        <f>"001"</f>
        <v>001</v>
      </c>
      <c r="G9832">
        <v>9</v>
      </c>
      <c r="H9832" t="str">
        <f t="shared" si="2236"/>
        <v>99</v>
      </c>
      <c r="I9832" t="str">
        <f t="shared" si="2237"/>
        <v>0</v>
      </c>
      <c r="J9832" t="str">
        <f t="shared" si="2231"/>
        <v>00</v>
      </c>
      <c r="K9832">
        <v>20190510</v>
      </c>
      <c r="L9832" t="str">
        <f>"076731"</f>
        <v>076731</v>
      </c>
      <c r="M9832" t="str">
        <f>"04410"</f>
        <v>04410</v>
      </c>
      <c r="N9832" t="s">
        <v>410</v>
      </c>
      <c r="O9832">
        <v>385.15</v>
      </c>
      <c r="P9832">
        <v>20190508</v>
      </c>
      <c r="Q9832" t="s">
        <v>7033</v>
      </c>
      <c r="R9832" t="s">
        <v>4862</v>
      </c>
      <c r="S9832" t="s">
        <v>7000</v>
      </c>
      <c r="T9832" t="s">
        <v>301</v>
      </c>
    </row>
    <row r="9833" spans="1:20" x14ac:dyDescent="0.25">
      <c r="A9833">
        <v>9</v>
      </c>
      <c r="B9833">
        <v>461</v>
      </c>
      <c r="C9833" t="str">
        <f t="shared" si="2235"/>
        <v>36</v>
      </c>
      <c r="D9833">
        <v>6399</v>
      </c>
      <c r="E9833" t="str">
        <f>"7U"</f>
        <v>7U</v>
      </c>
      <c r="F9833" t="str">
        <f>"104"</f>
        <v>104</v>
      </c>
      <c r="G9833">
        <v>9</v>
      </c>
      <c r="H9833" t="str">
        <f t="shared" si="2236"/>
        <v>99</v>
      </c>
      <c r="I9833" t="str">
        <f t="shared" si="2237"/>
        <v>0</v>
      </c>
      <c r="J9833" t="str">
        <f t="shared" si="2231"/>
        <v>00</v>
      </c>
      <c r="K9833">
        <v>20190510</v>
      </c>
      <c r="L9833" t="str">
        <f>"076760"</f>
        <v>076760</v>
      </c>
      <c r="M9833" t="str">
        <f>"25221"</f>
        <v>25221</v>
      </c>
      <c r="N9833" t="s">
        <v>2484</v>
      </c>
      <c r="O9833">
        <v>537.57000000000005</v>
      </c>
      <c r="P9833">
        <v>20190508</v>
      </c>
      <c r="Q9833" t="s">
        <v>7193</v>
      </c>
      <c r="R9833" t="s">
        <v>2486</v>
      </c>
      <c r="S9833" t="s">
        <v>7000</v>
      </c>
      <c r="T9833" t="s">
        <v>46</v>
      </c>
    </row>
    <row r="9834" spans="1:20" x14ac:dyDescent="0.25">
      <c r="A9834">
        <v>9</v>
      </c>
      <c r="B9834">
        <v>461</v>
      </c>
      <c r="C9834" t="str">
        <f t="shared" si="2235"/>
        <v>36</v>
      </c>
      <c r="D9834">
        <v>6399</v>
      </c>
      <c r="E9834" t="str">
        <f>"7U"</f>
        <v>7U</v>
      </c>
      <c r="F9834" t="str">
        <f>"104"</f>
        <v>104</v>
      </c>
      <c r="G9834">
        <v>9</v>
      </c>
      <c r="H9834" t="str">
        <f t="shared" si="2236"/>
        <v>99</v>
      </c>
      <c r="I9834" t="str">
        <f t="shared" si="2237"/>
        <v>0</v>
      </c>
      <c r="J9834" t="str">
        <f t="shared" si="2231"/>
        <v>00</v>
      </c>
      <c r="K9834">
        <v>20190510</v>
      </c>
      <c r="L9834" t="str">
        <f>"076760"</f>
        <v>076760</v>
      </c>
      <c r="M9834" t="str">
        <f>"25221"</f>
        <v>25221</v>
      </c>
      <c r="N9834" t="s">
        <v>2484</v>
      </c>
      <c r="O9834">
        <v>329.87</v>
      </c>
      <c r="P9834">
        <v>20190508</v>
      </c>
      <c r="Q9834" t="s">
        <v>7193</v>
      </c>
      <c r="R9834" t="s">
        <v>7750</v>
      </c>
      <c r="S9834" t="s">
        <v>7000</v>
      </c>
      <c r="T9834" t="s">
        <v>46</v>
      </c>
    </row>
    <row r="9835" spans="1:20" x14ac:dyDescent="0.25">
      <c r="A9835">
        <v>9</v>
      </c>
      <c r="B9835">
        <v>461</v>
      </c>
      <c r="C9835" t="str">
        <f t="shared" si="2235"/>
        <v>36</v>
      </c>
      <c r="D9835">
        <v>6412</v>
      </c>
      <c r="E9835" t="str">
        <f>"3J"</f>
        <v>3J</v>
      </c>
      <c r="F9835" t="str">
        <f>"001"</f>
        <v>001</v>
      </c>
      <c r="G9835">
        <v>9</v>
      </c>
      <c r="H9835" t="str">
        <f>"91"</f>
        <v>91</v>
      </c>
      <c r="I9835" t="str">
        <f t="shared" si="2237"/>
        <v>0</v>
      </c>
      <c r="J9835" t="str">
        <f t="shared" si="2231"/>
        <v>00</v>
      </c>
      <c r="K9835">
        <v>20190510</v>
      </c>
      <c r="L9835" t="str">
        <f>"076762"</f>
        <v>076762</v>
      </c>
      <c r="M9835" t="str">
        <f>"28680"</f>
        <v>28680</v>
      </c>
      <c r="N9835" t="s">
        <v>482</v>
      </c>
      <c r="O9835">
        <v>186.83</v>
      </c>
      <c r="P9835">
        <v>20190508</v>
      </c>
      <c r="Q9835" t="s">
        <v>7617</v>
      </c>
      <c r="R9835" t="s">
        <v>1305</v>
      </c>
      <c r="S9835" t="s">
        <v>7000</v>
      </c>
      <c r="T9835" t="s">
        <v>301</v>
      </c>
    </row>
    <row r="9836" spans="1:20" x14ac:dyDescent="0.25">
      <c r="A9836">
        <v>9</v>
      </c>
      <c r="B9836">
        <v>461</v>
      </c>
      <c r="C9836" t="str">
        <f t="shared" si="2235"/>
        <v>36</v>
      </c>
      <c r="D9836">
        <v>6399</v>
      </c>
      <c r="E9836" t="str">
        <f>"3A"</f>
        <v>3A</v>
      </c>
      <c r="F9836" t="str">
        <f>"001"</f>
        <v>001</v>
      </c>
      <c r="G9836">
        <v>9</v>
      </c>
      <c r="H9836" t="str">
        <f>"91"</f>
        <v>91</v>
      </c>
      <c r="I9836" t="str">
        <f t="shared" si="2237"/>
        <v>0</v>
      </c>
      <c r="J9836" t="str">
        <f t="shared" si="2231"/>
        <v>00</v>
      </c>
      <c r="K9836">
        <v>20190510</v>
      </c>
      <c r="L9836" t="str">
        <f>"076768"</f>
        <v>076768</v>
      </c>
      <c r="M9836" t="str">
        <f>"31345"</f>
        <v>31345</v>
      </c>
      <c r="N9836" t="s">
        <v>1394</v>
      </c>
      <c r="O9836" s="1">
        <v>1512</v>
      </c>
      <c r="P9836">
        <v>20190508</v>
      </c>
      <c r="Q9836" t="s">
        <v>7175</v>
      </c>
      <c r="R9836" t="s">
        <v>7534</v>
      </c>
      <c r="S9836" t="s">
        <v>7000</v>
      </c>
      <c r="T9836" t="s">
        <v>301</v>
      </c>
    </row>
    <row r="9837" spans="1:20" x14ac:dyDescent="0.25">
      <c r="A9837">
        <v>9</v>
      </c>
      <c r="B9837">
        <v>461</v>
      </c>
      <c r="C9837" t="str">
        <f t="shared" si="2235"/>
        <v>36</v>
      </c>
      <c r="D9837">
        <v>6399</v>
      </c>
      <c r="E9837" t="str">
        <f>"3J"</f>
        <v>3J</v>
      </c>
      <c r="F9837" t="str">
        <f>"001"</f>
        <v>001</v>
      </c>
      <c r="G9837">
        <v>9</v>
      </c>
      <c r="H9837" t="str">
        <f>"91"</f>
        <v>91</v>
      </c>
      <c r="I9837" t="str">
        <f t="shared" si="2237"/>
        <v>0</v>
      </c>
      <c r="J9837" t="str">
        <f t="shared" si="2231"/>
        <v>00</v>
      </c>
      <c r="K9837">
        <v>20190510</v>
      </c>
      <c r="L9837" t="str">
        <f>"076768"</f>
        <v>076768</v>
      </c>
      <c r="M9837" t="str">
        <f>"31345"</f>
        <v>31345</v>
      </c>
      <c r="N9837" t="s">
        <v>1394</v>
      </c>
      <c r="O9837">
        <v>694.2</v>
      </c>
      <c r="P9837">
        <v>20190508</v>
      </c>
      <c r="Q9837" t="s">
        <v>7462</v>
      </c>
      <c r="R9837" t="s">
        <v>7751</v>
      </c>
      <c r="S9837" t="s">
        <v>7000</v>
      </c>
      <c r="T9837" t="s">
        <v>301</v>
      </c>
    </row>
    <row r="9838" spans="1:20" x14ac:dyDescent="0.25">
      <c r="A9838">
        <v>9</v>
      </c>
      <c r="B9838">
        <v>461</v>
      </c>
      <c r="C9838" t="str">
        <f t="shared" si="2235"/>
        <v>36</v>
      </c>
      <c r="D9838">
        <v>6399</v>
      </c>
      <c r="E9838" t="str">
        <f>"3P"</f>
        <v>3P</v>
      </c>
      <c r="F9838" t="str">
        <f>"001"</f>
        <v>001</v>
      </c>
      <c r="G9838">
        <v>9</v>
      </c>
      <c r="H9838" t="str">
        <f>"91"</f>
        <v>91</v>
      </c>
      <c r="I9838" t="str">
        <f t="shared" si="2237"/>
        <v>0</v>
      </c>
      <c r="J9838" t="str">
        <f t="shared" si="2231"/>
        <v>00</v>
      </c>
      <c r="K9838">
        <v>20190510</v>
      </c>
      <c r="L9838" t="str">
        <f>"076768"</f>
        <v>076768</v>
      </c>
      <c r="M9838" t="str">
        <f>"31345"</f>
        <v>31345</v>
      </c>
      <c r="N9838" t="s">
        <v>1394</v>
      </c>
      <c r="O9838" s="1">
        <v>2093</v>
      </c>
      <c r="P9838">
        <v>20190508</v>
      </c>
      <c r="Q9838" t="s">
        <v>7296</v>
      </c>
      <c r="R9838" t="s">
        <v>7752</v>
      </c>
      <c r="S9838" t="s">
        <v>7000</v>
      </c>
      <c r="T9838" t="s">
        <v>301</v>
      </c>
    </row>
    <row r="9839" spans="1:20" x14ac:dyDescent="0.25">
      <c r="A9839">
        <v>9</v>
      </c>
      <c r="B9839">
        <v>461</v>
      </c>
      <c r="C9839" t="str">
        <f t="shared" si="2235"/>
        <v>36</v>
      </c>
      <c r="D9839">
        <v>6399</v>
      </c>
      <c r="E9839" t="str">
        <f>"PR"</f>
        <v>PR</v>
      </c>
      <c r="F9839" t="str">
        <f>"104"</f>
        <v>104</v>
      </c>
      <c r="G9839">
        <v>9</v>
      </c>
      <c r="H9839" t="str">
        <f t="shared" ref="H9839:H9856" si="2238">"99"</f>
        <v>99</v>
      </c>
      <c r="I9839" t="str">
        <f t="shared" si="2237"/>
        <v>0</v>
      </c>
      <c r="J9839" t="str">
        <f t="shared" si="2231"/>
        <v>00</v>
      </c>
      <c r="K9839">
        <v>20190510</v>
      </c>
      <c r="L9839" t="str">
        <f>"076769"</f>
        <v>076769</v>
      </c>
      <c r="M9839" t="str">
        <f>"32920"</f>
        <v>32920</v>
      </c>
      <c r="N9839" t="s">
        <v>7740</v>
      </c>
      <c r="O9839" s="1">
        <v>1215</v>
      </c>
      <c r="P9839">
        <v>20190508</v>
      </c>
      <c r="Q9839" t="s">
        <v>7014</v>
      </c>
      <c r="R9839" t="s">
        <v>7753</v>
      </c>
      <c r="S9839" t="s">
        <v>7000</v>
      </c>
      <c r="T9839" t="s">
        <v>46</v>
      </c>
    </row>
    <row r="9840" spans="1:20" x14ac:dyDescent="0.25">
      <c r="A9840">
        <v>9</v>
      </c>
      <c r="B9840">
        <v>461</v>
      </c>
      <c r="C9840" t="str">
        <f t="shared" si="2235"/>
        <v>36</v>
      </c>
      <c r="D9840">
        <v>6412</v>
      </c>
      <c r="E9840" t="str">
        <f>"76"</f>
        <v>76</v>
      </c>
      <c r="F9840" t="str">
        <f>"041"</f>
        <v>041</v>
      </c>
      <c r="G9840">
        <v>9</v>
      </c>
      <c r="H9840" t="str">
        <f t="shared" si="2238"/>
        <v>99</v>
      </c>
      <c r="I9840" t="str">
        <f t="shared" si="2237"/>
        <v>0</v>
      </c>
      <c r="J9840" t="str">
        <f t="shared" si="2231"/>
        <v>00</v>
      </c>
      <c r="K9840">
        <v>20190510</v>
      </c>
      <c r="L9840" t="str">
        <f>"076770"</f>
        <v>076770</v>
      </c>
      <c r="M9840" t="str">
        <f>"32922"</f>
        <v>32922</v>
      </c>
      <c r="N9840" t="s">
        <v>7754</v>
      </c>
      <c r="O9840">
        <v>60</v>
      </c>
      <c r="P9840">
        <v>20190508</v>
      </c>
      <c r="Q9840" t="s">
        <v>7755</v>
      </c>
      <c r="R9840" t="s">
        <v>7756</v>
      </c>
      <c r="S9840" t="s">
        <v>7000</v>
      </c>
      <c r="T9840" t="s">
        <v>106</v>
      </c>
    </row>
    <row r="9841" spans="1:20" x14ac:dyDescent="0.25">
      <c r="A9841">
        <v>9</v>
      </c>
      <c r="B9841">
        <v>461</v>
      </c>
      <c r="C9841" t="str">
        <f t="shared" si="2235"/>
        <v>36</v>
      </c>
      <c r="D9841">
        <v>6399</v>
      </c>
      <c r="E9841" t="str">
        <f>"69"</f>
        <v>69</v>
      </c>
      <c r="F9841" t="str">
        <f>"001"</f>
        <v>001</v>
      </c>
      <c r="G9841">
        <v>9</v>
      </c>
      <c r="H9841" t="str">
        <f t="shared" si="2238"/>
        <v>99</v>
      </c>
      <c r="I9841" t="str">
        <f t="shared" si="2237"/>
        <v>0</v>
      </c>
      <c r="J9841" t="str">
        <f t="shared" si="2231"/>
        <v>00</v>
      </c>
      <c r="K9841">
        <v>20190510</v>
      </c>
      <c r="L9841" t="str">
        <f>"076775"</f>
        <v>076775</v>
      </c>
      <c r="M9841" t="str">
        <f>"40550"</f>
        <v>40550</v>
      </c>
      <c r="N9841" t="s">
        <v>2645</v>
      </c>
      <c r="O9841">
        <v>175.33</v>
      </c>
      <c r="P9841">
        <v>20190508</v>
      </c>
      <c r="Q9841" t="s">
        <v>7648</v>
      </c>
      <c r="R9841" t="s">
        <v>7490</v>
      </c>
      <c r="S9841" t="s">
        <v>7000</v>
      </c>
      <c r="T9841" t="s">
        <v>301</v>
      </c>
    </row>
    <row r="9842" spans="1:20" x14ac:dyDescent="0.25">
      <c r="A9842">
        <v>9</v>
      </c>
      <c r="B9842">
        <v>461</v>
      </c>
      <c r="C9842" t="str">
        <f t="shared" si="2235"/>
        <v>36</v>
      </c>
      <c r="D9842">
        <v>6399</v>
      </c>
      <c r="E9842" t="str">
        <f>"00"</f>
        <v>00</v>
      </c>
      <c r="F9842" t="str">
        <f>"942"</f>
        <v>942</v>
      </c>
      <c r="G9842">
        <v>9</v>
      </c>
      <c r="H9842" t="str">
        <f t="shared" si="2238"/>
        <v>99</v>
      </c>
      <c r="I9842" t="str">
        <f t="shared" si="2237"/>
        <v>0</v>
      </c>
      <c r="J9842" t="str">
        <f>"88"</f>
        <v>88</v>
      </c>
      <c r="K9842">
        <v>20190510</v>
      </c>
      <c r="L9842" t="str">
        <f>"076776"</f>
        <v>076776</v>
      </c>
      <c r="M9842" t="str">
        <f>"41230"</f>
        <v>41230</v>
      </c>
      <c r="N9842" t="s">
        <v>1350</v>
      </c>
      <c r="O9842">
        <v>72.72</v>
      </c>
      <c r="P9842">
        <v>20190508</v>
      </c>
      <c r="Q9842" t="s">
        <v>7018</v>
      </c>
      <c r="R9842" t="s">
        <v>7757</v>
      </c>
      <c r="S9842" t="s">
        <v>7000</v>
      </c>
      <c r="T9842" t="s">
        <v>1831</v>
      </c>
    </row>
    <row r="9843" spans="1:20" x14ac:dyDescent="0.25">
      <c r="A9843">
        <v>9</v>
      </c>
      <c r="B9843">
        <v>461</v>
      </c>
      <c r="C9843" t="str">
        <f t="shared" si="2235"/>
        <v>36</v>
      </c>
      <c r="D9843">
        <v>6399</v>
      </c>
      <c r="E9843" t="str">
        <f>"61"</f>
        <v>61</v>
      </c>
      <c r="F9843" t="str">
        <f>"001"</f>
        <v>001</v>
      </c>
      <c r="G9843">
        <v>9</v>
      </c>
      <c r="H9843" t="str">
        <f t="shared" si="2238"/>
        <v>99</v>
      </c>
      <c r="I9843" t="str">
        <f t="shared" si="2237"/>
        <v>0</v>
      </c>
      <c r="J9843" t="str">
        <f t="shared" ref="J9843:J9869" si="2239">"00"</f>
        <v>00</v>
      </c>
      <c r="K9843">
        <v>20190510</v>
      </c>
      <c r="L9843" t="str">
        <f>"076776"</f>
        <v>076776</v>
      </c>
      <c r="M9843" t="str">
        <f>"41230"</f>
        <v>41230</v>
      </c>
      <c r="N9843" t="s">
        <v>1350</v>
      </c>
      <c r="O9843">
        <v>260.44</v>
      </c>
      <c r="P9843">
        <v>20190508</v>
      </c>
      <c r="Q9843" t="s">
        <v>7095</v>
      </c>
      <c r="R9843" t="s">
        <v>7758</v>
      </c>
      <c r="S9843" t="s">
        <v>7000</v>
      </c>
      <c r="T9843" t="s">
        <v>301</v>
      </c>
    </row>
    <row r="9844" spans="1:20" x14ac:dyDescent="0.25">
      <c r="A9844">
        <v>9</v>
      </c>
      <c r="B9844">
        <v>461</v>
      </c>
      <c r="C9844" t="str">
        <f t="shared" si="2235"/>
        <v>36</v>
      </c>
      <c r="D9844">
        <v>6399</v>
      </c>
      <c r="E9844" t="str">
        <f>"61"</f>
        <v>61</v>
      </c>
      <c r="F9844" t="str">
        <f>"001"</f>
        <v>001</v>
      </c>
      <c r="G9844">
        <v>9</v>
      </c>
      <c r="H9844" t="str">
        <f t="shared" si="2238"/>
        <v>99</v>
      </c>
      <c r="I9844" t="str">
        <f t="shared" si="2237"/>
        <v>0</v>
      </c>
      <c r="J9844" t="str">
        <f t="shared" si="2239"/>
        <v>00</v>
      </c>
      <c r="K9844">
        <v>20190510</v>
      </c>
      <c r="L9844" t="str">
        <f>"076776"</f>
        <v>076776</v>
      </c>
      <c r="M9844" t="str">
        <f>"41230"</f>
        <v>41230</v>
      </c>
      <c r="N9844" t="s">
        <v>1350</v>
      </c>
      <c r="O9844">
        <v>185.44</v>
      </c>
      <c r="P9844">
        <v>20190508</v>
      </c>
      <c r="Q9844" t="s">
        <v>7095</v>
      </c>
      <c r="R9844" t="s">
        <v>7758</v>
      </c>
      <c r="S9844" t="s">
        <v>7000</v>
      </c>
      <c r="T9844" t="s">
        <v>301</v>
      </c>
    </row>
    <row r="9845" spans="1:20" x14ac:dyDescent="0.25">
      <c r="A9845">
        <v>9</v>
      </c>
      <c r="B9845">
        <v>461</v>
      </c>
      <c r="C9845" t="str">
        <f t="shared" si="2235"/>
        <v>36</v>
      </c>
      <c r="D9845">
        <v>6399</v>
      </c>
      <c r="E9845" t="str">
        <f>"61"</f>
        <v>61</v>
      </c>
      <c r="F9845" t="str">
        <f>"001"</f>
        <v>001</v>
      </c>
      <c r="G9845">
        <v>9</v>
      </c>
      <c r="H9845" t="str">
        <f t="shared" si="2238"/>
        <v>99</v>
      </c>
      <c r="I9845" t="str">
        <f t="shared" si="2237"/>
        <v>0</v>
      </c>
      <c r="J9845" t="str">
        <f t="shared" si="2239"/>
        <v>00</v>
      </c>
      <c r="K9845">
        <v>20190510</v>
      </c>
      <c r="L9845" t="str">
        <f>"076776"</f>
        <v>076776</v>
      </c>
      <c r="M9845" t="str">
        <f>"41230"</f>
        <v>41230</v>
      </c>
      <c r="N9845" t="s">
        <v>1350</v>
      </c>
      <c r="O9845">
        <v>54.23</v>
      </c>
      <c r="P9845">
        <v>20190508</v>
      </c>
      <c r="Q9845" t="s">
        <v>7095</v>
      </c>
      <c r="R9845" t="s">
        <v>7758</v>
      </c>
      <c r="S9845" t="s">
        <v>7000</v>
      </c>
      <c r="T9845" t="s">
        <v>301</v>
      </c>
    </row>
    <row r="9846" spans="1:20" x14ac:dyDescent="0.25">
      <c r="A9846">
        <v>9</v>
      </c>
      <c r="B9846">
        <v>461</v>
      </c>
      <c r="C9846" t="str">
        <f t="shared" si="2235"/>
        <v>36</v>
      </c>
      <c r="D9846">
        <v>6399</v>
      </c>
      <c r="E9846" t="str">
        <f>"44"</f>
        <v>44</v>
      </c>
      <c r="F9846" t="str">
        <f>"104"</f>
        <v>104</v>
      </c>
      <c r="G9846">
        <v>9</v>
      </c>
      <c r="H9846" t="str">
        <f t="shared" si="2238"/>
        <v>99</v>
      </c>
      <c r="I9846" t="str">
        <f t="shared" si="2237"/>
        <v>0</v>
      </c>
      <c r="J9846" t="str">
        <f t="shared" si="2239"/>
        <v>00</v>
      </c>
      <c r="K9846">
        <v>20190510</v>
      </c>
      <c r="L9846" t="str">
        <f>"076789"</f>
        <v>076789</v>
      </c>
      <c r="M9846" t="str">
        <f>"54092"</f>
        <v>54092</v>
      </c>
      <c r="N9846" t="s">
        <v>4149</v>
      </c>
      <c r="O9846">
        <v>235.33</v>
      </c>
      <c r="P9846">
        <v>20190508</v>
      </c>
      <c r="Q9846" t="s">
        <v>7104</v>
      </c>
      <c r="R9846" t="s">
        <v>4261</v>
      </c>
      <c r="S9846" t="s">
        <v>7000</v>
      </c>
      <c r="T9846" t="s">
        <v>46</v>
      </c>
    </row>
    <row r="9847" spans="1:20" x14ac:dyDescent="0.25">
      <c r="A9847">
        <v>9</v>
      </c>
      <c r="B9847">
        <v>461</v>
      </c>
      <c r="C9847" t="str">
        <f t="shared" si="2235"/>
        <v>36</v>
      </c>
      <c r="D9847">
        <v>6399</v>
      </c>
      <c r="E9847" t="str">
        <f>"44"</f>
        <v>44</v>
      </c>
      <c r="F9847" t="str">
        <f>"104"</f>
        <v>104</v>
      </c>
      <c r="G9847">
        <v>9</v>
      </c>
      <c r="H9847" t="str">
        <f t="shared" si="2238"/>
        <v>99</v>
      </c>
      <c r="I9847" t="str">
        <f t="shared" si="2237"/>
        <v>0</v>
      </c>
      <c r="J9847" t="str">
        <f t="shared" si="2239"/>
        <v>00</v>
      </c>
      <c r="K9847">
        <v>20190510</v>
      </c>
      <c r="L9847" t="str">
        <f>"076789"</f>
        <v>076789</v>
      </c>
      <c r="M9847" t="str">
        <f>"54092"</f>
        <v>54092</v>
      </c>
      <c r="N9847" t="s">
        <v>4149</v>
      </c>
      <c r="O9847">
        <v>20.59</v>
      </c>
      <c r="P9847">
        <v>20190508</v>
      </c>
      <c r="Q9847" t="s">
        <v>7104</v>
      </c>
      <c r="R9847" t="s">
        <v>7759</v>
      </c>
      <c r="S9847" t="s">
        <v>7000</v>
      </c>
      <c r="T9847" t="s">
        <v>46</v>
      </c>
    </row>
    <row r="9848" spans="1:20" x14ac:dyDescent="0.25">
      <c r="A9848">
        <v>9</v>
      </c>
      <c r="B9848">
        <v>461</v>
      </c>
      <c r="C9848" t="str">
        <f t="shared" si="2235"/>
        <v>36</v>
      </c>
      <c r="D9848">
        <v>6399</v>
      </c>
      <c r="E9848" t="str">
        <f>"61"</f>
        <v>61</v>
      </c>
      <c r="F9848" t="str">
        <f>"101"</f>
        <v>101</v>
      </c>
      <c r="G9848">
        <v>9</v>
      </c>
      <c r="H9848" t="str">
        <f t="shared" si="2238"/>
        <v>99</v>
      </c>
      <c r="I9848" t="str">
        <f t="shared" si="2237"/>
        <v>0</v>
      </c>
      <c r="J9848" t="str">
        <f t="shared" si="2239"/>
        <v>00</v>
      </c>
      <c r="K9848">
        <v>20190510</v>
      </c>
      <c r="L9848" t="str">
        <f>"076791"</f>
        <v>076791</v>
      </c>
      <c r="M9848" t="str">
        <f>"56564"</f>
        <v>56564</v>
      </c>
      <c r="N9848" t="s">
        <v>4765</v>
      </c>
      <c r="O9848">
        <v>61.99</v>
      </c>
      <c r="P9848">
        <v>20190508</v>
      </c>
      <c r="Q9848" t="s">
        <v>7007</v>
      </c>
      <c r="R9848" t="s">
        <v>7760</v>
      </c>
      <c r="S9848" t="s">
        <v>7000</v>
      </c>
      <c r="T9848" t="s">
        <v>1479</v>
      </c>
    </row>
    <row r="9849" spans="1:20" x14ac:dyDescent="0.25">
      <c r="A9849">
        <v>9</v>
      </c>
      <c r="B9849">
        <v>461</v>
      </c>
      <c r="C9849" t="str">
        <f t="shared" si="2235"/>
        <v>36</v>
      </c>
      <c r="D9849">
        <v>6399</v>
      </c>
      <c r="E9849" t="str">
        <f>"PR"</f>
        <v>PR</v>
      </c>
      <c r="F9849" t="str">
        <f>"041"</f>
        <v>041</v>
      </c>
      <c r="G9849">
        <v>9</v>
      </c>
      <c r="H9849" t="str">
        <f t="shared" si="2238"/>
        <v>99</v>
      </c>
      <c r="I9849" t="str">
        <f t="shared" si="2237"/>
        <v>0</v>
      </c>
      <c r="J9849" t="str">
        <f t="shared" si="2239"/>
        <v>00</v>
      </c>
      <c r="K9849">
        <v>20190510</v>
      </c>
      <c r="L9849" t="str">
        <f>"076791"</f>
        <v>076791</v>
      </c>
      <c r="M9849" t="str">
        <f>"56564"</f>
        <v>56564</v>
      </c>
      <c r="N9849" t="s">
        <v>4765</v>
      </c>
      <c r="O9849">
        <v>167.48</v>
      </c>
      <c r="P9849">
        <v>20190508</v>
      </c>
      <c r="Q9849" t="s">
        <v>7497</v>
      </c>
      <c r="R9849" t="s">
        <v>5317</v>
      </c>
      <c r="S9849" t="s">
        <v>7000</v>
      </c>
      <c r="T9849" t="s">
        <v>106</v>
      </c>
    </row>
    <row r="9850" spans="1:20" x14ac:dyDescent="0.25">
      <c r="A9850">
        <v>9</v>
      </c>
      <c r="B9850">
        <v>461</v>
      </c>
      <c r="C9850" t="str">
        <f t="shared" si="2235"/>
        <v>36</v>
      </c>
      <c r="D9850">
        <v>6399</v>
      </c>
      <c r="E9850" t="str">
        <f>"04"</f>
        <v>04</v>
      </c>
      <c r="F9850" t="str">
        <f t="shared" ref="F9850:F9856" si="2240">"104"</f>
        <v>104</v>
      </c>
      <c r="G9850">
        <v>9</v>
      </c>
      <c r="H9850" t="str">
        <f t="shared" si="2238"/>
        <v>99</v>
      </c>
      <c r="I9850" t="str">
        <f t="shared" si="2237"/>
        <v>0</v>
      </c>
      <c r="J9850" t="str">
        <f t="shared" si="2239"/>
        <v>00</v>
      </c>
      <c r="K9850">
        <v>20190510</v>
      </c>
      <c r="L9850" t="str">
        <f t="shared" ref="L9850:L9856" si="2241">"076794"</f>
        <v>076794</v>
      </c>
      <c r="M9850" t="str">
        <f t="shared" ref="M9850:M9856" si="2242">"58201"</f>
        <v>58201</v>
      </c>
      <c r="N9850" t="s">
        <v>2662</v>
      </c>
      <c r="O9850">
        <v>105</v>
      </c>
      <c r="P9850">
        <v>20190508</v>
      </c>
      <c r="Q9850" t="s">
        <v>7761</v>
      </c>
      <c r="R9850" t="s">
        <v>7762</v>
      </c>
      <c r="S9850" t="s">
        <v>7000</v>
      </c>
      <c r="T9850" t="s">
        <v>46</v>
      </c>
    </row>
    <row r="9851" spans="1:20" x14ac:dyDescent="0.25">
      <c r="A9851">
        <v>9</v>
      </c>
      <c r="B9851">
        <v>461</v>
      </c>
      <c r="C9851" t="str">
        <f t="shared" si="2235"/>
        <v>36</v>
      </c>
      <c r="D9851">
        <v>6399</v>
      </c>
      <c r="E9851" t="str">
        <f>"04"</f>
        <v>04</v>
      </c>
      <c r="F9851" t="str">
        <f t="shared" si="2240"/>
        <v>104</v>
      </c>
      <c r="G9851">
        <v>9</v>
      </c>
      <c r="H9851" t="str">
        <f t="shared" si="2238"/>
        <v>99</v>
      </c>
      <c r="I9851" t="str">
        <f t="shared" si="2237"/>
        <v>0</v>
      </c>
      <c r="J9851" t="str">
        <f t="shared" si="2239"/>
        <v>00</v>
      </c>
      <c r="K9851">
        <v>20190510</v>
      </c>
      <c r="L9851" t="str">
        <f t="shared" si="2241"/>
        <v>076794</v>
      </c>
      <c r="M9851" t="str">
        <f t="shared" si="2242"/>
        <v>58201</v>
      </c>
      <c r="N9851" t="s">
        <v>2662</v>
      </c>
      <c r="O9851">
        <v>21.92</v>
      </c>
      <c r="P9851">
        <v>20190508</v>
      </c>
      <c r="Q9851" t="s">
        <v>7761</v>
      </c>
      <c r="R9851" t="s">
        <v>7762</v>
      </c>
      <c r="S9851" t="s">
        <v>7000</v>
      </c>
      <c r="T9851" t="s">
        <v>46</v>
      </c>
    </row>
    <row r="9852" spans="1:20" x14ac:dyDescent="0.25">
      <c r="A9852">
        <v>9</v>
      </c>
      <c r="B9852">
        <v>461</v>
      </c>
      <c r="C9852" t="str">
        <f t="shared" si="2235"/>
        <v>36</v>
      </c>
      <c r="D9852">
        <v>6399</v>
      </c>
      <c r="E9852" t="str">
        <f>"50"</f>
        <v>50</v>
      </c>
      <c r="F9852" t="str">
        <f t="shared" si="2240"/>
        <v>104</v>
      </c>
      <c r="G9852">
        <v>9</v>
      </c>
      <c r="H9852" t="str">
        <f t="shared" si="2238"/>
        <v>99</v>
      </c>
      <c r="I9852" t="str">
        <f t="shared" si="2237"/>
        <v>0</v>
      </c>
      <c r="J9852" t="str">
        <f t="shared" si="2239"/>
        <v>00</v>
      </c>
      <c r="K9852">
        <v>20190510</v>
      </c>
      <c r="L9852" t="str">
        <f t="shared" si="2241"/>
        <v>076794</v>
      </c>
      <c r="M9852" t="str">
        <f t="shared" si="2242"/>
        <v>58201</v>
      </c>
      <c r="N9852" t="s">
        <v>2662</v>
      </c>
      <c r="O9852">
        <v>51</v>
      </c>
      <c r="P9852">
        <v>20190508</v>
      </c>
      <c r="Q9852" t="s">
        <v>7173</v>
      </c>
      <c r="R9852" t="s">
        <v>5317</v>
      </c>
      <c r="S9852" t="s">
        <v>7000</v>
      </c>
      <c r="T9852" t="s">
        <v>46</v>
      </c>
    </row>
    <row r="9853" spans="1:20" x14ac:dyDescent="0.25">
      <c r="A9853">
        <v>9</v>
      </c>
      <c r="B9853">
        <v>461</v>
      </c>
      <c r="C9853" t="str">
        <f t="shared" si="2235"/>
        <v>36</v>
      </c>
      <c r="D9853">
        <v>6399</v>
      </c>
      <c r="E9853" t="str">
        <f>"7U"</f>
        <v>7U</v>
      </c>
      <c r="F9853" t="str">
        <f t="shared" si="2240"/>
        <v>104</v>
      </c>
      <c r="G9853">
        <v>9</v>
      </c>
      <c r="H9853" t="str">
        <f t="shared" si="2238"/>
        <v>99</v>
      </c>
      <c r="I9853" t="str">
        <f t="shared" si="2237"/>
        <v>0</v>
      </c>
      <c r="J9853" t="str">
        <f t="shared" si="2239"/>
        <v>00</v>
      </c>
      <c r="K9853">
        <v>20190510</v>
      </c>
      <c r="L9853" t="str">
        <f t="shared" si="2241"/>
        <v>076794</v>
      </c>
      <c r="M9853" t="str">
        <f t="shared" si="2242"/>
        <v>58201</v>
      </c>
      <c r="N9853" t="s">
        <v>2662</v>
      </c>
      <c r="O9853">
        <v>136.33000000000001</v>
      </c>
      <c r="P9853">
        <v>20190508</v>
      </c>
      <c r="Q9853" t="s">
        <v>7193</v>
      </c>
      <c r="R9853" t="s">
        <v>2486</v>
      </c>
      <c r="S9853" t="s">
        <v>7000</v>
      </c>
      <c r="T9853" t="s">
        <v>46</v>
      </c>
    </row>
    <row r="9854" spans="1:20" x14ac:dyDescent="0.25">
      <c r="A9854">
        <v>9</v>
      </c>
      <c r="B9854">
        <v>461</v>
      </c>
      <c r="C9854" t="str">
        <f t="shared" si="2235"/>
        <v>36</v>
      </c>
      <c r="D9854">
        <v>6399</v>
      </c>
      <c r="E9854" t="str">
        <f>"90"</f>
        <v>90</v>
      </c>
      <c r="F9854" t="str">
        <f t="shared" si="2240"/>
        <v>104</v>
      </c>
      <c r="G9854">
        <v>9</v>
      </c>
      <c r="H9854" t="str">
        <f t="shared" si="2238"/>
        <v>99</v>
      </c>
      <c r="I9854" t="str">
        <f t="shared" si="2237"/>
        <v>0</v>
      </c>
      <c r="J9854" t="str">
        <f t="shared" si="2239"/>
        <v>00</v>
      </c>
      <c r="K9854">
        <v>20190510</v>
      </c>
      <c r="L9854" t="str">
        <f t="shared" si="2241"/>
        <v>076794</v>
      </c>
      <c r="M9854" t="str">
        <f t="shared" si="2242"/>
        <v>58201</v>
      </c>
      <c r="N9854" t="s">
        <v>2662</v>
      </c>
      <c r="O9854">
        <v>32.44</v>
      </c>
      <c r="P9854">
        <v>20190508</v>
      </c>
      <c r="Q9854" t="s">
        <v>7581</v>
      </c>
      <c r="R9854" t="s">
        <v>7763</v>
      </c>
      <c r="S9854" t="s">
        <v>7000</v>
      </c>
      <c r="T9854" t="s">
        <v>46</v>
      </c>
    </row>
    <row r="9855" spans="1:20" x14ac:dyDescent="0.25">
      <c r="A9855">
        <v>9</v>
      </c>
      <c r="B9855">
        <v>461</v>
      </c>
      <c r="C9855" t="str">
        <f t="shared" si="2235"/>
        <v>36</v>
      </c>
      <c r="D9855">
        <v>6399</v>
      </c>
      <c r="E9855" t="str">
        <f>"PR"</f>
        <v>PR</v>
      </c>
      <c r="F9855" t="str">
        <f t="shared" si="2240"/>
        <v>104</v>
      </c>
      <c r="G9855">
        <v>9</v>
      </c>
      <c r="H9855" t="str">
        <f t="shared" si="2238"/>
        <v>99</v>
      </c>
      <c r="I9855" t="str">
        <f t="shared" si="2237"/>
        <v>0</v>
      </c>
      <c r="J9855" t="str">
        <f t="shared" si="2239"/>
        <v>00</v>
      </c>
      <c r="K9855">
        <v>20190510</v>
      </c>
      <c r="L9855" t="str">
        <f t="shared" si="2241"/>
        <v>076794</v>
      </c>
      <c r="M9855" t="str">
        <f t="shared" si="2242"/>
        <v>58201</v>
      </c>
      <c r="N9855" t="s">
        <v>2662</v>
      </c>
      <c r="O9855">
        <v>35.78</v>
      </c>
      <c r="P9855">
        <v>20190508</v>
      </c>
      <c r="Q9855" t="s">
        <v>7014</v>
      </c>
      <c r="R9855" t="s">
        <v>7314</v>
      </c>
      <c r="S9855" t="s">
        <v>7000</v>
      </c>
      <c r="T9855" t="s">
        <v>46</v>
      </c>
    </row>
    <row r="9856" spans="1:20" x14ac:dyDescent="0.25">
      <c r="A9856">
        <v>9</v>
      </c>
      <c r="B9856">
        <v>461</v>
      </c>
      <c r="C9856" t="str">
        <f t="shared" si="2235"/>
        <v>36</v>
      </c>
      <c r="D9856">
        <v>6399</v>
      </c>
      <c r="E9856" t="str">
        <f>"PR"</f>
        <v>PR</v>
      </c>
      <c r="F9856" t="str">
        <f t="shared" si="2240"/>
        <v>104</v>
      </c>
      <c r="G9856">
        <v>9</v>
      </c>
      <c r="H9856" t="str">
        <f t="shared" si="2238"/>
        <v>99</v>
      </c>
      <c r="I9856" t="str">
        <f t="shared" si="2237"/>
        <v>0</v>
      </c>
      <c r="J9856" t="str">
        <f t="shared" si="2239"/>
        <v>00</v>
      </c>
      <c r="K9856">
        <v>20190510</v>
      </c>
      <c r="L9856" t="str">
        <f t="shared" si="2241"/>
        <v>076794</v>
      </c>
      <c r="M9856" t="str">
        <f t="shared" si="2242"/>
        <v>58201</v>
      </c>
      <c r="N9856" t="s">
        <v>2662</v>
      </c>
      <c r="O9856">
        <v>19.98</v>
      </c>
      <c r="P9856">
        <v>20190508</v>
      </c>
      <c r="Q9856" t="s">
        <v>7014</v>
      </c>
      <c r="R9856" t="s">
        <v>5115</v>
      </c>
      <c r="S9856" t="s">
        <v>7000</v>
      </c>
      <c r="T9856" t="s">
        <v>46</v>
      </c>
    </row>
    <row r="9857" spans="1:20" x14ac:dyDescent="0.25">
      <c r="A9857">
        <v>9</v>
      </c>
      <c r="B9857">
        <v>461</v>
      </c>
      <c r="C9857" t="str">
        <f t="shared" si="2235"/>
        <v>36</v>
      </c>
      <c r="D9857">
        <v>6399</v>
      </c>
      <c r="E9857" t="str">
        <f>"3P"</f>
        <v>3P</v>
      </c>
      <c r="F9857" t="str">
        <f>"001"</f>
        <v>001</v>
      </c>
      <c r="G9857">
        <v>9</v>
      </c>
      <c r="H9857" t="str">
        <f>"91"</f>
        <v>91</v>
      </c>
      <c r="I9857" t="str">
        <f t="shared" si="2237"/>
        <v>0</v>
      </c>
      <c r="J9857" t="str">
        <f t="shared" si="2239"/>
        <v>00</v>
      </c>
      <c r="K9857">
        <v>20190510</v>
      </c>
      <c r="L9857" t="str">
        <f>"076807"</f>
        <v>076807</v>
      </c>
      <c r="M9857" t="str">
        <f>"71250"</f>
        <v>71250</v>
      </c>
      <c r="N9857" t="s">
        <v>1389</v>
      </c>
      <c r="O9857">
        <v>59.36</v>
      </c>
      <c r="P9857">
        <v>20190508</v>
      </c>
      <c r="Q9857" t="s">
        <v>7296</v>
      </c>
      <c r="R9857" t="s">
        <v>7764</v>
      </c>
      <c r="S9857" t="s">
        <v>7000</v>
      </c>
      <c r="T9857" t="s">
        <v>301</v>
      </c>
    </row>
    <row r="9858" spans="1:20" x14ac:dyDescent="0.25">
      <c r="A9858">
        <v>9</v>
      </c>
      <c r="B9858">
        <v>461</v>
      </c>
      <c r="C9858" t="str">
        <f t="shared" si="2235"/>
        <v>36</v>
      </c>
      <c r="D9858">
        <v>6399</v>
      </c>
      <c r="E9858" t="str">
        <f>"69"</f>
        <v>69</v>
      </c>
      <c r="F9858" t="str">
        <f>"001"</f>
        <v>001</v>
      </c>
      <c r="G9858">
        <v>9</v>
      </c>
      <c r="H9858" t="str">
        <f>"99"</f>
        <v>99</v>
      </c>
      <c r="I9858" t="str">
        <f t="shared" si="2237"/>
        <v>0</v>
      </c>
      <c r="J9858" t="str">
        <f t="shared" si="2239"/>
        <v>00</v>
      </c>
      <c r="K9858">
        <v>20190510</v>
      </c>
      <c r="L9858" t="str">
        <f>"076807"</f>
        <v>076807</v>
      </c>
      <c r="M9858" t="str">
        <f>"71250"</f>
        <v>71250</v>
      </c>
      <c r="N9858" t="s">
        <v>1389</v>
      </c>
      <c r="O9858">
        <v>211.36</v>
      </c>
      <c r="P9858">
        <v>20190508</v>
      </c>
      <c r="Q9858" t="s">
        <v>7648</v>
      </c>
      <c r="R9858" t="s">
        <v>7765</v>
      </c>
      <c r="S9858" t="s">
        <v>7000</v>
      </c>
      <c r="T9858" t="s">
        <v>301</v>
      </c>
    </row>
    <row r="9859" spans="1:20" x14ac:dyDescent="0.25">
      <c r="A9859">
        <v>9</v>
      </c>
      <c r="B9859">
        <v>461</v>
      </c>
      <c r="C9859" t="str">
        <f t="shared" si="2235"/>
        <v>36</v>
      </c>
      <c r="D9859">
        <v>6399</v>
      </c>
      <c r="E9859" t="str">
        <f>"PR"</f>
        <v>PR</v>
      </c>
      <c r="F9859" t="str">
        <f>"104"</f>
        <v>104</v>
      </c>
      <c r="G9859">
        <v>9</v>
      </c>
      <c r="H9859" t="str">
        <f>"99"</f>
        <v>99</v>
      </c>
      <c r="I9859" t="str">
        <f t="shared" si="2237"/>
        <v>0</v>
      </c>
      <c r="J9859" t="str">
        <f t="shared" si="2239"/>
        <v>00</v>
      </c>
      <c r="K9859">
        <v>20190510</v>
      </c>
      <c r="L9859" t="str">
        <f>"076817"</f>
        <v>076817</v>
      </c>
      <c r="M9859" t="str">
        <f>"74835"</f>
        <v>74835</v>
      </c>
      <c r="N9859" t="s">
        <v>7084</v>
      </c>
      <c r="O9859">
        <v>375</v>
      </c>
      <c r="P9859">
        <v>20190509</v>
      </c>
      <c r="Q9859" t="s">
        <v>7014</v>
      </c>
      <c r="R9859" t="s">
        <v>7766</v>
      </c>
      <c r="S9859" t="s">
        <v>7000</v>
      </c>
      <c r="T9859" t="s">
        <v>46</v>
      </c>
    </row>
    <row r="9860" spans="1:20" x14ac:dyDescent="0.25">
      <c r="A9860">
        <v>9</v>
      </c>
      <c r="B9860">
        <v>461</v>
      </c>
      <c r="C9860" t="str">
        <f t="shared" si="2235"/>
        <v>36</v>
      </c>
      <c r="D9860">
        <v>6399</v>
      </c>
      <c r="E9860" t="str">
        <f>"PR"</f>
        <v>PR</v>
      </c>
      <c r="F9860" t="str">
        <f>"104"</f>
        <v>104</v>
      </c>
      <c r="G9860">
        <v>9</v>
      </c>
      <c r="H9860" t="str">
        <f>"99"</f>
        <v>99</v>
      </c>
      <c r="I9860" t="str">
        <f t="shared" si="2237"/>
        <v>0</v>
      </c>
      <c r="J9860" t="str">
        <f t="shared" si="2239"/>
        <v>00</v>
      </c>
      <c r="K9860">
        <v>20190517</v>
      </c>
      <c r="L9860" t="str">
        <f>"076825"</f>
        <v>076825</v>
      </c>
      <c r="M9860" t="str">
        <f>"04410"</f>
        <v>04410</v>
      </c>
      <c r="N9860" t="s">
        <v>410</v>
      </c>
      <c r="O9860">
        <v>27.44</v>
      </c>
      <c r="P9860">
        <v>20190515</v>
      </c>
      <c r="Q9860" t="s">
        <v>7014</v>
      </c>
      <c r="R9860" t="s">
        <v>7767</v>
      </c>
      <c r="S9860" t="s">
        <v>7000</v>
      </c>
      <c r="T9860" t="s">
        <v>46</v>
      </c>
    </row>
    <row r="9861" spans="1:20" x14ac:dyDescent="0.25">
      <c r="A9861">
        <v>9</v>
      </c>
      <c r="B9861">
        <v>461</v>
      </c>
      <c r="C9861" t="str">
        <f t="shared" si="2235"/>
        <v>36</v>
      </c>
      <c r="D9861">
        <v>6399</v>
      </c>
      <c r="E9861" t="str">
        <f>"PR"</f>
        <v>PR</v>
      </c>
      <c r="F9861" t="str">
        <f>"104"</f>
        <v>104</v>
      </c>
      <c r="G9861">
        <v>9</v>
      </c>
      <c r="H9861" t="str">
        <f>"99"</f>
        <v>99</v>
      </c>
      <c r="I9861" t="str">
        <f t="shared" si="2237"/>
        <v>0</v>
      </c>
      <c r="J9861" t="str">
        <f t="shared" si="2239"/>
        <v>00</v>
      </c>
      <c r="K9861">
        <v>20190517</v>
      </c>
      <c r="L9861" t="str">
        <f>"076825"</f>
        <v>076825</v>
      </c>
      <c r="M9861" t="str">
        <f>"04410"</f>
        <v>04410</v>
      </c>
      <c r="N9861" t="s">
        <v>410</v>
      </c>
      <c r="O9861">
        <v>20.58</v>
      </c>
      <c r="P9861">
        <v>20190515</v>
      </c>
      <c r="Q9861" t="s">
        <v>7014</v>
      </c>
      <c r="R9861" t="s">
        <v>7767</v>
      </c>
      <c r="S9861" t="s">
        <v>7000</v>
      </c>
      <c r="T9861" t="s">
        <v>46</v>
      </c>
    </row>
    <row r="9862" spans="1:20" x14ac:dyDescent="0.25">
      <c r="A9862">
        <v>9</v>
      </c>
      <c r="B9862">
        <v>461</v>
      </c>
      <c r="C9862" t="str">
        <f t="shared" si="2235"/>
        <v>36</v>
      </c>
      <c r="D9862">
        <v>6399</v>
      </c>
      <c r="E9862" t="str">
        <f>"3M"</f>
        <v>3M</v>
      </c>
      <c r="F9862" t="str">
        <f>"001"</f>
        <v>001</v>
      </c>
      <c r="G9862">
        <v>9</v>
      </c>
      <c r="H9862" t="str">
        <f>"91"</f>
        <v>91</v>
      </c>
      <c r="I9862" t="str">
        <f>"1"</f>
        <v>1</v>
      </c>
      <c r="J9862" t="str">
        <f t="shared" si="2239"/>
        <v>00</v>
      </c>
      <c r="K9862">
        <v>20190517</v>
      </c>
      <c r="L9862" t="str">
        <f>"076832"</f>
        <v>076832</v>
      </c>
      <c r="M9862" t="str">
        <f>"00785"</f>
        <v>00785</v>
      </c>
      <c r="N9862" t="s">
        <v>7768</v>
      </c>
      <c r="O9862" s="1">
        <v>2367.96</v>
      </c>
      <c r="P9862">
        <v>20190515</v>
      </c>
      <c r="Q9862" t="s">
        <v>7348</v>
      </c>
      <c r="R9862" t="s">
        <v>7769</v>
      </c>
      <c r="S9862" t="s">
        <v>7000</v>
      </c>
      <c r="T9862" t="s">
        <v>301</v>
      </c>
    </row>
    <row r="9863" spans="1:20" x14ac:dyDescent="0.25">
      <c r="A9863">
        <v>9</v>
      </c>
      <c r="B9863">
        <v>461</v>
      </c>
      <c r="C9863" t="str">
        <f t="shared" si="2235"/>
        <v>36</v>
      </c>
      <c r="D9863">
        <v>6399</v>
      </c>
      <c r="E9863" t="str">
        <f>"74"</f>
        <v>74</v>
      </c>
      <c r="F9863" t="str">
        <f>"041"</f>
        <v>041</v>
      </c>
      <c r="G9863">
        <v>9</v>
      </c>
      <c r="H9863" t="str">
        <f>"99"</f>
        <v>99</v>
      </c>
      <c r="I9863" t="str">
        <f t="shared" ref="I9863:I9869" si="2243">"0"</f>
        <v>0</v>
      </c>
      <c r="J9863" t="str">
        <f t="shared" si="2239"/>
        <v>00</v>
      </c>
      <c r="K9863">
        <v>20190517</v>
      </c>
      <c r="L9863" t="str">
        <f>"076834"</f>
        <v>076834</v>
      </c>
      <c r="M9863" t="str">
        <f>"00821"</f>
        <v>00821</v>
      </c>
      <c r="N9863" t="s">
        <v>7770</v>
      </c>
      <c r="O9863">
        <v>189</v>
      </c>
      <c r="P9863">
        <v>20190516</v>
      </c>
      <c r="Q9863" t="s">
        <v>7167</v>
      </c>
      <c r="R9863" t="s">
        <v>7771</v>
      </c>
      <c r="S9863" t="s">
        <v>7000</v>
      </c>
      <c r="T9863" t="s">
        <v>106</v>
      </c>
    </row>
    <row r="9864" spans="1:20" x14ac:dyDescent="0.25">
      <c r="A9864">
        <v>9</v>
      </c>
      <c r="B9864">
        <v>461</v>
      </c>
      <c r="C9864" t="str">
        <f t="shared" si="2235"/>
        <v>36</v>
      </c>
      <c r="D9864">
        <v>6499</v>
      </c>
      <c r="E9864" t="str">
        <f>"7C"</f>
        <v>7C</v>
      </c>
      <c r="F9864" t="str">
        <f>"001"</f>
        <v>001</v>
      </c>
      <c r="G9864">
        <v>9</v>
      </c>
      <c r="H9864" t="str">
        <f>"99"</f>
        <v>99</v>
      </c>
      <c r="I9864" t="str">
        <f t="shared" si="2243"/>
        <v>0</v>
      </c>
      <c r="J9864" t="str">
        <f t="shared" si="2239"/>
        <v>00</v>
      </c>
      <c r="K9864">
        <v>20190517</v>
      </c>
      <c r="L9864" t="str">
        <f>"076843"</f>
        <v>076843</v>
      </c>
      <c r="M9864" t="str">
        <f>"25144"</f>
        <v>25144</v>
      </c>
      <c r="N9864" t="s">
        <v>1620</v>
      </c>
      <c r="O9864">
        <v>750</v>
      </c>
      <c r="P9864">
        <v>20190515</v>
      </c>
      <c r="Q9864" t="s">
        <v>7119</v>
      </c>
      <c r="R9864" t="s">
        <v>7646</v>
      </c>
      <c r="S9864" t="s">
        <v>7000</v>
      </c>
      <c r="T9864" t="s">
        <v>301</v>
      </c>
    </row>
    <row r="9865" spans="1:20" x14ac:dyDescent="0.25">
      <c r="A9865">
        <v>9</v>
      </c>
      <c r="B9865">
        <v>461</v>
      </c>
      <c r="C9865" t="str">
        <f t="shared" si="2235"/>
        <v>36</v>
      </c>
      <c r="D9865">
        <v>6399</v>
      </c>
      <c r="E9865" t="str">
        <f>"05"</f>
        <v>05</v>
      </c>
      <c r="F9865" t="str">
        <f>"104"</f>
        <v>104</v>
      </c>
      <c r="G9865">
        <v>9</v>
      </c>
      <c r="H9865" t="str">
        <f>"99"</f>
        <v>99</v>
      </c>
      <c r="I9865" t="str">
        <f t="shared" si="2243"/>
        <v>0</v>
      </c>
      <c r="J9865" t="str">
        <f t="shared" si="2239"/>
        <v>00</v>
      </c>
      <c r="K9865">
        <v>20190517</v>
      </c>
      <c r="L9865" t="str">
        <f>"076844"</f>
        <v>076844</v>
      </c>
      <c r="M9865" t="str">
        <f>"80434"</f>
        <v>80434</v>
      </c>
      <c r="N9865" t="s">
        <v>7772</v>
      </c>
      <c r="O9865">
        <v>200</v>
      </c>
      <c r="P9865">
        <v>20190515</v>
      </c>
      <c r="Q9865" t="s">
        <v>7310</v>
      </c>
      <c r="R9865" t="s">
        <v>7773</v>
      </c>
      <c r="S9865" t="s">
        <v>7000</v>
      </c>
      <c r="T9865" t="s">
        <v>46</v>
      </c>
    </row>
    <row r="9866" spans="1:20" x14ac:dyDescent="0.25">
      <c r="A9866">
        <v>9</v>
      </c>
      <c r="B9866">
        <v>461</v>
      </c>
      <c r="C9866" t="str">
        <f t="shared" si="2235"/>
        <v>36</v>
      </c>
      <c r="D9866">
        <v>6399</v>
      </c>
      <c r="E9866" t="str">
        <f>"7U"</f>
        <v>7U</v>
      </c>
      <c r="F9866" t="str">
        <f>"104"</f>
        <v>104</v>
      </c>
      <c r="G9866">
        <v>9</v>
      </c>
      <c r="H9866" t="str">
        <f>"99"</f>
        <v>99</v>
      </c>
      <c r="I9866" t="str">
        <f t="shared" si="2243"/>
        <v>0</v>
      </c>
      <c r="J9866" t="str">
        <f t="shared" si="2239"/>
        <v>00</v>
      </c>
      <c r="K9866">
        <v>20190517</v>
      </c>
      <c r="L9866" t="str">
        <f>"076849"</f>
        <v>076849</v>
      </c>
      <c r="M9866" t="str">
        <f>"30390"</f>
        <v>30390</v>
      </c>
      <c r="N9866" t="s">
        <v>2624</v>
      </c>
      <c r="O9866">
        <v>45</v>
      </c>
      <c r="P9866">
        <v>20190515</v>
      </c>
      <c r="Q9866" t="s">
        <v>7193</v>
      </c>
      <c r="R9866" t="s">
        <v>7774</v>
      </c>
      <c r="S9866" t="s">
        <v>7000</v>
      </c>
      <c r="T9866" t="s">
        <v>46</v>
      </c>
    </row>
    <row r="9867" spans="1:20" x14ac:dyDescent="0.25">
      <c r="A9867">
        <v>9</v>
      </c>
      <c r="B9867">
        <v>461</v>
      </c>
      <c r="C9867" t="str">
        <f t="shared" si="2235"/>
        <v>36</v>
      </c>
      <c r="D9867">
        <v>6399</v>
      </c>
      <c r="E9867" t="str">
        <f>"PR"</f>
        <v>PR</v>
      </c>
      <c r="F9867" t="str">
        <f>"104"</f>
        <v>104</v>
      </c>
      <c r="G9867">
        <v>9</v>
      </c>
      <c r="H9867" t="str">
        <f>"99"</f>
        <v>99</v>
      </c>
      <c r="I9867" t="str">
        <f t="shared" si="2243"/>
        <v>0</v>
      </c>
      <c r="J9867" t="str">
        <f t="shared" si="2239"/>
        <v>00</v>
      </c>
      <c r="K9867">
        <v>20190517</v>
      </c>
      <c r="L9867" t="str">
        <f>"076849"</f>
        <v>076849</v>
      </c>
      <c r="M9867" t="str">
        <f>"30390"</f>
        <v>30390</v>
      </c>
      <c r="N9867" t="s">
        <v>2624</v>
      </c>
      <c r="O9867">
        <v>203.4</v>
      </c>
      <c r="P9867">
        <v>20190515</v>
      </c>
      <c r="Q9867" t="s">
        <v>7014</v>
      </c>
      <c r="R9867" t="s">
        <v>7775</v>
      </c>
      <c r="S9867" t="s">
        <v>7000</v>
      </c>
      <c r="T9867" t="s">
        <v>46</v>
      </c>
    </row>
    <row r="9868" spans="1:20" x14ac:dyDescent="0.25">
      <c r="A9868">
        <v>9</v>
      </c>
      <c r="B9868">
        <v>461</v>
      </c>
      <c r="C9868" t="str">
        <f t="shared" si="2235"/>
        <v>36</v>
      </c>
      <c r="D9868">
        <v>6412</v>
      </c>
      <c r="E9868" t="str">
        <f>"38"</f>
        <v>38</v>
      </c>
      <c r="F9868" t="str">
        <f>"001"</f>
        <v>001</v>
      </c>
      <c r="G9868">
        <v>9</v>
      </c>
      <c r="H9868" t="str">
        <f>"91"</f>
        <v>91</v>
      </c>
      <c r="I9868" t="str">
        <f t="shared" si="2243"/>
        <v>0</v>
      </c>
      <c r="J9868" t="str">
        <f t="shared" si="2239"/>
        <v>00</v>
      </c>
      <c r="K9868">
        <v>20190517</v>
      </c>
      <c r="L9868" t="str">
        <f>"076850"</f>
        <v>076850</v>
      </c>
      <c r="M9868" t="str">
        <f>"30837"</f>
        <v>30837</v>
      </c>
      <c r="N9868" t="s">
        <v>621</v>
      </c>
      <c r="O9868">
        <v>356.11</v>
      </c>
      <c r="P9868">
        <v>20190516</v>
      </c>
      <c r="Q9868" t="s">
        <v>7776</v>
      </c>
      <c r="R9868" t="s">
        <v>7777</v>
      </c>
      <c r="S9868" t="s">
        <v>7000</v>
      </c>
      <c r="T9868" t="s">
        <v>301</v>
      </c>
    </row>
    <row r="9869" spans="1:20" x14ac:dyDescent="0.25">
      <c r="A9869">
        <v>9</v>
      </c>
      <c r="B9869">
        <v>461</v>
      </c>
      <c r="C9869" t="str">
        <f t="shared" si="2235"/>
        <v>36</v>
      </c>
      <c r="D9869">
        <v>6412</v>
      </c>
      <c r="E9869" t="str">
        <f>"38"</f>
        <v>38</v>
      </c>
      <c r="F9869" t="str">
        <f>"001"</f>
        <v>001</v>
      </c>
      <c r="G9869">
        <v>9</v>
      </c>
      <c r="H9869" t="str">
        <f>"91"</f>
        <v>91</v>
      </c>
      <c r="I9869" t="str">
        <f t="shared" si="2243"/>
        <v>0</v>
      </c>
      <c r="J9869" t="str">
        <f t="shared" si="2239"/>
        <v>00</v>
      </c>
      <c r="K9869">
        <v>20190517</v>
      </c>
      <c r="L9869" t="str">
        <f>"076852"</f>
        <v>076852</v>
      </c>
      <c r="M9869" t="str">
        <f>"30841"</f>
        <v>30841</v>
      </c>
      <c r="N9869" t="s">
        <v>4514</v>
      </c>
      <c r="O9869">
        <v>924</v>
      </c>
      <c r="P9869">
        <v>20190515</v>
      </c>
      <c r="Q9869" t="s">
        <v>7776</v>
      </c>
      <c r="R9869" t="s">
        <v>7777</v>
      </c>
      <c r="S9869" t="s">
        <v>7000</v>
      </c>
      <c r="T9869" t="s">
        <v>301</v>
      </c>
    </row>
    <row r="9870" spans="1:20" x14ac:dyDescent="0.25">
      <c r="A9870">
        <v>9</v>
      </c>
      <c r="B9870">
        <v>461</v>
      </c>
      <c r="C9870" t="str">
        <f t="shared" si="2235"/>
        <v>36</v>
      </c>
      <c r="D9870">
        <v>6299</v>
      </c>
      <c r="E9870" t="str">
        <f>"09"</f>
        <v>09</v>
      </c>
      <c r="F9870" t="str">
        <f>"942"</f>
        <v>942</v>
      </c>
      <c r="G9870">
        <v>9</v>
      </c>
      <c r="H9870" t="str">
        <f t="shared" ref="H9870:H9882" si="2244">"99"</f>
        <v>99</v>
      </c>
      <c r="I9870" t="str">
        <f>"1"</f>
        <v>1</v>
      </c>
      <c r="J9870" t="str">
        <f>"88"</f>
        <v>88</v>
      </c>
      <c r="K9870">
        <v>20190517</v>
      </c>
      <c r="L9870" t="str">
        <f>"076857"</f>
        <v>076857</v>
      </c>
      <c r="M9870" t="str">
        <f>"45093"</f>
        <v>45093</v>
      </c>
      <c r="N9870" t="s">
        <v>885</v>
      </c>
      <c r="O9870">
        <v>75</v>
      </c>
      <c r="P9870">
        <v>20190515</v>
      </c>
      <c r="Q9870" t="s">
        <v>7616</v>
      </c>
      <c r="R9870" t="s">
        <v>7778</v>
      </c>
      <c r="S9870" t="s">
        <v>7000</v>
      </c>
      <c r="T9870" t="s">
        <v>1831</v>
      </c>
    </row>
    <row r="9871" spans="1:20" x14ac:dyDescent="0.25">
      <c r="A9871">
        <v>9</v>
      </c>
      <c r="B9871">
        <v>461</v>
      </c>
      <c r="C9871" t="str">
        <f t="shared" si="2235"/>
        <v>36</v>
      </c>
      <c r="D9871">
        <v>6499</v>
      </c>
      <c r="E9871" t="str">
        <f>"09"</f>
        <v>09</v>
      </c>
      <c r="F9871" t="str">
        <f>"942"</f>
        <v>942</v>
      </c>
      <c r="G9871">
        <v>9</v>
      </c>
      <c r="H9871" t="str">
        <f t="shared" si="2244"/>
        <v>99</v>
      </c>
      <c r="I9871" t="str">
        <f>"1"</f>
        <v>1</v>
      </c>
      <c r="J9871" t="str">
        <f>"88"</f>
        <v>88</v>
      </c>
      <c r="K9871">
        <v>20190517</v>
      </c>
      <c r="L9871" t="str">
        <f>"076857"</f>
        <v>076857</v>
      </c>
      <c r="M9871" t="str">
        <f>"45093"</f>
        <v>45093</v>
      </c>
      <c r="N9871" t="s">
        <v>885</v>
      </c>
      <c r="O9871">
        <v>232.91</v>
      </c>
      <c r="P9871">
        <v>20190515</v>
      </c>
      <c r="Q9871" t="s">
        <v>7714</v>
      </c>
      <c r="R9871" t="s">
        <v>7778</v>
      </c>
      <c r="S9871" t="s">
        <v>7000</v>
      </c>
      <c r="T9871" t="s">
        <v>1831</v>
      </c>
    </row>
    <row r="9872" spans="1:20" x14ac:dyDescent="0.25">
      <c r="A9872">
        <v>9</v>
      </c>
      <c r="B9872">
        <v>461</v>
      </c>
      <c r="C9872" t="str">
        <f t="shared" ref="C9872:C9935" si="2245">"36"</f>
        <v>36</v>
      </c>
      <c r="D9872">
        <v>6499</v>
      </c>
      <c r="E9872" t="str">
        <f>"09"</f>
        <v>09</v>
      </c>
      <c r="F9872" t="str">
        <f>"942"</f>
        <v>942</v>
      </c>
      <c r="G9872">
        <v>9</v>
      </c>
      <c r="H9872" t="str">
        <f t="shared" si="2244"/>
        <v>99</v>
      </c>
      <c r="I9872" t="str">
        <f>"1"</f>
        <v>1</v>
      </c>
      <c r="J9872" t="str">
        <f>"88"</f>
        <v>88</v>
      </c>
      <c r="K9872">
        <v>20190517</v>
      </c>
      <c r="L9872" t="str">
        <f>"076857"</f>
        <v>076857</v>
      </c>
      <c r="M9872" t="str">
        <f>"45093"</f>
        <v>45093</v>
      </c>
      <c r="N9872" t="s">
        <v>885</v>
      </c>
      <c r="O9872">
        <v>299.02999999999997</v>
      </c>
      <c r="P9872">
        <v>20190515</v>
      </c>
      <c r="Q9872" t="s">
        <v>7714</v>
      </c>
      <c r="R9872" t="s">
        <v>7778</v>
      </c>
      <c r="S9872" t="s">
        <v>7000</v>
      </c>
      <c r="T9872" t="s">
        <v>1831</v>
      </c>
    </row>
    <row r="9873" spans="1:20" x14ac:dyDescent="0.25">
      <c r="A9873">
        <v>9</v>
      </c>
      <c r="B9873">
        <v>461</v>
      </c>
      <c r="C9873" t="str">
        <f t="shared" si="2245"/>
        <v>36</v>
      </c>
      <c r="D9873">
        <v>6399</v>
      </c>
      <c r="E9873" t="str">
        <f>"GN"</f>
        <v>GN</v>
      </c>
      <c r="F9873" t="str">
        <f>"001"</f>
        <v>001</v>
      </c>
      <c r="G9873">
        <v>9</v>
      </c>
      <c r="H9873" t="str">
        <f t="shared" si="2244"/>
        <v>99</v>
      </c>
      <c r="I9873" t="str">
        <f t="shared" ref="I9873:I9904" si="2246">"0"</f>
        <v>0</v>
      </c>
      <c r="J9873" t="str">
        <f t="shared" ref="J9873:J9904" si="2247">"00"</f>
        <v>00</v>
      </c>
      <c r="K9873">
        <v>20190517</v>
      </c>
      <c r="L9873" t="str">
        <f>"076883"</f>
        <v>076883</v>
      </c>
      <c r="M9873" t="str">
        <f>"73875"</f>
        <v>73875</v>
      </c>
      <c r="N9873" t="s">
        <v>7721</v>
      </c>
      <c r="O9873">
        <v>199.98</v>
      </c>
      <c r="P9873">
        <v>20190515</v>
      </c>
      <c r="Q9873" t="s">
        <v>7043</v>
      </c>
      <c r="R9873" t="s">
        <v>7779</v>
      </c>
      <c r="S9873" t="s">
        <v>7000</v>
      </c>
      <c r="T9873" t="s">
        <v>301</v>
      </c>
    </row>
    <row r="9874" spans="1:20" x14ac:dyDescent="0.25">
      <c r="A9874">
        <v>9</v>
      </c>
      <c r="B9874">
        <v>461</v>
      </c>
      <c r="C9874" t="str">
        <f t="shared" si="2245"/>
        <v>36</v>
      </c>
      <c r="D9874">
        <v>6412</v>
      </c>
      <c r="E9874" t="str">
        <f>"7B"</f>
        <v>7B</v>
      </c>
      <c r="F9874" t="str">
        <f>"001"</f>
        <v>001</v>
      </c>
      <c r="G9874">
        <v>9</v>
      </c>
      <c r="H9874" t="str">
        <f t="shared" si="2244"/>
        <v>99</v>
      </c>
      <c r="I9874" t="str">
        <f t="shared" si="2246"/>
        <v>0</v>
      </c>
      <c r="J9874" t="str">
        <f t="shared" si="2247"/>
        <v>00</v>
      </c>
      <c r="K9874">
        <v>20190517</v>
      </c>
      <c r="L9874" t="str">
        <f>"076888"</f>
        <v>076888</v>
      </c>
      <c r="M9874" t="str">
        <f>"70641"</f>
        <v>70641</v>
      </c>
      <c r="N9874" t="s">
        <v>5196</v>
      </c>
      <c r="O9874" s="1">
        <v>14360</v>
      </c>
      <c r="P9874">
        <v>20190515</v>
      </c>
      <c r="Q9874" t="s">
        <v>7780</v>
      </c>
      <c r="R9874" t="s">
        <v>7781</v>
      </c>
      <c r="S9874" t="s">
        <v>7000</v>
      </c>
      <c r="T9874" t="s">
        <v>301</v>
      </c>
    </row>
    <row r="9875" spans="1:20" x14ac:dyDescent="0.25">
      <c r="A9875">
        <v>9</v>
      </c>
      <c r="B9875">
        <v>461</v>
      </c>
      <c r="C9875" t="str">
        <f t="shared" si="2245"/>
        <v>36</v>
      </c>
      <c r="D9875">
        <v>6399</v>
      </c>
      <c r="E9875" t="str">
        <f>"61"</f>
        <v>61</v>
      </c>
      <c r="F9875" t="str">
        <f>"101"</f>
        <v>101</v>
      </c>
      <c r="G9875">
        <v>9</v>
      </c>
      <c r="H9875" t="str">
        <f t="shared" si="2244"/>
        <v>99</v>
      </c>
      <c r="I9875" t="str">
        <f t="shared" si="2246"/>
        <v>0</v>
      </c>
      <c r="J9875" t="str">
        <f t="shared" si="2247"/>
        <v>00</v>
      </c>
      <c r="K9875">
        <v>20190517</v>
      </c>
      <c r="L9875" t="str">
        <f>"076890"</f>
        <v>076890</v>
      </c>
      <c r="M9875" t="str">
        <f>"81303"</f>
        <v>81303</v>
      </c>
      <c r="N9875" t="s">
        <v>66</v>
      </c>
      <c r="O9875">
        <v>327.9</v>
      </c>
      <c r="P9875">
        <v>20190515</v>
      </c>
      <c r="Q9875" t="s">
        <v>7007</v>
      </c>
      <c r="R9875" t="s">
        <v>7782</v>
      </c>
      <c r="S9875" t="s">
        <v>7000</v>
      </c>
      <c r="T9875" t="s">
        <v>1479</v>
      </c>
    </row>
    <row r="9876" spans="1:20" x14ac:dyDescent="0.25">
      <c r="A9876">
        <v>9</v>
      </c>
      <c r="B9876">
        <v>461</v>
      </c>
      <c r="C9876" t="str">
        <f t="shared" si="2245"/>
        <v>36</v>
      </c>
      <c r="D9876">
        <v>6399</v>
      </c>
      <c r="E9876" t="str">
        <f>"7U"</f>
        <v>7U</v>
      </c>
      <c r="F9876" t="str">
        <f>"104"</f>
        <v>104</v>
      </c>
      <c r="G9876">
        <v>9</v>
      </c>
      <c r="H9876" t="str">
        <f t="shared" si="2244"/>
        <v>99</v>
      </c>
      <c r="I9876" t="str">
        <f t="shared" si="2246"/>
        <v>0</v>
      </c>
      <c r="J9876" t="str">
        <f t="shared" si="2247"/>
        <v>00</v>
      </c>
      <c r="K9876">
        <v>20190517</v>
      </c>
      <c r="L9876" t="str">
        <f>"076890"</f>
        <v>076890</v>
      </c>
      <c r="M9876" t="str">
        <f>"81303"</f>
        <v>81303</v>
      </c>
      <c r="N9876" t="s">
        <v>66</v>
      </c>
      <c r="O9876">
        <v>140</v>
      </c>
      <c r="P9876">
        <v>20190515</v>
      </c>
      <c r="Q9876" t="s">
        <v>7193</v>
      </c>
      <c r="R9876" t="s">
        <v>5043</v>
      </c>
      <c r="S9876" t="s">
        <v>7000</v>
      </c>
      <c r="T9876" t="s">
        <v>46</v>
      </c>
    </row>
    <row r="9877" spans="1:20" x14ac:dyDescent="0.25">
      <c r="A9877">
        <v>9</v>
      </c>
      <c r="B9877">
        <v>461</v>
      </c>
      <c r="C9877" t="str">
        <f t="shared" si="2245"/>
        <v>36</v>
      </c>
      <c r="D9877">
        <v>6399</v>
      </c>
      <c r="E9877" t="str">
        <f>"H2"</f>
        <v>H2</v>
      </c>
      <c r="F9877" t="str">
        <f>"001"</f>
        <v>001</v>
      </c>
      <c r="G9877">
        <v>9</v>
      </c>
      <c r="H9877" t="str">
        <f t="shared" si="2244"/>
        <v>99</v>
      </c>
      <c r="I9877" t="str">
        <f t="shared" si="2246"/>
        <v>0</v>
      </c>
      <c r="J9877" t="str">
        <f t="shared" si="2247"/>
        <v>00</v>
      </c>
      <c r="K9877">
        <v>20190517</v>
      </c>
      <c r="L9877" t="str">
        <f>"076890"</f>
        <v>076890</v>
      </c>
      <c r="M9877" t="str">
        <f>"81303"</f>
        <v>81303</v>
      </c>
      <c r="N9877" t="s">
        <v>66</v>
      </c>
      <c r="O9877">
        <v>77.38</v>
      </c>
      <c r="P9877">
        <v>20190515</v>
      </c>
      <c r="Q9877" t="s">
        <v>7033</v>
      </c>
      <c r="R9877" t="s">
        <v>7783</v>
      </c>
      <c r="S9877" t="s">
        <v>7000</v>
      </c>
      <c r="T9877" t="s">
        <v>301</v>
      </c>
    </row>
    <row r="9878" spans="1:20" x14ac:dyDescent="0.25">
      <c r="A9878">
        <v>9</v>
      </c>
      <c r="B9878">
        <v>461</v>
      </c>
      <c r="C9878" t="str">
        <f t="shared" si="2245"/>
        <v>36</v>
      </c>
      <c r="D9878">
        <v>6399</v>
      </c>
      <c r="E9878" t="str">
        <f>"Y5"</f>
        <v>Y5</v>
      </c>
      <c r="F9878" t="str">
        <f>"802"</f>
        <v>802</v>
      </c>
      <c r="G9878">
        <v>9</v>
      </c>
      <c r="H9878" t="str">
        <f t="shared" si="2244"/>
        <v>99</v>
      </c>
      <c r="I9878" t="str">
        <f t="shared" si="2246"/>
        <v>0</v>
      </c>
      <c r="J9878" t="str">
        <f t="shared" si="2247"/>
        <v>00</v>
      </c>
      <c r="K9878">
        <v>20190517</v>
      </c>
      <c r="L9878" t="str">
        <f>"076890"</f>
        <v>076890</v>
      </c>
      <c r="M9878" t="str">
        <f>"81303"</f>
        <v>81303</v>
      </c>
      <c r="N9878" t="s">
        <v>66</v>
      </c>
      <c r="O9878">
        <v>75.75</v>
      </c>
      <c r="P9878">
        <v>20190515</v>
      </c>
      <c r="Q9878" t="s">
        <v>7021</v>
      </c>
      <c r="R9878" t="s">
        <v>1356</v>
      </c>
      <c r="S9878" t="s">
        <v>7000</v>
      </c>
      <c r="T9878" t="s">
        <v>7023</v>
      </c>
    </row>
    <row r="9879" spans="1:20" x14ac:dyDescent="0.25">
      <c r="A9879">
        <v>9</v>
      </c>
      <c r="B9879">
        <v>461</v>
      </c>
      <c r="C9879" t="str">
        <f t="shared" si="2245"/>
        <v>36</v>
      </c>
      <c r="D9879">
        <v>6399</v>
      </c>
      <c r="E9879" t="str">
        <f>"DG"</f>
        <v>DG</v>
      </c>
      <c r="F9879" t="str">
        <f>"101"</f>
        <v>101</v>
      </c>
      <c r="G9879">
        <v>9</v>
      </c>
      <c r="H9879" t="str">
        <f t="shared" si="2244"/>
        <v>99</v>
      </c>
      <c r="I9879" t="str">
        <f t="shared" si="2246"/>
        <v>0</v>
      </c>
      <c r="J9879" t="str">
        <f t="shared" si="2247"/>
        <v>00</v>
      </c>
      <c r="K9879">
        <v>20190517</v>
      </c>
      <c r="L9879" t="str">
        <f>"076893"</f>
        <v>076893</v>
      </c>
      <c r="M9879" t="str">
        <f>"54202"</f>
        <v>54202</v>
      </c>
      <c r="N9879" t="s">
        <v>7784</v>
      </c>
      <c r="O9879">
        <v>411.27</v>
      </c>
      <c r="P9879">
        <v>20190515</v>
      </c>
      <c r="Q9879" t="s">
        <v>7058</v>
      </c>
      <c r="R9879" t="s">
        <v>7785</v>
      </c>
      <c r="S9879" t="s">
        <v>7000</v>
      </c>
      <c r="T9879" t="s">
        <v>1479</v>
      </c>
    </row>
    <row r="9880" spans="1:20" x14ac:dyDescent="0.25">
      <c r="A9880">
        <v>9</v>
      </c>
      <c r="B9880">
        <v>461</v>
      </c>
      <c r="C9880" t="str">
        <f t="shared" si="2245"/>
        <v>36</v>
      </c>
      <c r="D9880">
        <v>6399</v>
      </c>
      <c r="E9880" t="str">
        <f>"GN"</f>
        <v>GN</v>
      </c>
      <c r="F9880" t="str">
        <f t="shared" ref="F9880:F9890" si="2248">"001"</f>
        <v>001</v>
      </c>
      <c r="G9880">
        <v>9</v>
      </c>
      <c r="H9880" t="str">
        <f t="shared" si="2244"/>
        <v>99</v>
      </c>
      <c r="I9880" t="str">
        <f t="shared" si="2246"/>
        <v>0</v>
      </c>
      <c r="J9880" t="str">
        <f t="shared" si="2247"/>
        <v>00</v>
      </c>
      <c r="K9880">
        <v>20190524</v>
      </c>
      <c r="L9880" t="str">
        <f>"076896"</f>
        <v>076896</v>
      </c>
      <c r="M9880" t="str">
        <f>"04410"</f>
        <v>04410</v>
      </c>
      <c r="N9880" t="s">
        <v>410</v>
      </c>
      <c r="O9880">
        <v>342</v>
      </c>
      <c r="P9880">
        <v>20190522</v>
      </c>
      <c r="Q9880" t="s">
        <v>7043</v>
      </c>
      <c r="R9880" t="s">
        <v>7786</v>
      </c>
      <c r="S9880" t="s">
        <v>7000</v>
      </c>
      <c r="T9880" t="s">
        <v>301</v>
      </c>
    </row>
    <row r="9881" spans="1:20" x14ac:dyDescent="0.25">
      <c r="A9881">
        <v>9</v>
      </c>
      <c r="B9881">
        <v>461</v>
      </c>
      <c r="C9881" t="str">
        <f t="shared" si="2245"/>
        <v>36</v>
      </c>
      <c r="D9881">
        <v>6499</v>
      </c>
      <c r="E9881" t="str">
        <f>"GN"</f>
        <v>GN</v>
      </c>
      <c r="F9881" t="str">
        <f t="shared" si="2248"/>
        <v>001</v>
      </c>
      <c r="G9881">
        <v>9</v>
      </c>
      <c r="H9881" t="str">
        <f t="shared" si="2244"/>
        <v>99</v>
      </c>
      <c r="I9881" t="str">
        <f t="shared" si="2246"/>
        <v>0</v>
      </c>
      <c r="J9881" t="str">
        <f t="shared" si="2247"/>
        <v>00</v>
      </c>
      <c r="K9881">
        <v>20190524</v>
      </c>
      <c r="L9881" t="str">
        <f>"076896"</f>
        <v>076896</v>
      </c>
      <c r="M9881" t="str">
        <f>"04410"</f>
        <v>04410</v>
      </c>
      <c r="N9881" t="s">
        <v>410</v>
      </c>
      <c r="O9881">
        <v>604.12</v>
      </c>
      <c r="P9881">
        <v>20190522</v>
      </c>
      <c r="Q9881" t="s">
        <v>7696</v>
      </c>
      <c r="R9881" t="s">
        <v>7787</v>
      </c>
      <c r="S9881" t="s">
        <v>7000</v>
      </c>
      <c r="T9881" t="s">
        <v>301</v>
      </c>
    </row>
    <row r="9882" spans="1:20" x14ac:dyDescent="0.25">
      <c r="A9882">
        <v>9</v>
      </c>
      <c r="B9882">
        <v>461</v>
      </c>
      <c r="C9882" t="str">
        <f t="shared" si="2245"/>
        <v>36</v>
      </c>
      <c r="D9882">
        <v>6499</v>
      </c>
      <c r="E9882" t="str">
        <f>"GN"</f>
        <v>GN</v>
      </c>
      <c r="F9882" t="str">
        <f t="shared" si="2248"/>
        <v>001</v>
      </c>
      <c r="G9882">
        <v>9</v>
      </c>
      <c r="H9882" t="str">
        <f t="shared" si="2244"/>
        <v>99</v>
      </c>
      <c r="I9882" t="str">
        <f t="shared" si="2246"/>
        <v>0</v>
      </c>
      <c r="J9882" t="str">
        <f t="shared" si="2247"/>
        <v>00</v>
      </c>
      <c r="K9882">
        <v>20190524</v>
      </c>
      <c r="L9882" t="str">
        <f>"076896"</f>
        <v>076896</v>
      </c>
      <c r="M9882" t="str">
        <f>"04410"</f>
        <v>04410</v>
      </c>
      <c r="N9882" t="s">
        <v>410</v>
      </c>
      <c r="O9882">
        <v>49.99</v>
      </c>
      <c r="P9882">
        <v>20190522</v>
      </c>
      <c r="Q9882" t="s">
        <v>7696</v>
      </c>
      <c r="R9882" t="s">
        <v>7788</v>
      </c>
      <c r="S9882" t="s">
        <v>7000</v>
      </c>
      <c r="T9882" t="s">
        <v>301</v>
      </c>
    </row>
    <row r="9883" spans="1:20" x14ac:dyDescent="0.25">
      <c r="A9883">
        <v>9</v>
      </c>
      <c r="B9883">
        <v>461</v>
      </c>
      <c r="C9883" t="str">
        <f t="shared" si="2245"/>
        <v>36</v>
      </c>
      <c r="D9883">
        <v>6399</v>
      </c>
      <c r="E9883" t="str">
        <f>"CS"</f>
        <v>CS</v>
      </c>
      <c r="F9883" t="str">
        <f t="shared" si="2248"/>
        <v>001</v>
      </c>
      <c r="G9883">
        <v>9</v>
      </c>
      <c r="H9883" t="str">
        <f>"91"</f>
        <v>91</v>
      </c>
      <c r="I9883" t="str">
        <f t="shared" si="2246"/>
        <v>0</v>
      </c>
      <c r="J9883" t="str">
        <f t="shared" si="2247"/>
        <v>00</v>
      </c>
      <c r="K9883">
        <v>20190524</v>
      </c>
      <c r="L9883" t="str">
        <f>"076898"</f>
        <v>076898</v>
      </c>
      <c r="M9883" t="str">
        <f>"10418"</f>
        <v>10418</v>
      </c>
      <c r="N9883" t="s">
        <v>2360</v>
      </c>
      <c r="O9883">
        <v>701.99</v>
      </c>
      <c r="P9883">
        <v>20190522</v>
      </c>
      <c r="Q9883" t="s">
        <v>6998</v>
      </c>
      <c r="R9883" t="s">
        <v>6999</v>
      </c>
      <c r="S9883" t="s">
        <v>7000</v>
      </c>
      <c r="T9883" t="s">
        <v>301</v>
      </c>
    </row>
    <row r="9884" spans="1:20" x14ac:dyDescent="0.25">
      <c r="A9884">
        <v>9</v>
      </c>
      <c r="B9884">
        <v>461</v>
      </c>
      <c r="C9884" t="str">
        <f t="shared" si="2245"/>
        <v>36</v>
      </c>
      <c r="D9884">
        <v>6499</v>
      </c>
      <c r="E9884" t="str">
        <f>"GN"</f>
        <v>GN</v>
      </c>
      <c r="F9884" t="str">
        <f t="shared" si="2248"/>
        <v>001</v>
      </c>
      <c r="G9884">
        <v>9</v>
      </c>
      <c r="H9884" t="str">
        <f t="shared" ref="H9884:H9898" si="2249">"99"</f>
        <v>99</v>
      </c>
      <c r="I9884" t="str">
        <f t="shared" si="2246"/>
        <v>0</v>
      </c>
      <c r="J9884" t="str">
        <f t="shared" si="2247"/>
        <v>00</v>
      </c>
      <c r="K9884">
        <v>20190524</v>
      </c>
      <c r="L9884" t="str">
        <f>"076898"</f>
        <v>076898</v>
      </c>
      <c r="M9884" t="str">
        <f>"10418"</f>
        <v>10418</v>
      </c>
      <c r="N9884" t="s">
        <v>2360</v>
      </c>
      <c r="O9884" s="1">
        <v>1038.0999999999999</v>
      </c>
      <c r="P9884">
        <v>20190522</v>
      </c>
      <c r="Q9884" t="s">
        <v>7696</v>
      </c>
      <c r="R9884" t="s">
        <v>7555</v>
      </c>
      <c r="S9884" t="s">
        <v>7000</v>
      </c>
      <c r="T9884" t="s">
        <v>301</v>
      </c>
    </row>
    <row r="9885" spans="1:20" x14ac:dyDescent="0.25">
      <c r="A9885">
        <v>9</v>
      </c>
      <c r="B9885">
        <v>461</v>
      </c>
      <c r="C9885" t="str">
        <f t="shared" si="2245"/>
        <v>36</v>
      </c>
      <c r="D9885">
        <v>6399</v>
      </c>
      <c r="E9885" t="str">
        <f>"32"</f>
        <v>32</v>
      </c>
      <c r="F9885" t="str">
        <f t="shared" si="2248"/>
        <v>001</v>
      </c>
      <c r="G9885">
        <v>9</v>
      </c>
      <c r="H9885" t="str">
        <f t="shared" si="2249"/>
        <v>99</v>
      </c>
      <c r="I9885" t="str">
        <f t="shared" si="2246"/>
        <v>0</v>
      </c>
      <c r="J9885" t="str">
        <f t="shared" si="2247"/>
        <v>00</v>
      </c>
      <c r="K9885">
        <v>20190524</v>
      </c>
      <c r="L9885" t="str">
        <f>"076901"</f>
        <v>076901</v>
      </c>
      <c r="M9885" t="str">
        <f>"21283"</f>
        <v>21283</v>
      </c>
      <c r="N9885" t="s">
        <v>3856</v>
      </c>
      <c r="O9885" s="1">
        <v>3995</v>
      </c>
      <c r="P9885">
        <v>20190522</v>
      </c>
      <c r="Q9885" t="s">
        <v>7486</v>
      </c>
      <c r="R9885" t="s">
        <v>5062</v>
      </c>
      <c r="S9885" t="s">
        <v>7000</v>
      </c>
      <c r="T9885" t="s">
        <v>301</v>
      </c>
    </row>
    <row r="9886" spans="1:20" x14ac:dyDescent="0.25">
      <c r="A9886">
        <v>9</v>
      </c>
      <c r="B9886">
        <v>461</v>
      </c>
      <c r="C9886" t="str">
        <f t="shared" si="2245"/>
        <v>36</v>
      </c>
      <c r="D9886">
        <v>6499</v>
      </c>
      <c r="E9886" t="str">
        <f>"69"</f>
        <v>69</v>
      </c>
      <c r="F9886" t="str">
        <f t="shared" si="2248"/>
        <v>001</v>
      </c>
      <c r="G9886">
        <v>9</v>
      </c>
      <c r="H9886" t="str">
        <f t="shared" si="2249"/>
        <v>99</v>
      </c>
      <c r="I9886" t="str">
        <f t="shared" si="2246"/>
        <v>0</v>
      </c>
      <c r="J9886" t="str">
        <f t="shared" si="2247"/>
        <v>00</v>
      </c>
      <c r="K9886">
        <v>20190524</v>
      </c>
      <c r="L9886" t="str">
        <f>"076904"</f>
        <v>076904</v>
      </c>
      <c r="M9886" t="str">
        <f>"25144"</f>
        <v>25144</v>
      </c>
      <c r="N9886" t="s">
        <v>1620</v>
      </c>
      <c r="O9886">
        <v>500</v>
      </c>
      <c r="P9886">
        <v>20190522</v>
      </c>
      <c r="Q9886" t="s">
        <v>7731</v>
      </c>
      <c r="R9886" t="s">
        <v>7789</v>
      </c>
      <c r="S9886" t="s">
        <v>7000</v>
      </c>
      <c r="T9886" t="s">
        <v>301</v>
      </c>
    </row>
    <row r="9887" spans="1:20" x14ac:dyDescent="0.25">
      <c r="A9887">
        <v>9</v>
      </c>
      <c r="B9887">
        <v>461</v>
      </c>
      <c r="C9887" t="str">
        <f t="shared" si="2245"/>
        <v>36</v>
      </c>
      <c r="D9887">
        <v>6499</v>
      </c>
      <c r="E9887" t="str">
        <f>"7C"</f>
        <v>7C</v>
      </c>
      <c r="F9887" t="str">
        <f t="shared" si="2248"/>
        <v>001</v>
      </c>
      <c r="G9887">
        <v>9</v>
      </c>
      <c r="H9887" t="str">
        <f t="shared" si="2249"/>
        <v>99</v>
      </c>
      <c r="I9887" t="str">
        <f t="shared" si="2246"/>
        <v>0</v>
      </c>
      <c r="J9887" t="str">
        <f t="shared" si="2247"/>
        <v>00</v>
      </c>
      <c r="K9887">
        <v>20190524</v>
      </c>
      <c r="L9887" t="str">
        <f>"076904"</f>
        <v>076904</v>
      </c>
      <c r="M9887" t="str">
        <f>"25144"</f>
        <v>25144</v>
      </c>
      <c r="N9887" t="s">
        <v>1620</v>
      </c>
      <c r="O9887">
        <v>750</v>
      </c>
      <c r="P9887">
        <v>20190522</v>
      </c>
      <c r="Q9887" t="s">
        <v>7119</v>
      </c>
      <c r="R9887" t="s">
        <v>7646</v>
      </c>
      <c r="S9887" t="s">
        <v>7000</v>
      </c>
      <c r="T9887" t="s">
        <v>301</v>
      </c>
    </row>
    <row r="9888" spans="1:20" x14ac:dyDescent="0.25">
      <c r="A9888">
        <v>9</v>
      </c>
      <c r="B9888">
        <v>461</v>
      </c>
      <c r="C9888" t="str">
        <f t="shared" si="2245"/>
        <v>36</v>
      </c>
      <c r="D9888">
        <v>6499</v>
      </c>
      <c r="E9888" t="str">
        <f>"7C"</f>
        <v>7C</v>
      </c>
      <c r="F9888" t="str">
        <f t="shared" si="2248"/>
        <v>001</v>
      </c>
      <c r="G9888">
        <v>9</v>
      </c>
      <c r="H9888" t="str">
        <f t="shared" si="2249"/>
        <v>99</v>
      </c>
      <c r="I9888" t="str">
        <f t="shared" si="2246"/>
        <v>0</v>
      </c>
      <c r="J9888" t="str">
        <f t="shared" si="2247"/>
        <v>00</v>
      </c>
      <c r="K9888">
        <v>20190524</v>
      </c>
      <c r="L9888" t="str">
        <f>"076904"</f>
        <v>076904</v>
      </c>
      <c r="M9888" t="str">
        <f>"25144"</f>
        <v>25144</v>
      </c>
      <c r="N9888" t="s">
        <v>1620</v>
      </c>
      <c r="O9888">
        <v>750</v>
      </c>
      <c r="P9888">
        <v>20190522</v>
      </c>
      <c r="Q9888" t="s">
        <v>7119</v>
      </c>
      <c r="R9888" t="s">
        <v>7646</v>
      </c>
      <c r="S9888" t="s">
        <v>7000</v>
      </c>
      <c r="T9888" t="s">
        <v>301</v>
      </c>
    </row>
    <row r="9889" spans="1:20" x14ac:dyDescent="0.25">
      <c r="A9889">
        <v>9</v>
      </c>
      <c r="B9889">
        <v>461</v>
      </c>
      <c r="C9889" t="str">
        <f t="shared" si="2245"/>
        <v>36</v>
      </c>
      <c r="D9889">
        <v>6412</v>
      </c>
      <c r="E9889" t="str">
        <f>"8M"</f>
        <v>8M</v>
      </c>
      <c r="F9889" t="str">
        <f t="shared" si="2248"/>
        <v>001</v>
      </c>
      <c r="G9889">
        <v>9</v>
      </c>
      <c r="H9889" t="str">
        <f t="shared" si="2249"/>
        <v>99</v>
      </c>
      <c r="I9889" t="str">
        <f t="shared" si="2246"/>
        <v>0</v>
      </c>
      <c r="J9889" t="str">
        <f t="shared" si="2247"/>
        <v>00</v>
      </c>
      <c r="K9889">
        <v>20190524</v>
      </c>
      <c r="L9889" t="str">
        <f>"076907"</f>
        <v>076907</v>
      </c>
      <c r="M9889" t="str">
        <f>"25853"</f>
        <v>25853</v>
      </c>
      <c r="N9889" t="s">
        <v>3941</v>
      </c>
      <c r="O9889" s="1">
        <v>8000</v>
      </c>
      <c r="P9889">
        <v>20190522</v>
      </c>
      <c r="Q9889" t="s">
        <v>7790</v>
      </c>
      <c r="R9889" t="s">
        <v>5074</v>
      </c>
      <c r="S9889" t="s">
        <v>7000</v>
      </c>
      <c r="T9889" t="s">
        <v>301</v>
      </c>
    </row>
    <row r="9890" spans="1:20" x14ac:dyDescent="0.25">
      <c r="A9890">
        <v>9</v>
      </c>
      <c r="B9890">
        <v>461</v>
      </c>
      <c r="C9890" t="str">
        <f t="shared" si="2245"/>
        <v>36</v>
      </c>
      <c r="D9890">
        <v>6412</v>
      </c>
      <c r="E9890" t="str">
        <f>"8M"</f>
        <v>8M</v>
      </c>
      <c r="F9890" t="str">
        <f t="shared" si="2248"/>
        <v>001</v>
      </c>
      <c r="G9890">
        <v>9</v>
      </c>
      <c r="H9890" t="str">
        <f t="shared" si="2249"/>
        <v>99</v>
      </c>
      <c r="I9890" t="str">
        <f t="shared" si="2246"/>
        <v>0</v>
      </c>
      <c r="J9890" t="str">
        <f t="shared" si="2247"/>
        <v>00</v>
      </c>
      <c r="K9890">
        <v>20190524</v>
      </c>
      <c r="L9890" t="str">
        <f>"076918"</f>
        <v>076918</v>
      </c>
      <c r="M9890" t="str">
        <f>"37805"</f>
        <v>37805</v>
      </c>
      <c r="N9890" t="s">
        <v>1627</v>
      </c>
      <c r="O9890">
        <v>630</v>
      </c>
      <c r="P9890">
        <v>20190522</v>
      </c>
      <c r="Q9890" t="s">
        <v>7790</v>
      </c>
      <c r="R9890" t="s">
        <v>5074</v>
      </c>
      <c r="S9890" t="s">
        <v>7000</v>
      </c>
      <c r="T9890" t="s">
        <v>301</v>
      </c>
    </row>
    <row r="9891" spans="1:20" x14ac:dyDescent="0.25">
      <c r="A9891">
        <v>9</v>
      </c>
      <c r="B9891">
        <v>461</v>
      </c>
      <c r="C9891" t="str">
        <f t="shared" si="2245"/>
        <v>36</v>
      </c>
      <c r="D9891">
        <v>6399</v>
      </c>
      <c r="E9891" t="str">
        <f>"Y5"</f>
        <v>Y5</v>
      </c>
      <c r="F9891" t="str">
        <f>"802"</f>
        <v>802</v>
      </c>
      <c r="G9891">
        <v>9</v>
      </c>
      <c r="H9891" t="str">
        <f t="shared" si="2249"/>
        <v>99</v>
      </c>
      <c r="I9891" t="str">
        <f t="shared" si="2246"/>
        <v>0</v>
      </c>
      <c r="J9891" t="str">
        <f t="shared" si="2247"/>
        <v>00</v>
      </c>
      <c r="K9891">
        <v>20190524</v>
      </c>
      <c r="L9891" t="str">
        <f>"076921"</f>
        <v>076921</v>
      </c>
      <c r="M9891" t="str">
        <f>"00129"</f>
        <v>00129</v>
      </c>
      <c r="N9891" t="s">
        <v>7791</v>
      </c>
      <c r="O9891">
        <v>219.2</v>
      </c>
      <c r="P9891">
        <v>20190522</v>
      </c>
      <c r="Q9891" t="s">
        <v>7021</v>
      </c>
      <c r="R9891" t="s">
        <v>7792</v>
      </c>
      <c r="S9891" t="s">
        <v>7000</v>
      </c>
      <c r="T9891" t="s">
        <v>7023</v>
      </c>
    </row>
    <row r="9892" spans="1:20" x14ac:dyDescent="0.25">
      <c r="A9892">
        <v>9</v>
      </c>
      <c r="B9892">
        <v>461</v>
      </c>
      <c r="C9892" t="str">
        <f t="shared" si="2245"/>
        <v>36</v>
      </c>
      <c r="D9892">
        <v>6499</v>
      </c>
      <c r="E9892" t="str">
        <f>"GN"</f>
        <v>GN</v>
      </c>
      <c r="F9892" t="str">
        <f t="shared" ref="F9892:F9901" si="2250">"001"</f>
        <v>001</v>
      </c>
      <c r="G9892">
        <v>9</v>
      </c>
      <c r="H9892" t="str">
        <f t="shared" si="2249"/>
        <v>99</v>
      </c>
      <c r="I9892" t="str">
        <f t="shared" si="2246"/>
        <v>0</v>
      </c>
      <c r="J9892" t="str">
        <f t="shared" si="2247"/>
        <v>00</v>
      </c>
      <c r="K9892">
        <v>20190524</v>
      </c>
      <c r="L9892" t="str">
        <f>"076921"</f>
        <v>076921</v>
      </c>
      <c r="M9892" t="str">
        <f>"00129"</f>
        <v>00129</v>
      </c>
      <c r="N9892" t="s">
        <v>7791</v>
      </c>
      <c r="O9892">
        <v>316.8</v>
      </c>
      <c r="P9892">
        <v>20190522</v>
      </c>
      <c r="Q9892" t="s">
        <v>7696</v>
      </c>
      <c r="R9892" t="s">
        <v>5200</v>
      </c>
      <c r="S9892" t="s">
        <v>7000</v>
      </c>
      <c r="T9892" t="s">
        <v>301</v>
      </c>
    </row>
    <row r="9893" spans="1:20" x14ac:dyDescent="0.25">
      <c r="A9893">
        <v>9</v>
      </c>
      <c r="B9893">
        <v>461</v>
      </c>
      <c r="C9893" t="str">
        <f t="shared" si="2245"/>
        <v>36</v>
      </c>
      <c r="D9893">
        <v>6399</v>
      </c>
      <c r="E9893" t="str">
        <f>"89"</f>
        <v>89</v>
      </c>
      <c r="F9893" t="str">
        <f t="shared" si="2250"/>
        <v>001</v>
      </c>
      <c r="G9893">
        <v>9</v>
      </c>
      <c r="H9893" t="str">
        <f t="shared" si="2249"/>
        <v>99</v>
      </c>
      <c r="I9893" t="str">
        <f t="shared" si="2246"/>
        <v>0</v>
      </c>
      <c r="J9893" t="str">
        <f t="shared" si="2247"/>
        <v>00</v>
      </c>
      <c r="K9893">
        <v>20190524</v>
      </c>
      <c r="L9893" t="str">
        <f>"076929"</f>
        <v>076929</v>
      </c>
      <c r="M9893" t="str">
        <f>"58204"</f>
        <v>58204</v>
      </c>
      <c r="N9893" t="s">
        <v>1767</v>
      </c>
      <c r="O9893">
        <v>41.88</v>
      </c>
      <c r="P9893">
        <v>20190523</v>
      </c>
      <c r="Q9893" t="s">
        <v>7039</v>
      </c>
      <c r="R9893" t="s">
        <v>5200</v>
      </c>
      <c r="S9893" t="s">
        <v>7000</v>
      </c>
      <c r="T9893" t="s">
        <v>301</v>
      </c>
    </row>
    <row r="9894" spans="1:20" x14ac:dyDescent="0.25">
      <c r="A9894">
        <v>9</v>
      </c>
      <c r="B9894">
        <v>461</v>
      </c>
      <c r="C9894" t="str">
        <f t="shared" si="2245"/>
        <v>36</v>
      </c>
      <c r="D9894">
        <v>6399</v>
      </c>
      <c r="E9894" t="str">
        <f>"GN"</f>
        <v>GN</v>
      </c>
      <c r="F9894" t="str">
        <f t="shared" si="2250"/>
        <v>001</v>
      </c>
      <c r="G9894">
        <v>9</v>
      </c>
      <c r="H9894" t="str">
        <f t="shared" si="2249"/>
        <v>99</v>
      </c>
      <c r="I9894" t="str">
        <f t="shared" si="2246"/>
        <v>0</v>
      </c>
      <c r="J9894" t="str">
        <f t="shared" si="2247"/>
        <v>00</v>
      </c>
      <c r="K9894">
        <v>20190524</v>
      </c>
      <c r="L9894" t="str">
        <f>"076929"</f>
        <v>076929</v>
      </c>
      <c r="M9894" t="str">
        <f>"58204"</f>
        <v>58204</v>
      </c>
      <c r="N9894" t="s">
        <v>1767</v>
      </c>
      <c r="O9894">
        <v>114.39</v>
      </c>
      <c r="P9894">
        <v>20190523</v>
      </c>
      <c r="Q9894" t="s">
        <v>7043</v>
      </c>
      <c r="R9894" t="s">
        <v>7555</v>
      </c>
      <c r="S9894" t="s">
        <v>7000</v>
      </c>
      <c r="T9894" t="s">
        <v>301</v>
      </c>
    </row>
    <row r="9895" spans="1:20" x14ac:dyDescent="0.25">
      <c r="A9895">
        <v>9</v>
      </c>
      <c r="B9895">
        <v>461</v>
      </c>
      <c r="C9895" t="str">
        <f t="shared" si="2245"/>
        <v>36</v>
      </c>
      <c r="D9895">
        <v>6499</v>
      </c>
      <c r="E9895" t="str">
        <f>"GN"</f>
        <v>GN</v>
      </c>
      <c r="F9895" t="str">
        <f t="shared" si="2250"/>
        <v>001</v>
      </c>
      <c r="G9895">
        <v>9</v>
      </c>
      <c r="H9895" t="str">
        <f t="shared" si="2249"/>
        <v>99</v>
      </c>
      <c r="I9895" t="str">
        <f t="shared" si="2246"/>
        <v>0</v>
      </c>
      <c r="J9895" t="str">
        <f t="shared" si="2247"/>
        <v>00</v>
      </c>
      <c r="K9895">
        <v>20190524</v>
      </c>
      <c r="L9895" t="str">
        <f>"076929"</f>
        <v>076929</v>
      </c>
      <c r="M9895" t="str">
        <f>"58204"</f>
        <v>58204</v>
      </c>
      <c r="N9895" t="s">
        <v>1767</v>
      </c>
      <c r="O9895">
        <v>68.22</v>
      </c>
      <c r="P9895">
        <v>20190523</v>
      </c>
      <c r="Q9895" t="s">
        <v>7696</v>
      </c>
      <c r="R9895" t="s">
        <v>7555</v>
      </c>
      <c r="S9895" t="s">
        <v>7000</v>
      </c>
      <c r="T9895" t="s">
        <v>301</v>
      </c>
    </row>
    <row r="9896" spans="1:20" x14ac:dyDescent="0.25">
      <c r="A9896">
        <v>9</v>
      </c>
      <c r="B9896">
        <v>461</v>
      </c>
      <c r="C9896" t="str">
        <f t="shared" si="2245"/>
        <v>36</v>
      </c>
      <c r="D9896">
        <v>6499</v>
      </c>
      <c r="E9896" t="str">
        <f>"7K"</f>
        <v>7K</v>
      </c>
      <c r="F9896" t="str">
        <f t="shared" si="2250"/>
        <v>001</v>
      </c>
      <c r="G9896">
        <v>9</v>
      </c>
      <c r="H9896" t="str">
        <f t="shared" si="2249"/>
        <v>99</v>
      </c>
      <c r="I9896" t="str">
        <f t="shared" si="2246"/>
        <v>0</v>
      </c>
      <c r="J9896" t="str">
        <f t="shared" si="2247"/>
        <v>00</v>
      </c>
      <c r="K9896">
        <v>20190524</v>
      </c>
      <c r="L9896" t="str">
        <f>"076932"</f>
        <v>076932</v>
      </c>
      <c r="M9896" t="str">
        <f>"60853"</f>
        <v>60853</v>
      </c>
      <c r="N9896" t="s">
        <v>7367</v>
      </c>
      <c r="O9896">
        <v>163.25</v>
      </c>
      <c r="P9896">
        <v>20190523</v>
      </c>
      <c r="Q9896" t="s">
        <v>7320</v>
      </c>
      <c r="R9896" t="s">
        <v>7793</v>
      </c>
      <c r="S9896" t="s">
        <v>7000</v>
      </c>
      <c r="T9896" t="s">
        <v>301</v>
      </c>
    </row>
    <row r="9897" spans="1:20" x14ac:dyDescent="0.25">
      <c r="A9897">
        <v>9</v>
      </c>
      <c r="B9897">
        <v>461</v>
      </c>
      <c r="C9897" t="str">
        <f t="shared" si="2245"/>
        <v>36</v>
      </c>
      <c r="D9897">
        <v>6399</v>
      </c>
      <c r="E9897" t="str">
        <f>"69"</f>
        <v>69</v>
      </c>
      <c r="F9897" t="str">
        <f t="shared" si="2250"/>
        <v>001</v>
      </c>
      <c r="G9897">
        <v>9</v>
      </c>
      <c r="H9897" t="str">
        <f t="shared" si="2249"/>
        <v>99</v>
      </c>
      <c r="I9897" t="str">
        <f t="shared" si="2246"/>
        <v>0</v>
      </c>
      <c r="J9897" t="str">
        <f t="shared" si="2247"/>
        <v>00</v>
      </c>
      <c r="K9897">
        <v>20190524</v>
      </c>
      <c r="L9897" t="str">
        <f>"076940"</f>
        <v>076940</v>
      </c>
      <c r="M9897" t="str">
        <f>"65106"</f>
        <v>65106</v>
      </c>
      <c r="N9897" t="s">
        <v>1175</v>
      </c>
      <c r="O9897">
        <v>248.06</v>
      </c>
      <c r="P9897">
        <v>20190523</v>
      </c>
      <c r="Q9897" t="s">
        <v>7648</v>
      </c>
      <c r="R9897" t="s">
        <v>7794</v>
      </c>
      <c r="S9897" t="s">
        <v>7000</v>
      </c>
      <c r="T9897" t="s">
        <v>301</v>
      </c>
    </row>
    <row r="9898" spans="1:20" x14ac:dyDescent="0.25">
      <c r="A9898">
        <v>9</v>
      </c>
      <c r="B9898">
        <v>461</v>
      </c>
      <c r="C9898" t="str">
        <f t="shared" si="2245"/>
        <v>36</v>
      </c>
      <c r="D9898">
        <v>6399</v>
      </c>
      <c r="E9898" t="str">
        <f>"7K"</f>
        <v>7K</v>
      </c>
      <c r="F9898" t="str">
        <f t="shared" si="2250"/>
        <v>001</v>
      </c>
      <c r="G9898">
        <v>9</v>
      </c>
      <c r="H9898" t="str">
        <f t="shared" si="2249"/>
        <v>99</v>
      </c>
      <c r="I9898" t="str">
        <f t="shared" si="2246"/>
        <v>0</v>
      </c>
      <c r="J9898" t="str">
        <f t="shared" si="2247"/>
        <v>00</v>
      </c>
      <c r="K9898">
        <v>20190524</v>
      </c>
      <c r="L9898" t="str">
        <f>"076940"</f>
        <v>076940</v>
      </c>
      <c r="M9898" t="str">
        <f>"65106"</f>
        <v>65106</v>
      </c>
      <c r="N9898" t="s">
        <v>1175</v>
      </c>
      <c r="O9898">
        <v>199.72</v>
      </c>
      <c r="P9898">
        <v>20190523</v>
      </c>
      <c r="Q9898" t="s">
        <v>7056</v>
      </c>
      <c r="R9898" t="s">
        <v>7795</v>
      </c>
      <c r="S9898" t="s">
        <v>7000</v>
      </c>
      <c r="T9898" t="s">
        <v>301</v>
      </c>
    </row>
    <row r="9899" spans="1:20" x14ac:dyDescent="0.25">
      <c r="A9899">
        <v>9</v>
      </c>
      <c r="B9899">
        <v>461</v>
      </c>
      <c r="C9899" t="str">
        <f t="shared" si="2245"/>
        <v>36</v>
      </c>
      <c r="D9899">
        <v>6399</v>
      </c>
      <c r="E9899" t="str">
        <f>"CS"</f>
        <v>CS</v>
      </c>
      <c r="F9899" t="str">
        <f t="shared" si="2250"/>
        <v>001</v>
      </c>
      <c r="G9899">
        <v>9</v>
      </c>
      <c r="H9899" t="str">
        <f>"91"</f>
        <v>91</v>
      </c>
      <c r="I9899" t="str">
        <f t="shared" si="2246"/>
        <v>0</v>
      </c>
      <c r="J9899" t="str">
        <f t="shared" si="2247"/>
        <v>00</v>
      </c>
      <c r="K9899">
        <v>20190524</v>
      </c>
      <c r="L9899" t="str">
        <f>"076940"</f>
        <v>076940</v>
      </c>
      <c r="M9899" t="str">
        <f>"65106"</f>
        <v>65106</v>
      </c>
      <c r="N9899" t="s">
        <v>1175</v>
      </c>
      <c r="O9899">
        <v>158.35</v>
      </c>
      <c r="P9899">
        <v>20190523</v>
      </c>
      <c r="Q9899" t="s">
        <v>6998</v>
      </c>
      <c r="R9899" t="s">
        <v>6999</v>
      </c>
      <c r="S9899" t="s">
        <v>7000</v>
      </c>
      <c r="T9899" t="s">
        <v>301</v>
      </c>
    </row>
    <row r="9900" spans="1:20" x14ac:dyDescent="0.25">
      <c r="A9900">
        <v>9</v>
      </c>
      <c r="B9900">
        <v>461</v>
      </c>
      <c r="C9900" t="str">
        <f t="shared" si="2245"/>
        <v>36</v>
      </c>
      <c r="D9900">
        <v>6399</v>
      </c>
      <c r="E9900" t="str">
        <f>"H2"</f>
        <v>H2</v>
      </c>
      <c r="F9900" t="str">
        <f t="shared" si="2250"/>
        <v>001</v>
      </c>
      <c r="G9900">
        <v>9</v>
      </c>
      <c r="H9900" t="str">
        <f>"99"</f>
        <v>99</v>
      </c>
      <c r="I9900" t="str">
        <f t="shared" si="2246"/>
        <v>0</v>
      </c>
      <c r="J9900" t="str">
        <f t="shared" si="2247"/>
        <v>00</v>
      </c>
      <c r="K9900">
        <v>20190524</v>
      </c>
      <c r="L9900" t="str">
        <f>"076940"</f>
        <v>076940</v>
      </c>
      <c r="M9900" t="str">
        <f>"65106"</f>
        <v>65106</v>
      </c>
      <c r="N9900" t="s">
        <v>1175</v>
      </c>
      <c r="O9900">
        <v>113.84</v>
      </c>
      <c r="P9900">
        <v>20190523</v>
      </c>
      <c r="Q9900" t="s">
        <v>7033</v>
      </c>
      <c r="R9900" t="s">
        <v>7796</v>
      </c>
      <c r="S9900" t="s">
        <v>7000</v>
      </c>
      <c r="T9900" t="s">
        <v>301</v>
      </c>
    </row>
    <row r="9901" spans="1:20" x14ac:dyDescent="0.25">
      <c r="A9901">
        <v>9</v>
      </c>
      <c r="B9901">
        <v>461</v>
      </c>
      <c r="C9901" t="str">
        <f t="shared" si="2245"/>
        <v>36</v>
      </c>
      <c r="D9901">
        <v>6399</v>
      </c>
      <c r="E9901" t="str">
        <f>"PR"</f>
        <v>PR</v>
      </c>
      <c r="F9901" t="str">
        <f t="shared" si="2250"/>
        <v>001</v>
      </c>
      <c r="G9901">
        <v>9</v>
      </c>
      <c r="H9901" t="str">
        <f>"99"</f>
        <v>99</v>
      </c>
      <c r="I9901" t="str">
        <f t="shared" si="2246"/>
        <v>0</v>
      </c>
      <c r="J9901" t="str">
        <f t="shared" si="2247"/>
        <v>00</v>
      </c>
      <c r="K9901">
        <v>20190524</v>
      </c>
      <c r="L9901" t="str">
        <f>"076940"</f>
        <v>076940</v>
      </c>
      <c r="M9901" t="str">
        <f>"65106"</f>
        <v>65106</v>
      </c>
      <c r="N9901" t="s">
        <v>1175</v>
      </c>
      <c r="O9901">
        <v>112.82</v>
      </c>
      <c r="P9901">
        <v>20190523</v>
      </c>
      <c r="Q9901" t="s">
        <v>7009</v>
      </c>
      <c r="R9901" t="s">
        <v>5317</v>
      </c>
      <c r="S9901" t="s">
        <v>7000</v>
      </c>
      <c r="T9901" t="s">
        <v>301</v>
      </c>
    </row>
    <row r="9902" spans="1:20" x14ac:dyDescent="0.25">
      <c r="A9902">
        <v>9</v>
      </c>
      <c r="B9902">
        <v>461</v>
      </c>
      <c r="C9902" t="str">
        <f t="shared" si="2245"/>
        <v>36</v>
      </c>
      <c r="D9902">
        <v>6399</v>
      </c>
      <c r="E9902" t="str">
        <f>"DG"</f>
        <v>DG</v>
      </c>
      <c r="F9902" t="str">
        <f>"101"</f>
        <v>101</v>
      </c>
      <c r="G9902">
        <v>9</v>
      </c>
      <c r="H9902" t="str">
        <f>"99"</f>
        <v>99</v>
      </c>
      <c r="I9902" t="str">
        <f t="shared" si="2246"/>
        <v>0</v>
      </c>
      <c r="J9902" t="str">
        <f t="shared" si="2247"/>
        <v>00</v>
      </c>
      <c r="K9902">
        <v>20190524</v>
      </c>
      <c r="L9902" t="str">
        <f>"076948"</f>
        <v>076948</v>
      </c>
      <c r="M9902" t="str">
        <f>"74160"</f>
        <v>74160</v>
      </c>
      <c r="N9902" t="s">
        <v>3604</v>
      </c>
      <c r="O9902">
        <v>249.75</v>
      </c>
      <c r="P9902">
        <v>20190523</v>
      </c>
      <c r="Q9902" t="s">
        <v>7058</v>
      </c>
      <c r="R9902" t="s">
        <v>7797</v>
      </c>
      <c r="S9902" t="s">
        <v>7000</v>
      </c>
      <c r="T9902" t="s">
        <v>1479</v>
      </c>
    </row>
    <row r="9903" spans="1:20" x14ac:dyDescent="0.25">
      <c r="A9903">
        <v>9</v>
      </c>
      <c r="B9903">
        <v>461</v>
      </c>
      <c r="C9903" t="str">
        <f t="shared" si="2245"/>
        <v>36</v>
      </c>
      <c r="D9903">
        <v>6495</v>
      </c>
      <c r="E9903" t="str">
        <f>"3S"</f>
        <v>3S</v>
      </c>
      <c r="F9903" t="str">
        <f>"001"</f>
        <v>001</v>
      </c>
      <c r="G9903">
        <v>9</v>
      </c>
      <c r="H9903" t="str">
        <f>"91"</f>
        <v>91</v>
      </c>
      <c r="I9903" t="str">
        <f t="shared" si="2246"/>
        <v>0</v>
      </c>
      <c r="J9903" t="str">
        <f t="shared" si="2247"/>
        <v>00</v>
      </c>
      <c r="K9903">
        <v>20190524</v>
      </c>
      <c r="L9903" t="str">
        <f>"076954"</f>
        <v>076954</v>
      </c>
      <c r="M9903" t="str">
        <f>"78628"</f>
        <v>78628</v>
      </c>
      <c r="N9903" t="s">
        <v>7798</v>
      </c>
      <c r="O9903">
        <v>250</v>
      </c>
      <c r="P9903">
        <v>20190523</v>
      </c>
      <c r="Q9903" t="s">
        <v>7799</v>
      </c>
      <c r="R9903" t="s">
        <v>938</v>
      </c>
      <c r="S9903" t="s">
        <v>7000</v>
      </c>
      <c r="T9903" t="s">
        <v>301</v>
      </c>
    </row>
    <row r="9904" spans="1:20" x14ac:dyDescent="0.25">
      <c r="A9904">
        <v>9</v>
      </c>
      <c r="B9904">
        <v>461</v>
      </c>
      <c r="C9904" t="str">
        <f t="shared" si="2245"/>
        <v>36</v>
      </c>
      <c r="D9904">
        <v>6399</v>
      </c>
      <c r="E9904" t="str">
        <f>"61"</f>
        <v>61</v>
      </c>
      <c r="F9904" t="str">
        <f>"101"</f>
        <v>101</v>
      </c>
      <c r="G9904">
        <v>9</v>
      </c>
      <c r="H9904" t="str">
        <f t="shared" ref="H9904:H9914" si="2251">"99"</f>
        <v>99</v>
      </c>
      <c r="I9904" t="str">
        <f t="shared" si="2246"/>
        <v>0</v>
      </c>
      <c r="J9904" t="str">
        <f t="shared" si="2247"/>
        <v>00</v>
      </c>
      <c r="K9904">
        <v>20190524</v>
      </c>
      <c r="L9904" t="str">
        <f>"076958"</f>
        <v>076958</v>
      </c>
      <c r="M9904" t="str">
        <f>"80600"</f>
        <v>80600</v>
      </c>
      <c r="N9904" t="s">
        <v>1927</v>
      </c>
      <c r="O9904">
        <v>999.85</v>
      </c>
      <c r="P9904">
        <v>20190523</v>
      </c>
      <c r="Q9904" t="s">
        <v>7007</v>
      </c>
      <c r="R9904" t="s">
        <v>7800</v>
      </c>
      <c r="S9904" t="s">
        <v>7000</v>
      </c>
      <c r="T9904" t="s">
        <v>1479</v>
      </c>
    </row>
    <row r="9905" spans="1:20" x14ac:dyDescent="0.25">
      <c r="A9905">
        <v>9</v>
      </c>
      <c r="B9905">
        <v>461</v>
      </c>
      <c r="C9905" t="str">
        <f t="shared" si="2245"/>
        <v>36</v>
      </c>
      <c r="D9905">
        <v>6399</v>
      </c>
      <c r="E9905" t="str">
        <f>"PR"</f>
        <v>PR</v>
      </c>
      <c r="F9905" t="str">
        <f>"104"</f>
        <v>104</v>
      </c>
      <c r="G9905">
        <v>9</v>
      </c>
      <c r="H9905" t="str">
        <f t="shared" si="2251"/>
        <v>99</v>
      </c>
      <c r="I9905" t="str">
        <f t="shared" ref="I9905:I9936" si="2252">"0"</f>
        <v>0</v>
      </c>
      <c r="J9905" t="str">
        <f t="shared" ref="J9905:J9929" si="2253">"00"</f>
        <v>00</v>
      </c>
      <c r="K9905">
        <v>20190524</v>
      </c>
      <c r="L9905" t="str">
        <f>"076958"</f>
        <v>076958</v>
      </c>
      <c r="M9905" t="str">
        <f>"80600"</f>
        <v>80600</v>
      </c>
      <c r="N9905" t="s">
        <v>1927</v>
      </c>
      <c r="O9905">
        <v>129.55000000000001</v>
      </c>
      <c r="P9905">
        <v>20190523</v>
      </c>
      <c r="Q9905" t="s">
        <v>7014</v>
      </c>
      <c r="R9905" t="s">
        <v>7801</v>
      </c>
      <c r="S9905" t="s">
        <v>7000</v>
      </c>
      <c r="T9905" t="s">
        <v>46</v>
      </c>
    </row>
    <row r="9906" spans="1:20" x14ac:dyDescent="0.25">
      <c r="A9906">
        <v>9</v>
      </c>
      <c r="B9906">
        <v>461</v>
      </c>
      <c r="C9906" t="str">
        <f t="shared" si="2245"/>
        <v>36</v>
      </c>
      <c r="D9906">
        <v>6399</v>
      </c>
      <c r="E9906" t="str">
        <f>"Y5"</f>
        <v>Y5</v>
      </c>
      <c r="F9906" t="str">
        <f>"802"</f>
        <v>802</v>
      </c>
      <c r="G9906">
        <v>9</v>
      </c>
      <c r="H9906" t="str">
        <f t="shared" si="2251"/>
        <v>99</v>
      </c>
      <c r="I9906" t="str">
        <f t="shared" si="2252"/>
        <v>0</v>
      </c>
      <c r="J9906" t="str">
        <f t="shared" si="2253"/>
        <v>00</v>
      </c>
      <c r="K9906">
        <v>20190524</v>
      </c>
      <c r="L9906" t="str">
        <f>"076958"</f>
        <v>076958</v>
      </c>
      <c r="M9906" t="str">
        <f>"80600"</f>
        <v>80600</v>
      </c>
      <c r="N9906" t="s">
        <v>1927</v>
      </c>
      <c r="O9906">
        <v>357</v>
      </c>
      <c r="P9906">
        <v>20190523</v>
      </c>
      <c r="Q9906" t="s">
        <v>7021</v>
      </c>
      <c r="R9906" t="s">
        <v>7802</v>
      </c>
      <c r="S9906" t="s">
        <v>7000</v>
      </c>
      <c r="T9906" t="s">
        <v>7023</v>
      </c>
    </row>
    <row r="9907" spans="1:20" x14ac:dyDescent="0.25">
      <c r="A9907">
        <v>9</v>
      </c>
      <c r="B9907">
        <v>461</v>
      </c>
      <c r="C9907" t="str">
        <f t="shared" si="2245"/>
        <v>36</v>
      </c>
      <c r="D9907">
        <v>6399</v>
      </c>
      <c r="E9907" t="str">
        <f>"PR"</f>
        <v>PR</v>
      </c>
      <c r="F9907" t="str">
        <f>"104"</f>
        <v>104</v>
      </c>
      <c r="G9907">
        <v>9</v>
      </c>
      <c r="H9907" t="str">
        <f t="shared" si="2251"/>
        <v>99</v>
      </c>
      <c r="I9907" t="str">
        <f t="shared" si="2252"/>
        <v>0</v>
      </c>
      <c r="J9907" t="str">
        <f t="shared" si="2253"/>
        <v>00</v>
      </c>
      <c r="K9907">
        <v>20190524</v>
      </c>
      <c r="L9907" t="str">
        <f>"076960"</f>
        <v>076960</v>
      </c>
      <c r="M9907" t="str">
        <f>"81725"</f>
        <v>81725</v>
      </c>
      <c r="N9907" t="s">
        <v>7803</v>
      </c>
      <c r="O9907">
        <v>221.73</v>
      </c>
      <c r="P9907">
        <v>20190523</v>
      </c>
      <c r="Q9907" t="s">
        <v>7014</v>
      </c>
      <c r="R9907" t="s">
        <v>7804</v>
      </c>
      <c r="S9907" t="s">
        <v>7000</v>
      </c>
      <c r="T9907" t="s">
        <v>46</v>
      </c>
    </row>
    <row r="9908" spans="1:20" x14ac:dyDescent="0.25">
      <c r="A9908">
        <v>9</v>
      </c>
      <c r="B9908">
        <v>461</v>
      </c>
      <c r="C9908" t="str">
        <f t="shared" si="2245"/>
        <v>36</v>
      </c>
      <c r="D9908">
        <v>6412</v>
      </c>
      <c r="E9908" t="str">
        <f>"61"</f>
        <v>61</v>
      </c>
      <c r="F9908" t="str">
        <f>"001"</f>
        <v>001</v>
      </c>
      <c r="G9908">
        <v>9</v>
      </c>
      <c r="H9908" t="str">
        <f t="shared" si="2251"/>
        <v>99</v>
      </c>
      <c r="I9908" t="str">
        <f t="shared" si="2252"/>
        <v>0</v>
      </c>
      <c r="J9908" t="str">
        <f t="shared" si="2253"/>
        <v>00</v>
      </c>
      <c r="K9908">
        <v>20190524</v>
      </c>
      <c r="L9908" t="str">
        <f>"076962"</f>
        <v>076962</v>
      </c>
      <c r="M9908" t="str">
        <f>"84370"</f>
        <v>84370</v>
      </c>
      <c r="N9908" t="s">
        <v>395</v>
      </c>
      <c r="O9908">
        <v>242.49</v>
      </c>
      <c r="P9908">
        <v>20190523</v>
      </c>
      <c r="Q9908" t="s">
        <v>7423</v>
      </c>
      <c r="R9908" t="s">
        <v>7805</v>
      </c>
      <c r="S9908" t="s">
        <v>7000</v>
      </c>
      <c r="T9908" t="s">
        <v>301</v>
      </c>
    </row>
    <row r="9909" spans="1:20" x14ac:dyDescent="0.25">
      <c r="A9909">
        <v>9</v>
      </c>
      <c r="B9909">
        <v>461</v>
      </c>
      <c r="C9909" t="str">
        <f t="shared" si="2245"/>
        <v>36</v>
      </c>
      <c r="D9909">
        <v>6399</v>
      </c>
      <c r="E9909" t="str">
        <f>"25"</f>
        <v>25</v>
      </c>
      <c r="F9909" t="str">
        <f>"104"</f>
        <v>104</v>
      </c>
      <c r="G9909">
        <v>9</v>
      </c>
      <c r="H9909" t="str">
        <f t="shared" si="2251"/>
        <v>99</v>
      </c>
      <c r="I9909" t="str">
        <f t="shared" si="2252"/>
        <v>0</v>
      </c>
      <c r="J9909" t="str">
        <f t="shared" si="2253"/>
        <v>00</v>
      </c>
      <c r="K9909">
        <v>20190524</v>
      </c>
      <c r="L9909" t="str">
        <f>"076963"</f>
        <v>076963</v>
      </c>
      <c r="M9909" t="str">
        <f>"84449"</f>
        <v>84449</v>
      </c>
      <c r="N9909" t="s">
        <v>7806</v>
      </c>
      <c r="O9909">
        <v>155.02000000000001</v>
      </c>
      <c r="P9909">
        <v>20190523</v>
      </c>
      <c r="Q9909" t="s">
        <v>7356</v>
      </c>
      <c r="R9909" t="s">
        <v>7807</v>
      </c>
      <c r="S9909" t="s">
        <v>7000</v>
      </c>
      <c r="T9909" t="s">
        <v>46</v>
      </c>
    </row>
    <row r="9910" spans="1:20" x14ac:dyDescent="0.25">
      <c r="A9910">
        <v>9</v>
      </c>
      <c r="B9910">
        <v>461</v>
      </c>
      <c r="C9910" t="str">
        <f t="shared" si="2245"/>
        <v>36</v>
      </c>
      <c r="D9910">
        <v>6399</v>
      </c>
      <c r="E9910" t="str">
        <f>"25"</f>
        <v>25</v>
      </c>
      <c r="F9910" t="str">
        <f>"104"</f>
        <v>104</v>
      </c>
      <c r="G9910">
        <v>9</v>
      </c>
      <c r="H9910" t="str">
        <f t="shared" si="2251"/>
        <v>99</v>
      </c>
      <c r="I9910" t="str">
        <f t="shared" si="2252"/>
        <v>0</v>
      </c>
      <c r="J9910" t="str">
        <f t="shared" si="2253"/>
        <v>00</v>
      </c>
      <c r="K9910">
        <v>20190726</v>
      </c>
      <c r="L9910" t="str">
        <f>"076963"</f>
        <v>076963</v>
      </c>
      <c r="M9910" t="str">
        <f>"84449"</f>
        <v>84449</v>
      </c>
      <c r="N9910" t="s">
        <v>7806</v>
      </c>
      <c r="O9910">
        <v>-155.02000000000001</v>
      </c>
      <c r="P9910">
        <v>20190726</v>
      </c>
      <c r="Q9910" t="s">
        <v>7356</v>
      </c>
      <c r="R9910" t="s">
        <v>3928</v>
      </c>
      <c r="S9910" t="s">
        <v>7000</v>
      </c>
      <c r="T9910" t="s">
        <v>46</v>
      </c>
    </row>
    <row r="9911" spans="1:20" x14ac:dyDescent="0.25">
      <c r="A9911">
        <v>9</v>
      </c>
      <c r="B9911">
        <v>461</v>
      </c>
      <c r="C9911" t="str">
        <f t="shared" si="2245"/>
        <v>36</v>
      </c>
      <c r="D9911">
        <v>6399</v>
      </c>
      <c r="E9911" t="str">
        <f>"04"</f>
        <v>04</v>
      </c>
      <c r="F9911" t="str">
        <f>"104"</f>
        <v>104</v>
      </c>
      <c r="G9911">
        <v>9</v>
      </c>
      <c r="H9911" t="str">
        <f t="shared" si="2251"/>
        <v>99</v>
      </c>
      <c r="I9911" t="str">
        <f t="shared" si="2252"/>
        <v>0</v>
      </c>
      <c r="J9911" t="str">
        <f t="shared" si="2253"/>
        <v>00</v>
      </c>
      <c r="K9911">
        <v>20190531</v>
      </c>
      <c r="L9911" t="str">
        <f>"076968"</f>
        <v>076968</v>
      </c>
      <c r="M9911" t="str">
        <f>"01523"</f>
        <v>01523</v>
      </c>
      <c r="N9911" t="s">
        <v>7172</v>
      </c>
      <c r="O9911">
        <v>469</v>
      </c>
      <c r="P9911">
        <v>20190529</v>
      </c>
      <c r="Q9911" t="s">
        <v>7761</v>
      </c>
      <c r="R9911" t="s">
        <v>7808</v>
      </c>
      <c r="S9911" t="s">
        <v>7000</v>
      </c>
      <c r="T9911" t="s">
        <v>46</v>
      </c>
    </row>
    <row r="9912" spans="1:20" x14ac:dyDescent="0.25">
      <c r="A9912">
        <v>9</v>
      </c>
      <c r="B9912">
        <v>461</v>
      </c>
      <c r="C9912" t="str">
        <f t="shared" si="2245"/>
        <v>36</v>
      </c>
      <c r="D9912">
        <v>6399</v>
      </c>
      <c r="E9912" t="str">
        <f>"DC"</f>
        <v>DC</v>
      </c>
      <c r="F9912" t="str">
        <f>"101"</f>
        <v>101</v>
      </c>
      <c r="G9912">
        <v>9</v>
      </c>
      <c r="H9912" t="str">
        <f t="shared" si="2251"/>
        <v>99</v>
      </c>
      <c r="I9912" t="str">
        <f t="shared" si="2252"/>
        <v>0</v>
      </c>
      <c r="J9912" t="str">
        <f t="shared" si="2253"/>
        <v>00</v>
      </c>
      <c r="K9912">
        <v>20190531</v>
      </c>
      <c r="L9912" t="str">
        <f>"076969"</f>
        <v>076969</v>
      </c>
      <c r="M9912" t="str">
        <f>"04410"</f>
        <v>04410</v>
      </c>
      <c r="N9912" t="s">
        <v>410</v>
      </c>
      <c r="O9912">
        <v>508.5</v>
      </c>
      <c r="P9912">
        <v>20190529</v>
      </c>
      <c r="Q9912" t="s">
        <v>7156</v>
      </c>
      <c r="R9912" t="s">
        <v>7809</v>
      </c>
      <c r="S9912" t="s">
        <v>7000</v>
      </c>
      <c r="T9912" t="s">
        <v>1479</v>
      </c>
    </row>
    <row r="9913" spans="1:20" x14ac:dyDescent="0.25">
      <c r="A9913">
        <v>9</v>
      </c>
      <c r="B9913">
        <v>461</v>
      </c>
      <c r="C9913" t="str">
        <f t="shared" si="2245"/>
        <v>36</v>
      </c>
      <c r="D9913">
        <v>6399</v>
      </c>
      <c r="E9913" t="str">
        <f>"PR"</f>
        <v>PR</v>
      </c>
      <c r="F9913" t="str">
        <f>"104"</f>
        <v>104</v>
      </c>
      <c r="G9913">
        <v>9</v>
      </c>
      <c r="H9913" t="str">
        <f t="shared" si="2251"/>
        <v>99</v>
      </c>
      <c r="I9913" t="str">
        <f t="shared" si="2252"/>
        <v>0</v>
      </c>
      <c r="J9913" t="str">
        <f t="shared" si="2253"/>
        <v>00</v>
      </c>
      <c r="K9913">
        <v>20190531</v>
      </c>
      <c r="L9913" t="str">
        <f>"076969"</f>
        <v>076969</v>
      </c>
      <c r="M9913" t="str">
        <f>"04410"</f>
        <v>04410</v>
      </c>
      <c r="N9913" t="s">
        <v>410</v>
      </c>
      <c r="O9913">
        <v>99.36</v>
      </c>
      <c r="P9913">
        <v>20190529</v>
      </c>
      <c r="Q9913" t="s">
        <v>7014</v>
      </c>
      <c r="R9913" t="s">
        <v>7810</v>
      </c>
      <c r="S9913" t="s">
        <v>7000</v>
      </c>
      <c r="T9913" t="s">
        <v>46</v>
      </c>
    </row>
    <row r="9914" spans="1:20" x14ac:dyDescent="0.25">
      <c r="A9914">
        <v>9</v>
      </c>
      <c r="B9914">
        <v>461</v>
      </c>
      <c r="C9914" t="str">
        <f t="shared" si="2245"/>
        <v>36</v>
      </c>
      <c r="D9914">
        <v>6399</v>
      </c>
      <c r="E9914" t="str">
        <f>"PR"</f>
        <v>PR</v>
      </c>
      <c r="F9914" t="str">
        <f>"104"</f>
        <v>104</v>
      </c>
      <c r="G9914">
        <v>9</v>
      </c>
      <c r="H9914" t="str">
        <f t="shared" si="2251"/>
        <v>99</v>
      </c>
      <c r="I9914" t="str">
        <f t="shared" si="2252"/>
        <v>0</v>
      </c>
      <c r="J9914" t="str">
        <f t="shared" si="2253"/>
        <v>00</v>
      </c>
      <c r="K9914">
        <v>20190531</v>
      </c>
      <c r="L9914" t="str">
        <f>"076974"</f>
        <v>076974</v>
      </c>
      <c r="M9914" t="str">
        <f>"09170"</f>
        <v>09170</v>
      </c>
      <c r="N9914" t="s">
        <v>679</v>
      </c>
      <c r="O9914">
        <v>298.47000000000003</v>
      </c>
      <c r="P9914">
        <v>20190530</v>
      </c>
      <c r="Q9914" t="s">
        <v>7014</v>
      </c>
      <c r="R9914" t="s">
        <v>7811</v>
      </c>
      <c r="S9914" t="s">
        <v>7000</v>
      </c>
      <c r="T9914" t="s">
        <v>46</v>
      </c>
    </row>
    <row r="9915" spans="1:20" x14ac:dyDescent="0.25">
      <c r="A9915">
        <v>9</v>
      </c>
      <c r="B9915">
        <v>461</v>
      </c>
      <c r="C9915" t="str">
        <f t="shared" si="2245"/>
        <v>36</v>
      </c>
      <c r="D9915">
        <v>6399</v>
      </c>
      <c r="E9915" t="str">
        <f>"CS"</f>
        <v>CS</v>
      </c>
      <c r="F9915" t="str">
        <f>"001"</f>
        <v>001</v>
      </c>
      <c r="G9915">
        <v>9</v>
      </c>
      <c r="H9915" t="str">
        <f>"91"</f>
        <v>91</v>
      </c>
      <c r="I9915" t="str">
        <f t="shared" si="2252"/>
        <v>0</v>
      </c>
      <c r="J9915" t="str">
        <f t="shared" si="2253"/>
        <v>00</v>
      </c>
      <c r="K9915">
        <v>20190531</v>
      </c>
      <c r="L9915" t="str">
        <f>"076975"</f>
        <v>076975</v>
      </c>
      <c r="M9915" t="str">
        <f>"10418"</f>
        <v>10418</v>
      </c>
      <c r="N9915" t="s">
        <v>2360</v>
      </c>
      <c r="O9915">
        <v>517.88</v>
      </c>
      <c r="P9915">
        <v>20190530</v>
      </c>
      <c r="Q9915" t="s">
        <v>6998</v>
      </c>
      <c r="R9915" t="s">
        <v>6999</v>
      </c>
      <c r="S9915" t="s">
        <v>7000</v>
      </c>
      <c r="T9915" t="s">
        <v>301</v>
      </c>
    </row>
    <row r="9916" spans="1:20" x14ac:dyDescent="0.25">
      <c r="A9916">
        <v>9</v>
      </c>
      <c r="B9916">
        <v>461</v>
      </c>
      <c r="C9916" t="str">
        <f t="shared" si="2245"/>
        <v>36</v>
      </c>
      <c r="D9916">
        <v>6399</v>
      </c>
      <c r="E9916" t="str">
        <f>"PR"</f>
        <v>PR</v>
      </c>
      <c r="F9916" t="str">
        <f>"104"</f>
        <v>104</v>
      </c>
      <c r="G9916">
        <v>9</v>
      </c>
      <c r="H9916" t="str">
        <f t="shared" ref="H9916:H9930" si="2254">"99"</f>
        <v>99</v>
      </c>
      <c r="I9916" t="str">
        <f t="shared" si="2252"/>
        <v>0</v>
      </c>
      <c r="J9916" t="str">
        <f t="shared" si="2253"/>
        <v>00</v>
      </c>
      <c r="K9916">
        <v>20190531</v>
      </c>
      <c r="L9916" t="str">
        <f>"076977"</f>
        <v>076977</v>
      </c>
      <c r="M9916" t="str">
        <f>"00420"</f>
        <v>00420</v>
      </c>
      <c r="N9916" t="s">
        <v>7020</v>
      </c>
      <c r="O9916">
        <v>245</v>
      </c>
      <c r="P9916">
        <v>20190530</v>
      </c>
      <c r="Q9916" t="s">
        <v>7014</v>
      </c>
      <c r="R9916" t="s">
        <v>7699</v>
      </c>
      <c r="S9916" t="s">
        <v>7000</v>
      </c>
      <c r="T9916" t="s">
        <v>46</v>
      </c>
    </row>
    <row r="9917" spans="1:20" x14ac:dyDescent="0.25">
      <c r="A9917">
        <v>9</v>
      </c>
      <c r="B9917">
        <v>461</v>
      </c>
      <c r="C9917" t="str">
        <f t="shared" si="2245"/>
        <v>36</v>
      </c>
      <c r="D9917">
        <v>6399</v>
      </c>
      <c r="E9917" t="str">
        <f>"61"</f>
        <v>61</v>
      </c>
      <c r="F9917" t="str">
        <f>"101"</f>
        <v>101</v>
      </c>
      <c r="G9917">
        <v>9</v>
      </c>
      <c r="H9917" t="str">
        <f t="shared" si="2254"/>
        <v>99</v>
      </c>
      <c r="I9917" t="str">
        <f t="shared" si="2252"/>
        <v>0</v>
      </c>
      <c r="J9917" t="str">
        <f t="shared" si="2253"/>
        <v>00</v>
      </c>
      <c r="K9917">
        <v>20190531</v>
      </c>
      <c r="L9917" t="str">
        <f>"076979"</f>
        <v>076979</v>
      </c>
      <c r="M9917" t="str">
        <f>"00419"</f>
        <v>00419</v>
      </c>
      <c r="N9917" t="s">
        <v>7812</v>
      </c>
      <c r="O9917">
        <v>829.15</v>
      </c>
      <c r="P9917">
        <v>20190530</v>
      </c>
      <c r="Q9917" t="s">
        <v>7007</v>
      </c>
      <c r="R9917" t="s">
        <v>7565</v>
      </c>
      <c r="S9917" t="s">
        <v>7000</v>
      </c>
      <c r="T9917" t="s">
        <v>1479</v>
      </c>
    </row>
    <row r="9918" spans="1:20" x14ac:dyDescent="0.25">
      <c r="A9918">
        <v>9</v>
      </c>
      <c r="B9918">
        <v>461</v>
      </c>
      <c r="C9918" t="str">
        <f t="shared" si="2245"/>
        <v>36</v>
      </c>
      <c r="D9918">
        <v>6299</v>
      </c>
      <c r="E9918" t="str">
        <f>"00"</f>
        <v>00</v>
      </c>
      <c r="F9918" t="str">
        <f>"802"</f>
        <v>802</v>
      </c>
      <c r="G9918">
        <v>9</v>
      </c>
      <c r="H9918" t="str">
        <f t="shared" si="2254"/>
        <v>99</v>
      </c>
      <c r="I9918" t="str">
        <f t="shared" si="2252"/>
        <v>0</v>
      </c>
      <c r="J9918" t="str">
        <f t="shared" si="2253"/>
        <v>00</v>
      </c>
      <c r="K9918">
        <v>20190531</v>
      </c>
      <c r="L9918" t="str">
        <f>"076985"</f>
        <v>076985</v>
      </c>
      <c r="M9918" t="str">
        <f>"00571"</f>
        <v>00571</v>
      </c>
      <c r="N9918" t="s">
        <v>7098</v>
      </c>
      <c r="O9918">
        <v>400</v>
      </c>
      <c r="P9918">
        <v>20190530</v>
      </c>
      <c r="Q9918" t="s">
        <v>7099</v>
      </c>
      <c r="R9918" t="s">
        <v>7813</v>
      </c>
      <c r="S9918" t="s">
        <v>7000</v>
      </c>
      <c r="T9918" t="s">
        <v>7023</v>
      </c>
    </row>
    <row r="9919" spans="1:20" x14ac:dyDescent="0.25">
      <c r="A9919">
        <v>9</v>
      </c>
      <c r="B9919">
        <v>461</v>
      </c>
      <c r="C9919" t="str">
        <f t="shared" si="2245"/>
        <v>36</v>
      </c>
      <c r="D9919">
        <v>6299</v>
      </c>
      <c r="E9919" t="str">
        <f>"00"</f>
        <v>00</v>
      </c>
      <c r="F9919" t="str">
        <f>"802"</f>
        <v>802</v>
      </c>
      <c r="G9919">
        <v>9</v>
      </c>
      <c r="H9919" t="str">
        <f t="shared" si="2254"/>
        <v>99</v>
      </c>
      <c r="I9919" t="str">
        <f t="shared" si="2252"/>
        <v>0</v>
      </c>
      <c r="J9919" t="str">
        <f t="shared" si="2253"/>
        <v>00</v>
      </c>
      <c r="K9919">
        <v>20190531</v>
      </c>
      <c r="L9919" t="str">
        <f>"076988"</f>
        <v>076988</v>
      </c>
      <c r="M9919" t="str">
        <f>"20433"</f>
        <v>20433</v>
      </c>
      <c r="N9919" t="s">
        <v>332</v>
      </c>
      <c r="O9919">
        <v>600</v>
      </c>
      <c r="P9919">
        <v>20190530</v>
      </c>
      <c r="Q9919" t="s">
        <v>7099</v>
      </c>
      <c r="R9919" t="s">
        <v>7813</v>
      </c>
      <c r="S9919" t="s">
        <v>7000</v>
      </c>
      <c r="T9919" t="s">
        <v>7023</v>
      </c>
    </row>
    <row r="9920" spans="1:20" x14ac:dyDescent="0.25">
      <c r="A9920">
        <v>9</v>
      </c>
      <c r="B9920">
        <v>461</v>
      </c>
      <c r="C9920" t="str">
        <f t="shared" si="2245"/>
        <v>36</v>
      </c>
      <c r="D9920">
        <v>6399</v>
      </c>
      <c r="E9920" t="str">
        <f>"50"</f>
        <v>50</v>
      </c>
      <c r="F9920" t="str">
        <f>"104"</f>
        <v>104</v>
      </c>
      <c r="G9920">
        <v>9</v>
      </c>
      <c r="H9920" t="str">
        <f t="shared" si="2254"/>
        <v>99</v>
      </c>
      <c r="I9920" t="str">
        <f t="shared" si="2252"/>
        <v>0</v>
      </c>
      <c r="J9920" t="str">
        <f t="shared" si="2253"/>
        <v>00</v>
      </c>
      <c r="K9920">
        <v>20190531</v>
      </c>
      <c r="L9920" t="str">
        <f>"076990"</f>
        <v>076990</v>
      </c>
      <c r="M9920" t="str">
        <f>"51346"</f>
        <v>51346</v>
      </c>
      <c r="N9920" t="s">
        <v>418</v>
      </c>
      <c r="O9920">
        <v>48.93</v>
      </c>
      <c r="P9920">
        <v>20190530</v>
      </c>
      <c r="Q9920" t="s">
        <v>7173</v>
      </c>
      <c r="R9920" t="s">
        <v>7814</v>
      </c>
      <c r="S9920" t="s">
        <v>7000</v>
      </c>
      <c r="T9920" t="s">
        <v>46</v>
      </c>
    </row>
    <row r="9921" spans="1:20" x14ac:dyDescent="0.25">
      <c r="A9921">
        <v>9</v>
      </c>
      <c r="B9921">
        <v>461</v>
      </c>
      <c r="C9921" t="str">
        <f t="shared" si="2245"/>
        <v>36</v>
      </c>
      <c r="D9921">
        <v>6399</v>
      </c>
      <c r="E9921" t="str">
        <f>"61"</f>
        <v>61</v>
      </c>
      <c r="F9921" t="str">
        <f>"101"</f>
        <v>101</v>
      </c>
      <c r="G9921">
        <v>9</v>
      </c>
      <c r="H9921" t="str">
        <f t="shared" si="2254"/>
        <v>99</v>
      </c>
      <c r="I9921" t="str">
        <f t="shared" si="2252"/>
        <v>0</v>
      </c>
      <c r="J9921" t="str">
        <f t="shared" si="2253"/>
        <v>00</v>
      </c>
      <c r="K9921">
        <v>20190531</v>
      </c>
      <c r="L9921" t="str">
        <f>"076991"</f>
        <v>076991</v>
      </c>
      <c r="M9921" t="str">
        <f>"00818"</f>
        <v>00818</v>
      </c>
      <c r="N9921" t="s">
        <v>7815</v>
      </c>
      <c r="O9921">
        <v>630</v>
      </c>
      <c r="P9921">
        <v>20190530</v>
      </c>
      <c r="Q9921" t="s">
        <v>7007</v>
      </c>
      <c r="R9921" t="s">
        <v>7357</v>
      </c>
      <c r="S9921" t="s">
        <v>7000</v>
      </c>
      <c r="T9921" t="s">
        <v>1479</v>
      </c>
    </row>
    <row r="9922" spans="1:20" x14ac:dyDescent="0.25">
      <c r="A9922">
        <v>9</v>
      </c>
      <c r="B9922">
        <v>461</v>
      </c>
      <c r="C9922" t="str">
        <f t="shared" si="2245"/>
        <v>36</v>
      </c>
      <c r="D9922">
        <v>6399</v>
      </c>
      <c r="E9922" t="str">
        <f>"76"</f>
        <v>76</v>
      </c>
      <c r="F9922" t="str">
        <f>"041"</f>
        <v>041</v>
      </c>
      <c r="G9922">
        <v>9</v>
      </c>
      <c r="H9922" t="str">
        <f t="shared" si="2254"/>
        <v>99</v>
      </c>
      <c r="I9922" t="str">
        <f t="shared" si="2252"/>
        <v>0</v>
      </c>
      <c r="J9922" t="str">
        <f t="shared" si="2253"/>
        <v>00</v>
      </c>
      <c r="K9922">
        <v>20190531</v>
      </c>
      <c r="L9922" t="str">
        <f>"077000"</f>
        <v>077000</v>
      </c>
      <c r="M9922" t="str">
        <f>"29090"</f>
        <v>29090</v>
      </c>
      <c r="N9922" t="s">
        <v>7706</v>
      </c>
      <c r="O9922" s="1">
        <v>7000</v>
      </c>
      <c r="P9922">
        <v>20190530</v>
      </c>
      <c r="Q9922" t="s">
        <v>7816</v>
      </c>
      <c r="R9922" t="s">
        <v>7707</v>
      </c>
      <c r="S9922" t="s">
        <v>7000</v>
      </c>
      <c r="T9922" t="s">
        <v>106</v>
      </c>
    </row>
    <row r="9923" spans="1:20" x14ac:dyDescent="0.25">
      <c r="A9923">
        <v>9</v>
      </c>
      <c r="B9923">
        <v>461</v>
      </c>
      <c r="C9923" t="str">
        <f t="shared" si="2245"/>
        <v>36</v>
      </c>
      <c r="D9923">
        <v>6399</v>
      </c>
      <c r="E9923" t="str">
        <f>"7U"</f>
        <v>7U</v>
      </c>
      <c r="F9923" t="str">
        <f>"041"</f>
        <v>041</v>
      </c>
      <c r="G9923">
        <v>9</v>
      </c>
      <c r="H9923" t="str">
        <f t="shared" si="2254"/>
        <v>99</v>
      </c>
      <c r="I9923" t="str">
        <f t="shared" si="2252"/>
        <v>0</v>
      </c>
      <c r="J9923" t="str">
        <f t="shared" si="2253"/>
        <v>00</v>
      </c>
      <c r="K9923">
        <v>20190531</v>
      </c>
      <c r="L9923" t="str">
        <f>"077002"</f>
        <v>077002</v>
      </c>
      <c r="M9923" t="str">
        <f>"30390"</f>
        <v>30390</v>
      </c>
      <c r="N9923" t="s">
        <v>2624</v>
      </c>
      <c r="O9923">
        <v>583.97</v>
      </c>
      <c r="P9923">
        <v>20190530</v>
      </c>
      <c r="Q9923" t="s">
        <v>7339</v>
      </c>
      <c r="R9923" t="s">
        <v>1945</v>
      </c>
      <c r="S9923" t="s">
        <v>7000</v>
      </c>
      <c r="T9923" t="s">
        <v>106</v>
      </c>
    </row>
    <row r="9924" spans="1:20" x14ac:dyDescent="0.25">
      <c r="A9924">
        <v>9</v>
      </c>
      <c r="B9924">
        <v>461</v>
      </c>
      <c r="C9924" t="str">
        <f t="shared" si="2245"/>
        <v>36</v>
      </c>
      <c r="D9924">
        <v>6399</v>
      </c>
      <c r="E9924" t="str">
        <f>"61"</f>
        <v>61</v>
      </c>
      <c r="F9924" t="str">
        <f>"101"</f>
        <v>101</v>
      </c>
      <c r="G9924">
        <v>9</v>
      </c>
      <c r="H9924" t="str">
        <f t="shared" si="2254"/>
        <v>99</v>
      </c>
      <c r="I9924" t="str">
        <f t="shared" si="2252"/>
        <v>0</v>
      </c>
      <c r="J9924" t="str">
        <f t="shared" si="2253"/>
        <v>00</v>
      </c>
      <c r="K9924">
        <v>20190531</v>
      </c>
      <c r="L9924" t="str">
        <f>"077018"</f>
        <v>077018</v>
      </c>
      <c r="M9924" t="str">
        <f>"45130"</f>
        <v>45130</v>
      </c>
      <c r="N9924" t="s">
        <v>6833</v>
      </c>
      <c r="O9924">
        <v>127.2</v>
      </c>
      <c r="P9924">
        <v>20190530</v>
      </c>
      <c r="Q9924" t="s">
        <v>7007</v>
      </c>
      <c r="R9924" t="s">
        <v>7817</v>
      </c>
      <c r="S9924" t="s">
        <v>7000</v>
      </c>
      <c r="T9924" t="s">
        <v>1479</v>
      </c>
    </row>
    <row r="9925" spans="1:20" x14ac:dyDescent="0.25">
      <c r="A9925">
        <v>9</v>
      </c>
      <c r="B9925">
        <v>461</v>
      </c>
      <c r="C9925" t="str">
        <f t="shared" si="2245"/>
        <v>36</v>
      </c>
      <c r="D9925">
        <v>6399</v>
      </c>
      <c r="E9925" t="str">
        <f>"H2"</f>
        <v>H2</v>
      </c>
      <c r="F9925" t="str">
        <f>"001"</f>
        <v>001</v>
      </c>
      <c r="G9925">
        <v>9</v>
      </c>
      <c r="H9925" t="str">
        <f t="shared" si="2254"/>
        <v>99</v>
      </c>
      <c r="I9925" t="str">
        <f t="shared" si="2252"/>
        <v>0</v>
      </c>
      <c r="J9925" t="str">
        <f t="shared" si="2253"/>
        <v>00</v>
      </c>
      <c r="K9925">
        <v>20190531</v>
      </c>
      <c r="L9925" t="str">
        <f>"077023"</f>
        <v>077023</v>
      </c>
      <c r="M9925" t="str">
        <f>"47600"</f>
        <v>47600</v>
      </c>
      <c r="N9925" t="s">
        <v>7818</v>
      </c>
      <c r="O9925">
        <v>534.85</v>
      </c>
      <c r="P9925">
        <v>20190530</v>
      </c>
      <c r="Q9925" t="s">
        <v>7033</v>
      </c>
      <c r="R9925" t="s">
        <v>7819</v>
      </c>
      <c r="S9925" t="s">
        <v>7000</v>
      </c>
      <c r="T9925" t="s">
        <v>301</v>
      </c>
    </row>
    <row r="9926" spans="1:20" x14ac:dyDescent="0.25">
      <c r="A9926">
        <v>9</v>
      </c>
      <c r="B9926">
        <v>461</v>
      </c>
      <c r="C9926" t="str">
        <f t="shared" si="2245"/>
        <v>36</v>
      </c>
      <c r="D9926">
        <v>6399</v>
      </c>
      <c r="E9926" t="str">
        <f>"H2"</f>
        <v>H2</v>
      </c>
      <c r="F9926" t="str">
        <f>"001"</f>
        <v>001</v>
      </c>
      <c r="G9926">
        <v>9</v>
      </c>
      <c r="H9926" t="str">
        <f t="shared" si="2254"/>
        <v>99</v>
      </c>
      <c r="I9926" t="str">
        <f t="shared" si="2252"/>
        <v>0</v>
      </c>
      <c r="J9926" t="str">
        <f t="shared" si="2253"/>
        <v>00</v>
      </c>
      <c r="K9926">
        <v>20190531</v>
      </c>
      <c r="L9926" t="str">
        <f>"077023"</f>
        <v>077023</v>
      </c>
      <c r="M9926" t="str">
        <f>"47600"</f>
        <v>47600</v>
      </c>
      <c r="N9926" t="s">
        <v>7818</v>
      </c>
      <c r="O9926">
        <v>591.15</v>
      </c>
      <c r="P9926">
        <v>20190530</v>
      </c>
      <c r="Q9926" t="s">
        <v>7033</v>
      </c>
      <c r="R9926" t="s">
        <v>7820</v>
      </c>
      <c r="S9926" t="s">
        <v>7000</v>
      </c>
      <c r="T9926" t="s">
        <v>301</v>
      </c>
    </row>
    <row r="9927" spans="1:20" x14ac:dyDescent="0.25">
      <c r="A9927">
        <v>9</v>
      </c>
      <c r="B9927">
        <v>461</v>
      </c>
      <c r="C9927" t="str">
        <f t="shared" si="2245"/>
        <v>36</v>
      </c>
      <c r="D9927">
        <v>6399</v>
      </c>
      <c r="E9927" t="str">
        <f>"H2"</f>
        <v>H2</v>
      </c>
      <c r="F9927" t="str">
        <f>"001"</f>
        <v>001</v>
      </c>
      <c r="G9927">
        <v>9</v>
      </c>
      <c r="H9927" t="str">
        <f t="shared" si="2254"/>
        <v>99</v>
      </c>
      <c r="I9927" t="str">
        <f t="shared" si="2252"/>
        <v>0</v>
      </c>
      <c r="J9927" t="str">
        <f t="shared" si="2253"/>
        <v>00</v>
      </c>
      <c r="K9927">
        <v>20190531</v>
      </c>
      <c r="L9927" t="str">
        <f>"077023"</f>
        <v>077023</v>
      </c>
      <c r="M9927" t="str">
        <f>"47600"</f>
        <v>47600</v>
      </c>
      <c r="N9927" t="s">
        <v>7818</v>
      </c>
      <c r="O9927">
        <v>682.5</v>
      </c>
      <c r="P9927">
        <v>20190530</v>
      </c>
      <c r="Q9927" t="s">
        <v>7033</v>
      </c>
      <c r="R9927" t="s">
        <v>7821</v>
      </c>
      <c r="S9927" t="s">
        <v>7000</v>
      </c>
      <c r="T9927" t="s">
        <v>301</v>
      </c>
    </row>
    <row r="9928" spans="1:20" x14ac:dyDescent="0.25">
      <c r="A9928">
        <v>9</v>
      </c>
      <c r="B9928">
        <v>461</v>
      </c>
      <c r="C9928" t="str">
        <f t="shared" si="2245"/>
        <v>36</v>
      </c>
      <c r="D9928">
        <v>6399</v>
      </c>
      <c r="E9928" t="str">
        <f>"H2"</f>
        <v>H2</v>
      </c>
      <c r="F9928" t="str">
        <f>"001"</f>
        <v>001</v>
      </c>
      <c r="G9928">
        <v>9</v>
      </c>
      <c r="H9928" t="str">
        <f t="shared" si="2254"/>
        <v>99</v>
      </c>
      <c r="I9928" t="str">
        <f t="shared" si="2252"/>
        <v>0</v>
      </c>
      <c r="J9928" t="str">
        <f t="shared" si="2253"/>
        <v>00</v>
      </c>
      <c r="K9928">
        <v>20190531</v>
      </c>
      <c r="L9928" t="str">
        <f>"077023"</f>
        <v>077023</v>
      </c>
      <c r="M9928" t="str">
        <f>"47600"</f>
        <v>47600</v>
      </c>
      <c r="N9928" t="s">
        <v>7818</v>
      </c>
      <c r="O9928" s="1">
        <v>1608</v>
      </c>
      <c r="P9928">
        <v>20190530</v>
      </c>
      <c r="Q9928" t="s">
        <v>7033</v>
      </c>
      <c r="R9928" t="s">
        <v>7822</v>
      </c>
      <c r="S9928" t="s">
        <v>7000</v>
      </c>
      <c r="T9928" t="s">
        <v>301</v>
      </c>
    </row>
    <row r="9929" spans="1:20" x14ac:dyDescent="0.25">
      <c r="A9929">
        <v>9</v>
      </c>
      <c r="B9929">
        <v>461</v>
      </c>
      <c r="C9929" t="str">
        <f t="shared" si="2245"/>
        <v>36</v>
      </c>
      <c r="D9929">
        <v>6399</v>
      </c>
      <c r="E9929" t="str">
        <f>"74"</f>
        <v>74</v>
      </c>
      <c r="F9929" t="str">
        <f>"041"</f>
        <v>041</v>
      </c>
      <c r="G9929">
        <v>9</v>
      </c>
      <c r="H9929" t="str">
        <f t="shared" si="2254"/>
        <v>99</v>
      </c>
      <c r="I9929" t="str">
        <f t="shared" si="2252"/>
        <v>0</v>
      </c>
      <c r="J9929" t="str">
        <f t="shared" si="2253"/>
        <v>00</v>
      </c>
      <c r="K9929">
        <v>20190531</v>
      </c>
      <c r="L9929" t="str">
        <f>"077028"</f>
        <v>077028</v>
      </c>
      <c r="M9929" t="str">
        <f>"54282"</f>
        <v>54282</v>
      </c>
      <c r="N9929" t="s">
        <v>7823</v>
      </c>
      <c r="O9929">
        <v>222.25</v>
      </c>
      <c r="P9929">
        <v>20190530</v>
      </c>
      <c r="Q9929" t="s">
        <v>7167</v>
      </c>
      <c r="R9929" t="s">
        <v>7771</v>
      </c>
      <c r="S9929" t="s">
        <v>7000</v>
      </c>
      <c r="T9929" t="s">
        <v>106</v>
      </c>
    </row>
    <row r="9930" spans="1:20" x14ac:dyDescent="0.25">
      <c r="A9930">
        <v>9</v>
      </c>
      <c r="B9930">
        <v>461</v>
      </c>
      <c r="C9930" t="str">
        <f t="shared" si="2245"/>
        <v>36</v>
      </c>
      <c r="D9930">
        <v>6399</v>
      </c>
      <c r="E9930" t="str">
        <f>"00"</f>
        <v>00</v>
      </c>
      <c r="F9930" t="str">
        <f>"942"</f>
        <v>942</v>
      </c>
      <c r="G9930">
        <v>9</v>
      </c>
      <c r="H9930" t="str">
        <f t="shared" si="2254"/>
        <v>99</v>
      </c>
      <c r="I9930" t="str">
        <f t="shared" si="2252"/>
        <v>0</v>
      </c>
      <c r="J9930" t="str">
        <f>"88"</f>
        <v>88</v>
      </c>
      <c r="K9930">
        <v>20190531</v>
      </c>
      <c r="L9930" t="str">
        <f>"077029"</f>
        <v>077029</v>
      </c>
      <c r="M9930" t="str">
        <f>"55795"</f>
        <v>55795</v>
      </c>
      <c r="N9930" t="s">
        <v>7048</v>
      </c>
      <c r="O9930">
        <v>112.5</v>
      </c>
      <c r="P9930">
        <v>20190530</v>
      </c>
      <c r="Q9930" t="s">
        <v>7018</v>
      </c>
      <c r="R9930" t="s">
        <v>7824</v>
      </c>
      <c r="S9930" t="s">
        <v>7000</v>
      </c>
      <c r="T9930" t="s">
        <v>1831</v>
      </c>
    </row>
    <row r="9931" spans="1:20" x14ac:dyDescent="0.25">
      <c r="A9931">
        <v>9</v>
      </c>
      <c r="B9931">
        <v>461</v>
      </c>
      <c r="C9931" t="str">
        <f t="shared" si="2245"/>
        <v>36</v>
      </c>
      <c r="D9931">
        <v>6299</v>
      </c>
      <c r="E9931" t="str">
        <f>"38"</f>
        <v>38</v>
      </c>
      <c r="F9931" t="str">
        <f>"001"</f>
        <v>001</v>
      </c>
      <c r="G9931">
        <v>9</v>
      </c>
      <c r="H9931" t="str">
        <f>"91"</f>
        <v>91</v>
      </c>
      <c r="I9931" t="str">
        <f t="shared" si="2252"/>
        <v>0</v>
      </c>
      <c r="J9931" t="str">
        <f t="shared" ref="J9931:J9962" si="2255">"00"</f>
        <v>00</v>
      </c>
      <c r="K9931">
        <v>20190531</v>
      </c>
      <c r="L9931" t="str">
        <f>"077030"</f>
        <v>077030</v>
      </c>
      <c r="M9931" t="str">
        <f>"55855"</f>
        <v>55855</v>
      </c>
      <c r="N9931" t="s">
        <v>7825</v>
      </c>
      <c r="O9931" s="1">
        <v>6120</v>
      </c>
      <c r="P9931">
        <v>20190530</v>
      </c>
      <c r="Q9931" t="s">
        <v>7826</v>
      </c>
      <c r="R9931" t="s">
        <v>7827</v>
      </c>
      <c r="S9931" t="s">
        <v>7000</v>
      </c>
      <c r="T9931" t="s">
        <v>301</v>
      </c>
    </row>
    <row r="9932" spans="1:20" x14ac:dyDescent="0.25">
      <c r="A9932">
        <v>9</v>
      </c>
      <c r="B9932">
        <v>461</v>
      </c>
      <c r="C9932" t="str">
        <f t="shared" si="2245"/>
        <v>36</v>
      </c>
      <c r="D9932">
        <v>6399</v>
      </c>
      <c r="E9932" t="str">
        <f>"GN"</f>
        <v>GN</v>
      </c>
      <c r="F9932" t="str">
        <f>"001"</f>
        <v>001</v>
      </c>
      <c r="G9932">
        <v>9</v>
      </c>
      <c r="H9932" t="str">
        <f t="shared" ref="H9932:H9946" si="2256">"99"</f>
        <v>99</v>
      </c>
      <c r="I9932" t="str">
        <f t="shared" si="2252"/>
        <v>0</v>
      </c>
      <c r="J9932" t="str">
        <f t="shared" si="2255"/>
        <v>00</v>
      </c>
      <c r="K9932">
        <v>20190531</v>
      </c>
      <c r="L9932" t="str">
        <f>"077042"</f>
        <v>077042</v>
      </c>
      <c r="M9932" t="str">
        <f>"70641"</f>
        <v>70641</v>
      </c>
      <c r="N9932" t="s">
        <v>5196</v>
      </c>
      <c r="O9932" s="1">
        <v>2032</v>
      </c>
      <c r="P9932">
        <v>20190530</v>
      </c>
      <c r="Q9932" t="s">
        <v>7043</v>
      </c>
      <c r="R9932" t="s">
        <v>7565</v>
      </c>
      <c r="S9932" t="s">
        <v>7000</v>
      </c>
      <c r="T9932" t="s">
        <v>301</v>
      </c>
    </row>
    <row r="9933" spans="1:20" x14ac:dyDescent="0.25">
      <c r="A9933">
        <v>9</v>
      </c>
      <c r="B9933">
        <v>461</v>
      </c>
      <c r="C9933" t="str">
        <f t="shared" si="2245"/>
        <v>36</v>
      </c>
      <c r="D9933">
        <v>6412</v>
      </c>
      <c r="E9933" t="str">
        <f>"7C"</f>
        <v>7C</v>
      </c>
      <c r="F9933" t="str">
        <f>"999"</f>
        <v>999</v>
      </c>
      <c r="G9933">
        <v>9</v>
      </c>
      <c r="H9933" t="str">
        <f t="shared" si="2256"/>
        <v>99</v>
      </c>
      <c r="I9933" t="str">
        <f t="shared" si="2252"/>
        <v>0</v>
      </c>
      <c r="J9933" t="str">
        <f t="shared" si="2255"/>
        <v>00</v>
      </c>
      <c r="K9933">
        <v>20190531</v>
      </c>
      <c r="L9933" t="str">
        <f>"077044"</f>
        <v>077044</v>
      </c>
      <c r="M9933" t="str">
        <f>"00769"</f>
        <v>00769</v>
      </c>
      <c r="N9933" t="s">
        <v>7828</v>
      </c>
      <c r="O9933">
        <v>800</v>
      </c>
      <c r="P9933">
        <v>20190530</v>
      </c>
      <c r="Q9933" t="s">
        <v>7691</v>
      </c>
      <c r="R9933" t="s">
        <v>7829</v>
      </c>
      <c r="S9933" t="s">
        <v>7000</v>
      </c>
      <c r="T9933" t="s">
        <v>3622</v>
      </c>
    </row>
    <row r="9934" spans="1:20" x14ac:dyDescent="0.25">
      <c r="A9934">
        <v>9</v>
      </c>
      <c r="B9934">
        <v>461</v>
      </c>
      <c r="C9934" t="str">
        <f t="shared" si="2245"/>
        <v>36</v>
      </c>
      <c r="D9934">
        <v>6412</v>
      </c>
      <c r="E9934" t="str">
        <f>"7C"</f>
        <v>7C</v>
      </c>
      <c r="F9934" t="str">
        <f>"999"</f>
        <v>999</v>
      </c>
      <c r="G9934">
        <v>9</v>
      </c>
      <c r="H9934" t="str">
        <f t="shared" si="2256"/>
        <v>99</v>
      </c>
      <c r="I9934" t="str">
        <f t="shared" si="2252"/>
        <v>0</v>
      </c>
      <c r="J9934" t="str">
        <f t="shared" si="2255"/>
        <v>00</v>
      </c>
      <c r="K9934">
        <v>20190531</v>
      </c>
      <c r="L9934" t="str">
        <f>"077044"</f>
        <v>077044</v>
      </c>
      <c r="M9934" t="str">
        <f>"00769"</f>
        <v>00769</v>
      </c>
      <c r="N9934" t="s">
        <v>7828</v>
      </c>
      <c r="O9934">
        <v>800</v>
      </c>
      <c r="P9934">
        <v>20190530</v>
      </c>
      <c r="Q9934" t="s">
        <v>7691</v>
      </c>
      <c r="R9934" t="s">
        <v>7830</v>
      </c>
      <c r="S9934" t="s">
        <v>7000</v>
      </c>
      <c r="T9934" t="s">
        <v>3622</v>
      </c>
    </row>
    <row r="9935" spans="1:20" x14ac:dyDescent="0.25">
      <c r="A9935">
        <v>9</v>
      </c>
      <c r="B9935">
        <v>461</v>
      </c>
      <c r="C9935" t="str">
        <f t="shared" si="2245"/>
        <v>36</v>
      </c>
      <c r="D9935">
        <v>6499</v>
      </c>
      <c r="E9935" t="str">
        <f>"GN"</f>
        <v>GN</v>
      </c>
      <c r="F9935" t="str">
        <f>"001"</f>
        <v>001</v>
      </c>
      <c r="G9935">
        <v>9</v>
      </c>
      <c r="H9935" t="str">
        <f t="shared" si="2256"/>
        <v>99</v>
      </c>
      <c r="I9935" t="str">
        <f t="shared" si="2252"/>
        <v>0</v>
      </c>
      <c r="J9935" t="str">
        <f t="shared" si="2255"/>
        <v>00</v>
      </c>
      <c r="K9935">
        <v>20190531</v>
      </c>
      <c r="L9935" t="str">
        <f>"077046"</f>
        <v>077046</v>
      </c>
      <c r="M9935" t="str">
        <f>"81299"</f>
        <v>81299</v>
      </c>
      <c r="N9935" t="s">
        <v>4298</v>
      </c>
      <c r="O9935">
        <v>212.5</v>
      </c>
      <c r="P9935">
        <v>20190530</v>
      </c>
      <c r="Q9935" t="s">
        <v>7696</v>
      </c>
      <c r="R9935" t="s">
        <v>7555</v>
      </c>
      <c r="S9935" t="s">
        <v>7000</v>
      </c>
      <c r="T9935" t="s">
        <v>301</v>
      </c>
    </row>
    <row r="9936" spans="1:20" x14ac:dyDescent="0.25">
      <c r="A9936">
        <v>9</v>
      </c>
      <c r="B9936">
        <v>461</v>
      </c>
      <c r="C9936" t="str">
        <f t="shared" ref="C9936:C9999" si="2257">"36"</f>
        <v>36</v>
      </c>
      <c r="D9936">
        <v>6499</v>
      </c>
      <c r="E9936" t="str">
        <f>"GN"</f>
        <v>GN</v>
      </c>
      <c r="F9936" t="str">
        <f>"001"</f>
        <v>001</v>
      </c>
      <c r="G9936">
        <v>9</v>
      </c>
      <c r="H9936" t="str">
        <f t="shared" si="2256"/>
        <v>99</v>
      </c>
      <c r="I9936" t="str">
        <f t="shared" si="2252"/>
        <v>0</v>
      </c>
      <c r="J9936" t="str">
        <f t="shared" si="2255"/>
        <v>00</v>
      </c>
      <c r="K9936">
        <v>20190531</v>
      </c>
      <c r="L9936" t="str">
        <f>"077046"</f>
        <v>077046</v>
      </c>
      <c r="M9936" t="str">
        <f>"81299"</f>
        <v>81299</v>
      </c>
      <c r="N9936" t="s">
        <v>4298</v>
      </c>
      <c r="O9936">
        <v>400</v>
      </c>
      <c r="P9936">
        <v>20190530</v>
      </c>
      <c r="Q9936" t="s">
        <v>7696</v>
      </c>
      <c r="R9936" t="s">
        <v>7555</v>
      </c>
      <c r="S9936" t="s">
        <v>7000</v>
      </c>
      <c r="T9936" t="s">
        <v>301</v>
      </c>
    </row>
    <row r="9937" spans="1:20" x14ac:dyDescent="0.25">
      <c r="A9937">
        <v>9</v>
      </c>
      <c r="B9937">
        <v>461</v>
      </c>
      <c r="C9937" t="str">
        <f t="shared" si="2257"/>
        <v>36</v>
      </c>
      <c r="D9937">
        <v>6399</v>
      </c>
      <c r="E9937" t="str">
        <f>"7B"</f>
        <v>7B</v>
      </c>
      <c r="F9937" t="str">
        <f>"001"</f>
        <v>001</v>
      </c>
      <c r="G9937">
        <v>9</v>
      </c>
      <c r="H9937" t="str">
        <f t="shared" si="2256"/>
        <v>99</v>
      </c>
      <c r="I9937" t="str">
        <f t="shared" ref="I9937:I9952" si="2258">"0"</f>
        <v>0</v>
      </c>
      <c r="J9937" t="str">
        <f t="shared" si="2255"/>
        <v>00</v>
      </c>
      <c r="K9937">
        <v>20190531</v>
      </c>
      <c r="L9937" t="str">
        <f>"077047"</f>
        <v>077047</v>
      </c>
      <c r="M9937" t="str">
        <f>"81303"</f>
        <v>81303</v>
      </c>
      <c r="N9937" t="s">
        <v>66</v>
      </c>
      <c r="O9937">
        <v>28</v>
      </c>
      <c r="P9937">
        <v>20190530</v>
      </c>
      <c r="Q9937" t="s">
        <v>7042</v>
      </c>
      <c r="R9937" t="s">
        <v>7375</v>
      </c>
      <c r="S9937" t="s">
        <v>7000</v>
      </c>
      <c r="T9937" t="s">
        <v>301</v>
      </c>
    </row>
    <row r="9938" spans="1:20" x14ac:dyDescent="0.25">
      <c r="A9938">
        <v>9</v>
      </c>
      <c r="B9938">
        <v>461</v>
      </c>
      <c r="C9938" t="str">
        <f t="shared" si="2257"/>
        <v>36</v>
      </c>
      <c r="D9938">
        <v>6499</v>
      </c>
      <c r="E9938" t="str">
        <f>"61"</f>
        <v>61</v>
      </c>
      <c r="F9938" t="str">
        <f>"041"</f>
        <v>041</v>
      </c>
      <c r="G9938">
        <v>9</v>
      </c>
      <c r="H9938" t="str">
        <f t="shared" si="2256"/>
        <v>99</v>
      </c>
      <c r="I9938" t="str">
        <f t="shared" si="2258"/>
        <v>0</v>
      </c>
      <c r="J9938" t="str">
        <f t="shared" si="2255"/>
        <v>00</v>
      </c>
      <c r="K9938">
        <v>20190531</v>
      </c>
      <c r="L9938" t="str">
        <f t="shared" ref="L9938:L9946" si="2259">"077050"</f>
        <v>077050</v>
      </c>
      <c r="M9938" t="str">
        <f t="shared" ref="M9938:M9946" si="2260">"83022"</f>
        <v>83022</v>
      </c>
      <c r="N9938" t="s">
        <v>691</v>
      </c>
      <c r="O9938">
        <v>274.26</v>
      </c>
      <c r="P9938">
        <v>20190530</v>
      </c>
      <c r="Q9938" t="s">
        <v>7831</v>
      </c>
      <c r="R9938" t="s">
        <v>7832</v>
      </c>
      <c r="S9938" t="s">
        <v>7000</v>
      </c>
      <c r="T9938" t="s">
        <v>106</v>
      </c>
    </row>
    <row r="9939" spans="1:20" x14ac:dyDescent="0.25">
      <c r="A9939">
        <v>9</v>
      </c>
      <c r="B9939">
        <v>461</v>
      </c>
      <c r="C9939" t="str">
        <f t="shared" si="2257"/>
        <v>36</v>
      </c>
      <c r="D9939">
        <v>6499</v>
      </c>
      <c r="E9939" t="str">
        <f>"61"</f>
        <v>61</v>
      </c>
      <c r="F9939" t="str">
        <f>"041"</f>
        <v>041</v>
      </c>
      <c r="G9939">
        <v>9</v>
      </c>
      <c r="H9939" t="str">
        <f t="shared" si="2256"/>
        <v>99</v>
      </c>
      <c r="I9939" t="str">
        <f t="shared" si="2258"/>
        <v>0</v>
      </c>
      <c r="J9939" t="str">
        <f t="shared" si="2255"/>
        <v>00</v>
      </c>
      <c r="K9939">
        <v>20190531</v>
      </c>
      <c r="L9939" t="str">
        <f t="shared" si="2259"/>
        <v>077050</v>
      </c>
      <c r="M9939" t="str">
        <f t="shared" si="2260"/>
        <v>83022</v>
      </c>
      <c r="N9939" t="s">
        <v>691</v>
      </c>
      <c r="O9939">
        <v>351.68</v>
      </c>
      <c r="P9939">
        <v>20190530</v>
      </c>
      <c r="Q9939" t="s">
        <v>7831</v>
      </c>
      <c r="R9939" t="s">
        <v>7832</v>
      </c>
      <c r="S9939" t="s">
        <v>7000</v>
      </c>
      <c r="T9939" t="s">
        <v>106</v>
      </c>
    </row>
    <row r="9940" spans="1:20" x14ac:dyDescent="0.25">
      <c r="A9940">
        <v>9</v>
      </c>
      <c r="B9940">
        <v>461</v>
      </c>
      <c r="C9940" t="str">
        <f t="shared" si="2257"/>
        <v>36</v>
      </c>
      <c r="D9940">
        <v>6499</v>
      </c>
      <c r="E9940" t="str">
        <f t="shared" ref="E9940:E9946" si="2261">"GN"</f>
        <v>GN</v>
      </c>
      <c r="F9940" t="str">
        <f t="shared" ref="F9940:F9947" si="2262">"001"</f>
        <v>001</v>
      </c>
      <c r="G9940">
        <v>9</v>
      </c>
      <c r="H9940" t="str">
        <f t="shared" si="2256"/>
        <v>99</v>
      </c>
      <c r="I9940" t="str">
        <f t="shared" si="2258"/>
        <v>0</v>
      </c>
      <c r="J9940" t="str">
        <f t="shared" si="2255"/>
        <v>00</v>
      </c>
      <c r="K9940">
        <v>20190531</v>
      </c>
      <c r="L9940" t="str">
        <f t="shared" si="2259"/>
        <v>077050</v>
      </c>
      <c r="M9940" t="str">
        <f t="shared" si="2260"/>
        <v>83022</v>
      </c>
      <c r="N9940" t="s">
        <v>691</v>
      </c>
      <c r="O9940" s="1">
        <v>1461.5</v>
      </c>
      <c r="P9940">
        <v>20190530</v>
      </c>
      <c r="Q9940" t="s">
        <v>7696</v>
      </c>
      <c r="R9940" t="s">
        <v>7787</v>
      </c>
      <c r="S9940" t="s">
        <v>7000</v>
      </c>
      <c r="T9940" t="s">
        <v>301</v>
      </c>
    </row>
    <row r="9941" spans="1:20" x14ac:dyDescent="0.25">
      <c r="A9941">
        <v>9</v>
      </c>
      <c r="B9941">
        <v>461</v>
      </c>
      <c r="C9941" t="str">
        <f t="shared" si="2257"/>
        <v>36</v>
      </c>
      <c r="D9941">
        <v>6499</v>
      </c>
      <c r="E9941" t="str">
        <f t="shared" si="2261"/>
        <v>GN</v>
      </c>
      <c r="F9941" t="str">
        <f t="shared" si="2262"/>
        <v>001</v>
      </c>
      <c r="G9941">
        <v>9</v>
      </c>
      <c r="H9941" t="str">
        <f t="shared" si="2256"/>
        <v>99</v>
      </c>
      <c r="I9941" t="str">
        <f t="shared" si="2258"/>
        <v>0</v>
      </c>
      <c r="J9941" t="str">
        <f t="shared" si="2255"/>
        <v>00</v>
      </c>
      <c r="K9941">
        <v>20190531</v>
      </c>
      <c r="L9941" t="str">
        <f t="shared" si="2259"/>
        <v>077050</v>
      </c>
      <c r="M9941" t="str">
        <f t="shared" si="2260"/>
        <v>83022</v>
      </c>
      <c r="N9941" t="s">
        <v>691</v>
      </c>
      <c r="O9941" s="1">
        <v>1721.28</v>
      </c>
      <c r="P9941">
        <v>20190530</v>
      </c>
      <c r="Q9941" t="s">
        <v>7696</v>
      </c>
      <c r="R9941" t="s">
        <v>7787</v>
      </c>
      <c r="S9941" t="s">
        <v>7000</v>
      </c>
      <c r="T9941" t="s">
        <v>301</v>
      </c>
    </row>
    <row r="9942" spans="1:20" x14ac:dyDescent="0.25">
      <c r="A9942">
        <v>9</v>
      </c>
      <c r="B9942">
        <v>461</v>
      </c>
      <c r="C9942" t="str">
        <f t="shared" si="2257"/>
        <v>36</v>
      </c>
      <c r="D9942">
        <v>6499</v>
      </c>
      <c r="E9942" t="str">
        <f t="shared" si="2261"/>
        <v>GN</v>
      </c>
      <c r="F9942" t="str">
        <f t="shared" si="2262"/>
        <v>001</v>
      </c>
      <c r="G9942">
        <v>9</v>
      </c>
      <c r="H9942" t="str">
        <f t="shared" si="2256"/>
        <v>99</v>
      </c>
      <c r="I9942" t="str">
        <f t="shared" si="2258"/>
        <v>0</v>
      </c>
      <c r="J9942" t="str">
        <f t="shared" si="2255"/>
        <v>00</v>
      </c>
      <c r="K9942">
        <v>20190531</v>
      </c>
      <c r="L9942" t="str">
        <f t="shared" si="2259"/>
        <v>077050</v>
      </c>
      <c r="M9942" t="str">
        <f t="shared" si="2260"/>
        <v>83022</v>
      </c>
      <c r="N9942" t="s">
        <v>691</v>
      </c>
      <c r="O9942">
        <v>417.03</v>
      </c>
      <c r="P9942">
        <v>20190530</v>
      </c>
      <c r="Q9942" t="s">
        <v>7696</v>
      </c>
      <c r="R9942" t="s">
        <v>7787</v>
      </c>
      <c r="S9942" t="s">
        <v>7000</v>
      </c>
      <c r="T9942" t="s">
        <v>301</v>
      </c>
    </row>
    <row r="9943" spans="1:20" x14ac:dyDescent="0.25">
      <c r="A9943">
        <v>9</v>
      </c>
      <c r="B9943">
        <v>461</v>
      </c>
      <c r="C9943" t="str">
        <f t="shared" si="2257"/>
        <v>36</v>
      </c>
      <c r="D9943">
        <v>6499</v>
      </c>
      <c r="E9943" t="str">
        <f t="shared" si="2261"/>
        <v>GN</v>
      </c>
      <c r="F9943" t="str">
        <f t="shared" si="2262"/>
        <v>001</v>
      </c>
      <c r="G9943">
        <v>9</v>
      </c>
      <c r="H9943" t="str">
        <f t="shared" si="2256"/>
        <v>99</v>
      </c>
      <c r="I9943" t="str">
        <f t="shared" si="2258"/>
        <v>0</v>
      </c>
      <c r="J9943" t="str">
        <f t="shared" si="2255"/>
        <v>00</v>
      </c>
      <c r="K9943">
        <v>20190531</v>
      </c>
      <c r="L9943" t="str">
        <f t="shared" si="2259"/>
        <v>077050</v>
      </c>
      <c r="M9943" t="str">
        <f t="shared" si="2260"/>
        <v>83022</v>
      </c>
      <c r="N9943" t="s">
        <v>691</v>
      </c>
      <c r="O9943" s="1">
        <v>1390.25</v>
      </c>
      <c r="P9943">
        <v>20190530</v>
      </c>
      <c r="Q9943" t="s">
        <v>7696</v>
      </c>
      <c r="R9943" t="s">
        <v>7787</v>
      </c>
      <c r="S9943" t="s">
        <v>7000</v>
      </c>
      <c r="T9943" t="s">
        <v>301</v>
      </c>
    </row>
    <row r="9944" spans="1:20" x14ac:dyDescent="0.25">
      <c r="A9944">
        <v>9</v>
      </c>
      <c r="B9944">
        <v>461</v>
      </c>
      <c r="C9944" t="str">
        <f t="shared" si="2257"/>
        <v>36</v>
      </c>
      <c r="D9944">
        <v>6499</v>
      </c>
      <c r="E9944" t="str">
        <f t="shared" si="2261"/>
        <v>GN</v>
      </c>
      <c r="F9944" t="str">
        <f t="shared" si="2262"/>
        <v>001</v>
      </c>
      <c r="G9944">
        <v>9</v>
      </c>
      <c r="H9944" t="str">
        <f t="shared" si="2256"/>
        <v>99</v>
      </c>
      <c r="I9944" t="str">
        <f t="shared" si="2258"/>
        <v>0</v>
      </c>
      <c r="J9944" t="str">
        <f t="shared" si="2255"/>
        <v>00</v>
      </c>
      <c r="K9944">
        <v>20190531</v>
      </c>
      <c r="L9944" t="str">
        <f t="shared" si="2259"/>
        <v>077050</v>
      </c>
      <c r="M9944" t="str">
        <f t="shared" si="2260"/>
        <v>83022</v>
      </c>
      <c r="N9944" t="s">
        <v>691</v>
      </c>
      <c r="O9944" s="1">
        <v>1731.2</v>
      </c>
      <c r="P9944">
        <v>20190530</v>
      </c>
      <c r="Q9944" t="s">
        <v>7696</v>
      </c>
      <c r="R9944" t="s">
        <v>7787</v>
      </c>
      <c r="S9944" t="s">
        <v>7000</v>
      </c>
      <c r="T9944" t="s">
        <v>301</v>
      </c>
    </row>
    <row r="9945" spans="1:20" x14ac:dyDescent="0.25">
      <c r="A9945">
        <v>9</v>
      </c>
      <c r="B9945">
        <v>461</v>
      </c>
      <c r="C9945" t="str">
        <f t="shared" si="2257"/>
        <v>36</v>
      </c>
      <c r="D9945">
        <v>6499</v>
      </c>
      <c r="E9945" t="str">
        <f t="shared" si="2261"/>
        <v>GN</v>
      </c>
      <c r="F9945" t="str">
        <f t="shared" si="2262"/>
        <v>001</v>
      </c>
      <c r="G9945">
        <v>9</v>
      </c>
      <c r="H9945" t="str">
        <f t="shared" si="2256"/>
        <v>99</v>
      </c>
      <c r="I9945" t="str">
        <f t="shared" si="2258"/>
        <v>0</v>
      </c>
      <c r="J9945" t="str">
        <f t="shared" si="2255"/>
        <v>00</v>
      </c>
      <c r="K9945">
        <v>20190531</v>
      </c>
      <c r="L9945" t="str">
        <f t="shared" si="2259"/>
        <v>077050</v>
      </c>
      <c r="M9945" t="str">
        <f t="shared" si="2260"/>
        <v>83022</v>
      </c>
      <c r="N9945" t="s">
        <v>691</v>
      </c>
      <c r="O9945">
        <v>662.82</v>
      </c>
      <c r="P9945">
        <v>20190530</v>
      </c>
      <c r="Q9945" t="s">
        <v>7696</v>
      </c>
      <c r="R9945" t="s">
        <v>7787</v>
      </c>
      <c r="S9945" t="s">
        <v>7000</v>
      </c>
      <c r="T9945" t="s">
        <v>301</v>
      </c>
    </row>
    <row r="9946" spans="1:20" x14ac:dyDescent="0.25">
      <c r="A9946">
        <v>9</v>
      </c>
      <c r="B9946">
        <v>461</v>
      </c>
      <c r="C9946" t="str">
        <f t="shared" si="2257"/>
        <v>36</v>
      </c>
      <c r="D9946">
        <v>6499</v>
      </c>
      <c r="E9946" t="str">
        <f t="shared" si="2261"/>
        <v>GN</v>
      </c>
      <c r="F9946" t="str">
        <f t="shared" si="2262"/>
        <v>001</v>
      </c>
      <c r="G9946">
        <v>9</v>
      </c>
      <c r="H9946" t="str">
        <f t="shared" si="2256"/>
        <v>99</v>
      </c>
      <c r="I9946" t="str">
        <f t="shared" si="2258"/>
        <v>0</v>
      </c>
      <c r="J9946" t="str">
        <f t="shared" si="2255"/>
        <v>00</v>
      </c>
      <c r="K9946">
        <v>20190531</v>
      </c>
      <c r="L9946" t="str">
        <f t="shared" si="2259"/>
        <v>077050</v>
      </c>
      <c r="M9946" t="str">
        <f t="shared" si="2260"/>
        <v>83022</v>
      </c>
      <c r="N9946" t="s">
        <v>691</v>
      </c>
      <c r="O9946">
        <v>112.92</v>
      </c>
      <c r="P9946">
        <v>20190530</v>
      </c>
      <c r="Q9946" t="s">
        <v>7696</v>
      </c>
      <c r="R9946" t="s">
        <v>7787</v>
      </c>
      <c r="S9946" t="s">
        <v>7000</v>
      </c>
      <c r="T9946" t="s">
        <v>301</v>
      </c>
    </row>
    <row r="9947" spans="1:20" x14ac:dyDescent="0.25">
      <c r="A9947">
        <v>9</v>
      </c>
      <c r="B9947">
        <v>461</v>
      </c>
      <c r="C9947" t="str">
        <f t="shared" si="2257"/>
        <v>36</v>
      </c>
      <c r="D9947">
        <v>6399</v>
      </c>
      <c r="E9947" t="str">
        <f>"62"</f>
        <v>62</v>
      </c>
      <c r="F9947" t="str">
        <f t="shared" si="2262"/>
        <v>001</v>
      </c>
      <c r="G9947">
        <v>9</v>
      </c>
      <c r="H9947" t="str">
        <f>"91"</f>
        <v>91</v>
      </c>
      <c r="I9947" t="str">
        <f t="shared" si="2258"/>
        <v>0</v>
      </c>
      <c r="J9947" t="str">
        <f t="shared" si="2255"/>
        <v>00</v>
      </c>
      <c r="K9947">
        <v>20190607</v>
      </c>
      <c r="L9947" t="str">
        <f>"077055"</f>
        <v>077055</v>
      </c>
      <c r="M9947" t="str">
        <f>"04410"</f>
        <v>04410</v>
      </c>
      <c r="N9947" t="s">
        <v>410</v>
      </c>
      <c r="O9947">
        <v>470.66</v>
      </c>
      <c r="P9947">
        <v>20190605</v>
      </c>
      <c r="Q9947" t="s">
        <v>7833</v>
      </c>
      <c r="R9947" t="s">
        <v>7834</v>
      </c>
      <c r="S9947" t="s">
        <v>7000</v>
      </c>
      <c r="T9947" t="s">
        <v>301</v>
      </c>
    </row>
    <row r="9948" spans="1:20" x14ac:dyDescent="0.25">
      <c r="A9948">
        <v>9</v>
      </c>
      <c r="B9948">
        <v>461</v>
      </c>
      <c r="C9948" t="str">
        <f t="shared" si="2257"/>
        <v>36</v>
      </c>
      <c r="D9948">
        <v>6399</v>
      </c>
      <c r="E9948" t="str">
        <f>"7U"</f>
        <v>7U</v>
      </c>
      <c r="F9948" t="str">
        <f>"041"</f>
        <v>041</v>
      </c>
      <c r="G9948">
        <v>9</v>
      </c>
      <c r="H9948" t="str">
        <f>"99"</f>
        <v>99</v>
      </c>
      <c r="I9948" t="str">
        <f t="shared" si="2258"/>
        <v>0</v>
      </c>
      <c r="J9948" t="str">
        <f t="shared" si="2255"/>
        <v>00</v>
      </c>
      <c r="K9948">
        <v>20190607</v>
      </c>
      <c r="L9948" t="str">
        <f>"077055"</f>
        <v>077055</v>
      </c>
      <c r="M9948" t="str">
        <f>"04410"</f>
        <v>04410</v>
      </c>
      <c r="N9948" t="s">
        <v>410</v>
      </c>
      <c r="O9948">
        <v>35.94</v>
      </c>
      <c r="P9948">
        <v>20190605</v>
      </c>
      <c r="Q9948" t="s">
        <v>7339</v>
      </c>
      <c r="R9948" t="s">
        <v>7835</v>
      </c>
      <c r="S9948" t="s">
        <v>7000</v>
      </c>
      <c r="T9948" t="s">
        <v>106</v>
      </c>
    </row>
    <row r="9949" spans="1:20" x14ac:dyDescent="0.25">
      <c r="A9949">
        <v>9</v>
      </c>
      <c r="B9949">
        <v>461</v>
      </c>
      <c r="C9949" t="str">
        <f t="shared" si="2257"/>
        <v>36</v>
      </c>
      <c r="D9949">
        <v>6399</v>
      </c>
      <c r="E9949" t="str">
        <f>"7U"</f>
        <v>7U</v>
      </c>
      <c r="F9949" t="str">
        <f>"041"</f>
        <v>041</v>
      </c>
      <c r="G9949">
        <v>9</v>
      </c>
      <c r="H9949" t="str">
        <f>"99"</f>
        <v>99</v>
      </c>
      <c r="I9949" t="str">
        <f t="shared" si="2258"/>
        <v>0</v>
      </c>
      <c r="J9949" t="str">
        <f t="shared" si="2255"/>
        <v>00</v>
      </c>
      <c r="K9949">
        <v>20190607</v>
      </c>
      <c r="L9949" t="str">
        <f>"077055"</f>
        <v>077055</v>
      </c>
      <c r="M9949" t="str">
        <f>"04410"</f>
        <v>04410</v>
      </c>
      <c r="N9949" t="s">
        <v>410</v>
      </c>
      <c r="O9949">
        <v>189.96</v>
      </c>
      <c r="P9949">
        <v>20190605</v>
      </c>
      <c r="Q9949" t="s">
        <v>7339</v>
      </c>
      <c r="R9949" t="s">
        <v>7836</v>
      </c>
      <c r="S9949" t="s">
        <v>7000</v>
      </c>
      <c r="T9949" t="s">
        <v>106</v>
      </c>
    </row>
    <row r="9950" spans="1:20" x14ac:dyDescent="0.25">
      <c r="A9950">
        <v>9</v>
      </c>
      <c r="B9950">
        <v>461</v>
      </c>
      <c r="C9950" t="str">
        <f t="shared" si="2257"/>
        <v>36</v>
      </c>
      <c r="D9950">
        <v>6399</v>
      </c>
      <c r="E9950" t="str">
        <f>"PR"</f>
        <v>PR</v>
      </c>
      <c r="F9950" t="str">
        <f>"104"</f>
        <v>104</v>
      </c>
      <c r="G9950">
        <v>9</v>
      </c>
      <c r="H9950" t="str">
        <f>"99"</f>
        <v>99</v>
      </c>
      <c r="I9950" t="str">
        <f t="shared" si="2258"/>
        <v>0</v>
      </c>
      <c r="J9950" t="str">
        <f t="shared" si="2255"/>
        <v>00</v>
      </c>
      <c r="K9950">
        <v>20190607</v>
      </c>
      <c r="L9950" t="str">
        <f>"077055"</f>
        <v>077055</v>
      </c>
      <c r="M9950" t="str">
        <f>"04410"</f>
        <v>04410</v>
      </c>
      <c r="N9950" t="s">
        <v>410</v>
      </c>
      <c r="O9950">
        <v>65.989999999999995</v>
      </c>
      <c r="P9950">
        <v>20190605</v>
      </c>
      <c r="Q9950" t="s">
        <v>7014</v>
      </c>
      <c r="R9950" t="s">
        <v>7837</v>
      </c>
      <c r="S9950" t="s">
        <v>7000</v>
      </c>
      <c r="T9950" t="s">
        <v>46</v>
      </c>
    </row>
    <row r="9951" spans="1:20" x14ac:dyDescent="0.25">
      <c r="A9951">
        <v>9</v>
      </c>
      <c r="B9951">
        <v>461</v>
      </c>
      <c r="C9951" t="str">
        <f t="shared" si="2257"/>
        <v>36</v>
      </c>
      <c r="D9951">
        <v>6499</v>
      </c>
      <c r="E9951" t="str">
        <f>"GN"</f>
        <v>GN</v>
      </c>
      <c r="F9951" t="str">
        <f>"001"</f>
        <v>001</v>
      </c>
      <c r="G9951">
        <v>9</v>
      </c>
      <c r="H9951" t="str">
        <f>"99"</f>
        <v>99</v>
      </c>
      <c r="I9951" t="str">
        <f t="shared" si="2258"/>
        <v>0</v>
      </c>
      <c r="J9951" t="str">
        <f t="shared" si="2255"/>
        <v>00</v>
      </c>
      <c r="K9951">
        <v>20190607</v>
      </c>
      <c r="L9951" t="str">
        <f>"077057"</f>
        <v>077057</v>
      </c>
      <c r="M9951" t="str">
        <f>"10063"</f>
        <v>10063</v>
      </c>
      <c r="N9951" t="s">
        <v>1767</v>
      </c>
      <c r="O9951" s="1">
        <v>1825</v>
      </c>
      <c r="P9951">
        <v>20190605</v>
      </c>
      <c r="Q9951" t="s">
        <v>7696</v>
      </c>
      <c r="R9951" t="s">
        <v>7838</v>
      </c>
      <c r="S9951" t="s">
        <v>7000</v>
      </c>
      <c r="T9951" t="s">
        <v>301</v>
      </c>
    </row>
    <row r="9952" spans="1:20" x14ac:dyDescent="0.25">
      <c r="A9952">
        <v>9</v>
      </c>
      <c r="B9952">
        <v>461</v>
      </c>
      <c r="C9952" t="str">
        <f t="shared" si="2257"/>
        <v>36</v>
      </c>
      <c r="D9952">
        <v>6399</v>
      </c>
      <c r="E9952" t="str">
        <f>"3J"</f>
        <v>3J</v>
      </c>
      <c r="F9952" t="str">
        <f>"001"</f>
        <v>001</v>
      </c>
      <c r="G9952">
        <v>9</v>
      </c>
      <c r="H9952" t="str">
        <f>"91"</f>
        <v>91</v>
      </c>
      <c r="I9952" t="str">
        <f t="shared" si="2258"/>
        <v>0</v>
      </c>
      <c r="J9952" t="str">
        <f t="shared" si="2255"/>
        <v>00</v>
      </c>
      <c r="K9952">
        <v>20190607</v>
      </c>
      <c r="L9952" t="str">
        <f>"077060"</f>
        <v>077060</v>
      </c>
      <c r="M9952" t="str">
        <f>"08788"</f>
        <v>08788</v>
      </c>
      <c r="N9952" t="s">
        <v>473</v>
      </c>
      <c r="O9952">
        <v>329.56</v>
      </c>
      <c r="P9952">
        <v>20190606</v>
      </c>
      <c r="Q9952" t="s">
        <v>7462</v>
      </c>
      <c r="R9952" t="s">
        <v>7839</v>
      </c>
      <c r="S9952" t="s">
        <v>7000</v>
      </c>
      <c r="T9952" t="s">
        <v>301</v>
      </c>
    </row>
    <row r="9953" spans="1:20" x14ac:dyDescent="0.25">
      <c r="A9953">
        <v>9</v>
      </c>
      <c r="B9953">
        <v>461</v>
      </c>
      <c r="C9953" t="str">
        <f t="shared" si="2257"/>
        <v>36</v>
      </c>
      <c r="D9953">
        <v>6399</v>
      </c>
      <c r="E9953" t="str">
        <f>"3M"</f>
        <v>3M</v>
      </c>
      <c r="F9953" t="str">
        <f>"001"</f>
        <v>001</v>
      </c>
      <c r="G9953">
        <v>9</v>
      </c>
      <c r="H9953" t="str">
        <f>"91"</f>
        <v>91</v>
      </c>
      <c r="I9953" t="str">
        <f>"1"</f>
        <v>1</v>
      </c>
      <c r="J9953" t="str">
        <f t="shared" si="2255"/>
        <v>00</v>
      </c>
      <c r="K9953">
        <v>20190607</v>
      </c>
      <c r="L9953" t="str">
        <f>"077060"</f>
        <v>077060</v>
      </c>
      <c r="M9953" t="str">
        <f>"08788"</f>
        <v>08788</v>
      </c>
      <c r="N9953" t="s">
        <v>473</v>
      </c>
      <c r="O9953" s="1">
        <v>3666.11</v>
      </c>
      <c r="P9953">
        <v>20190606</v>
      </c>
      <c r="Q9953" t="s">
        <v>7348</v>
      </c>
      <c r="R9953" t="s">
        <v>7840</v>
      </c>
      <c r="S9953" t="s">
        <v>7000</v>
      </c>
      <c r="T9953" t="s">
        <v>301</v>
      </c>
    </row>
    <row r="9954" spans="1:20" x14ac:dyDescent="0.25">
      <c r="A9954">
        <v>9</v>
      </c>
      <c r="B9954">
        <v>461</v>
      </c>
      <c r="C9954" t="str">
        <f t="shared" si="2257"/>
        <v>36</v>
      </c>
      <c r="D9954">
        <v>6399</v>
      </c>
      <c r="E9954" t="str">
        <f>"3Y"</f>
        <v>3Y</v>
      </c>
      <c r="F9954" t="str">
        <f>"041"</f>
        <v>041</v>
      </c>
      <c r="G9954">
        <v>9</v>
      </c>
      <c r="H9954" t="str">
        <f>"91"</f>
        <v>91</v>
      </c>
      <c r="I9954" t="str">
        <f t="shared" ref="I9954:I9985" si="2263">"0"</f>
        <v>0</v>
      </c>
      <c r="J9954" t="str">
        <f t="shared" si="2255"/>
        <v>00</v>
      </c>
      <c r="K9954">
        <v>20190607</v>
      </c>
      <c r="L9954" t="str">
        <f>"077060"</f>
        <v>077060</v>
      </c>
      <c r="M9954" t="str">
        <f>"08788"</f>
        <v>08788</v>
      </c>
      <c r="N9954" t="s">
        <v>473</v>
      </c>
      <c r="O9954">
        <v>419.17</v>
      </c>
      <c r="P9954">
        <v>20190606</v>
      </c>
      <c r="Q9954" t="s">
        <v>7027</v>
      </c>
      <c r="R9954" t="s">
        <v>7841</v>
      </c>
      <c r="S9954" t="s">
        <v>7000</v>
      </c>
      <c r="T9954" t="s">
        <v>106</v>
      </c>
    </row>
    <row r="9955" spans="1:20" x14ac:dyDescent="0.25">
      <c r="A9955">
        <v>9</v>
      </c>
      <c r="B9955">
        <v>461</v>
      </c>
      <c r="C9955" t="str">
        <f t="shared" si="2257"/>
        <v>36</v>
      </c>
      <c r="D9955">
        <v>6399</v>
      </c>
      <c r="E9955" t="str">
        <f>"04"</f>
        <v>04</v>
      </c>
      <c r="F9955" t="str">
        <f>"104"</f>
        <v>104</v>
      </c>
      <c r="G9955">
        <v>9</v>
      </c>
      <c r="H9955" t="str">
        <f t="shared" ref="H9955:H9973" si="2264">"99"</f>
        <v>99</v>
      </c>
      <c r="I9955" t="str">
        <f t="shared" si="2263"/>
        <v>0</v>
      </c>
      <c r="J9955" t="str">
        <f t="shared" si="2255"/>
        <v>00</v>
      </c>
      <c r="K9955">
        <v>20190607</v>
      </c>
      <c r="L9955" t="str">
        <f t="shared" ref="L9955:L9961" si="2265">"077079"</f>
        <v>077079</v>
      </c>
      <c r="M9955" t="str">
        <f t="shared" ref="M9955:M9961" si="2266">"37500"</f>
        <v>37500</v>
      </c>
      <c r="N9955" t="s">
        <v>2077</v>
      </c>
      <c r="O9955">
        <v>125.44</v>
      </c>
      <c r="P9955">
        <v>20190605</v>
      </c>
      <c r="Q9955" t="s">
        <v>7761</v>
      </c>
      <c r="R9955" t="s">
        <v>7842</v>
      </c>
      <c r="S9955" t="s">
        <v>7000</v>
      </c>
      <c r="T9955" t="s">
        <v>46</v>
      </c>
    </row>
    <row r="9956" spans="1:20" x14ac:dyDescent="0.25">
      <c r="A9956">
        <v>9</v>
      </c>
      <c r="B9956">
        <v>461</v>
      </c>
      <c r="C9956" t="str">
        <f t="shared" si="2257"/>
        <v>36</v>
      </c>
      <c r="D9956">
        <v>6399</v>
      </c>
      <c r="E9956" t="str">
        <f>"04"</f>
        <v>04</v>
      </c>
      <c r="F9956" t="str">
        <f>"104"</f>
        <v>104</v>
      </c>
      <c r="G9956">
        <v>9</v>
      </c>
      <c r="H9956" t="str">
        <f t="shared" si="2264"/>
        <v>99</v>
      </c>
      <c r="I9956" t="str">
        <f t="shared" si="2263"/>
        <v>0</v>
      </c>
      <c r="J9956" t="str">
        <f t="shared" si="2255"/>
        <v>00</v>
      </c>
      <c r="K9956">
        <v>20190607</v>
      </c>
      <c r="L9956" t="str">
        <f t="shared" si="2265"/>
        <v>077079</v>
      </c>
      <c r="M9956" t="str">
        <f t="shared" si="2266"/>
        <v>37500</v>
      </c>
      <c r="N9956" t="s">
        <v>2077</v>
      </c>
      <c r="O9956">
        <v>69.72</v>
      </c>
      <c r="P9956">
        <v>20190605</v>
      </c>
      <c r="Q9956" t="s">
        <v>7761</v>
      </c>
      <c r="R9956" t="s">
        <v>7842</v>
      </c>
      <c r="S9956" t="s">
        <v>7000</v>
      </c>
      <c r="T9956" t="s">
        <v>46</v>
      </c>
    </row>
    <row r="9957" spans="1:20" x14ac:dyDescent="0.25">
      <c r="A9957">
        <v>9</v>
      </c>
      <c r="B9957">
        <v>461</v>
      </c>
      <c r="C9957" t="str">
        <f t="shared" si="2257"/>
        <v>36</v>
      </c>
      <c r="D9957">
        <v>6399</v>
      </c>
      <c r="E9957" t="str">
        <f>"05"</f>
        <v>05</v>
      </c>
      <c r="F9957" t="str">
        <f>"104"</f>
        <v>104</v>
      </c>
      <c r="G9957">
        <v>9</v>
      </c>
      <c r="H9957" t="str">
        <f t="shared" si="2264"/>
        <v>99</v>
      </c>
      <c r="I9957" t="str">
        <f t="shared" si="2263"/>
        <v>0</v>
      </c>
      <c r="J9957" t="str">
        <f t="shared" si="2255"/>
        <v>00</v>
      </c>
      <c r="K9957">
        <v>20190607</v>
      </c>
      <c r="L9957" t="str">
        <f t="shared" si="2265"/>
        <v>077079</v>
      </c>
      <c r="M9957" t="str">
        <f t="shared" si="2266"/>
        <v>37500</v>
      </c>
      <c r="N9957" t="s">
        <v>2077</v>
      </c>
      <c r="O9957">
        <v>70.08</v>
      </c>
      <c r="P9957">
        <v>20190605</v>
      </c>
      <c r="Q9957" t="s">
        <v>7310</v>
      </c>
      <c r="R9957" t="s">
        <v>7843</v>
      </c>
      <c r="S9957" t="s">
        <v>7000</v>
      </c>
      <c r="T9957" t="s">
        <v>46</v>
      </c>
    </row>
    <row r="9958" spans="1:20" x14ac:dyDescent="0.25">
      <c r="A9958">
        <v>9</v>
      </c>
      <c r="B9958">
        <v>461</v>
      </c>
      <c r="C9958" t="str">
        <f t="shared" si="2257"/>
        <v>36</v>
      </c>
      <c r="D9958">
        <v>6399</v>
      </c>
      <c r="E9958" t="str">
        <f>"61"</f>
        <v>61</v>
      </c>
      <c r="F9958" t="str">
        <f>"101"</f>
        <v>101</v>
      </c>
      <c r="G9958">
        <v>9</v>
      </c>
      <c r="H9958" t="str">
        <f t="shared" si="2264"/>
        <v>99</v>
      </c>
      <c r="I9958" t="str">
        <f t="shared" si="2263"/>
        <v>0</v>
      </c>
      <c r="J9958" t="str">
        <f t="shared" si="2255"/>
        <v>00</v>
      </c>
      <c r="K9958">
        <v>20190607</v>
      </c>
      <c r="L9958" t="str">
        <f t="shared" si="2265"/>
        <v>077079</v>
      </c>
      <c r="M9958" t="str">
        <f t="shared" si="2266"/>
        <v>37500</v>
      </c>
      <c r="N9958" t="s">
        <v>2077</v>
      </c>
      <c r="O9958">
        <v>22.66</v>
      </c>
      <c r="P9958">
        <v>20190605</v>
      </c>
      <c r="Q9958" t="s">
        <v>7007</v>
      </c>
      <c r="R9958" t="s">
        <v>7844</v>
      </c>
      <c r="S9958" t="s">
        <v>7000</v>
      </c>
      <c r="T9958" t="s">
        <v>1479</v>
      </c>
    </row>
    <row r="9959" spans="1:20" x14ac:dyDescent="0.25">
      <c r="A9959">
        <v>9</v>
      </c>
      <c r="B9959">
        <v>461</v>
      </c>
      <c r="C9959" t="str">
        <f t="shared" si="2257"/>
        <v>36</v>
      </c>
      <c r="D9959">
        <v>6399</v>
      </c>
      <c r="E9959" t="str">
        <f>"61"</f>
        <v>61</v>
      </c>
      <c r="F9959" t="str">
        <f>"101"</f>
        <v>101</v>
      </c>
      <c r="G9959">
        <v>9</v>
      </c>
      <c r="H9959" t="str">
        <f t="shared" si="2264"/>
        <v>99</v>
      </c>
      <c r="I9959" t="str">
        <f t="shared" si="2263"/>
        <v>0</v>
      </c>
      <c r="J9959" t="str">
        <f t="shared" si="2255"/>
        <v>00</v>
      </c>
      <c r="K9959">
        <v>20190607</v>
      </c>
      <c r="L9959" t="str">
        <f t="shared" si="2265"/>
        <v>077079</v>
      </c>
      <c r="M9959" t="str">
        <f t="shared" si="2266"/>
        <v>37500</v>
      </c>
      <c r="N9959" t="s">
        <v>2077</v>
      </c>
      <c r="O9959">
        <v>199.2</v>
      </c>
      <c r="P9959">
        <v>20190605</v>
      </c>
      <c r="Q9959" t="s">
        <v>7007</v>
      </c>
      <c r="R9959" t="s">
        <v>7845</v>
      </c>
      <c r="S9959" t="s">
        <v>7000</v>
      </c>
      <c r="T9959" t="s">
        <v>1479</v>
      </c>
    </row>
    <row r="9960" spans="1:20" x14ac:dyDescent="0.25">
      <c r="A9960">
        <v>9</v>
      </c>
      <c r="B9960">
        <v>461</v>
      </c>
      <c r="C9960" t="str">
        <f t="shared" si="2257"/>
        <v>36</v>
      </c>
      <c r="D9960">
        <v>6399</v>
      </c>
      <c r="E9960" t="str">
        <f>"PR"</f>
        <v>PR</v>
      </c>
      <c r="F9960" t="str">
        <f>"104"</f>
        <v>104</v>
      </c>
      <c r="G9960">
        <v>9</v>
      </c>
      <c r="H9960" t="str">
        <f t="shared" si="2264"/>
        <v>99</v>
      </c>
      <c r="I9960" t="str">
        <f t="shared" si="2263"/>
        <v>0</v>
      </c>
      <c r="J9960" t="str">
        <f t="shared" si="2255"/>
        <v>00</v>
      </c>
      <c r="K9960">
        <v>20190607</v>
      </c>
      <c r="L9960" t="str">
        <f t="shared" si="2265"/>
        <v>077079</v>
      </c>
      <c r="M9960" t="str">
        <f t="shared" si="2266"/>
        <v>37500</v>
      </c>
      <c r="N9960" t="s">
        <v>2077</v>
      </c>
      <c r="O9960">
        <v>74.7</v>
      </c>
      <c r="P9960">
        <v>20190605</v>
      </c>
      <c r="Q9960" t="s">
        <v>7014</v>
      </c>
      <c r="R9960" t="s">
        <v>2641</v>
      </c>
      <c r="S9960" t="s">
        <v>7000</v>
      </c>
      <c r="T9960" t="s">
        <v>46</v>
      </c>
    </row>
    <row r="9961" spans="1:20" x14ac:dyDescent="0.25">
      <c r="A9961">
        <v>9</v>
      </c>
      <c r="B9961">
        <v>461</v>
      </c>
      <c r="C9961" t="str">
        <f t="shared" si="2257"/>
        <v>36</v>
      </c>
      <c r="D9961">
        <v>6499</v>
      </c>
      <c r="E9961" t="str">
        <f>"PR"</f>
        <v>PR</v>
      </c>
      <c r="F9961" t="str">
        <f>"104"</f>
        <v>104</v>
      </c>
      <c r="G9961">
        <v>9</v>
      </c>
      <c r="H9961" t="str">
        <f t="shared" si="2264"/>
        <v>99</v>
      </c>
      <c r="I9961" t="str">
        <f t="shared" si="2263"/>
        <v>0</v>
      </c>
      <c r="J9961" t="str">
        <f t="shared" si="2255"/>
        <v>00</v>
      </c>
      <c r="K9961">
        <v>20190607</v>
      </c>
      <c r="L9961" t="str">
        <f t="shared" si="2265"/>
        <v>077079</v>
      </c>
      <c r="M9961" t="str">
        <f t="shared" si="2266"/>
        <v>37500</v>
      </c>
      <c r="N9961" t="s">
        <v>2077</v>
      </c>
      <c r="O9961">
        <v>28.05</v>
      </c>
      <c r="P9961">
        <v>20190605</v>
      </c>
      <c r="Q9961" t="s">
        <v>7264</v>
      </c>
      <c r="R9961" t="s">
        <v>7846</v>
      </c>
      <c r="S9961" t="s">
        <v>7000</v>
      </c>
      <c r="T9961" t="s">
        <v>46</v>
      </c>
    </row>
    <row r="9962" spans="1:20" x14ac:dyDescent="0.25">
      <c r="A9962">
        <v>9</v>
      </c>
      <c r="B9962">
        <v>461</v>
      </c>
      <c r="C9962" t="str">
        <f t="shared" si="2257"/>
        <v>36</v>
      </c>
      <c r="D9962">
        <v>6399</v>
      </c>
      <c r="E9962" t="str">
        <f>"58"</f>
        <v>58</v>
      </c>
      <c r="F9962" t="str">
        <f>"041"</f>
        <v>041</v>
      </c>
      <c r="G9962">
        <v>9</v>
      </c>
      <c r="H9962" t="str">
        <f t="shared" si="2264"/>
        <v>99</v>
      </c>
      <c r="I9962" t="str">
        <f t="shared" si="2263"/>
        <v>0</v>
      </c>
      <c r="J9962" t="str">
        <f t="shared" si="2255"/>
        <v>00</v>
      </c>
      <c r="K9962">
        <v>20190607</v>
      </c>
      <c r="L9962" t="str">
        <f>"077098"</f>
        <v>077098</v>
      </c>
      <c r="M9962" t="str">
        <f>"58202"</f>
        <v>58202</v>
      </c>
      <c r="N9962" t="s">
        <v>2781</v>
      </c>
      <c r="O9962">
        <v>65.069999999999993</v>
      </c>
      <c r="P9962">
        <v>20190606</v>
      </c>
      <c r="Q9962" t="s">
        <v>7847</v>
      </c>
      <c r="R9962" t="s">
        <v>5277</v>
      </c>
      <c r="S9962" t="s">
        <v>7000</v>
      </c>
      <c r="T9962" t="s">
        <v>106</v>
      </c>
    </row>
    <row r="9963" spans="1:20" x14ac:dyDescent="0.25">
      <c r="A9963">
        <v>9</v>
      </c>
      <c r="B9963">
        <v>461</v>
      </c>
      <c r="C9963" t="str">
        <f t="shared" si="2257"/>
        <v>36</v>
      </c>
      <c r="D9963">
        <v>6399</v>
      </c>
      <c r="E9963" t="str">
        <f>"61"</f>
        <v>61</v>
      </c>
      <c r="F9963" t="str">
        <f>"041"</f>
        <v>041</v>
      </c>
      <c r="G9963">
        <v>9</v>
      </c>
      <c r="H9963" t="str">
        <f t="shared" si="2264"/>
        <v>99</v>
      </c>
      <c r="I9963" t="str">
        <f t="shared" si="2263"/>
        <v>0</v>
      </c>
      <c r="J9963" t="str">
        <f t="shared" ref="J9963:J9984" si="2267">"00"</f>
        <v>00</v>
      </c>
      <c r="K9963">
        <v>20190607</v>
      </c>
      <c r="L9963" t="str">
        <f>"077098"</f>
        <v>077098</v>
      </c>
      <c r="M9963" t="str">
        <f>"58202"</f>
        <v>58202</v>
      </c>
      <c r="N9963" t="s">
        <v>2781</v>
      </c>
      <c r="O9963">
        <v>35</v>
      </c>
      <c r="P9963">
        <v>20190606</v>
      </c>
      <c r="Q9963" t="s">
        <v>7131</v>
      </c>
      <c r="R9963" t="s">
        <v>6122</v>
      </c>
      <c r="S9963" t="s">
        <v>7000</v>
      </c>
      <c r="T9963" t="s">
        <v>106</v>
      </c>
    </row>
    <row r="9964" spans="1:20" x14ac:dyDescent="0.25">
      <c r="A9964">
        <v>9</v>
      </c>
      <c r="B9964">
        <v>461</v>
      </c>
      <c r="C9964" t="str">
        <f t="shared" si="2257"/>
        <v>36</v>
      </c>
      <c r="D9964">
        <v>6399</v>
      </c>
      <c r="E9964" t="str">
        <f>"PR"</f>
        <v>PR</v>
      </c>
      <c r="F9964" t="str">
        <f>"041"</f>
        <v>041</v>
      </c>
      <c r="G9964">
        <v>9</v>
      </c>
      <c r="H9964" t="str">
        <f t="shared" si="2264"/>
        <v>99</v>
      </c>
      <c r="I9964" t="str">
        <f t="shared" si="2263"/>
        <v>0</v>
      </c>
      <c r="J9964" t="str">
        <f t="shared" si="2267"/>
        <v>00</v>
      </c>
      <c r="K9964">
        <v>20190607</v>
      </c>
      <c r="L9964" t="str">
        <f>"077098"</f>
        <v>077098</v>
      </c>
      <c r="M9964" t="str">
        <f>"58202"</f>
        <v>58202</v>
      </c>
      <c r="N9964" t="s">
        <v>2781</v>
      </c>
      <c r="O9964">
        <v>9.98</v>
      </c>
      <c r="P9964">
        <v>20190606</v>
      </c>
      <c r="Q9964" t="s">
        <v>7497</v>
      </c>
      <c r="R9964" t="s">
        <v>7848</v>
      </c>
      <c r="S9964" t="s">
        <v>7000</v>
      </c>
      <c r="T9964" t="s">
        <v>106</v>
      </c>
    </row>
    <row r="9965" spans="1:20" x14ac:dyDescent="0.25">
      <c r="A9965">
        <v>9</v>
      </c>
      <c r="B9965">
        <v>461</v>
      </c>
      <c r="C9965" t="str">
        <f t="shared" si="2257"/>
        <v>36</v>
      </c>
      <c r="D9965">
        <v>6399</v>
      </c>
      <c r="E9965" t="str">
        <f>"PR"</f>
        <v>PR</v>
      </c>
      <c r="F9965" t="str">
        <f>"041"</f>
        <v>041</v>
      </c>
      <c r="G9965">
        <v>9</v>
      </c>
      <c r="H9965" t="str">
        <f t="shared" si="2264"/>
        <v>99</v>
      </c>
      <c r="I9965" t="str">
        <f t="shared" si="2263"/>
        <v>0</v>
      </c>
      <c r="J9965" t="str">
        <f t="shared" si="2267"/>
        <v>00</v>
      </c>
      <c r="K9965">
        <v>20190607</v>
      </c>
      <c r="L9965" t="str">
        <f>"077098"</f>
        <v>077098</v>
      </c>
      <c r="M9965" t="str">
        <f>"58202"</f>
        <v>58202</v>
      </c>
      <c r="N9965" t="s">
        <v>2781</v>
      </c>
      <c r="O9965">
        <v>27.96</v>
      </c>
      <c r="P9965">
        <v>20190606</v>
      </c>
      <c r="Q9965" t="s">
        <v>7497</v>
      </c>
      <c r="R9965" t="s">
        <v>7849</v>
      </c>
      <c r="S9965" t="s">
        <v>7000</v>
      </c>
      <c r="T9965" t="s">
        <v>106</v>
      </c>
    </row>
    <row r="9966" spans="1:20" x14ac:dyDescent="0.25">
      <c r="A9966">
        <v>9</v>
      </c>
      <c r="B9966">
        <v>461</v>
      </c>
      <c r="C9966" t="str">
        <f t="shared" si="2257"/>
        <v>36</v>
      </c>
      <c r="D9966">
        <v>6399</v>
      </c>
      <c r="E9966" t="str">
        <f>"PR"</f>
        <v>PR</v>
      </c>
      <c r="F9966" t="str">
        <f>"041"</f>
        <v>041</v>
      </c>
      <c r="G9966">
        <v>9</v>
      </c>
      <c r="H9966" t="str">
        <f t="shared" si="2264"/>
        <v>99</v>
      </c>
      <c r="I9966" t="str">
        <f t="shared" si="2263"/>
        <v>0</v>
      </c>
      <c r="J9966" t="str">
        <f t="shared" si="2267"/>
        <v>00</v>
      </c>
      <c r="K9966">
        <v>20190607</v>
      </c>
      <c r="L9966" t="str">
        <f>"077108"</f>
        <v>077108</v>
      </c>
      <c r="M9966" t="str">
        <f>"65235"</f>
        <v>65235</v>
      </c>
      <c r="N9966" t="s">
        <v>3250</v>
      </c>
      <c r="O9966">
        <v>21.91</v>
      </c>
      <c r="P9966">
        <v>20190606</v>
      </c>
      <c r="Q9966" t="s">
        <v>7497</v>
      </c>
      <c r="R9966" t="s">
        <v>5328</v>
      </c>
      <c r="S9966" t="s">
        <v>7000</v>
      </c>
      <c r="T9966" t="s">
        <v>106</v>
      </c>
    </row>
    <row r="9967" spans="1:20" x14ac:dyDescent="0.25">
      <c r="A9967">
        <v>9</v>
      </c>
      <c r="B9967">
        <v>461</v>
      </c>
      <c r="C9967" t="str">
        <f t="shared" si="2257"/>
        <v>36</v>
      </c>
      <c r="D9967">
        <v>6399</v>
      </c>
      <c r="E9967" t="str">
        <f>"7U"</f>
        <v>7U</v>
      </c>
      <c r="F9967" t="str">
        <f>"101"</f>
        <v>101</v>
      </c>
      <c r="G9967">
        <v>9</v>
      </c>
      <c r="H9967" t="str">
        <f t="shared" si="2264"/>
        <v>99</v>
      </c>
      <c r="I9967" t="str">
        <f t="shared" si="2263"/>
        <v>0</v>
      </c>
      <c r="J9967" t="str">
        <f t="shared" si="2267"/>
        <v>00</v>
      </c>
      <c r="K9967">
        <v>20190607</v>
      </c>
      <c r="L9967" t="str">
        <f>"077109"</f>
        <v>077109</v>
      </c>
      <c r="M9967" t="str">
        <f>"65766"</f>
        <v>65766</v>
      </c>
      <c r="N9967" t="s">
        <v>7201</v>
      </c>
      <c r="O9967" s="1">
        <v>2891.03</v>
      </c>
      <c r="P9967">
        <v>20190606</v>
      </c>
      <c r="Q9967" t="s">
        <v>7274</v>
      </c>
      <c r="R9967" t="s">
        <v>7850</v>
      </c>
      <c r="S9967" t="s">
        <v>7000</v>
      </c>
      <c r="T9967" t="s">
        <v>1479</v>
      </c>
    </row>
    <row r="9968" spans="1:20" x14ac:dyDescent="0.25">
      <c r="A9968">
        <v>9</v>
      </c>
      <c r="B9968">
        <v>461</v>
      </c>
      <c r="C9968" t="str">
        <f t="shared" si="2257"/>
        <v>36</v>
      </c>
      <c r="D9968">
        <v>6399</v>
      </c>
      <c r="E9968" t="str">
        <f>"PR"</f>
        <v>PR</v>
      </c>
      <c r="F9968" t="str">
        <f>"104"</f>
        <v>104</v>
      </c>
      <c r="G9968">
        <v>9</v>
      </c>
      <c r="H9968" t="str">
        <f t="shared" si="2264"/>
        <v>99</v>
      </c>
      <c r="I9968" t="str">
        <f t="shared" si="2263"/>
        <v>0</v>
      </c>
      <c r="J9968" t="str">
        <f t="shared" si="2267"/>
        <v>00</v>
      </c>
      <c r="K9968">
        <v>20190607</v>
      </c>
      <c r="L9968" t="str">
        <f>"077113"</f>
        <v>077113</v>
      </c>
      <c r="M9968" t="str">
        <f>"72730"</f>
        <v>72730</v>
      </c>
      <c r="N9968" t="s">
        <v>639</v>
      </c>
      <c r="O9968">
        <v>113.51</v>
      </c>
      <c r="P9968">
        <v>20190606</v>
      </c>
      <c r="Q9968" t="s">
        <v>7014</v>
      </c>
      <c r="R9968" t="s">
        <v>641</v>
      </c>
      <c r="S9968" t="s">
        <v>7000</v>
      </c>
      <c r="T9968" t="s">
        <v>46</v>
      </c>
    </row>
    <row r="9969" spans="1:20" x14ac:dyDescent="0.25">
      <c r="A9969">
        <v>9</v>
      </c>
      <c r="B9969">
        <v>461</v>
      </c>
      <c r="C9969" t="str">
        <f t="shared" si="2257"/>
        <v>36</v>
      </c>
      <c r="D9969">
        <v>6399</v>
      </c>
      <c r="E9969" t="str">
        <f>"PR"</f>
        <v>PR</v>
      </c>
      <c r="F9969" t="str">
        <f>"104"</f>
        <v>104</v>
      </c>
      <c r="G9969">
        <v>9</v>
      </c>
      <c r="H9969" t="str">
        <f t="shared" si="2264"/>
        <v>99</v>
      </c>
      <c r="I9969" t="str">
        <f t="shared" si="2263"/>
        <v>0</v>
      </c>
      <c r="J9969" t="str">
        <f t="shared" si="2267"/>
        <v>00</v>
      </c>
      <c r="K9969">
        <v>20190607</v>
      </c>
      <c r="L9969" t="str">
        <f>"077113"</f>
        <v>077113</v>
      </c>
      <c r="M9969" t="str">
        <f>"72730"</f>
        <v>72730</v>
      </c>
      <c r="N9969" t="s">
        <v>639</v>
      </c>
      <c r="O9969">
        <v>51.69</v>
      </c>
      <c r="P9969">
        <v>20190606</v>
      </c>
      <c r="Q9969" t="s">
        <v>7014</v>
      </c>
      <c r="R9969" t="s">
        <v>5336</v>
      </c>
      <c r="S9969" t="s">
        <v>7000</v>
      </c>
      <c r="T9969" t="s">
        <v>46</v>
      </c>
    </row>
    <row r="9970" spans="1:20" x14ac:dyDescent="0.25">
      <c r="A9970">
        <v>9</v>
      </c>
      <c r="B9970">
        <v>461</v>
      </c>
      <c r="C9970" t="str">
        <f t="shared" si="2257"/>
        <v>36</v>
      </c>
      <c r="D9970">
        <v>6399</v>
      </c>
      <c r="E9970" t="str">
        <f>"PR"</f>
        <v>PR</v>
      </c>
      <c r="F9970" t="str">
        <f>"104"</f>
        <v>104</v>
      </c>
      <c r="G9970">
        <v>9</v>
      </c>
      <c r="H9970" t="str">
        <f t="shared" si="2264"/>
        <v>99</v>
      </c>
      <c r="I9970" t="str">
        <f t="shared" si="2263"/>
        <v>0</v>
      </c>
      <c r="J9970" t="str">
        <f t="shared" si="2267"/>
        <v>00</v>
      </c>
      <c r="K9970">
        <v>20190607</v>
      </c>
      <c r="L9970" t="str">
        <f>"077113"</f>
        <v>077113</v>
      </c>
      <c r="M9970" t="str">
        <f>"72730"</f>
        <v>72730</v>
      </c>
      <c r="N9970" t="s">
        <v>639</v>
      </c>
      <c r="O9970">
        <v>58.18</v>
      </c>
      <c r="P9970">
        <v>20190606</v>
      </c>
      <c r="Q9970" t="s">
        <v>7014</v>
      </c>
      <c r="R9970" t="s">
        <v>7851</v>
      </c>
      <c r="S9970" t="s">
        <v>7000</v>
      </c>
      <c r="T9970" t="s">
        <v>46</v>
      </c>
    </row>
    <row r="9971" spans="1:20" x14ac:dyDescent="0.25">
      <c r="A9971">
        <v>9</v>
      </c>
      <c r="B9971">
        <v>461</v>
      </c>
      <c r="C9971" t="str">
        <f t="shared" si="2257"/>
        <v>36</v>
      </c>
      <c r="D9971">
        <v>6399</v>
      </c>
      <c r="E9971" t="str">
        <f>"PR"</f>
        <v>PR</v>
      </c>
      <c r="F9971" t="str">
        <f>"104"</f>
        <v>104</v>
      </c>
      <c r="G9971">
        <v>9</v>
      </c>
      <c r="H9971" t="str">
        <f t="shared" si="2264"/>
        <v>99</v>
      </c>
      <c r="I9971" t="str">
        <f t="shared" si="2263"/>
        <v>0</v>
      </c>
      <c r="J9971" t="str">
        <f t="shared" si="2267"/>
        <v>00</v>
      </c>
      <c r="K9971">
        <v>20190607</v>
      </c>
      <c r="L9971" t="str">
        <f>"077119"</f>
        <v>077119</v>
      </c>
      <c r="M9971" t="str">
        <f>"24519"</f>
        <v>24519</v>
      </c>
      <c r="N9971" t="s">
        <v>7037</v>
      </c>
      <c r="O9971">
        <v>196</v>
      </c>
      <c r="P9971">
        <v>20190606</v>
      </c>
      <c r="Q9971" t="s">
        <v>7014</v>
      </c>
      <c r="R9971" t="s">
        <v>7811</v>
      </c>
      <c r="S9971" t="s">
        <v>7000</v>
      </c>
      <c r="T9971" t="s">
        <v>46</v>
      </c>
    </row>
    <row r="9972" spans="1:20" x14ac:dyDescent="0.25">
      <c r="A9972">
        <v>9</v>
      </c>
      <c r="B9972">
        <v>461</v>
      </c>
      <c r="C9972" t="str">
        <f t="shared" si="2257"/>
        <v>36</v>
      </c>
      <c r="D9972">
        <v>6411</v>
      </c>
      <c r="E9972" t="str">
        <f>"76"</f>
        <v>76</v>
      </c>
      <c r="F9972" t="str">
        <f>"001"</f>
        <v>001</v>
      </c>
      <c r="G9972">
        <v>9</v>
      </c>
      <c r="H9972" t="str">
        <f t="shared" si="2264"/>
        <v>99</v>
      </c>
      <c r="I9972" t="str">
        <f t="shared" si="2263"/>
        <v>0</v>
      </c>
      <c r="J9972" t="str">
        <f t="shared" si="2267"/>
        <v>00</v>
      </c>
      <c r="K9972">
        <v>20190607</v>
      </c>
      <c r="L9972" t="str">
        <f>"077120"</f>
        <v>077120</v>
      </c>
      <c r="M9972" t="str">
        <f>"82176"</f>
        <v>82176</v>
      </c>
      <c r="N9972" t="s">
        <v>1286</v>
      </c>
      <c r="O9972" s="1">
        <v>3120</v>
      </c>
      <c r="P9972">
        <v>20190606</v>
      </c>
      <c r="Q9972" t="s">
        <v>7852</v>
      </c>
      <c r="R9972" t="s">
        <v>7853</v>
      </c>
      <c r="S9972" t="s">
        <v>7000</v>
      </c>
      <c r="T9972" t="s">
        <v>301</v>
      </c>
    </row>
    <row r="9973" spans="1:20" x14ac:dyDescent="0.25">
      <c r="A9973">
        <v>9</v>
      </c>
      <c r="B9973">
        <v>461</v>
      </c>
      <c r="C9973" t="str">
        <f t="shared" si="2257"/>
        <v>36</v>
      </c>
      <c r="D9973">
        <v>6399</v>
      </c>
      <c r="E9973" t="str">
        <f>"7U"</f>
        <v>7U</v>
      </c>
      <c r="F9973" t="str">
        <f>"104"</f>
        <v>104</v>
      </c>
      <c r="G9973">
        <v>9</v>
      </c>
      <c r="H9973" t="str">
        <f t="shared" si="2264"/>
        <v>99</v>
      </c>
      <c r="I9973" t="str">
        <f t="shared" si="2263"/>
        <v>0</v>
      </c>
      <c r="J9973" t="str">
        <f t="shared" si="2267"/>
        <v>00</v>
      </c>
      <c r="K9973">
        <v>20190614</v>
      </c>
      <c r="L9973" t="str">
        <f>"077131"</f>
        <v>077131</v>
      </c>
      <c r="M9973" t="str">
        <f>"11759"</f>
        <v>11759</v>
      </c>
      <c r="N9973" t="s">
        <v>2845</v>
      </c>
      <c r="O9973">
        <v>386.39</v>
      </c>
      <c r="P9973">
        <v>20190612</v>
      </c>
      <c r="Q9973" t="s">
        <v>7193</v>
      </c>
      <c r="R9973" t="s">
        <v>1945</v>
      </c>
      <c r="S9973" t="s">
        <v>7000</v>
      </c>
      <c r="T9973" t="s">
        <v>46</v>
      </c>
    </row>
    <row r="9974" spans="1:20" x14ac:dyDescent="0.25">
      <c r="A9974">
        <v>9</v>
      </c>
      <c r="B9974">
        <v>461</v>
      </c>
      <c r="C9974" t="str">
        <f t="shared" si="2257"/>
        <v>36</v>
      </c>
      <c r="D9974">
        <v>6399</v>
      </c>
      <c r="E9974" t="str">
        <f>"CS"</f>
        <v>CS</v>
      </c>
      <c r="F9974" t="str">
        <f>"001"</f>
        <v>001</v>
      </c>
      <c r="G9974">
        <v>9</v>
      </c>
      <c r="H9974" t="str">
        <f>"91"</f>
        <v>91</v>
      </c>
      <c r="I9974" t="str">
        <f t="shared" si="2263"/>
        <v>0</v>
      </c>
      <c r="J9974" t="str">
        <f t="shared" si="2267"/>
        <v>00</v>
      </c>
      <c r="K9974">
        <v>20190614</v>
      </c>
      <c r="L9974" t="str">
        <f>"077139"</f>
        <v>077139</v>
      </c>
      <c r="M9974" t="str">
        <f>"14821"</f>
        <v>14821</v>
      </c>
      <c r="N9974" t="s">
        <v>1224</v>
      </c>
      <c r="O9974">
        <v>267.95999999999998</v>
      </c>
      <c r="P9974">
        <v>20190613</v>
      </c>
      <c r="Q9974" t="s">
        <v>6998</v>
      </c>
      <c r="R9974" t="s">
        <v>6381</v>
      </c>
      <c r="S9974" t="s">
        <v>7000</v>
      </c>
      <c r="T9974" t="s">
        <v>301</v>
      </c>
    </row>
    <row r="9975" spans="1:20" x14ac:dyDescent="0.25">
      <c r="A9975">
        <v>9</v>
      </c>
      <c r="B9975">
        <v>461</v>
      </c>
      <c r="C9975" t="str">
        <f t="shared" si="2257"/>
        <v>36</v>
      </c>
      <c r="D9975">
        <v>6412</v>
      </c>
      <c r="E9975" t="str">
        <f>"76"</f>
        <v>76</v>
      </c>
      <c r="F9975" t="str">
        <f>"041"</f>
        <v>041</v>
      </c>
      <c r="G9975">
        <v>9</v>
      </c>
      <c r="H9975" t="str">
        <f>"99"</f>
        <v>99</v>
      </c>
      <c r="I9975" t="str">
        <f t="shared" si="2263"/>
        <v>0</v>
      </c>
      <c r="J9975" t="str">
        <f t="shared" si="2267"/>
        <v>00</v>
      </c>
      <c r="K9975">
        <v>20190614</v>
      </c>
      <c r="L9975" t="str">
        <f>"077141"</f>
        <v>077141</v>
      </c>
      <c r="M9975" t="str">
        <f>"51346"</f>
        <v>51346</v>
      </c>
      <c r="N9975" t="s">
        <v>418</v>
      </c>
      <c r="O9975">
        <v>150</v>
      </c>
      <c r="P9975">
        <v>20190612</v>
      </c>
      <c r="Q9975" t="s">
        <v>7755</v>
      </c>
      <c r="R9975" t="s">
        <v>7756</v>
      </c>
      <c r="S9975" t="s">
        <v>7000</v>
      </c>
      <c r="T9975" t="s">
        <v>106</v>
      </c>
    </row>
    <row r="9976" spans="1:20" x14ac:dyDescent="0.25">
      <c r="A9976">
        <v>9</v>
      </c>
      <c r="B9976">
        <v>461</v>
      </c>
      <c r="C9976" t="str">
        <f t="shared" si="2257"/>
        <v>36</v>
      </c>
      <c r="D9976">
        <v>6399</v>
      </c>
      <c r="E9976" t="str">
        <f>"7U"</f>
        <v>7U</v>
      </c>
      <c r="F9976" t="str">
        <f>"104"</f>
        <v>104</v>
      </c>
      <c r="G9976">
        <v>9</v>
      </c>
      <c r="H9976" t="str">
        <f>"99"</f>
        <v>99</v>
      </c>
      <c r="I9976" t="str">
        <f t="shared" si="2263"/>
        <v>0</v>
      </c>
      <c r="J9976" t="str">
        <f t="shared" si="2267"/>
        <v>00</v>
      </c>
      <c r="K9976">
        <v>20190614</v>
      </c>
      <c r="L9976" t="str">
        <f>"077148"</f>
        <v>077148</v>
      </c>
      <c r="M9976" t="str">
        <f>"25221"</f>
        <v>25221</v>
      </c>
      <c r="N9976" t="s">
        <v>2484</v>
      </c>
      <c r="O9976">
        <v>759.74</v>
      </c>
      <c r="P9976">
        <v>20190612</v>
      </c>
      <c r="Q9976" t="s">
        <v>7193</v>
      </c>
      <c r="R9976" t="s">
        <v>7854</v>
      </c>
      <c r="S9976" t="s">
        <v>7000</v>
      </c>
      <c r="T9976" t="s">
        <v>46</v>
      </c>
    </row>
    <row r="9977" spans="1:20" x14ac:dyDescent="0.25">
      <c r="A9977">
        <v>9</v>
      </c>
      <c r="B9977">
        <v>461</v>
      </c>
      <c r="C9977" t="str">
        <f t="shared" si="2257"/>
        <v>36</v>
      </c>
      <c r="D9977">
        <v>6499</v>
      </c>
      <c r="E9977" t="str">
        <f>"04"</f>
        <v>04</v>
      </c>
      <c r="F9977" t="str">
        <f>"104"</f>
        <v>104</v>
      </c>
      <c r="G9977">
        <v>9</v>
      </c>
      <c r="H9977" t="str">
        <f>"99"</f>
        <v>99</v>
      </c>
      <c r="I9977" t="str">
        <f t="shared" si="2263"/>
        <v>0</v>
      </c>
      <c r="J9977" t="str">
        <f t="shared" si="2267"/>
        <v>00</v>
      </c>
      <c r="K9977">
        <v>20190614</v>
      </c>
      <c r="L9977" t="str">
        <f>"077150"</f>
        <v>077150</v>
      </c>
      <c r="M9977" t="str">
        <f>"25871"</f>
        <v>25871</v>
      </c>
      <c r="N9977" t="s">
        <v>1150</v>
      </c>
      <c r="O9977">
        <v>465</v>
      </c>
      <c r="P9977">
        <v>20190612</v>
      </c>
      <c r="Q9977" t="s">
        <v>7855</v>
      </c>
      <c r="R9977" t="s">
        <v>7856</v>
      </c>
      <c r="S9977" t="s">
        <v>7000</v>
      </c>
      <c r="T9977" t="s">
        <v>46</v>
      </c>
    </row>
    <row r="9978" spans="1:20" x14ac:dyDescent="0.25">
      <c r="A9978">
        <v>9</v>
      </c>
      <c r="B9978">
        <v>461</v>
      </c>
      <c r="C9978" t="str">
        <f t="shared" si="2257"/>
        <v>36</v>
      </c>
      <c r="D9978">
        <v>6399</v>
      </c>
      <c r="E9978" t="str">
        <f>"3J"</f>
        <v>3J</v>
      </c>
      <c r="F9978" t="str">
        <f t="shared" ref="F9978:F9983" si="2268">"001"</f>
        <v>001</v>
      </c>
      <c r="G9978">
        <v>9</v>
      </c>
      <c r="H9978" t="str">
        <f t="shared" ref="H9978:H9983" si="2269">"91"</f>
        <v>91</v>
      </c>
      <c r="I9978" t="str">
        <f t="shared" si="2263"/>
        <v>0</v>
      </c>
      <c r="J9978" t="str">
        <f t="shared" si="2267"/>
        <v>00</v>
      </c>
      <c r="K9978">
        <v>20190614</v>
      </c>
      <c r="L9978" t="str">
        <f t="shared" ref="L9978:L9983" si="2270">"077162"</f>
        <v>077162</v>
      </c>
      <c r="M9978" t="str">
        <f t="shared" ref="M9978:M9983" si="2271">"31345"</f>
        <v>31345</v>
      </c>
      <c r="N9978" t="s">
        <v>1394</v>
      </c>
      <c r="O9978">
        <v>579</v>
      </c>
      <c r="P9978">
        <v>20190612</v>
      </c>
      <c r="Q9978" t="s">
        <v>7462</v>
      </c>
      <c r="R9978" t="s">
        <v>7534</v>
      </c>
      <c r="S9978" t="s">
        <v>7000</v>
      </c>
      <c r="T9978" t="s">
        <v>301</v>
      </c>
    </row>
    <row r="9979" spans="1:20" x14ac:dyDescent="0.25">
      <c r="A9979">
        <v>9</v>
      </c>
      <c r="B9979">
        <v>461</v>
      </c>
      <c r="C9979" t="str">
        <f t="shared" si="2257"/>
        <v>36</v>
      </c>
      <c r="D9979">
        <v>6399</v>
      </c>
      <c r="E9979" t="str">
        <f>"3P"</f>
        <v>3P</v>
      </c>
      <c r="F9979" t="str">
        <f t="shared" si="2268"/>
        <v>001</v>
      </c>
      <c r="G9979">
        <v>9</v>
      </c>
      <c r="H9979" t="str">
        <f t="shared" si="2269"/>
        <v>91</v>
      </c>
      <c r="I9979" t="str">
        <f t="shared" si="2263"/>
        <v>0</v>
      </c>
      <c r="J9979" t="str">
        <f t="shared" si="2267"/>
        <v>00</v>
      </c>
      <c r="K9979">
        <v>20190614</v>
      </c>
      <c r="L9979" t="str">
        <f t="shared" si="2270"/>
        <v>077162</v>
      </c>
      <c r="M9979" t="str">
        <f t="shared" si="2271"/>
        <v>31345</v>
      </c>
      <c r="N9979" t="s">
        <v>1394</v>
      </c>
      <c r="O9979">
        <v>442.2</v>
      </c>
      <c r="P9979">
        <v>20190612</v>
      </c>
      <c r="Q9979" t="s">
        <v>7296</v>
      </c>
      <c r="R9979" t="s">
        <v>7857</v>
      </c>
      <c r="S9979" t="s">
        <v>7000</v>
      </c>
      <c r="T9979" t="s">
        <v>301</v>
      </c>
    </row>
    <row r="9980" spans="1:20" x14ac:dyDescent="0.25">
      <c r="A9980">
        <v>9</v>
      </c>
      <c r="B9980">
        <v>461</v>
      </c>
      <c r="C9980" t="str">
        <f t="shared" si="2257"/>
        <v>36</v>
      </c>
      <c r="D9980">
        <v>6399</v>
      </c>
      <c r="E9980" t="str">
        <f>"3S"</f>
        <v>3S</v>
      </c>
      <c r="F9980" t="str">
        <f t="shared" si="2268"/>
        <v>001</v>
      </c>
      <c r="G9980">
        <v>9</v>
      </c>
      <c r="H9980" t="str">
        <f t="shared" si="2269"/>
        <v>91</v>
      </c>
      <c r="I9980" t="str">
        <f t="shared" si="2263"/>
        <v>0</v>
      </c>
      <c r="J9980" t="str">
        <f t="shared" si="2267"/>
        <v>00</v>
      </c>
      <c r="K9980">
        <v>20190614</v>
      </c>
      <c r="L9980" t="str">
        <f t="shared" si="2270"/>
        <v>077162</v>
      </c>
      <c r="M9980" t="str">
        <f t="shared" si="2271"/>
        <v>31345</v>
      </c>
      <c r="N9980" t="s">
        <v>1394</v>
      </c>
      <c r="O9980">
        <v>38</v>
      </c>
      <c r="P9980">
        <v>20190612</v>
      </c>
      <c r="Q9980" t="s">
        <v>7403</v>
      </c>
      <c r="R9980" t="s">
        <v>7858</v>
      </c>
      <c r="S9980" t="s">
        <v>7000</v>
      </c>
      <c r="T9980" t="s">
        <v>301</v>
      </c>
    </row>
    <row r="9981" spans="1:20" x14ac:dyDescent="0.25">
      <c r="A9981">
        <v>9</v>
      </c>
      <c r="B9981">
        <v>461</v>
      </c>
      <c r="C9981" t="str">
        <f t="shared" si="2257"/>
        <v>36</v>
      </c>
      <c r="D9981">
        <v>6399</v>
      </c>
      <c r="E9981" t="str">
        <f>"3Y"</f>
        <v>3Y</v>
      </c>
      <c r="F9981" t="str">
        <f t="shared" si="2268"/>
        <v>001</v>
      </c>
      <c r="G9981">
        <v>9</v>
      </c>
      <c r="H9981" t="str">
        <f t="shared" si="2269"/>
        <v>91</v>
      </c>
      <c r="I9981" t="str">
        <f t="shared" si="2263"/>
        <v>0</v>
      </c>
      <c r="J9981" t="str">
        <f t="shared" si="2267"/>
        <v>00</v>
      </c>
      <c r="K9981">
        <v>20190614</v>
      </c>
      <c r="L9981" t="str">
        <f t="shared" si="2270"/>
        <v>077162</v>
      </c>
      <c r="M9981" t="str">
        <f t="shared" si="2271"/>
        <v>31345</v>
      </c>
      <c r="N9981" t="s">
        <v>1394</v>
      </c>
      <c r="O9981">
        <v>630.79999999999995</v>
      </c>
      <c r="P9981">
        <v>20190612</v>
      </c>
      <c r="Q9981" t="s">
        <v>7110</v>
      </c>
      <c r="R9981" t="s">
        <v>7857</v>
      </c>
      <c r="S9981" t="s">
        <v>7000</v>
      </c>
      <c r="T9981" t="s">
        <v>301</v>
      </c>
    </row>
    <row r="9982" spans="1:20" x14ac:dyDescent="0.25">
      <c r="A9982">
        <v>9</v>
      </c>
      <c r="B9982">
        <v>461</v>
      </c>
      <c r="C9982" t="str">
        <f t="shared" si="2257"/>
        <v>36</v>
      </c>
      <c r="D9982">
        <v>6399</v>
      </c>
      <c r="E9982" t="str">
        <f>"49"</f>
        <v>49</v>
      </c>
      <c r="F9982" t="str">
        <f t="shared" si="2268"/>
        <v>001</v>
      </c>
      <c r="G9982">
        <v>9</v>
      </c>
      <c r="H9982" t="str">
        <f t="shared" si="2269"/>
        <v>91</v>
      </c>
      <c r="I9982" t="str">
        <f t="shared" si="2263"/>
        <v>0</v>
      </c>
      <c r="J9982" t="str">
        <f t="shared" si="2267"/>
        <v>00</v>
      </c>
      <c r="K9982">
        <v>20190614</v>
      </c>
      <c r="L9982" t="str">
        <f t="shared" si="2270"/>
        <v>077162</v>
      </c>
      <c r="M9982" t="str">
        <f t="shared" si="2271"/>
        <v>31345</v>
      </c>
      <c r="N9982" t="s">
        <v>1394</v>
      </c>
      <c r="O9982" s="1">
        <v>1252.5</v>
      </c>
      <c r="P9982">
        <v>20190612</v>
      </c>
      <c r="Q9982" t="s">
        <v>7153</v>
      </c>
      <c r="R9982" t="s">
        <v>7857</v>
      </c>
      <c r="S9982" t="s">
        <v>7000</v>
      </c>
      <c r="T9982" t="s">
        <v>301</v>
      </c>
    </row>
    <row r="9983" spans="1:20" x14ac:dyDescent="0.25">
      <c r="A9983">
        <v>9</v>
      </c>
      <c r="B9983">
        <v>461</v>
      </c>
      <c r="C9983" t="str">
        <f t="shared" si="2257"/>
        <v>36</v>
      </c>
      <c r="D9983">
        <v>6399</v>
      </c>
      <c r="E9983" t="str">
        <f>"62"</f>
        <v>62</v>
      </c>
      <c r="F9983" t="str">
        <f t="shared" si="2268"/>
        <v>001</v>
      </c>
      <c r="G9983">
        <v>9</v>
      </c>
      <c r="H9983" t="str">
        <f t="shared" si="2269"/>
        <v>91</v>
      </c>
      <c r="I9983" t="str">
        <f t="shared" si="2263"/>
        <v>0</v>
      </c>
      <c r="J9983" t="str">
        <f t="shared" si="2267"/>
        <v>00</v>
      </c>
      <c r="K9983">
        <v>20190614</v>
      </c>
      <c r="L9983" t="str">
        <f t="shared" si="2270"/>
        <v>077162</v>
      </c>
      <c r="M9983" t="str">
        <f t="shared" si="2271"/>
        <v>31345</v>
      </c>
      <c r="N9983" t="s">
        <v>1394</v>
      </c>
      <c r="O9983" s="1">
        <v>1013.25</v>
      </c>
      <c r="P9983">
        <v>20190612</v>
      </c>
      <c r="Q9983" t="s">
        <v>7833</v>
      </c>
      <c r="R9983" t="s">
        <v>7454</v>
      </c>
      <c r="S9983" t="s">
        <v>7000</v>
      </c>
      <c r="T9983" t="s">
        <v>301</v>
      </c>
    </row>
    <row r="9984" spans="1:20" x14ac:dyDescent="0.25">
      <c r="A9984">
        <v>9</v>
      </c>
      <c r="B9984">
        <v>461</v>
      </c>
      <c r="C9984" t="str">
        <f t="shared" si="2257"/>
        <v>36</v>
      </c>
      <c r="D9984">
        <v>6399</v>
      </c>
      <c r="E9984" t="str">
        <f>"PR"</f>
        <v>PR</v>
      </c>
      <c r="F9984" t="str">
        <f>"041"</f>
        <v>041</v>
      </c>
      <c r="G9984">
        <v>9</v>
      </c>
      <c r="H9984" t="str">
        <f t="shared" ref="H9984:H9991" si="2272">"99"</f>
        <v>99</v>
      </c>
      <c r="I9984" t="str">
        <f t="shared" si="2263"/>
        <v>0</v>
      </c>
      <c r="J9984" t="str">
        <f t="shared" si="2267"/>
        <v>00</v>
      </c>
      <c r="K9984">
        <v>20190614</v>
      </c>
      <c r="L9984" t="str">
        <f>"077167"</f>
        <v>077167</v>
      </c>
      <c r="M9984" t="str">
        <f>"40550"</f>
        <v>40550</v>
      </c>
      <c r="N9984" t="s">
        <v>2645</v>
      </c>
      <c r="O9984">
        <v>33.270000000000003</v>
      </c>
      <c r="P9984">
        <v>20190612</v>
      </c>
      <c r="Q9984" t="s">
        <v>7497</v>
      </c>
      <c r="R9984" t="s">
        <v>7859</v>
      </c>
      <c r="S9984" t="s">
        <v>7000</v>
      </c>
      <c r="T9984" t="s">
        <v>106</v>
      </c>
    </row>
    <row r="9985" spans="1:20" x14ac:dyDescent="0.25">
      <c r="A9985">
        <v>9</v>
      </c>
      <c r="B9985">
        <v>461</v>
      </c>
      <c r="C9985" t="str">
        <f t="shared" si="2257"/>
        <v>36</v>
      </c>
      <c r="D9985">
        <v>6399</v>
      </c>
      <c r="E9985" t="str">
        <f t="shared" ref="E9985:E9990" si="2273">"00"</f>
        <v>00</v>
      </c>
      <c r="F9985" t="str">
        <f t="shared" ref="F9985:F9990" si="2274">"942"</f>
        <v>942</v>
      </c>
      <c r="G9985">
        <v>9</v>
      </c>
      <c r="H9985" t="str">
        <f t="shared" si="2272"/>
        <v>99</v>
      </c>
      <c r="I9985" t="str">
        <f t="shared" si="2263"/>
        <v>0</v>
      </c>
      <c r="J9985" t="str">
        <f t="shared" ref="J9985:J9990" si="2275">"88"</f>
        <v>88</v>
      </c>
      <c r="K9985">
        <v>20190614</v>
      </c>
      <c r="L9985" t="str">
        <f t="shared" ref="L9985:L9991" si="2276">"077169"</f>
        <v>077169</v>
      </c>
      <c r="M9985" t="str">
        <f t="shared" ref="M9985:M9991" si="2277">"41230"</f>
        <v>41230</v>
      </c>
      <c r="N9985" t="s">
        <v>1350</v>
      </c>
      <c r="O9985">
        <v>27.98</v>
      </c>
      <c r="P9985">
        <v>20190612</v>
      </c>
      <c r="Q9985" t="s">
        <v>7018</v>
      </c>
      <c r="R9985" t="s">
        <v>7860</v>
      </c>
      <c r="S9985" t="s">
        <v>7000</v>
      </c>
      <c r="T9985" t="s">
        <v>1831</v>
      </c>
    </row>
    <row r="9986" spans="1:20" x14ac:dyDescent="0.25">
      <c r="A9986">
        <v>9</v>
      </c>
      <c r="B9986">
        <v>461</v>
      </c>
      <c r="C9986" t="str">
        <f t="shared" si="2257"/>
        <v>36</v>
      </c>
      <c r="D9986">
        <v>6399</v>
      </c>
      <c r="E9986" t="str">
        <f t="shared" si="2273"/>
        <v>00</v>
      </c>
      <c r="F9986" t="str">
        <f t="shared" si="2274"/>
        <v>942</v>
      </c>
      <c r="G9986">
        <v>9</v>
      </c>
      <c r="H9986" t="str">
        <f t="shared" si="2272"/>
        <v>99</v>
      </c>
      <c r="I9986" t="str">
        <f t="shared" ref="I9986:I10017" si="2278">"0"</f>
        <v>0</v>
      </c>
      <c r="J9986" t="str">
        <f t="shared" si="2275"/>
        <v>88</v>
      </c>
      <c r="K9986">
        <v>20190614</v>
      </c>
      <c r="L9986" t="str">
        <f t="shared" si="2276"/>
        <v>077169</v>
      </c>
      <c r="M9986" t="str">
        <f t="shared" si="2277"/>
        <v>41230</v>
      </c>
      <c r="N9986" t="s">
        <v>1350</v>
      </c>
      <c r="O9986">
        <v>49.02</v>
      </c>
      <c r="P9986">
        <v>20190612</v>
      </c>
      <c r="Q9986" t="s">
        <v>7018</v>
      </c>
      <c r="R9986" t="s">
        <v>7861</v>
      </c>
      <c r="S9986" t="s">
        <v>7000</v>
      </c>
      <c r="T9986" t="s">
        <v>1831</v>
      </c>
    </row>
    <row r="9987" spans="1:20" x14ac:dyDescent="0.25">
      <c r="A9987">
        <v>9</v>
      </c>
      <c r="B9987">
        <v>461</v>
      </c>
      <c r="C9987" t="str">
        <f t="shared" si="2257"/>
        <v>36</v>
      </c>
      <c r="D9987">
        <v>6399</v>
      </c>
      <c r="E9987" t="str">
        <f t="shared" si="2273"/>
        <v>00</v>
      </c>
      <c r="F9987" t="str">
        <f t="shared" si="2274"/>
        <v>942</v>
      </c>
      <c r="G9987">
        <v>9</v>
      </c>
      <c r="H9987" t="str">
        <f t="shared" si="2272"/>
        <v>99</v>
      </c>
      <c r="I9987" t="str">
        <f t="shared" si="2278"/>
        <v>0</v>
      </c>
      <c r="J9987" t="str">
        <f t="shared" si="2275"/>
        <v>88</v>
      </c>
      <c r="K9987">
        <v>20190614</v>
      </c>
      <c r="L9987" t="str">
        <f t="shared" si="2276"/>
        <v>077169</v>
      </c>
      <c r="M9987" t="str">
        <f t="shared" si="2277"/>
        <v>41230</v>
      </c>
      <c r="N9987" t="s">
        <v>1350</v>
      </c>
      <c r="O9987">
        <v>15.52</v>
      </c>
      <c r="P9987">
        <v>20190612</v>
      </c>
      <c r="Q9987" t="s">
        <v>7018</v>
      </c>
      <c r="R9987" t="s">
        <v>7862</v>
      </c>
      <c r="S9987" t="s">
        <v>7000</v>
      </c>
      <c r="T9987" t="s">
        <v>1831</v>
      </c>
    </row>
    <row r="9988" spans="1:20" x14ac:dyDescent="0.25">
      <c r="A9988">
        <v>9</v>
      </c>
      <c r="B9988">
        <v>461</v>
      </c>
      <c r="C9988" t="str">
        <f t="shared" si="2257"/>
        <v>36</v>
      </c>
      <c r="D9988">
        <v>6399</v>
      </c>
      <c r="E9988" t="str">
        <f t="shared" si="2273"/>
        <v>00</v>
      </c>
      <c r="F9988" t="str">
        <f t="shared" si="2274"/>
        <v>942</v>
      </c>
      <c r="G9988">
        <v>9</v>
      </c>
      <c r="H9988" t="str">
        <f t="shared" si="2272"/>
        <v>99</v>
      </c>
      <c r="I9988" t="str">
        <f t="shared" si="2278"/>
        <v>0</v>
      </c>
      <c r="J9988" t="str">
        <f t="shared" si="2275"/>
        <v>88</v>
      </c>
      <c r="K9988">
        <v>20190614</v>
      </c>
      <c r="L9988" t="str">
        <f t="shared" si="2276"/>
        <v>077169</v>
      </c>
      <c r="M9988" t="str">
        <f t="shared" si="2277"/>
        <v>41230</v>
      </c>
      <c r="N9988" t="s">
        <v>1350</v>
      </c>
      <c r="O9988">
        <v>19.88</v>
      </c>
      <c r="P9988">
        <v>20190612</v>
      </c>
      <c r="Q9988" t="s">
        <v>7018</v>
      </c>
      <c r="R9988" t="s">
        <v>7863</v>
      </c>
      <c r="S9988" t="s">
        <v>7000</v>
      </c>
      <c r="T9988" t="s">
        <v>1831</v>
      </c>
    </row>
    <row r="9989" spans="1:20" x14ac:dyDescent="0.25">
      <c r="A9989">
        <v>9</v>
      </c>
      <c r="B9989">
        <v>461</v>
      </c>
      <c r="C9989" t="str">
        <f t="shared" si="2257"/>
        <v>36</v>
      </c>
      <c r="D9989">
        <v>6399</v>
      </c>
      <c r="E9989" t="str">
        <f t="shared" si="2273"/>
        <v>00</v>
      </c>
      <c r="F9989" t="str">
        <f t="shared" si="2274"/>
        <v>942</v>
      </c>
      <c r="G9989">
        <v>9</v>
      </c>
      <c r="H9989" t="str">
        <f t="shared" si="2272"/>
        <v>99</v>
      </c>
      <c r="I9989" t="str">
        <f t="shared" si="2278"/>
        <v>0</v>
      </c>
      <c r="J9989" t="str">
        <f t="shared" si="2275"/>
        <v>88</v>
      </c>
      <c r="K9989">
        <v>20190614</v>
      </c>
      <c r="L9989" t="str">
        <f t="shared" si="2276"/>
        <v>077169</v>
      </c>
      <c r="M9989" t="str">
        <f t="shared" si="2277"/>
        <v>41230</v>
      </c>
      <c r="N9989" t="s">
        <v>1350</v>
      </c>
      <c r="O9989">
        <v>11.94</v>
      </c>
      <c r="P9989">
        <v>20190612</v>
      </c>
      <c r="Q9989" t="s">
        <v>7018</v>
      </c>
      <c r="R9989" t="s">
        <v>7864</v>
      </c>
      <c r="S9989" t="s">
        <v>7000</v>
      </c>
      <c r="T9989" t="s">
        <v>1831</v>
      </c>
    </row>
    <row r="9990" spans="1:20" x14ac:dyDescent="0.25">
      <c r="A9990">
        <v>9</v>
      </c>
      <c r="B9990">
        <v>461</v>
      </c>
      <c r="C9990" t="str">
        <f t="shared" si="2257"/>
        <v>36</v>
      </c>
      <c r="D9990">
        <v>6399</v>
      </c>
      <c r="E9990" t="str">
        <f t="shared" si="2273"/>
        <v>00</v>
      </c>
      <c r="F9990" t="str">
        <f t="shared" si="2274"/>
        <v>942</v>
      </c>
      <c r="G9990">
        <v>9</v>
      </c>
      <c r="H9990" t="str">
        <f t="shared" si="2272"/>
        <v>99</v>
      </c>
      <c r="I9990" t="str">
        <f t="shared" si="2278"/>
        <v>0</v>
      </c>
      <c r="J9990" t="str">
        <f t="shared" si="2275"/>
        <v>88</v>
      </c>
      <c r="K9990">
        <v>20190614</v>
      </c>
      <c r="L9990" t="str">
        <f t="shared" si="2276"/>
        <v>077169</v>
      </c>
      <c r="M9990" t="str">
        <f t="shared" si="2277"/>
        <v>41230</v>
      </c>
      <c r="N9990" t="s">
        <v>1350</v>
      </c>
      <c r="O9990">
        <v>5.67</v>
      </c>
      <c r="P9990">
        <v>20190612</v>
      </c>
      <c r="Q9990" t="s">
        <v>7018</v>
      </c>
      <c r="R9990" t="s">
        <v>7865</v>
      </c>
      <c r="S9990" t="s">
        <v>7000</v>
      </c>
      <c r="T9990" t="s">
        <v>1831</v>
      </c>
    </row>
    <row r="9991" spans="1:20" x14ac:dyDescent="0.25">
      <c r="A9991">
        <v>9</v>
      </c>
      <c r="B9991">
        <v>461</v>
      </c>
      <c r="C9991" t="str">
        <f t="shared" si="2257"/>
        <v>36</v>
      </c>
      <c r="D9991">
        <v>6399</v>
      </c>
      <c r="E9991" t="str">
        <f>"GN"</f>
        <v>GN</v>
      </c>
      <c r="F9991" t="str">
        <f>"001"</f>
        <v>001</v>
      </c>
      <c r="G9991">
        <v>9</v>
      </c>
      <c r="H9991" t="str">
        <f t="shared" si="2272"/>
        <v>99</v>
      </c>
      <c r="I9991" t="str">
        <f t="shared" si="2278"/>
        <v>0</v>
      </c>
      <c r="J9991" t="str">
        <f t="shared" ref="J9991:J10035" si="2279">"00"</f>
        <v>00</v>
      </c>
      <c r="K9991">
        <v>20190614</v>
      </c>
      <c r="L9991" t="str">
        <f t="shared" si="2276"/>
        <v>077169</v>
      </c>
      <c r="M9991" t="str">
        <f t="shared" si="2277"/>
        <v>41230</v>
      </c>
      <c r="N9991" t="s">
        <v>1350</v>
      </c>
      <c r="O9991">
        <v>288</v>
      </c>
      <c r="P9991">
        <v>20190612</v>
      </c>
      <c r="Q9991" t="s">
        <v>7043</v>
      </c>
      <c r="R9991" t="s">
        <v>7866</v>
      </c>
      <c r="S9991" t="s">
        <v>7000</v>
      </c>
      <c r="T9991" t="s">
        <v>301</v>
      </c>
    </row>
    <row r="9992" spans="1:20" x14ac:dyDescent="0.25">
      <c r="A9992">
        <v>9</v>
      </c>
      <c r="B9992">
        <v>461</v>
      </c>
      <c r="C9992" t="str">
        <f t="shared" si="2257"/>
        <v>36</v>
      </c>
      <c r="D9992">
        <v>6399</v>
      </c>
      <c r="E9992" t="str">
        <f>"62"</f>
        <v>62</v>
      </c>
      <c r="F9992" t="str">
        <f>"001"</f>
        <v>001</v>
      </c>
      <c r="G9992">
        <v>9</v>
      </c>
      <c r="H9992" t="str">
        <f>"91"</f>
        <v>91</v>
      </c>
      <c r="I9992" t="str">
        <f t="shared" si="2278"/>
        <v>0</v>
      </c>
      <c r="J9992" t="str">
        <f t="shared" si="2279"/>
        <v>00</v>
      </c>
      <c r="K9992">
        <v>20190614</v>
      </c>
      <c r="L9992" t="str">
        <f>"077185"</f>
        <v>077185</v>
      </c>
      <c r="M9992" t="str">
        <f>"49445"</f>
        <v>49445</v>
      </c>
      <c r="N9992" t="s">
        <v>986</v>
      </c>
      <c r="O9992" s="1">
        <v>1198</v>
      </c>
      <c r="P9992">
        <v>20190612</v>
      </c>
      <c r="Q9992" t="s">
        <v>7833</v>
      </c>
      <c r="R9992" t="s">
        <v>7867</v>
      </c>
      <c r="S9992" t="s">
        <v>7000</v>
      </c>
      <c r="T9992" t="s">
        <v>301</v>
      </c>
    </row>
    <row r="9993" spans="1:20" x14ac:dyDescent="0.25">
      <c r="A9993">
        <v>9</v>
      </c>
      <c r="B9993">
        <v>461</v>
      </c>
      <c r="C9993" t="str">
        <f t="shared" si="2257"/>
        <v>36</v>
      </c>
      <c r="D9993">
        <v>6399</v>
      </c>
      <c r="E9993" t="str">
        <f>"3A"</f>
        <v>3A</v>
      </c>
      <c r="F9993" t="str">
        <f>"001"</f>
        <v>001</v>
      </c>
      <c r="G9993">
        <v>9</v>
      </c>
      <c r="H9993" t="str">
        <f>"91"</f>
        <v>91</v>
      </c>
      <c r="I9993" t="str">
        <f t="shared" si="2278"/>
        <v>0</v>
      </c>
      <c r="J9993" t="str">
        <f t="shared" si="2279"/>
        <v>00</v>
      </c>
      <c r="K9993">
        <v>20190614</v>
      </c>
      <c r="L9993" t="str">
        <f>"077188"</f>
        <v>077188</v>
      </c>
      <c r="M9993" t="str">
        <f>"52217"</f>
        <v>52217</v>
      </c>
      <c r="N9993" t="s">
        <v>630</v>
      </c>
      <c r="O9993">
        <v>311.5</v>
      </c>
      <c r="P9993">
        <v>20190612</v>
      </c>
      <c r="Q9993" t="s">
        <v>7175</v>
      </c>
      <c r="R9993" t="s">
        <v>7868</v>
      </c>
      <c r="S9993" t="s">
        <v>7000</v>
      </c>
      <c r="T9993" t="s">
        <v>301</v>
      </c>
    </row>
    <row r="9994" spans="1:20" x14ac:dyDescent="0.25">
      <c r="A9994">
        <v>9</v>
      </c>
      <c r="B9994">
        <v>461</v>
      </c>
      <c r="C9994" t="str">
        <f t="shared" si="2257"/>
        <v>36</v>
      </c>
      <c r="D9994">
        <v>6399</v>
      </c>
      <c r="E9994" t="str">
        <f>"30"</f>
        <v>30</v>
      </c>
      <c r="F9994" t="str">
        <f>"002"</f>
        <v>002</v>
      </c>
      <c r="G9994">
        <v>9</v>
      </c>
      <c r="H9994" t="str">
        <f t="shared" ref="H9994:H10000" si="2280">"99"</f>
        <v>99</v>
      </c>
      <c r="I9994" t="str">
        <f t="shared" si="2278"/>
        <v>0</v>
      </c>
      <c r="J9994" t="str">
        <f t="shared" si="2279"/>
        <v>00</v>
      </c>
      <c r="K9994">
        <v>20190614</v>
      </c>
      <c r="L9994" t="str">
        <f>"077192"</f>
        <v>077192</v>
      </c>
      <c r="M9994" t="str">
        <f>"58211"</f>
        <v>58211</v>
      </c>
      <c r="N9994" t="s">
        <v>1472</v>
      </c>
      <c r="O9994">
        <v>117.85</v>
      </c>
      <c r="P9994">
        <v>20190612</v>
      </c>
      <c r="Q9994" t="s">
        <v>7125</v>
      </c>
      <c r="R9994" t="s">
        <v>7869</v>
      </c>
      <c r="S9994" t="s">
        <v>7000</v>
      </c>
      <c r="T9994" t="s">
        <v>1485</v>
      </c>
    </row>
    <row r="9995" spans="1:20" x14ac:dyDescent="0.25">
      <c r="A9995">
        <v>9</v>
      </c>
      <c r="B9995">
        <v>461</v>
      </c>
      <c r="C9995" t="str">
        <f t="shared" si="2257"/>
        <v>36</v>
      </c>
      <c r="D9995">
        <v>6498</v>
      </c>
      <c r="E9995" t="str">
        <f>"30"</f>
        <v>30</v>
      </c>
      <c r="F9995" t="str">
        <f>"002"</f>
        <v>002</v>
      </c>
      <c r="G9995">
        <v>9</v>
      </c>
      <c r="H9995" t="str">
        <f t="shared" si="2280"/>
        <v>99</v>
      </c>
      <c r="I9995" t="str">
        <f t="shared" si="2278"/>
        <v>0</v>
      </c>
      <c r="J9995" t="str">
        <f t="shared" si="2279"/>
        <v>00</v>
      </c>
      <c r="K9995">
        <v>20190614</v>
      </c>
      <c r="L9995" t="str">
        <f>"077192"</f>
        <v>077192</v>
      </c>
      <c r="M9995" t="str">
        <f>"58211"</f>
        <v>58211</v>
      </c>
      <c r="N9995" t="s">
        <v>1472</v>
      </c>
      <c r="O9995">
        <v>45.15</v>
      </c>
      <c r="P9995">
        <v>20190612</v>
      </c>
      <c r="Q9995" t="s">
        <v>7870</v>
      </c>
      <c r="R9995" t="s">
        <v>7871</v>
      </c>
      <c r="S9995" t="s">
        <v>7000</v>
      </c>
      <c r="T9995" t="s">
        <v>1485</v>
      </c>
    </row>
    <row r="9996" spans="1:20" x14ac:dyDescent="0.25">
      <c r="A9996">
        <v>9</v>
      </c>
      <c r="B9996">
        <v>461</v>
      </c>
      <c r="C9996" t="str">
        <f t="shared" si="2257"/>
        <v>36</v>
      </c>
      <c r="D9996">
        <v>6498</v>
      </c>
      <c r="E9996" t="str">
        <f>"30"</f>
        <v>30</v>
      </c>
      <c r="F9996" t="str">
        <f>"002"</f>
        <v>002</v>
      </c>
      <c r="G9996">
        <v>9</v>
      </c>
      <c r="H9996" t="str">
        <f t="shared" si="2280"/>
        <v>99</v>
      </c>
      <c r="I9996" t="str">
        <f t="shared" si="2278"/>
        <v>0</v>
      </c>
      <c r="J9996" t="str">
        <f t="shared" si="2279"/>
        <v>00</v>
      </c>
      <c r="K9996">
        <v>20190614</v>
      </c>
      <c r="L9996" t="str">
        <f>"077192"</f>
        <v>077192</v>
      </c>
      <c r="M9996" t="str">
        <f>"58211"</f>
        <v>58211</v>
      </c>
      <c r="N9996" t="s">
        <v>1472</v>
      </c>
      <c r="O9996">
        <v>15</v>
      </c>
      <c r="P9996">
        <v>20190612</v>
      </c>
      <c r="Q9996" t="s">
        <v>7870</v>
      </c>
      <c r="R9996" t="s">
        <v>5423</v>
      </c>
      <c r="S9996" t="s">
        <v>7000</v>
      </c>
      <c r="T9996" t="s">
        <v>1485</v>
      </c>
    </row>
    <row r="9997" spans="1:20" x14ac:dyDescent="0.25">
      <c r="A9997">
        <v>9</v>
      </c>
      <c r="B9997">
        <v>461</v>
      </c>
      <c r="C9997" t="str">
        <f t="shared" si="2257"/>
        <v>36</v>
      </c>
      <c r="D9997">
        <v>6399</v>
      </c>
      <c r="E9997" t="str">
        <f>"61"</f>
        <v>61</v>
      </c>
      <c r="F9997" t="str">
        <f>"101"</f>
        <v>101</v>
      </c>
      <c r="G9997">
        <v>9</v>
      </c>
      <c r="H9997" t="str">
        <f t="shared" si="2280"/>
        <v>99</v>
      </c>
      <c r="I9997" t="str">
        <f t="shared" si="2278"/>
        <v>0</v>
      </c>
      <c r="J9997" t="str">
        <f t="shared" si="2279"/>
        <v>00</v>
      </c>
      <c r="K9997">
        <v>20190614</v>
      </c>
      <c r="L9997" t="str">
        <f>"077194"</f>
        <v>077194</v>
      </c>
      <c r="M9997" t="str">
        <f>"58203"</f>
        <v>58203</v>
      </c>
      <c r="N9997" t="s">
        <v>3051</v>
      </c>
      <c r="O9997">
        <v>40</v>
      </c>
      <c r="P9997">
        <v>20190612</v>
      </c>
      <c r="Q9997" t="s">
        <v>7007</v>
      </c>
      <c r="R9997" t="s">
        <v>7872</v>
      </c>
      <c r="S9997" t="s">
        <v>7000</v>
      </c>
      <c r="T9997" t="s">
        <v>1479</v>
      </c>
    </row>
    <row r="9998" spans="1:20" x14ac:dyDescent="0.25">
      <c r="A9998">
        <v>9</v>
      </c>
      <c r="B9998">
        <v>461</v>
      </c>
      <c r="C9998" t="str">
        <f t="shared" si="2257"/>
        <v>36</v>
      </c>
      <c r="D9998">
        <v>6399</v>
      </c>
      <c r="E9998" t="str">
        <f>"61"</f>
        <v>61</v>
      </c>
      <c r="F9998" t="str">
        <f>"101"</f>
        <v>101</v>
      </c>
      <c r="G9998">
        <v>9</v>
      </c>
      <c r="H9998" t="str">
        <f t="shared" si="2280"/>
        <v>99</v>
      </c>
      <c r="I9998" t="str">
        <f t="shared" si="2278"/>
        <v>0</v>
      </c>
      <c r="J9998" t="str">
        <f t="shared" si="2279"/>
        <v>00</v>
      </c>
      <c r="K9998">
        <v>20190614</v>
      </c>
      <c r="L9998" t="str">
        <f>"077194"</f>
        <v>077194</v>
      </c>
      <c r="M9998" t="str">
        <f>"58203"</f>
        <v>58203</v>
      </c>
      <c r="N9998" t="s">
        <v>3051</v>
      </c>
      <c r="O9998">
        <v>58.81</v>
      </c>
      <c r="P9998">
        <v>20190612</v>
      </c>
      <c r="Q9998" t="s">
        <v>7007</v>
      </c>
      <c r="R9998" t="s">
        <v>7873</v>
      </c>
      <c r="S9998" t="s">
        <v>7000</v>
      </c>
      <c r="T9998" t="s">
        <v>1479</v>
      </c>
    </row>
    <row r="9999" spans="1:20" x14ac:dyDescent="0.25">
      <c r="A9999">
        <v>9</v>
      </c>
      <c r="B9999">
        <v>461</v>
      </c>
      <c r="C9999" t="str">
        <f t="shared" si="2257"/>
        <v>36</v>
      </c>
      <c r="D9999">
        <v>6399</v>
      </c>
      <c r="E9999" t="str">
        <f>"61"</f>
        <v>61</v>
      </c>
      <c r="F9999" t="str">
        <f>"101"</f>
        <v>101</v>
      </c>
      <c r="G9999">
        <v>9</v>
      </c>
      <c r="H9999" t="str">
        <f t="shared" si="2280"/>
        <v>99</v>
      </c>
      <c r="I9999" t="str">
        <f t="shared" si="2278"/>
        <v>0</v>
      </c>
      <c r="J9999" t="str">
        <f t="shared" si="2279"/>
        <v>00</v>
      </c>
      <c r="K9999">
        <v>20190614</v>
      </c>
      <c r="L9999" t="str">
        <f>"077194"</f>
        <v>077194</v>
      </c>
      <c r="M9999" t="str">
        <f>"58203"</f>
        <v>58203</v>
      </c>
      <c r="N9999" t="s">
        <v>3051</v>
      </c>
      <c r="O9999">
        <v>6.78</v>
      </c>
      <c r="P9999">
        <v>20190612</v>
      </c>
      <c r="Q9999" t="s">
        <v>7007</v>
      </c>
      <c r="R9999" t="s">
        <v>7873</v>
      </c>
      <c r="S9999" t="s">
        <v>7000</v>
      </c>
      <c r="T9999" t="s">
        <v>1479</v>
      </c>
    </row>
    <row r="10000" spans="1:20" x14ac:dyDescent="0.25">
      <c r="A10000">
        <v>9</v>
      </c>
      <c r="B10000">
        <v>461</v>
      </c>
      <c r="C10000" t="str">
        <f t="shared" ref="C10000:C10063" si="2281">"36"</f>
        <v>36</v>
      </c>
      <c r="D10000">
        <v>6399</v>
      </c>
      <c r="E10000" t="str">
        <f>"61"</f>
        <v>61</v>
      </c>
      <c r="F10000" t="str">
        <f>"101"</f>
        <v>101</v>
      </c>
      <c r="G10000">
        <v>9</v>
      </c>
      <c r="H10000" t="str">
        <f t="shared" si="2280"/>
        <v>99</v>
      </c>
      <c r="I10000" t="str">
        <f t="shared" si="2278"/>
        <v>0</v>
      </c>
      <c r="J10000" t="str">
        <f t="shared" si="2279"/>
        <v>00</v>
      </c>
      <c r="K10000">
        <v>20190614</v>
      </c>
      <c r="L10000" t="str">
        <f>"077194"</f>
        <v>077194</v>
      </c>
      <c r="M10000" t="str">
        <f>"58203"</f>
        <v>58203</v>
      </c>
      <c r="N10000" t="s">
        <v>3051</v>
      </c>
      <c r="O10000">
        <v>24.9</v>
      </c>
      <c r="P10000">
        <v>20190612</v>
      </c>
      <c r="Q10000" t="s">
        <v>7007</v>
      </c>
      <c r="R10000" t="s">
        <v>7874</v>
      </c>
      <c r="S10000" t="s">
        <v>7000</v>
      </c>
      <c r="T10000" t="s">
        <v>1479</v>
      </c>
    </row>
    <row r="10001" spans="1:20" x14ac:dyDescent="0.25">
      <c r="A10001">
        <v>9</v>
      </c>
      <c r="B10001">
        <v>461</v>
      </c>
      <c r="C10001" t="str">
        <f t="shared" si="2281"/>
        <v>36</v>
      </c>
      <c r="D10001">
        <v>6499</v>
      </c>
      <c r="E10001" t="str">
        <f>"3B"</f>
        <v>3B</v>
      </c>
      <c r="F10001" t="str">
        <f t="shared" ref="F10001:F10006" si="2282">"001"</f>
        <v>001</v>
      </c>
      <c r="G10001">
        <v>9</v>
      </c>
      <c r="H10001" t="str">
        <f>"91"</f>
        <v>91</v>
      </c>
      <c r="I10001" t="str">
        <f t="shared" si="2278"/>
        <v>0</v>
      </c>
      <c r="J10001" t="str">
        <f t="shared" si="2279"/>
        <v>00</v>
      </c>
      <c r="K10001">
        <v>20190614</v>
      </c>
      <c r="L10001" t="str">
        <f t="shared" ref="L10001:L10006" si="2283">"077202"</f>
        <v>077202</v>
      </c>
      <c r="M10001" t="str">
        <f t="shared" ref="M10001:M10006" si="2284">"70242"</f>
        <v>70242</v>
      </c>
      <c r="N10001" t="s">
        <v>5435</v>
      </c>
      <c r="O10001">
        <v>19</v>
      </c>
      <c r="P10001">
        <v>20190612</v>
      </c>
      <c r="Q10001" t="s">
        <v>7593</v>
      </c>
      <c r="R10001" t="s">
        <v>5443</v>
      </c>
      <c r="S10001" t="s">
        <v>7000</v>
      </c>
      <c r="T10001" t="s">
        <v>301</v>
      </c>
    </row>
    <row r="10002" spans="1:20" x14ac:dyDescent="0.25">
      <c r="A10002">
        <v>9</v>
      </c>
      <c r="B10002">
        <v>461</v>
      </c>
      <c r="C10002" t="str">
        <f t="shared" si="2281"/>
        <v>36</v>
      </c>
      <c r="D10002">
        <v>6499</v>
      </c>
      <c r="E10002" t="str">
        <f>"3D"</f>
        <v>3D</v>
      </c>
      <c r="F10002" t="str">
        <f t="shared" si="2282"/>
        <v>001</v>
      </c>
      <c r="G10002">
        <v>9</v>
      </c>
      <c r="H10002" t="str">
        <f>"91"</f>
        <v>91</v>
      </c>
      <c r="I10002" t="str">
        <f t="shared" si="2278"/>
        <v>0</v>
      </c>
      <c r="J10002" t="str">
        <f t="shared" si="2279"/>
        <v>00</v>
      </c>
      <c r="K10002">
        <v>20190614</v>
      </c>
      <c r="L10002" t="str">
        <f t="shared" si="2283"/>
        <v>077202</v>
      </c>
      <c r="M10002" t="str">
        <f t="shared" si="2284"/>
        <v>70242</v>
      </c>
      <c r="N10002" t="s">
        <v>5435</v>
      </c>
      <c r="O10002">
        <v>47.5</v>
      </c>
      <c r="P10002">
        <v>20190613</v>
      </c>
      <c r="Q10002" t="s">
        <v>7594</v>
      </c>
      <c r="R10002" t="s">
        <v>5443</v>
      </c>
      <c r="S10002" t="s">
        <v>7000</v>
      </c>
      <c r="T10002" t="s">
        <v>301</v>
      </c>
    </row>
    <row r="10003" spans="1:20" x14ac:dyDescent="0.25">
      <c r="A10003">
        <v>9</v>
      </c>
      <c r="B10003">
        <v>461</v>
      </c>
      <c r="C10003" t="str">
        <f t="shared" si="2281"/>
        <v>36</v>
      </c>
      <c r="D10003">
        <v>6499</v>
      </c>
      <c r="E10003" t="str">
        <f>"3P"</f>
        <v>3P</v>
      </c>
      <c r="F10003" t="str">
        <f t="shared" si="2282"/>
        <v>001</v>
      </c>
      <c r="G10003">
        <v>9</v>
      </c>
      <c r="H10003" t="str">
        <f>"91"</f>
        <v>91</v>
      </c>
      <c r="I10003" t="str">
        <f t="shared" si="2278"/>
        <v>0</v>
      </c>
      <c r="J10003" t="str">
        <f t="shared" si="2279"/>
        <v>00</v>
      </c>
      <c r="K10003">
        <v>20190614</v>
      </c>
      <c r="L10003" t="str">
        <f t="shared" si="2283"/>
        <v>077202</v>
      </c>
      <c r="M10003" t="str">
        <f t="shared" si="2284"/>
        <v>70242</v>
      </c>
      <c r="N10003" t="s">
        <v>5435</v>
      </c>
      <c r="O10003">
        <v>19</v>
      </c>
      <c r="P10003">
        <v>20190613</v>
      </c>
      <c r="Q10003" t="s">
        <v>7875</v>
      </c>
      <c r="R10003" t="s">
        <v>5443</v>
      </c>
      <c r="S10003" t="s">
        <v>7000</v>
      </c>
      <c r="T10003" t="s">
        <v>301</v>
      </c>
    </row>
    <row r="10004" spans="1:20" x14ac:dyDescent="0.25">
      <c r="A10004">
        <v>9</v>
      </c>
      <c r="B10004">
        <v>461</v>
      </c>
      <c r="C10004" t="str">
        <f t="shared" si="2281"/>
        <v>36</v>
      </c>
      <c r="D10004">
        <v>6499</v>
      </c>
      <c r="E10004" t="str">
        <f>"3Y"</f>
        <v>3Y</v>
      </c>
      <c r="F10004" t="str">
        <f t="shared" si="2282"/>
        <v>001</v>
      </c>
      <c r="G10004">
        <v>9</v>
      </c>
      <c r="H10004" t="str">
        <f>"91"</f>
        <v>91</v>
      </c>
      <c r="I10004" t="str">
        <f t="shared" si="2278"/>
        <v>0</v>
      </c>
      <c r="J10004" t="str">
        <f t="shared" si="2279"/>
        <v>00</v>
      </c>
      <c r="K10004">
        <v>20190614</v>
      </c>
      <c r="L10004" t="str">
        <f t="shared" si="2283"/>
        <v>077202</v>
      </c>
      <c r="M10004" t="str">
        <f t="shared" si="2284"/>
        <v>70242</v>
      </c>
      <c r="N10004" t="s">
        <v>5435</v>
      </c>
      <c r="O10004">
        <v>57</v>
      </c>
      <c r="P10004">
        <v>20190612</v>
      </c>
      <c r="Q10004" t="s">
        <v>7876</v>
      </c>
      <c r="R10004" t="s">
        <v>5443</v>
      </c>
      <c r="S10004" t="s">
        <v>7000</v>
      </c>
      <c r="T10004" t="s">
        <v>301</v>
      </c>
    </row>
    <row r="10005" spans="1:20" x14ac:dyDescent="0.25">
      <c r="A10005">
        <v>9</v>
      </c>
      <c r="B10005">
        <v>461</v>
      </c>
      <c r="C10005" t="str">
        <f t="shared" si="2281"/>
        <v>36</v>
      </c>
      <c r="D10005">
        <v>6499</v>
      </c>
      <c r="E10005" t="str">
        <f>"61"</f>
        <v>61</v>
      </c>
      <c r="F10005" t="str">
        <f t="shared" si="2282"/>
        <v>001</v>
      </c>
      <c r="G10005">
        <v>9</v>
      </c>
      <c r="H10005" t="str">
        <f t="shared" ref="H10005:H10014" si="2285">"99"</f>
        <v>99</v>
      </c>
      <c r="I10005" t="str">
        <f t="shared" si="2278"/>
        <v>0</v>
      </c>
      <c r="J10005" t="str">
        <f t="shared" si="2279"/>
        <v>00</v>
      </c>
      <c r="K10005">
        <v>20190614</v>
      </c>
      <c r="L10005" t="str">
        <f t="shared" si="2283"/>
        <v>077202</v>
      </c>
      <c r="M10005" t="str">
        <f t="shared" si="2284"/>
        <v>70242</v>
      </c>
      <c r="N10005" t="s">
        <v>5435</v>
      </c>
      <c r="O10005">
        <v>16.25</v>
      </c>
      <c r="P10005">
        <v>20190612</v>
      </c>
      <c r="Q10005" t="s">
        <v>7115</v>
      </c>
      <c r="R10005" t="s">
        <v>5440</v>
      </c>
      <c r="S10005" t="s">
        <v>7000</v>
      </c>
      <c r="T10005" t="s">
        <v>301</v>
      </c>
    </row>
    <row r="10006" spans="1:20" x14ac:dyDescent="0.25">
      <c r="A10006">
        <v>9</v>
      </c>
      <c r="B10006">
        <v>461</v>
      </c>
      <c r="C10006" t="str">
        <f t="shared" si="2281"/>
        <v>36</v>
      </c>
      <c r="D10006">
        <v>6499</v>
      </c>
      <c r="E10006" t="str">
        <f>"7U"</f>
        <v>7U</v>
      </c>
      <c r="F10006" t="str">
        <f t="shared" si="2282"/>
        <v>001</v>
      </c>
      <c r="G10006">
        <v>9</v>
      </c>
      <c r="H10006" t="str">
        <f t="shared" si="2285"/>
        <v>99</v>
      </c>
      <c r="I10006" t="str">
        <f t="shared" si="2278"/>
        <v>0</v>
      </c>
      <c r="J10006" t="str">
        <f t="shared" si="2279"/>
        <v>00</v>
      </c>
      <c r="K10006">
        <v>20190614</v>
      </c>
      <c r="L10006" t="str">
        <f t="shared" si="2283"/>
        <v>077202</v>
      </c>
      <c r="M10006" t="str">
        <f t="shared" si="2284"/>
        <v>70242</v>
      </c>
      <c r="N10006" t="s">
        <v>5435</v>
      </c>
      <c r="O10006">
        <v>38</v>
      </c>
      <c r="P10006">
        <v>20190612</v>
      </c>
      <c r="Q10006" t="s">
        <v>7573</v>
      </c>
      <c r="R10006" t="s">
        <v>7877</v>
      </c>
      <c r="S10006" t="s">
        <v>7000</v>
      </c>
      <c r="T10006" t="s">
        <v>301</v>
      </c>
    </row>
    <row r="10007" spans="1:20" x14ac:dyDescent="0.25">
      <c r="A10007">
        <v>9</v>
      </c>
      <c r="B10007">
        <v>461</v>
      </c>
      <c r="C10007" t="str">
        <f t="shared" si="2281"/>
        <v>36</v>
      </c>
      <c r="D10007">
        <v>6399</v>
      </c>
      <c r="E10007" t="str">
        <f>"PR"</f>
        <v>PR</v>
      </c>
      <c r="F10007" t="str">
        <f>"104"</f>
        <v>104</v>
      </c>
      <c r="G10007">
        <v>9</v>
      </c>
      <c r="H10007" t="str">
        <f t="shared" si="2285"/>
        <v>99</v>
      </c>
      <c r="I10007" t="str">
        <f t="shared" si="2278"/>
        <v>0</v>
      </c>
      <c r="J10007" t="str">
        <f t="shared" si="2279"/>
        <v>00</v>
      </c>
      <c r="K10007">
        <v>20190614</v>
      </c>
      <c r="L10007" t="str">
        <f>"077204"</f>
        <v>077204</v>
      </c>
      <c r="M10007" t="str">
        <f>"72730"</f>
        <v>72730</v>
      </c>
      <c r="N10007" t="s">
        <v>639</v>
      </c>
      <c r="O10007">
        <v>241.56</v>
      </c>
      <c r="P10007">
        <v>20190613</v>
      </c>
      <c r="Q10007" t="s">
        <v>7014</v>
      </c>
      <c r="R10007" t="s">
        <v>641</v>
      </c>
      <c r="S10007" t="s">
        <v>7000</v>
      </c>
      <c r="T10007" t="s">
        <v>46</v>
      </c>
    </row>
    <row r="10008" spans="1:20" x14ac:dyDescent="0.25">
      <c r="A10008">
        <v>9</v>
      </c>
      <c r="B10008">
        <v>461</v>
      </c>
      <c r="C10008" t="str">
        <f t="shared" si="2281"/>
        <v>36</v>
      </c>
      <c r="D10008">
        <v>6499</v>
      </c>
      <c r="E10008" t="str">
        <f>"PR"</f>
        <v>PR</v>
      </c>
      <c r="F10008" t="str">
        <f>"104"</f>
        <v>104</v>
      </c>
      <c r="G10008">
        <v>9</v>
      </c>
      <c r="H10008" t="str">
        <f t="shared" si="2285"/>
        <v>99</v>
      </c>
      <c r="I10008" t="str">
        <f t="shared" si="2278"/>
        <v>0</v>
      </c>
      <c r="J10008" t="str">
        <f t="shared" si="2279"/>
        <v>00</v>
      </c>
      <c r="K10008">
        <v>20190614</v>
      </c>
      <c r="L10008" t="str">
        <f>"077205"</f>
        <v>077205</v>
      </c>
      <c r="M10008" t="str">
        <f>"00539"</f>
        <v>00539</v>
      </c>
      <c r="N10008" t="s">
        <v>2332</v>
      </c>
      <c r="O10008">
        <v>148</v>
      </c>
      <c r="P10008">
        <v>20190613</v>
      </c>
      <c r="Q10008" t="s">
        <v>7264</v>
      </c>
      <c r="R10008" t="s">
        <v>7878</v>
      </c>
      <c r="S10008" t="s">
        <v>7000</v>
      </c>
      <c r="T10008" t="s">
        <v>46</v>
      </c>
    </row>
    <row r="10009" spans="1:20" x14ac:dyDescent="0.25">
      <c r="A10009">
        <v>9</v>
      </c>
      <c r="B10009">
        <v>461</v>
      </c>
      <c r="C10009" t="str">
        <f t="shared" si="2281"/>
        <v>36</v>
      </c>
      <c r="D10009">
        <v>6499</v>
      </c>
      <c r="E10009" t="str">
        <f>"GD"</f>
        <v>GD</v>
      </c>
      <c r="F10009" t="str">
        <f>"001"</f>
        <v>001</v>
      </c>
      <c r="G10009">
        <v>9</v>
      </c>
      <c r="H10009" t="str">
        <f t="shared" si="2285"/>
        <v>99</v>
      </c>
      <c r="I10009" t="str">
        <f t="shared" si="2278"/>
        <v>0</v>
      </c>
      <c r="J10009" t="str">
        <f t="shared" si="2279"/>
        <v>00</v>
      </c>
      <c r="K10009">
        <v>20190614</v>
      </c>
      <c r="L10009" t="str">
        <f>"077206"</f>
        <v>077206</v>
      </c>
      <c r="M10009" t="str">
        <f>"76490"</f>
        <v>76490</v>
      </c>
      <c r="N10009" t="s">
        <v>312</v>
      </c>
      <c r="O10009">
        <v>500</v>
      </c>
      <c r="P10009">
        <v>20190613</v>
      </c>
      <c r="Q10009" t="s">
        <v>7879</v>
      </c>
      <c r="R10009" t="s">
        <v>7880</v>
      </c>
      <c r="S10009" t="s">
        <v>7000</v>
      </c>
      <c r="T10009" t="s">
        <v>301</v>
      </c>
    </row>
    <row r="10010" spans="1:20" x14ac:dyDescent="0.25">
      <c r="A10010">
        <v>9</v>
      </c>
      <c r="B10010">
        <v>461</v>
      </c>
      <c r="C10010" t="str">
        <f t="shared" si="2281"/>
        <v>36</v>
      </c>
      <c r="D10010">
        <v>6499</v>
      </c>
      <c r="E10010" t="str">
        <f>"7K"</f>
        <v>7K</v>
      </c>
      <c r="F10010" t="str">
        <f>"001"</f>
        <v>001</v>
      </c>
      <c r="G10010">
        <v>9</v>
      </c>
      <c r="H10010" t="str">
        <f t="shared" si="2285"/>
        <v>99</v>
      </c>
      <c r="I10010" t="str">
        <f t="shared" si="2278"/>
        <v>0</v>
      </c>
      <c r="J10010" t="str">
        <f t="shared" si="2279"/>
        <v>00</v>
      </c>
      <c r="K10010">
        <v>20190614</v>
      </c>
      <c r="L10010" t="str">
        <f>"077207"</f>
        <v>077207</v>
      </c>
      <c r="M10010" t="str">
        <f>"76476"</f>
        <v>76476</v>
      </c>
      <c r="N10010" t="s">
        <v>312</v>
      </c>
      <c r="O10010">
        <v>700</v>
      </c>
      <c r="P10010">
        <v>20190613</v>
      </c>
      <c r="Q10010" t="s">
        <v>7320</v>
      </c>
      <c r="R10010" t="s">
        <v>7881</v>
      </c>
      <c r="S10010" t="s">
        <v>7000</v>
      </c>
      <c r="T10010" t="s">
        <v>301</v>
      </c>
    </row>
    <row r="10011" spans="1:20" x14ac:dyDescent="0.25">
      <c r="A10011">
        <v>9</v>
      </c>
      <c r="B10011">
        <v>461</v>
      </c>
      <c r="C10011" t="str">
        <f t="shared" si="2281"/>
        <v>36</v>
      </c>
      <c r="D10011">
        <v>6399</v>
      </c>
      <c r="E10011" t="str">
        <f>"7C"</f>
        <v>7C</v>
      </c>
      <c r="F10011" t="str">
        <f>"999"</f>
        <v>999</v>
      </c>
      <c r="G10011">
        <v>9</v>
      </c>
      <c r="H10011" t="str">
        <f t="shared" si="2285"/>
        <v>99</v>
      </c>
      <c r="I10011" t="str">
        <f t="shared" si="2278"/>
        <v>0</v>
      </c>
      <c r="J10011" t="str">
        <f t="shared" si="2279"/>
        <v>00</v>
      </c>
      <c r="K10011">
        <v>20190614</v>
      </c>
      <c r="L10011" t="str">
        <f>"077212"</f>
        <v>077212</v>
      </c>
      <c r="M10011" t="str">
        <f>"82381"</f>
        <v>82381</v>
      </c>
      <c r="N10011" t="s">
        <v>4578</v>
      </c>
      <c r="O10011" s="1">
        <v>22986.77</v>
      </c>
      <c r="P10011">
        <v>20190613</v>
      </c>
      <c r="Q10011" t="s">
        <v>7882</v>
      </c>
      <c r="R10011" t="s">
        <v>7883</v>
      </c>
      <c r="S10011" t="s">
        <v>7000</v>
      </c>
      <c r="T10011" t="s">
        <v>3622</v>
      </c>
    </row>
    <row r="10012" spans="1:20" x14ac:dyDescent="0.25">
      <c r="A10012">
        <v>9</v>
      </c>
      <c r="B10012">
        <v>461</v>
      </c>
      <c r="C10012" t="str">
        <f t="shared" si="2281"/>
        <v>36</v>
      </c>
      <c r="D10012">
        <v>6399</v>
      </c>
      <c r="E10012" t="str">
        <f>"7C"</f>
        <v>7C</v>
      </c>
      <c r="F10012" t="str">
        <f>"999"</f>
        <v>999</v>
      </c>
      <c r="G10012">
        <v>9</v>
      </c>
      <c r="H10012" t="str">
        <f t="shared" si="2285"/>
        <v>99</v>
      </c>
      <c r="I10012" t="str">
        <f t="shared" si="2278"/>
        <v>0</v>
      </c>
      <c r="J10012" t="str">
        <f t="shared" si="2279"/>
        <v>00</v>
      </c>
      <c r="K10012">
        <v>20190614</v>
      </c>
      <c r="L10012" t="str">
        <f>"077212"</f>
        <v>077212</v>
      </c>
      <c r="M10012" t="str">
        <f>"82381"</f>
        <v>82381</v>
      </c>
      <c r="N10012" t="s">
        <v>4578</v>
      </c>
      <c r="O10012" s="1">
        <v>25515.279999999999</v>
      </c>
      <c r="P10012">
        <v>20190613</v>
      </c>
      <c r="Q10012" t="s">
        <v>7882</v>
      </c>
      <c r="R10012" t="s">
        <v>7884</v>
      </c>
      <c r="S10012" t="s">
        <v>7000</v>
      </c>
      <c r="T10012" t="s">
        <v>3622</v>
      </c>
    </row>
    <row r="10013" spans="1:20" x14ac:dyDescent="0.25">
      <c r="A10013">
        <v>9</v>
      </c>
      <c r="B10013">
        <v>461</v>
      </c>
      <c r="C10013" t="str">
        <f t="shared" si="2281"/>
        <v>36</v>
      </c>
      <c r="D10013">
        <v>6399</v>
      </c>
      <c r="E10013" t="str">
        <f>"61"</f>
        <v>61</v>
      </c>
      <c r="F10013" t="str">
        <f>"101"</f>
        <v>101</v>
      </c>
      <c r="G10013">
        <v>9</v>
      </c>
      <c r="H10013" t="str">
        <f t="shared" si="2285"/>
        <v>99</v>
      </c>
      <c r="I10013" t="str">
        <f t="shared" si="2278"/>
        <v>0</v>
      </c>
      <c r="J10013" t="str">
        <f t="shared" si="2279"/>
        <v>00</v>
      </c>
      <c r="K10013">
        <v>20190621</v>
      </c>
      <c r="L10013" t="str">
        <f>"077217"</f>
        <v>077217</v>
      </c>
      <c r="M10013" t="str">
        <f>"04410"</f>
        <v>04410</v>
      </c>
      <c r="N10013" t="s">
        <v>410</v>
      </c>
      <c r="O10013">
        <v>270.07</v>
      </c>
      <c r="P10013">
        <v>20190619</v>
      </c>
      <c r="Q10013" t="s">
        <v>7007</v>
      </c>
      <c r="R10013" t="s">
        <v>641</v>
      </c>
      <c r="S10013" t="s">
        <v>7000</v>
      </c>
      <c r="T10013" t="s">
        <v>1479</v>
      </c>
    </row>
    <row r="10014" spans="1:20" x14ac:dyDescent="0.25">
      <c r="A10014">
        <v>9</v>
      </c>
      <c r="B10014">
        <v>461</v>
      </c>
      <c r="C10014" t="str">
        <f t="shared" si="2281"/>
        <v>36</v>
      </c>
      <c r="D10014">
        <v>6399</v>
      </c>
      <c r="E10014" t="str">
        <f>"PR"</f>
        <v>PR</v>
      </c>
      <c r="F10014" t="str">
        <f>"104"</f>
        <v>104</v>
      </c>
      <c r="G10014">
        <v>9</v>
      </c>
      <c r="H10014" t="str">
        <f t="shared" si="2285"/>
        <v>99</v>
      </c>
      <c r="I10014" t="str">
        <f t="shared" si="2278"/>
        <v>0</v>
      </c>
      <c r="J10014" t="str">
        <f t="shared" si="2279"/>
        <v>00</v>
      </c>
      <c r="K10014">
        <v>20190621</v>
      </c>
      <c r="L10014" t="str">
        <f>"077217"</f>
        <v>077217</v>
      </c>
      <c r="M10014" t="str">
        <f>"04410"</f>
        <v>04410</v>
      </c>
      <c r="N10014" t="s">
        <v>410</v>
      </c>
      <c r="O10014" s="1">
        <v>1510.5</v>
      </c>
      <c r="P10014">
        <v>20190619</v>
      </c>
      <c r="Q10014" t="s">
        <v>7014</v>
      </c>
      <c r="R10014" t="s">
        <v>7885</v>
      </c>
      <c r="S10014" t="s">
        <v>7000</v>
      </c>
      <c r="T10014" t="s">
        <v>46</v>
      </c>
    </row>
    <row r="10015" spans="1:20" x14ac:dyDescent="0.25">
      <c r="A10015">
        <v>9</v>
      </c>
      <c r="B10015">
        <v>461</v>
      </c>
      <c r="C10015" t="str">
        <f t="shared" si="2281"/>
        <v>36</v>
      </c>
      <c r="D10015">
        <v>6399</v>
      </c>
      <c r="E10015" t="str">
        <f>"3F"</f>
        <v>3F</v>
      </c>
      <c r="F10015" t="str">
        <f>"001"</f>
        <v>001</v>
      </c>
      <c r="G10015">
        <v>9</v>
      </c>
      <c r="H10015" t="str">
        <f>"91"</f>
        <v>91</v>
      </c>
      <c r="I10015" t="str">
        <f t="shared" si="2278"/>
        <v>0</v>
      </c>
      <c r="J10015" t="str">
        <f t="shared" si="2279"/>
        <v>00</v>
      </c>
      <c r="K10015">
        <v>20190621</v>
      </c>
      <c r="L10015" t="str">
        <f>"077222"</f>
        <v>077222</v>
      </c>
      <c r="M10015" t="str">
        <f>"08788"</f>
        <v>08788</v>
      </c>
      <c r="N10015" t="s">
        <v>473</v>
      </c>
      <c r="O10015">
        <v>522.16</v>
      </c>
      <c r="P10015">
        <v>20190619</v>
      </c>
      <c r="Q10015" t="s">
        <v>7117</v>
      </c>
      <c r="R10015" t="s">
        <v>7886</v>
      </c>
      <c r="S10015" t="s">
        <v>7000</v>
      </c>
      <c r="T10015" t="s">
        <v>301</v>
      </c>
    </row>
    <row r="10016" spans="1:20" x14ac:dyDescent="0.25">
      <c r="A10016">
        <v>9</v>
      </c>
      <c r="B10016">
        <v>461</v>
      </c>
      <c r="C10016" t="str">
        <f t="shared" si="2281"/>
        <v>36</v>
      </c>
      <c r="D10016">
        <v>6399</v>
      </c>
      <c r="E10016" t="str">
        <f>"3F"</f>
        <v>3F</v>
      </c>
      <c r="F10016" t="str">
        <f>"001"</f>
        <v>001</v>
      </c>
      <c r="G10016">
        <v>9</v>
      </c>
      <c r="H10016" t="str">
        <f>"91"</f>
        <v>91</v>
      </c>
      <c r="I10016" t="str">
        <f t="shared" si="2278"/>
        <v>0</v>
      </c>
      <c r="J10016" t="str">
        <f t="shared" si="2279"/>
        <v>00</v>
      </c>
      <c r="K10016">
        <v>20190621</v>
      </c>
      <c r="L10016" t="str">
        <f>"077222"</f>
        <v>077222</v>
      </c>
      <c r="M10016" t="str">
        <f>"08788"</f>
        <v>08788</v>
      </c>
      <c r="N10016" t="s">
        <v>473</v>
      </c>
      <c r="O10016" s="1">
        <v>2891.51</v>
      </c>
      <c r="P10016">
        <v>20190619</v>
      </c>
      <c r="Q10016" t="s">
        <v>7117</v>
      </c>
      <c r="R10016" t="s">
        <v>1301</v>
      </c>
      <c r="S10016" t="s">
        <v>7000</v>
      </c>
      <c r="T10016" t="s">
        <v>301</v>
      </c>
    </row>
    <row r="10017" spans="1:20" x14ac:dyDescent="0.25">
      <c r="A10017">
        <v>9</v>
      </c>
      <c r="B10017">
        <v>461</v>
      </c>
      <c r="C10017" t="str">
        <f t="shared" si="2281"/>
        <v>36</v>
      </c>
      <c r="D10017">
        <v>6399</v>
      </c>
      <c r="E10017" t="str">
        <f>"3F"</f>
        <v>3F</v>
      </c>
      <c r="F10017" t="str">
        <f>"001"</f>
        <v>001</v>
      </c>
      <c r="G10017">
        <v>9</v>
      </c>
      <c r="H10017" t="str">
        <f>"91"</f>
        <v>91</v>
      </c>
      <c r="I10017" t="str">
        <f t="shared" si="2278"/>
        <v>0</v>
      </c>
      <c r="J10017" t="str">
        <f t="shared" si="2279"/>
        <v>00</v>
      </c>
      <c r="K10017">
        <v>20190621</v>
      </c>
      <c r="L10017" t="str">
        <f>"077222"</f>
        <v>077222</v>
      </c>
      <c r="M10017" t="str">
        <f>"08788"</f>
        <v>08788</v>
      </c>
      <c r="N10017" t="s">
        <v>473</v>
      </c>
      <c r="O10017">
        <v>434</v>
      </c>
      <c r="P10017">
        <v>20190619</v>
      </c>
      <c r="Q10017" t="s">
        <v>7117</v>
      </c>
      <c r="R10017" t="s">
        <v>7887</v>
      </c>
      <c r="S10017" t="s">
        <v>7000</v>
      </c>
      <c r="T10017" t="s">
        <v>301</v>
      </c>
    </row>
    <row r="10018" spans="1:20" x14ac:dyDescent="0.25">
      <c r="A10018">
        <v>9</v>
      </c>
      <c r="B10018">
        <v>461</v>
      </c>
      <c r="C10018" t="str">
        <f t="shared" si="2281"/>
        <v>36</v>
      </c>
      <c r="D10018">
        <v>6499</v>
      </c>
      <c r="E10018" t="str">
        <f>"PS"</f>
        <v>PS</v>
      </c>
      <c r="F10018" t="str">
        <f>"001"</f>
        <v>001</v>
      </c>
      <c r="G10018">
        <v>9</v>
      </c>
      <c r="H10018" t="str">
        <f t="shared" ref="H10018:H10036" si="2286">"99"</f>
        <v>99</v>
      </c>
      <c r="I10018" t="str">
        <f t="shared" ref="I10018:I10049" si="2287">"0"</f>
        <v>0</v>
      </c>
      <c r="J10018" t="str">
        <f t="shared" si="2279"/>
        <v>00</v>
      </c>
      <c r="K10018">
        <v>20190621</v>
      </c>
      <c r="L10018" t="str">
        <f>"077230"</f>
        <v>077230</v>
      </c>
      <c r="M10018" t="str">
        <f>"25144"</f>
        <v>25144</v>
      </c>
      <c r="N10018" t="s">
        <v>1620</v>
      </c>
      <c r="O10018" s="1">
        <v>1500</v>
      </c>
      <c r="P10018">
        <v>20190619</v>
      </c>
      <c r="Q10018" t="s">
        <v>7888</v>
      </c>
      <c r="R10018" t="s">
        <v>7889</v>
      </c>
      <c r="S10018" t="s">
        <v>7000</v>
      </c>
      <c r="T10018" t="s">
        <v>301</v>
      </c>
    </row>
    <row r="10019" spans="1:20" x14ac:dyDescent="0.25">
      <c r="A10019">
        <v>9</v>
      </c>
      <c r="B10019">
        <v>461</v>
      </c>
      <c r="C10019" t="str">
        <f t="shared" si="2281"/>
        <v>36</v>
      </c>
      <c r="D10019">
        <v>6329</v>
      </c>
      <c r="E10019" t="str">
        <f>"7U"</f>
        <v>7U</v>
      </c>
      <c r="F10019" t="str">
        <f>"104"</f>
        <v>104</v>
      </c>
      <c r="G10019">
        <v>9</v>
      </c>
      <c r="H10019" t="str">
        <f t="shared" si="2286"/>
        <v>99</v>
      </c>
      <c r="I10019" t="str">
        <f t="shared" si="2287"/>
        <v>0</v>
      </c>
      <c r="J10019" t="str">
        <f t="shared" si="2279"/>
        <v>00</v>
      </c>
      <c r="K10019">
        <v>20190621</v>
      </c>
      <c r="L10019" t="str">
        <f>"077233"</f>
        <v>077233</v>
      </c>
      <c r="M10019" t="str">
        <f>"27038"</f>
        <v>27038</v>
      </c>
      <c r="N10019" t="s">
        <v>3552</v>
      </c>
      <c r="O10019">
        <v>114.27</v>
      </c>
      <c r="P10019">
        <v>20190619</v>
      </c>
      <c r="Q10019" t="s">
        <v>7890</v>
      </c>
      <c r="R10019" t="s">
        <v>5519</v>
      </c>
      <c r="S10019" t="s">
        <v>7000</v>
      </c>
      <c r="T10019" t="s">
        <v>46</v>
      </c>
    </row>
    <row r="10020" spans="1:20" x14ac:dyDescent="0.25">
      <c r="A10020">
        <v>9</v>
      </c>
      <c r="B10020">
        <v>461</v>
      </c>
      <c r="C10020" t="str">
        <f t="shared" si="2281"/>
        <v>36</v>
      </c>
      <c r="D10020">
        <v>6399</v>
      </c>
      <c r="E10020" t="str">
        <f>"PR"</f>
        <v>PR</v>
      </c>
      <c r="F10020" t="str">
        <f>"104"</f>
        <v>104</v>
      </c>
      <c r="G10020">
        <v>9</v>
      </c>
      <c r="H10020" t="str">
        <f t="shared" si="2286"/>
        <v>99</v>
      </c>
      <c r="I10020" t="str">
        <f t="shared" si="2287"/>
        <v>0</v>
      </c>
      <c r="J10020" t="str">
        <f t="shared" si="2279"/>
        <v>00</v>
      </c>
      <c r="K10020">
        <v>20190621</v>
      </c>
      <c r="L10020" t="str">
        <f>"077236"</f>
        <v>077236</v>
      </c>
      <c r="M10020" t="str">
        <f>"29090"</f>
        <v>29090</v>
      </c>
      <c r="N10020" t="s">
        <v>7706</v>
      </c>
      <c r="O10020" s="1">
        <v>2300</v>
      </c>
      <c r="P10020">
        <v>20190619</v>
      </c>
      <c r="Q10020" t="s">
        <v>7014</v>
      </c>
      <c r="R10020" t="s">
        <v>7707</v>
      </c>
      <c r="S10020" t="s">
        <v>7000</v>
      </c>
      <c r="T10020" t="s">
        <v>46</v>
      </c>
    </row>
    <row r="10021" spans="1:20" x14ac:dyDescent="0.25">
      <c r="A10021">
        <v>9</v>
      </c>
      <c r="B10021">
        <v>461</v>
      </c>
      <c r="C10021" t="str">
        <f t="shared" si="2281"/>
        <v>36</v>
      </c>
      <c r="D10021">
        <v>6399</v>
      </c>
      <c r="E10021" t="str">
        <f>"PR"</f>
        <v>PR</v>
      </c>
      <c r="F10021" t="str">
        <f>"104"</f>
        <v>104</v>
      </c>
      <c r="G10021">
        <v>9</v>
      </c>
      <c r="H10021" t="str">
        <f t="shared" si="2286"/>
        <v>99</v>
      </c>
      <c r="I10021" t="str">
        <f t="shared" si="2287"/>
        <v>0</v>
      </c>
      <c r="J10021" t="str">
        <f t="shared" si="2279"/>
        <v>00</v>
      </c>
      <c r="K10021">
        <v>20190621</v>
      </c>
      <c r="L10021" t="str">
        <f>"077248"</f>
        <v>077248</v>
      </c>
      <c r="M10021" t="str">
        <f>"40781"</f>
        <v>40781</v>
      </c>
      <c r="N10021" t="s">
        <v>1738</v>
      </c>
      <c r="O10021">
        <v>75.569999999999993</v>
      </c>
      <c r="P10021">
        <v>20190619</v>
      </c>
      <c r="Q10021" t="s">
        <v>7014</v>
      </c>
      <c r="R10021" t="s">
        <v>7891</v>
      </c>
      <c r="S10021" t="s">
        <v>7000</v>
      </c>
      <c r="T10021" t="s">
        <v>46</v>
      </c>
    </row>
    <row r="10022" spans="1:20" x14ac:dyDescent="0.25">
      <c r="A10022">
        <v>9</v>
      </c>
      <c r="B10022">
        <v>461</v>
      </c>
      <c r="C10022" t="str">
        <f t="shared" si="2281"/>
        <v>36</v>
      </c>
      <c r="D10022">
        <v>6399</v>
      </c>
      <c r="E10022" t="str">
        <f>"PR"</f>
        <v>PR</v>
      </c>
      <c r="F10022" t="str">
        <f>"104"</f>
        <v>104</v>
      </c>
      <c r="G10022">
        <v>9</v>
      </c>
      <c r="H10022" t="str">
        <f t="shared" si="2286"/>
        <v>99</v>
      </c>
      <c r="I10022" t="str">
        <f t="shared" si="2287"/>
        <v>0</v>
      </c>
      <c r="J10022" t="str">
        <f t="shared" si="2279"/>
        <v>00</v>
      </c>
      <c r="K10022">
        <v>20190621</v>
      </c>
      <c r="L10022" t="str">
        <f>"077251"</f>
        <v>077251</v>
      </c>
      <c r="M10022" t="str">
        <f>"46850"</f>
        <v>46850</v>
      </c>
      <c r="N10022" t="s">
        <v>4752</v>
      </c>
      <c r="O10022">
        <v>141.44999999999999</v>
      </c>
      <c r="P10022">
        <v>20190619</v>
      </c>
      <c r="Q10022" t="s">
        <v>7014</v>
      </c>
      <c r="R10022" t="s">
        <v>7552</v>
      </c>
      <c r="S10022" t="s">
        <v>7000</v>
      </c>
      <c r="T10022" t="s">
        <v>46</v>
      </c>
    </row>
    <row r="10023" spans="1:20" x14ac:dyDescent="0.25">
      <c r="A10023">
        <v>9</v>
      </c>
      <c r="B10023">
        <v>461</v>
      </c>
      <c r="C10023" t="str">
        <f t="shared" si="2281"/>
        <v>36</v>
      </c>
      <c r="D10023">
        <v>6399</v>
      </c>
      <c r="E10023" t="str">
        <f>"H2"</f>
        <v>H2</v>
      </c>
      <c r="F10023" t="str">
        <f>"001"</f>
        <v>001</v>
      </c>
      <c r="G10023">
        <v>9</v>
      </c>
      <c r="H10023" t="str">
        <f t="shared" si="2286"/>
        <v>99</v>
      </c>
      <c r="I10023" t="str">
        <f t="shared" si="2287"/>
        <v>0</v>
      </c>
      <c r="J10023" t="str">
        <f t="shared" si="2279"/>
        <v>00</v>
      </c>
      <c r="K10023">
        <v>20190621</v>
      </c>
      <c r="L10023" t="str">
        <f>"077252"</f>
        <v>077252</v>
      </c>
      <c r="M10023" t="str">
        <f>"47600"</f>
        <v>47600</v>
      </c>
      <c r="N10023" t="s">
        <v>7818</v>
      </c>
      <c r="O10023" s="1">
        <v>1400</v>
      </c>
      <c r="P10023">
        <v>20190619</v>
      </c>
      <c r="Q10023" t="s">
        <v>7033</v>
      </c>
      <c r="R10023" t="s">
        <v>7892</v>
      </c>
      <c r="S10023" t="s">
        <v>7000</v>
      </c>
      <c r="T10023" t="s">
        <v>301</v>
      </c>
    </row>
    <row r="10024" spans="1:20" x14ac:dyDescent="0.25">
      <c r="A10024">
        <v>9</v>
      </c>
      <c r="B10024">
        <v>461</v>
      </c>
      <c r="C10024" t="str">
        <f t="shared" si="2281"/>
        <v>36</v>
      </c>
      <c r="D10024">
        <v>6399</v>
      </c>
      <c r="E10024" t="str">
        <f>"H2"</f>
        <v>H2</v>
      </c>
      <c r="F10024" t="str">
        <f>"001"</f>
        <v>001</v>
      </c>
      <c r="G10024">
        <v>9</v>
      </c>
      <c r="H10024" t="str">
        <f t="shared" si="2286"/>
        <v>99</v>
      </c>
      <c r="I10024" t="str">
        <f t="shared" si="2287"/>
        <v>0</v>
      </c>
      <c r="J10024" t="str">
        <f t="shared" si="2279"/>
        <v>00</v>
      </c>
      <c r="K10024">
        <v>20190621</v>
      </c>
      <c r="L10024" t="str">
        <f>"077252"</f>
        <v>077252</v>
      </c>
      <c r="M10024" t="str">
        <f>"47600"</f>
        <v>47600</v>
      </c>
      <c r="N10024" t="s">
        <v>7818</v>
      </c>
      <c r="O10024">
        <v>564.9</v>
      </c>
      <c r="P10024">
        <v>20190619</v>
      </c>
      <c r="Q10024" t="s">
        <v>7033</v>
      </c>
      <c r="R10024" t="s">
        <v>7893</v>
      </c>
      <c r="S10024" t="s">
        <v>7000</v>
      </c>
      <c r="T10024" t="s">
        <v>301</v>
      </c>
    </row>
    <row r="10025" spans="1:20" x14ac:dyDescent="0.25">
      <c r="A10025">
        <v>9</v>
      </c>
      <c r="B10025">
        <v>461</v>
      </c>
      <c r="C10025" t="str">
        <f t="shared" si="2281"/>
        <v>36</v>
      </c>
      <c r="D10025">
        <v>6399</v>
      </c>
      <c r="E10025" t="str">
        <f>"61"</f>
        <v>61</v>
      </c>
      <c r="F10025" t="str">
        <f>"101"</f>
        <v>101</v>
      </c>
      <c r="G10025">
        <v>9</v>
      </c>
      <c r="H10025" t="str">
        <f t="shared" si="2286"/>
        <v>99</v>
      </c>
      <c r="I10025" t="str">
        <f t="shared" si="2287"/>
        <v>0</v>
      </c>
      <c r="J10025" t="str">
        <f t="shared" si="2279"/>
        <v>00</v>
      </c>
      <c r="K10025">
        <v>20190621</v>
      </c>
      <c r="L10025" t="str">
        <f>"077253"</f>
        <v>077253</v>
      </c>
      <c r="M10025" t="str">
        <f>"47610"</f>
        <v>47610</v>
      </c>
      <c r="N10025" t="s">
        <v>5535</v>
      </c>
      <c r="O10025" s="1">
        <v>2898.55</v>
      </c>
      <c r="P10025">
        <v>20190619</v>
      </c>
      <c r="Q10025" t="s">
        <v>7007</v>
      </c>
      <c r="R10025" t="s">
        <v>7894</v>
      </c>
      <c r="S10025" t="s">
        <v>7000</v>
      </c>
      <c r="T10025" t="s">
        <v>1479</v>
      </c>
    </row>
    <row r="10026" spans="1:20" x14ac:dyDescent="0.25">
      <c r="A10026">
        <v>9</v>
      </c>
      <c r="B10026">
        <v>461</v>
      </c>
      <c r="C10026" t="str">
        <f t="shared" si="2281"/>
        <v>36</v>
      </c>
      <c r="D10026">
        <v>6399</v>
      </c>
      <c r="E10026" t="str">
        <f>"25"</f>
        <v>25</v>
      </c>
      <c r="F10026" t="str">
        <f t="shared" ref="F10026:F10035" si="2288">"104"</f>
        <v>104</v>
      </c>
      <c r="G10026">
        <v>9</v>
      </c>
      <c r="H10026" t="str">
        <f t="shared" si="2286"/>
        <v>99</v>
      </c>
      <c r="I10026" t="str">
        <f t="shared" si="2287"/>
        <v>0</v>
      </c>
      <c r="J10026" t="str">
        <f t="shared" si="2279"/>
        <v>00</v>
      </c>
      <c r="K10026">
        <v>20190621</v>
      </c>
      <c r="L10026" t="str">
        <f t="shared" ref="L10026:L10033" si="2289">"077263"</f>
        <v>077263</v>
      </c>
      <c r="M10026" t="str">
        <f t="shared" ref="M10026:M10033" si="2290">"58201"</f>
        <v>58201</v>
      </c>
      <c r="N10026" t="s">
        <v>2662</v>
      </c>
      <c r="O10026">
        <v>15.96</v>
      </c>
      <c r="P10026">
        <v>20190619</v>
      </c>
      <c r="Q10026" t="s">
        <v>7356</v>
      </c>
      <c r="R10026" t="s">
        <v>5317</v>
      </c>
      <c r="S10026" t="s">
        <v>7000</v>
      </c>
      <c r="T10026" t="s">
        <v>46</v>
      </c>
    </row>
    <row r="10027" spans="1:20" x14ac:dyDescent="0.25">
      <c r="A10027">
        <v>9</v>
      </c>
      <c r="B10027">
        <v>461</v>
      </c>
      <c r="C10027" t="str">
        <f t="shared" si="2281"/>
        <v>36</v>
      </c>
      <c r="D10027">
        <v>6399</v>
      </c>
      <c r="E10027" t="str">
        <f>"50"</f>
        <v>50</v>
      </c>
      <c r="F10027" t="str">
        <f t="shared" si="2288"/>
        <v>104</v>
      </c>
      <c r="G10027">
        <v>9</v>
      </c>
      <c r="H10027" t="str">
        <f t="shared" si="2286"/>
        <v>99</v>
      </c>
      <c r="I10027" t="str">
        <f t="shared" si="2287"/>
        <v>0</v>
      </c>
      <c r="J10027" t="str">
        <f t="shared" si="2279"/>
        <v>00</v>
      </c>
      <c r="K10027">
        <v>20190621</v>
      </c>
      <c r="L10027" t="str">
        <f t="shared" si="2289"/>
        <v>077263</v>
      </c>
      <c r="M10027" t="str">
        <f t="shared" si="2290"/>
        <v>58201</v>
      </c>
      <c r="N10027" t="s">
        <v>2662</v>
      </c>
      <c r="O10027">
        <v>9.92</v>
      </c>
      <c r="P10027">
        <v>20190619</v>
      </c>
      <c r="Q10027" t="s">
        <v>7173</v>
      </c>
      <c r="R10027" t="s">
        <v>7895</v>
      </c>
      <c r="S10027" t="s">
        <v>7000</v>
      </c>
      <c r="T10027" t="s">
        <v>46</v>
      </c>
    </row>
    <row r="10028" spans="1:20" x14ac:dyDescent="0.25">
      <c r="A10028">
        <v>9</v>
      </c>
      <c r="B10028">
        <v>461</v>
      </c>
      <c r="C10028" t="str">
        <f t="shared" si="2281"/>
        <v>36</v>
      </c>
      <c r="D10028">
        <v>6399</v>
      </c>
      <c r="E10028" t="str">
        <f>"7U"</f>
        <v>7U</v>
      </c>
      <c r="F10028" t="str">
        <f t="shared" si="2288"/>
        <v>104</v>
      </c>
      <c r="G10028">
        <v>9</v>
      </c>
      <c r="H10028" t="str">
        <f t="shared" si="2286"/>
        <v>99</v>
      </c>
      <c r="I10028" t="str">
        <f t="shared" si="2287"/>
        <v>0</v>
      </c>
      <c r="J10028" t="str">
        <f t="shared" si="2279"/>
        <v>00</v>
      </c>
      <c r="K10028">
        <v>20190621</v>
      </c>
      <c r="L10028" t="str">
        <f t="shared" si="2289"/>
        <v>077263</v>
      </c>
      <c r="M10028" t="str">
        <f t="shared" si="2290"/>
        <v>58201</v>
      </c>
      <c r="N10028" t="s">
        <v>2662</v>
      </c>
      <c r="O10028">
        <v>26.77</v>
      </c>
      <c r="P10028">
        <v>20190619</v>
      </c>
      <c r="Q10028" t="s">
        <v>7193</v>
      </c>
      <c r="R10028" t="s">
        <v>1945</v>
      </c>
      <c r="S10028" t="s">
        <v>7000</v>
      </c>
      <c r="T10028" t="s">
        <v>46</v>
      </c>
    </row>
    <row r="10029" spans="1:20" x14ac:dyDescent="0.25">
      <c r="A10029">
        <v>9</v>
      </c>
      <c r="B10029">
        <v>461</v>
      </c>
      <c r="C10029" t="str">
        <f t="shared" si="2281"/>
        <v>36</v>
      </c>
      <c r="D10029">
        <v>6399</v>
      </c>
      <c r="E10029" t="str">
        <f t="shared" ref="E10029:E10035" si="2291">"PR"</f>
        <v>PR</v>
      </c>
      <c r="F10029" t="str">
        <f t="shared" si="2288"/>
        <v>104</v>
      </c>
      <c r="G10029">
        <v>9</v>
      </c>
      <c r="H10029" t="str">
        <f t="shared" si="2286"/>
        <v>99</v>
      </c>
      <c r="I10029" t="str">
        <f t="shared" si="2287"/>
        <v>0</v>
      </c>
      <c r="J10029" t="str">
        <f t="shared" si="2279"/>
        <v>00</v>
      </c>
      <c r="K10029">
        <v>20190621</v>
      </c>
      <c r="L10029" t="str">
        <f t="shared" si="2289"/>
        <v>077263</v>
      </c>
      <c r="M10029" t="str">
        <f t="shared" si="2290"/>
        <v>58201</v>
      </c>
      <c r="N10029" t="s">
        <v>2662</v>
      </c>
      <c r="O10029">
        <v>67.67</v>
      </c>
      <c r="P10029">
        <v>20190619</v>
      </c>
      <c r="Q10029" t="s">
        <v>7014</v>
      </c>
      <c r="R10029" t="s">
        <v>7896</v>
      </c>
      <c r="S10029" t="s">
        <v>7000</v>
      </c>
      <c r="T10029" t="s">
        <v>46</v>
      </c>
    </row>
    <row r="10030" spans="1:20" x14ac:dyDescent="0.25">
      <c r="A10030">
        <v>9</v>
      </c>
      <c r="B10030">
        <v>461</v>
      </c>
      <c r="C10030" t="str">
        <f t="shared" si="2281"/>
        <v>36</v>
      </c>
      <c r="D10030">
        <v>6399</v>
      </c>
      <c r="E10030" t="str">
        <f t="shared" si="2291"/>
        <v>PR</v>
      </c>
      <c r="F10030" t="str">
        <f t="shared" si="2288"/>
        <v>104</v>
      </c>
      <c r="G10030">
        <v>9</v>
      </c>
      <c r="H10030" t="str">
        <f t="shared" si="2286"/>
        <v>99</v>
      </c>
      <c r="I10030" t="str">
        <f t="shared" si="2287"/>
        <v>0</v>
      </c>
      <c r="J10030" t="str">
        <f t="shared" si="2279"/>
        <v>00</v>
      </c>
      <c r="K10030">
        <v>20190621</v>
      </c>
      <c r="L10030" t="str">
        <f t="shared" si="2289"/>
        <v>077263</v>
      </c>
      <c r="M10030" t="str">
        <f t="shared" si="2290"/>
        <v>58201</v>
      </c>
      <c r="N10030" t="s">
        <v>2662</v>
      </c>
      <c r="O10030">
        <v>43.95</v>
      </c>
      <c r="P10030">
        <v>20190619</v>
      </c>
      <c r="Q10030" t="s">
        <v>7014</v>
      </c>
      <c r="R10030" t="s">
        <v>7897</v>
      </c>
      <c r="S10030" t="s">
        <v>7000</v>
      </c>
      <c r="T10030" t="s">
        <v>46</v>
      </c>
    </row>
    <row r="10031" spans="1:20" x14ac:dyDescent="0.25">
      <c r="A10031">
        <v>9</v>
      </c>
      <c r="B10031">
        <v>461</v>
      </c>
      <c r="C10031" t="str">
        <f t="shared" si="2281"/>
        <v>36</v>
      </c>
      <c r="D10031">
        <v>6399</v>
      </c>
      <c r="E10031" t="str">
        <f t="shared" si="2291"/>
        <v>PR</v>
      </c>
      <c r="F10031" t="str">
        <f t="shared" si="2288"/>
        <v>104</v>
      </c>
      <c r="G10031">
        <v>9</v>
      </c>
      <c r="H10031" t="str">
        <f t="shared" si="2286"/>
        <v>99</v>
      </c>
      <c r="I10031" t="str">
        <f t="shared" si="2287"/>
        <v>0</v>
      </c>
      <c r="J10031" t="str">
        <f t="shared" si="2279"/>
        <v>00</v>
      </c>
      <c r="K10031">
        <v>20190621</v>
      </c>
      <c r="L10031" t="str">
        <f t="shared" si="2289"/>
        <v>077263</v>
      </c>
      <c r="M10031" t="str">
        <f t="shared" si="2290"/>
        <v>58201</v>
      </c>
      <c r="N10031" t="s">
        <v>2662</v>
      </c>
      <c r="O10031">
        <v>45</v>
      </c>
      <c r="P10031">
        <v>20190619</v>
      </c>
      <c r="Q10031" t="s">
        <v>7014</v>
      </c>
      <c r="R10031" t="s">
        <v>7898</v>
      </c>
      <c r="S10031" t="s">
        <v>7000</v>
      </c>
      <c r="T10031" t="s">
        <v>46</v>
      </c>
    </row>
    <row r="10032" spans="1:20" x14ac:dyDescent="0.25">
      <c r="A10032">
        <v>9</v>
      </c>
      <c r="B10032">
        <v>461</v>
      </c>
      <c r="C10032" t="str">
        <f t="shared" si="2281"/>
        <v>36</v>
      </c>
      <c r="D10032">
        <v>6399</v>
      </c>
      <c r="E10032" t="str">
        <f t="shared" si="2291"/>
        <v>PR</v>
      </c>
      <c r="F10032" t="str">
        <f t="shared" si="2288"/>
        <v>104</v>
      </c>
      <c r="G10032">
        <v>9</v>
      </c>
      <c r="H10032" t="str">
        <f t="shared" si="2286"/>
        <v>99</v>
      </c>
      <c r="I10032" t="str">
        <f t="shared" si="2287"/>
        <v>0</v>
      </c>
      <c r="J10032" t="str">
        <f t="shared" si="2279"/>
        <v>00</v>
      </c>
      <c r="K10032">
        <v>20190621</v>
      </c>
      <c r="L10032" t="str">
        <f t="shared" si="2289"/>
        <v>077263</v>
      </c>
      <c r="M10032" t="str">
        <f t="shared" si="2290"/>
        <v>58201</v>
      </c>
      <c r="N10032" t="s">
        <v>2662</v>
      </c>
      <c r="O10032">
        <v>6</v>
      </c>
      <c r="P10032">
        <v>20190619</v>
      </c>
      <c r="Q10032" t="s">
        <v>7014</v>
      </c>
      <c r="R10032" t="s">
        <v>7899</v>
      </c>
      <c r="S10032" t="s">
        <v>7000</v>
      </c>
      <c r="T10032" t="s">
        <v>46</v>
      </c>
    </row>
    <row r="10033" spans="1:20" x14ac:dyDescent="0.25">
      <c r="A10033">
        <v>9</v>
      </c>
      <c r="B10033">
        <v>461</v>
      </c>
      <c r="C10033" t="str">
        <f t="shared" si="2281"/>
        <v>36</v>
      </c>
      <c r="D10033">
        <v>6399</v>
      </c>
      <c r="E10033" t="str">
        <f t="shared" si="2291"/>
        <v>PR</v>
      </c>
      <c r="F10033" t="str">
        <f t="shared" si="2288"/>
        <v>104</v>
      </c>
      <c r="G10033">
        <v>9</v>
      </c>
      <c r="H10033" t="str">
        <f t="shared" si="2286"/>
        <v>99</v>
      </c>
      <c r="I10033" t="str">
        <f t="shared" si="2287"/>
        <v>0</v>
      </c>
      <c r="J10033" t="str">
        <f t="shared" si="2279"/>
        <v>00</v>
      </c>
      <c r="K10033">
        <v>20190621</v>
      </c>
      <c r="L10033" t="str">
        <f t="shared" si="2289"/>
        <v>077263</v>
      </c>
      <c r="M10033" t="str">
        <f t="shared" si="2290"/>
        <v>58201</v>
      </c>
      <c r="N10033" t="s">
        <v>2662</v>
      </c>
      <c r="O10033">
        <v>72.12</v>
      </c>
      <c r="P10033">
        <v>20190619</v>
      </c>
      <c r="Q10033" t="s">
        <v>7014</v>
      </c>
      <c r="R10033" t="s">
        <v>7900</v>
      </c>
      <c r="S10033" t="s">
        <v>7000</v>
      </c>
      <c r="T10033" t="s">
        <v>46</v>
      </c>
    </row>
    <row r="10034" spans="1:20" x14ac:dyDescent="0.25">
      <c r="A10034">
        <v>9</v>
      </c>
      <c r="B10034">
        <v>461</v>
      </c>
      <c r="C10034" t="str">
        <f t="shared" si="2281"/>
        <v>36</v>
      </c>
      <c r="D10034">
        <v>6399</v>
      </c>
      <c r="E10034" t="str">
        <f t="shared" si="2291"/>
        <v>PR</v>
      </c>
      <c r="F10034" t="str">
        <f t="shared" si="2288"/>
        <v>104</v>
      </c>
      <c r="G10034">
        <v>9</v>
      </c>
      <c r="H10034" t="str">
        <f t="shared" si="2286"/>
        <v>99</v>
      </c>
      <c r="I10034" t="str">
        <f t="shared" si="2287"/>
        <v>0</v>
      </c>
      <c r="J10034" t="str">
        <f t="shared" si="2279"/>
        <v>00</v>
      </c>
      <c r="K10034">
        <v>20190621</v>
      </c>
      <c r="L10034" t="str">
        <f>"077266"</f>
        <v>077266</v>
      </c>
      <c r="M10034" t="str">
        <f>"60603"</f>
        <v>60603</v>
      </c>
      <c r="N10034" t="s">
        <v>1909</v>
      </c>
      <c r="O10034">
        <v>215.28</v>
      </c>
      <c r="P10034">
        <v>20190619</v>
      </c>
      <c r="Q10034" t="s">
        <v>7014</v>
      </c>
      <c r="R10034" t="s">
        <v>641</v>
      </c>
      <c r="S10034" t="s">
        <v>7000</v>
      </c>
      <c r="T10034" t="s">
        <v>46</v>
      </c>
    </row>
    <row r="10035" spans="1:20" x14ac:dyDescent="0.25">
      <c r="A10035">
        <v>9</v>
      </c>
      <c r="B10035">
        <v>461</v>
      </c>
      <c r="C10035" t="str">
        <f t="shared" si="2281"/>
        <v>36</v>
      </c>
      <c r="D10035">
        <v>6399</v>
      </c>
      <c r="E10035" t="str">
        <f t="shared" si="2291"/>
        <v>PR</v>
      </c>
      <c r="F10035" t="str">
        <f t="shared" si="2288"/>
        <v>104</v>
      </c>
      <c r="G10035">
        <v>9</v>
      </c>
      <c r="H10035" t="str">
        <f t="shared" si="2286"/>
        <v>99</v>
      </c>
      <c r="I10035" t="str">
        <f t="shared" si="2287"/>
        <v>0</v>
      </c>
      <c r="J10035" t="str">
        <f t="shared" si="2279"/>
        <v>00</v>
      </c>
      <c r="K10035">
        <v>20190621</v>
      </c>
      <c r="L10035" t="str">
        <f>"077266"</f>
        <v>077266</v>
      </c>
      <c r="M10035" t="str">
        <f>"60603"</f>
        <v>60603</v>
      </c>
      <c r="N10035" t="s">
        <v>1909</v>
      </c>
      <c r="O10035">
        <v>16.989999999999998</v>
      </c>
      <c r="P10035">
        <v>20190619</v>
      </c>
      <c r="Q10035" t="s">
        <v>7014</v>
      </c>
      <c r="R10035" t="s">
        <v>7901</v>
      </c>
      <c r="S10035" t="s">
        <v>7000</v>
      </c>
      <c r="T10035" t="s">
        <v>46</v>
      </c>
    </row>
    <row r="10036" spans="1:20" x14ac:dyDescent="0.25">
      <c r="A10036">
        <v>9</v>
      </c>
      <c r="B10036">
        <v>461</v>
      </c>
      <c r="C10036" t="str">
        <f t="shared" si="2281"/>
        <v>36</v>
      </c>
      <c r="D10036">
        <v>6399</v>
      </c>
      <c r="E10036" t="str">
        <f>"00"</f>
        <v>00</v>
      </c>
      <c r="F10036" t="str">
        <f>"942"</f>
        <v>942</v>
      </c>
      <c r="G10036">
        <v>9</v>
      </c>
      <c r="H10036" t="str">
        <f t="shared" si="2286"/>
        <v>99</v>
      </c>
      <c r="I10036" t="str">
        <f t="shared" si="2287"/>
        <v>0</v>
      </c>
      <c r="J10036" t="str">
        <f>"88"</f>
        <v>88</v>
      </c>
      <c r="K10036">
        <v>20190621</v>
      </c>
      <c r="L10036" t="str">
        <f t="shared" ref="L10036:L10046" si="2292">"077272"</f>
        <v>077272</v>
      </c>
      <c r="M10036" t="str">
        <f t="shared" ref="M10036:M10046" si="2293">"65106"</f>
        <v>65106</v>
      </c>
      <c r="N10036" t="s">
        <v>1175</v>
      </c>
      <c r="O10036">
        <v>218.45</v>
      </c>
      <c r="P10036">
        <v>20190619</v>
      </c>
      <c r="Q10036" t="s">
        <v>7018</v>
      </c>
      <c r="R10036" t="s">
        <v>7902</v>
      </c>
      <c r="S10036" t="s">
        <v>7000</v>
      </c>
      <c r="T10036" t="s">
        <v>1831</v>
      </c>
    </row>
    <row r="10037" spans="1:20" x14ac:dyDescent="0.25">
      <c r="A10037">
        <v>9</v>
      </c>
      <c r="B10037">
        <v>461</v>
      </c>
      <c r="C10037" t="str">
        <f t="shared" si="2281"/>
        <v>36</v>
      </c>
      <c r="D10037">
        <v>6399</v>
      </c>
      <c r="E10037" t="str">
        <f>"3Y"</f>
        <v>3Y</v>
      </c>
      <c r="F10037" t="str">
        <f>"041"</f>
        <v>041</v>
      </c>
      <c r="G10037">
        <v>9</v>
      </c>
      <c r="H10037" t="str">
        <f>"91"</f>
        <v>91</v>
      </c>
      <c r="I10037" t="str">
        <f t="shared" si="2287"/>
        <v>0</v>
      </c>
      <c r="J10037" t="str">
        <f t="shared" ref="J10037:J10100" si="2294">"00"</f>
        <v>00</v>
      </c>
      <c r="K10037">
        <v>20190621</v>
      </c>
      <c r="L10037" t="str">
        <f t="shared" si="2292"/>
        <v>077272</v>
      </c>
      <c r="M10037" t="str">
        <f t="shared" si="2293"/>
        <v>65106</v>
      </c>
      <c r="N10037" t="s">
        <v>1175</v>
      </c>
      <c r="O10037">
        <v>357.6</v>
      </c>
      <c r="P10037">
        <v>20190619</v>
      </c>
      <c r="Q10037" t="s">
        <v>7027</v>
      </c>
      <c r="R10037" t="s">
        <v>7746</v>
      </c>
      <c r="S10037" t="s">
        <v>7000</v>
      </c>
      <c r="T10037" t="s">
        <v>106</v>
      </c>
    </row>
    <row r="10038" spans="1:20" x14ac:dyDescent="0.25">
      <c r="A10038">
        <v>9</v>
      </c>
      <c r="B10038">
        <v>461</v>
      </c>
      <c r="C10038" t="str">
        <f t="shared" si="2281"/>
        <v>36</v>
      </c>
      <c r="D10038">
        <v>6399</v>
      </c>
      <c r="E10038" t="str">
        <f>"8M"</f>
        <v>8M</v>
      </c>
      <c r="F10038" t="str">
        <f>"001"</f>
        <v>001</v>
      </c>
      <c r="G10038">
        <v>9</v>
      </c>
      <c r="H10038" t="str">
        <f>"99"</f>
        <v>99</v>
      </c>
      <c r="I10038" t="str">
        <f t="shared" si="2287"/>
        <v>0</v>
      </c>
      <c r="J10038" t="str">
        <f t="shared" si="2294"/>
        <v>00</v>
      </c>
      <c r="K10038">
        <v>20190621</v>
      </c>
      <c r="L10038" t="str">
        <f t="shared" si="2292"/>
        <v>077272</v>
      </c>
      <c r="M10038" t="str">
        <f t="shared" si="2293"/>
        <v>65106</v>
      </c>
      <c r="N10038" t="s">
        <v>1175</v>
      </c>
      <c r="O10038">
        <v>291.94</v>
      </c>
      <c r="P10038">
        <v>20190619</v>
      </c>
      <c r="Q10038" t="s">
        <v>7138</v>
      </c>
      <c r="R10038" t="s">
        <v>7903</v>
      </c>
      <c r="S10038" t="s">
        <v>7000</v>
      </c>
      <c r="T10038" t="s">
        <v>301</v>
      </c>
    </row>
    <row r="10039" spans="1:20" x14ac:dyDescent="0.25">
      <c r="A10039">
        <v>9</v>
      </c>
      <c r="B10039">
        <v>461</v>
      </c>
      <c r="C10039" t="str">
        <f t="shared" si="2281"/>
        <v>36</v>
      </c>
      <c r="D10039">
        <v>6399</v>
      </c>
      <c r="E10039" t="str">
        <f>"CS"</f>
        <v>CS</v>
      </c>
      <c r="F10039" t="str">
        <f>"001"</f>
        <v>001</v>
      </c>
      <c r="G10039">
        <v>9</v>
      </c>
      <c r="H10039" t="str">
        <f>"91"</f>
        <v>91</v>
      </c>
      <c r="I10039" t="str">
        <f t="shared" si="2287"/>
        <v>0</v>
      </c>
      <c r="J10039" t="str">
        <f t="shared" si="2294"/>
        <v>00</v>
      </c>
      <c r="K10039">
        <v>20190621</v>
      </c>
      <c r="L10039" t="str">
        <f t="shared" si="2292"/>
        <v>077272</v>
      </c>
      <c r="M10039" t="str">
        <f t="shared" si="2293"/>
        <v>65106</v>
      </c>
      <c r="N10039" t="s">
        <v>1175</v>
      </c>
      <c r="O10039">
        <v>305.31</v>
      </c>
      <c r="P10039">
        <v>20190619</v>
      </c>
      <c r="Q10039" t="s">
        <v>6998</v>
      </c>
      <c r="R10039" t="s">
        <v>6999</v>
      </c>
      <c r="S10039" t="s">
        <v>7000</v>
      </c>
      <c r="T10039" t="s">
        <v>301</v>
      </c>
    </row>
    <row r="10040" spans="1:20" x14ac:dyDescent="0.25">
      <c r="A10040">
        <v>9</v>
      </c>
      <c r="B10040">
        <v>461</v>
      </c>
      <c r="C10040" t="str">
        <f t="shared" si="2281"/>
        <v>36</v>
      </c>
      <c r="D10040">
        <v>6399</v>
      </c>
      <c r="E10040" t="str">
        <f>"CS"</f>
        <v>CS</v>
      </c>
      <c r="F10040" t="str">
        <f>"001"</f>
        <v>001</v>
      </c>
      <c r="G10040">
        <v>9</v>
      </c>
      <c r="H10040" t="str">
        <f>"91"</f>
        <v>91</v>
      </c>
      <c r="I10040" t="str">
        <f t="shared" si="2287"/>
        <v>0</v>
      </c>
      <c r="J10040" t="str">
        <f t="shared" si="2294"/>
        <v>00</v>
      </c>
      <c r="K10040">
        <v>20190621</v>
      </c>
      <c r="L10040" t="str">
        <f t="shared" si="2292"/>
        <v>077272</v>
      </c>
      <c r="M10040" t="str">
        <f t="shared" si="2293"/>
        <v>65106</v>
      </c>
      <c r="N10040" t="s">
        <v>1175</v>
      </c>
      <c r="O10040">
        <v>136.04</v>
      </c>
      <c r="P10040">
        <v>20190619</v>
      </c>
      <c r="Q10040" t="s">
        <v>6998</v>
      </c>
      <c r="R10040" t="s">
        <v>6999</v>
      </c>
      <c r="S10040" t="s">
        <v>7000</v>
      </c>
      <c r="T10040" t="s">
        <v>301</v>
      </c>
    </row>
    <row r="10041" spans="1:20" x14ac:dyDescent="0.25">
      <c r="A10041">
        <v>9</v>
      </c>
      <c r="B10041">
        <v>461</v>
      </c>
      <c r="C10041" t="str">
        <f t="shared" si="2281"/>
        <v>36</v>
      </c>
      <c r="D10041">
        <v>6399</v>
      </c>
      <c r="E10041" t="str">
        <f>"CS"</f>
        <v>CS</v>
      </c>
      <c r="F10041" t="str">
        <f>"001"</f>
        <v>001</v>
      </c>
      <c r="G10041">
        <v>9</v>
      </c>
      <c r="H10041" t="str">
        <f>"91"</f>
        <v>91</v>
      </c>
      <c r="I10041" t="str">
        <f t="shared" si="2287"/>
        <v>0</v>
      </c>
      <c r="J10041" t="str">
        <f t="shared" si="2294"/>
        <v>00</v>
      </c>
      <c r="K10041">
        <v>20190621</v>
      </c>
      <c r="L10041" t="str">
        <f t="shared" si="2292"/>
        <v>077272</v>
      </c>
      <c r="M10041" t="str">
        <f t="shared" si="2293"/>
        <v>65106</v>
      </c>
      <c r="N10041" t="s">
        <v>1175</v>
      </c>
      <c r="O10041">
        <v>331.12</v>
      </c>
      <c r="P10041">
        <v>20190619</v>
      </c>
      <c r="Q10041" t="s">
        <v>6998</v>
      </c>
      <c r="R10041" t="s">
        <v>6999</v>
      </c>
      <c r="S10041" t="s">
        <v>7000</v>
      </c>
      <c r="T10041" t="s">
        <v>301</v>
      </c>
    </row>
    <row r="10042" spans="1:20" x14ac:dyDescent="0.25">
      <c r="A10042">
        <v>9</v>
      </c>
      <c r="B10042">
        <v>461</v>
      </c>
      <c r="C10042" t="str">
        <f t="shared" si="2281"/>
        <v>36</v>
      </c>
      <c r="D10042">
        <v>6399</v>
      </c>
      <c r="E10042" t="str">
        <f>"PR"</f>
        <v>PR</v>
      </c>
      <c r="F10042" t="str">
        <f>"104"</f>
        <v>104</v>
      </c>
      <c r="G10042">
        <v>9</v>
      </c>
      <c r="H10042" t="str">
        <f t="shared" ref="H10042:H10052" si="2295">"99"</f>
        <v>99</v>
      </c>
      <c r="I10042" t="str">
        <f t="shared" si="2287"/>
        <v>0</v>
      </c>
      <c r="J10042" t="str">
        <f t="shared" si="2294"/>
        <v>00</v>
      </c>
      <c r="K10042">
        <v>20190621</v>
      </c>
      <c r="L10042" t="str">
        <f t="shared" si="2292"/>
        <v>077272</v>
      </c>
      <c r="M10042" t="str">
        <f t="shared" si="2293"/>
        <v>65106</v>
      </c>
      <c r="N10042" t="s">
        <v>1175</v>
      </c>
      <c r="O10042">
        <v>79.959999999999994</v>
      </c>
      <c r="P10042">
        <v>20190619</v>
      </c>
      <c r="Q10042" t="s">
        <v>7014</v>
      </c>
      <c r="R10042" t="s">
        <v>7904</v>
      </c>
      <c r="S10042" t="s">
        <v>7000</v>
      </c>
      <c r="T10042" t="s">
        <v>46</v>
      </c>
    </row>
    <row r="10043" spans="1:20" x14ac:dyDescent="0.25">
      <c r="A10043">
        <v>9</v>
      </c>
      <c r="B10043">
        <v>461</v>
      </c>
      <c r="C10043" t="str">
        <f t="shared" si="2281"/>
        <v>36</v>
      </c>
      <c r="D10043">
        <v>6399</v>
      </c>
      <c r="E10043" t="str">
        <f>"PR"</f>
        <v>PR</v>
      </c>
      <c r="F10043" t="str">
        <f>"104"</f>
        <v>104</v>
      </c>
      <c r="G10043">
        <v>9</v>
      </c>
      <c r="H10043" t="str">
        <f t="shared" si="2295"/>
        <v>99</v>
      </c>
      <c r="I10043" t="str">
        <f t="shared" si="2287"/>
        <v>0</v>
      </c>
      <c r="J10043" t="str">
        <f t="shared" si="2294"/>
        <v>00</v>
      </c>
      <c r="K10043">
        <v>20190621</v>
      </c>
      <c r="L10043" t="str">
        <f t="shared" si="2292"/>
        <v>077272</v>
      </c>
      <c r="M10043" t="str">
        <f t="shared" si="2293"/>
        <v>65106</v>
      </c>
      <c r="N10043" t="s">
        <v>1175</v>
      </c>
      <c r="O10043">
        <v>427.07</v>
      </c>
      <c r="P10043">
        <v>20190619</v>
      </c>
      <c r="Q10043" t="s">
        <v>7014</v>
      </c>
      <c r="R10043" t="s">
        <v>7905</v>
      </c>
      <c r="S10043" t="s">
        <v>7000</v>
      </c>
      <c r="T10043" t="s">
        <v>46</v>
      </c>
    </row>
    <row r="10044" spans="1:20" x14ac:dyDescent="0.25">
      <c r="A10044">
        <v>9</v>
      </c>
      <c r="B10044">
        <v>461</v>
      </c>
      <c r="C10044" t="str">
        <f t="shared" si="2281"/>
        <v>36</v>
      </c>
      <c r="D10044">
        <v>6499</v>
      </c>
      <c r="E10044" t="str">
        <f>"GN"</f>
        <v>GN</v>
      </c>
      <c r="F10044" t="str">
        <f>"001"</f>
        <v>001</v>
      </c>
      <c r="G10044">
        <v>9</v>
      </c>
      <c r="H10044" t="str">
        <f t="shared" si="2295"/>
        <v>99</v>
      </c>
      <c r="I10044" t="str">
        <f t="shared" si="2287"/>
        <v>0</v>
      </c>
      <c r="J10044" t="str">
        <f t="shared" si="2294"/>
        <v>00</v>
      </c>
      <c r="K10044">
        <v>20190621</v>
      </c>
      <c r="L10044" t="str">
        <f t="shared" si="2292"/>
        <v>077272</v>
      </c>
      <c r="M10044" t="str">
        <f t="shared" si="2293"/>
        <v>65106</v>
      </c>
      <c r="N10044" t="s">
        <v>1175</v>
      </c>
      <c r="O10044">
        <v>413.14</v>
      </c>
      <c r="P10044">
        <v>20190619</v>
      </c>
      <c r="Q10044" t="s">
        <v>7696</v>
      </c>
      <c r="R10044" t="s">
        <v>7555</v>
      </c>
      <c r="S10044" t="s">
        <v>7000</v>
      </c>
      <c r="T10044" t="s">
        <v>301</v>
      </c>
    </row>
    <row r="10045" spans="1:20" x14ac:dyDescent="0.25">
      <c r="A10045">
        <v>9</v>
      </c>
      <c r="B10045">
        <v>461</v>
      </c>
      <c r="C10045" t="str">
        <f t="shared" si="2281"/>
        <v>36</v>
      </c>
      <c r="D10045">
        <v>6499</v>
      </c>
      <c r="E10045" t="str">
        <f>"GN"</f>
        <v>GN</v>
      </c>
      <c r="F10045" t="str">
        <f>"001"</f>
        <v>001</v>
      </c>
      <c r="G10045">
        <v>9</v>
      </c>
      <c r="H10045" t="str">
        <f t="shared" si="2295"/>
        <v>99</v>
      </c>
      <c r="I10045" t="str">
        <f t="shared" si="2287"/>
        <v>0</v>
      </c>
      <c r="J10045" t="str">
        <f t="shared" si="2294"/>
        <v>00</v>
      </c>
      <c r="K10045">
        <v>20190621</v>
      </c>
      <c r="L10045" t="str">
        <f t="shared" si="2292"/>
        <v>077272</v>
      </c>
      <c r="M10045" t="str">
        <f t="shared" si="2293"/>
        <v>65106</v>
      </c>
      <c r="N10045" t="s">
        <v>1175</v>
      </c>
      <c r="O10045">
        <v>275.16000000000003</v>
      </c>
      <c r="P10045">
        <v>20190619</v>
      </c>
      <c r="Q10045" t="s">
        <v>7696</v>
      </c>
      <c r="R10045" t="s">
        <v>7555</v>
      </c>
      <c r="S10045" t="s">
        <v>7000</v>
      </c>
      <c r="T10045" t="s">
        <v>301</v>
      </c>
    </row>
    <row r="10046" spans="1:20" x14ac:dyDescent="0.25">
      <c r="A10046">
        <v>9</v>
      </c>
      <c r="B10046">
        <v>461</v>
      </c>
      <c r="C10046" t="str">
        <f t="shared" si="2281"/>
        <v>36</v>
      </c>
      <c r="D10046">
        <v>6499</v>
      </c>
      <c r="E10046" t="str">
        <f>"GN"</f>
        <v>GN</v>
      </c>
      <c r="F10046" t="str">
        <f>"001"</f>
        <v>001</v>
      </c>
      <c r="G10046">
        <v>9</v>
      </c>
      <c r="H10046" t="str">
        <f t="shared" si="2295"/>
        <v>99</v>
      </c>
      <c r="I10046" t="str">
        <f t="shared" si="2287"/>
        <v>0</v>
      </c>
      <c r="J10046" t="str">
        <f t="shared" si="2294"/>
        <v>00</v>
      </c>
      <c r="K10046">
        <v>20190621</v>
      </c>
      <c r="L10046" t="str">
        <f t="shared" si="2292"/>
        <v>077272</v>
      </c>
      <c r="M10046" t="str">
        <f t="shared" si="2293"/>
        <v>65106</v>
      </c>
      <c r="N10046" t="s">
        <v>1175</v>
      </c>
      <c r="O10046">
        <v>152.78</v>
      </c>
      <c r="P10046">
        <v>20190619</v>
      </c>
      <c r="Q10046" t="s">
        <v>7696</v>
      </c>
      <c r="R10046" t="s">
        <v>7555</v>
      </c>
      <c r="S10046" t="s">
        <v>7000</v>
      </c>
      <c r="T10046" t="s">
        <v>301</v>
      </c>
    </row>
    <row r="10047" spans="1:20" x14ac:dyDescent="0.25">
      <c r="A10047">
        <v>9</v>
      </c>
      <c r="B10047">
        <v>461</v>
      </c>
      <c r="C10047" t="str">
        <f t="shared" si="2281"/>
        <v>36</v>
      </c>
      <c r="D10047">
        <v>6495</v>
      </c>
      <c r="E10047" t="str">
        <f>"7K"</f>
        <v>7K</v>
      </c>
      <c r="F10047" t="str">
        <f>"001"</f>
        <v>001</v>
      </c>
      <c r="G10047">
        <v>9</v>
      </c>
      <c r="H10047" t="str">
        <f t="shared" si="2295"/>
        <v>99</v>
      </c>
      <c r="I10047" t="str">
        <f t="shared" si="2287"/>
        <v>0</v>
      </c>
      <c r="J10047" t="str">
        <f t="shared" si="2294"/>
        <v>00</v>
      </c>
      <c r="K10047">
        <v>20190621</v>
      </c>
      <c r="L10047" t="str">
        <f>"077273"</f>
        <v>077273</v>
      </c>
      <c r="M10047" t="str">
        <f>"64955"</f>
        <v>64955</v>
      </c>
      <c r="N10047" t="s">
        <v>3451</v>
      </c>
      <c r="O10047" s="1">
        <v>3715</v>
      </c>
      <c r="P10047">
        <v>20190619</v>
      </c>
      <c r="Q10047" t="s">
        <v>7016</v>
      </c>
      <c r="R10047" t="s">
        <v>5556</v>
      </c>
      <c r="S10047" t="s">
        <v>7000</v>
      </c>
      <c r="T10047" t="s">
        <v>301</v>
      </c>
    </row>
    <row r="10048" spans="1:20" x14ac:dyDescent="0.25">
      <c r="A10048">
        <v>9</v>
      </c>
      <c r="B10048">
        <v>461</v>
      </c>
      <c r="C10048" t="str">
        <f t="shared" si="2281"/>
        <v>36</v>
      </c>
      <c r="D10048">
        <v>6399</v>
      </c>
      <c r="E10048" t="str">
        <f>"61"</f>
        <v>61</v>
      </c>
      <c r="F10048" t="str">
        <f>"101"</f>
        <v>101</v>
      </c>
      <c r="G10048">
        <v>9</v>
      </c>
      <c r="H10048" t="str">
        <f t="shared" si="2295"/>
        <v>99</v>
      </c>
      <c r="I10048" t="str">
        <f t="shared" si="2287"/>
        <v>0</v>
      </c>
      <c r="J10048" t="str">
        <f t="shared" si="2294"/>
        <v>00</v>
      </c>
      <c r="K10048">
        <v>20190621</v>
      </c>
      <c r="L10048" t="str">
        <f>"077280"</f>
        <v>077280</v>
      </c>
      <c r="M10048" t="str">
        <f>"72730"</f>
        <v>72730</v>
      </c>
      <c r="N10048" t="s">
        <v>639</v>
      </c>
      <c r="O10048">
        <v>196.72</v>
      </c>
      <c r="P10048">
        <v>20190619</v>
      </c>
      <c r="Q10048" t="s">
        <v>7007</v>
      </c>
      <c r="R10048" t="s">
        <v>7906</v>
      </c>
      <c r="S10048" t="s">
        <v>7000</v>
      </c>
      <c r="T10048" t="s">
        <v>1479</v>
      </c>
    </row>
    <row r="10049" spans="1:20" x14ac:dyDescent="0.25">
      <c r="A10049">
        <v>9</v>
      </c>
      <c r="B10049">
        <v>461</v>
      </c>
      <c r="C10049" t="str">
        <f t="shared" si="2281"/>
        <v>36</v>
      </c>
      <c r="D10049">
        <v>6399</v>
      </c>
      <c r="E10049" t="str">
        <f>"PR"</f>
        <v>PR</v>
      </c>
      <c r="F10049" t="str">
        <f>"104"</f>
        <v>104</v>
      </c>
      <c r="G10049">
        <v>9</v>
      </c>
      <c r="H10049" t="str">
        <f t="shared" si="2295"/>
        <v>99</v>
      </c>
      <c r="I10049" t="str">
        <f t="shared" si="2287"/>
        <v>0</v>
      </c>
      <c r="J10049" t="str">
        <f t="shared" si="2294"/>
        <v>00</v>
      </c>
      <c r="K10049">
        <v>20190621</v>
      </c>
      <c r="L10049" t="str">
        <f>"077280"</f>
        <v>077280</v>
      </c>
      <c r="M10049" t="str">
        <f>"72730"</f>
        <v>72730</v>
      </c>
      <c r="N10049" t="s">
        <v>639</v>
      </c>
      <c r="O10049">
        <v>25.99</v>
      </c>
      <c r="P10049">
        <v>20190619</v>
      </c>
      <c r="Q10049" t="s">
        <v>7014</v>
      </c>
      <c r="R10049" t="s">
        <v>7907</v>
      </c>
      <c r="S10049" t="s">
        <v>7000</v>
      </c>
      <c r="T10049" t="s">
        <v>46</v>
      </c>
    </row>
    <row r="10050" spans="1:20" x14ac:dyDescent="0.25">
      <c r="A10050">
        <v>9</v>
      </c>
      <c r="B10050">
        <v>461</v>
      </c>
      <c r="C10050" t="str">
        <f t="shared" si="2281"/>
        <v>36</v>
      </c>
      <c r="D10050">
        <v>6399</v>
      </c>
      <c r="E10050" t="str">
        <f>"PR"</f>
        <v>PR</v>
      </c>
      <c r="F10050" t="str">
        <f>"104"</f>
        <v>104</v>
      </c>
      <c r="G10050">
        <v>9</v>
      </c>
      <c r="H10050" t="str">
        <f t="shared" si="2295"/>
        <v>99</v>
      </c>
      <c r="I10050" t="str">
        <f t="shared" ref="I10050:I10081" si="2296">"0"</f>
        <v>0</v>
      </c>
      <c r="J10050" t="str">
        <f t="shared" si="2294"/>
        <v>00</v>
      </c>
      <c r="K10050">
        <v>20190621</v>
      </c>
      <c r="L10050" t="str">
        <f>"077280"</f>
        <v>077280</v>
      </c>
      <c r="M10050" t="str">
        <f>"72730"</f>
        <v>72730</v>
      </c>
      <c r="N10050" t="s">
        <v>639</v>
      </c>
      <c r="O10050">
        <v>212.94</v>
      </c>
      <c r="P10050">
        <v>20190619</v>
      </c>
      <c r="Q10050" t="s">
        <v>7014</v>
      </c>
      <c r="R10050" t="s">
        <v>3262</v>
      </c>
      <c r="S10050" t="s">
        <v>7000</v>
      </c>
      <c r="T10050" t="s">
        <v>46</v>
      </c>
    </row>
    <row r="10051" spans="1:20" x14ac:dyDescent="0.25">
      <c r="A10051">
        <v>9</v>
      </c>
      <c r="B10051">
        <v>461</v>
      </c>
      <c r="C10051" t="str">
        <f t="shared" si="2281"/>
        <v>36</v>
      </c>
      <c r="D10051">
        <v>6499</v>
      </c>
      <c r="E10051" t="str">
        <f>"7C"</f>
        <v>7C</v>
      </c>
      <c r="F10051" t="str">
        <f>"001"</f>
        <v>001</v>
      </c>
      <c r="G10051">
        <v>9</v>
      </c>
      <c r="H10051" t="str">
        <f t="shared" si="2295"/>
        <v>99</v>
      </c>
      <c r="I10051" t="str">
        <f t="shared" si="2296"/>
        <v>0</v>
      </c>
      <c r="J10051" t="str">
        <f t="shared" si="2294"/>
        <v>00</v>
      </c>
      <c r="K10051">
        <v>20190621</v>
      </c>
      <c r="L10051" t="str">
        <f>"077281"</f>
        <v>077281</v>
      </c>
      <c r="M10051" t="str">
        <f>"00842"</f>
        <v>00842</v>
      </c>
      <c r="N10051" t="s">
        <v>7908</v>
      </c>
      <c r="O10051">
        <v>750</v>
      </c>
      <c r="P10051">
        <v>20190619</v>
      </c>
      <c r="Q10051" t="s">
        <v>7119</v>
      </c>
      <c r="R10051" t="s">
        <v>7646</v>
      </c>
      <c r="S10051" t="s">
        <v>7000</v>
      </c>
      <c r="T10051" t="s">
        <v>301</v>
      </c>
    </row>
    <row r="10052" spans="1:20" x14ac:dyDescent="0.25">
      <c r="A10052">
        <v>9</v>
      </c>
      <c r="B10052">
        <v>461</v>
      </c>
      <c r="C10052" t="str">
        <f t="shared" si="2281"/>
        <v>36</v>
      </c>
      <c r="D10052">
        <v>6499</v>
      </c>
      <c r="E10052" t="str">
        <f>"PS"</f>
        <v>PS</v>
      </c>
      <c r="F10052" t="str">
        <f>"001"</f>
        <v>001</v>
      </c>
      <c r="G10052">
        <v>9</v>
      </c>
      <c r="H10052" t="str">
        <f t="shared" si="2295"/>
        <v>99</v>
      </c>
      <c r="I10052" t="str">
        <f t="shared" si="2296"/>
        <v>0</v>
      </c>
      <c r="J10052" t="str">
        <f t="shared" si="2294"/>
        <v>00</v>
      </c>
      <c r="K10052">
        <v>20190621</v>
      </c>
      <c r="L10052" t="str">
        <f>"077282"</f>
        <v>077282</v>
      </c>
      <c r="M10052" t="str">
        <f>"76490"</f>
        <v>76490</v>
      </c>
      <c r="N10052" t="s">
        <v>312</v>
      </c>
      <c r="O10052" s="1">
        <v>1500</v>
      </c>
      <c r="P10052">
        <v>20190619</v>
      </c>
      <c r="Q10052" t="s">
        <v>7888</v>
      </c>
      <c r="R10052" t="s">
        <v>7889</v>
      </c>
      <c r="S10052" t="s">
        <v>7000</v>
      </c>
      <c r="T10052" t="s">
        <v>301</v>
      </c>
    </row>
    <row r="10053" spans="1:20" x14ac:dyDescent="0.25">
      <c r="A10053">
        <v>9</v>
      </c>
      <c r="B10053">
        <v>461</v>
      </c>
      <c r="C10053" t="str">
        <f t="shared" si="2281"/>
        <v>36</v>
      </c>
      <c r="D10053">
        <v>6399</v>
      </c>
      <c r="E10053" t="str">
        <f>"CS"</f>
        <v>CS</v>
      </c>
      <c r="F10053" t="str">
        <f>"001"</f>
        <v>001</v>
      </c>
      <c r="G10053">
        <v>9</v>
      </c>
      <c r="H10053" t="str">
        <f>"91"</f>
        <v>91</v>
      </c>
      <c r="I10053" t="str">
        <f t="shared" si="2296"/>
        <v>0</v>
      </c>
      <c r="J10053" t="str">
        <f t="shared" si="2294"/>
        <v>00</v>
      </c>
      <c r="K10053">
        <v>20190621</v>
      </c>
      <c r="L10053" t="str">
        <f>"077287"</f>
        <v>077287</v>
      </c>
      <c r="M10053" t="str">
        <f>"81303"</f>
        <v>81303</v>
      </c>
      <c r="N10053" t="s">
        <v>66</v>
      </c>
      <c r="O10053">
        <v>70</v>
      </c>
      <c r="P10053">
        <v>20190619</v>
      </c>
      <c r="Q10053" t="s">
        <v>6998</v>
      </c>
      <c r="R10053" t="s">
        <v>7909</v>
      </c>
      <c r="S10053" t="s">
        <v>7000</v>
      </c>
      <c r="T10053" t="s">
        <v>301</v>
      </c>
    </row>
    <row r="10054" spans="1:20" x14ac:dyDescent="0.25">
      <c r="A10054">
        <v>9</v>
      </c>
      <c r="B10054">
        <v>461</v>
      </c>
      <c r="C10054" t="str">
        <f t="shared" si="2281"/>
        <v>36</v>
      </c>
      <c r="D10054">
        <v>6399</v>
      </c>
      <c r="E10054" t="str">
        <f>"3K"</f>
        <v>3K</v>
      </c>
      <c r="F10054" t="str">
        <f>"001"</f>
        <v>001</v>
      </c>
      <c r="G10054">
        <v>9</v>
      </c>
      <c r="H10054" t="str">
        <f>"91"</f>
        <v>91</v>
      </c>
      <c r="I10054" t="str">
        <f t="shared" si="2296"/>
        <v>0</v>
      </c>
      <c r="J10054" t="str">
        <f t="shared" si="2294"/>
        <v>00</v>
      </c>
      <c r="K10054">
        <v>20190712</v>
      </c>
      <c r="L10054" t="str">
        <f>"077332"</f>
        <v>077332</v>
      </c>
      <c r="M10054" t="str">
        <f>"05530"</f>
        <v>05530</v>
      </c>
      <c r="N10054" t="s">
        <v>947</v>
      </c>
      <c r="O10054">
        <v>315.3</v>
      </c>
      <c r="P10054">
        <v>20190710</v>
      </c>
      <c r="Q10054" t="s">
        <v>7284</v>
      </c>
      <c r="R10054" t="s">
        <v>7910</v>
      </c>
      <c r="S10054" t="s">
        <v>7000</v>
      </c>
      <c r="T10054" t="s">
        <v>301</v>
      </c>
    </row>
    <row r="10055" spans="1:20" x14ac:dyDescent="0.25">
      <c r="A10055">
        <v>9</v>
      </c>
      <c r="B10055">
        <v>461</v>
      </c>
      <c r="C10055" t="str">
        <f t="shared" si="2281"/>
        <v>36</v>
      </c>
      <c r="D10055">
        <v>6399</v>
      </c>
      <c r="E10055" t="str">
        <f>"H2"</f>
        <v>H2</v>
      </c>
      <c r="F10055" t="str">
        <f>"001"</f>
        <v>001</v>
      </c>
      <c r="G10055">
        <v>9</v>
      </c>
      <c r="H10055" t="str">
        <f>"99"</f>
        <v>99</v>
      </c>
      <c r="I10055" t="str">
        <f t="shared" si="2296"/>
        <v>0</v>
      </c>
      <c r="J10055" t="str">
        <f t="shared" si="2294"/>
        <v>00</v>
      </c>
      <c r="K10055">
        <v>20190712</v>
      </c>
      <c r="L10055" t="str">
        <f>"077332"</f>
        <v>077332</v>
      </c>
      <c r="M10055" t="str">
        <f>"05530"</f>
        <v>05530</v>
      </c>
      <c r="N10055" t="s">
        <v>947</v>
      </c>
      <c r="O10055" s="1">
        <v>1009.65</v>
      </c>
      <c r="P10055">
        <v>20190710</v>
      </c>
      <c r="Q10055" t="s">
        <v>7033</v>
      </c>
      <c r="R10055" t="s">
        <v>7911</v>
      </c>
      <c r="S10055" t="s">
        <v>7000</v>
      </c>
      <c r="T10055" t="s">
        <v>301</v>
      </c>
    </row>
    <row r="10056" spans="1:20" x14ac:dyDescent="0.25">
      <c r="A10056">
        <v>9</v>
      </c>
      <c r="B10056">
        <v>461</v>
      </c>
      <c r="C10056" t="str">
        <f t="shared" si="2281"/>
        <v>36</v>
      </c>
      <c r="D10056">
        <v>6399</v>
      </c>
      <c r="E10056" t="str">
        <f>"61"</f>
        <v>61</v>
      </c>
      <c r="F10056" t="str">
        <f>"101"</f>
        <v>101</v>
      </c>
      <c r="G10056">
        <v>9</v>
      </c>
      <c r="H10056" t="str">
        <f>"99"</f>
        <v>99</v>
      </c>
      <c r="I10056" t="str">
        <f t="shared" si="2296"/>
        <v>0</v>
      </c>
      <c r="J10056" t="str">
        <f t="shared" si="2294"/>
        <v>00</v>
      </c>
      <c r="K10056">
        <v>20190712</v>
      </c>
      <c r="L10056" t="str">
        <f>"077337"</f>
        <v>077337</v>
      </c>
      <c r="M10056" t="str">
        <f>"09170"</f>
        <v>09170</v>
      </c>
      <c r="N10056" t="s">
        <v>679</v>
      </c>
      <c r="O10056">
        <v>450.45</v>
      </c>
      <c r="P10056">
        <v>20190711</v>
      </c>
      <c r="Q10056" t="s">
        <v>7007</v>
      </c>
      <c r="R10056" t="s">
        <v>7912</v>
      </c>
      <c r="S10056" t="s">
        <v>7000</v>
      </c>
      <c r="T10056" t="s">
        <v>1479</v>
      </c>
    </row>
    <row r="10057" spans="1:20" x14ac:dyDescent="0.25">
      <c r="A10057">
        <v>9</v>
      </c>
      <c r="B10057">
        <v>461</v>
      </c>
      <c r="C10057" t="str">
        <f t="shared" si="2281"/>
        <v>36</v>
      </c>
      <c r="D10057">
        <v>6499</v>
      </c>
      <c r="E10057" t="str">
        <f>"7K"</f>
        <v>7K</v>
      </c>
      <c r="F10057" t="str">
        <f>"001"</f>
        <v>001</v>
      </c>
      <c r="G10057">
        <v>9</v>
      </c>
      <c r="H10057" t="str">
        <f>"99"</f>
        <v>99</v>
      </c>
      <c r="I10057" t="str">
        <f t="shared" si="2296"/>
        <v>0</v>
      </c>
      <c r="J10057" t="str">
        <f t="shared" si="2294"/>
        <v>00</v>
      </c>
      <c r="K10057">
        <v>20190712</v>
      </c>
      <c r="L10057" t="str">
        <f>"077348"</f>
        <v>077348</v>
      </c>
      <c r="M10057" t="str">
        <f>"14821"</f>
        <v>14821</v>
      </c>
      <c r="N10057" t="s">
        <v>1224</v>
      </c>
      <c r="O10057">
        <v>535.91999999999996</v>
      </c>
      <c r="P10057">
        <v>20190710</v>
      </c>
      <c r="Q10057" t="s">
        <v>7320</v>
      </c>
      <c r="R10057" t="s">
        <v>5615</v>
      </c>
      <c r="S10057" t="s">
        <v>7000</v>
      </c>
      <c r="T10057" t="s">
        <v>301</v>
      </c>
    </row>
    <row r="10058" spans="1:20" x14ac:dyDescent="0.25">
      <c r="A10058">
        <v>9</v>
      </c>
      <c r="B10058">
        <v>461</v>
      </c>
      <c r="C10058" t="str">
        <f t="shared" si="2281"/>
        <v>36</v>
      </c>
      <c r="D10058">
        <v>6412</v>
      </c>
      <c r="E10058" t="str">
        <f>"76"</f>
        <v>76</v>
      </c>
      <c r="F10058" t="str">
        <f>"001"</f>
        <v>001</v>
      </c>
      <c r="G10058">
        <v>9</v>
      </c>
      <c r="H10058" t="str">
        <f>"99"</f>
        <v>99</v>
      </c>
      <c r="I10058" t="str">
        <f t="shared" si="2296"/>
        <v>0</v>
      </c>
      <c r="J10058" t="str">
        <f t="shared" si="2294"/>
        <v>00</v>
      </c>
      <c r="K10058">
        <v>20190712</v>
      </c>
      <c r="L10058" t="str">
        <f>"077360"</f>
        <v>077360</v>
      </c>
      <c r="M10058" t="str">
        <f>"28680"</f>
        <v>28680</v>
      </c>
      <c r="N10058" t="s">
        <v>482</v>
      </c>
      <c r="O10058">
        <v>208</v>
      </c>
      <c r="P10058">
        <v>20190710</v>
      </c>
      <c r="Q10058" t="s">
        <v>7913</v>
      </c>
      <c r="R10058" t="s">
        <v>7853</v>
      </c>
      <c r="S10058" t="s">
        <v>7000</v>
      </c>
      <c r="T10058" t="s">
        <v>301</v>
      </c>
    </row>
    <row r="10059" spans="1:20" x14ac:dyDescent="0.25">
      <c r="A10059">
        <v>9</v>
      </c>
      <c r="B10059">
        <v>461</v>
      </c>
      <c r="C10059" t="str">
        <f t="shared" si="2281"/>
        <v>36</v>
      </c>
      <c r="D10059">
        <v>6412</v>
      </c>
      <c r="E10059" t="str">
        <f>"76"</f>
        <v>76</v>
      </c>
      <c r="F10059" t="str">
        <f>"001"</f>
        <v>001</v>
      </c>
      <c r="G10059">
        <v>9</v>
      </c>
      <c r="H10059" t="str">
        <f>"99"</f>
        <v>99</v>
      </c>
      <c r="I10059" t="str">
        <f t="shared" si="2296"/>
        <v>0</v>
      </c>
      <c r="J10059" t="str">
        <f t="shared" si="2294"/>
        <v>00</v>
      </c>
      <c r="K10059">
        <v>20190712</v>
      </c>
      <c r="L10059" t="str">
        <f>"077360"</f>
        <v>077360</v>
      </c>
      <c r="M10059" t="str">
        <f>"28680"</f>
        <v>28680</v>
      </c>
      <c r="N10059" t="s">
        <v>482</v>
      </c>
      <c r="O10059">
        <v>208</v>
      </c>
      <c r="P10059">
        <v>20190710</v>
      </c>
      <c r="Q10059" t="s">
        <v>7913</v>
      </c>
      <c r="R10059" t="s">
        <v>7853</v>
      </c>
      <c r="S10059" t="s">
        <v>7000</v>
      </c>
      <c r="T10059" t="s">
        <v>301</v>
      </c>
    </row>
    <row r="10060" spans="1:20" x14ac:dyDescent="0.25">
      <c r="A10060">
        <v>9</v>
      </c>
      <c r="B10060">
        <v>461</v>
      </c>
      <c r="C10060" t="str">
        <f t="shared" si="2281"/>
        <v>36</v>
      </c>
      <c r="D10060">
        <v>6399</v>
      </c>
      <c r="E10060" t="str">
        <f>"3Y"</f>
        <v>3Y</v>
      </c>
      <c r="F10060" t="str">
        <f>"001"</f>
        <v>001</v>
      </c>
      <c r="G10060">
        <v>9</v>
      </c>
      <c r="H10060" t="str">
        <f>"91"</f>
        <v>91</v>
      </c>
      <c r="I10060" t="str">
        <f t="shared" si="2296"/>
        <v>0</v>
      </c>
      <c r="J10060" t="str">
        <f t="shared" si="2294"/>
        <v>00</v>
      </c>
      <c r="K10060">
        <v>20190712</v>
      </c>
      <c r="L10060" t="str">
        <f>"077367"</f>
        <v>077367</v>
      </c>
      <c r="M10060" t="str">
        <f>"31345"</f>
        <v>31345</v>
      </c>
      <c r="N10060" t="s">
        <v>1394</v>
      </c>
      <c r="O10060">
        <v>273.89999999999998</v>
      </c>
      <c r="P10060">
        <v>20190710</v>
      </c>
      <c r="Q10060" t="s">
        <v>7110</v>
      </c>
      <c r="R10060" t="s">
        <v>7914</v>
      </c>
      <c r="S10060" t="s">
        <v>7000</v>
      </c>
      <c r="T10060" t="s">
        <v>301</v>
      </c>
    </row>
    <row r="10061" spans="1:20" x14ac:dyDescent="0.25">
      <c r="A10061">
        <v>9</v>
      </c>
      <c r="B10061">
        <v>461</v>
      </c>
      <c r="C10061" t="str">
        <f t="shared" si="2281"/>
        <v>36</v>
      </c>
      <c r="D10061">
        <v>6399</v>
      </c>
      <c r="E10061" t="str">
        <f>"3Y"</f>
        <v>3Y</v>
      </c>
      <c r="F10061" t="str">
        <f>"001"</f>
        <v>001</v>
      </c>
      <c r="G10061">
        <v>9</v>
      </c>
      <c r="H10061" t="str">
        <f>"91"</f>
        <v>91</v>
      </c>
      <c r="I10061" t="str">
        <f t="shared" si="2296"/>
        <v>0</v>
      </c>
      <c r="J10061" t="str">
        <f t="shared" si="2294"/>
        <v>00</v>
      </c>
      <c r="K10061">
        <v>20190712</v>
      </c>
      <c r="L10061" t="str">
        <f>"077367"</f>
        <v>077367</v>
      </c>
      <c r="M10061" t="str">
        <f>"31345"</f>
        <v>31345</v>
      </c>
      <c r="N10061" t="s">
        <v>1394</v>
      </c>
      <c r="O10061" s="1">
        <v>1189.5999999999999</v>
      </c>
      <c r="P10061">
        <v>20190710</v>
      </c>
      <c r="Q10061" t="s">
        <v>7110</v>
      </c>
      <c r="R10061" t="s">
        <v>7857</v>
      </c>
      <c r="S10061" t="s">
        <v>7000</v>
      </c>
      <c r="T10061" t="s">
        <v>301</v>
      </c>
    </row>
    <row r="10062" spans="1:20" x14ac:dyDescent="0.25">
      <c r="A10062">
        <v>9</v>
      </c>
      <c r="B10062">
        <v>461</v>
      </c>
      <c r="C10062" t="str">
        <f t="shared" si="2281"/>
        <v>36</v>
      </c>
      <c r="D10062">
        <v>6399</v>
      </c>
      <c r="E10062" t="str">
        <f>"PR"</f>
        <v>PR</v>
      </c>
      <c r="F10062" t="str">
        <f>"104"</f>
        <v>104</v>
      </c>
      <c r="G10062">
        <v>9</v>
      </c>
      <c r="H10062" t="str">
        <f>"99"</f>
        <v>99</v>
      </c>
      <c r="I10062" t="str">
        <f t="shared" si="2296"/>
        <v>0</v>
      </c>
      <c r="J10062" t="str">
        <f t="shared" si="2294"/>
        <v>00</v>
      </c>
      <c r="K10062">
        <v>20190712</v>
      </c>
      <c r="L10062" t="str">
        <f>"077381"</f>
        <v>077381</v>
      </c>
      <c r="M10062" t="str">
        <f>"41230"</f>
        <v>41230</v>
      </c>
      <c r="N10062" t="s">
        <v>1350</v>
      </c>
      <c r="O10062">
        <v>194.22</v>
      </c>
      <c r="P10062">
        <v>20190710</v>
      </c>
      <c r="Q10062" t="s">
        <v>7014</v>
      </c>
      <c r="R10062" t="s">
        <v>7915</v>
      </c>
      <c r="S10062" t="s">
        <v>7000</v>
      </c>
      <c r="T10062" t="s">
        <v>46</v>
      </c>
    </row>
    <row r="10063" spans="1:20" x14ac:dyDescent="0.25">
      <c r="A10063">
        <v>9</v>
      </c>
      <c r="B10063">
        <v>461</v>
      </c>
      <c r="C10063" t="str">
        <f t="shared" si="2281"/>
        <v>36</v>
      </c>
      <c r="D10063">
        <v>6399</v>
      </c>
      <c r="E10063" t="str">
        <f>"3S"</f>
        <v>3S</v>
      </c>
      <c r="F10063" t="str">
        <f>"001"</f>
        <v>001</v>
      </c>
      <c r="G10063">
        <v>9</v>
      </c>
      <c r="H10063" t="str">
        <f>"91"</f>
        <v>91</v>
      </c>
      <c r="I10063" t="str">
        <f t="shared" si="2296"/>
        <v>0</v>
      </c>
      <c r="J10063" t="str">
        <f t="shared" si="2294"/>
        <v>00</v>
      </c>
      <c r="K10063">
        <v>20190712</v>
      </c>
      <c r="L10063" t="str">
        <f>"077384"</f>
        <v>077384</v>
      </c>
      <c r="M10063" t="str">
        <f>"44749"</f>
        <v>44749</v>
      </c>
      <c r="N10063" t="s">
        <v>1411</v>
      </c>
      <c r="O10063">
        <v>789.5</v>
      </c>
      <c r="P10063">
        <v>20190710</v>
      </c>
      <c r="Q10063" t="s">
        <v>7403</v>
      </c>
      <c r="R10063" t="s">
        <v>7916</v>
      </c>
      <c r="S10063" t="s">
        <v>7000</v>
      </c>
      <c r="T10063" t="s">
        <v>301</v>
      </c>
    </row>
    <row r="10064" spans="1:20" x14ac:dyDescent="0.25">
      <c r="A10064">
        <v>9</v>
      </c>
      <c r="B10064">
        <v>461</v>
      </c>
      <c r="C10064" t="str">
        <f t="shared" ref="C10064:C10070" si="2297">"36"</f>
        <v>36</v>
      </c>
      <c r="D10064">
        <v>6399</v>
      </c>
      <c r="E10064" t="str">
        <f>"61"</f>
        <v>61</v>
      </c>
      <c r="F10064" t="str">
        <f>"101"</f>
        <v>101</v>
      </c>
      <c r="G10064">
        <v>9</v>
      </c>
      <c r="H10064" t="str">
        <f t="shared" ref="H10064:H10069" si="2298">"99"</f>
        <v>99</v>
      </c>
      <c r="I10064" t="str">
        <f t="shared" si="2296"/>
        <v>0</v>
      </c>
      <c r="J10064" t="str">
        <f t="shared" si="2294"/>
        <v>00</v>
      </c>
      <c r="K10064">
        <v>20190712</v>
      </c>
      <c r="L10064" t="str">
        <f>"077401"</f>
        <v>077401</v>
      </c>
      <c r="M10064" t="str">
        <f>"56564"</f>
        <v>56564</v>
      </c>
      <c r="N10064" t="s">
        <v>4765</v>
      </c>
      <c r="O10064">
        <v>239.38</v>
      </c>
      <c r="P10064">
        <v>20190710</v>
      </c>
      <c r="Q10064" t="s">
        <v>7007</v>
      </c>
      <c r="R10064" t="s">
        <v>7917</v>
      </c>
      <c r="S10064" t="s">
        <v>7000</v>
      </c>
      <c r="T10064" t="s">
        <v>1479</v>
      </c>
    </row>
    <row r="10065" spans="1:20" x14ac:dyDescent="0.25">
      <c r="A10065">
        <v>9</v>
      </c>
      <c r="B10065">
        <v>461</v>
      </c>
      <c r="C10065" t="str">
        <f t="shared" si="2297"/>
        <v>36</v>
      </c>
      <c r="D10065">
        <v>6399</v>
      </c>
      <c r="E10065" t="str">
        <f>"61"</f>
        <v>61</v>
      </c>
      <c r="F10065" t="str">
        <f>"101"</f>
        <v>101</v>
      </c>
      <c r="G10065">
        <v>9</v>
      </c>
      <c r="H10065" t="str">
        <f t="shared" si="2298"/>
        <v>99</v>
      </c>
      <c r="I10065" t="str">
        <f t="shared" si="2296"/>
        <v>0</v>
      </c>
      <c r="J10065" t="str">
        <f t="shared" si="2294"/>
        <v>00</v>
      </c>
      <c r="K10065">
        <v>20190712</v>
      </c>
      <c r="L10065" t="str">
        <f>"077428"</f>
        <v>077428</v>
      </c>
      <c r="M10065" t="str">
        <f>"83022"</f>
        <v>83022</v>
      </c>
      <c r="N10065" t="s">
        <v>691</v>
      </c>
      <c r="O10065">
        <v>245.72</v>
      </c>
      <c r="P10065">
        <v>20190711</v>
      </c>
      <c r="Q10065" t="s">
        <v>7007</v>
      </c>
      <c r="R10065" t="s">
        <v>7918</v>
      </c>
      <c r="S10065" t="s">
        <v>7000</v>
      </c>
      <c r="T10065" t="s">
        <v>1479</v>
      </c>
    </row>
    <row r="10066" spans="1:20" x14ac:dyDescent="0.25">
      <c r="A10066">
        <v>9</v>
      </c>
      <c r="B10066">
        <v>461</v>
      </c>
      <c r="C10066" t="str">
        <f t="shared" si="2297"/>
        <v>36</v>
      </c>
      <c r="D10066">
        <v>6399</v>
      </c>
      <c r="E10066" t="str">
        <f>"61"</f>
        <v>61</v>
      </c>
      <c r="F10066" t="str">
        <f>"101"</f>
        <v>101</v>
      </c>
      <c r="G10066">
        <v>9</v>
      </c>
      <c r="H10066" t="str">
        <f t="shared" si="2298"/>
        <v>99</v>
      </c>
      <c r="I10066" t="str">
        <f t="shared" si="2296"/>
        <v>0</v>
      </c>
      <c r="J10066" t="str">
        <f t="shared" si="2294"/>
        <v>00</v>
      </c>
      <c r="K10066">
        <v>20190712</v>
      </c>
      <c r="L10066" t="str">
        <f>"077428"</f>
        <v>077428</v>
      </c>
      <c r="M10066" t="str">
        <f>"83022"</f>
        <v>83022</v>
      </c>
      <c r="N10066" t="s">
        <v>691</v>
      </c>
      <c r="O10066">
        <v>47.04</v>
      </c>
      <c r="P10066">
        <v>20190711</v>
      </c>
      <c r="Q10066" t="s">
        <v>7007</v>
      </c>
      <c r="R10066" t="s">
        <v>5162</v>
      </c>
      <c r="S10066" t="s">
        <v>7000</v>
      </c>
      <c r="T10066" t="s">
        <v>1479</v>
      </c>
    </row>
    <row r="10067" spans="1:20" x14ac:dyDescent="0.25">
      <c r="A10067">
        <v>9</v>
      </c>
      <c r="B10067">
        <v>461</v>
      </c>
      <c r="C10067" t="str">
        <f t="shared" si="2297"/>
        <v>36</v>
      </c>
      <c r="D10067">
        <v>6399</v>
      </c>
      <c r="E10067" t="str">
        <f>"76"</f>
        <v>76</v>
      </c>
      <c r="F10067" t="str">
        <f>"041"</f>
        <v>041</v>
      </c>
      <c r="G10067">
        <v>9</v>
      </c>
      <c r="H10067" t="str">
        <f t="shared" si="2298"/>
        <v>99</v>
      </c>
      <c r="I10067" t="str">
        <f t="shared" si="2296"/>
        <v>0</v>
      </c>
      <c r="J10067" t="str">
        <f t="shared" si="2294"/>
        <v>00</v>
      </c>
      <c r="K10067">
        <v>20190712</v>
      </c>
      <c r="L10067" t="str">
        <f>"077428"</f>
        <v>077428</v>
      </c>
      <c r="M10067" t="str">
        <f>"83022"</f>
        <v>83022</v>
      </c>
      <c r="N10067" t="s">
        <v>691</v>
      </c>
      <c r="O10067">
        <v>40.619999999999997</v>
      </c>
      <c r="P10067">
        <v>20190711</v>
      </c>
      <c r="Q10067" t="s">
        <v>7816</v>
      </c>
      <c r="R10067" t="s">
        <v>7756</v>
      </c>
      <c r="S10067" t="s">
        <v>7000</v>
      </c>
      <c r="T10067" t="s">
        <v>106</v>
      </c>
    </row>
    <row r="10068" spans="1:20" x14ac:dyDescent="0.25">
      <c r="A10068">
        <v>9</v>
      </c>
      <c r="B10068">
        <v>461</v>
      </c>
      <c r="C10068" t="str">
        <f t="shared" si="2297"/>
        <v>36</v>
      </c>
      <c r="D10068">
        <v>6399</v>
      </c>
      <c r="E10068" t="str">
        <f>"Y5"</f>
        <v>Y5</v>
      </c>
      <c r="F10068" t="str">
        <f>"802"</f>
        <v>802</v>
      </c>
      <c r="G10068">
        <v>9</v>
      </c>
      <c r="H10068" t="str">
        <f t="shared" si="2298"/>
        <v>99</v>
      </c>
      <c r="I10068" t="str">
        <f t="shared" si="2296"/>
        <v>0</v>
      </c>
      <c r="J10068" t="str">
        <f t="shared" si="2294"/>
        <v>00</v>
      </c>
      <c r="K10068">
        <v>20190712</v>
      </c>
      <c r="L10068" t="str">
        <f>"077428"</f>
        <v>077428</v>
      </c>
      <c r="M10068" t="str">
        <f>"83022"</f>
        <v>83022</v>
      </c>
      <c r="N10068" t="s">
        <v>691</v>
      </c>
      <c r="O10068">
        <v>144.84</v>
      </c>
      <c r="P10068">
        <v>20190711</v>
      </c>
      <c r="Q10068" t="s">
        <v>7021</v>
      </c>
      <c r="R10068" t="s">
        <v>7919</v>
      </c>
      <c r="S10068" t="s">
        <v>7000</v>
      </c>
      <c r="T10068" t="s">
        <v>7023</v>
      </c>
    </row>
    <row r="10069" spans="1:20" x14ac:dyDescent="0.25">
      <c r="A10069">
        <v>9</v>
      </c>
      <c r="B10069">
        <v>461</v>
      </c>
      <c r="C10069" t="str">
        <f t="shared" si="2297"/>
        <v>36</v>
      </c>
      <c r="D10069">
        <v>6499</v>
      </c>
      <c r="E10069" t="str">
        <f>"74"</f>
        <v>74</v>
      </c>
      <c r="F10069" t="str">
        <f>"041"</f>
        <v>041</v>
      </c>
      <c r="G10069">
        <v>9</v>
      </c>
      <c r="H10069" t="str">
        <f t="shared" si="2298"/>
        <v>99</v>
      </c>
      <c r="I10069" t="str">
        <f t="shared" si="2296"/>
        <v>0</v>
      </c>
      <c r="J10069" t="str">
        <f t="shared" si="2294"/>
        <v>00</v>
      </c>
      <c r="K10069">
        <v>20190712</v>
      </c>
      <c r="L10069" t="str">
        <f>"077428"</f>
        <v>077428</v>
      </c>
      <c r="M10069" t="str">
        <f>"83022"</f>
        <v>83022</v>
      </c>
      <c r="N10069" t="s">
        <v>691</v>
      </c>
      <c r="O10069">
        <v>55.86</v>
      </c>
      <c r="P10069">
        <v>20190711</v>
      </c>
      <c r="Q10069" t="s">
        <v>7920</v>
      </c>
      <c r="R10069" t="s">
        <v>7921</v>
      </c>
      <c r="S10069" t="s">
        <v>7000</v>
      </c>
      <c r="T10069" t="s">
        <v>106</v>
      </c>
    </row>
    <row r="10070" spans="1:20" x14ac:dyDescent="0.25">
      <c r="A10070">
        <v>9</v>
      </c>
      <c r="B10070">
        <v>461</v>
      </c>
      <c r="C10070" t="str">
        <f t="shared" si="2297"/>
        <v>36</v>
      </c>
      <c r="D10070">
        <v>6412</v>
      </c>
      <c r="E10070" t="str">
        <f>"49"</f>
        <v>49</v>
      </c>
      <c r="F10070" t="str">
        <f>"001"</f>
        <v>001</v>
      </c>
      <c r="G10070">
        <v>9</v>
      </c>
      <c r="H10070" t="str">
        <f>"91"</f>
        <v>91</v>
      </c>
      <c r="I10070" t="str">
        <f t="shared" si="2296"/>
        <v>0</v>
      </c>
      <c r="J10070" t="str">
        <f t="shared" si="2294"/>
        <v>00</v>
      </c>
      <c r="K10070">
        <v>20190719</v>
      </c>
      <c r="L10070" t="str">
        <f>"077445"</f>
        <v>077445</v>
      </c>
      <c r="M10070" t="str">
        <f>"00853"</f>
        <v>00853</v>
      </c>
      <c r="N10070" t="s">
        <v>7922</v>
      </c>
      <c r="O10070">
        <v>223.86</v>
      </c>
      <c r="P10070">
        <v>20190718</v>
      </c>
      <c r="Q10070" t="s">
        <v>7923</v>
      </c>
      <c r="R10070" t="s">
        <v>7924</v>
      </c>
      <c r="S10070" t="s">
        <v>7000</v>
      </c>
      <c r="T10070" t="s">
        <v>301</v>
      </c>
    </row>
    <row r="10071" spans="1:20" x14ac:dyDescent="0.25">
      <c r="A10071">
        <v>9</v>
      </c>
      <c r="B10071">
        <v>461</v>
      </c>
      <c r="C10071" t="str">
        <f>"00"</f>
        <v>00</v>
      </c>
      <c r="D10071">
        <v>1109</v>
      </c>
      <c r="E10071" t="str">
        <f>"CS"</f>
        <v>CS</v>
      </c>
      <c r="F10071" t="str">
        <f>"000"</f>
        <v>000</v>
      </c>
      <c r="G10071">
        <v>9</v>
      </c>
      <c r="H10071" t="str">
        <f>"00"</f>
        <v>00</v>
      </c>
      <c r="I10071" t="str">
        <f t="shared" si="2296"/>
        <v>0</v>
      </c>
      <c r="J10071" t="str">
        <f t="shared" si="2294"/>
        <v>00</v>
      </c>
      <c r="K10071">
        <v>20190719</v>
      </c>
      <c r="L10071" t="str">
        <f>"077449"</f>
        <v>077449</v>
      </c>
      <c r="M10071" t="str">
        <f>"29680"</f>
        <v>29680</v>
      </c>
      <c r="N10071" t="s">
        <v>4622</v>
      </c>
      <c r="O10071">
        <v>600</v>
      </c>
      <c r="P10071">
        <v>20190717</v>
      </c>
      <c r="Q10071" t="s">
        <v>7925</v>
      </c>
      <c r="R10071" t="s">
        <v>7926</v>
      </c>
      <c r="S10071" t="s">
        <v>7000</v>
      </c>
      <c r="T10071" t="s">
        <v>296</v>
      </c>
    </row>
    <row r="10072" spans="1:20" x14ac:dyDescent="0.25">
      <c r="A10072">
        <v>9</v>
      </c>
      <c r="B10072">
        <v>461</v>
      </c>
      <c r="C10072" t="str">
        <f t="shared" ref="C10072:C10103" si="2299">"36"</f>
        <v>36</v>
      </c>
      <c r="D10072">
        <v>6399</v>
      </c>
      <c r="E10072" t="str">
        <f>"44"</f>
        <v>44</v>
      </c>
      <c r="F10072" t="str">
        <f>"104"</f>
        <v>104</v>
      </c>
      <c r="G10072">
        <v>9</v>
      </c>
      <c r="H10072" t="str">
        <f>"99"</f>
        <v>99</v>
      </c>
      <c r="I10072" t="str">
        <f t="shared" si="2296"/>
        <v>0</v>
      </c>
      <c r="J10072" t="str">
        <f t="shared" si="2294"/>
        <v>00</v>
      </c>
      <c r="K10072">
        <v>20190719</v>
      </c>
      <c r="L10072" t="str">
        <f>"077458"</f>
        <v>077458</v>
      </c>
      <c r="M10072" t="str">
        <f>"57791"</f>
        <v>57791</v>
      </c>
      <c r="N10072" t="s">
        <v>2381</v>
      </c>
      <c r="O10072">
        <v>666.58</v>
      </c>
      <c r="P10072">
        <v>20190718</v>
      </c>
      <c r="Q10072" t="s">
        <v>7104</v>
      </c>
      <c r="R10072" t="s">
        <v>7927</v>
      </c>
      <c r="S10072" t="s">
        <v>7000</v>
      </c>
      <c r="T10072" t="s">
        <v>46</v>
      </c>
    </row>
    <row r="10073" spans="1:20" x14ac:dyDescent="0.25">
      <c r="A10073">
        <v>9</v>
      </c>
      <c r="B10073">
        <v>461</v>
      </c>
      <c r="C10073" t="str">
        <f t="shared" si="2299"/>
        <v>36</v>
      </c>
      <c r="D10073">
        <v>6399</v>
      </c>
      <c r="E10073" t="str">
        <f>"PR"</f>
        <v>PR</v>
      </c>
      <c r="F10073" t="str">
        <f>"104"</f>
        <v>104</v>
      </c>
      <c r="G10073">
        <v>9</v>
      </c>
      <c r="H10073" t="str">
        <f>"99"</f>
        <v>99</v>
      </c>
      <c r="I10073" t="str">
        <f t="shared" si="2296"/>
        <v>0</v>
      </c>
      <c r="J10073" t="str">
        <f t="shared" si="2294"/>
        <v>00</v>
      </c>
      <c r="K10073">
        <v>20190719</v>
      </c>
      <c r="L10073" t="str">
        <f>"077462"</f>
        <v>077462</v>
      </c>
      <c r="M10073" t="str">
        <f>"54034"</f>
        <v>54034</v>
      </c>
      <c r="N10073" t="s">
        <v>7189</v>
      </c>
      <c r="O10073">
        <v>511.5</v>
      </c>
      <c r="P10073">
        <v>20190718</v>
      </c>
      <c r="Q10073" t="s">
        <v>7014</v>
      </c>
      <c r="R10073" t="s">
        <v>7928</v>
      </c>
      <c r="S10073" t="s">
        <v>7000</v>
      </c>
      <c r="T10073" t="s">
        <v>46</v>
      </c>
    </row>
    <row r="10074" spans="1:20" x14ac:dyDescent="0.25">
      <c r="A10074">
        <v>9</v>
      </c>
      <c r="B10074">
        <v>461</v>
      </c>
      <c r="C10074" t="str">
        <f t="shared" si="2299"/>
        <v>36</v>
      </c>
      <c r="D10074">
        <v>6399</v>
      </c>
      <c r="E10074" t="str">
        <f>"7E"</f>
        <v>7E</v>
      </c>
      <c r="F10074" t="str">
        <f>"001"</f>
        <v>001</v>
      </c>
      <c r="G10074">
        <v>9</v>
      </c>
      <c r="H10074" t="str">
        <f>"99"</f>
        <v>99</v>
      </c>
      <c r="I10074" t="str">
        <f t="shared" si="2296"/>
        <v>0</v>
      </c>
      <c r="J10074" t="str">
        <f t="shared" si="2294"/>
        <v>00</v>
      </c>
      <c r="K10074">
        <v>20190719</v>
      </c>
      <c r="L10074" t="str">
        <f>"077470"</f>
        <v>077470</v>
      </c>
      <c r="M10074" t="str">
        <f>"65106"</f>
        <v>65106</v>
      </c>
      <c r="N10074" t="s">
        <v>1175</v>
      </c>
      <c r="O10074">
        <v>519.52</v>
      </c>
      <c r="P10074">
        <v>20190718</v>
      </c>
      <c r="Q10074" t="s">
        <v>7055</v>
      </c>
      <c r="R10074" t="s">
        <v>7929</v>
      </c>
      <c r="S10074" t="s">
        <v>7000</v>
      </c>
      <c r="T10074" t="s">
        <v>301</v>
      </c>
    </row>
    <row r="10075" spans="1:20" x14ac:dyDescent="0.25">
      <c r="A10075">
        <v>9</v>
      </c>
      <c r="B10075">
        <v>461</v>
      </c>
      <c r="C10075" t="str">
        <f t="shared" si="2299"/>
        <v>36</v>
      </c>
      <c r="D10075">
        <v>6412</v>
      </c>
      <c r="E10075" t="str">
        <f>"7K"</f>
        <v>7K</v>
      </c>
      <c r="F10075" t="str">
        <f>"001"</f>
        <v>001</v>
      </c>
      <c r="G10075">
        <v>9</v>
      </c>
      <c r="H10075" t="str">
        <f>"99"</f>
        <v>99</v>
      </c>
      <c r="I10075" t="str">
        <f t="shared" si="2296"/>
        <v>0</v>
      </c>
      <c r="J10075" t="str">
        <f t="shared" si="2294"/>
        <v>00</v>
      </c>
      <c r="K10075">
        <v>20190726</v>
      </c>
      <c r="L10075" t="str">
        <f>"077482"</f>
        <v>077482</v>
      </c>
      <c r="M10075" t="str">
        <f>"09170"</f>
        <v>09170</v>
      </c>
      <c r="N10075" t="s">
        <v>679</v>
      </c>
      <c r="O10075">
        <v>3.58</v>
      </c>
      <c r="P10075">
        <v>20190724</v>
      </c>
      <c r="Q10075" t="s">
        <v>7082</v>
      </c>
      <c r="R10075" t="s">
        <v>4672</v>
      </c>
      <c r="S10075" t="s">
        <v>7000</v>
      </c>
      <c r="T10075" t="s">
        <v>301</v>
      </c>
    </row>
    <row r="10076" spans="1:20" x14ac:dyDescent="0.25">
      <c r="A10076">
        <v>9</v>
      </c>
      <c r="B10076">
        <v>461</v>
      </c>
      <c r="C10076" t="str">
        <f t="shared" si="2299"/>
        <v>36</v>
      </c>
      <c r="D10076">
        <v>6412</v>
      </c>
      <c r="E10076" t="str">
        <f>"7K"</f>
        <v>7K</v>
      </c>
      <c r="F10076" t="str">
        <f>"001"</f>
        <v>001</v>
      </c>
      <c r="G10076">
        <v>9</v>
      </c>
      <c r="H10076" t="str">
        <f>"99"</f>
        <v>99</v>
      </c>
      <c r="I10076" t="str">
        <f t="shared" si="2296"/>
        <v>0</v>
      </c>
      <c r="J10076" t="str">
        <f t="shared" si="2294"/>
        <v>00</v>
      </c>
      <c r="K10076">
        <v>20190726</v>
      </c>
      <c r="L10076" t="str">
        <f>"077482"</f>
        <v>077482</v>
      </c>
      <c r="M10076" t="str">
        <f>"09170"</f>
        <v>09170</v>
      </c>
      <c r="N10076" t="s">
        <v>679</v>
      </c>
      <c r="O10076">
        <v>10.26</v>
      </c>
      <c r="P10076">
        <v>20190724</v>
      </c>
      <c r="Q10076" t="s">
        <v>7082</v>
      </c>
      <c r="R10076" t="s">
        <v>4672</v>
      </c>
      <c r="S10076" t="s">
        <v>7000</v>
      </c>
      <c r="T10076" t="s">
        <v>301</v>
      </c>
    </row>
    <row r="10077" spans="1:20" x14ac:dyDescent="0.25">
      <c r="A10077">
        <v>9</v>
      </c>
      <c r="B10077">
        <v>461</v>
      </c>
      <c r="C10077" t="str">
        <f t="shared" si="2299"/>
        <v>36</v>
      </c>
      <c r="D10077">
        <v>6399</v>
      </c>
      <c r="E10077" t="str">
        <f>"3B"</f>
        <v>3B</v>
      </c>
      <c r="F10077" t="str">
        <f>"041"</f>
        <v>041</v>
      </c>
      <c r="G10077">
        <v>9</v>
      </c>
      <c r="H10077" t="str">
        <f>"91"</f>
        <v>91</v>
      </c>
      <c r="I10077" t="str">
        <f t="shared" si="2296"/>
        <v>0</v>
      </c>
      <c r="J10077" t="str">
        <f t="shared" si="2294"/>
        <v>00</v>
      </c>
      <c r="K10077">
        <v>20190726</v>
      </c>
      <c r="L10077" t="str">
        <f>"077485"</f>
        <v>077485</v>
      </c>
      <c r="M10077" t="str">
        <f>"08788"</f>
        <v>08788</v>
      </c>
      <c r="N10077" t="s">
        <v>473</v>
      </c>
      <c r="O10077" s="1">
        <v>1156.72</v>
      </c>
      <c r="P10077">
        <v>20190724</v>
      </c>
      <c r="Q10077" t="s">
        <v>7213</v>
      </c>
      <c r="R10077" t="s">
        <v>7930</v>
      </c>
      <c r="S10077" t="s">
        <v>7000</v>
      </c>
      <c r="T10077" t="s">
        <v>106</v>
      </c>
    </row>
    <row r="10078" spans="1:20" x14ac:dyDescent="0.25">
      <c r="A10078">
        <v>9</v>
      </c>
      <c r="B10078">
        <v>461</v>
      </c>
      <c r="C10078" t="str">
        <f t="shared" si="2299"/>
        <v>36</v>
      </c>
      <c r="D10078">
        <v>6399</v>
      </c>
      <c r="E10078" t="str">
        <f>"3B"</f>
        <v>3B</v>
      </c>
      <c r="F10078" t="str">
        <f>"041"</f>
        <v>041</v>
      </c>
      <c r="G10078">
        <v>9</v>
      </c>
      <c r="H10078" t="str">
        <f>"91"</f>
        <v>91</v>
      </c>
      <c r="I10078" t="str">
        <f t="shared" si="2296"/>
        <v>0</v>
      </c>
      <c r="J10078" t="str">
        <f t="shared" si="2294"/>
        <v>00</v>
      </c>
      <c r="K10078">
        <v>20190726</v>
      </c>
      <c r="L10078" t="str">
        <f>"077485"</f>
        <v>077485</v>
      </c>
      <c r="M10078" t="str">
        <f>"08788"</f>
        <v>08788</v>
      </c>
      <c r="N10078" t="s">
        <v>473</v>
      </c>
      <c r="O10078" s="1">
        <v>1156.72</v>
      </c>
      <c r="P10078">
        <v>20190724</v>
      </c>
      <c r="Q10078" t="s">
        <v>7213</v>
      </c>
      <c r="R10078" t="s">
        <v>7930</v>
      </c>
      <c r="S10078" t="s">
        <v>7000</v>
      </c>
      <c r="T10078" t="s">
        <v>106</v>
      </c>
    </row>
    <row r="10079" spans="1:20" x14ac:dyDescent="0.25">
      <c r="A10079">
        <v>9</v>
      </c>
      <c r="B10079">
        <v>461</v>
      </c>
      <c r="C10079" t="str">
        <f t="shared" si="2299"/>
        <v>36</v>
      </c>
      <c r="D10079">
        <v>6399</v>
      </c>
      <c r="E10079" t="str">
        <f>"3B"</f>
        <v>3B</v>
      </c>
      <c r="F10079" t="str">
        <f>"041"</f>
        <v>041</v>
      </c>
      <c r="G10079">
        <v>9</v>
      </c>
      <c r="H10079" t="str">
        <f>"91"</f>
        <v>91</v>
      </c>
      <c r="I10079" t="str">
        <f t="shared" si="2296"/>
        <v>0</v>
      </c>
      <c r="J10079" t="str">
        <f t="shared" si="2294"/>
        <v>00</v>
      </c>
      <c r="K10079">
        <v>20190726</v>
      </c>
      <c r="L10079" t="str">
        <f>"077485"</f>
        <v>077485</v>
      </c>
      <c r="M10079" t="str">
        <f>"08788"</f>
        <v>08788</v>
      </c>
      <c r="N10079" t="s">
        <v>473</v>
      </c>
      <c r="O10079" s="1">
        <v>1156.72</v>
      </c>
      <c r="P10079">
        <v>20190724</v>
      </c>
      <c r="Q10079" t="s">
        <v>7213</v>
      </c>
      <c r="R10079" t="s">
        <v>7930</v>
      </c>
      <c r="S10079" t="s">
        <v>7000</v>
      </c>
      <c r="T10079" t="s">
        <v>106</v>
      </c>
    </row>
    <row r="10080" spans="1:20" x14ac:dyDescent="0.25">
      <c r="A10080">
        <v>9</v>
      </c>
      <c r="B10080">
        <v>461</v>
      </c>
      <c r="C10080" t="str">
        <f t="shared" si="2299"/>
        <v>36</v>
      </c>
      <c r="D10080">
        <v>6399</v>
      </c>
      <c r="E10080" t="str">
        <f>"3B"</f>
        <v>3B</v>
      </c>
      <c r="F10080" t="str">
        <f>"041"</f>
        <v>041</v>
      </c>
      <c r="G10080">
        <v>9</v>
      </c>
      <c r="H10080" t="str">
        <f>"91"</f>
        <v>91</v>
      </c>
      <c r="I10080" t="str">
        <f t="shared" si="2296"/>
        <v>0</v>
      </c>
      <c r="J10080" t="str">
        <f t="shared" si="2294"/>
        <v>00</v>
      </c>
      <c r="K10080">
        <v>20190726</v>
      </c>
      <c r="L10080" t="str">
        <f>"077485"</f>
        <v>077485</v>
      </c>
      <c r="M10080" t="str">
        <f>"08788"</f>
        <v>08788</v>
      </c>
      <c r="N10080" t="s">
        <v>473</v>
      </c>
      <c r="O10080" s="1">
        <v>1156.72</v>
      </c>
      <c r="P10080">
        <v>20190724</v>
      </c>
      <c r="Q10080" t="s">
        <v>7213</v>
      </c>
      <c r="R10080" t="s">
        <v>7930</v>
      </c>
      <c r="S10080" t="s">
        <v>7000</v>
      </c>
      <c r="T10080" t="s">
        <v>106</v>
      </c>
    </row>
    <row r="10081" spans="1:20" x14ac:dyDescent="0.25">
      <c r="A10081">
        <v>9</v>
      </c>
      <c r="B10081">
        <v>461</v>
      </c>
      <c r="C10081" t="str">
        <f t="shared" si="2299"/>
        <v>36</v>
      </c>
      <c r="D10081">
        <v>6399</v>
      </c>
      <c r="E10081" t="str">
        <f>"3F"</f>
        <v>3F</v>
      </c>
      <c r="F10081" t="str">
        <f>"041"</f>
        <v>041</v>
      </c>
      <c r="G10081">
        <v>9</v>
      </c>
      <c r="H10081" t="str">
        <f>"91"</f>
        <v>91</v>
      </c>
      <c r="I10081" t="str">
        <f t="shared" si="2296"/>
        <v>0</v>
      </c>
      <c r="J10081" t="str">
        <f t="shared" si="2294"/>
        <v>00</v>
      </c>
      <c r="K10081">
        <v>20190726</v>
      </c>
      <c r="L10081" t="str">
        <f>"077485"</f>
        <v>077485</v>
      </c>
      <c r="M10081" t="str">
        <f>"08788"</f>
        <v>08788</v>
      </c>
      <c r="N10081" t="s">
        <v>473</v>
      </c>
      <c r="O10081">
        <v>46.83</v>
      </c>
      <c r="P10081">
        <v>20190724</v>
      </c>
      <c r="Q10081" t="s">
        <v>7708</v>
      </c>
      <c r="R10081" t="s">
        <v>1426</v>
      </c>
      <c r="S10081" t="s">
        <v>7000</v>
      </c>
      <c r="T10081" t="s">
        <v>106</v>
      </c>
    </row>
    <row r="10082" spans="1:20" x14ac:dyDescent="0.25">
      <c r="A10082">
        <v>9</v>
      </c>
      <c r="B10082">
        <v>461</v>
      </c>
      <c r="C10082" t="str">
        <f t="shared" si="2299"/>
        <v>36</v>
      </c>
      <c r="D10082">
        <v>6499</v>
      </c>
      <c r="E10082" t="str">
        <f>"GD"</f>
        <v>GD</v>
      </c>
      <c r="F10082" t="str">
        <f>"001"</f>
        <v>001</v>
      </c>
      <c r="G10082">
        <v>9</v>
      </c>
      <c r="H10082" t="str">
        <f>"99"</f>
        <v>99</v>
      </c>
      <c r="I10082" t="str">
        <f t="shared" ref="I10082:I10113" si="2300">"0"</f>
        <v>0</v>
      </c>
      <c r="J10082" t="str">
        <f t="shared" si="2294"/>
        <v>00</v>
      </c>
      <c r="K10082">
        <v>20190726</v>
      </c>
      <c r="L10082" t="str">
        <f>"077515"</f>
        <v>077515</v>
      </c>
      <c r="M10082" t="str">
        <f>"63508"</f>
        <v>63508</v>
      </c>
      <c r="N10082" t="s">
        <v>380</v>
      </c>
      <c r="O10082">
        <v>840</v>
      </c>
      <c r="P10082">
        <v>20190725</v>
      </c>
      <c r="Q10082" t="s">
        <v>7879</v>
      </c>
      <c r="R10082" t="s">
        <v>7931</v>
      </c>
      <c r="S10082" t="s">
        <v>7000</v>
      </c>
      <c r="T10082" t="s">
        <v>301</v>
      </c>
    </row>
    <row r="10083" spans="1:20" x14ac:dyDescent="0.25">
      <c r="A10083">
        <v>9</v>
      </c>
      <c r="B10083">
        <v>461</v>
      </c>
      <c r="C10083" t="str">
        <f t="shared" si="2299"/>
        <v>36</v>
      </c>
      <c r="D10083">
        <v>6399</v>
      </c>
      <c r="E10083" t="str">
        <f>"PR"</f>
        <v>PR</v>
      </c>
      <c r="F10083" t="str">
        <f>"104"</f>
        <v>104</v>
      </c>
      <c r="G10083">
        <v>9</v>
      </c>
      <c r="H10083" t="str">
        <f>"99"</f>
        <v>99</v>
      </c>
      <c r="I10083" t="str">
        <f t="shared" si="2300"/>
        <v>0</v>
      </c>
      <c r="J10083" t="str">
        <f t="shared" si="2294"/>
        <v>00</v>
      </c>
      <c r="K10083">
        <v>20190726</v>
      </c>
      <c r="L10083" t="str">
        <f>"077517"</f>
        <v>077517</v>
      </c>
      <c r="M10083" t="str">
        <f>"65826"</f>
        <v>65826</v>
      </c>
      <c r="N10083" t="s">
        <v>2787</v>
      </c>
      <c r="O10083">
        <v>385.24</v>
      </c>
      <c r="P10083">
        <v>20190725</v>
      </c>
      <c r="Q10083" t="s">
        <v>7014</v>
      </c>
      <c r="R10083" t="s">
        <v>7932</v>
      </c>
      <c r="S10083" t="s">
        <v>7000</v>
      </c>
      <c r="T10083" t="s">
        <v>46</v>
      </c>
    </row>
    <row r="10084" spans="1:20" x14ac:dyDescent="0.25">
      <c r="A10084">
        <v>9</v>
      </c>
      <c r="B10084">
        <v>461</v>
      </c>
      <c r="C10084" t="str">
        <f t="shared" si="2299"/>
        <v>36</v>
      </c>
      <c r="D10084">
        <v>6399</v>
      </c>
      <c r="E10084" t="str">
        <f>"7E"</f>
        <v>7E</v>
      </c>
      <c r="F10084" t="str">
        <f>"001"</f>
        <v>001</v>
      </c>
      <c r="G10084">
        <v>9</v>
      </c>
      <c r="H10084" t="str">
        <f>"99"</f>
        <v>99</v>
      </c>
      <c r="I10084" t="str">
        <f t="shared" si="2300"/>
        <v>0</v>
      </c>
      <c r="J10084" t="str">
        <f t="shared" si="2294"/>
        <v>00</v>
      </c>
      <c r="K10084">
        <v>20190726</v>
      </c>
      <c r="L10084" t="str">
        <f>"077522"</f>
        <v>077522</v>
      </c>
      <c r="M10084" t="str">
        <f>"81303"</f>
        <v>81303</v>
      </c>
      <c r="N10084" t="s">
        <v>66</v>
      </c>
      <c r="O10084">
        <v>103.6</v>
      </c>
      <c r="P10084">
        <v>20190725</v>
      </c>
      <c r="Q10084" t="s">
        <v>7055</v>
      </c>
      <c r="R10084" t="s">
        <v>3923</v>
      </c>
      <c r="S10084" t="s">
        <v>7000</v>
      </c>
      <c r="T10084" t="s">
        <v>301</v>
      </c>
    </row>
    <row r="10085" spans="1:20" x14ac:dyDescent="0.25">
      <c r="A10085">
        <v>9</v>
      </c>
      <c r="B10085">
        <v>461</v>
      </c>
      <c r="C10085" t="str">
        <f t="shared" si="2299"/>
        <v>36</v>
      </c>
      <c r="D10085">
        <v>6399</v>
      </c>
      <c r="E10085" t="str">
        <f>"25"</f>
        <v>25</v>
      </c>
      <c r="F10085" t="str">
        <f>"104"</f>
        <v>104</v>
      </c>
      <c r="G10085">
        <v>9</v>
      </c>
      <c r="H10085" t="str">
        <f>"99"</f>
        <v>99</v>
      </c>
      <c r="I10085" t="str">
        <f t="shared" si="2300"/>
        <v>0</v>
      </c>
      <c r="J10085" t="str">
        <f t="shared" si="2294"/>
        <v>00</v>
      </c>
      <c r="K10085">
        <v>20190726</v>
      </c>
      <c r="L10085" t="str">
        <f>"077525"</f>
        <v>077525</v>
      </c>
      <c r="M10085" t="str">
        <f>"84449"</f>
        <v>84449</v>
      </c>
      <c r="N10085" t="s">
        <v>7806</v>
      </c>
      <c r="O10085">
        <v>155.02000000000001</v>
      </c>
      <c r="P10085">
        <v>20190725</v>
      </c>
      <c r="Q10085" t="s">
        <v>7356</v>
      </c>
      <c r="R10085" t="s">
        <v>7933</v>
      </c>
      <c r="S10085" t="s">
        <v>7000</v>
      </c>
      <c r="T10085" t="s">
        <v>46</v>
      </c>
    </row>
    <row r="10086" spans="1:20" x14ac:dyDescent="0.25">
      <c r="A10086">
        <v>9</v>
      </c>
      <c r="B10086">
        <v>461</v>
      </c>
      <c r="C10086" t="str">
        <f t="shared" si="2299"/>
        <v>36</v>
      </c>
      <c r="D10086">
        <v>6399</v>
      </c>
      <c r="E10086" t="str">
        <f>"CS"</f>
        <v>CS</v>
      </c>
      <c r="F10086" t="str">
        <f t="shared" ref="F10086:F10092" si="2301">"001"</f>
        <v>001</v>
      </c>
      <c r="G10086">
        <v>9</v>
      </c>
      <c r="H10086" t="str">
        <f>"91"</f>
        <v>91</v>
      </c>
      <c r="I10086" t="str">
        <f t="shared" si="2300"/>
        <v>0</v>
      </c>
      <c r="J10086" t="str">
        <f t="shared" si="2294"/>
        <v>00</v>
      </c>
      <c r="K10086">
        <v>20190802</v>
      </c>
      <c r="L10086" t="str">
        <f>"077531"</f>
        <v>077531</v>
      </c>
      <c r="M10086" t="str">
        <f>"10418"</f>
        <v>10418</v>
      </c>
      <c r="N10086" t="s">
        <v>2360</v>
      </c>
      <c r="O10086" s="1">
        <v>1002.15</v>
      </c>
      <c r="P10086">
        <v>20190801</v>
      </c>
      <c r="Q10086" t="s">
        <v>6998</v>
      </c>
      <c r="R10086" t="s">
        <v>6999</v>
      </c>
      <c r="S10086" t="s">
        <v>7000</v>
      </c>
      <c r="T10086" t="s">
        <v>301</v>
      </c>
    </row>
    <row r="10087" spans="1:20" x14ac:dyDescent="0.25">
      <c r="A10087">
        <v>9</v>
      </c>
      <c r="B10087">
        <v>461</v>
      </c>
      <c r="C10087" t="str">
        <f t="shared" si="2299"/>
        <v>36</v>
      </c>
      <c r="D10087">
        <v>6499</v>
      </c>
      <c r="E10087" t="str">
        <f>"TA"</f>
        <v>TA</v>
      </c>
      <c r="F10087" t="str">
        <f t="shared" si="2301"/>
        <v>001</v>
      </c>
      <c r="G10087">
        <v>9</v>
      </c>
      <c r="H10087" t="str">
        <f>"99"</f>
        <v>99</v>
      </c>
      <c r="I10087" t="str">
        <f t="shared" si="2300"/>
        <v>0</v>
      </c>
      <c r="J10087" t="str">
        <f t="shared" si="2294"/>
        <v>00</v>
      </c>
      <c r="K10087">
        <v>20190802</v>
      </c>
      <c r="L10087" t="str">
        <f>"077537"</f>
        <v>077537</v>
      </c>
      <c r="M10087" t="str">
        <f>"25144"</f>
        <v>25144</v>
      </c>
      <c r="N10087" t="s">
        <v>1620</v>
      </c>
      <c r="O10087">
        <v>500</v>
      </c>
      <c r="P10087">
        <v>20190801</v>
      </c>
      <c r="Q10087" t="s">
        <v>7269</v>
      </c>
      <c r="R10087" t="s">
        <v>7934</v>
      </c>
      <c r="S10087" t="s">
        <v>7000</v>
      </c>
      <c r="T10087" t="s">
        <v>301</v>
      </c>
    </row>
    <row r="10088" spans="1:20" x14ac:dyDescent="0.25">
      <c r="A10088">
        <v>9</v>
      </c>
      <c r="B10088">
        <v>461</v>
      </c>
      <c r="C10088" t="str">
        <f t="shared" si="2299"/>
        <v>36</v>
      </c>
      <c r="D10088">
        <v>6412</v>
      </c>
      <c r="E10088" t="str">
        <f>"3T"</f>
        <v>3T</v>
      </c>
      <c r="F10088" t="str">
        <f t="shared" si="2301"/>
        <v>001</v>
      </c>
      <c r="G10088">
        <v>9</v>
      </c>
      <c r="H10088" t="str">
        <f>"91"</f>
        <v>91</v>
      </c>
      <c r="I10088" t="str">
        <f t="shared" si="2300"/>
        <v>0</v>
      </c>
      <c r="J10088" t="str">
        <f t="shared" si="2294"/>
        <v>00</v>
      </c>
      <c r="K10088">
        <v>20190802</v>
      </c>
      <c r="L10088" t="str">
        <f>"077538"</f>
        <v>077538</v>
      </c>
      <c r="M10088" t="str">
        <f>"28648"</f>
        <v>28648</v>
      </c>
      <c r="N10088" t="s">
        <v>5385</v>
      </c>
      <c r="O10088">
        <v>638.29999999999995</v>
      </c>
      <c r="P10088">
        <v>20190801</v>
      </c>
      <c r="Q10088" t="s">
        <v>7509</v>
      </c>
      <c r="R10088" t="s">
        <v>1432</v>
      </c>
      <c r="S10088" t="s">
        <v>7000</v>
      </c>
      <c r="T10088" t="s">
        <v>301</v>
      </c>
    </row>
    <row r="10089" spans="1:20" x14ac:dyDescent="0.25">
      <c r="A10089">
        <v>9</v>
      </c>
      <c r="B10089">
        <v>461</v>
      </c>
      <c r="C10089" t="str">
        <f t="shared" si="2299"/>
        <v>36</v>
      </c>
      <c r="D10089">
        <v>6411</v>
      </c>
      <c r="E10089" t="str">
        <f>"76"</f>
        <v>76</v>
      </c>
      <c r="F10089" t="str">
        <f t="shared" si="2301"/>
        <v>001</v>
      </c>
      <c r="G10089">
        <v>9</v>
      </c>
      <c r="H10089" t="str">
        <f>"99"</f>
        <v>99</v>
      </c>
      <c r="I10089" t="str">
        <f t="shared" si="2300"/>
        <v>0</v>
      </c>
      <c r="J10089" t="str">
        <f t="shared" si="2294"/>
        <v>00</v>
      </c>
      <c r="K10089">
        <v>20190802</v>
      </c>
      <c r="L10089" t="str">
        <f>"077550"</f>
        <v>077550</v>
      </c>
      <c r="M10089" t="str">
        <f>"51519"</f>
        <v>51519</v>
      </c>
      <c r="N10089" t="s">
        <v>4838</v>
      </c>
      <c r="O10089">
        <v>134.1</v>
      </c>
      <c r="P10089">
        <v>20190801</v>
      </c>
      <c r="Q10089" t="s">
        <v>7852</v>
      </c>
      <c r="R10089" t="s">
        <v>7853</v>
      </c>
      <c r="S10089" t="s">
        <v>7000</v>
      </c>
      <c r="T10089" t="s">
        <v>301</v>
      </c>
    </row>
    <row r="10090" spans="1:20" x14ac:dyDescent="0.25">
      <c r="A10090">
        <v>9</v>
      </c>
      <c r="B10090">
        <v>461</v>
      </c>
      <c r="C10090" t="str">
        <f t="shared" si="2299"/>
        <v>36</v>
      </c>
      <c r="D10090">
        <v>6399</v>
      </c>
      <c r="E10090" t="str">
        <f>"38"</f>
        <v>38</v>
      </c>
      <c r="F10090" t="str">
        <f t="shared" si="2301"/>
        <v>001</v>
      </c>
      <c r="G10090">
        <v>9</v>
      </c>
      <c r="H10090" t="str">
        <f>"91"</f>
        <v>91</v>
      </c>
      <c r="I10090" t="str">
        <f t="shared" si="2300"/>
        <v>0</v>
      </c>
      <c r="J10090" t="str">
        <f t="shared" si="2294"/>
        <v>00</v>
      </c>
      <c r="K10090">
        <v>20190809</v>
      </c>
      <c r="L10090" t="str">
        <f>"077562"</f>
        <v>077562</v>
      </c>
      <c r="M10090" t="str">
        <f>"03710"</f>
        <v>03710</v>
      </c>
      <c r="N10090" t="s">
        <v>1385</v>
      </c>
      <c r="O10090">
        <v>103</v>
      </c>
      <c r="P10090">
        <v>20190806</v>
      </c>
      <c r="Q10090" t="s">
        <v>7094</v>
      </c>
      <c r="R10090" t="s">
        <v>643</v>
      </c>
      <c r="S10090" t="s">
        <v>7000</v>
      </c>
      <c r="T10090" t="s">
        <v>301</v>
      </c>
    </row>
    <row r="10091" spans="1:20" x14ac:dyDescent="0.25">
      <c r="A10091">
        <v>9</v>
      </c>
      <c r="B10091">
        <v>461</v>
      </c>
      <c r="C10091" t="str">
        <f t="shared" si="2299"/>
        <v>36</v>
      </c>
      <c r="D10091">
        <v>6399</v>
      </c>
      <c r="E10091" t="str">
        <f>"38"</f>
        <v>38</v>
      </c>
      <c r="F10091" t="str">
        <f t="shared" si="2301"/>
        <v>001</v>
      </c>
      <c r="G10091">
        <v>9</v>
      </c>
      <c r="H10091" t="str">
        <f>"91"</f>
        <v>91</v>
      </c>
      <c r="I10091" t="str">
        <f t="shared" si="2300"/>
        <v>0</v>
      </c>
      <c r="J10091" t="str">
        <f t="shared" si="2294"/>
        <v>00</v>
      </c>
      <c r="K10091">
        <v>20190809</v>
      </c>
      <c r="L10091" t="str">
        <f>"077562"</f>
        <v>077562</v>
      </c>
      <c r="M10091" t="str">
        <f>"03710"</f>
        <v>03710</v>
      </c>
      <c r="N10091" t="s">
        <v>1385</v>
      </c>
      <c r="O10091">
        <v>12.08</v>
      </c>
      <c r="P10091">
        <v>20190806</v>
      </c>
      <c r="Q10091" t="s">
        <v>7094</v>
      </c>
      <c r="R10091" t="s">
        <v>3262</v>
      </c>
      <c r="S10091" t="s">
        <v>7000</v>
      </c>
      <c r="T10091" t="s">
        <v>301</v>
      </c>
    </row>
    <row r="10092" spans="1:20" x14ac:dyDescent="0.25">
      <c r="A10092">
        <v>9</v>
      </c>
      <c r="B10092">
        <v>461</v>
      </c>
      <c r="C10092" t="str">
        <f t="shared" si="2299"/>
        <v>36</v>
      </c>
      <c r="D10092">
        <v>6399</v>
      </c>
      <c r="E10092" t="str">
        <f>"10"</f>
        <v>10</v>
      </c>
      <c r="F10092" t="str">
        <f t="shared" si="2301"/>
        <v>001</v>
      </c>
      <c r="G10092">
        <v>9</v>
      </c>
      <c r="H10092" t="str">
        <f t="shared" ref="H10092:H10097" si="2302">"99"</f>
        <v>99</v>
      </c>
      <c r="I10092" t="str">
        <f t="shared" si="2300"/>
        <v>0</v>
      </c>
      <c r="J10092" t="str">
        <f t="shared" si="2294"/>
        <v>00</v>
      </c>
      <c r="K10092">
        <v>20190809</v>
      </c>
      <c r="L10092" t="str">
        <f>"077568"</f>
        <v>077568</v>
      </c>
      <c r="M10092" t="str">
        <f>"04410"</f>
        <v>04410</v>
      </c>
      <c r="N10092" t="s">
        <v>410</v>
      </c>
      <c r="O10092">
        <v>344.95</v>
      </c>
      <c r="P10092">
        <v>20190806</v>
      </c>
      <c r="Q10092" t="s">
        <v>7935</v>
      </c>
      <c r="R10092" t="s">
        <v>7936</v>
      </c>
      <c r="S10092" t="s">
        <v>7000</v>
      </c>
      <c r="T10092" t="s">
        <v>301</v>
      </c>
    </row>
    <row r="10093" spans="1:20" x14ac:dyDescent="0.25">
      <c r="A10093">
        <v>9</v>
      </c>
      <c r="B10093">
        <v>461</v>
      </c>
      <c r="C10093" t="str">
        <f t="shared" si="2299"/>
        <v>36</v>
      </c>
      <c r="D10093">
        <v>6399</v>
      </c>
      <c r="E10093" t="str">
        <f>"61"</f>
        <v>61</v>
      </c>
      <c r="F10093" t="str">
        <f>"101"</f>
        <v>101</v>
      </c>
      <c r="G10093">
        <v>9</v>
      </c>
      <c r="H10093" t="str">
        <f t="shared" si="2302"/>
        <v>99</v>
      </c>
      <c r="I10093" t="str">
        <f t="shared" si="2300"/>
        <v>0</v>
      </c>
      <c r="J10093" t="str">
        <f t="shared" si="2294"/>
        <v>00</v>
      </c>
      <c r="K10093">
        <v>20190809</v>
      </c>
      <c r="L10093" t="str">
        <f>"077568"</f>
        <v>077568</v>
      </c>
      <c r="M10093" t="str">
        <f>"04410"</f>
        <v>04410</v>
      </c>
      <c r="N10093" t="s">
        <v>410</v>
      </c>
      <c r="O10093" s="1">
        <v>1069.17</v>
      </c>
      <c r="P10093">
        <v>20190806</v>
      </c>
      <c r="Q10093" t="s">
        <v>7007</v>
      </c>
      <c r="R10093" t="s">
        <v>7937</v>
      </c>
      <c r="S10093" t="s">
        <v>7000</v>
      </c>
      <c r="T10093" t="s">
        <v>1479</v>
      </c>
    </row>
    <row r="10094" spans="1:20" x14ac:dyDescent="0.25">
      <c r="A10094">
        <v>9</v>
      </c>
      <c r="B10094">
        <v>461</v>
      </c>
      <c r="C10094" t="str">
        <f t="shared" si="2299"/>
        <v>36</v>
      </c>
      <c r="D10094">
        <v>6399</v>
      </c>
      <c r="E10094" t="str">
        <f>"61"</f>
        <v>61</v>
      </c>
      <c r="F10094" t="str">
        <f>"101"</f>
        <v>101</v>
      </c>
      <c r="G10094">
        <v>9</v>
      </c>
      <c r="H10094" t="str">
        <f t="shared" si="2302"/>
        <v>99</v>
      </c>
      <c r="I10094" t="str">
        <f t="shared" si="2300"/>
        <v>0</v>
      </c>
      <c r="J10094" t="str">
        <f t="shared" si="2294"/>
        <v>00</v>
      </c>
      <c r="K10094">
        <v>20190809</v>
      </c>
      <c r="L10094" t="str">
        <f>"077568"</f>
        <v>077568</v>
      </c>
      <c r="M10094" t="str">
        <f>"04410"</f>
        <v>04410</v>
      </c>
      <c r="N10094" t="s">
        <v>410</v>
      </c>
      <c r="O10094">
        <v>39.96</v>
      </c>
      <c r="P10094">
        <v>20190806</v>
      </c>
      <c r="Q10094" t="s">
        <v>7007</v>
      </c>
      <c r="R10094" t="s">
        <v>7938</v>
      </c>
      <c r="S10094" t="s">
        <v>7000</v>
      </c>
      <c r="T10094" t="s">
        <v>1479</v>
      </c>
    </row>
    <row r="10095" spans="1:20" x14ac:dyDescent="0.25">
      <c r="A10095">
        <v>9</v>
      </c>
      <c r="B10095">
        <v>461</v>
      </c>
      <c r="C10095" t="str">
        <f t="shared" si="2299"/>
        <v>36</v>
      </c>
      <c r="D10095">
        <v>6399</v>
      </c>
      <c r="E10095" t="str">
        <f>"61"</f>
        <v>61</v>
      </c>
      <c r="F10095" t="str">
        <f>"101"</f>
        <v>101</v>
      </c>
      <c r="G10095">
        <v>9</v>
      </c>
      <c r="H10095" t="str">
        <f t="shared" si="2302"/>
        <v>99</v>
      </c>
      <c r="I10095" t="str">
        <f t="shared" si="2300"/>
        <v>0</v>
      </c>
      <c r="J10095" t="str">
        <f t="shared" si="2294"/>
        <v>00</v>
      </c>
      <c r="K10095">
        <v>20190809</v>
      </c>
      <c r="L10095" t="str">
        <f>"077568"</f>
        <v>077568</v>
      </c>
      <c r="M10095" t="str">
        <f>"04410"</f>
        <v>04410</v>
      </c>
      <c r="N10095" t="s">
        <v>410</v>
      </c>
      <c r="O10095">
        <v>-29.06</v>
      </c>
      <c r="P10095">
        <v>20190719</v>
      </c>
      <c r="Q10095" t="s">
        <v>7007</v>
      </c>
      <c r="R10095" t="s">
        <v>7939</v>
      </c>
      <c r="S10095" t="s">
        <v>7000</v>
      </c>
      <c r="T10095" t="s">
        <v>1479</v>
      </c>
    </row>
    <row r="10096" spans="1:20" x14ac:dyDescent="0.25">
      <c r="A10096">
        <v>9</v>
      </c>
      <c r="B10096">
        <v>461</v>
      </c>
      <c r="C10096" t="str">
        <f t="shared" si="2299"/>
        <v>36</v>
      </c>
      <c r="D10096">
        <v>6399</v>
      </c>
      <c r="E10096" t="str">
        <f>"H2"</f>
        <v>H2</v>
      </c>
      <c r="F10096" t="str">
        <f>"001"</f>
        <v>001</v>
      </c>
      <c r="G10096">
        <v>9</v>
      </c>
      <c r="H10096" t="str">
        <f t="shared" si="2302"/>
        <v>99</v>
      </c>
      <c r="I10096" t="str">
        <f t="shared" si="2300"/>
        <v>0</v>
      </c>
      <c r="J10096" t="str">
        <f t="shared" si="2294"/>
        <v>00</v>
      </c>
      <c r="K10096">
        <v>20190809</v>
      </c>
      <c r="L10096" t="str">
        <f>"077569"</f>
        <v>077569</v>
      </c>
      <c r="M10096" t="str">
        <f>"05530"</f>
        <v>05530</v>
      </c>
      <c r="N10096" t="s">
        <v>947</v>
      </c>
      <c r="O10096" s="1">
        <v>1596</v>
      </c>
      <c r="P10096">
        <v>20190807</v>
      </c>
      <c r="Q10096" t="s">
        <v>7033</v>
      </c>
      <c r="R10096" t="s">
        <v>7940</v>
      </c>
      <c r="S10096" t="s">
        <v>7000</v>
      </c>
      <c r="T10096" t="s">
        <v>301</v>
      </c>
    </row>
    <row r="10097" spans="1:20" x14ac:dyDescent="0.25">
      <c r="A10097">
        <v>9</v>
      </c>
      <c r="B10097">
        <v>461</v>
      </c>
      <c r="C10097" t="str">
        <f t="shared" si="2299"/>
        <v>36</v>
      </c>
      <c r="D10097">
        <v>6399</v>
      </c>
      <c r="E10097" t="str">
        <f>"H2"</f>
        <v>H2</v>
      </c>
      <c r="F10097" t="str">
        <f>"001"</f>
        <v>001</v>
      </c>
      <c r="G10097">
        <v>9</v>
      </c>
      <c r="H10097" t="str">
        <f t="shared" si="2302"/>
        <v>99</v>
      </c>
      <c r="I10097" t="str">
        <f t="shared" si="2300"/>
        <v>0</v>
      </c>
      <c r="J10097" t="str">
        <f t="shared" si="2294"/>
        <v>00</v>
      </c>
      <c r="K10097">
        <v>20190809</v>
      </c>
      <c r="L10097" t="str">
        <f>"077569"</f>
        <v>077569</v>
      </c>
      <c r="M10097" t="str">
        <f>"05530"</f>
        <v>05530</v>
      </c>
      <c r="N10097" t="s">
        <v>947</v>
      </c>
      <c r="O10097">
        <v>856.5</v>
      </c>
      <c r="P10097">
        <v>20190807</v>
      </c>
      <c r="Q10097" t="s">
        <v>7033</v>
      </c>
      <c r="R10097" t="s">
        <v>7941</v>
      </c>
      <c r="S10097" t="s">
        <v>7000</v>
      </c>
      <c r="T10097" t="s">
        <v>301</v>
      </c>
    </row>
    <row r="10098" spans="1:20" x14ac:dyDescent="0.25">
      <c r="A10098">
        <v>9</v>
      </c>
      <c r="B10098">
        <v>461</v>
      </c>
      <c r="C10098" t="str">
        <f t="shared" si="2299"/>
        <v>36</v>
      </c>
      <c r="D10098">
        <v>6399</v>
      </c>
      <c r="E10098" t="str">
        <f>"CS"</f>
        <v>CS</v>
      </c>
      <c r="F10098" t="str">
        <f>"001"</f>
        <v>001</v>
      </c>
      <c r="G10098">
        <v>9</v>
      </c>
      <c r="H10098" t="str">
        <f>"91"</f>
        <v>91</v>
      </c>
      <c r="I10098" t="str">
        <f t="shared" si="2300"/>
        <v>0</v>
      </c>
      <c r="J10098" t="str">
        <f t="shared" si="2294"/>
        <v>00</v>
      </c>
      <c r="K10098">
        <v>20190809</v>
      </c>
      <c r="L10098" t="str">
        <f>"077578"</f>
        <v>077578</v>
      </c>
      <c r="M10098" t="str">
        <f>"10418"</f>
        <v>10418</v>
      </c>
      <c r="N10098" t="s">
        <v>2360</v>
      </c>
      <c r="O10098" s="1">
        <v>1008.62</v>
      </c>
      <c r="P10098">
        <v>20190807</v>
      </c>
      <c r="Q10098" t="s">
        <v>6998</v>
      </c>
      <c r="R10098" t="s">
        <v>6999</v>
      </c>
      <c r="S10098" t="s">
        <v>7000</v>
      </c>
      <c r="T10098" t="s">
        <v>301</v>
      </c>
    </row>
    <row r="10099" spans="1:20" x14ac:dyDescent="0.25">
      <c r="A10099">
        <v>9</v>
      </c>
      <c r="B10099">
        <v>461</v>
      </c>
      <c r="C10099" t="str">
        <f t="shared" si="2299"/>
        <v>36</v>
      </c>
      <c r="D10099">
        <v>6399</v>
      </c>
      <c r="E10099" t="str">
        <f>"Y5"</f>
        <v>Y5</v>
      </c>
      <c r="F10099" t="str">
        <f>"802"</f>
        <v>802</v>
      </c>
      <c r="G10099">
        <v>9</v>
      </c>
      <c r="H10099" t="str">
        <f>"99"</f>
        <v>99</v>
      </c>
      <c r="I10099" t="str">
        <f t="shared" si="2300"/>
        <v>0</v>
      </c>
      <c r="J10099" t="str">
        <f t="shared" si="2294"/>
        <v>00</v>
      </c>
      <c r="K10099">
        <v>20190809</v>
      </c>
      <c r="L10099" t="str">
        <f>"077581"</f>
        <v>077581</v>
      </c>
      <c r="M10099" t="str">
        <f>"08788"</f>
        <v>08788</v>
      </c>
      <c r="N10099" t="s">
        <v>473</v>
      </c>
      <c r="O10099">
        <v>295.91000000000003</v>
      </c>
      <c r="P10099">
        <v>20190807</v>
      </c>
      <c r="Q10099" t="s">
        <v>7021</v>
      </c>
      <c r="R10099" t="s">
        <v>7942</v>
      </c>
      <c r="S10099" t="s">
        <v>7000</v>
      </c>
      <c r="T10099" t="s">
        <v>7023</v>
      </c>
    </row>
    <row r="10100" spans="1:20" x14ac:dyDescent="0.25">
      <c r="A10100">
        <v>9</v>
      </c>
      <c r="B10100">
        <v>461</v>
      </c>
      <c r="C10100" t="str">
        <f t="shared" si="2299"/>
        <v>36</v>
      </c>
      <c r="D10100">
        <v>6399</v>
      </c>
      <c r="E10100" t="str">
        <f>"3T"</f>
        <v>3T</v>
      </c>
      <c r="F10100" t="str">
        <f t="shared" ref="F10100:F10118" si="2303">"001"</f>
        <v>001</v>
      </c>
      <c r="G10100">
        <v>9</v>
      </c>
      <c r="H10100" t="str">
        <f>"91"</f>
        <v>91</v>
      </c>
      <c r="I10100" t="str">
        <f t="shared" si="2300"/>
        <v>0</v>
      </c>
      <c r="J10100" t="str">
        <f t="shared" si="2294"/>
        <v>00</v>
      </c>
      <c r="K10100">
        <v>20190809</v>
      </c>
      <c r="L10100" t="str">
        <f>"077588"</f>
        <v>077588</v>
      </c>
      <c r="M10100" t="str">
        <f>"20463"</f>
        <v>20463</v>
      </c>
      <c r="N10100" t="s">
        <v>509</v>
      </c>
      <c r="O10100">
        <v>102.68</v>
      </c>
      <c r="P10100">
        <v>20190808</v>
      </c>
      <c r="Q10100" t="s">
        <v>7053</v>
      </c>
      <c r="R10100" t="s">
        <v>1436</v>
      </c>
      <c r="S10100" t="s">
        <v>7000</v>
      </c>
      <c r="T10100" t="s">
        <v>301</v>
      </c>
    </row>
    <row r="10101" spans="1:20" x14ac:dyDescent="0.25">
      <c r="A10101">
        <v>9</v>
      </c>
      <c r="B10101">
        <v>461</v>
      </c>
      <c r="C10101" t="str">
        <f t="shared" si="2299"/>
        <v>36</v>
      </c>
      <c r="D10101">
        <v>6299</v>
      </c>
      <c r="E10101" t="str">
        <f>"7K"</f>
        <v>7K</v>
      </c>
      <c r="F10101" t="str">
        <f t="shared" si="2303"/>
        <v>001</v>
      </c>
      <c r="G10101">
        <v>9</v>
      </c>
      <c r="H10101" t="str">
        <f>"99"</f>
        <v>99</v>
      </c>
      <c r="I10101" t="str">
        <f t="shared" si="2300"/>
        <v>0</v>
      </c>
      <c r="J10101" t="str">
        <f t="shared" ref="J10101:J10164" si="2304">"00"</f>
        <v>00</v>
      </c>
      <c r="K10101">
        <v>20190809</v>
      </c>
      <c r="L10101" t="str">
        <f>"077597"</f>
        <v>077597</v>
      </c>
      <c r="M10101" t="str">
        <f>"00850"</f>
        <v>00850</v>
      </c>
      <c r="N10101" t="s">
        <v>7943</v>
      </c>
      <c r="O10101">
        <v>480</v>
      </c>
      <c r="P10101">
        <v>20190807</v>
      </c>
      <c r="Q10101" t="s">
        <v>7205</v>
      </c>
      <c r="R10101" t="s">
        <v>7944</v>
      </c>
      <c r="S10101" t="s">
        <v>7000</v>
      </c>
      <c r="T10101" t="s">
        <v>301</v>
      </c>
    </row>
    <row r="10102" spans="1:20" x14ac:dyDescent="0.25">
      <c r="A10102">
        <v>9</v>
      </c>
      <c r="B10102">
        <v>461</v>
      </c>
      <c r="C10102" t="str">
        <f t="shared" si="2299"/>
        <v>36</v>
      </c>
      <c r="D10102">
        <v>6499</v>
      </c>
      <c r="E10102" t="str">
        <f>"TA"</f>
        <v>TA</v>
      </c>
      <c r="F10102" t="str">
        <f t="shared" si="2303"/>
        <v>001</v>
      </c>
      <c r="G10102">
        <v>9</v>
      </c>
      <c r="H10102" t="str">
        <f>"99"</f>
        <v>99</v>
      </c>
      <c r="I10102" t="str">
        <f t="shared" si="2300"/>
        <v>0</v>
      </c>
      <c r="J10102" t="str">
        <f t="shared" si="2304"/>
        <v>00</v>
      </c>
      <c r="K10102">
        <v>20190809</v>
      </c>
      <c r="L10102" t="str">
        <f>"077598"</f>
        <v>077598</v>
      </c>
      <c r="M10102" t="str">
        <f>"25144"</f>
        <v>25144</v>
      </c>
      <c r="N10102" t="s">
        <v>1620</v>
      </c>
      <c r="O10102">
        <v>357.3</v>
      </c>
      <c r="P10102">
        <v>20190807</v>
      </c>
      <c r="Q10102" t="s">
        <v>7269</v>
      </c>
      <c r="R10102" t="s">
        <v>7934</v>
      </c>
      <c r="S10102" t="s">
        <v>7000</v>
      </c>
      <c r="T10102" t="s">
        <v>301</v>
      </c>
    </row>
    <row r="10103" spans="1:20" x14ac:dyDescent="0.25">
      <c r="A10103">
        <v>9</v>
      </c>
      <c r="B10103">
        <v>461</v>
      </c>
      <c r="C10103" t="str">
        <f t="shared" si="2299"/>
        <v>36</v>
      </c>
      <c r="D10103">
        <v>6412</v>
      </c>
      <c r="E10103" t="str">
        <f>"3Y"</f>
        <v>3Y</v>
      </c>
      <c r="F10103" t="str">
        <f t="shared" si="2303"/>
        <v>001</v>
      </c>
      <c r="G10103">
        <v>9</v>
      </c>
      <c r="H10103" t="str">
        <f>"91"</f>
        <v>91</v>
      </c>
      <c r="I10103" t="str">
        <f t="shared" si="2300"/>
        <v>0</v>
      </c>
      <c r="J10103" t="str">
        <f t="shared" si="2304"/>
        <v>00</v>
      </c>
      <c r="K10103">
        <v>20190809</v>
      </c>
      <c r="L10103" t="str">
        <f>"077600"</f>
        <v>077600</v>
      </c>
      <c r="M10103" t="str">
        <f>"25853"</f>
        <v>25853</v>
      </c>
      <c r="N10103" t="s">
        <v>3941</v>
      </c>
      <c r="O10103" s="1">
        <v>3600</v>
      </c>
      <c r="P10103">
        <v>20190807</v>
      </c>
      <c r="Q10103" t="s">
        <v>7141</v>
      </c>
      <c r="R10103" t="s">
        <v>1437</v>
      </c>
      <c r="S10103" t="s">
        <v>7000</v>
      </c>
      <c r="T10103" t="s">
        <v>301</v>
      </c>
    </row>
    <row r="10104" spans="1:20" x14ac:dyDescent="0.25">
      <c r="A10104">
        <v>9</v>
      </c>
      <c r="B10104">
        <v>461</v>
      </c>
      <c r="C10104" t="str">
        <f t="shared" ref="C10104:C10135" si="2305">"36"</f>
        <v>36</v>
      </c>
      <c r="D10104">
        <v>6399</v>
      </c>
      <c r="E10104" t="str">
        <f>"38"</f>
        <v>38</v>
      </c>
      <c r="F10104" t="str">
        <f t="shared" si="2303"/>
        <v>001</v>
      </c>
      <c r="G10104">
        <v>9</v>
      </c>
      <c r="H10104" t="str">
        <f>"91"</f>
        <v>91</v>
      </c>
      <c r="I10104" t="str">
        <f t="shared" si="2300"/>
        <v>0</v>
      </c>
      <c r="J10104" t="str">
        <f t="shared" si="2304"/>
        <v>00</v>
      </c>
      <c r="K10104">
        <v>20190809</v>
      </c>
      <c r="L10104" t="str">
        <f t="shared" ref="L10104:L10109" si="2306">"077611"</f>
        <v>077611</v>
      </c>
      <c r="M10104" t="str">
        <f t="shared" ref="M10104:M10109" si="2307">"31345"</f>
        <v>31345</v>
      </c>
      <c r="N10104" t="s">
        <v>1394</v>
      </c>
      <c r="O10104">
        <v>889.2</v>
      </c>
      <c r="P10104">
        <v>20190807</v>
      </c>
      <c r="Q10104" t="s">
        <v>7094</v>
      </c>
      <c r="R10104" t="s">
        <v>7536</v>
      </c>
      <c r="S10104" t="s">
        <v>7000</v>
      </c>
      <c r="T10104" t="s">
        <v>301</v>
      </c>
    </row>
    <row r="10105" spans="1:20" x14ac:dyDescent="0.25">
      <c r="A10105">
        <v>9</v>
      </c>
      <c r="B10105">
        <v>461</v>
      </c>
      <c r="C10105" t="str">
        <f t="shared" si="2305"/>
        <v>36</v>
      </c>
      <c r="D10105">
        <v>6399</v>
      </c>
      <c r="E10105" t="str">
        <f>"38"</f>
        <v>38</v>
      </c>
      <c r="F10105" t="str">
        <f t="shared" si="2303"/>
        <v>001</v>
      </c>
      <c r="G10105">
        <v>9</v>
      </c>
      <c r="H10105" t="str">
        <f>"91"</f>
        <v>91</v>
      </c>
      <c r="I10105" t="str">
        <f t="shared" si="2300"/>
        <v>0</v>
      </c>
      <c r="J10105" t="str">
        <f t="shared" si="2304"/>
        <v>00</v>
      </c>
      <c r="K10105">
        <v>20190809</v>
      </c>
      <c r="L10105" t="str">
        <f t="shared" si="2306"/>
        <v>077611</v>
      </c>
      <c r="M10105" t="str">
        <f t="shared" si="2307"/>
        <v>31345</v>
      </c>
      <c r="N10105" t="s">
        <v>1394</v>
      </c>
      <c r="O10105">
        <v>777</v>
      </c>
      <c r="P10105">
        <v>20190807</v>
      </c>
      <c r="Q10105" t="s">
        <v>7094</v>
      </c>
      <c r="R10105" t="s">
        <v>7536</v>
      </c>
      <c r="S10105" t="s">
        <v>7000</v>
      </c>
      <c r="T10105" t="s">
        <v>301</v>
      </c>
    </row>
    <row r="10106" spans="1:20" x14ac:dyDescent="0.25">
      <c r="A10106">
        <v>9</v>
      </c>
      <c r="B10106">
        <v>461</v>
      </c>
      <c r="C10106" t="str">
        <f t="shared" si="2305"/>
        <v>36</v>
      </c>
      <c r="D10106">
        <v>6399</v>
      </c>
      <c r="E10106" t="str">
        <f>"49"</f>
        <v>49</v>
      </c>
      <c r="F10106" t="str">
        <f t="shared" si="2303"/>
        <v>001</v>
      </c>
      <c r="G10106">
        <v>9</v>
      </c>
      <c r="H10106" t="str">
        <f>"91"</f>
        <v>91</v>
      </c>
      <c r="I10106" t="str">
        <f t="shared" si="2300"/>
        <v>0</v>
      </c>
      <c r="J10106" t="str">
        <f t="shared" si="2304"/>
        <v>00</v>
      </c>
      <c r="K10106">
        <v>20190809</v>
      </c>
      <c r="L10106" t="str">
        <f t="shared" si="2306"/>
        <v>077611</v>
      </c>
      <c r="M10106" t="str">
        <f t="shared" si="2307"/>
        <v>31345</v>
      </c>
      <c r="N10106" t="s">
        <v>1394</v>
      </c>
      <c r="O10106" s="1">
        <v>1025</v>
      </c>
      <c r="P10106">
        <v>20190807</v>
      </c>
      <c r="Q10106" t="s">
        <v>7153</v>
      </c>
      <c r="R10106" t="s">
        <v>7945</v>
      </c>
      <c r="S10106" t="s">
        <v>7000</v>
      </c>
      <c r="T10106" t="s">
        <v>301</v>
      </c>
    </row>
    <row r="10107" spans="1:20" x14ac:dyDescent="0.25">
      <c r="A10107">
        <v>9</v>
      </c>
      <c r="B10107">
        <v>461</v>
      </c>
      <c r="C10107" t="str">
        <f t="shared" si="2305"/>
        <v>36</v>
      </c>
      <c r="D10107">
        <v>6399</v>
      </c>
      <c r="E10107" t="str">
        <f>"49"</f>
        <v>49</v>
      </c>
      <c r="F10107" t="str">
        <f t="shared" si="2303"/>
        <v>001</v>
      </c>
      <c r="G10107">
        <v>9</v>
      </c>
      <c r="H10107" t="str">
        <f>"91"</f>
        <v>91</v>
      </c>
      <c r="I10107" t="str">
        <f t="shared" si="2300"/>
        <v>0</v>
      </c>
      <c r="J10107" t="str">
        <f t="shared" si="2304"/>
        <v>00</v>
      </c>
      <c r="K10107">
        <v>20190809</v>
      </c>
      <c r="L10107" t="str">
        <f t="shared" si="2306"/>
        <v>077611</v>
      </c>
      <c r="M10107" t="str">
        <f t="shared" si="2307"/>
        <v>31345</v>
      </c>
      <c r="N10107" t="s">
        <v>1394</v>
      </c>
      <c r="O10107">
        <v>676</v>
      </c>
      <c r="P10107">
        <v>20190807</v>
      </c>
      <c r="Q10107" t="s">
        <v>7153</v>
      </c>
      <c r="R10107" t="s">
        <v>7946</v>
      </c>
      <c r="S10107" t="s">
        <v>7000</v>
      </c>
      <c r="T10107" t="s">
        <v>301</v>
      </c>
    </row>
    <row r="10108" spans="1:20" x14ac:dyDescent="0.25">
      <c r="A10108">
        <v>9</v>
      </c>
      <c r="B10108">
        <v>461</v>
      </c>
      <c r="C10108" t="str">
        <f t="shared" si="2305"/>
        <v>36</v>
      </c>
      <c r="D10108">
        <v>6399</v>
      </c>
      <c r="E10108" t="str">
        <f>"7B"</f>
        <v>7B</v>
      </c>
      <c r="F10108" t="str">
        <f t="shared" si="2303"/>
        <v>001</v>
      </c>
      <c r="G10108">
        <v>9</v>
      </c>
      <c r="H10108" t="str">
        <f>"99"</f>
        <v>99</v>
      </c>
      <c r="I10108" t="str">
        <f t="shared" si="2300"/>
        <v>0</v>
      </c>
      <c r="J10108" t="str">
        <f t="shared" si="2304"/>
        <v>00</v>
      </c>
      <c r="K10108">
        <v>20190809</v>
      </c>
      <c r="L10108" t="str">
        <f t="shared" si="2306"/>
        <v>077611</v>
      </c>
      <c r="M10108" t="str">
        <f t="shared" si="2307"/>
        <v>31345</v>
      </c>
      <c r="N10108" t="s">
        <v>1394</v>
      </c>
      <c r="O10108" s="1">
        <v>1706.25</v>
      </c>
      <c r="P10108">
        <v>20190807</v>
      </c>
      <c r="Q10108" t="s">
        <v>7042</v>
      </c>
      <c r="R10108" t="s">
        <v>7536</v>
      </c>
      <c r="S10108" t="s">
        <v>7000</v>
      </c>
      <c r="T10108" t="s">
        <v>301</v>
      </c>
    </row>
    <row r="10109" spans="1:20" x14ac:dyDescent="0.25">
      <c r="A10109">
        <v>9</v>
      </c>
      <c r="B10109">
        <v>461</v>
      </c>
      <c r="C10109" t="str">
        <f t="shared" si="2305"/>
        <v>36</v>
      </c>
      <c r="D10109">
        <v>6399</v>
      </c>
      <c r="E10109" t="str">
        <f>"7B"</f>
        <v>7B</v>
      </c>
      <c r="F10109" t="str">
        <f t="shared" si="2303"/>
        <v>001</v>
      </c>
      <c r="G10109">
        <v>9</v>
      </c>
      <c r="H10109" t="str">
        <f>"99"</f>
        <v>99</v>
      </c>
      <c r="I10109" t="str">
        <f t="shared" si="2300"/>
        <v>0</v>
      </c>
      <c r="J10109" t="str">
        <f t="shared" si="2304"/>
        <v>00</v>
      </c>
      <c r="K10109">
        <v>20190809</v>
      </c>
      <c r="L10109" t="str">
        <f t="shared" si="2306"/>
        <v>077611</v>
      </c>
      <c r="M10109" t="str">
        <f t="shared" si="2307"/>
        <v>31345</v>
      </c>
      <c r="N10109" t="s">
        <v>1394</v>
      </c>
      <c r="O10109">
        <v>285</v>
      </c>
      <c r="P10109">
        <v>20190807</v>
      </c>
      <c r="Q10109" t="s">
        <v>7042</v>
      </c>
      <c r="R10109" t="s">
        <v>7947</v>
      </c>
      <c r="S10109" t="s">
        <v>7000</v>
      </c>
      <c r="T10109" t="s">
        <v>301</v>
      </c>
    </row>
    <row r="10110" spans="1:20" x14ac:dyDescent="0.25">
      <c r="A10110">
        <v>9</v>
      </c>
      <c r="B10110">
        <v>461</v>
      </c>
      <c r="C10110" t="str">
        <f t="shared" si="2305"/>
        <v>36</v>
      </c>
      <c r="D10110">
        <v>6299</v>
      </c>
      <c r="E10110" t="str">
        <f>"7K"</f>
        <v>7K</v>
      </c>
      <c r="F10110" t="str">
        <f t="shared" si="2303"/>
        <v>001</v>
      </c>
      <c r="G10110">
        <v>9</v>
      </c>
      <c r="H10110" t="str">
        <f>"99"</f>
        <v>99</v>
      </c>
      <c r="I10110" t="str">
        <f t="shared" si="2300"/>
        <v>0</v>
      </c>
      <c r="J10110" t="str">
        <f t="shared" si="2304"/>
        <v>00</v>
      </c>
      <c r="K10110">
        <v>20190809</v>
      </c>
      <c r="L10110" t="str">
        <f>"077615"</f>
        <v>077615</v>
      </c>
      <c r="M10110" t="str">
        <f>"34525"</f>
        <v>34525</v>
      </c>
      <c r="N10110" t="s">
        <v>3389</v>
      </c>
      <c r="O10110">
        <v>200</v>
      </c>
      <c r="P10110">
        <v>20190807</v>
      </c>
      <c r="Q10110" t="s">
        <v>7205</v>
      </c>
      <c r="R10110" t="s">
        <v>7948</v>
      </c>
      <c r="S10110" t="s">
        <v>7000</v>
      </c>
      <c r="T10110" t="s">
        <v>301</v>
      </c>
    </row>
    <row r="10111" spans="1:20" x14ac:dyDescent="0.25">
      <c r="A10111">
        <v>9</v>
      </c>
      <c r="B10111">
        <v>461</v>
      </c>
      <c r="C10111" t="str">
        <f t="shared" si="2305"/>
        <v>36</v>
      </c>
      <c r="D10111">
        <v>6411</v>
      </c>
      <c r="E10111" t="str">
        <f>"8M"</f>
        <v>8M</v>
      </c>
      <c r="F10111" t="str">
        <f t="shared" si="2303"/>
        <v>001</v>
      </c>
      <c r="G10111">
        <v>9</v>
      </c>
      <c r="H10111" t="str">
        <f>"99"</f>
        <v>99</v>
      </c>
      <c r="I10111" t="str">
        <f t="shared" si="2300"/>
        <v>0</v>
      </c>
      <c r="J10111" t="str">
        <f t="shared" si="2304"/>
        <v>00</v>
      </c>
      <c r="K10111">
        <v>20190809</v>
      </c>
      <c r="L10111" t="str">
        <f>"077617"</f>
        <v>077617</v>
      </c>
      <c r="M10111" t="str">
        <f>"37805"</f>
        <v>37805</v>
      </c>
      <c r="N10111" t="s">
        <v>1627</v>
      </c>
      <c r="O10111">
        <v>379</v>
      </c>
      <c r="P10111">
        <v>20190807</v>
      </c>
      <c r="Q10111" t="s">
        <v>7949</v>
      </c>
      <c r="R10111" t="s">
        <v>7950</v>
      </c>
      <c r="S10111" t="s">
        <v>7000</v>
      </c>
      <c r="T10111" t="s">
        <v>301</v>
      </c>
    </row>
    <row r="10112" spans="1:20" x14ac:dyDescent="0.25">
      <c r="A10112">
        <v>9</v>
      </c>
      <c r="B10112">
        <v>461</v>
      </c>
      <c r="C10112" t="str">
        <f t="shared" si="2305"/>
        <v>36</v>
      </c>
      <c r="D10112">
        <v>6399</v>
      </c>
      <c r="E10112" t="str">
        <f>"H2"</f>
        <v>H2</v>
      </c>
      <c r="F10112" t="str">
        <f t="shared" si="2303"/>
        <v>001</v>
      </c>
      <c r="G10112">
        <v>9</v>
      </c>
      <c r="H10112" t="str">
        <f>"99"</f>
        <v>99</v>
      </c>
      <c r="I10112" t="str">
        <f t="shared" si="2300"/>
        <v>0</v>
      </c>
      <c r="J10112" t="str">
        <f t="shared" si="2304"/>
        <v>00</v>
      </c>
      <c r="K10112">
        <v>20190809</v>
      </c>
      <c r="L10112" t="str">
        <f>"077634"</f>
        <v>077634</v>
      </c>
      <c r="M10112" t="str">
        <f>"47600"</f>
        <v>47600</v>
      </c>
      <c r="N10112" t="s">
        <v>7818</v>
      </c>
      <c r="O10112" s="1">
        <v>1285.5</v>
      </c>
      <c r="P10112">
        <v>20190807</v>
      </c>
      <c r="Q10112" t="s">
        <v>7033</v>
      </c>
      <c r="R10112" t="s">
        <v>7951</v>
      </c>
      <c r="S10112" t="s">
        <v>7000</v>
      </c>
      <c r="T10112" t="s">
        <v>301</v>
      </c>
    </row>
    <row r="10113" spans="1:20" x14ac:dyDescent="0.25">
      <c r="A10113">
        <v>9</v>
      </c>
      <c r="B10113">
        <v>461</v>
      </c>
      <c r="C10113" t="str">
        <f t="shared" si="2305"/>
        <v>36</v>
      </c>
      <c r="D10113">
        <v>6399</v>
      </c>
      <c r="E10113" t="str">
        <f>"62"</f>
        <v>62</v>
      </c>
      <c r="F10113" t="str">
        <f t="shared" si="2303"/>
        <v>001</v>
      </c>
      <c r="G10113">
        <v>9</v>
      </c>
      <c r="H10113" t="str">
        <f>"91"</f>
        <v>91</v>
      </c>
      <c r="I10113" t="str">
        <f t="shared" si="2300"/>
        <v>0</v>
      </c>
      <c r="J10113" t="str">
        <f t="shared" si="2304"/>
        <v>00</v>
      </c>
      <c r="K10113">
        <v>20190809</v>
      </c>
      <c r="L10113" t="str">
        <f>"077636"</f>
        <v>077636</v>
      </c>
      <c r="M10113" t="str">
        <f>"49445"</f>
        <v>49445</v>
      </c>
      <c r="N10113" t="s">
        <v>986</v>
      </c>
      <c r="O10113">
        <v>750</v>
      </c>
      <c r="P10113">
        <v>20190807</v>
      </c>
      <c r="Q10113" t="s">
        <v>7833</v>
      </c>
      <c r="R10113" t="s">
        <v>7952</v>
      </c>
      <c r="S10113" t="s">
        <v>7000</v>
      </c>
      <c r="T10113" t="s">
        <v>301</v>
      </c>
    </row>
    <row r="10114" spans="1:20" x14ac:dyDescent="0.25">
      <c r="A10114">
        <v>9</v>
      </c>
      <c r="B10114">
        <v>461</v>
      </c>
      <c r="C10114" t="str">
        <f t="shared" si="2305"/>
        <v>36</v>
      </c>
      <c r="D10114">
        <v>6399</v>
      </c>
      <c r="E10114" t="str">
        <f>"3T"</f>
        <v>3T</v>
      </c>
      <c r="F10114" t="str">
        <f t="shared" si="2303"/>
        <v>001</v>
      </c>
      <c r="G10114">
        <v>9</v>
      </c>
      <c r="H10114" t="str">
        <f>"91"</f>
        <v>91</v>
      </c>
      <c r="I10114" t="str">
        <f t="shared" ref="I10114:I10147" si="2308">"0"</f>
        <v>0</v>
      </c>
      <c r="J10114" t="str">
        <f t="shared" si="2304"/>
        <v>00</v>
      </c>
      <c r="K10114">
        <v>20190809</v>
      </c>
      <c r="L10114" t="str">
        <f>"077661"</f>
        <v>077661</v>
      </c>
      <c r="M10114" t="str">
        <f>"00838"</f>
        <v>00838</v>
      </c>
      <c r="N10114" t="s">
        <v>7953</v>
      </c>
      <c r="O10114" s="1">
        <v>2420</v>
      </c>
      <c r="P10114">
        <v>20190807</v>
      </c>
      <c r="Q10114" t="s">
        <v>7053</v>
      </c>
      <c r="R10114" t="s">
        <v>7954</v>
      </c>
      <c r="S10114" t="s">
        <v>7000</v>
      </c>
      <c r="T10114" t="s">
        <v>301</v>
      </c>
    </row>
    <row r="10115" spans="1:20" x14ac:dyDescent="0.25">
      <c r="A10115">
        <v>9</v>
      </c>
      <c r="B10115">
        <v>461</v>
      </c>
      <c r="C10115" t="str">
        <f t="shared" si="2305"/>
        <v>36</v>
      </c>
      <c r="D10115">
        <v>6412</v>
      </c>
      <c r="E10115" t="str">
        <f>"3Y"</f>
        <v>3Y</v>
      </c>
      <c r="F10115" t="str">
        <f t="shared" si="2303"/>
        <v>001</v>
      </c>
      <c r="G10115">
        <v>9</v>
      </c>
      <c r="H10115" t="str">
        <f>"91"</f>
        <v>91</v>
      </c>
      <c r="I10115" t="str">
        <f t="shared" si="2308"/>
        <v>0</v>
      </c>
      <c r="J10115" t="str">
        <f t="shared" si="2304"/>
        <v>00</v>
      </c>
      <c r="K10115">
        <v>20190809</v>
      </c>
      <c r="L10115" t="str">
        <f>"077665"</f>
        <v>077665</v>
      </c>
      <c r="M10115" t="str">
        <f>"00826"</f>
        <v>00826</v>
      </c>
      <c r="N10115" t="s">
        <v>7955</v>
      </c>
      <c r="O10115" s="1">
        <v>1421.28</v>
      </c>
      <c r="P10115">
        <v>20190807</v>
      </c>
      <c r="Q10115" t="s">
        <v>7141</v>
      </c>
      <c r="R10115" t="s">
        <v>1437</v>
      </c>
      <c r="S10115" t="s">
        <v>7000</v>
      </c>
      <c r="T10115" t="s">
        <v>301</v>
      </c>
    </row>
    <row r="10116" spans="1:20" x14ac:dyDescent="0.25">
      <c r="A10116">
        <v>9</v>
      </c>
      <c r="B10116">
        <v>461</v>
      </c>
      <c r="C10116" t="str">
        <f t="shared" si="2305"/>
        <v>36</v>
      </c>
      <c r="D10116">
        <v>6499</v>
      </c>
      <c r="E10116" t="str">
        <f>"GD"</f>
        <v>GD</v>
      </c>
      <c r="F10116" t="str">
        <f t="shared" si="2303"/>
        <v>001</v>
      </c>
      <c r="G10116">
        <v>9</v>
      </c>
      <c r="H10116" t="str">
        <f>"99"</f>
        <v>99</v>
      </c>
      <c r="I10116" t="str">
        <f t="shared" si="2308"/>
        <v>0</v>
      </c>
      <c r="J10116" t="str">
        <f t="shared" si="2304"/>
        <v>00</v>
      </c>
      <c r="K10116">
        <v>20190809</v>
      </c>
      <c r="L10116" t="str">
        <f>"077668"</f>
        <v>077668</v>
      </c>
      <c r="M10116" t="str">
        <f>"76508"</f>
        <v>76508</v>
      </c>
      <c r="N10116" t="s">
        <v>312</v>
      </c>
      <c r="O10116">
        <v>500</v>
      </c>
      <c r="P10116">
        <v>20190807</v>
      </c>
      <c r="Q10116" t="s">
        <v>7879</v>
      </c>
      <c r="R10116" t="s">
        <v>7880</v>
      </c>
      <c r="S10116" t="s">
        <v>7000</v>
      </c>
      <c r="T10116" t="s">
        <v>301</v>
      </c>
    </row>
    <row r="10117" spans="1:20" x14ac:dyDescent="0.25">
      <c r="A10117">
        <v>9</v>
      </c>
      <c r="B10117">
        <v>461</v>
      </c>
      <c r="C10117" t="str">
        <f t="shared" si="2305"/>
        <v>36</v>
      </c>
      <c r="D10117">
        <v>6399</v>
      </c>
      <c r="E10117" t="str">
        <f>"49"</f>
        <v>49</v>
      </c>
      <c r="F10117" t="str">
        <f t="shared" si="2303"/>
        <v>001</v>
      </c>
      <c r="G10117">
        <v>9</v>
      </c>
      <c r="H10117" t="str">
        <f>"91"</f>
        <v>91</v>
      </c>
      <c r="I10117" t="str">
        <f t="shared" si="2308"/>
        <v>0</v>
      </c>
      <c r="J10117" t="str">
        <f t="shared" si="2304"/>
        <v>00</v>
      </c>
      <c r="K10117">
        <v>20190809</v>
      </c>
      <c r="L10117" t="str">
        <f>"077672"</f>
        <v>077672</v>
      </c>
      <c r="M10117" t="str">
        <f>"81303"</f>
        <v>81303</v>
      </c>
      <c r="N10117" t="s">
        <v>66</v>
      </c>
      <c r="O10117">
        <v>250.5</v>
      </c>
      <c r="P10117">
        <v>20190808</v>
      </c>
      <c r="Q10117" t="s">
        <v>7153</v>
      </c>
      <c r="R10117" t="s">
        <v>7956</v>
      </c>
      <c r="S10117" t="s">
        <v>7000</v>
      </c>
      <c r="T10117" t="s">
        <v>301</v>
      </c>
    </row>
    <row r="10118" spans="1:20" x14ac:dyDescent="0.25">
      <c r="A10118">
        <v>9</v>
      </c>
      <c r="B10118">
        <v>461</v>
      </c>
      <c r="C10118" t="str">
        <f t="shared" si="2305"/>
        <v>36</v>
      </c>
      <c r="D10118">
        <v>6399</v>
      </c>
      <c r="E10118" t="str">
        <f>"GN"</f>
        <v>GN</v>
      </c>
      <c r="F10118" t="str">
        <f t="shared" si="2303"/>
        <v>001</v>
      </c>
      <c r="G10118">
        <v>9</v>
      </c>
      <c r="H10118" t="str">
        <f>"99"</f>
        <v>99</v>
      </c>
      <c r="I10118" t="str">
        <f t="shared" si="2308"/>
        <v>0</v>
      </c>
      <c r="J10118" t="str">
        <f t="shared" si="2304"/>
        <v>00</v>
      </c>
      <c r="K10118">
        <v>20190809</v>
      </c>
      <c r="L10118" t="str">
        <f>"077672"</f>
        <v>077672</v>
      </c>
      <c r="M10118" t="str">
        <f>"81303"</f>
        <v>81303</v>
      </c>
      <c r="N10118" t="s">
        <v>66</v>
      </c>
      <c r="O10118">
        <v>84</v>
      </c>
      <c r="P10118">
        <v>20190808</v>
      </c>
      <c r="Q10118" t="s">
        <v>7043</v>
      </c>
      <c r="R10118" t="s">
        <v>7957</v>
      </c>
      <c r="S10118" t="s">
        <v>7000</v>
      </c>
      <c r="T10118" t="s">
        <v>301</v>
      </c>
    </row>
    <row r="10119" spans="1:20" x14ac:dyDescent="0.25">
      <c r="A10119">
        <v>9</v>
      </c>
      <c r="B10119">
        <v>461</v>
      </c>
      <c r="C10119" t="str">
        <f t="shared" si="2305"/>
        <v>36</v>
      </c>
      <c r="D10119">
        <v>6399</v>
      </c>
      <c r="E10119" t="str">
        <f>"Y5"</f>
        <v>Y5</v>
      </c>
      <c r="F10119" t="str">
        <f>"802"</f>
        <v>802</v>
      </c>
      <c r="G10119">
        <v>9</v>
      </c>
      <c r="H10119" t="str">
        <f>"99"</f>
        <v>99</v>
      </c>
      <c r="I10119" t="str">
        <f t="shared" si="2308"/>
        <v>0</v>
      </c>
      <c r="J10119" t="str">
        <f t="shared" si="2304"/>
        <v>00</v>
      </c>
      <c r="K10119">
        <v>20190809</v>
      </c>
      <c r="L10119" t="str">
        <f>"077672"</f>
        <v>077672</v>
      </c>
      <c r="M10119" t="str">
        <f>"81303"</f>
        <v>81303</v>
      </c>
      <c r="N10119" t="s">
        <v>66</v>
      </c>
      <c r="O10119">
        <v>33.119999999999997</v>
      </c>
      <c r="P10119">
        <v>20190808</v>
      </c>
      <c r="Q10119" t="s">
        <v>7021</v>
      </c>
      <c r="R10119" t="s">
        <v>7958</v>
      </c>
      <c r="S10119" t="s">
        <v>7000</v>
      </c>
      <c r="T10119" t="s">
        <v>7023</v>
      </c>
    </row>
    <row r="10120" spans="1:20" x14ac:dyDescent="0.25">
      <c r="A10120">
        <v>9</v>
      </c>
      <c r="B10120">
        <v>461</v>
      </c>
      <c r="C10120" t="str">
        <f t="shared" si="2305"/>
        <v>36</v>
      </c>
      <c r="D10120">
        <v>6399</v>
      </c>
      <c r="E10120" t="str">
        <f>"7U"</f>
        <v>7U</v>
      </c>
      <c r="F10120" t="str">
        <f>"104"</f>
        <v>104</v>
      </c>
      <c r="G10120">
        <v>9</v>
      </c>
      <c r="H10120" t="str">
        <f>"99"</f>
        <v>99</v>
      </c>
      <c r="I10120" t="str">
        <f t="shared" si="2308"/>
        <v>0</v>
      </c>
      <c r="J10120" t="str">
        <f t="shared" si="2304"/>
        <v>00</v>
      </c>
      <c r="K10120">
        <v>20190816</v>
      </c>
      <c r="L10120" t="str">
        <f>"077685"</f>
        <v>077685</v>
      </c>
      <c r="M10120" t="str">
        <f>"11759"</f>
        <v>11759</v>
      </c>
      <c r="N10120" t="s">
        <v>2845</v>
      </c>
      <c r="O10120">
        <v>334.4</v>
      </c>
      <c r="P10120">
        <v>20190815</v>
      </c>
      <c r="Q10120" t="s">
        <v>7193</v>
      </c>
      <c r="R10120" t="s">
        <v>7959</v>
      </c>
      <c r="S10120" t="s">
        <v>7000</v>
      </c>
      <c r="T10120" t="s">
        <v>46</v>
      </c>
    </row>
    <row r="10121" spans="1:20" x14ac:dyDescent="0.25">
      <c r="A10121">
        <v>9</v>
      </c>
      <c r="B10121">
        <v>461</v>
      </c>
      <c r="C10121" t="str">
        <f t="shared" si="2305"/>
        <v>36</v>
      </c>
      <c r="D10121">
        <v>6399</v>
      </c>
      <c r="E10121" t="str">
        <f>"7E"</f>
        <v>7E</v>
      </c>
      <c r="F10121" t="str">
        <f>"001"</f>
        <v>001</v>
      </c>
      <c r="G10121">
        <v>9</v>
      </c>
      <c r="H10121" t="str">
        <f>"99"</f>
        <v>99</v>
      </c>
      <c r="I10121" t="str">
        <f t="shared" si="2308"/>
        <v>0</v>
      </c>
      <c r="J10121" t="str">
        <f t="shared" si="2304"/>
        <v>00</v>
      </c>
      <c r="K10121">
        <v>20190816</v>
      </c>
      <c r="L10121" t="str">
        <f>"077698"</f>
        <v>077698</v>
      </c>
      <c r="M10121" t="str">
        <f>"28684"</f>
        <v>28684</v>
      </c>
      <c r="N10121" t="s">
        <v>2867</v>
      </c>
      <c r="O10121">
        <v>155</v>
      </c>
      <c r="P10121">
        <v>20190814</v>
      </c>
      <c r="Q10121" t="s">
        <v>7055</v>
      </c>
      <c r="R10121" t="s">
        <v>7960</v>
      </c>
      <c r="S10121" t="s">
        <v>7000</v>
      </c>
      <c r="T10121" t="s">
        <v>301</v>
      </c>
    </row>
    <row r="10122" spans="1:20" x14ac:dyDescent="0.25">
      <c r="A10122">
        <v>9</v>
      </c>
      <c r="B10122">
        <v>461</v>
      </c>
      <c r="C10122" t="str">
        <f t="shared" si="2305"/>
        <v>36</v>
      </c>
      <c r="D10122">
        <v>6399</v>
      </c>
      <c r="E10122" t="str">
        <f>"CS"</f>
        <v>CS</v>
      </c>
      <c r="F10122" t="str">
        <f>"001"</f>
        <v>001</v>
      </c>
      <c r="G10122">
        <v>9</v>
      </c>
      <c r="H10122" t="str">
        <f>"91"</f>
        <v>91</v>
      </c>
      <c r="I10122" t="str">
        <f t="shared" si="2308"/>
        <v>0</v>
      </c>
      <c r="J10122" t="str">
        <f t="shared" si="2304"/>
        <v>00</v>
      </c>
      <c r="K10122">
        <v>20190816</v>
      </c>
      <c r="L10122" t="str">
        <f>"077723"</f>
        <v>077723</v>
      </c>
      <c r="M10122" t="str">
        <f>"65106"</f>
        <v>65106</v>
      </c>
      <c r="N10122" t="s">
        <v>1175</v>
      </c>
      <c r="O10122">
        <v>520.41</v>
      </c>
      <c r="P10122">
        <v>20190814</v>
      </c>
      <c r="Q10122" t="s">
        <v>6998</v>
      </c>
      <c r="R10122" t="s">
        <v>6999</v>
      </c>
      <c r="S10122" t="s">
        <v>7000</v>
      </c>
      <c r="T10122" t="s">
        <v>301</v>
      </c>
    </row>
    <row r="10123" spans="1:20" x14ac:dyDescent="0.25">
      <c r="A10123">
        <v>9</v>
      </c>
      <c r="B10123">
        <v>461</v>
      </c>
      <c r="C10123" t="str">
        <f t="shared" si="2305"/>
        <v>36</v>
      </c>
      <c r="D10123">
        <v>6399</v>
      </c>
      <c r="E10123" t="str">
        <f>"CS"</f>
        <v>CS</v>
      </c>
      <c r="F10123" t="str">
        <f>"001"</f>
        <v>001</v>
      </c>
      <c r="G10123">
        <v>9</v>
      </c>
      <c r="H10123" t="str">
        <f>"91"</f>
        <v>91</v>
      </c>
      <c r="I10123" t="str">
        <f t="shared" si="2308"/>
        <v>0</v>
      </c>
      <c r="J10123" t="str">
        <f t="shared" si="2304"/>
        <v>00</v>
      </c>
      <c r="K10123">
        <v>20190816</v>
      </c>
      <c r="L10123" t="str">
        <f>"077723"</f>
        <v>077723</v>
      </c>
      <c r="M10123" t="str">
        <f>"65106"</f>
        <v>65106</v>
      </c>
      <c r="N10123" t="s">
        <v>1175</v>
      </c>
      <c r="O10123">
        <v>474.22</v>
      </c>
      <c r="P10123">
        <v>20190814</v>
      </c>
      <c r="Q10123" t="s">
        <v>6998</v>
      </c>
      <c r="R10123" t="s">
        <v>6999</v>
      </c>
      <c r="S10123" t="s">
        <v>7000</v>
      </c>
      <c r="T10123" t="s">
        <v>301</v>
      </c>
    </row>
    <row r="10124" spans="1:20" x14ac:dyDescent="0.25">
      <c r="A10124">
        <v>9</v>
      </c>
      <c r="B10124">
        <v>461</v>
      </c>
      <c r="C10124" t="str">
        <f t="shared" si="2305"/>
        <v>36</v>
      </c>
      <c r="D10124">
        <v>6399</v>
      </c>
      <c r="E10124" t="str">
        <f>"PR"</f>
        <v>PR</v>
      </c>
      <c r="F10124" t="str">
        <f>"104"</f>
        <v>104</v>
      </c>
      <c r="G10124">
        <v>9</v>
      </c>
      <c r="H10124" t="str">
        <f>"99"</f>
        <v>99</v>
      </c>
      <c r="I10124" t="str">
        <f t="shared" si="2308"/>
        <v>0</v>
      </c>
      <c r="J10124" t="str">
        <f t="shared" si="2304"/>
        <v>00</v>
      </c>
      <c r="K10124">
        <v>20190816</v>
      </c>
      <c r="L10124" t="str">
        <f>"077723"</f>
        <v>077723</v>
      </c>
      <c r="M10124" t="str">
        <f>"65106"</f>
        <v>65106</v>
      </c>
      <c r="N10124" t="s">
        <v>1175</v>
      </c>
      <c r="O10124">
        <v>274.92</v>
      </c>
      <c r="P10124">
        <v>20190814</v>
      </c>
      <c r="Q10124" t="s">
        <v>7014</v>
      </c>
      <c r="R10124" t="s">
        <v>2902</v>
      </c>
      <c r="S10124" t="s">
        <v>7000</v>
      </c>
      <c r="T10124" t="s">
        <v>46</v>
      </c>
    </row>
    <row r="10125" spans="1:20" x14ac:dyDescent="0.25">
      <c r="A10125">
        <v>9</v>
      </c>
      <c r="B10125">
        <v>461</v>
      </c>
      <c r="C10125" t="str">
        <f t="shared" si="2305"/>
        <v>36</v>
      </c>
      <c r="D10125">
        <v>6399</v>
      </c>
      <c r="E10125" t="str">
        <f>"7B"</f>
        <v>7B</v>
      </c>
      <c r="F10125" t="str">
        <f t="shared" ref="F10125:F10133" si="2309">"001"</f>
        <v>001</v>
      </c>
      <c r="G10125">
        <v>9</v>
      </c>
      <c r="H10125" t="str">
        <f>"99"</f>
        <v>99</v>
      </c>
      <c r="I10125" t="str">
        <f t="shared" si="2308"/>
        <v>0</v>
      </c>
      <c r="J10125" t="str">
        <f t="shared" si="2304"/>
        <v>00</v>
      </c>
      <c r="K10125">
        <v>20190823</v>
      </c>
      <c r="L10125" t="str">
        <f>"077743"</f>
        <v>077743</v>
      </c>
      <c r="M10125" t="str">
        <f>"09090"</f>
        <v>09090</v>
      </c>
      <c r="N10125" t="s">
        <v>7045</v>
      </c>
      <c r="O10125" s="1">
        <v>2459.9499999999998</v>
      </c>
      <c r="P10125">
        <v>20190821</v>
      </c>
      <c r="Q10125" t="s">
        <v>7042</v>
      </c>
      <c r="R10125" t="s">
        <v>7961</v>
      </c>
      <c r="S10125" t="s">
        <v>7000</v>
      </c>
      <c r="T10125" t="s">
        <v>301</v>
      </c>
    </row>
    <row r="10126" spans="1:20" x14ac:dyDescent="0.25">
      <c r="A10126">
        <v>9</v>
      </c>
      <c r="B10126">
        <v>461</v>
      </c>
      <c r="C10126" t="str">
        <f t="shared" si="2305"/>
        <v>36</v>
      </c>
      <c r="D10126">
        <v>6399</v>
      </c>
      <c r="E10126" t="str">
        <f>"7B"</f>
        <v>7B</v>
      </c>
      <c r="F10126" t="str">
        <f t="shared" si="2309"/>
        <v>001</v>
      </c>
      <c r="G10126">
        <v>9</v>
      </c>
      <c r="H10126" t="str">
        <f>"99"</f>
        <v>99</v>
      </c>
      <c r="I10126" t="str">
        <f t="shared" si="2308"/>
        <v>0</v>
      </c>
      <c r="J10126" t="str">
        <f t="shared" si="2304"/>
        <v>00</v>
      </c>
      <c r="K10126">
        <v>20190823</v>
      </c>
      <c r="L10126" t="str">
        <f>"077743"</f>
        <v>077743</v>
      </c>
      <c r="M10126" t="str">
        <f>"09090"</f>
        <v>09090</v>
      </c>
      <c r="N10126" t="s">
        <v>7045</v>
      </c>
      <c r="O10126">
        <v>277.5</v>
      </c>
      <c r="P10126">
        <v>20190821</v>
      </c>
      <c r="Q10126" t="s">
        <v>7042</v>
      </c>
      <c r="R10126" t="s">
        <v>7962</v>
      </c>
      <c r="S10126" t="s">
        <v>7000</v>
      </c>
      <c r="T10126" t="s">
        <v>301</v>
      </c>
    </row>
    <row r="10127" spans="1:20" x14ac:dyDescent="0.25">
      <c r="A10127">
        <v>9</v>
      </c>
      <c r="B10127">
        <v>461</v>
      </c>
      <c r="C10127" t="str">
        <f t="shared" si="2305"/>
        <v>36</v>
      </c>
      <c r="D10127">
        <v>6399</v>
      </c>
      <c r="E10127" t="str">
        <f>"7B"</f>
        <v>7B</v>
      </c>
      <c r="F10127" t="str">
        <f t="shared" si="2309"/>
        <v>001</v>
      </c>
      <c r="G10127">
        <v>9</v>
      </c>
      <c r="H10127" t="str">
        <f>"99"</f>
        <v>99</v>
      </c>
      <c r="I10127" t="str">
        <f t="shared" si="2308"/>
        <v>0</v>
      </c>
      <c r="J10127" t="str">
        <f t="shared" si="2304"/>
        <v>00</v>
      </c>
      <c r="K10127">
        <v>20190823</v>
      </c>
      <c r="L10127" t="str">
        <f>"077744"</f>
        <v>077744</v>
      </c>
      <c r="M10127" t="str">
        <f>"09170"</f>
        <v>09170</v>
      </c>
      <c r="N10127" t="s">
        <v>679</v>
      </c>
      <c r="O10127">
        <v>928</v>
      </c>
      <c r="P10127">
        <v>20190821</v>
      </c>
      <c r="Q10127" t="s">
        <v>7042</v>
      </c>
      <c r="R10127" t="s">
        <v>7963</v>
      </c>
      <c r="S10127" t="s">
        <v>7000</v>
      </c>
      <c r="T10127" t="s">
        <v>301</v>
      </c>
    </row>
    <row r="10128" spans="1:20" x14ac:dyDescent="0.25">
      <c r="A10128">
        <v>9</v>
      </c>
      <c r="B10128">
        <v>461</v>
      </c>
      <c r="C10128" t="str">
        <f t="shared" si="2305"/>
        <v>36</v>
      </c>
      <c r="D10128">
        <v>6411</v>
      </c>
      <c r="E10128" t="str">
        <f>"49"</f>
        <v>49</v>
      </c>
      <c r="F10128" t="str">
        <f t="shared" si="2309"/>
        <v>001</v>
      </c>
      <c r="G10128">
        <v>9</v>
      </c>
      <c r="H10128" t="str">
        <f>"91"</f>
        <v>91</v>
      </c>
      <c r="I10128" t="str">
        <f t="shared" si="2308"/>
        <v>0</v>
      </c>
      <c r="J10128" t="str">
        <f t="shared" si="2304"/>
        <v>00</v>
      </c>
      <c r="K10128">
        <v>20190823</v>
      </c>
      <c r="L10128" t="str">
        <f>"077744"</f>
        <v>077744</v>
      </c>
      <c r="M10128" t="str">
        <f>"09170"</f>
        <v>09170</v>
      </c>
      <c r="N10128" t="s">
        <v>679</v>
      </c>
      <c r="O10128">
        <v>178.54</v>
      </c>
      <c r="P10128">
        <v>20190821</v>
      </c>
      <c r="Q10128" t="s">
        <v>7345</v>
      </c>
      <c r="R10128" t="s">
        <v>7964</v>
      </c>
      <c r="S10128" t="s">
        <v>7000</v>
      </c>
      <c r="T10128" t="s">
        <v>301</v>
      </c>
    </row>
    <row r="10129" spans="1:20" x14ac:dyDescent="0.25">
      <c r="A10129">
        <v>9</v>
      </c>
      <c r="B10129">
        <v>461</v>
      </c>
      <c r="C10129" t="str">
        <f t="shared" si="2305"/>
        <v>36</v>
      </c>
      <c r="D10129">
        <v>6399</v>
      </c>
      <c r="E10129" t="str">
        <f>"3Y"</f>
        <v>3Y</v>
      </c>
      <c r="F10129" t="str">
        <f t="shared" si="2309"/>
        <v>001</v>
      </c>
      <c r="G10129">
        <v>9</v>
      </c>
      <c r="H10129" t="str">
        <f>"91"</f>
        <v>91</v>
      </c>
      <c r="I10129" t="str">
        <f t="shared" si="2308"/>
        <v>0</v>
      </c>
      <c r="J10129" t="str">
        <f t="shared" si="2304"/>
        <v>00</v>
      </c>
      <c r="K10129">
        <v>20190823</v>
      </c>
      <c r="L10129" t="str">
        <f>"077749"</f>
        <v>077749</v>
      </c>
      <c r="M10129" t="str">
        <f>"08788"</f>
        <v>08788</v>
      </c>
      <c r="N10129" t="s">
        <v>473</v>
      </c>
      <c r="O10129" s="1">
        <v>6631.81</v>
      </c>
      <c r="P10129">
        <v>20190821</v>
      </c>
      <c r="Q10129" t="s">
        <v>7110</v>
      </c>
      <c r="R10129" t="s">
        <v>1448</v>
      </c>
      <c r="S10129" t="s">
        <v>7000</v>
      </c>
      <c r="T10129" t="s">
        <v>301</v>
      </c>
    </row>
    <row r="10130" spans="1:20" x14ac:dyDescent="0.25">
      <c r="A10130">
        <v>9</v>
      </c>
      <c r="B10130">
        <v>461</v>
      </c>
      <c r="C10130" t="str">
        <f t="shared" si="2305"/>
        <v>36</v>
      </c>
      <c r="D10130">
        <v>6399</v>
      </c>
      <c r="E10130" t="str">
        <f>"3Y"</f>
        <v>3Y</v>
      </c>
      <c r="F10130" t="str">
        <f t="shared" si="2309"/>
        <v>001</v>
      </c>
      <c r="G10130">
        <v>9</v>
      </c>
      <c r="H10130" t="str">
        <f>"91"</f>
        <v>91</v>
      </c>
      <c r="I10130" t="str">
        <f t="shared" si="2308"/>
        <v>0</v>
      </c>
      <c r="J10130" t="str">
        <f t="shared" si="2304"/>
        <v>00</v>
      </c>
      <c r="K10130">
        <v>20190823</v>
      </c>
      <c r="L10130" t="str">
        <f>"077749"</f>
        <v>077749</v>
      </c>
      <c r="M10130" t="str">
        <f>"08788"</f>
        <v>08788</v>
      </c>
      <c r="N10130" t="s">
        <v>473</v>
      </c>
      <c r="O10130">
        <v>89.95</v>
      </c>
      <c r="P10130">
        <v>20190821</v>
      </c>
      <c r="Q10130" t="s">
        <v>7110</v>
      </c>
      <c r="R10130" t="s">
        <v>7965</v>
      </c>
      <c r="S10130" t="s">
        <v>7000</v>
      </c>
      <c r="T10130" t="s">
        <v>301</v>
      </c>
    </row>
    <row r="10131" spans="1:20" x14ac:dyDescent="0.25">
      <c r="A10131">
        <v>9</v>
      </c>
      <c r="B10131">
        <v>461</v>
      </c>
      <c r="C10131" t="str">
        <f t="shared" si="2305"/>
        <v>36</v>
      </c>
      <c r="D10131">
        <v>6299</v>
      </c>
      <c r="E10131" t="str">
        <f>"7B"</f>
        <v>7B</v>
      </c>
      <c r="F10131" t="str">
        <f t="shared" si="2309"/>
        <v>001</v>
      </c>
      <c r="G10131">
        <v>9</v>
      </c>
      <c r="H10131" t="str">
        <f>"99"</f>
        <v>99</v>
      </c>
      <c r="I10131" t="str">
        <f t="shared" si="2308"/>
        <v>0</v>
      </c>
      <c r="J10131" t="str">
        <f t="shared" si="2304"/>
        <v>00</v>
      </c>
      <c r="K10131">
        <v>20190823</v>
      </c>
      <c r="L10131" t="str">
        <f>"077759"</f>
        <v>077759</v>
      </c>
      <c r="M10131" t="str">
        <f>"00855"</f>
        <v>00855</v>
      </c>
      <c r="N10131" t="s">
        <v>7966</v>
      </c>
      <c r="O10131">
        <v>550</v>
      </c>
      <c r="P10131">
        <v>20190822</v>
      </c>
      <c r="Q10131" t="s">
        <v>7967</v>
      </c>
      <c r="R10131" t="s">
        <v>7968</v>
      </c>
      <c r="S10131" t="s">
        <v>7000</v>
      </c>
      <c r="T10131" t="s">
        <v>301</v>
      </c>
    </row>
    <row r="10132" spans="1:20" x14ac:dyDescent="0.25">
      <c r="A10132">
        <v>9</v>
      </c>
      <c r="B10132">
        <v>461</v>
      </c>
      <c r="C10132" t="str">
        <f t="shared" si="2305"/>
        <v>36</v>
      </c>
      <c r="D10132">
        <v>6219</v>
      </c>
      <c r="E10132" t="str">
        <f>"3Y"</f>
        <v>3Y</v>
      </c>
      <c r="F10132" t="str">
        <f t="shared" si="2309"/>
        <v>001</v>
      </c>
      <c r="G10132">
        <v>9</v>
      </c>
      <c r="H10132" t="str">
        <f>"91"</f>
        <v>91</v>
      </c>
      <c r="I10132" t="str">
        <f t="shared" si="2308"/>
        <v>0</v>
      </c>
      <c r="J10132" t="str">
        <f t="shared" si="2304"/>
        <v>00</v>
      </c>
      <c r="K10132">
        <v>20190823</v>
      </c>
      <c r="L10132" t="str">
        <f>"077764"</f>
        <v>077764</v>
      </c>
      <c r="M10132" t="str">
        <f>"22206"</f>
        <v>22206</v>
      </c>
      <c r="N10132" t="s">
        <v>7969</v>
      </c>
      <c r="O10132">
        <v>525</v>
      </c>
      <c r="P10132">
        <v>20190822</v>
      </c>
      <c r="Q10132" t="s">
        <v>7970</v>
      </c>
      <c r="R10132" t="s">
        <v>7971</v>
      </c>
      <c r="S10132" t="s">
        <v>7000</v>
      </c>
      <c r="T10132" t="s">
        <v>301</v>
      </c>
    </row>
    <row r="10133" spans="1:20" x14ac:dyDescent="0.25">
      <c r="A10133">
        <v>9</v>
      </c>
      <c r="B10133">
        <v>461</v>
      </c>
      <c r="C10133" t="str">
        <f t="shared" si="2305"/>
        <v>36</v>
      </c>
      <c r="D10133">
        <v>6399</v>
      </c>
      <c r="E10133" t="str">
        <f>"76"</f>
        <v>76</v>
      </c>
      <c r="F10133" t="str">
        <f t="shared" si="2309"/>
        <v>001</v>
      </c>
      <c r="G10133">
        <v>9</v>
      </c>
      <c r="H10133" t="str">
        <f>"99"</f>
        <v>99</v>
      </c>
      <c r="I10133" t="str">
        <f t="shared" si="2308"/>
        <v>0</v>
      </c>
      <c r="J10133" t="str">
        <f t="shared" si="2304"/>
        <v>00</v>
      </c>
      <c r="K10133">
        <v>20190823</v>
      </c>
      <c r="L10133" t="str">
        <f>"077765"</f>
        <v>077765</v>
      </c>
      <c r="M10133" t="str">
        <f>"00092"</f>
        <v>00092</v>
      </c>
      <c r="N10133" t="s">
        <v>2855</v>
      </c>
      <c r="O10133" s="1">
        <v>3758.79</v>
      </c>
      <c r="P10133">
        <v>20190821</v>
      </c>
      <c r="Q10133" t="s">
        <v>7735</v>
      </c>
      <c r="R10133" t="s">
        <v>7972</v>
      </c>
      <c r="S10133" t="s">
        <v>7000</v>
      </c>
      <c r="T10133" t="s">
        <v>301</v>
      </c>
    </row>
    <row r="10134" spans="1:20" x14ac:dyDescent="0.25">
      <c r="A10134">
        <v>9</v>
      </c>
      <c r="B10134">
        <v>461</v>
      </c>
      <c r="C10134" t="str">
        <f t="shared" si="2305"/>
        <v>36</v>
      </c>
      <c r="D10134">
        <v>6399</v>
      </c>
      <c r="E10134" t="str">
        <f>"DG"</f>
        <v>DG</v>
      </c>
      <c r="F10134" t="str">
        <f>"101"</f>
        <v>101</v>
      </c>
      <c r="G10134">
        <v>9</v>
      </c>
      <c r="H10134" t="str">
        <f>"99"</f>
        <v>99</v>
      </c>
      <c r="I10134" t="str">
        <f t="shared" si="2308"/>
        <v>0</v>
      </c>
      <c r="J10134" t="str">
        <f t="shared" si="2304"/>
        <v>00</v>
      </c>
      <c r="K10134">
        <v>20190823</v>
      </c>
      <c r="L10134" t="str">
        <f>"077773"</f>
        <v>077773</v>
      </c>
      <c r="M10134" t="str">
        <f>"25871"</f>
        <v>25871</v>
      </c>
      <c r="N10134" t="s">
        <v>1150</v>
      </c>
      <c r="O10134">
        <v>565.5</v>
      </c>
      <c r="P10134">
        <v>20190821</v>
      </c>
      <c r="Q10134" t="s">
        <v>7058</v>
      </c>
      <c r="R10134" t="s">
        <v>7973</v>
      </c>
      <c r="S10134" t="s">
        <v>7000</v>
      </c>
      <c r="T10134" t="s">
        <v>1479</v>
      </c>
    </row>
    <row r="10135" spans="1:20" x14ac:dyDescent="0.25">
      <c r="A10135">
        <v>9</v>
      </c>
      <c r="B10135">
        <v>461</v>
      </c>
      <c r="C10135" t="str">
        <f t="shared" si="2305"/>
        <v>36</v>
      </c>
      <c r="D10135">
        <v>6399</v>
      </c>
      <c r="E10135" t="str">
        <f>"3B"</f>
        <v>3B</v>
      </c>
      <c r="F10135" t="str">
        <f>"001"</f>
        <v>001</v>
      </c>
      <c r="G10135">
        <v>9</v>
      </c>
      <c r="H10135" t="str">
        <f>"91"</f>
        <v>91</v>
      </c>
      <c r="I10135" t="str">
        <f t="shared" si="2308"/>
        <v>0</v>
      </c>
      <c r="J10135" t="str">
        <f t="shared" si="2304"/>
        <v>00</v>
      </c>
      <c r="K10135">
        <v>20190823</v>
      </c>
      <c r="L10135" t="str">
        <f>"077781"</f>
        <v>077781</v>
      </c>
      <c r="M10135" t="str">
        <f>"29741"</f>
        <v>29741</v>
      </c>
      <c r="N10135" t="s">
        <v>1452</v>
      </c>
      <c r="O10135">
        <v>560</v>
      </c>
      <c r="P10135">
        <v>20190821</v>
      </c>
      <c r="Q10135" t="s">
        <v>7024</v>
      </c>
      <c r="R10135" t="s">
        <v>7974</v>
      </c>
      <c r="S10135" t="s">
        <v>7000</v>
      </c>
      <c r="T10135" t="s">
        <v>301</v>
      </c>
    </row>
    <row r="10136" spans="1:20" x14ac:dyDescent="0.25">
      <c r="A10136">
        <v>9</v>
      </c>
      <c r="B10136">
        <v>461</v>
      </c>
      <c r="C10136" t="str">
        <f t="shared" ref="C10136:C10147" si="2310">"36"</f>
        <v>36</v>
      </c>
      <c r="D10136">
        <v>6399</v>
      </c>
      <c r="E10136" t="str">
        <f>"3C"</f>
        <v>3C</v>
      </c>
      <c r="F10136" t="str">
        <f>"001"</f>
        <v>001</v>
      </c>
      <c r="G10136">
        <v>9</v>
      </c>
      <c r="H10136" t="str">
        <f>"91"</f>
        <v>91</v>
      </c>
      <c r="I10136" t="str">
        <f t="shared" si="2308"/>
        <v>0</v>
      </c>
      <c r="J10136" t="str">
        <f t="shared" si="2304"/>
        <v>00</v>
      </c>
      <c r="K10136">
        <v>20190823</v>
      </c>
      <c r="L10136" t="str">
        <f>"077785"</f>
        <v>077785</v>
      </c>
      <c r="M10136" t="str">
        <f>"31345"</f>
        <v>31345</v>
      </c>
      <c r="N10136" t="s">
        <v>1394</v>
      </c>
      <c r="O10136" s="1">
        <v>1022.2</v>
      </c>
      <c r="P10136">
        <v>20190821</v>
      </c>
      <c r="Q10136" t="s">
        <v>7003</v>
      </c>
      <c r="R10136" t="s">
        <v>7751</v>
      </c>
      <c r="S10136" t="s">
        <v>7000</v>
      </c>
      <c r="T10136" t="s">
        <v>301</v>
      </c>
    </row>
    <row r="10137" spans="1:20" x14ac:dyDescent="0.25">
      <c r="A10137">
        <v>9</v>
      </c>
      <c r="B10137">
        <v>461</v>
      </c>
      <c r="C10137" t="str">
        <f t="shared" si="2310"/>
        <v>36</v>
      </c>
      <c r="D10137">
        <v>6399</v>
      </c>
      <c r="E10137" t="str">
        <f>"3Y"</f>
        <v>3Y</v>
      </c>
      <c r="F10137" t="str">
        <f>"001"</f>
        <v>001</v>
      </c>
      <c r="G10137">
        <v>9</v>
      </c>
      <c r="H10137" t="str">
        <f>"91"</f>
        <v>91</v>
      </c>
      <c r="I10137" t="str">
        <f t="shared" si="2308"/>
        <v>0</v>
      </c>
      <c r="J10137" t="str">
        <f t="shared" si="2304"/>
        <v>00</v>
      </c>
      <c r="K10137">
        <v>20190823</v>
      </c>
      <c r="L10137" t="str">
        <f>"077785"</f>
        <v>077785</v>
      </c>
      <c r="M10137" t="str">
        <f>"31345"</f>
        <v>31345</v>
      </c>
      <c r="N10137" t="s">
        <v>1394</v>
      </c>
      <c r="O10137">
        <v>316.2</v>
      </c>
      <c r="P10137">
        <v>20190821</v>
      </c>
      <c r="Q10137" t="s">
        <v>7110</v>
      </c>
      <c r="R10137" t="s">
        <v>7534</v>
      </c>
      <c r="S10137" t="s">
        <v>7000</v>
      </c>
      <c r="T10137" t="s">
        <v>301</v>
      </c>
    </row>
    <row r="10138" spans="1:20" x14ac:dyDescent="0.25">
      <c r="A10138">
        <v>9</v>
      </c>
      <c r="B10138">
        <v>461</v>
      </c>
      <c r="C10138" t="str">
        <f t="shared" si="2310"/>
        <v>36</v>
      </c>
      <c r="D10138">
        <v>6399</v>
      </c>
      <c r="E10138" t="str">
        <f>"45"</f>
        <v>45</v>
      </c>
      <c r="F10138" t="str">
        <f>"041"</f>
        <v>041</v>
      </c>
      <c r="G10138">
        <v>9</v>
      </c>
      <c r="H10138" t="str">
        <f t="shared" ref="H10138:H10145" si="2311">"99"</f>
        <v>99</v>
      </c>
      <c r="I10138" t="str">
        <f t="shared" si="2308"/>
        <v>0</v>
      </c>
      <c r="J10138" t="str">
        <f t="shared" si="2304"/>
        <v>00</v>
      </c>
      <c r="K10138">
        <v>20190823</v>
      </c>
      <c r="L10138" t="str">
        <f>"077785"</f>
        <v>077785</v>
      </c>
      <c r="M10138" t="str">
        <f>"31345"</f>
        <v>31345</v>
      </c>
      <c r="N10138" t="s">
        <v>1394</v>
      </c>
      <c r="O10138" s="1">
        <v>3670</v>
      </c>
      <c r="P10138">
        <v>20190821</v>
      </c>
      <c r="Q10138" t="s">
        <v>7975</v>
      </c>
      <c r="R10138" t="s">
        <v>7976</v>
      </c>
      <c r="S10138" t="s">
        <v>7000</v>
      </c>
      <c r="T10138" t="s">
        <v>106</v>
      </c>
    </row>
    <row r="10139" spans="1:20" x14ac:dyDescent="0.25">
      <c r="A10139">
        <v>9</v>
      </c>
      <c r="B10139">
        <v>461</v>
      </c>
      <c r="C10139" t="str">
        <f t="shared" si="2310"/>
        <v>36</v>
      </c>
      <c r="D10139">
        <v>6399</v>
      </c>
      <c r="E10139" t="str">
        <f>"45"</f>
        <v>45</v>
      </c>
      <c r="F10139" t="str">
        <f>"041"</f>
        <v>041</v>
      </c>
      <c r="G10139">
        <v>9</v>
      </c>
      <c r="H10139" t="str">
        <f t="shared" si="2311"/>
        <v>99</v>
      </c>
      <c r="I10139" t="str">
        <f t="shared" si="2308"/>
        <v>0</v>
      </c>
      <c r="J10139" t="str">
        <f t="shared" si="2304"/>
        <v>00</v>
      </c>
      <c r="K10139">
        <v>20190823</v>
      </c>
      <c r="L10139" t="str">
        <f>"077785"</f>
        <v>077785</v>
      </c>
      <c r="M10139" t="str">
        <f>"31345"</f>
        <v>31345</v>
      </c>
      <c r="N10139" t="s">
        <v>1394</v>
      </c>
      <c r="O10139" s="1">
        <v>2562</v>
      </c>
      <c r="P10139">
        <v>20190821</v>
      </c>
      <c r="Q10139" t="s">
        <v>7975</v>
      </c>
      <c r="R10139" t="s">
        <v>7977</v>
      </c>
      <c r="S10139" t="s">
        <v>7000</v>
      </c>
      <c r="T10139" t="s">
        <v>106</v>
      </c>
    </row>
    <row r="10140" spans="1:20" x14ac:dyDescent="0.25">
      <c r="A10140">
        <v>9</v>
      </c>
      <c r="B10140">
        <v>461</v>
      </c>
      <c r="C10140" t="str">
        <f t="shared" si="2310"/>
        <v>36</v>
      </c>
      <c r="D10140">
        <v>6399</v>
      </c>
      <c r="E10140" t="str">
        <f>"7B"</f>
        <v>7B</v>
      </c>
      <c r="F10140" t="str">
        <f>"001"</f>
        <v>001</v>
      </c>
      <c r="G10140">
        <v>9</v>
      </c>
      <c r="H10140" t="str">
        <f t="shared" si="2311"/>
        <v>99</v>
      </c>
      <c r="I10140" t="str">
        <f t="shared" si="2308"/>
        <v>0</v>
      </c>
      <c r="J10140" t="str">
        <f t="shared" si="2304"/>
        <v>00</v>
      </c>
      <c r="K10140">
        <v>20190823</v>
      </c>
      <c r="L10140" t="str">
        <f>"077790"</f>
        <v>077790</v>
      </c>
      <c r="M10140" t="str">
        <f>"39572"</f>
        <v>39572</v>
      </c>
      <c r="N10140" t="s">
        <v>2233</v>
      </c>
      <c r="O10140">
        <v>305</v>
      </c>
      <c r="P10140">
        <v>20190822</v>
      </c>
      <c r="Q10140" t="s">
        <v>7042</v>
      </c>
      <c r="R10140" t="s">
        <v>6292</v>
      </c>
      <c r="S10140" t="s">
        <v>7000</v>
      </c>
      <c r="T10140" t="s">
        <v>301</v>
      </c>
    </row>
    <row r="10141" spans="1:20" x14ac:dyDescent="0.25">
      <c r="A10141">
        <v>9</v>
      </c>
      <c r="B10141">
        <v>461</v>
      </c>
      <c r="C10141" t="str">
        <f t="shared" si="2310"/>
        <v>36</v>
      </c>
      <c r="D10141">
        <v>6399</v>
      </c>
      <c r="E10141" t="str">
        <f>"61"</f>
        <v>61</v>
      </c>
      <c r="F10141" t="str">
        <f>"001"</f>
        <v>001</v>
      </c>
      <c r="G10141">
        <v>9</v>
      </c>
      <c r="H10141" t="str">
        <f t="shared" si="2311"/>
        <v>99</v>
      </c>
      <c r="I10141" t="str">
        <f t="shared" si="2308"/>
        <v>0</v>
      </c>
      <c r="J10141" t="str">
        <f t="shared" si="2304"/>
        <v>00</v>
      </c>
      <c r="K10141">
        <v>20190823</v>
      </c>
      <c r="L10141" t="str">
        <f>"077812"</f>
        <v>077812</v>
      </c>
      <c r="M10141" t="str">
        <f>"58204"</f>
        <v>58204</v>
      </c>
      <c r="N10141" t="s">
        <v>1767</v>
      </c>
      <c r="O10141">
        <v>25</v>
      </c>
      <c r="P10141">
        <v>20190822</v>
      </c>
      <c r="Q10141" t="s">
        <v>7095</v>
      </c>
      <c r="R10141" t="s">
        <v>7978</v>
      </c>
      <c r="S10141" t="s">
        <v>7000</v>
      </c>
      <c r="T10141" t="s">
        <v>301</v>
      </c>
    </row>
    <row r="10142" spans="1:20" x14ac:dyDescent="0.25">
      <c r="A10142">
        <v>9</v>
      </c>
      <c r="B10142">
        <v>461</v>
      </c>
      <c r="C10142" t="str">
        <f t="shared" si="2310"/>
        <v>36</v>
      </c>
      <c r="D10142">
        <v>6399</v>
      </c>
      <c r="E10142" t="str">
        <f>"7B"</f>
        <v>7B</v>
      </c>
      <c r="F10142" t="str">
        <f>"001"</f>
        <v>001</v>
      </c>
      <c r="G10142">
        <v>9</v>
      </c>
      <c r="H10142" t="str">
        <f t="shared" si="2311"/>
        <v>99</v>
      </c>
      <c r="I10142" t="str">
        <f t="shared" si="2308"/>
        <v>0</v>
      </c>
      <c r="J10142" t="str">
        <f t="shared" si="2304"/>
        <v>00</v>
      </c>
      <c r="K10142">
        <v>20190823</v>
      </c>
      <c r="L10142" t="str">
        <f>"077812"</f>
        <v>077812</v>
      </c>
      <c r="M10142" t="str">
        <f>"58204"</f>
        <v>58204</v>
      </c>
      <c r="N10142" t="s">
        <v>1767</v>
      </c>
      <c r="O10142">
        <v>79.37</v>
      </c>
      <c r="P10142">
        <v>20190822</v>
      </c>
      <c r="Q10142" t="s">
        <v>7042</v>
      </c>
      <c r="R10142" t="s">
        <v>6292</v>
      </c>
      <c r="S10142" t="s">
        <v>7000</v>
      </c>
      <c r="T10142" t="s">
        <v>301</v>
      </c>
    </row>
    <row r="10143" spans="1:20" x14ac:dyDescent="0.25">
      <c r="A10143">
        <v>9</v>
      </c>
      <c r="B10143">
        <v>461</v>
      </c>
      <c r="C10143" t="str">
        <f t="shared" si="2310"/>
        <v>36</v>
      </c>
      <c r="D10143">
        <v>6399</v>
      </c>
      <c r="E10143" t="str">
        <f>"PR"</f>
        <v>PR</v>
      </c>
      <c r="F10143" t="str">
        <f>"001"</f>
        <v>001</v>
      </c>
      <c r="G10143">
        <v>9</v>
      </c>
      <c r="H10143" t="str">
        <f t="shared" si="2311"/>
        <v>99</v>
      </c>
      <c r="I10143" t="str">
        <f t="shared" si="2308"/>
        <v>0</v>
      </c>
      <c r="J10143" t="str">
        <f t="shared" si="2304"/>
        <v>00</v>
      </c>
      <c r="K10143">
        <v>20190823</v>
      </c>
      <c r="L10143" t="str">
        <f>"077812"</f>
        <v>077812</v>
      </c>
      <c r="M10143" t="str">
        <f>"58204"</f>
        <v>58204</v>
      </c>
      <c r="N10143" t="s">
        <v>1767</v>
      </c>
      <c r="O10143">
        <v>15.19</v>
      </c>
      <c r="P10143">
        <v>20190822</v>
      </c>
      <c r="Q10143" t="s">
        <v>7009</v>
      </c>
      <c r="R10143" t="s">
        <v>7248</v>
      </c>
      <c r="S10143" t="s">
        <v>7000</v>
      </c>
      <c r="T10143" t="s">
        <v>301</v>
      </c>
    </row>
    <row r="10144" spans="1:20" x14ac:dyDescent="0.25">
      <c r="A10144">
        <v>9</v>
      </c>
      <c r="B10144">
        <v>461</v>
      </c>
      <c r="C10144" t="str">
        <f t="shared" si="2310"/>
        <v>36</v>
      </c>
      <c r="D10144">
        <v>6399</v>
      </c>
      <c r="E10144" t="str">
        <f>"76"</f>
        <v>76</v>
      </c>
      <c r="F10144" t="str">
        <f>"041"</f>
        <v>041</v>
      </c>
      <c r="G10144">
        <v>9</v>
      </c>
      <c r="H10144" t="str">
        <f t="shared" si="2311"/>
        <v>99</v>
      </c>
      <c r="I10144" t="str">
        <f t="shared" si="2308"/>
        <v>0</v>
      </c>
      <c r="J10144" t="str">
        <f t="shared" si="2304"/>
        <v>00</v>
      </c>
      <c r="K10144">
        <v>20190823</v>
      </c>
      <c r="L10144" t="str">
        <f>"077824"</f>
        <v>077824</v>
      </c>
      <c r="M10144" t="str">
        <f>"81303"</f>
        <v>81303</v>
      </c>
      <c r="N10144" t="s">
        <v>66</v>
      </c>
      <c r="O10144">
        <v>25</v>
      </c>
      <c r="P10144">
        <v>20190821</v>
      </c>
      <c r="Q10144" t="s">
        <v>7816</v>
      </c>
      <c r="R10144" t="s">
        <v>1356</v>
      </c>
      <c r="S10144" t="s">
        <v>7000</v>
      </c>
      <c r="T10144" t="s">
        <v>106</v>
      </c>
    </row>
    <row r="10145" spans="1:20" x14ac:dyDescent="0.25">
      <c r="A10145">
        <v>9</v>
      </c>
      <c r="B10145">
        <v>461</v>
      </c>
      <c r="C10145" t="str">
        <f t="shared" si="2310"/>
        <v>36</v>
      </c>
      <c r="D10145">
        <v>6399</v>
      </c>
      <c r="E10145" t="str">
        <f>"8M"</f>
        <v>8M</v>
      </c>
      <c r="F10145" t="str">
        <f>"001"</f>
        <v>001</v>
      </c>
      <c r="G10145">
        <v>9</v>
      </c>
      <c r="H10145" t="str">
        <f t="shared" si="2311"/>
        <v>99</v>
      </c>
      <c r="I10145" t="str">
        <f t="shared" si="2308"/>
        <v>0</v>
      </c>
      <c r="J10145" t="str">
        <f t="shared" si="2304"/>
        <v>00</v>
      </c>
      <c r="K10145">
        <v>20190823</v>
      </c>
      <c r="L10145" t="str">
        <f>"077824"</f>
        <v>077824</v>
      </c>
      <c r="M10145" t="str">
        <f>"81303"</f>
        <v>81303</v>
      </c>
      <c r="N10145" t="s">
        <v>66</v>
      </c>
      <c r="O10145">
        <v>45</v>
      </c>
      <c r="P10145">
        <v>20190822</v>
      </c>
      <c r="Q10145" t="s">
        <v>7138</v>
      </c>
      <c r="R10145" t="s">
        <v>7979</v>
      </c>
      <c r="S10145" t="s">
        <v>7000</v>
      </c>
      <c r="T10145" t="s">
        <v>301</v>
      </c>
    </row>
    <row r="10146" spans="1:20" x14ac:dyDescent="0.25">
      <c r="A10146">
        <v>9</v>
      </c>
      <c r="B10146">
        <v>461</v>
      </c>
      <c r="C10146" t="str">
        <f t="shared" si="2310"/>
        <v>36</v>
      </c>
      <c r="D10146">
        <v>6399</v>
      </c>
      <c r="E10146" t="str">
        <f>"3Y"</f>
        <v>3Y</v>
      </c>
      <c r="F10146" t="str">
        <f>"041"</f>
        <v>041</v>
      </c>
      <c r="G10146">
        <v>9</v>
      </c>
      <c r="H10146" t="str">
        <f>"91"</f>
        <v>91</v>
      </c>
      <c r="I10146" t="str">
        <f t="shared" si="2308"/>
        <v>0</v>
      </c>
      <c r="J10146" t="str">
        <f t="shared" si="2304"/>
        <v>00</v>
      </c>
      <c r="K10146">
        <v>20190830</v>
      </c>
      <c r="L10146" t="str">
        <f>"077836"</f>
        <v>077836</v>
      </c>
      <c r="M10146" t="str">
        <f>"11217"</f>
        <v>11217</v>
      </c>
      <c r="N10146" t="s">
        <v>7069</v>
      </c>
      <c r="O10146" s="1">
        <v>2460</v>
      </c>
      <c r="P10146">
        <v>20190829</v>
      </c>
      <c r="Q10146" t="s">
        <v>7027</v>
      </c>
      <c r="R10146" t="s">
        <v>7980</v>
      </c>
      <c r="S10146" t="s">
        <v>7000</v>
      </c>
      <c r="T10146" t="s">
        <v>106</v>
      </c>
    </row>
    <row r="10147" spans="1:20" x14ac:dyDescent="0.25">
      <c r="A10147">
        <v>9</v>
      </c>
      <c r="B10147">
        <v>461</v>
      </c>
      <c r="C10147" t="str">
        <f t="shared" si="2310"/>
        <v>36</v>
      </c>
      <c r="D10147">
        <v>6412</v>
      </c>
      <c r="E10147" t="str">
        <f>"3F"</f>
        <v>3F</v>
      </c>
      <c r="F10147" t="str">
        <f>"001"</f>
        <v>001</v>
      </c>
      <c r="G10147">
        <v>9</v>
      </c>
      <c r="H10147" t="str">
        <f>"91"</f>
        <v>91</v>
      </c>
      <c r="I10147" t="str">
        <f t="shared" si="2308"/>
        <v>0</v>
      </c>
      <c r="J10147" t="str">
        <f t="shared" si="2304"/>
        <v>00</v>
      </c>
      <c r="K10147">
        <v>20190830</v>
      </c>
      <c r="L10147" t="str">
        <f>"077841"</f>
        <v>077841</v>
      </c>
      <c r="M10147" t="str">
        <f>"00886"</f>
        <v>00886</v>
      </c>
      <c r="N10147" t="s">
        <v>417</v>
      </c>
      <c r="O10147" s="1">
        <v>1218</v>
      </c>
      <c r="P10147">
        <v>20190829</v>
      </c>
      <c r="Q10147" t="s">
        <v>7981</v>
      </c>
      <c r="R10147" t="s">
        <v>7982</v>
      </c>
      <c r="S10147" t="s">
        <v>7000</v>
      </c>
      <c r="T10147" t="s">
        <v>301</v>
      </c>
    </row>
    <row r="10148" spans="1:20" x14ac:dyDescent="0.25">
      <c r="A10148">
        <v>9</v>
      </c>
      <c r="B10148">
        <v>462</v>
      </c>
      <c r="C10148" t="str">
        <f t="shared" ref="C10148:C10166" si="2312">"11"</f>
        <v>11</v>
      </c>
      <c r="D10148">
        <v>6649</v>
      </c>
      <c r="E10148" t="str">
        <f>"29"</f>
        <v>29</v>
      </c>
      <c r="F10148" t="str">
        <f>"001"</f>
        <v>001</v>
      </c>
      <c r="G10148">
        <v>9</v>
      </c>
      <c r="H10148" t="str">
        <f t="shared" ref="H10148:H10179" si="2313">"11"</f>
        <v>11</v>
      </c>
      <c r="I10148" t="str">
        <f t="shared" ref="I10148:I10179" si="2314">"9"</f>
        <v>9</v>
      </c>
      <c r="J10148" t="str">
        <f t="shared" si="2304"/>
        <v>00</v>
      </c>
      <c r="K10148">
        <v>20181214</v>
      </c>
      <c r="L10148" t="str">
        <f>"074971"</f>
        <v>074971</v>
      </c>
      <c r="M10148" t="str">
        <f>"04410"</f>
        <v>04410</v>
      </c>
      <c r="N10148" t="s">
        <v>410</v>
      </c>
      <c r="O10148" s="1">
        <v>5294.8</v>
      </c>
      <c r="P10148">
        <v>20181212</v>
      </c>
      <c r="Q10148" t="s">
        <v>7983</v>
      </c>
      <c r="R10148" t="s">
        <v>7984</v>
      </c>
      <c r="S10148" t="s">
        <v>7985</v>
      </c>
      <c r="T10148" t="s">
        <v>301</v>
      </c>
    </row>
    <row r="10149" spans="1:20" x14ac:dyDescent="0.25">
      <c r="A10149">
        <v>9</v>
      </c>
      <c r="B10149">
        <v>462</v>
      </c>
      <c r="C10149" t="str">
        <f t="shared" si="2312"/>
        <v>11</v>
      </c>
      <c r="D10149">
        <v>6649</v>
      </c>
      <c r="E10149" t="str">
        <f>"25"</f>
        <v>25</v>
      </c>
      <c r="F10149" t="str">
        <f>"001"</f>
        <v>001</v>
      </c>
      <c r="G10149">
        <v>9</v>
      </c>
      <c r="H10149" t="str">
        <f t="shared" si="2313"/>
        <v>11</v>
      </c>
      <c r="I10149" t="str">
        <f t="shared" si="2314"/>
        <v>9</v>
      </c>
      <c r="J10149" t="str">
        <f t="shared" si="2304"/>
        <v>00</v>
      </c>
      <c r="K10149">
        <v>20181214</v>
      </c>
      <c r="L10149" t="str">
        <f>"074987"</f>
        <v>074987</v>
      </c>
      <c r="M10149" t="str">
        <f>"16807"</f>
        <v>16807</v>
      </c>
      <c r="N10149" t="s">
        <v>1581</v>
      </c>
      <c r="O10149">
        <v>753.99</v>
      </c>
      <c r="P10149">
        <v>20181212</v>
      </c>
      <c r="Q10149" t="s">
        <v>7986</v>
      </c>
      <c r="R10149" t="s">
        <v>1583</v>
      </c>
      <c r="S10149" t="s">
        <v>7985</v>
      </c>
      <c r="T10149" t="s">
        <v>301</v>
      </c>
    </row>
    <row r="10150" spans="1:20" x14ac:dyDescent="0.25">
      <c r="A10150">
        <v>9</v>
      </c>
      <c r="B10150">
        <v>462</v>
      </c>
      <c r="C10150" t="str">
        <f t="shared" si="2312"/>
        <v>11</v>
      </c>
      <c r="D10150">
        <v>6649</v>
      </c>
      <c r="E10150" t="str">
        <f>"25"</f>
        <v>25</v>
      </c>
      <c r="F10150" t="str">
        <f>"001"</f>
        <v>001</v>
      </c>
      <c r="G10150">
        <v>9</v>
      </c>
      <c r="H10150" t="str">
        <f t="shared" si="2313"/>
        <v>11</v>
      </c>
      <c r="I10150" t="str">
        <f t="shared" si="2314"/>
        <v>9</v>
      </c>
      <c r="J10150" t="str">
        <f t="shared" si="2304"/>
        <v>00</v>
      </c>
      <c r="K10150">
        <v>20181214</v>
      </c>
      <c r="L10150" t="str">
        <f>"074987"</f>
        <v>074987</v>
      </c>
      <c r="M10150" t="str">
        <f>"16807"</f>
        <v>16807</v>
      </c>
      <c r="N10150" t="s">
        <v>1581</v>
      </c>
      <c r="O10150">
        <v>79.5</v>
      </c>
      <c r="P10150">
        <v>20181212</v>
      </c>
      <c r="Q10150" t="s">
        <v>7986</v>
      </c>
      <c r="R10150" t="s">
        <v>1582</v>
      </c>
      <c r="S10150" t="s">
        <v>7985</v>
      </c>
      <c r="T10150" t="s">
        <v>301</v>
      </c>
    </row>
    <row r="10151" spans="1:20" x14ac:dyDescent="0.25">
      <c r="A10151">
        <v>9</v>
      </c>
      <c r="B10151">
        <v>462</v>
      </c>
      <c r="C10151" t="str">
        <f t="shared" si="2312"/>
        <v>11</v>
      </c>
      <c r="D10151">
        <v>6649</v>
      </c>
      <c r="E10151" t="str">
        <f>"17"</f>
        <v>17</v>
      </c>
      <c r="F10151" t="str">
        <f>"041"</f>
        <v>041</v>
      </c>
      <c r="G10151">
        <v>9</v>
      </c>
      <c r="H10151" t="str">
        <f t="shared" si="2313"/>
        <v>11</v>
      </c>
      <c r="I10151" t="str">
        <f t="shared" si="2314"/>
        <v>9</v>
      </c>
      <c r="J10151" t="str">
        <f t="shared" si="2304"/>
        <v>00</v>
      </c>
      <c r="K10151">
        <v>20190111</v>
      </c>
      <c r="L10151" t="str">
        <f>"075153"</f>
        <v>075153</v>
      </c>
      <c r="M10151" t="str">
        <f>"06509"</f>
        <v>06509</v>
      </c>
      <c r="N10151" t="s">
        <v>1545</v>
      </c>
      <c r="O10151" s="1">
        <v>2093</v>
      </c>
      <c r="P10151">
        <v>20190109</v>
      </c>
      <c r="Q10151" t="s">
        <v>7987</v>
      </c>
      <c r="R10151" t="s">
        <v>1547</v>
      </c>
      <c r="S10151" t="s">
        <v>7985</v>
      </c>
      <c r="T10151" t="s">
        <v>106</v>
      </c>
    </row>
    <row r="10152" spans="1:20" x14ac:dyDescent="0.25">
      <c r="A10152">
        <v>9</v>
      </c>
      <c r="B10152">
        <v>462</v>
      </c>
      <c r="C10152" t="str">
        <f t="shared" si="2312"/>
        <v>11</v>
      </c>
      <c r="D10152">
        <v>6649</v>
      </c>
      <c r="E10152" t="str">
        <f>"17"</f>
        <v>17</v>
      </c>
      <c r="F10152" t="str">
        <f>"041"</f>
        <v>041</v>
      </c>
      <c r="G10152">
        <v>9</v>
      </c>
      <c r="H10152" t="str">
        <f t="shared" si="2313"/>
        <v>11</v>
      </c>
      <c r="I10152" t="str">
        <f t="shared" si="2314"/>
        <v>9</v>
      </c>
      <c r="J10152" t="str">
        <f t="shared" si="2304"/>
        <v>00</v>
      </c>
      <c r="K10152">
        <v>20190111</v>
      </c>
      <c r="L10152" t="str">
        <f>"075153"</f>
        <v>075153</v>
      </c>
      <c r="M10152" t="str">
        <f>"06509"</f>
        <v>06509</v>
      </c>
      <c r="N10152" t="s">
        <v>1545</v>
      </c>
      <c r="O10152">
        <v>534</v>
      </c>
      <c r="P10152">
        <v>20190109</v>
      </c>
      <c r="Q10152" t="s">
        <v>7987</v>
      </c>
      <c r="R10152" t="s">
        <v>7988</v>
      </c>
      <c r="S10152" t="s">
        <v>7985</v>
      </c>
      <c r="T10152" t="s">
        <v>106</v>
      </c>
    </row>
    <row r="10153" spans="1:20" x14ac:dyDescent="0.25">
      <c r="A10153">
        <v>9</v>
      </c>
      <c r="B10153">
        <v>462</v>
      </c>
      <c r="C10153" t="str">
        <f t="shared" si="2312"/>
        <v>11</v>
      </c>
      <c r="D10153">
        <v>6649</v>
      </c>
      <c r="E10153" t="str">
        <f>"17"</f>
        <v>17</v>
      </c>
      <c r="F10153" t="str">
        <f>"041"</f>
        <v>041</v>
      </c>
      <c r="G10153">
        <v>9</v>
      </c>
      <c r="H10153" t="str">
        <f t="shared" si="2313"/>
        <v>11</v>
      </c>
      <c r="I10153" t="str">
        <f t="shared" si="2314"/>
        <v>9</v>
      </c>
      <c r="J10153" t="str">
        <f t="shared" si="2304"/>
        <v>00</v>
      </c>
      <c r="K10153">
        <v>20190111</v>
      </c>
      <c r="L10153" t="str">
        <f>"075153"</f>
        <v>075153</v>
      </c>
      <c r="M10153" t="str">
        <f>"06509"</f>
        <v>06509</v>
      </c>
      <c r="N10153" t="s">
        <v>1545</v>
      </c>
      <c r="O10153">
        <v>315</v>
      </c>
      <c r="P10153">
        <v>20190109</v>
      </c>
      <c r="Q10153" t="s">
        <v>7987</v>
      </c>
      <c r="R10153" t="s">
        <v>1982</v>
      </c>
      <c r="S10153" t="s">
        <v>7985</v>
      </c>
      <c r="T10153" t="s">
        <v>106</v>
      </c>
    </row>
    <row r="10154" spans="1:20" x14ac:dyDescent="0.25">
      <c r="A10154">
        <v>9</v>
      </c>
      <c r="B10154">
        <v>462</v>
      </c>
      <c r="C10154" t="str">
        <f t="shared" si="2312"/>
        <v>11</v>
      </c>
      <c r="D10154">
        <v>6649</v>
      </c>
      <c r="E10154" t="str">
        <f>"17"</f>
        <v>17</v>
      </c>
      <c r="F10154" t="str">
        <f>"041"</f>
        <v>041</v>
      </c>
      <c r="G10154">
        <v>9</v>
      </c>
      <c r="H10154" t="str">
        <f t="shared" si="2313"/>
        <v>11</v>
      </c>
      <c r="I10154" t="str">
        <f t="shared" si="2314"/>
        <v>9</v>
      </c>
      <c r="J10154" t="str">
        <f t="shared" si="2304"/>
        <v>00</v>
      </c>
      <c r="K10154">
        <v>20190111</v>
      </c>
      <c r="L10154" t="str">
        <f>"075173"</f>
        <v>075173</v>
      </c>
      <c r="M10154" t="str">
        <f>"16807"</f>
        <v>16807</v>
      </c>
      <c r="N10154" t="s">
        <v>1581</v>
      </c>
      <c r="O10154" s="1">
        <v>4547.6000000000004</v>
      </c>
      <c r="P10154">
        <v>20190109</v>
      </c>
      <c r="Q10154" t="s">
        <v>7987</v>
      </c>
      <c r="R10154" t="s">
        <v>7989</v>
      </c>
      <c r="S10154" t="s">
        <v>7985</v>
      </c>
      <c r="T10154" t="s">
        <v>106</v>
      </c>
    </row>
    <row r="10155" spans="1:20" x14ac:dyDescent="0.25">
      <c r="A10155">
        <v>9</v>
      </c>
      <c r="B10155">
        <v>462</v>
      </c>
      <c r="C10155" t="str">
        <f t="shared" si="2312"/>
        <v>11</v>
      </c>
      <c r="D10155">
        <v>6649</v>
      </c>
      <c r="E10155" t="str">
        <f>"22"</f>
        <v>22</v>
      </c>
      <c r="F10155" t="str">
        <f>"001"</f>
        <v>001</v>
      </c>
      <c r="G10155">
        <v>9</v>
      </c>
      <c r="H10155" t="str">
        <f t="shared" si="2313"/>
        <v>11</v>
      </c>
      <c r="I10155" t="str">
        <f t="shared" si="2314"/>
        <v>9</v>
      </c>
      <c r="J10155" t="str">
        <f t="shared" si="2304"/>
        <v>00</v>
      </c>
      <c r="K10155">
        <v>20190111</v>
      </c>
      <c r="L10155" t="str">
        <f>"075173"</f>
        <v>075173</v>
      </c>
      <c r="M10155" t="str">
        <f>"16807"</f>
        <v>16807</v>
      </c>
      <c r="N10155" t="s">
        <v>1581</v>
      </c>
      <c r="O10155">
        <v>977.54</v>
      </c>
      <c r="P10155">
        <v>20190109</v>
      </c>
      <c r="Q10155" t="s">
        <v>7990</v>
      </c>
      <c r="R10155" t="s">
        <v>7991</v>
      </c>
      <c r="S10155" t="s">
        <v>7985</v>
      </c>
      <c r="T10155" t="s">
        <v>301</v>
      </c>
    </row>
    <row r="10156" spans="1:20" x14ac:dyDescent="0.25">
      <c r="A10156">
        <v>9</v>
      </c>
      <c r="B10156">
        <v>462</v>
      </c>
      <c r="C10156" t="str">
        <f t="shared" si="2312"/>
        <v>11</v>
      </c>
      <c r="D10156">
        <v>6399</v>
      </c>
      <c r="E10156" t="str">
        <f>"19"</f>
        <v>19</v>
      </c>
      <c r="F10156" t="str">
        <f>"001"</f>
        <v>001</v>
      </c>
      <c r="G10156">
        <v>9</v>
      </c>
      <c r="H10156" t="str">
        <f t="shared" si="2313"/>
        <v>11</v>
      </c>
      <c r="I10156" t="str">
        <f t="shared" si="2314"/>
        <v>9</v>
      </c>
      <c r="J10156" t="str">
        <f t="shared" si="2304"/>
        <v>00</v>
      </c>
      <c r="K10156">
        <v>20190111</v>
      </c>
      <c r="L10156" t="str">
        <f>"075286"</f>
        <v>075286</v>
      </c>
      <c r="M10156" t="str">
        <f>"82494"</f>
        <v>82494</v>
      </c>
      <c r="N10156" t="s">
        <v>2687</v>
      </c>
      <c r="O10156">
        <v>967.37</v>
      </c>
      <c r="P10156">
        <v>20190110</v>
      </c>
      <c r="Q10156" t="s">
        <v>7992</v>
      </c>
      <c r="R10156" t="s">
        <v>7993</v>
      </c>
      <c r="S10156" t="s">
        <v>7985</v>
      </c>
      <c r="T10156" t="s">
        <v>301</v>
      </c>
    </row>
    <row r="10157" spans="1:20" x14ac:dyDescent="0.25">
      <c r="A10157">
        <v>9</v>
      </c>
      <c r="B10157">
        <v>462</v>
      </c>
      <c r="C10157" t="str">
        <f t="shared" si="2312"/>
        <v>11</v>
      </c>
      <c r="D10157">
        <v>6649</v>
      </c>
      <c r="E10157" t="str">
        <f>"15"</f>
        <v>15</v>
      </c>
      <c r="F10157" t="str">
        <f>"041"</f>
        <v>041</v>
      </c>
      <c r="G10157">
        <v>9</v>
      </c>
      <c r="H10157" t="str">
        <f t="shared" si="2313"/>
        <v>11</v>
      </c>
      <c r="I10157" t="str">
        <f t="shared" si="2314"/>
        <v>9</v>
      </c>
      <c r="J10157" t="str">
        <f t="shared" si="2304"/>
        <v>00</v>
      </c>
      <c r="K10157">
        <v>20190125</v>
      </c>
      <c r="L10157" t="str">
        <f>"075318"</f>
        <v>075318</v>
      </c>
      <c r="M10157" t="str">
        <f>"06509"</f>
        <v>06509</v>
      </c>
      <c r="N10157" t="s">
        <v>1545</v>
      </c>
      <c r="O10157">
        <v>45</v>
      </c>
      <c r="P10157">
        <v>20190124</v>
      </c>
      <c r="Q10157" t="s">
        <v>7994</v>
      </c>
      <c r="R10157" t="s">
        <v>7995</v>
      </c>
      <c r="S10157" t="s">
        <v>7985</v>
      </c>
      <c r="T10157" t="s">
        <v>106</v>
      </c>
    </row>
    <row r="10158" spans="1:20" x14ac:dyDescent="0.25">
      <c r="A10158">
        <v>9</v>
      </c>
      <c r="B10158">
        <v>462</v>
      </c>
      <c r="C10158" t="str">
        <f t="shared" si="2312"/>
        <v>11</v>
      </c>
      <c r="D10158">
        <v>6649</v>
      </c>
      <c r="E10158" t="str">
        <f>"15"</f>
        <v>15</v>
      </c>
      <c r="F10158" t="str">
        <f>"041"</f>
        <v>041</v>
      </c>
      <c r="G10158">
        <v>9</v>
      </c>
      <c r="H10158" t="str">
        <f t="shared" si="2313"/>
        <v>11</v>
      </c>
      <c r="I10158" t="str">
        <f t="shared" si="2314"/>
        <v>9</v>
      </c>
      <c r="J10158" t="str">
        <f t="shared" si="2304"/>
        <v>00</v>
      </c>
      <c r="K10158">
        <v>20190125</v>
      </c>
      <c r="L10158" t="str">
        <f>"075318"</f>
        <v>075318</v>
      </c>
      <c r="M10158" t="str">
        <f>"06509"</f>
        <v>06509</v>
      </c>
      <c r="N10158" t="s">
        <v>1545</v>
      </c>
      <c r="O10158" s="1">
        <v>1495</v>
      </c>
      <c r="P10158">
        <v>20190124</v>
      </c>
      <c r="Q10158" t="s">
        <v>7994</v>
      </c>
      <c r="R10158" t="s">
        <v>7996</v>
      </c>
      <c r="S10158" t="s">
        <v>7985</v>
      </c>
      <c r="T10158" t="s">
        <v>106</v>
      </c>
    </row>
    <row r="10159" spans="1:20" x14ac:dyDescent="0.25">
      <c r="A10159">
        <v>9</v>
      </c>
      <c r="B10159">
        <v>462</v>
      </c>
      <c r="C10159" t="str">
        <f t="shared" si="2312"/>
        <v>11</v>
      </c>
      <c r="D10159">
        <v>6412</v>
      </c>
      <c r="E10159" t="str">
        <f>"28"</f>
        <v>28</v>
      </c>
      <c r="F10159" t="str">
        <f>"001"</f>
        <v>001</v>
      </c>
      <c r="G10159">
        <v>9</v>
      </c>
      <c r="H10159" t="str">
        <f t="shared" si="2313"/>
        <v>11</v>
      </c>
      <c r="I10159" t="str">
        <f t="shared" si="2314"/>
        <v>9</v>
      </c>
      <c r="J10159" t="str">
        <f t="shared" si="2304"/>
        <v>00</v>
      </c>
      <c r="K10159">
        <v>20190125</v>
      </c>
      <c r="L10159" t="str">
        <f>"075321"</f>
        <v>075321</v>
      </c>
      <c r="M10159" t="str">
        <f>"09170"</f>
        <v>09170</v>
      </c>
      <c r="N10159" t="s">
        <v>679</v>
      </c>
      <c r="O10159" s="1">
        <v>2500</v>
      </c>
      <c r="P10159">
        <v>20190124</v>
      </c>
      <c r="Q10159" t="s">
        <v>7997</v>
      </c>
      <c r="R10159" t="s">
        <v>7998</v>
      </c>
      <c r="S10159" t="s">
        <v>7985</v>
      </c>
      <c r="T10159" t="s">
        <v>301</v>
      </c>
    </row>
    <row r="10160" spans="1:20" x14ac:dyDescent="0.25">
      <c r="A10160">
        <v>9</v>
      </c>
      <c r="B10160">
        <v>462</v>
      </c>
      <c r="C10160" t="str">
        <f t="shared" si="2312"/>
        <v>11</v>
      </c>
      <c r="D10160">
        <v>6399</v>
      </c>
      <c r="E10160" t="str">
        <f>"18"</f>
        <v>18</v>
      </c>
      <c r="F10160" t="str">
        <f>"041"</f>
        <v>041</v>
      </c>
      <c r="G10160">
        <v>9</v>
      </c>
      <c r="H10160" t="str">
        <f t="shared" si="2313"/>
        <v>11</v>
      </c>
      <c r="I10160" t="str">
        <f t="shared" si="2314"/>
        <v>9</v>
      </c>
      <c r="J10160" t="str">
        <f t="shared" si="2304"/>
        <v>00</v>
      </c>
      <c r="K10160">
        <v>20190125</v>
      </c>
      <c r="L10160" t="str">
        <f>"075384"</f>
        <v>075384</v>
      </c>
      <c r="M10160" t="str">
        <f>"46850"</f>
        <v>46850</v>
      </c>
      <c r="N10160" t="s">
        <v>4752</v>
      </c>
      <c r="O10160">
        <v>929.88</v>
      </c>
      <c r="P10160">
        <v>20190124</v>
      </c>
      <c r="Q10160" t="s">
        <v>7999</v>
      </c>
      <c r="R10160" t="s">
        <v>8000</v>
      </c>
      <c r="S10160" t="s">
        <v>7985</v>
      </c>
      <c r="T10160" t="s">
        <v>106</v>
      </c>
    </row>
    <row r="10161" spans="1:20" x14ac:dyDescent="0.25">
      <c r="A10161">
        <v>9</v>
      </c>
      <c r="B10161">
        <v>462</v>
      </c>
      <c r="C10161" t="str">
        <f t="shared" si="2312"/>
        <v>11</v>
      </c>
      <c r="D10161">
        <v>6649</v>
      </c>
      <c r="E10161" t="str">
        <f>"14"</f>
        <v>14</v>
      </c>
      <c r="F10161" t="str">
        <f>"041"</f>
        <v>041</v>
      </c>
      <c r="G10161">
        <v>9</v>
      </c>
      <c r="H10161" t="str">
        <f t="shared" si="2313"/>
        <v>11</v>
      </c>
      <c r="I10161" t="str">
        <f t="shared" si="2314"/>
        <v>9</v>
      </c>
      <c r="J10161" t="str">
        <f t="shared" si="2304"/>
        <v>00</v>
      </c>
      <c r="K10161">
        <v>20190131</v>
      </c>
      <c r="L10161" t="str">
        <f>"075445"</f>
        <v>075445</v>
      </c>
      <c r="M10161" t="str">
        <f>"16807"</f>
        <v>16807</v>
      </c>
      <c r="N10161" t="s">
        <v>1581</v>
      </c>
      <c r="O10161" s="1">
        <v>4770</v>
      </c>
      <c r="P10161">
        <v>20190130</v>
      </c>
      <c r="Q10161" t="s">
        <v>8001</v>
      </c>
      <c r="R10161" t="s">
        <v>7991</v>
      </c>
      <c r="S10161" t="s">
        <v>7985</v>
      </c>
      <c r="T10161" t="s">
        <v>106</v>
      </c>
    </row>
    <row r="10162" spans="1:20" x14ac:dyDescent="0.25">
      <c r="A10162">
        <v>9</v>
      </c>
      <c r="B10162">
        <v>462</v>
      </c>
      <c r="C10162" t="str">
        <f t="shared" si="2312"/>
        <v>11</v>
      </c>
      <c r="D10162">
        <v>6412</v>
      </c>
      <c r="E10162" t="str">
        <f>"20"</f>
        <v>20</v>
      </c>
      <c r="F10162" t="str">
        <f>"001"</f>
        <v>001</v>
      </c>
      <c r="G10162">
        <v>9</v>
      </c>
      <c r="H10162" t="str">
        <f t="shared" si="2313"/>
        <v>11</v>
      </c>
      <c r="I10162" t="str">
        <f t="shared" si="2314"/>
        <v>9</v>
      </c>
      <c r="J10162" t="str">
        <f t="shared" si="2304"/>
        <v>00</v>
      </c>
      <c r="K10162">
        <v>20190131</v>
      </c>
      <c r="L10162" t="str">
        <f>"075463"</f>
        <v>075463</v>
      </c>
      <c r="M10162" t="str">
        <f>"25853"</f>
        <v>25853</v>
      </c>
      <c r="N10162" t="s">
        <v>3941</v>
      </c>
      <c r="O10162" s="1">
        <v>1000</v>
      </c>
      <c r="P10162">
        <v>20190131</v>
      </c>
      <c r="Q10162" t="s">
        <v>8002</v>
      </c>
      <c r="R10162" t="s">
        <v>7424</v>
      </c>
      <c r="S10162" t="s">
        <v>7985</v>
      </c>
      <c r="T10162" t="s">
        <v>301</v>
      </c>
    </row>
    <row r="10163" spans="1:20" x14ac:dyDescent="0.25">
      <c r="A10163">
        <v>9</v>
      </c>
      <c r="B10163">
        <v>462</v>
      </c>
      <c r="C10163" t="str">
        <f t="shared" si="2312"/>
        <v>11</v>
      </c>
      <c r="D10163">
        <v>6299</v>
      </c>
      <c r="E10163" t="str">
        <f>"11"</f>
        <v>11</v>
      </c>
      <c r="F10163" t="str">
        <f>"104"</f>
        <v>104</v>
      </c>
      <c r="G10163">
        <v>9</v>
      </c>
      <c r="H10163" t="str">
        <f t="shared" si="2313"/>
        <v>11</v>
      </c>
      <c r="I10163" t="str">
        <f t="shared" si="2314"/>
        <v>9</v>
      </c>
      <c r="J10163" t="str">
        <f t="shared" si="2304"/>
        <v>00</v>
      </c>
      <c r="K10163">
        <v>20190131</v>
      </c>
      <c r="L10163" t="str">
        <f>"075512"</f>
        <v>075512</v>
      </c>
      <c r="M10163" t="str">
        <f>"00644"</f>
        <v>00644</v>
      </c>
      <c r="N10163" t="s">
        <v>8003</v>
      </c>
      <c r="O10163" s="1">
        <v>3000</v>
      </c>
      <c r="P10163">
        <v>20190131</v>
      </c>
      <c r="Q10163" t="s">
        <v>8004</v>
      </c>
      <c r="R10163" t="s">
        <v>8005</v>
      </c>
      <c r="S10163" t="s">
        <v>7985</v>
      </c>
      <c r="T10163" t="s">
        <v>46</v>
      </c>
    </row>
    <row r="10164" spans="1:20" x14ac:dyDescent="0.25">
      <c r="A10164">
        <v>9</v>
      </c>
      <c r="B10164">
        <v>462</v>
      </c>
      <c r="C10164" t="str">
        <f t="shared" si="2312"/>
        <v>11</v>
      </c>
      <c r="D10164">
        <v>6299</v>
      </c>
      <c r="E10164" t="str">
        <f>"27"</f>
        <v>27</v>
      </c>
      <c r="F10164" t="str">
        <f>"001"</f>
        <v>001</v>
      </c>
      <c r="G10164">
        <v>9</v>
      </c>
      <c r="H10164" t="str">
        <f t="shared" si="2313"/>
        <v>11</v>
      </c>
      <c r="I10164" t="str">
        <f t="shared" si="2314"/>
        <v>9</v>
      </c>
      <c r="J10164" t="str">
        <f t="shared" si="2304"/>
        <v>00</v>
      </c>
      <c r="K10164">
        <v>20190208</v>
      </c>
      <c r="L10164" t="str">
        <f>"075662"</f>
        <v>075662</v>
      </c>
      <c r="M10164" t="str">
        <f>"76591"</f>
        <v>76591</v>
      </c>
      <c r="N10164" t="s">
        <v>8006</v>
      </c>
      <c r="O10164" s="1">
        <v>1174</v>
      </c>
      <c r="P10164">
        <v>20190207</v>
      </c>
      <c r="Q10164" t="s">
        <v>8007</v>
      </c>
      <c r="R10164" t="s">
        <v>8008</v>
      </c>
      <c r="S10164" t="s">
        <v>7985</v>
      </c>
      <c r="T10164" t="s">
        <v>301</v>
      </c>
    </row>
    <row r="10165" spans="1:20" x14ac:dyDescent="0.25">
      <c r="A10165">
        <v>9</v>
      </c>
      <c r="B10165">
        <v>462</v>
      </c>
      <c r="C10165" t="str">
        <f t="shared" si="2312"/>
        <v>11</v>
      </c>
      <c r="D10165">
        <v>6649</v>
      </c>
      <c r="E10165" t="str">
        <f>"15"</f>
        <v>15</v>
      </c>
      <c r="F10165" t="str">
        <f>"041"</f>
        <v>041</v>
      </c>
      <c r="G10165">
        <v>9</v>
      </c>
      <c r="H10165" t="str">
        <f t="shared" si="2313"/>
        <v>11</v>
      </c>
      <c r="I10165" t="str">
        <f t="shared" si="2314"/>
        <v>9</v>
      </c>
      <c r="J10165" t="str">
        <f t="shared" ref="J10165:J10228" si="2315">"00"</f>
        <v>00</v>
      </c>
      <c r="K10165">
        <v>20190215</v>
      </c>
      <c r="L10165" t="str">
        <f>"075681"</f>
        <v>075681</v>
      </c>
      <c r="M10165" t="str">
        <f>"04410"</f>
        <v>04410</v>
      </c>
      <c r="N10165" t="s">
        <v>410</v>
      </c>
      <c r="O10165">
        <v>352.95</v>
      </c>
      <c r="P10165">
        <v>20190213</v>
      </c>
      <c r="Q10165" t="s">
        <v>7994</v>
      </c>
      <c r="R10165" t="s">
        <v>8009</v>
      </c>
      <c r="S10165" t="s">
        <v>7985</v>
      </c>
      <c r="T10165" t="s">
        <v>106</v>
      </c>
    </row>
    <row r="10166" spans="1:20" x14ac:dyDescent="0.25">
      <c r="A10166">
        <v>9</v>
      </c>
      <c r="B10166">
        <v>462</v>
      </c>
      <c r="C10166" t="str">
        <f t="shared" si="2312"/>
        <v>11</v>
      </c>
      <c r="D10166">
        <v>6412</v>
      </c>
      <c r="E10166" t="str">
        <f>"24"</f>
        <v>24</v>
      </c>
      <c r="F10166" t="str">
        <f>"001"</f>
        <v>001</v>
      </c>
      <c r="G10166">
        <v>9</v>
      </c>
      <c r="H10166" t="str">
        <f t="shared" si="2313"/>
        <v>11</v>
      </c>
      <c r="I10166" t="str">
        <f t="shared" si="2314"/>
        <v>9</v>
      </c>
      <c r="J10166" t="str">
        <f t="shared" si="2315"/>
        <v>00</v>
      </c>
      <c r="K10166">
        <v>20190222</v>
      </c>
      <c r="L10166" t="str">
        <f>"075789"</f>
        <v>075789</v>
      </c>
      <c r="M10166" t="str">
        <f>"25853"</f>
        <v>25853</v>
      </c>
      <c r="N10166" t="s">
        <v>3941</v>
      </c>
      <c r="O10166" s="1">
        <v>2500</v>
      </c>
      <c r="P10166">
        <v>20190221</v>
      </c>
      <c r="Q10166" t="s">
        <v>8010</v>
      </c>
      <c r="R10166" t="s">
        <v>7520</v>
      </c>
      <c r="S10166" t="s">
        <v>7985</v>
      </c>
      <c r="T10166" t="s">
        <v>301</v>
      </c>
    </row>
    <row r="10167" spans="1:20" x14ac:dyDescent="0.25">
      <c r="A10167">
        <v>9</v>
      </c>
      <c r="B10167">
        <v>462</v>
      </c>
      <c r="C10167" t="str">
        <f>"13"</f>
        <v>13</v>
      </c>
      <c r="D10167">
        <v>6412</v>
      </c>
      <c r="E10167" t="str">
        <f>"32"</f>
        <v>32</v>
      </c>
      <c r="F10167" t="str">
        <f>"001"</f>
        <v>001</v>
      </c>
      <c r="G10167">
        <v>9</v>
      </c>
      <c r="H10167" t="str">
        <f t="shared" si="2313"/>
        <v>11</v>
      </c>
      <c r="I10167" t="str">
        <f t="shared" si="2314"/>
        <v>9</v>
      </c>
      <c r="J10167" t="str">
        <f t="shared" si="2315"/>
        <v>00</v>
      </c>
      <c r="K10167">
        <v>20190222</v>
      </c>
      <c r="L10167" t="str">
        <f>"075795"</f>
        <v>075795</v>
      </c>
      <c r="M10167" t="str">
        <f>"00466"</f>
        <v>00466</v>
      </c>
      <c r="N10167" t="s">
        <v>8011</v>
      </c>
      <c r="O10167" s="1">
        <v>2500</v>
      </c>
      <c r="P10167">
        <v>20190221</v>
      </c>
      <c r="Q10167" t="s">
        <v>8012</v>
      </c>
      <c r="R10167" t="s">
        <v>8013</v>
      </c>
      <c r="S10167" t="s">
        <v>7985</v>
      </c>
      <c r="T10167" t="s">
        <v>301</v>
      </c>
    </row>
    <row r="10168" spans="1:20" x14ac:dyDescent="0.25">
      <c r="A10168">
        <v>9</v>
      </c>
      <c r="B10168">
        <v>462</v>
      </c>
      <c r="C10168" t="str">
        <f t="shared" ref="C10168:C10199" si="2316">"11"</f>
        <v>11</v>
      </c>
      <c r="D10168">
        <v>6412</v>
      </c>
      <c r="E10168" t="str">
        <f>"26"</f>
        <v>26</v>
      </c>
      <c r="F10168" t="str">
        <f>"001"</f>
        <v>001</v>
      </c>
      <c r="G10168">
        <v>9</v>
      </c>
      <c r="H10168" t="str">
        <f t="shared" si="2313"/>
        <v>11</v>
      </c>
      <c r="I10168" t="str">
        <f t="shared" si="2314"/>
        <v>9</v>
      </c>
      <c r="J10168" t="str">
        <f t="shared" si="2315"/>
        <v>00</v>
      </c>
      <c r="K10168">
        <v>20190222</v>
      </c>
      <c r="L10168" t="str">
        <f>"075827"</f>
        <v>075827</v>
      </c>
      <c r="M10168" t="str">
        <f>"72085"</f>
        <v>72085</v>
      </c>
      <c r="N10168" t="s">
        <v>8014</v>
      </c>
      <c r="O10168">
        <v>317.55</v>
      </c>
      <c r="P10168">
        <v>20190221</v>
      </c>
      <c r="Q10168" t="s">
        <v>8015</v>
      </c>
      <c r="R10168" t="s">
        <v>8016</v>
      </c>
      <c r="S10168" t="s">
        <v>7985</v>
      </c>
      <c r="T10168" t="s">
        <v>301</v>
      </c>
    </row>
    <row r="10169" spans="1:20" x14ac:dyDescent="0.25">
      <c r="A10169">
        <v>9</v>
      </c>
      <c r="B10169">
        <v>462</v>
      </c>
      <c r="C10169" t="str">
        <f t="shared" si="2316"/>
        <v>11</v>
      </c>
      <c r="D10169">
        <v>6649</v>
      </c>
      <c r="E10169" t="str">
        <f>"15"</f>
        <v>15</v>
      </c>
      <c r="F10169" t="str">
        <f>"041"</f>
        <v>041</v>
      </c>
      <c r="G10169">
        <v>9</v>
      </c>
      <c r="H10169" t="str">
        <f t="shared" si="2313"/>
        <v>11</v>
      </c>
      <c r="I10169" t="str">
        <f t="shared" si="2314"/>
        <v>9</v>
      </c>
      <c r="J10169" t="str">
        <f t="shared" si="2315"/>
        <v>00</v>
      </c>
      <c r="K10169">
        <v>20190308</v>
      </c>
      <c r="L10169" t="str">
        <f>"075862"</f>
        <v>075862</v>
      </c>
      <c r="M10169" t="str">
        <f>"04410"</f>
        <v>04410</v>
      </c>
      <c r="N10169" t="s">
        <v>410</v>
      </c>
      <c r="O10169">
        <v>39.979999999999997</v>
      </c>
      <c r="P10169">
        <v>20190305</v>
      </c>
      <c r="Q10169" t="s">
        <v>7994</v>
      </c>
      <c r="R10169" t="s">
        <v>8017</v>
      </c>
      <c r="S10169" t="s">
        <v>7985</v>
      </c>
      <c r="T10169" t="s">
        <v>106</v>
      </c>
    </row>
    <row r="10170" spans="1:20" x14ac:dyDescent="0.25">
      <c r="A10170">
        <v>9</v>
      </c>
      <c r="B10170">
        <v>462</v>
      </c>
      <c r="C10170" t="str">
        <f t="shared" si="2316"/>
        <v>11</v>
      </c>
      <c r="D10170">
        <v>6399</v>
      </c>
      <c r="E10170" t="str">
        <f>"13"</f>
        <v>13</v>
      </c>
      <c r="F10170" t="str">
        <f>"104"</f>
        <v>104</v>
      </c>
      <c r="G10170">
        <v>9</v>
      </c>
      <c r="H10170" t="str">
        <f t="shared" si="2313"/>
        <v>11</v>
      </c>
      <c r="I10170" t="str">
        <f t="shared" si="2314"/>
        <v>9</v>
      </c>
      <c r="J10170" t="str">
        <f t="shared" si="2315"/>
        <v>00</v>
      </c>
      <c r="K10170">
        <v>20190308</v>
      </c>
      <c r="L10170" t="str">
        <f>"075869"</f>
        <v>075869</v>
      </c>
      <c r="M10170" t="str">
        <f>"09170"</f>
        <v>09170</v>
      </c>
      <c r="N10170" t="s">
        <v>679</v>
      </c>
      <c r="O10170">
        <v>480</v>
      </c>
      <c r="P10170">
        <v>20190305</v>
      </c>
      <c r="Q10170" t="s">
        <v>8018</v>
      </c>
      <c r="R10170" t="s">
        <v>8019</v>
      </c>
      <c r="S10170" t="s">
        <v>7985</v>
      </c>
      <c r="T10170" t="s">
        <v>46</v>
      </c>
    </row>
    <row r="10171" spans="1:20" x14ac:dyDescent="0.25">
      <c r="A10171">
        <v>9</v>
      </c>
      <c r="B10171">
        <v>462</v>
      </c>
      <c r="C10171" t="str">
        <f t="shared" si="2316"/>
        <v>11</v>
      </c>
      <c r="D10171">
        <v>6412</v>
      </c>
      <c r="E10171" t="str">
        <f>"26"</f>
        <v>26</v>
      </c>
      <c r="F10171" t="str">
        <f>"001"</f>
        <v>001</v>
      </c>
      <c r="G10171">
        <v>9</v>
      </c>
      <c r="H10171" t="str">
        <f t="shared" si="2313"/>
        <v>11</v>
      </c>
      <c r="I10171" t="str">
        <f t="shared" si="2314"/>
        <v>9</v>
      </c>
      <c r="J10171" t="str">
        <f t="shared" si="2315"/>
        <v>00</v>
      </c>
      <c r="K10171">
        <v>20190308</v>
      </c>
      <c r="L10171" t="str">
        <f>"075912"</f>
        <v>075912</v>
      </c>
      <c r="M10171" t="str">
        <f>"25853"</f>
        <v>25853</v>
      </c>
      <c r="N10171" t="s">
        <v>3941</v>
      </c>
      <c r="O10171" s="1">
        <v>2160</v>
      </c>
      <c r="P10171">
        <v>20190306</v>
      </c>
      <c r="Q10171" t="s">
        <v>8015</v>
      </c>
      <c r="R10171" t="s">
        <v>8020</v>
      </c>
      <c r="S10171" t="s">
        <v>7985</v>
      </c>
      <c r="T10171" t="s">
        <v>301</v>
      </c>
    </row>
    <row r="10172" spans="1:20" x14ac:dyDescent="0.25">
      <c r="A10172">
        <v>9</v>
      </c>
      <c r="B10172">
        <v>462</v>
      </c>
      <c r="C10172" t="str">
        <f t="shared" si="2316"/>
        <v>11</v>
      </c>
      <c r="D10172">
        <v>6399</v>
      </c>
      <c r="E10172" t="str">
        <f>"07"</f>
        <v>07</v>
      </c>
      <c r="F10172" t="str">
        <f t="shared" ref="F10172:F10178" si="2317">"101"</f>
        <v>101</v>
      </c>
      <c r="G10172">
        <v>9</v>
      </c>
      <c r="H10172" t="str">
        <f t="shared" si="2313"/>
        <v>11</v>
      </c>
      <c r="I10172" t="str">
        <f t="shared" si="2314"/>
        <v>9</v>
      </c>
      <c r="J10172" t="str">
        <f t="shared" si="2315"/>
        <v>00</v>
      </c>
      <c r="K10172">
        <v>20190315</v>
      </c>
      <c r="L10172" t="str">
        <f>"076024"</f>
        <v>076024</v>
      </c>
      <c r="M10172" t="str">
        <f>"04410"</f>
        <v>04410</v>
      </c>
      <c r="N10172" t="s">
        <v>410</v>
      </c>
      <c r="O10172">
        <v>767.11</v>
      </c>
      <c r="P10172">
        <v>20190313</v>
      </c>
      <c r="Q10172" t="s">
        <v>8021</v>
      </c>
      <c r="R10172" t="s">
        <v>8022</v>
      </c>
      <c r="S10172" t="s">
        <v>7985</v>
      </c>
      <c r="T10172" t="s">
        <v>1479</v>
      </c>
    </row>
    <row r="10173" spans="1:20" x14ac:dyDescent="0.25">
      <c r="A10173">
        <v>9</v>
      </c>
      <c r="B10173">
        <v>462</v>
      </c>
      <c r="C10173" t="str">
        <f t="shared" si="2316"/>
        <v>11</v>
      </c>
      <c r="D10173">
        <v>6399</v>
      </c>
      <c r="E10173" t="str">
        <f>"07"</f>
        <v>07</v>
      </c>
      <c r="F10173" t="str">
        <f t="shared" si="2317"/>
        <v>101</v>
      </c>
      <c r="G10173">
        <v>9</v>
      </c>
      <c r="H10173" t="str">
        <f t="shared" si="2313"/>
        <v>11</v>
      </c>
      <c r="I10173" t="str">
        <f t="shared" si="2314"/>
        <v>9</v>
      </c>
      <c r="J10173" t="str">
        <f t="shared" si="2315"/>
        <v>00</v>
      </c>
      <c r="K10173">
        <v>20190315</v>
      </c>
      <c r="L10173" t="str">
        <f>"076024"</f>
        <v>076024</v>
      </c>
      <c r="M10173" t="str">
        <f>"04410"</f>
        <v>04410</v>
      </c>
      <c r="N10173" t="s">
        <v>410</v>
      </c>
      <c r="O10173">
        <v>507.13</v>
      </c>
      <c r="P10173">
        <v>20190313</v>
      </c>
      <c r="Q10173" t="s">
        <v>8021</v>
      </c>
      <c r="R10173" t="s">
        <v>8022</v>
      </c>
      <c r="S10173" t="s">
        <v>7985</v>
      </c>
      <c r="T10173" t="s">
        <v>1479</v>
      </c>
    </row>
    <row r="10174" spans="1:20" x14ac:dyDescent="0.25">
      <c r="A10174">
        <v>9</v>
      </c>
      <c r="B10174">
        <v>462</v>
      </c>
      <c r="C10174" t="str">
        <f t="shared" si="2316"/>
        <v>11</v>
      </c>
      <c r="D10174">
        <v>6399</v>
      </c>
      <c r="E10174" t="str">
        <f>"07"</f>
        <v>07</v>
      </c>
      <c r="F10174" t="str">
        <f t="shared" si="2317"/>
        <v>101</v>
      </c>
      <c r="G10174">
        <v>9</v>
      </c>
      <c r="H10174" t="str">
        <f t="shared" si="2313"/>
        <v>11</v>
      </c>
      <c r="I10174" t="str">
        <f t="shared" si="2314"/>
        <v>9</v>
      </c>
      <c r="J10174" t="str">
        <f t="shared" si="2315"/>
        <v>00</v>
      </c>
      <c r="K10174">
        <v>20190315</v>
      </c>
      <c r="L10174" t="str">
        <f>"076024"</f>
        <v>076024</v>
      </c>
      <c r="M10174" t="str">
        <f>"04410"</f>
        <v>04410</v>
      </c>
      <c r="N10174" t="s">
        <v>410</v>
      </c>
      <c r="O10174">
        <v>-399.99</v>
      </c>
      <c r="P10174">
        <v>20190302</v>
      </c>
      <c r="Q10174" t="s">
        <v>8021</v>
      </c>
      <c r="R10174" t="s">
        <v>8023</v>
      </c>
      <c r="S10174" t="s">
        <v>7985</v>
      </c>
      <c r="T10174" t="s">
        <v>1479</v>
      </c>
    </row>
    <row r="10175" spans="1:20" x14ac:dyDescent="0.25">
      <c r="A10175">
        <v>9</v>
      </c>
      <c r="B10175">
        <v>462</v>
      </c>
      <c r="C10175" t="str">
        <f t="shared" si="2316"/>
        <v>11</v>
      </c>
      <c r="D10175">
        <v>6329</v>
      </c>
      <c r="E10175" t="str">
        <f>"03"</f>
        <v>03</v>
      </c>
      <c r="F10175" t="str">
        <f t="shared" si="2317"/>
        <v>101</v>
      </c>
      <c r="G10175">
        <v>9</v>
      </c>
      <c r="H10175" t="str">
        <f t="shared" si="2313"/>
        <v>11</v>
      </c>
      <c r="I10175" t="str">
        <f t="shared" si="2314"/>
        <v>9</v>
      </c>
      <c r="J10175" t="str">
        <f t="shared" si="2315"/>
        <v>00</v>
      </c>
      <c r="K10175">
        <v>20190315</v>
      </c>
      <c r="L10175" t="str">
        <f>"076077"</f>
        <v>076077</v>
      </c>
      <c r="M10175" t="str">
        <f>"39279"</f>
        <v>39279</v>
      </c>
      <c r="N10175" t="s">
        <v>6448</v>
      </c>
      <c r="O10175">
        <v>935</v>
      </c>
      <c r="P10175">
        <v>20190314</v>
      </c>
      <c r="Q10175" t="s">
        <v>8024</v>
      </c>
      <c r="R10175" t="s">
        <v>8025</v>
      </c>
      <c r="S10175" t="s">
        <v>7985</v>
      </c>
      <c r="T10175" t="s">
        <v>1479</v>
      </c>
    </row>
    <row r="10176" spans="1:20" x14ac:dyDescent="0.25">
      <c r="A10176">
        <v>9</v>
      </c>
      <c r="B10176">
        <v>462</v>
      </c>
      <c r="C10176" t="str">
        <f t="shared" si="2316"/>
        <v>11</v>
      </c>
      <c r="D10176">
        <v>6399</v>
      </c>
      <c r="E10176" t="str">
        <f>"06"</f>
        <v>06</v>
      </c>
      <c r="F10176" t="str">
        <f t="shared" si="2317"/>
        <v>101</v>
      </c>
      <c r="G10176">
        <v>9</v>
      </c>
      <c r="H10176" t="str">
        <f t="shared" si="2313"/>
        <v>11</v>
      </c>
      <c r="I10176" t="str">
        <f t="shared" si="2314"/>
        <v>9</v>
      </c>
      <c r="J10176" t="str">
        <f t="shared" si="2315"/>
        <v>00</v>
      </c>
      <c r="K10176">
        <v>20190315</v>
      </c>
      <c r="L10176" t="str">
        <f>"076124"</f>
        <v>076124</v>
      </c>
      <c r="M10176" t="str">
        <f>"00735"</f>
        <v>00735</v>
      </c>
      <c r="N10176" t="s">
        <v>8026</v>
      </c>
      <c r="O10176" s="1">
        <v>1062.6300000000001</v>
      </c>
      <c r="P10176">
        <v>20190315</v>
      </c>
      <c r="Q10176" t="s">
        <v>8027</v>
      </c>
      <c r="R10176" t="s">
        <v>8028</v>
      </c>
      <c r="S10176" t="s">
        <v>7985</v>
      </c>
      <c r="T10176" t="s">
        <v>1479</v>
      </c>
    </row>
    <row r="10177" spans="1:20" x14ac:dyDescent="0.25">
      <c r="A10177">
        <v>9</v>
      </c>
      <c r="B10177">
        <v>462</v>
      </c>
      <c r="C10177" t="str">
        <f t="shared" si="2316"/>
        <v>11</v>
      </c>
      <c r="D10177">
        <v>6399</v>
      </c>
      <c r="E10177" t="str">
        <f>"07"</f>
        <v>07</v>
      </c>
      <c r="F10177" t="str">
        <f t="shared" si="2317"/>
        <v>101</v>
      </c>
      <c r="G10177">
        <v>9</v>
      </c>
      <c r="H10177" t="str">
        <f t="shared" si="2313"/>
        <v>11</v>
      </c>
      <c r="I10177" t="str">
        <f t="shared" si="2314"/>
        <v>9</v>
      </c>
      <c r="J10177" t="str">
        <f t="shared" si="2315"/>
        <v>00</v>
      </c>
      <c r="K10177">
        <v>20190322</v>
      </c>
      <c r="L10177" t="str">
        <f>"076180"</f>
        <v>076180</v>
      </c>
      <c r="M10177" t="str">
        <f>"46850"</f>
        <v>46850</v>
      </c>
      <c r="N10177" t="s">
        <v>4752</v>
      </c>
      <c r="O10177" s="1">
        <v>3069.87</v>
      </c>
      <c r="P10177">
        <v>20190320</v>
      </c>
      <c r="Q10177" t="s">
        <v>8021</v>
      </c>
      <c r="R10177" t="s">
        <v>6423</v>
      </c>
      <c r="S10177" t="s">
        <v>7985</v>
      </c>
      <c r="T10177" t="s">
        <v>1479</v>
      </c>
    </row>
    <row r="10178" spans="1:20" x14ac:dyDescent="0.25">
      <c r="A10178">
        <v>9</v>
      </c>
      <c r="B10178">
        <v>462</v>
      </c>
      <c r="C10178" t="str">
        <f t="shared" si="2316"/>
        <v>11</v>
      </c>
      <c r="D10178">
        <v>6399</v>
      </c>
      <c r="E10178" t="str">
        <f>"07"</f>
        <v>07</v>
      </c>
      <c r="F10178" t="str">
        <f t="shared" si="2317"/>
        <v>101</v>
      </c>
      <c r="G10178">
        <v>9</v>
      </c>
      <c r="H10178" t="str">
        <f t="shared" si="2313"/>
        <v>11</v>
      </c>
      <c r="I10178" t="str">
        <f t="shared" si="2314"/>
        <v>9</v>
      </c>
      <c r="J10178" t="str">
        <f t="shared" si="2315"/>
        <v>00</v>
      </c>
      <c r="K10178">
        <v>20190322</v>
      </c>
      <c r="L10178" t="str">
        <f>"076180"</f>
        <v>076180</v>
      </c>
      <c r="M10178" t="str">
        <f>"46850"</f>
        <v>46850</v>
      </c>
      <c r="N10178" t="s">
        <v>4752</v>
      </c>
      <c r="O10178">
        <v>-14.7</v>
      </c>
      <c r="P10178">
        <v>20190313</v>
      </c>
      <c r="Q10178" t="s">
        <v>8021</v>
      </c>
      <c r="R10178" t="s">
        <v>8029</v>
      </c>
      <c r="S10178" t="s">
        <v>7985</v>
      </c>
      <c r="T10178" t="s">
        <v>1479</v>
      </c>
    </row>
    <row r="10179" spans="1:20" x14ac:dyDescent="0.25">
      <c r="A10179">
        <v>9</v>
      </c>
      <c r="B10179">
        <v>462</v>
      </c>
      <c r="C10179" t="str">
        <f t="shared" si="2316"/>
        <v>11</v>
      </c>
      <c r="D10179">
        <v>6399</v>
      </c>
      <c r="E10179" t="str">
        <f>"16"</f>
        <v>16</v>
      </c>
      <c r="F10179" t="str">
        <f>"041"</f>
        <v>041</v>
      </c>
      <c r="G10179">
        <v>9</v>
      </c>
      <c r="H10179" t="str">
        <f t="shared" si="2313"/>
        <v>11</v>
      </c>
      <c r="I10179" t="str">
        <f t="shared" si="2314"/>
        <v>9</v>
      </c>
      <c r="J10179" t="str">
        <f t="shared" si="2315"/>
        <v>00</v>
      </c>
      <c r="K10179">
        <v>20190322</v>
      </c>
      <c r="L10179" t="str">
        <f>"076195"</f>
        <v>076195</v>
      </c>
      <c r="M10179" t="str">
        <f>"00149"</f>
        <v>00149</v>
      </c>
      <c r="N10179" t="s">
        <v>8030</v>
      </c>
      <c r="O10179">
        <v>219.5</v>
      </c>
      <c r="P10179">
        <v>20190320</v>
      </c>
      <c r="Q10179" t="s">
        <v>8031</v>
      </c>
      <c r="R10179" t="s">
        <v>8032</v>
      </c>
      <c r="S10179" t="s">
        <v>7985</v>
      </c>
      <c r="T10179" t="s">
        <v>106</v>
      </c>
    </row>
    <row r="10180" spans="1:20" x14ac:dyDescent="0.25">
      <c r="A10180">
        <v>9</v>
      </c>
      <c r="B10180">
        <v>462</v>
      </c>
      <c r="C10180" t="str">
        <f t="shared" si="2316"/>
        <v>11</v>
      </c>
      <c r="D10180">
        <v>6399</v>
      </c>
      <c r="E10180" t="str">
        <f>"09"</f>
        <v>09</v>
      </c>
      <c r="F10180" t="str">
        <f>"101"</f>
        <v>101</v>
      </c>
      <c r="G10180">
        <v>9</v>
      </c>
      <c r="H10180" t="str">
        <f t="shared" ref="H10180:H10211" si="2318">"11"</f>
        <v>11</v>
      </c>
      <c r="I10180" t="str">
        <f t="shared" ref="I10180:I10211" si="2319">"9"</f>
        <v>9</v>
      </c>
      <c r="J10180" t="str">
        <f t="shared" si="2315"/>
        <v>00</v>
      </c>
      <c r="K10180">
        <v>20190329</v>
      </c>
      <c r="L10180" t="str">
        <f>"076219"</f>
        <v>076219</v>
      </c>
      <c r="M10180" t="str">
        <f>"04410"</f>
        <v>04410</v>
      </c>
      <c r="N10180" t="s">
        <v>410</v>
      </c>
      <c r="O10180">
        <v>363.98</v>
      </c>
      <c r="P10180">
        <v>20190327</v>
      </c>
      <c r="Q10180" t="s">
        <v>8033</v>
      </c>
      <c r="R10180" t="s">
        <v>8034</v>
      </c>
      <c r="S10180" t="s">
        <v>7985</v>
      </c>
      <c r="T10180" t="s">
        <v>1479</v>
      </c>
    </row>
    <row r="10181" spans="1:20" x14ac:dyDescent="0.25">
      <c r="A10181">
        <v>9</v>
      </c>
      <c r="B10181">
        <v>462</v>
      </c>
      <c r="C10181" t="str">
        <f t="shared" si="2316"/>
        <v>11</v>
      </c>
      <c r="D10181">
        <v>6399</v>
      </c>
      <c r="E10181" t="str">
        <f>"09"</f>
        <v>09</v>
      </c>
      <c r="F10181" t="str">
        <f>"101"</f>
        <v>101</v>
      </c>
      <c r="G10181">
        <v>9</v>
      </c>
      <c r="H10181" t="str">
        <f t="shared" si="2318"/>
        <v>11</v>
      </c>
      <c r="I10181" t="str">
        <f t="shared" si="2319"/>
        <v>9</v>
      </c>
      <c r="J10181" t="str">
        <f t="shared" si="2315"/>
        <v>00</v>
      </c>
      <c r="K10181">
        <v>20190329</v>
      </c>
      <c r="L10181" t="str">
        <f>"076219"</f>
        <v>076219</v>
      </c>
      <c r="M10181" t="str">
        <f>"04410"</f>
        <v>04410</v>
      </c>
      <c r="N10181" t="s">
        <v>410</v>
      </c>
      <c r="O10181">
        <v>344.94</v>
      </c>
      <c r="P10181">
        <v>20190327</v>
      </c>
      <c r="Q10181" t="s">
        <v>8033</v>
      </c>
      <c r="R10181" t="s">
        <v>8035</v>
      </c>
      <c r="S10181" t="s">
        <v>7985</v>
      </c>
      <c r="T10181" t="s">
        <v>1479</v>
      </c>
    </row>
    <row r="10182" spans="1:20" x14ac:dyDescent="0.25">
      <c r="A10182">
        <v>9</v>
      </c>
      <c r="B10182">
        <v>462</v>
      </c>
      <c r="C10182" t="str">
        <f t="shared" si="2316"/>
        <v>11</v>
      </c>
      <c r="D10182">
        <v>6399</v>
      </c>
      <c r="E10182" t="str">
        <f>"16"</f>
        <v>16</v>
      </c>
      <c r="F10182" t="str">
        <f>"041"</f>
        <v>041</v>
      </c>
      <c r="G10182">
        <v>9</v>
      </c>
      <c r="H10182" t="str">
        <f t="shared" si="2318"/>
        <v>11</v>
      </c>
      <c r="I10182" t="str">
        <f t="shared" si="2319"/>
        <v>9</v>
      </c>
      <c r="J10182" t="str">
        <f t="shared" si="2315"/>
        <v>00</v>
      </c>
      <c r="K10182">
        <v>20190329</v>
      </c>
      <c r="L10182" t="str">
        <f>"076224"</f>
        <v>076224</v>
      </c>
      <c r="M10182" t="str">
        <f>"09170"</f>
        <v>09170</v>
      </c>
      <c r="N10182" t="s">
        <v>679</v>
      </c>
      <c r="O10182">
        <v>666.69</v>
      </c>
      <c r="P10182">
        <v>20190327</v>
      </c>
      <c r="Q10182" t="s">
        <v>8031</v>
      </c>
      <c r="R10182" t="s">
        <v>8036</v>
      </c>
      <c r="S10182" t="s">
        <v>7985</v>
      </c>
      <c r="T10182" t="s">
        <v>106</v>
      </c>
    </row>
    <row r="10183" spans="1:20" x14ac:dyDescent="0.25">
      <c r="A10183">
        <v>9</v>
      </c>
      <c r="B10183">
        <v>462</v>
      </c>
      <c r="C10183" t="str">
        <f t="shared" si="2316"/>
        <v>11</v>
      </c>
      <c r="D10183">
        <v>6299</v>
      </c>
      <c r="E10183" t="str">
        <f>"12"</f>
        <v>12</v>
      </c>
      <c r="F10183" t="str">
        <f>"104"</f>
        <v>104</v>
      </c>
      <c r="G10183">
        <v>9</v>
      </c>
      <c r="H10183" t="str">
        <f t="shared" si="2318"/>
        <v>11</v>
      </c>
      <c r="I10183" t="str">
        <f t="shared" si="2319"/>
        <v>9</v>
      </c>
      <c r="J10183" t="str">
        <f t="shared" si="2315"/>
        <v>00</v>
      </c>
      <c r="K10183">
        <v>20190329</v>
      </c>
      <c r="L10183" t="str">
        <f>"076275"</f>
        <v>076275</v>
      </c>
      <c r="M10183" t="str">
        <f>"00641"</f>
        <v>00641</v>
      </c>
      <c r="N10183" t="s">
        <v>3428</v>
      </c>
      <c r="O10183">
        <v>325</v>
      </c>
      <c r="P10183">
        <v>20190327</v>
      </c>
      <c r="Q10183" t="s">
        <v>8037</v>
      </c>
      <c r="R10183" t="s">
        <v>8038</v>
      </c>
      <c r="S10183" t="s">
        <v>7985</v>
      </c>
      <c r="T10183" t="s">
        <v>46</v>
      </c>
    </row>
    <row r="10184" spans="1:20" x14ac:dyDescent="0.25">
      <c r="A10184">
        <v>9</v>
      </c>
      <c r="B10184">
        <v>462</v>
      </c>
      <c r="C10184" t="str">
        <f t="shared" si="2316"/>
        <v>11</v>
      </c>
      <c r="D10184">
        <v>6299</v>
      </c>
      <c r="E10184" t="str">
        <f>"12"</f>
        <v>12</v>
      </c>
      <c r="F10184" t="str">
        <f>"104"</f>
        <v>104</v>
      </c>
      <c r="G10184">
        <v>9</v>
      </c>
      <c r="H10184" t="str">
        <f t="shared" si="2318"/>
        <v>11</v>
      </c>
      <c r="I10184" t="str">
        <f t="shared" si="2319"/>
        <v>9</v>
      </c>
      <c r="J10184" t="str">
        <f t="shared" si="2315"/>
        <v>00</v>
      </c>
      <c r="K10184">
        <v>20190329</v>
      </c>
      <c r="L10184" t="str">
        <f>"076285"</f>
        <v>076285</v>
      </c>
      <c r="M10184" t="str">
        <f>"58816"</f>
        <v>58816</v>
      </c>
      <c r="N10184" t="s">
        <v>1908</v>
      </c>
      <c r="O10184">
        <v>325</v>
      </c>
      <c r="P10184">
        <v>20190328</v>
      </c>
      <c r="Q10184" t="s">
        <v>8037</v>
      </c>
      <c r="R10184" t="s">
        <v>8038</v>
      </c>
      <c r="S10184" t="s">
        <v>7985</v>
      </c>
      <c r="T10184" t="s">
        <v>46</v>
      </c>
    </row>
    <row r="10185" spans="1:20" x14ac:dyDescent="0.25">
      <c r="A10185">
        <v>9</v>
      </c>
      <c r="B10185">
        <v>462</v>
      </c>
      <c r="C10185" t="str">
        <f t="shared" si="2316"/>
        <v>11</v>
      </c>
      <c r="D10185">
        <v>6299</v>
      </c>
      <c r="E10185" t="str">
        <f>"12"</f>
        <v>12</v>
      </c>
      <c r="F10185" t="str">
        <f>"104"</f>
        <v>104</v>
      </c>
      <c r="G10185">
        <v>9</v>
      </c>
      <c r="H10185" t="str">
        <f t="shared" si="2318"/>
        <v>11</v>
      </c>
      <c r="I10185" t="str">
        <f t="shared" si="2319"/>
        <v>9</v>
      </c>
      <c r="J10185" t="str">
        <f t="shared" si="2315"/>
        <v>00</v>
      </c>
      <c r="K10185">
        <v>20190329</v>
      </c>
      <c r="L10185" t="str">
        <f>"076301"</f>
        <v>076301</v>
      </c>
      <c r="M10185" t="str">
        <f>"80175"</f>
        <v>80175</v>
      </c>
      <c r="N10185" t="s">
        <v>3470</v>
      </c>
      <c r="O10185">
        <v>325</v>
      </c>
      <c r="P10185">
        <v>20190328</v>
      </c>
      <c r="Q10185" t="s">
        <v>8037</v>
      </c>
      <c r="R10185" t="s">
        <v>8038</v>
      </c>
      <c r="S10185" t="s">
        <v>7985</v>
      </c>
      <c r="T10185" t="s">
        <v>46</v>
      </c>
    </row>
    <row r="10186" spans="1:20" x14ac:dyDescent="0.25">
      <c r="A10186">
        <v>9</v>
      </c>
      <c r="B10186">
        <v>462</v>
      </c>
      <c r="C10186" t="str">
        <f t="shared" si="2316"/>
        <v>11</v>
      </c>
      <c r="D10186">
        <v>6329</v>
      </c>
      <c r="E10186" t="str">
        <f>"01"</f>
        <v>01</v>
      </c>
      <c r="F10186" t="str">
        <f>"101"</f>
        <v>101</v>
      </c>
      <c r="G10186">
        <v>9</v>
      </c>
      <c r="H10186" t="str">
        <f t="shared" si="2318"/>
        <v>11</v>
      </c>
      <c r="I10186" t="str">
        <f t="shared" si="2319"/>
        <v>9</v>
      </c>
      <c r="J10186" t="str">
        <f t="shared" si="2315"/>
        <v>00</v>
      </c>
      <c r="K10186">
        <v>20190412</v>
      </c>
      <c r="L10186" t="str">
        <f>"076443"</f>
        <v>076443</v>
      </c>
      <c r="M10186" t="str">
        <f>"28712"</f>
        <v>28712</v>
      </c>
      <c r="N10186" t="s">
        <v>6434</v>
      </c>
      <c r="O10186">
        <v>981.39</v>
      </c>
      <c r="P10186">
        <v>20190410</v>
      </c>
      <c r="Q10186" t="s">
        <v>8039</v>
      </c>
      <c r="R10186" t="s">
        <v>1945</v>
      </c>
      <c r="S10186" t="s">
        <v>7985</v>
      </c>
      <c r="T10186" t="s">
        <v>1479</v>
      </c>
    </row>
    <row r="10187" spans="1:20" x14ac:dyDescent="0.25">
      <c r="A10187">
        <v>9</v>
      </c>
      <c r="B10187">
        <v>462</v>
      </c>
      <c r="C10187" t="str">
        <f t="shared" si="2316"/>
        <v>11</v>
      </c>
      <c r="D10187">
        <v>6399</v>
      </c>
      <c r="E10187" t="str">
        <f>"07"</f>
        <v>07</v>
      </c>
      <c r="F10187" t="str">
        <f>"101"</f>
        <v>101</v>
      </c>
      <c r="G10187">
        <v>9</v>
      </c>
      <c r="H10187" t="str">
        <f t="shared" si="2318"/>
        <v>11</v>
      </c>
      <c r="I10187" t="str">
        <f t="shared" si="2319"/>
        <v>9</v>
      </c>
      <c r="J10187" t="str">
        <f t="shared" si="2315"/>
        <v>00</v>
      </c>
      <c r="K10187">
        <v>20190426</v>
      </c>
      <c r="L10187" t="str">
        <f>"076550"</f>
        <v>076550</v>
      </c>
      <c r="M10187" t="str">
        <f>"04410"</f>
        <v>04410</v>
      </c>
      <c r="N10187" t="s">
        <v>410</v>
      </c>
      <c r="O10187">
        <v>141.65</v>
      </c>
      <c r="P10187">
        <v>20190424</v>
      </c>
      <c r="Q10187" t="s">
        <v>8021</v>
      </c>
      <c r="R10187" t="s">
        <v>8040</v>
      </c>
      <c r="S10187" t="s">
        <v>7985</v>
      </c>
      <c r="T10187" t="s">
        <v>1479</v>
      </c>
    </row>
    <row r="10188" spans="1:20" x14ac:dyDescent="0.25">
      <c r="A10188">
        <v>9</v>
      </c>
      <c r="B10188">
        <v>462</v>
      </c>
      <c r="C10188" t="str">
        <f t="shared" si="2316"/>
        <v>11</v>
      </c>
      <c r="D10188">
        <v>6412</v>
      </c>
      <c r="E10188" t="str">
        <f>"23"</f>
        <v>23</v>
      </c>
      <c r="F10188" t="str">
        <f>"001"</f>
        <v>001</v>
      </c>
      <c r="G10188">
        <v>9</v>
      </c>
      <c r="H10188" t="str">
        <f t="shared" si="2318"/>
        <v>11</v>
      </c>
      <c r="I10188" t="str">
        <f t="shared" si="2319"/>
        <v>9</v>
      </c>
      <c r="J10188" t="str">
        <f t="shared" si="2315"/>
        <v>00</v>
      </c>
      <c r="K10188">
        <v>20190426</v>
      </c>
      <c r="L10188" t="str">
        <f>"076574"</f>
        <v>076574</v>
      </c>
      <c r="M10188" t="str">
        <f>"25853"</f>
        <v>25853</v>
      </c>
      <c r="N10188" t="s">
        <v>3941</v>
      </c>
      <c r="O10188" s="1">
        <v>2500</v>
      </c>
      <c r="P10188">
        <v>20190425</v>
      </c>
      <c r="Q10188" t="s">
        <v>8041</v>
      </c>
      <c r="R10188" t="s">
        <v>8042</v>
      </c>
      <c r="S10188" t="s">
        <v>7985</v>
      </c>
      <c r="T10188" t="s">
        <v>301</v>
      </c>
    </row>
    <row r="10189" spans="1:20" x14ac:dyDescent="0.25">
      <c r="A10189">
        <v>9</v>
      </c>
      <c r="B10189">
        <v>462</v>
      </c>
      <c r="C10189" t="str">
        <f t="shared" si="2316"/>
        <v>11</v>
      </c>
      <c r="D10189">
        <v>6329</v>
      </c>
      <c r="E10189" t="str">
        <f>"02"</f>
        <v>02</v>
      </c>
      <c r="F10189" t="str">
        <f t="shared" ref="F10189:F10222" si="2320">"101"</f>
        <v>101</v>
      </c>
      <c r="G10189">
        <v>9</v>
      </c>
      <c r="H10189" t="str">
        <f t="shared" si="2318"/>
        <v>11</v>
      </c>
      <c r="I10189" t="str">
        <f t="shared" si="2319"/>
        <v>9</v>
      </c>
      <c r="J10189" t="str">
        <f t="shared" si="2315"/>
        <v>00</v>
      </c>
      <c r="K10189">
        <v>20190426</v>
      </c>
      <c r="L10189" t="str">
        <f>"076592"</f>
        <v>076592</v>
      </c>
      <c r="M10189" t="str">
        <f>"46850"</f>
        <v>46850</v>
      </c>
      <c r="N10189" t="s">
        <v>4752</v>
      </c>
      <c r="O10189">
        <v>198.55</v>
      </c>
      <c r="P10189">
        <v>20190425</v>
      </c>
      <c r="Q10189" t="s">
        <v>8043</v>
      </c>
      <c r="R10189" t="s">
        <v>8044</v>
      </c>
      <c r="S10189" t="s">
        <v>7985</v>
      </c>
      <c r="T10189" t="s">
        <v>1479</v>
      </c>
    </row>
    <row r="10190" spans="1:20" x14ac:dyDescent="0.25">
      <c r="A10190">
        <v>9</v>
      </c>
      <c r="B10190">
        <v>462</v>
      </c>
      <c r="C10190" t="str">
        <f t="shared" si="2316"/>
        <v>11</v>
      </c>
      <c r="D10190">
        <v>6399</v>
      </c>
      <c r="E10190" t="str">
        <f>"04"</f>
        <v>04</v>
      </c>
      <c r="F10190" t="str">
        <f t="shared" si="2320"/>
        <v>101</v>
      </c>
      <c r="G10190">
        <v>9</v>
      </c>
      <c r="H10190" t="str">
        <f t="shared" si="2318"/>
        <v>11</v>
      </c>
      <c r="I10190" t="str">
        <f t="shared" si="2319"/>
        <v>9</v>
      </c>
      <c r="J10190" t="str">
        <f t="shared" si="2315"/>
        <v>00</v>
      </c>
      <c r="K10190">
        <v>20190426</v>
      </c>
      <c r="L10190" t="str">
        <f>"076592"</f>
        <v>076592</v>
      </c>
      <c r="M10190" t="str">
        <f>"46850"</f>
        <v>46850</v>
      </c>
      <c r="N10190" t="s">
        <v>4752</v>
      </c>
      <c r="O10190">
        <v>585.12</v>
      </c>
      <c r="P10190">
        <v>20190425</v>
      </c>
      <c r="Q10190" t="s">
        <v>8045</v>
      </c>
      <c r="R10190" t="s">
        <v>6442</v>
      </c>
      <c r="S10190" t="s">
        <v>7985</v>
      </c>
      <c r="T10190" t="s">
        <v>1479</v>
      </c>
    </row>
    <row r="10191" spans="1:20" x14ac:dyDescent="0.25">
      <c r="A10191">
        <v>9</v>
      </c>
      <c r="B10191">
        <v>462</v>
      </c>
      <c r="C10191" t="str">
        <f t="shared" si="2316"/>
        <v>11</v>
      </c>
      <c r="D10191">
        <v>6329</v>
      </c>
      <c r="E10191" t="str">
        <f t="shared" ref="E10191:E10222" si="2321">"02"</f>
        <v>02</v>
      </c>
      <c r="F10191" t="str">
        <f t="shared" si="2320"/>
        <v>101</v>
      </c>
      <c r="G10191">
        <v>9</v>
      </c>
      <c r="H10191" t="str">
        <f t="shared" si="2318"/>
        <v>11</v>
      </c>
      <c r="I10191" t="str">
        <f t="shared" si="2319"/>
        <v>9</v>
      </c>
      <c r="J10191" t="str">
        <f t="shared" si="2315"/>
        <v>00</v>
      </c>
      <c r="K10191">
        <v>20190510</v>
      </c>
      <c r="L10191" t="str">
        <f t="shared" ref="L10191:L10222" si="2322">"076799"</f>
        <v>076799</v>
      </c>
      <c r="M10191" t="str">
        <f t="shared" ref="M10191:M10222" si="2323">"65780"</f>
        <v>65780</v>
      </c>
      <c r="N10191" t="s">
        <v>2318</v>
      </c>
      <c r="O10191">
        <v>13</v>
      </c>
      <c r="P10191">
        <v>20190508</v>
      </c>
      <c r="Q10191" t="s">
        <v>8043</v>
      </c>
      <c r="R10191" t="s">
        <v>5190</v>
      </c>
      <c r="S10191" t="s">
        <v>7985</v>
      </c>
      <c r="T10191" t="s">
        <v>1479</v>
      </c>
    </row>
    <row r="10192" spans="1:20" x14ac:dyDescent="0.25">
      <c r="A10192">
        <v>9</v>
      </c>
      <c r="B10192">
        <v>462</v>
      </c>
      <c r="C10192" t="str">
        <f t="shared" si="2316"/>
        <v>11</v>
      </c>
      <c r="D10192">
        <v>6329</v>
      </c>
      <c r="E10192" t="str">
        <f t="shared" si="2321"/>
        <v>02</v>
      </c>
      <c r="F10192" t="str">
        <f t="shared" si="2320"/>
        <v>101</v>
      </c>
      <c r="G10192">
        <v>9</v>
      </c>
      <c r="H10192" t="str">
        <f t="shared" si="2318"/>
        <v>11</v>
      </c>
      <c r="I10192" t="str">
        <f t="shared" si="2319"/>
        <v>9</v>
      </c>
      <c r="J10192" t="str">
        <f t="shared" si="2315"/>
        <v>00</v>
      </c>
      <c r="K10192">
        <v>20190510</v>
      </c>
      <c r="L10192" t="str">
        <f t="shared" si="2322"/>
        <v>076799</v>
      </c>
      <c r="M10192" t="str">
        <f t="shared" si="2323"/>
        <v>65780</v>
      </c>
      <c r="N10192" t="s">
        <v>2318</v>
      </c>
      <c r="O10192">
        <v>22</v>
      </c>
      <c r="P10192">
        <v>20190508</v>
      </c>
      <c r="Q10192" t="s">
        <v>8043</v>
      </c>
      <c r="R10192" t="s">
        <v>5190</v>
      </c>
      <c r="S10192" t="s">
        <v>7985</v>
      </c>
      <c r="T10192" t="s">
        <v>1479</v>
      </c>
    </row>
    <row r="10193" spans="1:20" x14ac:dyDescent="0.25">
      <c r="A10193">
        <v>9</v>
      </c>
      <c r="B10193">
        <v>462</v>
      </c>
      <c r="C10193" t="str">
        <f t="shared" si="2316"/>
        <v>11</v>
      </c>
      <c r="D10193">
        <v>6329</v>
      </c>
      <c r="E10193" t="str">
        <f t="shared" si="2321"/>
        <v>02</v>
      </c>
      <c r="F10193" t="str">
        <f t="shared" si="2320"/>
        <v>101</v>
      </c>
      <c r="G10193">
        <v>9</v>
      </c>
      <c r="H10193" t="str">
        <f t="shared" si="2318"/>
        <v>11</v>
      </c>
      <c r="I10193" t="str">
        <f t="shared" si="2319"/>
        <v>9</v>
      </c>
      <c r="J10193" t="str">
        <f t="shared" si="2315"/>
        <v>00</v>
      </c>
      <c r="K10193">
        <v>20190510</v>
      </c>
      <c r="L10193" t="str">
        <f t="shared" si="2322"/>
        <v>076799</v>
      </c>
      <c r="M10193" t="str">
        <f t="shared" si="2323"/>
        <v>65780</v>
      </c>
      <c r="N10193" t="s">
        <v>2318</v>
      </c>
      <c r="O10193">
        <v>22</v>
      </c>
      <c r="P10193">
        <v>20190508</v>
      </c>
      <c r="Q10193" t="s">
        <v>8043</v>
      </c>
      <c r="R10193" t="s">
        <v>5190</v>
      </c>
      <c r="S10193" t="s">
        <v>7985</v>
      </c>
      <c r="T10193" t="s">
        <v>1479</v>
      </c>
    </row>
    <row r="10194" spans="1:20" x14ac:dyDescent="0.25">
      <c r="A10194">
        <v>9</v>
      </c>
      <c r="B10194">
        <v>462</v>
      </c>
      <c r="C10194" t="str">
        <f t="shared" si="2316"/>
        <v>11</v>
      </c>
      <c r="D10194">
        <v>6329</v>
      </c>
      <c r="E10194" t="str">
        <f t="shared" si="2321"/>
        <v>02</v>
      </c>
      <c r="F10194" t="str">
        <f t="shared" si="2320"/>
        <v>101</v>
      </c>
      <c r="G10194">
        <v>9</v>
      </c>
      <c r="H10194" t="str">
        <f t="shared" si="2318"/>
        <v>11</v>
      </c>
      <c r="I10194" t="str">
        <f t="shared" si="2319"/>
        <v>9</v>
      </c>
      <c r="J10194" t="str">
        <f t="shared" si="2315"/>
        <v>00</v>
      </c>
      <c r="K10194">
        <v>20190510</v>
      </c>
      <c r="L10194" t="str">
        <f t="shared" si="2322"/>
        <v>076799</v>
      </c>
      <c r="M10194" t="str">
        <f t="shared" si="2323"/>
        <v>65780</v>
      </c>
      <c r="N10194" t="s">
        <v>2318</v>
      </c>
      <c r="O10194">
        <v>53</v>
      </c>
      <c r="P10194">
        <v>20190508</v>
      </c>
      <c r="Q10194" t="s">
        <v>8043</v>
      </c>
      <c r="R10194" t="s">
        <v>5190</v>
      </c>
      <c r="S10194" t="s">
        <v>7985</v>
      </c>
      <c r="T10194" t="s">
        <v>1479</v>
      </c>
    </row>
    <row r="10195" spans="1:20" x14ac:dyDescent="0.25">
      <c r="A10195">
        <v>9</v>
      </c>
      <c r="B10195">
        <v>462</v>
      </c>
      <c r="C10195" t="str">
        <f t="shared" si="2316"/>
        <v>11</v>
      </c>
      <c r="D10195">
        <v>6329</v>
      </c>
      <c r="E10195" t="str">
        <f t="shared" si="2321"/>
        <v>02</v>
      </c>
      <c r="F10195" t="str">
        <f t="shared" si="2320"/>
        <v>101</v>
      </c>
      <c r="G10195">
        <v>9</v>
      </c>
      <c r="H10195" t="str">
        <f t="shared" si="2318"/>
        <v>11</v>
      </c>
      <c r="I10195" t="str">
        <f t="shared" si="2319"/>
        <v>9</v>
      </c>
      <c r="J10195" t="str">
        <f t="shared" si="2315"/>
        <v>00</v>
      </c>
      <c r="K10195">
        <v>20190510</v>
      </c>
      <c r="L10195" t="str">
        <f t="shared" si="2322"/>
        <v>076799</v>
      </c>
      <c r="M10195" t="str">
        <f t="shared" si="2323"/>
        <v>65780</v>
      </c>
      <c r="N10195" t="s">
        <v>2318</v>
      </c>
      <c r="O10195">
        <v>20</v>
      </c>
      <c r="P10195">
        <v>20190508</v>
      </c>
      <c r="Q10195" t="s">
        <v>8043</v>
      </c>
      <c r="R10195" t="s">
        <v>8046</v>
      </c>
      <c r="S10195" t="s">
        <v>7985</v>
      </c>
      <c r="T10195" t="s">
        <v>1479</v>
      </c>
    </row>
    <row r="10196" spans="1:20" x14ac:dyDescent="0.25">
      <c r="A10196">
        <v>9</v>
      </c>
      <c r="B10196">
        <v>462</v>
      </c>
      <c r="C10196" t="str">
        <f t="shared" si="2316"/>
        <v>11</v>
      </c>
      <c r="D10196">
        <v>6329</v>
      </c>
      <c r="E10196" t="str">
        <f t="shared" si="2321"/>
        <v>02</v>
      </c>
      <c r="F10196" t="str">
        <f t="shared" si="2320"/>
        <v>101</v>
      </c>
      <c r="G10196">
        <v>9</v>
      </c>
      <c r="H10196" t="str">
        <f t="shared" si="2318"/>
        <v>11</v>
      </c>
      <c r="I10196" t="str">
        <f t="shared" si="2319"/>
        <v>9</v>
      </c>
      <c r="J10196" t="str">
        <f t="shared" si="2315"/>
        <v>00</v>
      </c>
      <c r="K10196">
        <v>20190510</v>
      </c>
      <c r="L10196" t="str">
        <f t="shared" si="2322"/>
        <v>076799</v>
      </c>
      <c r="M10196" t="str">
        <f t="shared" si="2323"/>
        <v>65780</v>
      </c>
      <c r="N10196" t="s">
        <v>2318</v>
      </c>
      <c r="O10196">
        <v>101</v>
      </c>
      <c r="P10196">
        <v>20190508</v>
      </c>
      <c r="Q10196" t="s">
        <v>8043</v>
      </c>
      <c r="R10196" t="s">
        <v>5190</v>
      </c>
      <c r="S10196" t="s">
        <v>7985</v>
      </c>
      <c r="T10196" t="s">
        <v>1479</v>
      </c>
    </row>
    <row r="10197" spans="1:20" x14ac:dyDescent="0.25">
      <c r="A10197">
        <v>9</v>
      </c>
      <c r="B10197">
        <v>462</v>
      </c>
      <c r="C10197" t="str">
        <f t="shared" si="2316"/>
        <v>11</v>
      </c>
      <c r="D10197">
        <v>6329</v>
      </c>
      <c r="E10197" t="str">
        <f t="shared" si="2321"/>
        <v>02</v>
      </c>
      <c r="F10197" t="str">
        <f t="shared" si="2320"/>
        <v>101</v>
      </c>
      <c r="G10197">
        <v>9</v>
      </c>
      <c r="H10197" t="str">
        <f t="shared" si="2318"/>
        <v>11</v>
      </c>
      <c r="I10197" t="str">
        <f t="shared" si="2319"/>
        <v>9</v>
      </c>
      <c r="J10197" t="str">
        <f t="shared" si="2315"/>
        <v>00</v>
      </c>
      <c r="K10197">
        <v>20190510</v>
      </c>
      <c r="L10197" t="str">
        <f t="shared" si="2322"/>
        <v>076799</v>
      </c>
      <c r="M10197" t="str">
        <f t="shared" si="2323"/>
        <v>65780</v>
      </c>
      <c r="N10197" t="s">
        <v>2318</v>
      </c>
      <c r="O10197">
        <v>5</v>
      </c>
      <c r="P10197">
        <v>20190508</v>
      </c>
      <c r="Q10197" t="s">
        <v>8043</v>
      </c>
      <c r="R10197" t="s">
        <v>8047</v>
      </c>
      <c r="S10197" t="s">
        <v>7985</v>
      </c>
      <c r="T10197" t="s">
        <v>1479</v>
      </c>
    </row>
    <row r="10198" spans="1:20" x14ac:dyDescent="0.25">
      <c r="A10198">
        <v>9</v>
      </c>
      <c r="B10198">
        <v>462</v>
      </c>
      <c r="C10198" t="str">
        <f t="shared" si="2316"/>
        <v>11</v>
      </c>
      <c r="D10198">
        <v>6329</v>
      </c>
      <c r="E10198" t="str">
        <f t="shared" si="2321"/>
        <v>02</v>
      </c>
      <c r="F10198" t="str">
        <f t="shared" si="2320"/>
        <v>101</v>
      </c>
      <c r="G10198">
        <v>9</v>
      </c>
      <c r="H10198" t="str">
        <f t="shared" si="2318"/>
        <v>11</v>
      </c>
      <c r="I10198" t="str">
        <f t="shared" si="2319"/>
        <v>9</v>
      </c>
      <c r="J10198" t="str">
        <f t="shared" si="2315"/>
        <v>00</v>
      </c>
      <c r="K10198">
        <v>20190510</v>
      </c>
      <c r="L10198" t="str">
        <f t="shared" si="2322"/>
        <v>076799</v>
      </c>
      <c r="M10198" t="str">
        <f t="shared" si="2323"/>
        <v>65780</v>
      </c>
      <c r="N10198" t="s">
        <v>2318</v>
      </c>
      <c r="O10198">
        <v>10</v>
      </c>
      <c r="P10198">
        <v>20190508</v>
      </c>
      <c r="Q10198" t="s">
        <v>8043</v>
      </c>
      <c r="R10198" t="s">
        <v>8046</v>
      </c>
      <c r="S10198" t="s">
        <v>7985</v>
      </c>
      <c r="T10198" t="s">
        <v>1479</v>
      </c>
    </row>
    <row r="10199" spans="1:20" x14ac:dyDescent="0.25">
      <c r="A10199">
        <v>9</v>
      </c>
      <c r="B10199">
        <v>462</v>
      </c>
      <c r="C10199" t="str">
        <f t="shared" si="2316"/>
        <v>11</v>
      </c>
      <c r="D10199">
        <v>6329</v>
      </c>
      <c r="E10199" t="str">
        <f t="shared" si="2321"/>
        <v>02</v>
      </c>
      <c r="F10199" t="str">
        <f t="shared" si="2320"/>
        <v>101</v>
      </c>
      <c r="G10199">
        <v>9</v>
      </c>
      <c r="H10199" t="str">
        <f t="shared" si="2318"/>
        <v>11</v>
      </c>
      <c r="I10199" t="str">
        <f t="shared" si="2319"/>
        <v>9</v>
      </c>
      <c r="J10199" t="str">
        <f t="shared" si="2315"/>
        <v>00</v>
      </c>
      <c r="K10199">
        <v>20190510</v>
      </c>
      <c r="L10199" t="str">
        <f t="shared" si="2322"/>
        <v>076799</v>
      </c>
      <c r="M10199" t="str">
        <f t="shared" si="2323"/>
        <v>65780</v>
      </c>
      <c r="N10199" t="s">
        <v>2318</v>
      </c>
      <c r="O10199">
        <v>27</v>
      </c>
      <c r="P10199">
        <v>20190508</v>
      </c>
      <c r="Q10199" t="s">
        <v>8043</v>
      </c>
      <c r="R10199" t="s">
        <v>5190</v>
      </c>
      <c r="S10199" t="s">
        <v>7985</v>
      </c>
      <c r="T10199" t="s">
        <v>1479</v>
      </c>
    </row>
    <row r="10200" spans="1:20" x14ac:dyDescent="0.25">
      <c r="A10200">
        <v>9</v>
      </c>
      <c r="B10200">
        <v>462</v>
      </c>
      <c r="C10200" t="str">
        <f t="shared" ref="C10200:C10233" si="2324">"11"</f>
        <v>11</v>
      </c>
      <c r="D10200">
        <v>6329</v>
      </c>
      <c r="E10200" t="str">
        <f t="shared" si="2321"/>
        <v>02</v>
      </c>
      <c r="F10200" t="str">
        <f t="shared" si="2320"/>
        <v>101</v>
      </c>
      <c r="G10200">
        <v>9</v>
      </c>
      <c r="H10200" t="str">
        <f t="shared" si="2318"/>
        <v>11</v>
      </c>
      <c r="I10200" t="str">
        <f t="shared" si="2319"/>
        <v>9</v>
      </c>
      <c r="J10200" t="str">
        <f t="shared" si="2315"/>
        <v>00</v>
      </c>
      <c r="K10200">
        <v>20190510</v>
      </c>
      <c r="L10200" t="str">
        <f t="shared" si="2322"/>
        <v>076799</v>
      </c>
      <c r="M10200" t="str">
        <f t="shared" si="2323"/>
        <v>65780</v>
      </c>
      <c r="N10200" t="s">
        <v>2318</v>
      </c>
      <c r="O10200">
        <v>10</v>
      </c>
      <c r="P10200">
        <v>20190508</v>
      </c>
      <c r="Q10200" t="s">
        <v>8043</v>
      </c>
      <c r="R10200" t="s">
        <v>8048</v>
      </c>
      <c r="S10200" t="s">
        <v>7985</v>
      </c>
      <c r="T10200" t="s">
        <v>1479</v>
      </c>
    </row>
    <row r="10201" spans="1:20" x14ac:dyDescent="0.25">
      <c r="A10201">
        <v>9</v>
      </c>
      <c r="B10201">
        <v>462</v>
      </c>
      <c r="C10201" t="str">
        <f t="shared" si="2324"/>
        <v>11</v>
      </c>
      <c r="D10201">
        <v>6329</v>
      </c>
      <c r="E10201" t="str">
        <f t="shared" si="2321"/>
        <v>02</v>
      </c>
      <c r="F10201" t="str">
        <f t="shared" si="2320"/>
        <v>101</v>
      </c>
      <c r="G10201">
        <v>9</v>
      </c>
      <c r="H10201" t="str">
        <f t="shared" si="2318"/>
        <v>11</v>
      </c>
      <c r="I10201" t="str">
        <f t="shared" si="2319"/>
        <v>9</v>
      </c>
      <c r="J10201" t="str">
        <f t="shared" si="2315"/>
        <v>00</v>
      </c>
      <c r="K10201">
        <v>20190510</v>
      </c>
      <c r="L10201" t="str">
        <f t="shared" si="2322"/>
        <v>076799</v>
      </c>
      <c r="M10201" t="str">
        <f t="shared" si="2323"/>
        <v>65780</v>
      </c>
      <c r="N10201" t="s">
        <v>2318</v>
      </c>
      <c r="O10201">
        <v>4</v>
      </c>
      <c r="P10201">
        <v>20190508</v>
      </c>
      <c r="Q10201" t="s">
        <v>8043</v>
      </c>
      <c r="R10201" t="s">
        <v>8046</v>
      </c>
      <c r="S10201" t="s">
        <v>7985</v>
      </c>
      <c r="T10201" t="s">
        <v>1479</v>
      </c>
    </row>
    <row r="10202" spans="1:20" x14ac:dyDescent="0.25">
      <c r="A10202">
        <v>9</v>
      </c>
      <c r="B10202">
        <v>462</v>
      </c>
      <c r="C10202" t="str">
        <f t="shared" si="2324"/>
        <v>11</v>
      </c>
      <c r="D10202">
        <v>6329</v>
      </c>
      <c r="E10202" t="str">
        <f t="shared" si="2321"/>
        <v>02</v>
      </c>
      <c r="F10202" t="str">
        <f t="shared" si="2320"/>
        <v>101</v>
      </c>
      <c r="G10202">
        <v>9</v>
      </c>
      <c r="H10202" t="str">
        <f t="shared" si="2318"/>
        <v>11</v>
      </c>
      <c r="I10202" t="str">
        <f t="shared" si="2319"/>
        <v>9</v>
      </c>
      <c r="J10202" t="str">
        <f t="shared" si="2315"/>
        <v>00</v>
      </c>
      <c r="K10202">
        <v>20190510</v>
      </c>
      <c r="L10202" t="str">
        <f t="shared" si="2322"/>
        <v>076799</v>
      </c>
      <c r="M10202" t="str">
        <f t="shared" si="2323"/>
        <v>65780</v>
      </c>
      <c r="N10202" t="s">
        <v>2318</v>
      </c>
      <c r="O10202">
        <v>22</v>
      </c>
      <c r="P10202">
        <v>20190508</v>
      </c>
      <c r="Q10202" t="s">
        <v>8043</v>
      </c>
      <c r="R10202" t="s">
        <v>5190</v>
      </c>
      <c r="S10202" t="s">
        <v>7985</v>
      </c>
      <c r="T10202" t="s">
        <v>1479</v>
      </c>
    </row>
    <row r="10203" spans="1:20" x14ac:dyDescent="0.25">
      <c r="A10203">
        <v>9</v>
      </c>
      <c r="B10203">
        <v>462</v>
      </c>
      <c r="C10203" t="str">
        <f t="shared" si="2324"/>
        <v>11</v>
      </c>
      <c r="D10203">
        <v>6329</v>
      </c>
      <c r="E10203" t="str">
        <f t="shared" si="2321"/>
        <v>02</v>
      </c>
      <c r="F10203" t="str">
        <f t="shared" si="2320"/>
        <v>101</v>
      </c>
      <c r="G10203">
        <v>9</v>
      </c>
      <c r="H10203" t="str">
        <f t="shared" si="2318"/>
        <v>11</v>
      </c>
      <c r="I10203" t="str">
        <f t="shared" si="2319"/>
        <v>9</v>
      </c>
      <c r="J10203" t="str">
        <f t="shared" si="2315"/>
        <v>00</v>
      </c>
      <c r="K10203">
        <v>20190510</v>
      </c>
      <c r="L10203" t="str">
        <f t="shared" si="2322"/>
        <v>076799</v>
      </c>
      <c r="M10203" t="str">
        <f t="shared" si="2323"/>
        <v>65780</v>
      </c>
      <c r="N10203" t="s">
        <v>2318</v>
      </c>
      <c r="O10203">
        <v>7</v>
      </c>
      <c r="P10203">
        <v>20190508</v>
      </c>
      <c r="Q10203" t="s">
        <v>8043</v>
      </c>
      <c r="R10203" t="s">
        <v>8049</v>
      </c>
      <c r="S10203" t="s">
        <v>7985</v>
      </c>
      <c r="T10203" t="s">
        <v>1479</v>
      </c>
    </row>
    <row r="10204" spans="1:20" x14ac:dyDescent="0.25">
      <c r="A10204">
        <v>9</v>
      </c>
      <c r="B10204">
        <v>462</v>
      </c>
      <c r="C10204" t="str">
        <f t="shared" si="2324"/>
        <v>11</v>
      </c>
      <c r="D10204">
        <v>6329</v>
      </c>
      <c r="E10204" t="str">
        <f t="shared" si="2321"/>
        <v>02</v>
      </c>
      <c r="F10204" t="str">
        <f t="shared" si="2320"/>
        <v>101</v>
      </c>
      <c r="G10204">
        <v>9</v>
      </c>
      <c r="H10204" t="str">
        <f t="shared" si="2318"/>
        <v>11</v>
      </c>
      <c r="I10204" t="str">
        <f t="shared" si="2319"/>
        <v>9</v>
      </c>
      <c r="J10204" t="str">
        <f t="shared" si="2315"/>
        <v>00</v>
      </c>
      <c r="K10204">
        <v>20190510</v>
      </c>
      <c r="L10204" t="str">
        <f t="shared" si="2322"/>
        <v>076799</v>
      </c>
      <c r="M10204" t="str">
        <f t="shared" si="2323"/>
        <v>65780</v>
      </c>
      <c r="N10204" t="s">
        <v>2318</v>
      </c>
      <c r="O10204">
        <v>30</v>
      </c>
      <c r="P10204">
        <v>20190508</v>
      </c>
      <c r="Q10204" t="s">
        <v>8043</v>
      </c>
      <c r="R10204" t="s">
        <v>8050</v>
      </c>
      <c r="S10204" t="s">
        <v>7985</v>
      </c>
      <c r="T10204" t="s">
        <v>1479</v>
      </c>
    </row>
    <row r="10205" spans="1:20" x14ac:dyDescent="0.25">
      <c r="A10205">
        <v>9</v>
      </c>
      <c r="B10205">
        <v>462</v>
      </c>
      <c r="C10205" t="str">
        <f t="shared" si="2324"/>
        <v>11</v>
      </c>
      <c r="D10205">
        <v>6329</v>
      </c>
      <c r="E10205" t="str">
        <f t="shared" si="2321"/>
        <v>02</v>
      </c>
      <c r="F10205" t="str">
        <f t="shared" si="2320"/>
        <v>101</v>
      </c>
      <c r="G10205">
        <v>9</v>
      </c>
      <c r="H10205" t="str">
        <f t="shared" si="2318"/>
        <v>11</v>
      </c>
      <c r="I10205" t="str">
        <f t="shared" si="2319"/>
        <v>9</v>
      </c>
      <c r="J10205" t="str">
        <f t="shared" si="2315"/>
        <v>00</v>
      </c>
      <c r="K10205">
        <v>20190510</v>
      </c>
      <c r="L10205" t="str">
        <f t="shared" si="2322"/>
        <v>076799</v>
      </c>
      <c r="M10205" t="str">
        <f t="shared" si="2323"/>
        <v>65780</v>
      </c>
      <c r="N10205" t="s">
        <v>2318</v>
      </c>
      <c r="O10205">
        <v>10</v>
      </c>
      <c r="P10205">
        <v>20190508</v>
      </c>
      <c r="Q10205" t="s">
        <v>8043</v>
      </c>
      <c r="R10205" t="s">
        <v>8051</v>
      </c>
      <c r="S10205" t="s">
        <v>7985</v>
      </c>
      <c r="T10205" t="s">
        <v>1479</v>
      </c>
    </row>
    <row r="10206" spans="1:20" x14ac:dyDescent="0.25">
      <c r="A10206">
        <v>9</v>
      </c>
      <c r="B10206">
        <v>462</v>
      </c>
      <c r="C10206" t="str">
        <f t="shared" si="2324"/>
        <v>11</v>
      </c>
      <c r="D10206">
        <v>6329</v>
      </c>
      <c r="E10206" t="str">
        <f t="shared" si="2321"/>
        <v>02</v>
      </c>
      <c r="F10206" t="str">
        <f t="shared" si="2320"/>
        <v>101</v>
      </c>
      <c r="G10206">
        <v>9</v>
      </c>
      <c r="H10206" t="str">
        <f t="shared" si="2318"/>
        <v>11</v>
      </c>
      <c r="I10206" t="str">
        <f t="shared" si="2319"/>
        <v>9</v>
      </c>
      <c r="J10206" t="str">
        <f t="shared" si="2315"/>
        <v>00</v>
      </c>
      <c r="K10206">
        <v>20190510</v>
      </c>
      <c r="L10206" t="str">
        <f t="shared" si="2322"/>
        <v>076799</v>
      </c>
      <c r="M10206" t="str">
        <f t="shared" si="2323"/>
        <v>65780</v>
      </c>
      <c r="N10206" t="s">
        <v>2318</v>
      </c>
      <c r="O10206">
        <v>16</v>
      </c>
      <c r="P10206">
        <v>20190508</v>
      </c>
      <c r="Q10206" t="s">
        <v>8043</v>
      </c>
      <c r="R10206" t="s">
        <v>5190</v>
      </c>
      <c r="S10206" t="s">
        <v>7985</v>
      </c>
      <c r="T10206" t="s">
        <v>1479</v>
      </c>
    </row>
    <row r="10207" spans="1:20" x14ac:dyDescent="0.25">
      <c r="A10207">
        <v>9</v>
      </c>
      <c r="B10207">
        <v>462</v>
      </c>
      <c r="C10207" t="str">
        <f t="shared" si="2324"/>
        <v>11</v>
      </c>
      <c r="D10207">
        <v>6329</v>
      </c>
      <c r="E10207" t="str">
        <f t="shared" si="2321"/>
        <v>02</v>
      </c>
      <c r="F10207" t="str">
        <f t="shared" si="2320"/>
        <v>101</v>
      </c>
      <c r="G10207">
        <v>9</v>
      </c>
      <c r="H10207" t="str">
        <f t="shared" si="2318"/>
        <v>11</v>
      </c>
      <c r="I10207" t="str">
        <f t="shared" si="2319"/>
        <v>9</v>
      </c>
      <c r="J10207" t="str">
        <f t="shared" si="2315"/>
        <v>00</v>
      </c>
      <c r="K10207">
        <v>20190510</v>
      </c>
      <c r="L10207" t="str">
        <f t="shared" si="2322"/>
        <v>076799</v>
      </c>
      <c r="M10207" t="str">
        <f t="shared" si="2323"/>
        <v>65780</v>
      </c>
      <c r="N10207" t="s">
        <v>2318</v>
      </c>
      <c r="O10207">
        <v>12</v>
      </c>
      <c r="P10207">
        <v>20190508</v>
      </c>
      <c r="Q10207" t="s">
        <v>8043</v>
      </c>
      <c r="R10207" t="s">
        <v>8052</v>
      </c>
      <c r="S10207" t="s">
        <v>7985</v>
      </c>
      <c r="T10207" t="s">
        <v>1479</v>
      </c>
    </row>
    <row r="10208" spans="1:20" x14ac:dyDescent="0.25">
      <c r="A10208">
        <v>9</v>
      </c>
      <c r="B10208">
        <v>462</v>
      </c>
      <c r="C10208" t="str">
        <f t="shared" si="2324"/>
        <v>11</v>
      </c>
      <c r="D10208">
        <v>6329</v>
      </c>
      <c r="E10208" t="str">
        <f t="shared" si="2321"/>
        <v>02</v>
      </c>
      <c r="F10208" t="str">
        <f t="shared" si="2320"/>
        <v>101</v>
      </c>
      <c r="G10208">
        <v>9</v>
      </c>
      <c r="H10208" t="str">
        <f t="shared" si="2318"/>
        <v>11</v>
      </c>
      <c r="I10208" t="str">
        <f t="shared" si="2319"/>
        <v>9</v>
      </c>
      <c r="J10208" t="str">
        <f t="shared" si="2315"/>
        <v>00</v>
      </c>
      <c r="K10208">
        <v>20190510</v>
      </c>
      <c r="L10208" t="str">
        <f t="shared" si="2322"/>
        <v>076799</v>
      </c>
      <c r="M10208" t="str">
        <f t="shared" si="2323"/>
        <v>65780</v>
      </c>
      <c r="N10208" t="s">
        <v>2318</v>
      </c>
      <c r="O10208">
        <v>51</v>
      </c>
      <c r="P10208">
        <v>20190508</v>
      </c>
      <c r="Q10208" t="s">
        <v>8043</v>
      </c>
      <c r="R10208" t="s">
        <v>5190</v>
      </c>
      <c r="S10208" t="s">
        <v>7985</v>
      </c>
      <c r="T10208" t="s">
        <v>1479</v>
      </c>
    </row>
    <row r="10209" spans="1:20" x14ac:dyDescent="0.25">
      <c r="A10209">
        <v>9</v>
      </c>
      <c r="B10209">
        <v>462</v>
      </c>
      <c r="C10209" t="str">
        <f t="shared" si="2324"/>
        <v>11</v>
      </c>
      <c r="D10209">
        <v>6329</v>
      </c>
      <c r="E10209" t="str">
        <f t="shared" si="2321"/>
        <v>02</v>
      </c>
      <c r="F10209" t="str">
        <f t="shared" si="2320"/>
        <v>101</v>
      </c>
      <c r="G10209">
        <v>9</v>
      </c>
      <c r="H10209" t="str">
        <f t="shared" si="2318"/>
        <v>11</v>
      </c>
      <c r="I10209" t="str">
        <f t="shared" si="2319"/>
        <v>9</v>
      </c>
      <c r="J10209" t="str">
        <f t="shared" si="2315"/>
        <v>00</v>
      </c>
      <c r="K10209">
        <v>20190510</v>
      </c>
      <c r="L10209" t="str">
        <f t="shared" si="2322"/>
        <v>076799</v>
      </c>
      <c r="M10209" t="str">
        <f t="shared" si="2323"/>
        <v>65780</v>
      </c>
      <c r="N10209" t="s">
        <v>2318</v>
      </c>
      <c r="O10209">
        <v>24</v>
      </c>
      <c r="P10209">
        <v>20190508</v>
      </c>
      <c r="Q10209" t="s">
        <v>8043</v>
      </c>
      <c r="R10209" t="s">
        <v>5190</v>
      </c>
      <c r="S10209" t="s">
        <v>7985</v>
      </c>
      <c r="T10209" t="s">
        <v>1479</v>
      </c>
    </row>
    <row r="10210" spans="1:20" x14ac:dyDescent="0.25">
      <c r="A10210">
        <v>9</v>
      </c>
      <c r="B10210">
        <v>462</v>
      </c>
      <c r="C10210" t="str">
        <f t="shared" si="2324"/>
        <v>11</v>
      </c>
      <c r="D10210">
        <v>6329</v>
      </c>
      <c r="E10210" t="str">
        <f t="shared" si="2321"/>
        <v>02</v>
      </c>
      <c r="F10210" t="str">
        <f t="shared" si="2320"/>
        <v>101</v>
      </c>
      <c r="G10210">
        <v>9</v>
      </c>
      <c r="H10210" t="str">
        <f t="shared" si="2318"/>
        <v>11</v>
      </c>
      <c r="I10210" t="str">
        <f t="shared" si="2319"/>
        <v>9</v>
      </c>
      <c r="J10210" t="str">
        <f t="shared" si="2315"/>
        <v>00</v>
      </c>
      <c r="K10210">
        <v>20190510</v>
      </c>
      <c r="L10210" t="str">
        <f t="shared" si="2322"/>
        <v>076799</v>
      </c>
      <c r="M10210" t="str">
        <f t="shared" si="2323"/>
        <v>65780</v>
      </c>
      <c r="N10210" t="s">
        <v>2318</v>
      </c>
      <c r="O10210">
        <v>15</v>
      </c>
      <c r="P10210">
        <v>20190508</v>
      </c>
      <c r="Q10210" t="s">
        <v>8043</v>
      </c>
      <c r="R10210" t="s">
        <v>8046</v>
      </c>
      <c r="S10210" t="s">
        <v>7985</v>
      </c>
      <c r="T10210" t="s">
        <v>1479</v>
      </c>
    </row>
    <row r="10211" spans="1:20" x14ac:dyDescent="0.25">
      <c r="A10211">
        <v>9</v>
      </c>
      <c r="B10211">
        <v>462</v>
      </c>
      <c r="C10211" t="str">
        <f t="shared" si="2324"/>
        <v>11</v>
      </c>
      <c r="D10211">
        <v>6329</v>
      </c>
      <c r="E10211" t="str">
        <f t="shared" si="2321"/>
        <v>02</v>
      </c>
      <c r="F10211" t="str">
        <f t="shared" si="2320"/>
        <v>101</v>
      </c>
      <c r="G10211">
        <v>9</v>
      </c>
      <c r="H10211" t="str">
        <f t="shared" si="2318"/>
        <v>11</v>
      </c>
      <c r="I10211" t="str">
        <f t="shared" si="2319"/>
        <v>9</v>
      </c>
      <c r="J10211" t="str">
        <f t="shared" si="2315"/>
        <v>00</v>
      </c>
      <c r="K10211">
        <v>20190510</v>
      </c>
      <c r="L10211" t="str">
        <f t="shared" si="2322"/>
        <v>076799</v>
      </c>
      <c r="M10211" t="str">
        <f t="shared" si="2323"/>
        <v>65780</v>
      </c>
      <c r="N10211" t="s">
        <v>2318</v>
      </c>
      <c r="O10211">
        <v>37</v>
      </c>
      <c r="P10211">
        <v>20190508</v>
      </c>
      <c r="Q10211" t="s">
        <v>8043</v>
      </c>
      <c r="R10211" t="s">
        <v>5190</v>
      </c>
      <c r="S10211" t="s">
        <v>7985</v>
      </c>
      <c r="T10211" t="s">
        <v>1479</v>
      </c>
    </row>
    <row r="10212" spans="1:20" x14ac:dyDescent="0.25">
      <c r="A10212">
        <v>9</v>
      </c>
      <c r="B10212">
        <v>462</v>
      </c>
      <c r="C10212" t="str">
        <f t="shared" si="2324"/>
        <v>11</v>
      </c>
      <c r="D10212">
        <v>6329</v>
      </c>
      <c r="E10212" t="str">
        <f t="shared" si="2321"/>
        <v>02</v>
      </c>
      <c r="F10212" t="str">
        <f t="shared" si="2320"/>
        <v>101</v>
      </c>
      <c r="G10212">
        <v>9</v>
      </c>
      <c r="H10212" t="str">
        <f t="shared" ref="H10212:H10233" si="2325">"11"</f>
        <v>11</v>
      </c>
      <c r="I10212" t="str">
        <f t="shared" ref="I10212:I10233" si="2326">"9"</f>
        <v>9</v>
      </c>
      <c r="J10212" t="str">
        <f t="shared" si="2315"/>
        <v>00</v>
      </c>
      <c r="K10212">
        <v>20190510</v>
      </c>
      <c r="L10212" t="str">
        <f t="shared" si="2322"/>
        <v>076799</v>
      </c>
      <c r="M10212" t="str">
        <f t="shared" si="2323"/>
        <v>65780</v>
      </c>
      <c r="N10212" t="s">
        <v>2318</v>
      </c>
      <c r="O10212">
        <v>16</v>
      </c>
      <c r="P10212">
        <v>20190508</v>
      </c>
      <c r="Q10212" t="s">
        <v>8043</v>
      </c>
      <c r="R10212" t="s">
        <v>5190</v>
      </c>
      <c r="S10212" t="s">
        <v>7985</v>
      </c>
      <c r="T10212" t="s">
        <v>1479</v>
      </c>
    </row>
    <row r="10213" spans="1:20" x14ac:dyDescent="0.25">
      <c r="A10213">
        <v>9</v>
      </c>
      <c r="B10213">
        <v>462</v>
      </c>
      <c r="C10213" t="str">
        <f t="shared" si="2324"/>
        <v>11</v>
      </c>
      <c r="D10213">
        <v>6329</v>
      </c>
      <c r="E10213" t="str">
        <f t="shared" si="2321"/>
        <v>02</v>
      </c>
      <c r="F10213" t="str">
        <f t="shared" si="2320"/>
        <v>101</v>
      </c>
      <c r="G10213">
        <v>9</v>
      </c>
      <c r="H10213" t="str">
        <f t="shared" si="2325"/>
        <v>11</v>
      </c>
      <c r="I10213" t="str">
        <f t="shared" si="2326"/>
        <v>9</v>
      </c>
      <c r="J10213" t="str">
        <f t="shared" si="2315"/>
        <v>00</v>
      </c>
      <c r="K10213">
        <v>20190510</v>
      </c>
      <c r="L10213" t="str">
        <f t="shared" si="2322"/>
        <v>076799</v>
      </c>
      <c r="M10213" t="str">
        <f t="shared" si="2323"/>
        <v>65780</v>
      </c>
      <c r="N10213" t="s">
        <v>2318</v>
      </c>
      <c r="O10213">
        <v>12.5</v>
      </c>
      <c r="P10213">
        <v>20190508</v>
      </c>
      <c r="Q10213" t="s">
        <v>8043</v>
      </c>
      <c r="R10213" t="s">
        <v>8053</v>
      </c>
      <c r="S10213" t="s">
        <v>7985</v>
      </c>
      <c r="T10213" t="s">
        <v>1479</v>
      </c>
    </row>
    <row r="10214" spans="1:20" x14ac:dyDescent="0.25">
      <c r="A10214">
        <v>9</v>
      </c>
      <c r="B10214">
        <v>462</v>
      </c>
      <c r="C10214" t="str">
        <f t="shared" si="2324"/>
        <v>11</v>
      </c>
      <c r="D10214">
        <v>6329</v>
      </c>
      <c r="E10214" t="str">
        <f t="shared" si="2321"/>
        <v>02</v>
      </c>
      <c r="F10214" t="str">
        <f t="shared" si="2320"/>
        <v>101</v>
      </c>
      <c r="G10214">
        <v>9</v>
      </c>
      <c r="H10214" t="str">
        <f t="shared" si="2325"/>
        <v>11</v>
      </c>
      <c r="I10214" t="str">
        <f t="shared" si="2326"/>
        <v>9</v>
      </c>
      <c r="J10214" t="str">
        <f t="shared" si="2315"/>
        <v>00</v>
      </c>
      <c r="K10214">
        <v>20190510</v>
      </c>
      <c r="L10214" t="str">
        <f t="shared" si="2322"/>
        <v>076799</v>
      </c>
      <c r="M10214" t="str">
        <f t="shared" si="2323"/>
        <v>65780</v>
      </c>
      <c r="N10214" t="s">
        <v>2318</v>
      </c>
      <c r="O10214">
        <v>23</v>
      </c>
      <c r="P10214">
        <v>20190508</v>
      </c>
      <c r="Q10214" t="s">
        <v>8043</v>
      </c>
      <c r="R10214" t="s">
        <v>5190</v>
      </c>
      <c r="S10214" t="s">
        <v>7985</v>
      </c>
      <c r="T10214" t="s">
        <v>1479</v>
      </c>
    </row>
    <row r="10215" spans="1:20" x14ac:dyDescent="0.25">
      <c r="A10215">
        <v>9</v>
      </c>
      <c r="B10215">
        <v>462</v>
      </c>
      <c r="C10215" t="str">
        <f t="shared" si="2324"/>
        <v>11</v>
      </c>
      <c r="D10215">
        <v>6329</v>
      </c>
      <c r="E10215" t="str">
        <f t="shared" si="2321"/>
        <v>02</v>
      </c>
      <c r="F10215" t="str">
        <f t="shared" si="2320"/>
        <v>101</v>
      </c>
      <c r="G10215">
        <v>9</v>
      </c>
      <c r="H10215" t="str">
        <f t="shared" si="2325"/>
        <v>11</v>
      </c>
      <c r="I10215" t="str">
        <f t="shared" si="2326"/>
        <v>9</v>
      </c>
      <c r="J10215" t="str">
        <f t="shared" si="2315"/>
        <v>00</v>
      </c>
      <c r="K10215">
        <v>20190510</v>
      </c>
      <c r="L10215" t="str">
        <f t="shared" si="2322"/>
        <v>076799</v>
      </c>
      <c r="M10215" t="str">
        <f t="shared" si="2323"/>
        <v>65780</v>
      </c>
      <c r="N10215" t="s">
        <v>2318</v>
      </c>
      <c r="O10215">
        <v>28</v>
      </c>
      <c r="P10215">
        <v>20190508</v>
      </c>
      <c r="Q10215" t="s">
        <v>8043</v>
      </c>
      <c r="R10215" t="s">
        <v>5190</v>
      </c>
      <c r="S10215" t="s">
        <v>7985</v>
      </c>
      <c r="T10215" t="s">
        <v>1479</v>
      </c>
    </row>
    <row r="10216" spans="1:20" x14ac:dyDescent="0.25">
      <c r="A10216">
        <v>9</v>
      </c>
      <c r="B10216">
        <v>462</v>
      </c>
      <c r="C10216" t="str">
        <f t="shared" si="2324"/>
        <v>11</v>
      </c>
      <c r="D10216">
        <v>6329</v>
      </c>
      <c r="E10216" t="str">
        <f t="shared" si="2321"/>
        <v>02</v>
      </c>
      <c r="F10216" t="str">
        <f t="shared" si="2320"/>
        <v>101</v>
      </c>
      <c r="G10216">
        <v>9</v>
      </c>
      <c r="H10216" t="str">
        <f t="shared" si="2325"/>
        <v>11</v>
      </c>
      <c r="I10216" t="str">
        <f t="shared" si="2326"/>
        <v>9</v>
      </c>
      <c r="J10216" t="str">
        <f t="shared" si="2315"/>
        <v>00</v>
      </c>
      <c r="K10216">
        <v>20190510</v>
      </c>
      <c r="L10216" t="str">
        <f t="shared" si="2322"/>
        <v>076799</v>
      </c>
      <c r="M10216" t="str">
        <f t="shared" si="2323"/>
        <v>65780</v>
      </c>
      <c r="N10216" t="s">
        <v>2318</v>
      </c>
      <c r="O10216">
        <v>12</v>
      </c>
      <c r="P10216">
        <v>20190508</v>
      </c>
      <c r="Q10216" t="s">
        <v>8043</v>
      </c>
      <c r="R10216" t="s">
        <v>8054</v>
      </c>
      <c r="S10216" t="s">
        <v>7985</v>
      </c>
      <c r="T10216" t="s">
        <v>1479</v>
      </c>
    </row>
    <row r="10217" spans="1:20" x14ac:dyDescent="0.25">
      <c r="A10217">
        <v>9</v>
      </c>
      <c r="B10217">
        <v>462</v>
      </c>
      <c r="C10217" t="str">
        <f t="shared" si="2324"/>
        <v>11</v>
      </c>
      <c r="D10217">
        <v>6329</v>
      </c>
      <c r="E10217" t="str">
        <f t="shared" si="2321"/>
        <v>02</v>
      </c>
      <c r="F10217" t="str">
        <f t="shared" si="2320"/>
        <v>101</v>
      </c>
      <c r="G10217">
        <v>9</v>
      </c>
      <c r="H10217" t="str">
        <f t="shared" si="2325"/>
        <v>11</v>
      </c>
      <c r="I10217" t="str">
        <f t="shared" si="2326"/>
        <v>9</v>
      </c>
      <c r="J10217" t="str">
        <f t="shared" si="2315"/>
        <v>00</v>
      </c>
      <c r="K10217">
        <v>20190510</v>
      </c>
      <c r="L10217" t="str">
        <f t="shared" si="2322"/>
        <v>076799</v>
      </c>
      <c r="M10217" t="str">
        <f t="shared" si="2323"/>
        <v>65780</v>
      </c>
      <c r="N10217" t="s">
        <v>2318</v>
      </c>
      <c r="O10217">
        <v>24</v>
      </c>
      <c r="P10217">
        <v>20190508</v>
      </c>
      <c r="Q10217" t="s">
        <v>8043</v>
      </c>
      <c r="R10217" t="s">
        <v>5190</v>
      </c>
      <c r="S10217" t="s">
        <v>7985</v>
      </c>
      <c r="T10217" t="s">
        <v>1479</v>
      </c>
    </row>
    <row r="10218" spans="1:20" x14ac:dyDescent="0.25">
      <c r="A10218">
        <v>9</v>
      </c>
      <c r="B10218">
        <v>462</v>
      </c>
      <c r="C10218" t="str">
        <f t="shared" si="2324"/>
        <v>11</v>
      </c>
      <c r="D10218">
        <v>6329</v>
      </c>
      <c r="E10218" t="str">
        <f t="shared" si="2321"/>
        <v>02</v>
      </c>
      <c r="F10218" t="str">
        <f t="shared" si="2320"/>
        <v>101</v>
      </c>
      <c r="G10218">
        <v>9</v>
      </c>
      <c r="H10218" t="str">
        <f t="shared" si="2325"/>
        <v>11</v>
      </c>
      <c r="I10218" t="str">
        <f t="shared" si="2326"/>
        <v>9</v>
      </c>
      <c r="J10218" t="str">
        <f t="shared" si="2315"/>
        <v>00</v>
      </c>
      <c r="K10218">
        <v>20190510</v>
      </c>
      <c r="L10218" t="str">
        <f t="shared" si="2322"/>
        <v>076799</v>
      </c>
      <c r="M10218" t="str">
        <f t="shared" si="2323"/>
        <v>65780</v>
      </c>
      <c r="N10218" t="s">
        <v>2318</v>
      </c>
      <c r="O10218">
        <v>22</v>
      </c>
      <c r="P10218">
        <v>20190508</v>
      </c>
      <c r="Q10218" t="s">
        <v>8043</v>
      </c>
      <c r="R10218" t="s">
        <v>8055</v>
      </c>
      <c r="S10218" t="s">
        <v>7985</v>
      </c>
      <c r="T10218" t="s">
        <v>1479</v>
      </c>
    </row>
    <row r="10219" spans="1:20" x14ac:dyDescent="0.25">
      <c r="A10219">
        <v>9</v>
      </c>
      <c r="B10219">
        <v>462</v>
      </c>
      <c r="C10219" t="str">
        <f t="shared" si="2324"/>
        <v>11</v>
      </c>
      <c r="D10219">
        <v>6329</v>
      </c>
      <c r="E10219" t="str">
        <f t="shared" si="2321"/>
        <v>02</v>
      </c>
      <c r="F10219" t="str">
        <f t="shared" si="2320"/>
        <v>101</v>
      </c>
      <c r="G10219">
        <v>9</v>
      </c>
      <c r="H10219" t="str">
        <f t="shared" si="2325"/>
        <v>11</v>
      </c>
      <c r="I10219" t="str">
        <f t="shared" si="2326"/>
        <v>9</v>
      </c>
      <c r="J10219" t="str">
        <f t="shared" si="2315"/>
        <v>00</v>
      </c>
      <c r="K10219">
        <v>20190510</v>
      </c>
      <c r="L10219" t="str">
        <f t="shared" si="2322"/>
        <v>076799</v>
      </c>
      <c r="M10219" t="str">
        <f t="shared" si="2323"/>
        <v>65780</v>
      </c>
      <c r="N10219" t="s">
        <v>2318</v>
      </c>
      <c r="O10219">
        <v>42</v>
      </c>
      <c r="P10219">
        <v>20190508</v>
      </c>
      <c r="Q10219" t="s">
        <v>8043</v>
      </c>
      <c r="R10219" t="s">
        <v>5190</v>
      </c>
      <c r="S10219" t="s">
        <v>7985</v>
      </c>
      <c r="T10219" t="s">
        <v>1479</v>
      </c>
    </row>
    <row r="10220" spans="1:20" x14ac:dyDescent="0.25">
      <c r="A10220">
        <v>9</v>
      </c>
      <c r="B10220">
        <v>462</v>
      </c>
      <c r="C10220" t="str">
        <f t="shared" si="2324"/>
        <v>11</v>
      </c>
      <c r="D10220">
        <v>6329</v>
      </c>
      <c r="E10220" t="str">
        <f t="shared" si="2321"/>
        <v>02</v>
      </c>
      <c r="F10220" t="str">
        <f t="shared" si="2320"/>
        <v>101</v>
      </c>
      <c r="G10220">
        <v>9</v>
      </c>
      <c r="H10220" t="str">
        <f t="shared" si="2325"/>
        <v>11</v>
      </c>
      <c r="I10220" t="str">
        <f t="shared" si="2326"/>
        <v>9</v>
      </c>
      <c r="J10220" t="str">
        <f t="shared" si="2315"/>
        <v>00</v>
      </c>
      <c r="K10220">
        <v>20190510</v>
      </c>
      <c r="L10220" t="str">
        <f t="shared" si="2322"/>
        <v>076799</v>
      </c>
      <c r="M10220" t="str">
        <f t="shared" si="2323"/>
        <v>65780</v>
      </c>
      <c r="N10220" t="s">
        <v>2318</v>
      </c>
      <c r="O10220">
        <v>12</v>
      </c>
      <c r="P10220">
        <v>20190508</v>
      </c>
      <c r="Q10220" t="s">
        <v>8043</v>
      </c>
      <c r="R10220" t="s">
        <v>8056</v>
      </c>
      <c r="S10220" t="s">
        <v>7985</v>
      </c>
      <c r="T10220" t="s">
        <v>1479</v>
      </c>
    </row>
    <row r="10221" spans="1:20" x14ac:dyDescent="0.25">
      <c r="A10221">
        <v>9</v>
      </c>
      <c r="B10221">
        <v>462</v>
      </c>
      <c r="C10221" t="str">
        <f t="shared" si="2324"/>
        <v>11</v>
      </c>
      <c r="D10221">
        <v>6329</v>
      </c>
      <c r="E10221" t="str">
        <f t="shared" si="2321"/>
        <v>02</v>
      </c>
      <c r="F10221" t="str">
        <f t="shared" si="2320"/>
        <v>101</v>
      </c>
      <c r="G10221">
        <v>9</v>
      </c>
      <c r="H10221" t="str">
        <f t="shared" si="2325"/>
        <v>11</v>
      </c>
      <c r="I10221" t="str">
        <f t="shared" si="2326"/>
        <v>9</v>
      </c>
      <c r="J10221" t="str">
        <f t="shared" si="2315"/>
        <v>00</v>
      </c>
      <c r="K10221">
        <v>20190510</v>
      </c>
      <c r="L10221" t="str">
        <f t="shared" si="2322"/>
        <v>076799</v>
      </c>
      <c r="M10221" t="str">
        <f t="shared" si="2323"/>
        <v>65780</v>
      </c>
      <c r="N10221" t="s">
        <v>2318</v>
      </c>
      <c r="O10221">
        <v>29</v>
      </c>
      <c r="P10221">
        <v>20190508</v>
      </c>
      <c r="Q10221" t="s">
        <v>8043</v>
      </c>
      <c r="R10221" t="s">
        <v>5190</v>
      </c>
      <c r="S10221" t="s">
        <v>7985</v>
      </c>
      <c r="T10221" t="s">
        <v>1479</v>
      </c>
    </row>
    <row r="10222" spans="1:20" x14ac:dyDescent="0.25">
      <c r="A10222">
        <v>9</v>
      </c>
      <c r="B10222">
        <v>462</v>
      </c>
      <c r="C10222" t="str">
        <f t="shared" si="2324"/>
        <v>11</v>
      </c>
      <c r="D10222">
        <v>6329</v>
      </c>
      <c r="E10222" t="str">
        <f t="shared" si="2321"/>
        <v>02</v>
      </c>
      <c r="F10222" t="str">
        <f t="shared" si="2320"/>
        <v>101</v>
      </c>
      <c r="G10222">
        <v>9</v>
      </c>
      <c r="H10222" t="str">
        <f t="shared" si="2325"/>
        <v>11</v>
      </c>
      <c r="I10222" t="str">
        <f t="shared" si="2326"/>
        <v>9</v>
      </c>
      <c r="J10222" t="str">
        <f t="shared" si="2315"/>
        <v>00</v>
      </c>
      <c r="K10222">
        <v>20190510</v>
      </c>
      <c r="L10222" t="str">
        <f t="shared" si="2322"/>
        <v>076799</v>
      </c>
      <c r="M10222" t="str">
        <f t="shared" si="2323"/>
        <v>65780</v>
      </c>
      <c r="N10222" t="s">
        <v>2318</v>
      </c>
      <c r="O10222">
        <v>12</v>
      </c>
      <c r="P10222">
        <v>20190508</v>
      </c>
      <c r="Q10222" t="s">
        <v>8043</v>
      </c>
      <c r="R10222" t="s">
        <v>8046</v>
      </c>
      <c r="S10222" t="s">
        <v>7985</v>
      </c>
      <c r="T10222" t="s">
        <v>1479</v>
      </c>
    </row>
    <row r="10223" spans="1:20" x14ac:dyDescent="0.25">
      <c r="A10223">
        <v>9</v>
      </c>
      <c r="B10223">
        <v>462</v>
      </c>
      <c r="C10223" t="str">
        <f t="shared" si="2324"/>
        <v>11</v>
      </c>
      <c r="D10223">
        <v>6412</v>
      </c>
      <c r="E10223" t="str">
        <f>"21"</f>
        <v>21</v>
      </c>
      <c r="F10223" t="str">
        <f>"001"</f>
        <v>001</v>
      </c>
      <c r="G10223">
        <v>9</v>
      </c>
      <c r="H10223" t="str">
        <f t="shared" si="2325"/>
        <v>11</v>
      </c>
      <c r="I10223" t="str">
        <f t="shared" si="2326"/>
        <v>9</v>
      </c>
      <c r="J10223" t="str">
        <f t="shared" si="2315"/>
        <v>00</v>
      </c>
      <c r="K10223">
        <v>20190524</v>
      </c>
      <c r="L10223" t="str">
        <f>"076907"</f>
        <v>076907</v>
      </c>
      <c r="M10223" t="str">
        <f>"25853"</f>
        <v>25853</v>
      </c>
      <c r="N10223" t="s">
        <v>3941</v>
      </c>
      <c r="O10223" s="1">
        <v>2500</v>
      </c>
      <c r="P10223">
        <v>20190522</v>
      </c>
      <c r="Q10223" t="s">
        <v>8057</v>
      </c>
      <c r="R10223" t="s">
        <v>5074</v>
      </c>
      <c r="S10223" t="s">
        <v>7985</v>
      </c>
      <c r="T10223" t="s">
        <v>301</v>
      </c>
    </row>
    <row r="10224" spans="1:20" x14ac:dyDescent="0.25">
      <c r="A10224">
        <v>9</v>
      </c>
      <c r="B10224">
        <v>462</v>
      </c>
      <c r="C10224" t="str">
        <f t="shared" si="2324"/>
        <v>11</v>
      </c>
      <c r="D10224">
        <v>6339</v>
      </c>
      <c r="E10224" t="str">
        <f>"30"</f>
        <v>30</v>
      </c>
      <c r="F10224" t="str">
        <f>"002"</f>
        <v>002</v>
      </c>
      <c r="G10224">
        <v>9</v>
      </c>
      <c r="H10224" t="str">
        <f t="shared" si="2325"/>
        <v>11</v>
      </c>
      <c r="I10224" t="str">
        <f t="shared" si="2326"/>
        <v>9</v>
      </c>
      <c r="J10224" t="str">
        <f t="shared" si="2315"/>
        <v>00</v>
      </c>
      <c r="K10224">
        <v>20190614</v>
      </c>
      <c r="L10224" t="str">
        <f>"077192"</f>
        <v>077192</v>
      </c>
      <c r="M10224" t="str">
        <f>"58211"</f>
        <v>58211</v>
      </c>
      <c r="N10224" t="s">
        <v>1472</v>
      </c>
      <c r="O10224">
        <v>76.5</v>
      </c>
      <c r="P10224">
        <v>20190612</v>
      </c>
      <c r="Q10224" t="s">
        <v>8058</v>
      </c>
      <c r="R10224" t="s">
        <v>8059</v>
      </c>
      <c r="S10224" t="s">
        <v>7985</v>
      </c>
      <c r="T10224" t="s">
        <v>1485</v>
      </c>
    </row>
    <row r="10225" spans="1:20" x14ac:dyDescent="0.25">
      <c r="A10225">
        <v>9</v>
      </c>
      <c r="B10225">
        <v>462</v>
      </c>
      <c r="C10225" t="str">
        <f t="shared" si="2324"/>
        <v>11</v>
      </c>
      <c r="D10225">
        <v>6339</v>
      </c>
      <c r="E10225" t="str">
        <f>"30"</f>
        <v>30</v>
      </c>
      <c r="F10225" t="str">
        <f>"002"</f>
        <v>002</v>
      </c>
      <c r="G10225">
        <v>9</v>
      </c>
      <c r="H10225" t="str">
        <f t="shared" si="2325"/>
        <v>11</v>
      </c>
      <c r="I10225" t="str">
        <f t="shared" si="2326"/>
        <v>9</v>
      </c>
      <c r="J10225" t="str">
        <f t="shared" si="2315"/>
        <v>00</v>
      </c>
      <c r="K10225">
        <v>20190614</v>
      </c>
      <c r="L10225" t="str">
        <f>"077192"</f>
        <v>077192</v>
      </c>
      <c r="M10225" t="str">
        <f>"58211"</f>
        <v>58211</v>
      </c>
      <c r="N10225" t="s">
        <v>1472</v>
      </c>
      <c r="O10225">
        <v>50.5</v>
      </c>
      <c r="P10225">
        <v>20190612</v>
      </c>
      <c r="Q10225" t="s">
        <v>8058</v>
      </c>
      <c r="R10225" t="s">
        <v>8060</v>
      </c>
      <c r="S10225" t="s">
        <v>7985</v>
      </c>
      <c r="T10225" t="s">
        <v>1485</v>
      </c>
    </row>
    <row r="10226" spans="1:20" x14ac:dyDescent="0.25">
      <c r="A10226">
        <v>9</v>
      </c>
      <c r="B10226">
        <v>462</v>
      </c>
      <c r="C10226" t="str">
        <f t="shared" si="2324"/>
        <v>11</v>
      </c>
      <c r="D10226">
        <v>6399</v>
      </c>
      <c r="E10226" t="str">
        <f>"07"</f>
        <v>07</v>
      </c>
      <c r="F10226" t="str">
        <f t="shared" ref="F10226:F10231" si="2327">"101"</f>
        <v>101</v>
      </c>
      <c r="G10226">
        <v>9</v>
      </c>
      <c r="H10226" t="str">
        <f t="shared" si="2325"/>
        <v>11</v>
      </c>
      <c r="I10226" t="str">
        <f t="shared" si="2326"/>
        <v>9</v>
      </c>
      <c r="J10226" t="str">
        <f t="shared" si="2315"/>
        <v>00</v>
      </c>
      <c r="K10226">
        <v>20190621</v>
      </c>
      <c r="L10226" t="str">
        <f>"077217"</f>
        <v>077217</v>
      </c>
      <c r="M10226" t="str">
        <f>"04410"</f>
        <v>04410</v>
      </c>
      <c r="N10226" t="s">
        <v>410</v>
      </c>
      <c r="O10226">
        <v>426.39</v>
      </c>
      <c r="P10226">
        <v>20190619</v>
      </c>
      <c r="Q10226" t="s">
        <v>8021</v>
      </c>
      <c r="R10226" t="s">
        <v>8022</v>
      </c>
      <c r="S10226" t="s">
        <v>7985</v>
      </c>
      <c r="T10226" t="s">
        <v>1479</v>
      </c>
    </row>
    <row r="10227" spans="1:20" x14ac:dyDescent="0.25">
      <c r="A10227">
        <v>9</v>
      </c>
      <c r="B10227">
        <v>462</v>
      </c>
      <c r="C10227" t="str">
        <f t="shared" si="2324"/>
        <v>11</v>
      </c>
      <c r="D10227">
        <v>6399</v>
      </c>
      <c r="E10227" t="str">
        <f>"09"</f>
        <v>09</v>
      </c>
      <c r="F10227" t="str">
        <f t="shared" si="2327"/>
        <v>101</v>
      </c>
      <c r="G10227">
        <v>9</v>
      </c>
      <c r="H10227" t="str">
        <f t="shared" si="2325"/>
        <v>11</v>
      </c>
      <c r="I10227" t="str">
        <f t="shared" si="2326"/>
        <v>9</v>
      </c>
      <c r="J10227" t="str">
        <f t="shared" si="2315"/>
        <v>00</v>
      </c>
      <c r="K10227">
        <v>20190712</v>
      </c>
      <c r="L10227" t="str">
        <f>"077331"</f>
        <v>077331</v>
      </c>
      <c r="M10227" t="str">
        <f>"04410"</f>
        <v>04410</v>
      </c>
      <c r="N10227" t="s">
        <v>410</v>
      </c>
      <c r="O10227">
        <v>65.98</v>
      </c>
      <c r="P10227">
        <v>20190710</v>
      </c>
      <c r="Q10227" t="s">
        <v>8033</v>
      </c>
      <c r="R10227" t="s">
        <v>8061</v>
      </c>
      <c r="S10227" t="s">
        <v>7985</v>
      </c>
      <c r="T10227" t="s">
        <v>1479</v>
      </c>
    </row>
    <row r="10228" spans="1:20" x14ac:dyDescent="0.25">
      <c r="A10228">
        <v>9</v>
      </c>
      <c r="B10228">
        <v>462</v>
      </c>
      <c r="C10228" t="str">
        <f t="shared" si="2324"/>
        <v>11</v>
      </c>
      <c r="D10228">
        <v>6399</v>
      </c>
      <c r="E10228" t="str">
        <f>"10"</f>
        <v>10</v>
      </c>
      <c r="F10228" t="str">
        <f t="shared" si="2327"/>
        <v>101</v>
      </c>
      <c r="G10228">
        <v>9</v>
      </c>
      <c r="H10228" t="str">
        <f t="shared" si="2325"/>
        <v>11</v>
      </c>
      <c r="I10228" t="str">
        <f t="shared" si="2326"/>
        <v>9</v>
      </c>
      <c r="J10228" t="str">
        <f t="shared" si="2315"/>
        <v>00</v>
      </c>
      <c r="K10228">
        <v>20190712</v>
      </c>
      <c r="L10228" t="str">
        <f>"077331"</f>
        <v>077331</v>
      </c>
      <c r="M10228" t="str">
        <f>"04410"</f>
        <v>04410</v>
      </c>
      <c r="N10228" t="s">
        <v>410</v>
      </c>
      <c r="O10228" s="1">
        <v>4439.05</v>
      </c>
      <c r="P10228">
        <v>20190710</v>
      </c>
      <c r="Q10228" t="s">
        <v>8062</v>
      </c>
      <c r="R10228" t="s">
        <v>8063</v>
      </c>
      <c r="S10228" t="s">
        <v>7985</v>
      </c>
      <c r="T10228" t="s">
        <v>1479</v>
      </c>
    </row>
    <row r="10229" spans="1:20" x14ac:dyDescent="0.25">
      <c r="A10229">
        <v>9</v>
      </c>
      <c r="B10229">
        <v>462</v>
      </c>
      <c r="C10229" t="str">
        <f t="shared" si="2324"/>
        <v>11</v>
      </c>
      <c r="D10229">
        <v>6399</v>
      </c>
      <c r="E10229" t="str">
        <f>"10"</f>
        <v>10</v>
      </c>
      <c r="F10229" t="str">
        <f t="shared" si="2327"/>
        <v>101</v>
      </c>
      <c r="G10229">
        <v>9</v>
      </c>
      <c r="H10229" t="str">
        <f t="shared" si="2325"/>
        <v>11</v>
      </c>
      <c r="I10229" t="str">
        <f t="shared" si="2326"/>
        <v>9</v>
      </c>
      <c r="J10229" t="str">
        <f t="shared" ref="J10229:J10238" si="2328">"00"</f>
        <v>00</v>
      </c>
      <c r="K10229">
        <v>20190712</v>
      </c>
      <c r="L10229" t="str">
        <f>"077331"</f>
        <v>077331</v>
      </c>
      <c r="M10229" t="str">
        <f>"04410"</f>
        <v>04410</v>
      </c>
      <c r="N10229" t="s">
        <v>410</v>
      </c>
      <c r="O10229">
        <v>249.5</v>
      </c>
      <c r="P10229">
        <v>20190710</v>
      </c>
      <c r="Q10229" t="s">
        <v>8062</v>
      </c>
      <c r="R10229" t="s">
        <v>8064</v>
      </c>
      <c r="S10229" t="s">
        <v>7985</v>
      </c>
      <c r="T10229" t="s">
        <v>1479</v>
      </c>
    </row>
    <row r="10230" spans="1:20" x14ac:dyDescent="0.25">
      <c r="A10230">
        <v>9</v>
      </c>
      <c r="B10230">
        <v>462</v>
      </c>
      <c r="C10230" t="str">
        <f t="shared" si="2324"/>
        <v>11</v>
      </c>
      <c r="D10230">
        <v>6399</v>
      </c>
      <c r="E10230" t="str">
        <f>"05"</f>
        <v>05</v>
      </c>
      <c r="F10230" t="str">
        <f t="shared" si="2327"/>
        <v>101</v>
      </c>
      <c r="G10230">
        <v>9</v>
      </c>
      <c r="H10230" t="str">
        <f t="shared" si="2325"/>
        <v>11</v>
      </c>
      <c r="I10230" t="str">
        <f t="shared" si="2326"/>
        <v>9</v>
      </c>
      <c r="J10230" t="str">
        <f t="shared" si="2328"/>
        <v>00</v>
      </c>
      <c r="K10230">
        <v>20190712</v>
      </c>
      <c r="L10230" t="str">
        <f>"077368"</f>
        <v>077368</v>
      </c>
      <c r="M10230" t="str">
        <f>"34226"</f>
        <v>34226</v>
      </c>
      <c r="N10230" t="s">
        <v>3387</v>
      </c>
      <c r="O10230" s="1">
        <v>1034.27</v>
      </c>
      <c r="P10230">
        <v>20190710</v>
      </c>
      <c r="Q10230" t="s">
        <v>8065</v>
      </c>
      <c r="R10230" t="s">
        <v>8066</v>
      </c>
      <c r="S10230" t="s">
        <v>7985</v>
      </c>
      <c r="T10230" t="s">
        <v>1479</v>
      </c>
    </row>
    <row r="10231" spans="1:20" x14ac:dyDescent="0.25">
      <c r="A10231">
        <v>9</v>
      </c>
      <c r="B10231">
        <v>462</v>
      </c>
      <c r="C10231" t="str">
        <f t="shared" si="2324"/>
        <v>11</v>
      </c>
      <c r="D10231">
        <v>6399</v>
      </c>
      <c r="E10231" t="str">
        <f>"10"</f>
        <v>10</v>
      </c>
      <c r="F10231" t="str">
        <f t="shared" si="2327"/>
        <v>101</v>
      </c>
      <c r="G10231">
        <v>9</v>
      </c>
      <c r="H10231" t="str">
        <f t="shared" si="2325"/>
        <v>11</v>
      </c>
      <c r="I10231" t="str">
        <f t="shared" si="2326"/>
        <v>9</v>
      </c>
      <c r="J10231" t="str">
        <f t="shared" si="2328"/>
        <v>00</v>
      </c>
      <c r="K10231">
        <v>20190726</v>
      </c>
      <c r="L10231" t="str">
        <f>"077481"</f>
        <v>077481</v>
      </c>
      <c r="M10231" t="str">
        <f>"04410"</f>
        <v>04410</v>
      </c>
      <c r="N10231" t="s">
        <v>410</v>
      </c>
      <c r="O10231">
        <v>249.5</v>
      </c>
      <c r="P10231">
        <v>20190724</v>
      </c>
      <c r="Q10231" t="s">
        <v>8062</v>
      </c>
      <c r="R10231" t="s">
        <v>8064</v>
      </c>
      <c r="S10231" t="s">
        <v>7985</v>
      </c>
      <c r="T10231" t="s">
        <v>1479</v>
      </c>
    </row>
    <row r="10232" spans="1:20" x14ac:dyDescent="0.25">
      <c r="A10232">
        <v>9</v>
      </c>
      <c r="B10232">
        <v>462</v>
      </c>
      <c r="C10232" t="str">
        <f t="shared" si="2324"/>
        <v>11</v>
      </c>
      <c r="D10232">
        <v>6399</v>
      </c>
      <c r="E10232" t="str">
        <f>"31"</f>
        <v>31</v>
      </c>
      <c r="F10232" t="str">
        <f>"002"</f>
        <v>002</v>
      </c>
      <c r="G10232">
        <v>9</v>
      </c>
      <c r="H10232" t="str">
        <f t="shared" si="2325"/>
        <v>11</v>
      </c>
      <c r="I10232" t="str">
        <f t="shared" si="2326"/>
        <v>9</v>
      </c>
      <c r="J10232" t="str">
        <f t="shared" si="2328"/>
        <v>00</v>
      </c>
      <c r="K10232">
        <v>20190809</v>
      </c>
      <c r="L10232" t="str">
        <f>"077568"</f>
        <v>077568</v>
      </c>
      <c r="M10232" t="str">
        <f>"04410"</f>
        <v>04410</v>
      </c>
      <c r="N10232" t="s">
        <v>410</v>
      </c>
      <c r="O10232">
        <v>100</v>
      </c>
      <c r="P10232">
        <v>20190806</v>
      </c>
      <c r="Q10232" t="s">
        <v>8067</v>
      </c>
      <c r="R10232" t="s">
        <v>8068</v>
      </c>
      <c r="S10232" t="s">
        <v>7985</v>
      </c>
      <c r="T10232" t="s">
        <v>1485</v>
      </c>
    </row>
    <row r="10233" spans="1:20" x14ac:dyDescent="0.25">
      <c r="A10233">
        <v>9</v>
      </c>
      <c r="B10233">
        <v>462</v>
      </c>
      <c r="C10233" t="str">
        <f t="shared" si="2324"/>
        <v>11</v>
      </c>
      <c r="D10233">
        <v>6339</v>
      </c>
      <c r="E10233" t="str">
        <f>"30"</f>
        <v>30</v>
      </c>
      <c r="F10233" t="str">
        <f>"002"</f>
        <v>002</v>
      </c>
      <c r="G10233">
        <v>9</v>
      </c>
      <c r="H10233" t="str">
        <f t="shared" si="2325"/>
        <v>11</v>
      </c>
      <c r="I10233" t="str">
        <f t="shared" si="2326"/>
        <v>9</v>
      </c>
      <c r="J10233" t="str">
        <f t="shared" si="2328"/>
        <v>00</v>
      </c>
      <c r="K10233">
        <v>20190823</v>
      </c>
      <c r="L10233" t="str">
        <f>"077802"</f>
        <v>077802</v>
      </c>
      <c r="M10233" t="str">
        <f>"50453"</f>
        <v>50453</v>
      </c>
      <c r="N10233" t="s">
        <v>1472</v>
      </c>
      <c r="O10233">
        <v>525</v>
      </c>
      <c r="P10233">
        <v>20190821</v>
      </c>
      <c r="Q10233" t="s">
        <v>8058</v>
      </c>
      <c r="R10233" t="s">
        <v>3858</v>
      </c>
      <c r="S10233" t="s">
        <v>7985</v>
      </c>
      <c r="T10233" t="s">
        <v>1485</v>
      </c>
    </row>
    <row r="10234" spans="1:20" x14ac:dyDescent="0.25">
      <c r="A10234">
        <v>9</v>
      </c>
      <c r="B10234">
        <v>599</v>
      </c>
      <c r="C10234" t="str">
        <f>"71"</f>
        <v>71</v>
      </c>
      <c r="D10234">
        <v>6599</v>
      </c>
      <c r="E10234" t="str">
        <f>"00"</f>
        <v>00</v>
      </c>
      <c r="F10234" t="str">
        <f>"999"</f>
        <v>999</v>
      </c>
      <c r="G10234">
        <v>9</v>
      </c>
      <c r="H10234" t="str">
        <f>"99"</f>
        <v>99</v>
      </c>
      <c r="I10234" t="str">
        <f t="shared" ref="I10234:I10245" si="2329">"0"</f>
        <v>0</v>
      </c>
      <c r="J10234" t="str">
        <f t="shared" si="2328"/>
        <v>00</v>
      </c>
      <c r="K10234">
        <v>20190125</v>
      </c>
      <c r="L10234" t="str">
        <f>"075420"</f>
        <v>075420</v>
      </c>
      <c r="M10234" t="str">
        <f>"00686"</f>
        <v>00686</v>
      </c>
      <c r="N10234" t="s">
        <v>8069</v>
      </c>
      <c r="O10234">
        <v>400</v>
      </c>
      <c r="P10234">
        <v>20190124</v>
      </c>
      <c r="Q10234" t="s">
        <v>8070</v>
      </c>
      <c r="R10234" t="s">
        <v>8071</v>
      </c>
      <c r="S10234" t="s">
        <v>8072</v>
      </c>
      <c r="T10234" t="s">
        <v>3622</v>
      </c>
    </row>
    <row r="10235" spans="1:20" x14ac:dyDescent="0.25">
      <c r="A10235">
        <v>9</v>
      </c>
      <c r="B10235">
        <v>599</v>
      </c>
      <c r="C10235" t="str">
        <f>"71"</f>
        <v>71</v>
      </c>
      <c r="D10235">
        <v>6599</v>
      </c>
      <c r="E10235" t="str">
        <f>"00"</f>
        <v>00</v>
      </c>
      <c r="F10235" t="str">
        <f>"999"</f>
        <v>999</v>
      </c>
      <c r="G10235">
        <v>9</v>
      </c>
      <c r="H10235" t="str">
        <f>"99"</f>
        <v>99</v>
      </c>
      <c r="I10235" t="str">
        <f t="shared" si="2329"/>
        <v>0</v>
      </c>
      <c r="J10235" t="str">
        <f t="shared" si="2328"/>
        <v>00</v>
      </c>
      <c r="K10235">
        <v>20190208</v>
      </c>
      <c r="L10235" t="str">
        <f>"075579"</f>
        <v>075579</v>
      </c>
      <c r="M10235" t="str">
        <f>"30624"</f>
        <v>30624</v>
      </c>
      <c r="N10235" t="s">
        <v>8073</v>
      </c>
      <c r="O10235" s="1">
        <v>2500</v>
      </c>
      <c r="P10235">
        <v>20190207</v>
      </c>
      <c r="Q10235" t="s">
        <v>8070</v>
      </c>
      <c r="R10235" t="s">
        <v>8074</v>
      </c>
      <c r="S10235" t="s">
        <v>8072</v>
      </c>
      <c r="T10235" t="s">
        <v>3622</v>
      </c>
    </row>
    <row r="10236" spans="1:20" x14ac:dyDescent="0.25">
      <c r="A10236">
        <v>9</v>
      </c>
      <c r="B10236">
        <v>599</v>
      </c>
      <c r="C10236" t="str">
        <f>"71"</f>
        <v>71</v>
      </c>
      <c r="D10236">
        <v>6599</v>
      </c>
      <c r="E10236" t="str">
        <f>"00"</f>
        <v>00</v>
      </c>
      <c r="F10236" t="str">
        <f>"999"</f>
        <v>999</v>
      </c>
      <c r="G10236">
        <v>9</v>
      </c>
      <c r="H10236" t="str">
        <f>"99"</f>
        <v>99</v>
      </c>
      <c r="I10236" t="str">
        <f t="shared" si="2329"/>
        <v>0</v>
      </c>
      <c r="J10236" t="str">
        <f t="shared" si="2328"/>
        <v>00</v>
      </c>
      <c r="K10236">
        <v>20190510</v>
      </c>
      <c r="L10236" t="str">
        <f>"076822"</f>
        <v>076822</v>
      </c>
      <c r="M10236" t="str">
        <f>"83409"</f>
        <v>83409</v>
      </c>
      <c r="N10236" t="s">
        <v>8075</v>
      </c>
      <c r="O10236">
        <v>150</v>
      </c>
      <c r="P10236">
        <v>20190509</v>
      </c>
      <c r="Q10236" t="s">
        <v>8070</v>
      </c>
      <c r="R10236" t="s">
        <v>8076</v>
      </c>
      <c r="S10236" t="s">
        <v>8072</v>
      </c>
      <c r="T10236" t="s">
        <v>3622</v>
      </c>
    </row>
    <row r="10237" spans="1:20" x14ac:dyDescent="0.25">
      <c r="A10237">
        <v>9</v>
      </c>
      <c r="B10237">
        <v>685</v>
      </c>
      <c r="C10237" t="str">
        <f>"00"</f>
        <v>00</v>
      </c>
      <c r="D10237">
        <v>2110</v>
      </c>
      <c r="E10237" t="str">
        <f>"18"</f>
        <v>18</v>
      </c>
      <c r="F10237" t="str">
        <f>"000"</f>
        <v>000</v>
      </c>
      <c r="G10237">
        <v>9</v>
      </c>
      <c r="H10237" t="str">
        <f>"00"</f>
        <v>00</v>
      </c>
      <c r="I10237" t="str">
        <f t="shared" si="2329"/>
        <v>0</v>
      </c>
      <c r="J10237" t="str">
        <f t="shared" si="2328"/>
        <v>00</v>
      </c>
      <c r="K10237">
        <v>20180928</v>
      </c>
      <c r="L10237" t="str">
        <f>"074044"</f>
        <v>074044</v>
      </c>
      <c r="M10237" t="str">
        <f>"83297"</f>
        <v>83297</v>
      </c>
      <c r="N10237" t="s">
        <v>8077</v>
      </c>
      <c r="O10237" s="1">
        <v>-27633</v>
      </c>
      <c r="P10237">
        <v>20180928</v>
      </c>
      <c r="Q10237" t="s">
        <v>8078</v>
      </c>
      <c r="R10237" t="s">
        <v>412</v>
      </c>
      <c r="S10237" t="s">
        <v>8079</v>
      </c>
      <c r="T10237" t="s">
        <v>296</v>
      </c>
    </row>
    <row r="10238" spans="1:20" x14ac:dyDescent="0.25">
      <c r="A10238">
        <v>9</v>
      </c>
      <c r="B10238">
        <v>685</v>
      </c>
      <c r="C10238" t="str">
        <f>"00"</f>
        <v>00</v>
      </c>
      <c r="D10238">
        <v>2110</v>
      </c>
      <c r="E10238" t="str">
        <f>"18"</f>
        <v>18</v>
      </c>
      <c r="F10238" t="str">
        <f>"000"</f>
        <v>000</v>
      </c>
      <c r="G10238">
        <v>9</v>
      </c>
      <c r="H10238" t="str">
        <f>"00"</f>
        <v>00</v>
      </c>
      <c r="I10238" t="str">
        <f t="shared" si="2329"/>
        <v>0</v>
      </c>
      <c r="J10238" t="str">
        <f t="shared" si="2328"/>
        <v>00</v>
      </c>
      <c r="K10238">
        <v>20180928</v>
      </c>
      <c r="L10238" t="str">
        <f>"074044"</f>
        <v>074044</v>
      </c>
      <c r="M10238" t="str">
        <f>"83297"</f>
        <v>83297</v>
      </c>
      <c r="N10238" t="s">
        <v>8077</v>
      </c>
      <c r="O10238" s="1">
        <v>-22740</v>
      </c>
      <c r="P10238">
        <v>20180928</v>
      </c>
      <c r="Q10238" t="s">
        <v>8078</v>
      </c>
      <c r="R10238" t="s">
        <v>412</v>
      </c>
      <c r="S10238" t="s">
        <v>8079</v>
      </c>
      <c r="T10238" t="s">
        <v>296</v>
      </c>
    </row>
    <row r="10239" spans="1:20" x14ac:dyDescent="0.25">
      <c r="A10239">
        <v>9</v>
      </c>
      <c r="B10239">
        <v>685</v>
      </c>
      <c r="C10239" t="str">
        <f>"00"</f>
        <v>00</v>
      </c>
      <c r="D10239">
        <v>2110</v>
      </c>
      <c r="E10239" t="str">
        <f>"18"</f>
        <v>18</v>
      </c>
      <c r="F10239" t="str">
        <f>"000"</f>
        <v>000</v>
      </c>
      <c r="G10239">
        <v>9</v>
      </c>
      <c r="H10239" t="str">
        <f>"00"</f>
        <v>00</v>
      </c>
      <c r="I10239" t="str">
        <f t="shared" si="2329"/>
        <v>0</v>
      </c>
      <c r="J10239" t="str">
        <f>"18"</f>
        <v>18</v>
      </c>
      <c r="K10239">
        <v>20180928</v>
      </c>
      <c r="L10239" t="str">
        <f>"074085"</f>
        <v>074085</v>
      </c>
      <c r="M10239" t="str">
        <f>"83297"</f>
        <v>83297</v>
      </c>
      <c r="N10239" t="s">
        <v>8077</v>
      </c>
      <c r="O10239" s="1">
        <v>27633</v>
      </c>
      <c r="P10239">
        <v>20180928</v>
      </c>
      <c r="Q10239" t="s">
        <v>8080</v>
      </c>
      <c r="R10239" t="s">
        <v>8081</v>
      </c>
      <c r="S10239" t="s">
        <v>8079</v>
      </c>
      <c r="T10239" t="s">
        <v>296</v>
      </c>
    </row>
    <row r="10240" spans="1:20" x14ac:dyDescent="0.25">
      <c r="A10240">
        <v>9</v>
      </c>
      <c r="B10240">
        <v>685</v>
      </c>
      <c r="C10240" t="str">
        <f>"00"</f>
        <v>00</v>
      </c>
      <c r="D10240">
        <v>2110</v>
      </c>
      <c r="E10240" t="str">
        <f>"18"</f>
        <v>18</v>
      </c>
      <c r="F10240" t="str">
        <f>"000"</f>
        <v>000</v>
      </c>
      <c r="G10240">
        <v>9</v>
      </c>
      <c r="H10240" t="str">
        <f>"00"</f>
        <v>00</v>
      </c>
      <c r="I10240" t="str">
        <f t="shared" si="2329"/>
        <v>0</v>
      </c>
      <c r="J10240" t="str">
        <f>"18"</f>
        <v>18</v>
      </c>
      <c r="K10240">
        <v>20180928</v>
      </c>
      <c r="L10240" t="str">
        <f>"074085"</f>
        <v>074085</v>
      </c>
      <c r="M10240" t="str">
        <f>"83297"</f>
        <v>83297</v>
      </c>
      <c r="N10240" t="s">
        <v>8077</v>
      </c>
      <c r="O10240" s="1">
        <v>22740</v>
      </c>
      <c r="P10240">
        <v>20180928</v>
      </c>
      <c r="Q10240" t="s">
        <v>8080</v>
      </c>
      <c r="R10240" t="s">
        <v>8081</v>
      </c>
      <c r="S10240" t="s">
        <v>8079</v>
      </c>
      <c r="T10240" t="s">
        <v>296</v>
      </c>
    </row>
    <row r="10241" spans="1:20" x14ac:dyDescent="0.25">
      <c r="A10241">
        <v>9</v>
      </c>
      <c r="B10241">
        <v>685</v>
      </c>
      <c r="C10241" t="str">
        <f>"34"</f>
        <v>34</v>
      </c>
      <c r="D10241">
        <v>6631</v>
      </c>
      <c r="E10241" t="str">
        <f>"2R"</f>
        <v>2R</v>
      </c>
      <c r="F10241" t="str">
        <f>"937"</f>
        <v>937</v>
      </c>
      <c r="G10241">
        <v>9</v>
      </c>
      <c r="H10241" t="str">
        <f>"99"</f>
        <v>99</v>
      </c>
      <c r="I10241" t="str">
        <f t="shared" si="2329"/>
        <v>0</v>
      </c>
      <c r="J10241" t="str">
        <f>"00"</f>
        <v>00</v>
      </c>
      <c r="K10241">
        <v>20181005</v>
      </c>
      <c r="L10241" t="str">
        <f>"074147"</f>
        <v>074147</v>
      </c>
      <c r="M10241" t="str">
        <f>"00116"</f>
        <v>00116</v>
      </c>
      <c r="N10241" t="s">
        <v>8082</v>
      </c>
      <c r="O10241" s="1">
        <v>200600</v>
      </c>
      <c r="P10241">
        <v>20181004</v>
      </c>
      <c r="Q10241" t="s">
        <v>8083</v>
      </c>
      <c r="R10241" t="s">
        <v>8084</v>
      </c>
      <c r="S10241" t="s">
        <v>8079</v>
      </c>
      <c r="T10241" t="s">
        <v>1810</v>
      </c>
    </row>
    <row r="10242" spans="1:20" x14ac:dyDescent="0.25">
      <c r="A10242">
        <v>9</v>
      </c>
      <c r="B10242">
        <v>685</v>
      </c>
      <c r="C10242" t="str">
        <f>"51"</f>
        <v>51</v>
      </c>
      <c r="D10242">
        <v>6249</v>
      </c>
      <c r="E10242" t="str">
        <f>"2S"</f>
        <v>2S</v>
      </c>
      <c r="F10242" t="str">
        <f>"001"</f>
        <v>001</v>
      </c>
      <c r="G10242">
        <v>9</v>
      </c>
      <c r="H10242" t="str">
        <f>"99"</f>
        <v>99</v>
      </c>
      <c r="I10242" t="str">
        <f t="shared" si="2329"/>
        <v>0</v>
      </c>
      <c r="J10242" t="str">
        <f>"00"</f>
        <v>00</v>
      </c>
      <c r="K10242">
        <v>20190809</v>
      </c>
      <c r="L10242" t="str">
        <f>"077576"</f>
        <v>077576</v>
      </c>
      <c r="M10242" t="str">
        <f>"10024"</f>
        <v>10024</v>
      </c>
      <c r="N10242" t="s">
        <v>5951</v>
      </c>
      <c r="O10242" s="1">
        <v>26997</v>
      </c>
      <c r="P10242">
        <v>20190807</v>
      </c>
      <c r="Q10242" t="s">
        <v>8085</v>
      </c>
      <c r="R10242" t="s">
        <v>8086</v>
      </c>
      <c r="S10242" t="s">
        <v>8079</v>
      </c>
      <c r="T10242" t="s">
        <v>301</v>
      </c>
    </row>
    <row r="10243" spans="1:20" x14ac:dyDescent="0.25">
      <c r="A10243">
        <v>9</v>
      </c>
      <c r="B10243">
        <v>695</v>
      </c>
      <c r="C10243" t="str">
        <f>"00"</f>
        <v>00</v>
      </c>
      <c r="D10243">
        <v>2110</v>
      </c>
      <c r="E10243" t="str">
        <f>"67"</f>
        <v>67</v>
      </c>
      <c r="F10243" t="str">
        <f>"000"</f>
        <v>000</v>
      </c>
      <c r="G10243">
        <v>9</v>
      </c>
      <c r="H10243" t="str">
        <f>"00"</f>
        <v>00</v>
      </c>
      <c r="I10243" t="str">
        <f t="shared" si="2329"/>
        <v>0</v>
      </c>
      <c r="J10243" t="str">
        <f>"00"</f>
        <v>00</v>
      </c>
      <c r="K10243">
        <v>20181012</v>
      </c>
      <c r="L10243" t="str">
        <f>"074274"</f>
        <v>074274</v>
      </c>
      <c r="M10243" t="str">
        <f>"45708"</f>
        <v>45708</v>
      </c>
      <c r="N10243" t="s">
        <v>8087</v>
      </c>
      <c r="O10243" s="1">
        <v>6200</v>
      </c>
      <c r="P10243">
        <v>20181011</v>
      </c>
      <c r="Q10243" t="s">
        <v>8088</v>
      </c>
      <c r="R10243" t="s">
        <v>8089</v>
      </c>
      <c r="S10243" t="s">
        <v>8090</v>
      </c>
      <c r="T10243" t="s">
        <v>296</v>
      </c>
    </row>
    <row r="10244" spans="1:20" x14ac:dyDescent="0.25">
      <c r="A10244">
        <v>9</v>
      </c>
      <c r="B10244">
        <v>695</v>
      </c>
      <c r="C10244" t="str">
        <f>"00"</f>
        <v>00</v>
      </c>
      <c r="D10244">
        <v>2110</v>
      </c>
      <c r="E10244" t="str">
        <f>"67"</f>
        <v>67</v>
      </c>
      <c r="F10244" t="str">
        <f>"000"</f>
        <v>000</v>
      </c>
      <c r="G10244">
        <v>9</v>
      </c>
      <c r="H10244" t="str">
        <f>"00"</f>
        <v>00</v>
      </c>
      <c r="I10244" t="str">
        <f t="shared" si="2329"/>
        <v>0</v>
      </c>
      <c r="J10244" t="str">
        <f>"00"</f>
        <v>00</v>
      </c>
      <c r="K10244">
        <v>20181012</v>
      </c>
      <c r="L10244" t="str">
        <f>"074274"</f>
        <v>074274</v>
      </c>
      <c r="M10244" t="str">
        <f>"45708"</f>
        <v>45708</v>
      </c>
      <c r="N10244" t="s">
        <v>8087</v>
      </c>
      <c r="O10244" s="1">
        <v>12733.35</v>
      </c>
      <c r="P10244">
        <v>20181011</v>
      </c>
      <c r="Q10244" t="s">
        <v>8088</v>
      </c>
      <c r="R10244" t="s">
        <v>8089</v>
      </c>
      <c r="S10244" t="s">
        <v>8090</v>
      </c>
      <c r="T10244" t="s">
        <v>296</v>
      </c>
    </row>
    <row r="10245" spans="1:20" x14ac:dyDescent="0.25">
      <c r="A10245">
        <v>9</v>
      </c>
      <c r="B10245">
        <v>695</v>
      </c>
      <c r="C10245" t="str">
        <f>"81"</f>
        <v>81</v>
      </c>
      <c r="D10245">
        <v>6629</v>
      </c>
      <c r="E10245" t="str">
        <f>"67"</f>
        <v>67</v>
      </c>
      <c r="F10245" t="str">
        <f>"104"</f>
        <v>104</v>
      </c>
      <c r="G10245">
        <v>9</v>
      </c>
      <c r="H10245" t="str">
        <f t="shared" ref="H10245:H10289" si="2330">"99"</f>
        <v>99</v>
      </c>
      <c r="I10245" t="str">
        <f t="shared" si="2329"/>
        <v>0</v>
      </c>
      <c r="J10245" t="str">
        <f>"30"</f>
        <v>30</v>
      </c>
      <c r="K10245">
        <v>20190104</v>
      </c>
      <c r="L10245" t="str">
        <f>"075125"</f>
        <v>075125</v>
      </c>
      <c r="M10245" t="str">
        <f>"00602"</f>
        <v>00602</v>
      </c>
      <c r="N10245" t="s">
        <v>8091</v>
      </c>
      <c r="O10245">
        <v>750</v>
      </c>
      <c r="P10245">
        <v>20190104</v>
      </c>
      <c r="Q10245" t="s">
        <v>8092</v>
      </c>
      <c r="R10245" t="s">
        <v>8093</v>
      </c>
      <c r="S10245" t="s">
        <v>8090</v>
      </c>
      <c r="T10245" t="s">
        <v>46</v>
      </c>
    </row>
    <row r="10246" spans="1:20" x14ac:dyDescent="0.25">
      <c r="A10246">
        <v>9</v>
      </c>
      <c r="B10246">
        <v>699</v>
      </c>
      <c r="C10246" t="str">
        <f>"81"</f>
        <v>81</v>
      </c>
      <c r="D10246">
        <v>6629</v>
      </c>
      <c r="E10246" t="str">
        <f>"TC"</f>
        <v>TC</v>
      </c>
      <c r="F10246" t="str">
        <f>"041"</f>
        <v>041</v>
      </c>
      <c r="G10246">
        <v>9</v>
      </c>
      <c r="H10246" t="str">
        <f t="shared" si="2330"/>
        <v>99</v>
      </c>
      <c r="I10246" t="str">
        <f>"2"</f>
        <v>2</v>
      </c>
      <c r="J10246" t="str">
        <f t="shared" ref="J10246:J10309" si="2331">"00"</f>
        <v>00</v>
      </c>
      <c r="K10246">
        <v>20190614</v>
      </c>
      <c r="L10246" t="str">
        <f>"077174"</f>
        <v>077174</v>
      </c>
      <c r="M10246" t="str">
        <f>"45708"</f>
        <v>45708</v>
      </c>
      <c r="N10246" t="s">
        <v>8087</v>
      </c>
      <c r="O10246" s="1">
        <v>125750</v>
      </c>
      <c r="P10246">
        <v>20190613</v>
      </c>
      <c r="Q10246" t="s">
        <v>8094</v>
      </c>
      <c r="R10246" t="s">
        <v>8095</v>
      </c>
      <c r="S10246" t="s">
        <v>8096</v>
      </c>
      <c r="T10246" t="s">
        <v>106</v>
      </c>
    </row>
    <row r="10247" spans="1:20" x14ac:dyDescent="0.25">
      <c r="A10247">
        <v>9</v>
      </c>
      <c r="B10247">
        <v>749</v>
      </c>
      <c r="C10247" t="str">
        <f t="shared" ref="C10247:C10289" si="2332">"61"</f>
        <v>61</v>
      </c>
      <c r="D10247">
        <v>6412</v>
      </c>
      <c r="E10247" t="str">
        <f t="shared" ref="E10247:E10289" si="2333">"00"</f>
        <v>00</v>
      </c>
      <c r="F10247" t="str">
        <f>"101"</f>
        <v>101</v>
      </c>
      <c r="G10247">
        <v>9</v>
      </c>
      <c r="H10247" t="str">
        <f t="shared" si="2330"/>
        <v>99</v>
      </c>
      <c r="I10247" t="str">
        <f t="shared" ref="I10247:I10310" si="2334">"0"</f>
        <v>0</v>
      </c>
      <c r="J10247" t="str">
        <f t="shared" si="2331"/>
        <v>00</v>
      </c>
      <c r="K10247">
        <v>20180904</v>
      </c>
      <c r="L10247" t="str">
        <f>"073766"</f>
        <v>073766</v>
      </c>
      <c r="M10247" t="str">
        <f>"79426"</f>
        <v>79426</v>
      </c>
      <c r="N10247" t="s">
        <v>6539</v>
      </c>
      <c r="O10247">
        <v>636.5</v>
      </c>
      <c r="P10247">
        <v>20180907</v>
      </c>
      <c r="Q10247" t="s">
        <v>8097</v>
      </c>
      <c r="R10247" t="s">
        <v>8098</v>
      </c>
      <c r="S10247" t="s">
        <v>8099</v>
      </c>
      <c r="T10247" t="s">
        <v>1479</v>
      </c>
    </row>
    <row r="10248" spans="1:20" x14ac:dyDescent="0.25">
      <c r="A10248">
        <v>9</v>
      </c>
      <c r="B10248">
        <v>749</v>
      </c>
      <c r="C10248" t="str">
        <f t="shared" si="2332"/>
        <v>61</v>
      </c>
      <c r="D10248">
        <v>6399</v>
      </c>
      <c r="E10248" t="str">
        <f t="shared" si="2333"/>
        <v>00</v>
      </c>
      <c r="F10248" t="str">
        <f>"101"</f>
        <v>101</v>
      </c>
      <c r="G10248">
        <v>9</v>
      </c>
      <c r="H10248" t="str">
        <f t="shared" si="2330"/>
        <v>99</v>
      </c>
      <c r="I10248" t="str">
        <f t="shared" si="2334"/>
        <v>0</v>
      </c>
      <c r="J10248" t="str">
        <f t="shared" si="2331"/>
        <v>00</v>
      </c>
      <c r="K10248">
        <v>20180928</v>
      </c>
      <c r="L10248" t="str">
        <f>"073967"</f>
        <v>073967</v>
      </c>
      <c r="M10248" t="str">
        <f>"04410"</f>
        <v>04410</v>
      </c>
      <c r="N10248" t="s">
        <v>410</v>
      </c>
      <c r="O10248">
        <v>-149.9</v>
      </c>
      <c r="P10248">
        <v>20180928</v>
      </c>
      <c r="Q10248" t="s">
        <v>8100</v>
      </c>
      <c r="R10248" t="s">
        <v>412</v>
      </c>
      <c r="S10248" t="s">
        <v>8099</v>
      </c>
      <c r="T10248" t="s">
        <v>1479</v>
      </c>
    </row>
    <row r="10249" spans="1:20" x14ac:dyDescent="0.25">
      <c r="A10249">
        <v>9</v>
      </c>
      <c r="B10249">
        <v>749</v>
      </c>
      <c r="C10249" t="str">
        <f t="shared" si="2332"/>
        <v>61</v>
      </c>
      <c r="D10249">
        <v>6399</v>
      </c>
      <c r="E10249" t="str">
        <f t="shared" si="2333"/>
        <v>00</v>
      </c>
      <c r="F10249" t="str">
        <f>"101"</f>
        <v>101</v>
      </c>
      <c r="G10249">
        <v>9</v>
      </c>
      <c r="H10249" t="str">
        <f t="shared" si="2330"/>
        <v>99</v>
      </c>
      <c r="I10249" t="str">
        <f t="shared" si="2334"/>
        <v>0</v>
      </c>
      <c r="J10249" t="str">
        <f t="shared" si="2331"/>
        <v>00</v>
      </c>
      <c r="K10249">
        <v>20181005</v>
      </c>
      <c r="L10249" t="str">
        <f>"074091"</f>
        <v>074091</v>
      </c>
      <c r="M10249" t="str">
        <f>"04410"</f>
        <v>04410</v>
      </c>
      <c r="N10249" t="s">
        <v>410</v>
      </c>
      <c r="O10249">
        <v>149.9</v>
      </c>
      <c r="P10249">
        <v>20181001</v>
      </c>
      <c r="Q10249" t="s">
        <v>8100</v>
      </c>
      <c r="R10249" t="s">
        <v>8101</v>
      </c>
      <c r="S10249" t="s">
        <v>8099</v>
      </c>
      <c r="T10249" t="s">
        <v>1479</v>
      </c>
    </row>
    <row r="10250" spans="1:20" x14ac:dyDescent="0.25">
      <c r="A10250">
        <v>9</v>
      </c>
      <c r="B10250">
        <v>749</v>
      </c>
      <c r="C10250" t="str">
        <f t="shared" si="2332"/>
        <v>61</v>
      </c>
      <c r="D10250">
        <v>6269</v>
      </c>
      <c r="E10250" t="str">
        <f t="shared" si="2333"/>
        <v>00</v>
      </c>
      <c r="F10250" t="str">
        <f>"104"</f>
        <v>104</v>
      </c>
      <c r="G10250">
        <v>9</v>
      </c>
      <c r="H10250" t="str">
        <f t="shared" si="2330"/>
        <v>99</v>
      </c>
      <c r="I10250" t="str">
        <f t="shared" si="2334"/>
        <v>0</v>
      </c>
      <c r="J10250" t="str">
        <f t="shared" si="2331"/>
        <v>00</v>
      </c>
      <c r="K10250">
        <v>20181005</v>
      </c>
      <c r="L10250" t="str">
        <f>"074195"</f>
        <v>074195</v>
      </c>
      <c r="M10250" t="str">
        <f>"74835"</f>
        <v>74835</v>
      </c>
      <c r="N10250" t="s">
        <v>7084</v>
      </c>
      <c r="O10250">
        <v>375</v>
      </c>
      <c r="P10250">
        <v>20181004</v>
      </c>
      <c r="Q10250" t="s">
        <v>8102</v>
      </c>
      <c r="R10250" t="s">
        <v>7086</v>
      </c>
      <c r="S10250" t="s">
        <v>8099</v>
      </c>
      <c r="T10250" t="s">
        <v>46</v>
      </c>
    </row>
    <row r="10251" spans="1:20" x14ac:dyDescent="0.25">
      <c r="A10251">
        <v>9</v>
      </c>
      <c r="B10251">
        <v>749</v>
      </c>
      <c r="C10251" t="str">
        <f t="shared" si="2332"/>
        <v>61</v>
      </c>
      <c r="D10251">
        <v>6399</v>
      </c>
      <c r="E10251" t="str">
        <f t="shared" si="2333"/>
        <v>00</v>
      </c>
      <c r="F10251" t="str">
        <f>"101"</f>
        <v>101</v>
      </c>
      <c r="G10251">
        <v>9</v>
      </c>
      <c r="H10251" t="str">
        <f t="shared" si="2330"/>
        <v>99</v>
      </c>
      <c r="I10251" t="str">
        <f t="shared" si="2334"/>
        <v>0</v>
      </c>
      <c r="J10251" t="str">
        <f t="shared" si="2331"/>
        <v>00</v>
      </c>
      <c r="K10251">
        <v>20181012</v>
      </c>
      <c r="L10251" t="str">
        <f>"074314"</f>
        <v>074314</v>
      </c>
      <c r="M10251" t="str">
        <f>"65817"</f>
        <v>65817</v>
      </c>
      <c r="N10251" t="s">
        <v>2321</v>
      </c>
      <c r="O10251">
        <v>468.26</v>
      </c>
      <c r="P10251">
        <v>20181011</v>
      </c>
      <c r="Q10251" t="s">
        <v>8100</v>
      </c>
      <c r="R10251" t="s">
        <v>2323</v>
      </c>
      <c r="S10251" t="s">
        <v>8099</v>
      </c>
      <c r="T10251" t="s">
        <v>1479</v>
      </c>
    </row>
    <row r="10252" spans="1:20" x14ac:dyDescent="0.25">
      <c r="A10252">
        <v>9</v>
      </c>
      <c r="B10252">
        <v>749</v>
      </c>
      <c r="C10252" t="str">
        <f t="shared" si="2332"/>
        <v>61</v>
      </c>
      <c r="D10252">
        <v>6412</v>
      </c>
      <c r="E10252" t="str">
        <f t="shared" si="2333"/>
        <v>00</v>
      </c>
      <c r="F10252" t="str">
        <f>"101"</f>
        <v>101</v>
      </c>
      <c r="G10252">
        <v>9</v>
      </c>
      <c r="H10252" t="str">
        <f t="shared" si="2330"/>
        <v>99</v>
      </c>
      <c r="I10252" t="str">
        <f t="shared" si="2334"/>
        <v>0</v>
      </c>
      <c r="J10252" t="str">
        <f t="shared" si="2331"/>
        <v>00</v>
      </c>
      <c r="K10252">
        <v>20181019</v>
      </c>
      <c r="L10252" t="str">
        <f>"074402"</f>
        <v>074402</v>
      </c>
      <c r="M10252" t="str">
        <f>"63612"</f>
        <v>63612</v>
      </c>
      <c r="N10252" t="s">
        <v>7049</v>
      </c>
      <c r="O10252">
        <v>336</v>
      </c>
      <c r="P10252">
        <v>20181018</v>
      </c>
      <c r="Q10252" t="s">
        <v>8097</v>
      </c>
      <c r="R10252" t="s">
        <v>8103</v>
      </c>
      <c r="S10252" t="s">
        <v>8099</v>
      </c>
      <c r="T10252" t="s">
        <v>1479</v>
      </c>
    </row>
    <row r="10253" spans="1:20" x14ac:dyDescent="0.25">
      <c r="A10253">
        <v>9</v>
      </c>
      <c r="B10253">
        <v>749</v>
      </c>
      <c r="C10253" t="str">
        <f t="shared" si="2332"/>
        <v>61</v>
      </c>
      <c r="D10253">
        <v>6412</v>
      </c>
      <c r="E10253" t="str">
        <f t="shared" si="2333"/>
        <v>00</v>
      </c>
      <c r="F10253" t="str">
        <f>"101"</f>
        <v>101</v>
      </c>
      <c r="G10253">
        <v>9</v>
      </c>
      <c r="H10253" t="str">
        <f t="shared" si="2330"/>
        <v>99</v>
      </c>
      <c r="I10253" t="str">
        <f t="shared" si="2334"/>
        <v>0</v>
      </c>
      <c r="J10253" t="str">
        <f t="shared" si="2331"/>
        <v>00</v>
      </c>
      <c r="K10253">
        <v>20181025</v>
      </c>
      <c r="L10253" t="str">
        <f>"074402"</f>
        <v>074402</v>
      </c>
      <c r="M10253" t="str">
        <f>"63612"</f>
        <v>63612</v>
      </c>
      <c r="N10253" t="s">
        <v>7049</v>
      </c>
      <c r="O10253">
        <v>-336</v>
      </c>
      <c r="P10253">
        <v>20181025</v>
      </c>
      <c r="Q10253" t="s">
        <v>8097</v>
      </c>
      <c r="R10253" t="s">
        <v>2415</v>
      </c>
      <c r="S10253" t="s">
        <v>8099</v>
      </c>
      <c r="T10253" t="s">
        <v>1479</v>
      </c>
    </row>
    <row r="10254" spans="1:20" x14ac:dyDescent="0.25">
      <c r="A10254">
        <v>9</v>
      </c>
      <c r="B10254">
        <v>749</v>
      </c>
      <c r="C10254" t="str">
        <f t="shared" si="2332"/>
        <v>61</v>
      </c>
      <c r="D10254">
        <v>6649</v>
      </c>
      <c r="E10254" t="str">
        <f t="shared" si="2333"/>
        <v>00</v>
      </c>
      <c r="F10254" t="str">
        <f>"104"</f>
        <v>104</v>
      </c>
      <c r="G10254">
        <v>9</v>
      </c>
      <c r="H10254" t="str">
        <f t="shared" si="2330"/>
        <v>99</v>
      </c>
      <c r="I10254" t="str">
        <f t="shared" si="2334"/>
        <v>0</v>
      </c>
      <c r="J10254" t="str">
        <f t="shared" si="2331"/>
        <v>00</v>
      </c>
      <c r="K10254">
        <v>20181102</v>
      </c>
      <c r="L10254" t="str">
        <f>"074456"</f>
        <v>074456</v>
      </c>
      <c r="M10254" t="str">
        <f>"16807"</f>
        <v>16807</v>
      </c>
      <c r="N10254" t="s">
        <v>1581</v>
      </c>
      <c r="O10254">
        <v>549</v>
      </c>
      <c r="P10254">
        <v>20181031</v>
      </c>
      <c r="Q10254" t="s">
        <v>8104</v>
      </c>
      <c r="R10254" t="s">
        <v>8105</v>
      </c>
      <c r="S10254" t="s">
        <v>8099</v>
      </c>
      <c r="T10254" t="s">
        <v>46</v>
      </c>
    </row>
    <row r="10255" spans="1:20" x14ac:dyDescent="0.25">
      <c r="A10255">
        <v>9</v>
      </c>
      <c r="B10255">
        <v>749</v>
      </c>
      <c r="C10255" t="str">
        <f t="shared" si="2332"/>
        <v>61</v>
      </c>
      <c r="D10255">
        <v>6649</v>
      </c>
      <c r="E10255" t="str">
        <f t="shared" si="2333"/>
        <v>00</v>
      </c>
      <c r="F10255" t="str">
        <f>"104"</f>
        <v>104</v>
      </c>
      <c r="G10255">
        <v>9</v>
      </c>
      <c r="H10255" t="str">
        <f t="shared" si="2330"/>
        <v>99</v>
      </c>
      <c r="I10255" t="str">
        <f t="shared" si="2334"/>
        <v>0</v>
      </c>
      <c r="J10255" t="str">
        <f t="shared" si="2331"/>
        <v>00</v>
      </c>
      <c r="K10255">
        <v>20181102</v>
      </c>
      <c r="L10255" t="str">
        <f>"074456"</f>
        <v>074456</v>
      </c>
      <c r="M10255" t="str">
        <f>"16807"</f>
        <v>16807</v>
      </c>
      <c r="N10255" t="s">
        <v>1581</v>
      </c>
      <c r="O10255">
        <v>644.6</v>
      </c>
      <c r="P10255">
        <v>20181031</v>
      </c>
      <c r="Q10255" t="s">
        <v>8104</v>
      </c>
      <c r="R10255" t="s">
        <v>6245</v>
      </c>
      <c r="S10255" t="s">
        <v>8099</v>
      </c>
      <c r="T10255" t="s">
        <v>46</v>
      </c>
    </row>
    <row r="10256" spans="1:20" x14ac:dyDescent="0.25">
      <c r="A10256">
        <v>9</v>
      </c>
      <c r="B10256">
        <v>749</v>
      </c>
      <c r="C10256" t="str">
        <f t="shared" si="2332"/>
        <v>61</v>
      </c>
      <c r="D10256">
        <v>6399</v>
      </c>
      <c r="E10256" t="str">
        <f t="shared" si="2333"/>
        <v>00</v>
      </c>
      <c r="F10256" t="str">
        <f>"101"</f>
        <v>101</v>
      </c>
      <c r="G10256">
        <v>9</v>
      </c>
      <c r="H10256" t="str">
        <f t="shared" si="2330"/>
        <v>99</v>
      </c>
      <c r="I10256" t="str">
        <f t="shared" si="2334"/>
        <v>0</v>
      </c>
      <c r="J10256" t="str">
        <f t="shared" si="2331"/>
        <v>00</v>
      </c>
      <c r="K10256">
        <v>20181102</v>
      </c>
      <c r="L10256" t="str">
        <f>"074513"</f>
        <v>074513</v>
      </c>
      <c r="M10256" t="str">
        <f>"65817"</f>
        <v>65817</v>
      </c>
      <c r="N10256" t="s">
        <v>2321</v>
      </c>
      <c r="O10256">
        <v>116.09</v>
      </c>
      <c r="P10256">
        <v>20181031</v>
      </c>
      <c r="Q10256" t="s">
        <v>8100</v>
      </c>
      <c r="R10256" t="s">
        <v>8106</v>
      </c>
      <c r="S10256" t="s">
        <v>8099</v>
      </c>
      <c r="T10256" t="s">
        <v>1479</v>
      </c>
    </row>
    <row r="10257" spans="1:20" x14ac:dyDescent="0.25">
      <c r="A10257">
        <v>9</v>
      </c>
      <c r="B10257">
        <v>749</v>
      </c>
      <c r="C10257" t="str">
        <f t="shared" si="2332"/>
        <v>61</v>
      </c>
      <c r="D10257">
        <v>6399</v>
      </c>
      <c r="E10257" t="str">
        <f t="shared" si="2333"/>
        <v>00</v>
      </c>
      <c r="F10257" t="str">
        <f t="shared" ref="F10257:F10263" si="2335">"104"</f>
        <v>104</v>
      </c>
      <c r="G10257">
        <v>9</v>
      </c>
      <c r="H10257" t="str">
        <f t="shared" si="2330"/>
        <v>99</v>
      </c>
      <c r="I10257" t="str">
        <f t="shared" si="2334"/>
        <v>0</v>
      </c>
      <c r="J10257" t="str">
        <f t="shared" si="2331"/>
        <v>00</v>
      </c>
      <c r="K10257">
        <v>20181109</v>
      </c>
      <c r="L10257" t="str">
        <f>"074614"</f>
        <v>074614</v>
      </c>
      <c r="M10257" t="str">
        <f>"58201"</f>
        <v>58201</v>
      </c>
      <c r="N10257" t="s">
        <v>2662</v>
      </c>
      <c r="O10257">
        <v>58</v>
      </c>
      <c r="P10257">
        <v>20181108</v>
      </c>
      <c r="Q10257" t="s">
        <v>8107</v>
      </c>
      <c r="R10257" t="s">
        <v>8108</v>
      </c>
      <c r="S10257" t="s">
        <v>8099</v>
      </c>
      <c r="T10257" t="s">
        <v>46</v>
      </c>
    </row>
    <row r="10258" spans="1:20" x14ac:dyDescent="0.25">
      <c r="A10258">
        <v>9</v>
      </c>
      <c r="B10258">
        <v>749</v>
      </c>
      <c r="C10258" t="str">
        <f t="shared" si="2332"/>
        <v>61</v>
      </c>
      <c r="D10258">
        <v>6399</v>
      </c>
      <c r="E10258" t="str">
        <f t="shared" si="2333"/>
        <v>00</v>
      </c>
      <c r="F10258" t="str">
        <f t="shared" si="2335"/>
        <v>104</v>
      </c>
      <c r="G10258">
        <v>9</v>
      </c>
      <c r="H10258" t="str">
        <f t="shared" si="2330"/>
        <v>99</v>
      </c>
      <c r="I10258" t="str">
        <f t="shared" si="2334"/>
        <v>0</v>
      </c>
      <c r="J10258" t="str">
        <f t="shared" si="2331"/>
        <v>00</v>
      </c>
      <c r="K10258">
        <v>20181109</v>
      </c>
      <c r="L10258" t="str">
        <f>"074614"</f>
        <v>074614</v>
      </c>
      <c r="M10258" t="str">
        <f>"58201"</f>
        <v>58201</v>
      </c>
      <c r="N10258" t="s">
        <v>2662</v>
      </c>
      <c r="O10258">
        <v>15.47</v>
      </c>
      <c r="P10258">
        <v>20181108</v>
      </c>
      <c r="Q10258" t="s">
        <v>8107</v>
      </c>
      <c r="R10258" t="s">
        <v>8108</v>
      </c>
      <c r="S10258" t="s">
        <v>8099</v>
      </c>
      <c r="T10258" t="s">
        <v>46</v>
      </c>
    </row>
    <row r="10259" spans="1:20" x14ac:dyDescent="0.25">
      <c r="A10259">
        <v>9</v>
      </c>
      <c r="B10259">
        <v>749</v>
      </c>
      <c r="C10259" t="str">
        <f t="shared" si="2332"/>
        <v>61</v>
      </c>
      <c r="D10259">
        <v>6412</v>
      </c>
      <c r="E10259" t="str">
        <f t="shared" si="2333"/>
        <v>00</v>
      </c>
      <c r="F10259" t="str">
        <f t="shared" si="2335"/>
        <v>104</v>
      </c>
      <c r="G10259">
        <v>9</v>
      </c>
      <c r="H10259" t="str">
        <f t="shared" si="2330"/>
        <v>99</v>
      </c>
      <c r="I10259" t="str">
        <f t="shared" si="2334"/>
        <v>0</v>
      </c>
      <c r="J10259" t="str">
        <f t="shared" si="2331"/>
        <v>00</v>
      </c>
      <c r="K10259">
        <v>20181109</v>
      </c>
      <c r="L10259" t="str">
        <f>"074614"</f>
        <v>074614</v>
      </c>
      <c r="M10259" t="str">
        <f>"58201"</f>
        <v>58201</v>
      </c>
      <c r="N10259" t="s">
        <v>2662</v>
      </c>
      <c r="O10259">
        <v>168.5</v>
      </c>
      <c r="P10259">
        <v>20181108</v>
      </c>
      <c r="Q10259" t="s">
        <v>8109</v>
      </c>
      <c r="R10259" t="s">
        <v>8110</v>
      </c>
      <c r="S10259" t="s">
        <v>8099</v>
      </c>
      <c r="T10259" t="s">
        <v>46</v>
      </c>
    </row>
    <row r="10260" spans="1:20" x14ac:dyDescent="0.25">
      <c r="A10260">
        <v>9</v>
      </c>
      <c r="B10260">
        <v>749</v>
      </c>
      <c r="C10260" t="str">
        <f t="shared" si="2332"/>
        <v>61</v>
      </c>
      <c r="D10260">
        <v>6649</v>
      </c>
      <c r="E10260" t="str">
        <f t="shared" si="2333"/>
        <v>00</v>
      </c>
      <c r="F10260" t="str">
        <f t="shared" si="2335"/>
        <v>104</v>
      </c>
      <c r="G10260">
        <v>9</v>
      </c>
      <c r="H10260" t="str">
        <f t="shared" si="2330"/>
        <v>99</v>
      </c>
      <c r="I10260" t="str">
        <f t="shared" si="2334"/>
        <v>0</v>
      </c>
      <c r="J10260" t="str">
        <f t="shared" si="2331"/>
        <v>00</v>
      </c>
      <c r="K10260">
        <v>20181130</v>
      </c>
      <c r="L10260" t="str">
        <f>"074766"</f>
        <v>074766</v>
      </c>
      <c r="M10260" t="str">
        <f>"25165"</f>
        <v>25165</v>
      </c>
      <c r="N10260" t="s">
        <v>2860</v>
      </c>
      <c r="O10260">
        <v>998.04</v>
      </c>
      <c r="P10260">
        <v>20181128</v>
      </c>
      <c r="Q10260" t="s">
        <v>8104</v>
      </c>
      <c r="R10260" t="s">
        <v>8111</v>
      </c>
      <c r="S10260" t="s">
        <v>8099</v>
      </c>
      <c r="T10260" t="s">
        <v>46</v>
      </c>
    </row>
    <row r="10261" spans="1:20" x14ac:dyDescent="0.25">
      <c r="A10261">
        <v>9</v>
      </c>
      <c r="B10261">
        <v>749</v>
      </c>
      <c r="C10261" t="str">
        <f t="shared" si="2332"/>
        <v>61</v>
      </c>
      <c r="D10261">
        <v>6498</v>
      </c>
      <c r="E10261" t="str">
        <f t="shared" si="2333"/>
        <v>00</v>
      </c>
      <c r="F10261" t="str">
        <f t="shared" si="2335"/>
        <v>104</v>
      </c>
      <c r="G10261">
        <v>9</v>
      </c>
      <c r="H10261" t="str">
        <f t="shared" si="2330"/>
        <v>99</v>
      </c>
      <c r="I10261" t="str">
        <f t="shared" si="2334"/>
        <v>0</v>
      </c>
      <c r="J10261" t="str">
        <f t="shared" si="2331"/>
        <v>00</v>
      </c>
      <c r="K10261">
        <v>20190111</v>
      </c>
      <c r="L10261" t="str">
        <f>"075156"</f>
        <v>075156</v>
      </c>
      <c r="M10261" t="str">
        <f>"09170"</f>
        <v>09170</v>
      </c>
      <c r="N10261" t="s">
        <v>679</v>
      </c>
      <c r="O10261">
        <v>99.7</v>
      </c>
      <c r="P10261">
        <v>20190109</v>
      </c>
      <c r="Q10261" t="s">
        <v>8112</v>
      </c>
      <c r="R10261" t="s">
        <v>8113</v>
      </c>
      <c r="S10261" t="s">
        <v>8099</v>
      </c>
      <c r="T10261" t="s">
        <v>46</v>
      </c>
    </row>
    <row r="10262" spans="1:20" x14ac:dyDescent="0.25">
      <c r="A10262">
        <v>9</v>
      </c>
      <c r="B10262">
        <v>749</v>
      </c>
      <c r="C10262" t="str">
        <f t="shared" si="2332"/>
        <v>61</v>
      </c>
      <c r="D10262">
        <v>6399</v>
      </c>
      <c r="E10262" t="str">
        <f t="shared" si="2333"/>
        <v>00</v>
      </c>
      <c r="F10262" t="str">
        <f t="shared" si="2335"/>
        <v>104</v>
      </c>
      <c r="G10262">
        <v>9</v>
      </c>
      <c r="H10262" t="str">
        <f t="shared" si="2330"/>
        <v>99</v>
      </c>
      <c r="I10262" t="str">
        <f t="shared" si="2334"/>
        <v>0</v>
      </c>
      <c r="J10262" t="str">
        <f t="shared" si="2331"/>
        <v>00</v>
      </c>
      <c r="K10262">
        <v>20190111</v>
      </c>
      <c r="L10262" t="str">
        <f>"075216"</f>
        <v>075216</v>
      </c>
      <c r="M10262" t="str">
        <f>"43503"</f>
        <v>43503</v>
      </c>
      <c r="N10262" t="s">
        <v>3402</v>
      </c>
      <c r="O10262">
        <v>317.5</v>
      </c>
      <c r="P10262">
        <v>20190109</v>
      </c>
      <c r="Q10262" t="s">
        <v>8107</v>
      </c>
      <c r="R10262" t="s">
        <v>3404</v>
      </c>
      <c r="S10262" t="s">
        <v>8099</v>
      </c>
      <c r="T10262" t="s">
        <v>46</v>
      </c>
    </row>
    <row r="10263" spans="1:20" x14ac:dyDescent="0.25">
      <c r="A10263">
        <v>9</v>
      </c>
      <c r="B10263">
        <v>749</v>
      </c>
      <c r="C10263" t="str">
        <f t="shared" si="2332"/>
        <v>61</v>
      </c>
      <c r="D10263">
        <v>6399</v>
      </c>
      <c r="E10263" t="str">
        <f t="shared" si="2333"/>
        <v>00</v>
      </c>
      <c r="F10263" t="str">
        <f t="shared" si="2335"/>
        <v>104</v>
      </c>
      <c r="G10263">
        <v>9</v>
      </c>
      <c r="H10263" t="str">
        <f t="shared" si="2330"/>
        <v>99</v>
      </c>
      <c r="I10263" t="str">
        <f t="shared" si="2334"/>
        <v>0</v>
      </c>
      <c r="J10263" t="str">
        <f t="shared" si="2331"/>
        <v>00</v>
      </c>
      <c r="K10263">
        <v>20190111</v>
      </c>
      <c r="L10263" t="str">
        <f>"075279"</f>
        <v>075279</v>
      </c>
      <c r="M10263" t="str">
        <f>"74835"</f>
        <v>74835</v>
      </c>
      <c r="N10263" t="s">
        <v>7084</v>
      </c>
      <c r="O10263">
        <v>350</v>
      </c>
      <c r="P10263">
        <v>20190110</v>
      </c>
      <c r="Q10263" t="s">
        <v>8107</v>
      </c>
      <c r="R10263" t="s">
        <v>7372</v>
      </c>
      <c r="S10263" t="s">
        <v>8099</v>
      </c>
      <c r="T10263" t="s">
        <v>46</v>
      </c>
    </row>
    <row r="10264" spans="1:20" x14ac:dyDescent="0.25">
      <c r="A10264">
        <v>9</v>
      </c>
      <c r="B10264">
        <v>749</v>
      </c>
      <c r="C10264" t="str">
        <f t="shared" si="2332"/>
        <v>61</v>
      </c>
      <c r="D10264">
        <v>6399</v>
      </c>
      <c r="E10264" t="str">
        <f t="shared" si="2333"/>
        <v>00</v>
      </c>
      <c r="F10264" t="str">
        <f>"101"</f>
        <v>101</v>
      </c>
      <c r="G10264">
        <v>9</v>
      </c>
      <c r="H10264" t="str">
        <f t="shared" si="2330"/>
        <v>99</v>
      </c>
      <c r="I10264" t="str">
        <f t="shared" si="2334"/>
        <v>0</v>
      </c>
      <c r="J10264" t="str">
        <f t="shared" si="2331"/>
        <v>00</v>
      </c>
      <c r="K10264">
        <v>20190125</v>
      </c>
      <c r="L10264" t="str">
        <f>"075397"</f>
        <v>075397</v>
      </c>
      <c r="M10264" t="str">
        <f>"58203"</f>
        <v>58203</v>
      </c>
      <c r="N10264" t="s">
        <v>3051</v>
      </c>
      <c r="O10264">
        <v>88.02</v>
      </c>
      <c r="P10264">
        <v>20190124</v>
      </c>
      <c r="Q10264" t="s">
        <v>8100</v>
      </c>
      <c r="R10264" t="s">
        <v>8114</v>
      </c>
      <c r="S10264" t="s">
        <v>8099</v>
      </c>
      <c r="T10264" t="s">
        <v>1479</v>
      </c>
    </row>
    <row r="10265" spans="1:20" x14ac:dyDescent="0.25">
      <c r="A10265">
        <v>9</v>
      </c>
      <c r="B10265">
        <v>749</v>
      </c>
      <c r="C10265" t="str">
        <f t="shared" si="2332"/>
        <v>61</v>
      </c>
      <c r="D10265">
        <v>6399</v>
      </c>
      <c r="E10265" t="str">
        <f t="shared" si="2333"/>
        <v>00</v>
      </c>
      <c r="F10265" t="str">
        <f>"101"</f>
        <v>101</v>
      </c>
      <c r="G10265">
        <v>9</v>
      </c>
      <c r="H10265" t="str">
        <f t="shared" si="2330"/>
        <v>99</v>
      </c>
      <c r="I10265" t="str">
        <f t="shared" si="2334"/>
        <v>0</v>
      </c>
      <c r="J10265" t="str">
        <f t="shared" si="2331"/>
        <v>00</v>
      </c>
      <c r="K10265">
        <v>20190125</v>
      </c>
      <c r="L10265" t="str">
        <f>"075397"</f>
        <v>075397</v>
      </c>
      <c r="M10265" t="str">
        <f>"58203"</f>
        <v>58203</v>
      </c>
      <c r="N10265" t="s">
        <v>3051</v>
      </c>
      <c r="O10265">
        <v>5.84</v>
      </c>
      <c r="P10265">
        <v>20190124</v>
      </c>
      <c r="Q10265" t="s">
        <v>8100</v>
      </c>
      <c r="R10265" t="s">
        <v>8114</v>
      </c>
      <c r="S10265" t="s">
        <v>8099</v>
      </c>
      <c r="T10265" t="s">
        <v>1479</v>
      </c>
    </row>
    <row r="10266" spans="1:20" x14ac:dyDescent="0.25">
      <c r="A10266">
        <v>9</v>
      </c>
      <c r="B10266">
        <v>749</v>
      </c>
      <c r="C10266" t="str">
        <f t="shared" si="2332"/>
        <v>61</v>
      </c>
      <c r="D10266">
        <v>6649</v>
      </c>
      <c r="E10266" t="str">
        <f t="shared" si="2333"/>
        <v>00</v>
      </c>
      <c r="F10266" t="str">
        <f>"104"</f>
        <v>104</v>
      </c>
      <c r="G10266">
        <v>9</v>
      </c>
      <c r="H10266" t="str">
        <f t="shared" si="2330"/>
        <v>99</v>
      </c>
      <c r="I10266" t="str">
        <f t="shared" si="2334"/>
        <v>0</v>
      </c>
      <c r="J10266" t="str">
        <f t="shared" si="2331"/>
        <v>00</v>
      </c>
      <c r="K10266">
        <v>20190131</v>
      </c>
      <c r="L10266" t="str">
        <f>"075445"</f>
        <v>075445</v>
      </c>
      <c r="M10266" t="str">
        <f>"16807"</f>
        <v>16807</v>
      </c>
      <c r="N10266" t="s">
        <v>1581</v>
      </c>
      <c r="O10266">
        <v>885.92</v>
      </c>
      <c r="P10266">
        <v>20190130</v>
      </c>
      <c r="Q10266" t="s">
        <v>8104</v>
      </c>
      <c r="R10266" t="s">
        <v>8115</v>
      </c>
      <c r="S10266" t="s">
        <v>8099</v>
      </c>
      <c r="T10266" t="s">
        <v>46</v>
      </c>
    </row>
    <row r="10267" spans="1:20" x14ac:dyDescent="0.25">
      <c r="A10267">
        <v>9</v>
      </c>
      <c r="B10267">
        <v>749</v>
      </c>
      <c r="C10267" t="str">
        <f t="shared" si="2332"/>
        <v>61</v>
      </c>
      <c r="D10267">
        <v>6399</v>
      </c>
      <c r="E10267" t="str">
        <f t="shared" si="2333"/>
        <v>00</v>
      </c>
      <c r="F10267" t="str">
        <f>"101"</f>
        <v>101</v>
      </c>
      <c r="G10267">
        <v>9</v>
      </c>
      <c r="H10267" t="str">
        <f t="shared" si="2330"/>
        <v>99</v>
      </c>
      <c r="I10267" t="str">
        <f t="shared" si="2334"/>
        <v>0</v>
      </c>
      <c r="J10267" t="str">
        <f t="shared" si="2331"/>
        <v>00</v>
      </c>
      <c r="K10267">
        <v>20190208</v>
      </c>
      <c r="L10267" t="str">
        <f>"075532"</f>
        <v>075532</v>
      </c>
      <c r="M10267" t="str">
        <f>"04410"</f>
        <v>04410</v>
      </c>
      <c r="N10267" t="s">
        <v>410</v>
      </c>
      <c r="O10267">
        <v>449.7</v>
      </c>
      <c r="P10267">
        <v>20190207</v>
      </c>
      <c r="Q10267" t="s">
        <v>8100</v>
      </c>
      <c r="R10267" t="s">
        <v>8116</v>
      </c>
      <c r="S10267" t="s">
        <v>8099</v>
      </c>
      <c r="T10267" t="s">
        <v>1479</v>
      </c>
    </row>
    <row r="10268" spans="1:20" x14ac:dyDescent="0.25">
      <c r="A10268">
        <v>9</v>
      </c>
      <c r="B10268">
        <v>749</v>
      </c>
      <c r="C10268" t="str">
        <f t="shared" si="2332"/>
        <v>61</v>
      </c>
      <c r="D10268">
        <v>6412</v>
      </c>
      <c r="E10268" t="str">
        <f t="shared" si="2333"/>
        <v>00</v>
      </c>
      <c r="F10268" t="str">
        <f>"104"</f>
        <v>104</v>
      </c>
      <c r="G10268">
        <v>9</v>
      </c>
      <c r="H10268" t="str">
        <f t="shared" si="2330"/>
        <v>99</v>
      </c>
      <c r="I10268" t="str">
        <f t="shared" si="2334"/>
        <v>0</v>
      </c>
      <c r="J10268" t="str">
        <f t="shared" si="2331"/>
        <v>00</v>
      </c>
      <c r="K10268">
        <v>20190215</v>
      </c>
      <c r="L10268" t="str">
        <f>"075739"</f>
        <v>075739</v>
      </c>
      <c r="M10268" t="str">
        <f>"54034"</f>
        <v>54034</v>
      </c>
      <c r="N10268" t="s">
        <v>7189</v>
      </c>
      <c r="O10268">
        <v>161</v>
      </c>
      <c r="P10268">
        <v>20190213</v>
      </c>
      <c r="Q10268" t="s">
        <v>8109</v>
      </c>
      <c r="R10268" t="s">
        <v>8117</v>
      </c>
      <c r="S10268" t="s">
        <v>8099</v>
      </c>
      <c r="T10268" t="s">
        <v>46</v>
      </c>
    </row>
    <row r="10269" spans="1:20" x14ac:dyDescent="0.25">
      <c r="A10269">
        <v>9</v>
      </c>
      <c r="B10269">
        <v>749</v>
      </c>
      <c r="C10269" t="str">
        <f t="shared" si="2332"/>
        <v>61</v>
      </c>
      <c r="D10269">
        <v>6412</v>
      </c>
      <c r="E10269" t="str">
        <f t="shared" si="2333"/>
        <v>00</v>
      </c>
      <c r="F10269" t="str">
        <f>"101"</f>
        <v>101</v>
      </c>
      <c r="G10269">
        <v>9</v>
      </c>
      <c r="H10269" t="str">
        <f t="shared" si="2330"/>
        <v>99</v>
      </c>
      <c r="I10269" t="str">
        <f t="shared" si="2334"/>
        <v>0</v>
      </c>
      <c r="J10269" t="str">
        <f t="shared" si="2331"/>
        <v>00</v>
      </c>
      <c r="K10269">
        <v>20190315</v>
      </c>
      <c r="L10269" t="str">
        <f>"076057"</f>
        <v>076057</v>
      </c>
      <c r="M10269" t="str">
        <f>"27900"</f>
        <v>27900</v>
      </c>
      <c r="N10269" t="s">
        <v>1490</v>
      </c>
      <c r="O10269">
        <v>700</v>
      </c>
      <c r="P10269">
        <v>20190313</v>
      </c>
      <c r="Q10269" t="s">
        <v>8097</v>
      </c>
      <c r="R10269" t="s">
        <v>8118</v>
      </c>
      <c r="S10269" t="s">
        <v>8099</v>
      </c>
      <c r="T10269" t="s">
        <v>1479</v>
      </c>
    </row>
    <row r="10270" spans="1:20" x14ac:dyDescent="0.25">
      <c r="A10270">
        <v>9</v>
      </c>
      <c r="B10270">
        <v>749</v>
      </c>
      <c r="C10270" t="str">
        <f t="shared" si="2332"/>
        <v>61</v>
      </c>
      <c r="D10270">
        <v>6399</v>
      </c>
      <c r="E10270" t="str">
        <f t="shared" si="2333"/>
        <v>00</v>
      </c>
      <c r="F10270" t="str">
        <f>"104"</f>
        <v>104</v>
      </c>
      <c r="G10270">
        <v>9</v>
      </c>
      <c r="H10270" t="str">
        <f t="shared" si="2330"/>
        <v>99</v>
      </c>
      <c r="I10270" t="str">
        <f t="shared" si="2334"/>
        <v>0</v>
      </c>
      <c r="J10270" t="str">
        <f t="shared" si="2331"/>
        <v>00</v>
      </c>
      <c r="K10270">
        <v>20190329</v>
      </c>
      <c r="L10270" t="str">
        <f>"076265"</f>
        <v>076265</v>
      </c>
      <c r="M10270" t="str">
        <f>"43503"</f>
        <v>43503</v>
      </c>
      <c r="N10270" t="s">
        <v>3402</v>
      </c>
      <c r="O10270">
        <v>90</v>
      </c>
      <c r="P10270">
        <v>20190327</v>
      </c>
      <c r="Q10270" t="s">
        <v>8107</v>
      </c>
      <c r="R10270" t="s">
        <v>8119</v>
      </c>
      <c r="S10270" t="s">
        <v>8099</v>
      </c>
      <c r="T10270" t="s">
        <v>46</v>
      </c>
    </row>
    <row r="10271" spans="1:20" x14ac:dyDescent="0.25">
      <c r="A10271">
        <v>9</v>
      </c>
      <c r="B10271">
        <v>749</v>
      </c>
      <c r="C10271" t="str">
        <f t="shared" si="2332"/>
        <v>61</v>
      </c>
      <c r="D10271">
        <v>6412</v>
      </c>
      <c r="E10271" t="str">
        <f t="shared" si="2333"/>
        <v>00</v>
      </c>
      <c r="F10271" t="str">
        <f>"101"</f>
        <v>101</v>
      </c>
      <c r="G10271">
        <v>9</v>
      </c>
      <c r="H10271" t="str">
        <f t="shared" si="2330"/>
        <v>99</v>
      </c>
      <c r="I10271" t="str">
        <f t="shared" si="2334"/>
        <v>0</v>
      </c>
      <c r="J10271" t="str">
        <f t="shared" si="2331"/>
        <v>00</v>
      </c>
      <c r="K10271">
        <v>20190405</v>
      </c>
      <c r="L10271" t="str">
        <f>"076344"</f>
        <v>076344</v>
      </c>
      <c r="M10271" t="str">
        <f>"22220"</f>
        <v>22220</v>
      </c>
      <c r="N10271" t="s">
        <v>8120</v>
      </c>
      <c r="O10271">
        <v>650</v>
      </c>
      <c r="P10271">
        <v>20190404</v>
      </c>
      <c r="Q10271" t="s">
        <v>8097</v>
      </c>
      <c r="R10271" t="s">
        <v>8121</v>
      </c>
      <c r="S10271" t="s">
        <v>8099</v>
      </c>
      <c r="T10271" t="s">
        <v>1479</v>
      </c>
    </row>
    <row r="10272" spans="1:20" x14ac:dyDescent="0.25">
      <c r="A10272">
        <v>9</v>
      </c>
      <c r="B10272">
        <v>749</v>
      </c>
      <c r="C10272" t="str">
        <f t="shared" si="2332"/>
        <v>61</v>
      </c>
      <c r="D10272">
        <v>6412</v>
      </c>
      <c r="E10272" t="str">
        <f t="shared" si="2333"/>
        <v>00</v>
      </c>
      <c r="F10272" t="str">
        <f>"101"</f>
        <v>101</v>
      </c>
      <c r="G10272">
        <v>9</v>
      </c>
      <c r="H10272" t="str">
        <f t="shared" si="2330"/>
        <v>99</v>
      </c>
      <c r="I10272" t="str">
        <f t="shared" si="2334"/>
        <v>0</v>
      </c>
      <c r="J10272" t="str">
        <f t="shared" si="2331"/>
        <v>00</v>
      </c>
      <c r="K10272">
        <v>20190425</v>
      </c>
      <c r="L10272" t="str">
        <f>"076344"</f>
        <v>076344</v>
      </c>
      <c r="M10272" t="str">
        <f>"22220"</f>
        <v>22220</v>
      </c>
      <c r="N10272" t="s">
        <v>8120</v>
      </c>
      <c r="O10272">
        <v>-650</v>
      </c>
      <c r="P10272">
        <v>20190425</v>
      </c>
      <c r="Q10272" t="s">
        <v>8097</v>
      </c>
      <c r="R10272" t="s">
        <v>8122</v>
      </c>
      <c r="S10272" t="s">
        <v>8099</v>
      </c>
      <c r="T10272" t="s">
        <v>1479</v>
      </c>
    </row>
    <row r="10273" spans="1:20" x14ac:dyDescent="0.25">
      <c r="A10273">
        <v>9</v>
      </c>
      <c r="B10273">
        <v>749</v>
      </c>
      <c r="C10273" t="str">
        <f t="shared" si="2332"/>
        <v>61</v>
      </c>
      <c r="D10273">
        <v>6399</v>
      </c>
      <c r="E10273" t="str">
        <f t="shared" si="2333"/>
        <v>00</v>
      </c>
      <c r="F10273" t="str">
        <f>"101"</f>
        <v>101</v>
      </c>
      <c r="G10273">
        <v>9</v>
      </c>
      <c r="H10273" t="str">
        <f t="shared" si="2330"/>
        <v>99</v>
      </c>
      <c r="I10273" t="str">
        <f t="shared" si="2334"/>
        <v>0</v>
      </c>
      <c r="J10273" t="str">
        <f t="shared" si="2331"/>
        <v>00</v>
      </c>
      <c r="K10273">
        <v>20190405</v>
      </c>
      <c r="L10273" t="str">
        <f>"076363"</f>
        <v>076363</v>
      </c>
      <c r="M10273" t="str">
        <f>"34226"</f>
        <v>34226</v>
      </c>
      <c r="N10273" t="s">
        <v>3387</v>
      </c>
      <c r="O10273" s="1">
        <v>1075.1500000000001</v>
      </c>
      <c r="P10273">
        <v>20190404</v>
      </c>
      <c r="Q10273" t="s">
        <v>8100</v>
      </c>
      <c r="R10273" t="s">
        <v>8123</v>
      </c>
      <c r="S10273" t="s">
        <v>8099</v>
      </c>
      <c r="T10273" t="s">
        <v>1479</v>
      </c>
    </row>
    <row r="10274" spans="1:20" x14ac:dyDescent="0.25">
      <c r="A10274">
        <v>9</v>
      </c>
      <c r="B10274">
        <v>749</v>
      </c>
      <c r="C10274" t="str">
        <f t="shared" si="2332"/>
        <v>61</v>
      </c>
      <c r="D10274">
        <v>6399</v>
      </c>
      <c r="E10274" t="str">
        <f t="shared" si="2333"/>
        <v>00</v>
      </c>
      <c r="F10274" t="str">
        <f>"104"</f>
        <v>104</v>
      </c>
      <c r="G10274">
        <v>9</v>
      </c>
      <c r="H10274" t="str">
        <f t="shared" si="2330"/>
        <v>99</v>
      </c>
      <c r="I10274" t="str">
        <f t="shared" si="2334"/>
        <v>0</v>
      </c>
      <c r="J10274" t="str">
        <f t="shared" si="2331"/>
        <v>00</v>
      </c>
      <c r="K10274">
        <v>20190405</v>
      </c>
      <c r="L10274" t="str">
        <f>"076405"</f>
        <v>076405</v>
      </c>
      <c r="M10274" t="str">
        <f>"81303"</f>
        <v>81303</v>
      </c>
      <c r="N10274" t="s">
        <v>66</v>
      </c>
      <c r="O10274">
        <v>400</v>
      </c>
      <c r="P10274">
        <v>20190405</v>
      </c>
      <c r="Q10274" t="s">
        <v>8107</v>
      </c>
      <c r="R10274" t="s">
        <v>8124</v>
      </c>
      <c r="S10274" t="s">
        <v>8099</v>
      </c>
      <c r="T10274" t="s">
        <v>46</v>
      </c>
    </row>
    <row r="10275" spans="1:20" x14ac:dyDescent="0.25">
      <c r="A10275">
        <v>9</v>
      </c>
      <c r="B10275">
        <v>749</v>
      </c>
      <c r="C10275" t="str">
        <f t="shared" si="2332"/>
        <v>61</v>
      </c>
      <c r="D10275">
        <v>6399</v>
      </c>
      <c r="E10275" t="str">
        <f t="shared" si="2333"/>
        <v>00</v>
      </c>
      <c r="F10275" t="str">
        <f>"104"</f>
        <v>104</v>
      </c>
      <c r="G10275">
        <v>9</v>
      </c>
      <c r="H10275" t="str">
        <f t="shared" si="2330"/>
        <v>99</v>
      </c>
      <c r="I10275" t="str">
        <f t="shared" si="2334"/>
        <v>0</v>
      </c>
      <c r="J10275" t="str">
        <f t="shared" si="2331"/>
        <v>00</v>
      </c>
      <c r="K10275">
        <v>20190412</v>
      </c>
      <c r="L10275" t="str">
        <f>"076414"</f>
        <v>076414</v>
      </c>
      <c r="M10275" t="str">
        <f>"04410"</f>
        <v>04410</v>
      </c>
      <c r="N10275" t="s">
        <v>410</v>
      </c>
      <c r="O10275">
        <v>484.74</v>
      </c>
      <c r="P10275">
        <v>20190410</v>
      </c>
      <c r="Q10275" t="s">
        <v>8107</v>
      </c>
      <c r="R10275" t="s">
        <v>8125</v>
      </c>
      <c r="S10275" t="s">
        <v>8099</v>
      </c>
      <c r="T10275" t="s">
        <v>46</v>
      </c>
    </row>
    <row r="10276" spans="1:20" x14ac:dyDescent="0.25">
      <c r="A10276">
        <v>9</v>
      </c>
      <c r="B10276">
        <v>749</v>
      </c>
      <c r="C10276" t="str">
        <f t="shared" si="2332"/>
        <v>61</v>
      </c>
      <c r="D10276">
        <v>6649</v>
      </c>
      <c r="E10276" t="str">
        <f t="shared" si="2333"/>
        <v>00</v>
      </c>
      <c r="F10276" t="str">
        <f>"104"</f>
        <v>104</v>
      </c>
      <c r="G10276">
        <v>9</v>
      </c>
      <c r="H10276" t="str">
        <f t="shared" si="2330"/>
        <v>99</v>
      </c>
      <c r="I10276" t="str">
        <f t="shared" si="2334"/>
        <v>0</v>
      </c>
      <c r="J10276" t="str">
        <f t="shared" si="2331"/>
        <v>00</v>
      </c>
      <c r="K10276">
        <v>20190412</v>
      </c>
      <c r="L10276" t="str">
        <f>"076414"</f>
        <v>076414</v>
      </c>
      <c r="M10276" t="str">
        <f>"04410"</f>
        <v>04410</v>
      </c>
      <c r="N10276" t="s">
        <v>410</v>
      </c>
      <c r="O10276" s="1">
        <v>1495</v>
      </c>
      <c r="P10276">
        <v>20190410</v>
      </c>
      <c r="Q10276" t="s">
        <v>8104</v>
      </c>
      <c r="R10276" t="s">
        <v>8126</v>
      </c>
      <c r="S10276" t="s">
        <v>8099</v>
      </c>
      <c r="T10276" t="s">
        <v>46</v>
      </c>
    </row>
    <row r="10277" spans="1:20" x14ac:dyDescent="0.25">
      <c r="A10277">
        <v>9</v>
      </c>
      <c r="B10277">
        <v>749</v>
      </c>
      <c r="C10277" t="str">
        <f t="shared" si="2332"/>
        <v>61</v>
      </c>
      <c r="D10277">
        <v>6649</v>
      </c>
      <c r="E10277" t="str">
        <f t="shared" si="2333"/>
        <v>00</v>
      </c>
      <c r="F10277" t="str">
        <f>"104"</f>
        <v>104</v>
      </c>
      <c r="G10277">
        <v>9</v>
      </c>
      <c r="H10277" t="str">
        <f t="shared" si="2330"/>
        <v>99</v>
      </c>
      <c r="I10277" t="str">
        <f t="shared" si="2334"/>
        <v>0</v>
      </c>
      <c r="J10277" t="str">
        <f t="shared" si="2331"/>
        <v>00</v>
      </c>
      <c r="K10277">
        <v>20190412</v>
      </c>
      <c r="L10277" t="str">
        <f>"076414"</f>
        <v>076414</v>
      </c>
      <c r="M10277" t="str">
        <f>"04410"</f>
        <v>04410</v>
      </c>
      <c r="N10277" t="s">
        <v>410</v>
      </c>
      <c r="O10277">
        <v>289.8</v>
      </c>
      <c r="P10277">
        <v>20190410</v>
      </c>
      <c r="Q10277" t="s">
        <v>8104</v>
      </c>
      <c r="R10277" t="s">
        <v>8127</v>
      </c>
      <c r="S10277" t="s">
        <v>8099</v>
      </c>
      <c r="T10277" t="s">
        <v>46</v>
      </c>
    </row>
    <row r="10278" spans="1:20" x14ac:dyDescent="0.25">
      <c r="A10278">
        <v>9</v>
      </c>
      <c r="B10278">
        <v>749</v>
      </c>
      <c r="C10278" t="str">
        <f t="shared" si="2332"/>
        <v>61</v>
      </c>
      <c r="D10278">
        <v>6649</v>
      </c>
      <c r="E10278" t="str">
        <f t="shared" si="2333"/>
        <v>00</v>
      </c>
      <c r="F10278" t="str">
        <f>"104"</f>
        <v>104</v>
      </c>
      <c r="G10278">
        <v>9</v>
      </c>
      <c r="H10278" t="str">
        <f t="shared" si="2330"/>
        <v>99</v>
      </c>
      <c r="I10278" t="str">
        <f t="shared" si="2334"/>
        <v>0</v>
      </c>
      <c r="J10278" t="str">
        <f t="shared" si="2331"/>
        <v>00</v>
      </c>
      <c r="K10278">
        <v>20190412</v>
      </c>
      <c r="L10278" t="str">
        <f>"076511"</f>
        <v>076511</v>
      </c>
      <c r="M10278" t="str">
        <f>"65826"</f>
        <v>65826</v>
      </c>
      <c r="N10278" t="s">
        <v>2787</v>
      </c>
      <c r="O10278">
        <v>524.96</v>
      </c>
      <c r="P10278">
        <v>20190411</v>
      </c>
      <c r="Q10278" t="s">
        <v>8104</v>
      </c>
      <c r="R10278" t="s">
        <v>8128</v>
      </c>
      <c r="S10278" t="s">
        <v>8099</v>
      </c>
      <c r="T10278" t="s">
        <v>46</v>
      </c>
    </row>
    <row r="10279" spans="1:20" x14ac:dyDescent="0.25">
      <c r="A10279">
        <v>9</v>
      </c>
      <c r="B10279">
        <v>749</v>
      </c>
      <c r="C10279" t="str">
        <f t="shared" si="2332"/>
        <v>61</v>
      </c>
      <c r="D10279">
        <v>6412</v>
      </c>
      <c r="E10279" t="str">
        <f t="shared" si="2333"/>
        <v>00</v>
      </c>
      <c r="F10279" t="str">
        <f>"101"</f>
        <v>101</v>
      </c>
      <c r="G10279">
        <v>9</v>
      </c>
      <c r="H10279" t="str">
        <f t="shared" si="2330"/>
        <v>99</v>
      </c>
      <c r="I10279" t="str">
        <f t="shared" si="2334"/>
        <v>0</v>
      </c>
      <c r="J10279" t="str">
        <f t="shared" si="2331"/>
        <v>00</v>
      </c>
      <c r="K10279">
        <v>20190426</v>
      </c>
      <c r="L10279" t="str">
        <f>"076571"</f>
        <v>076571</v>
      </c>
      <c r="M10279" t="str">
        <f>"22220"</f>
        <v>22220</v>
      </c>
      <c r="N10279" t="s">
        <v>8120</v>
      </c>
      <c r="O10279">
        <v>500</v>
      </c>
      <c r="P10279">
        <v>20190425</v>
      </c>
      <c r="Q10279" t="s">
        <v>8097</v>
      </c>
      <c r="R10279" t="s">
        <v>8121</v>
      </c>
      <c r="S10279" t="s">
        <v>8099</v>
      </c>
      <c r="T10279" t="s">
        <v>1479</v>
      </c>
    </row>
    <row r="10280" spans="1:20" x14ac:dyDescent="0.25">
      <c r="A10280">
        <v>9</v>
      </c>
      <c r="B10280">
        <v>749</v>
      </c>
      <c r="C10280" t="str">
        <f t="shared" si="2332"/>
        <v>61</v>
      </c>
      <c r="D10280">
        <v>6649</v>
      </c>
      <c r="E10280" t="str">
        <f t="shared" si="2333"/>
        <v>00</v>
      </c>
      <c r="F10280" t="str">
        <f>"104"</f>
        <v>104</v>
      </c>
      <c r="G10280">
        <v>9</v>
      </c>
      <c r="H10280" t="str">
        <f t="shared" si="2330"/>
        <v>99</v>
      </c>
      <c r="I10280" t="str">
        <f t="shared" si="2334"/>
        <v>0</v>
      </c>
      <c r="J10280" t="str">
        <f t="shared" si="2331"/>
        <v>00</v>
      </c>
      <c r="K10280">
        <v>20190426</v>
      </c>
      <c r="L10280" t="str">
        <f>"076619"</f>
        <v>076619</v>
      </c>
      <c r="M10280" t="str">
        <f>"65106"</f>
        <v>65106</v>
      </c>
      <c r="N10280" t="s">
        <v>1175</v>
      </c>
      <c r="O10280">
        <v>578</v>
      </c>
      <c r="P10280">
        <v>20190425</v>
      </c>
      <c r="Q10280" t="s">
        <v>8104</v>
      </c>
      <c r="R10280" t="s">
        <v>8129</v>
      </c>
      <c r="S10280" t="s">
        <v>8099</v>
      </c>
      <c r="T10280" t="s">
        <v>46</v>
      </c>
    </row>
    <row r="10281" spans="1:20" x14ac:dyDescent="0.25">
      <c r="A10281">
        <v>9</v>
      </c>
      <c r="B10281">
        <v>749</v>
      </c>
      <c r="C10281" t="str">
        <f t="shared" si="2332"/>
        <v>61</v>
      </c>
      <c r="D10281">
        <v>6399</v>
      </c>
      <c r="E10281" t="str">
        <f t="shared" si="2333"/>
        <v>00</v>
      </c>
      <c r="F10281" t="str">
        <f>"101"</f>
        <v>101</v>
      </c>
      <c r="G10281">
        <v>9</v>
      </c>
      <c r="H10281" t="str">
        <f t="shared" si="2330"/>
        <v>99</v>
      </c>
      <c r="I10281" t="str">
        <f t="shared" si="2334"/>
        <v>0</v>
      </c>
      <c r="J10281" t="str">
        <f t="shared" si="2331"/>
        <v>00</v>
      </c>
      <c r="K10281">
        <v>20190503</v>
      </c>
      <c r="L10281" t="str">
        <f>"076673"</f>
        <v>076673</v>
      </c>
      <c r="M10281" t="str">
        <f>"34226"</f>
        <v>34226</v>
      </c>
      <c r="N10281" t="s">
        <v>3387</v>
      </c>
      <c r="O10281">
        <v>182.78</v>
      </c>
      <c r="P10281">
        <v>20190503</v>
      </c>
      <c r="Q10281" t="s">
        <v>8100</v>
      </c>
      <c r="R10281" t="s">
        <v>4862</v>
      </c>
      <c r="S10281" t="s">
        <v>8099</v>
      </c>
      <c r="T10281" t="s">
        <v>1479</v>
      </c>
    </row>
    <row r="10282" spans="1:20" x14ac:dyDescent="0.25">
      <c r="A10282">
        <v>9</v>
      </c>
      <c r="B10282">
        <v>749</v>
      </c>
      <c r="C10282" t="str">
        <f t="shared" si="2332"/>
        <v>61</v>
      </c>
      <c r="D10282">
        <v>6399</v>
      </c>
      <c r="E10282" t="str">
        <f t="shared" si="2333"/>
        <v>00</v>
      </c>
      <c r="F10282" t="str">
        <f t="shared" ref="F10282:F10287" si="2336">"104"</f>
        <v>104</v>
      </c>
      <c r="G10282">
        <v>9</v>
      </c>
      <c r="H10282" t="str">
        <f t="shared" si="2330"/>
        <v>99</v>
      </c>
      <c r="I10282" t="str">
        <f t="shared" si="2334"/>
        <v>0</v>
      </c>
      <c r="J10282" t="str">
        <f t="shared" si="2331"/>
        <v>00</v>
      </c>
      <c r="K10282">
        <v>20190510</v>
      </c>
      <c r="L10282" t="str">
        <f>"076794"</f>
        <v>076794</v>
      </c>
      <c r="M10282" t="str">
        <f>"58201"</f>
        <v>58201</v>
      </c>
      <c r="N10282" t="s">
        <v>2662</v>
      </c>
      <c r="O10282">
        <v>71</v>
      </c>
      <c r="P10282">
        <v>20190508</v>
      </c>
      <c r="Q10282" t="s">
        <v>8107</v>
      </c>
      <c r="R10282" t="s">
        <v>8130</v>
      </c>
      <c r="S10282" t="s">
        <v>8099</v>
      </c>
      <c r="T10282" t="s">
        <v>46</v>
      </c>
    </row>
    <row r="10283" spans="1:20" x14ac:dyDescent="0.25">
      <c r="A10283">
        <v>9</v>
      </c>
      <c r="B10283">
        <v>749</v>
      </c>
      <c r="C10283" t="str">
        <f t="shared" si="2332"/>
        <v>61</v>
      </c>
      <c r="D10283">
        <v>6499</v>
      </c>
      <c r="E10283" t="str">
        <f t="shared" si="2333"/>
        <v>00</v>
      </c>
      <c r="F10283" t="str">
        <f t="shared" si="2336"/>
        <v>104</v>
      </c>
      <c r="G10283">
        <v>9</v>
      </c>
      <c r="H10283" t="str">
        <f t="shared" si="2330"/>
        <v>99</v>
      </c>
      <c r="I10283" t="str">
        <f t="shared" si="2334"/>
        <v>0</v>
      </c>
      <c r="J10283" t="str">
        <f t="shared" si="2331"/>
        <v>00</v>
      </c>
      <c r="K10283">
        <v>20190510</v>
      </c>
      <c r="L10283" t="str">
        <f>"076817"</f>
        <v>076817</v>
      </c>
      <c r="M10283" t="str">
        <f>"74835"</f>
        <v>74835</v>
      </c>
      <c r="N10283" t="s">
        <v>7084</v>
      </c>
      <c r="O10283">
        <v>375</v>
      </c>
      <c r="P10283">
        <v>20190509</v>
      </c>
      <c r="Q10283" t="s">
        <v>8131</v>
      </c>
      <c r="R10283" t="s">
        <v>7766</v>
      </c>
      <c r="S10283" t="s">
        <v>8099</v>
      </c>
      <c r="T10283" t="s">
        <v>46</v>
      </c>
    </row>
    <row r="10284" spans="1:20" x14ac:dyDescent="0.25">
      <c r="A10284">
        <v>9</v>
      </c>
      <c r="B10284">
        <v>749</v>
      </c>
      <c r="C10284" t="str">
        <f t="shared" si="2332"/>
        <v>61</v>
      </c>
      <c r="D10284">
        <v>6399</v>
      </c>
      <c r="E10284" t="str">
        <f t="shared" si="2333"/>
        <v>00</v>
      </c>
      <c r="F10284" t="str">
        <f t="shared" si="2336"/>
        <v>104</v>
      </c>
      <c r="G10284">
        <v>9</v>
      </c>
      <c r="H10284" t="str">
        <f t="shared" si="2330"/>
        <v>99</v>
      </c>
      <c r="I10284" t="str">
        <f t="shared" si="2334"/>
        <v>0</v>
      </c>
      <c r="J10284" t="str">
        <f t="shared" si="2331"/>
        <v>00</v>
      </c>
      <c r="K10284">
        <v>20190517</v>
      </c>
      <c r="L10284" t="str">
        <f>"076825"</f>
        <v>076825</v>
      </c>
      <c r="M10284" t="str">
        <f>"04410"</f>
        <v>04410</v>
      </c>
      <c r="N10284" t="s">
        <v>410</v>
      </c>
      <c r="O10284">
        <v>54.88</v>
      </c>
      <c r="P10284">
        <v>20190515</v>
      </c>
      <c r="Q10284" t="s">
        <v>8107</v>
      </c>
      <c r="R10284" t="s">
        <v>7767</v>
      </c>
      <c r="S10284" t="s">
        <v>8099</v>
      </c>
      <c r="T10284" t="s">
        <v>46</v>
      </c>
    </row>
    <row r="10285" spans="1:20" x14ac:dyDescent="0.25">
      <c r="A10285">
        <v>9</v>
      </c>
      <c r="B10285">
        <v>749</v>
      </c>
      <c r="C10285" t="str">
        <f t="shared" si="2332"/>
        <v>61</v>
      </c>
      <c r="D10285">
        <v>6649</v>
      </c>
      <c r="E10285" t="str">
        <f t="shared" si="2333"/>
        <v>00</v>
      </c>
      <c r="F10285" t="str">
        <f t="shared" si="2336"/>
        <v>104</v>
      </c>
      <c r="G10285">
        <v>9</v>
      </c>
      <c r="H10285" t="str">
        <f t="shared" si="2330"/>
        <v>99</v>
      </c>
      <c r="I10285" t="str">
        <f t="shared" si="2334"/>
        <v>0</v>
      </c>
      <c r="J10285" t="str">
        <f t="shared" si="2331"/>
        <v>00</v>
      </c>
      <c r="K10285">
        <v>20190524</v>
      </c>
      <c r="L10285" t="str">
        <f>"076960"</f>
        <v>076960</v>
      </c>
      <c r="M10285" t="str">
        <f>"81725"</f>
        <v>81725</v>
      </c>
      <c r="N10285" t="s">
        <v>7803</v>
      </c>
      <c r="O10285">
        <v>220.01</v>
      </c>
      <c r="P10285">
        <v>20190523</v>
      </c>
      <c r="Q10285" t="s">
        <v>8104</v>
      </c>
      <c r="R10285" t="s">
        <v>7804</v>
      </c>
      <c r="S10285" t="s">
        <v>8099</v>
      </c>
      <c r="T10285" t="s">
        <v>46</v>
      </c>
    </row>
    <row r="10286" spans="1:20" x14ac:dyDescent="0.25">
      <c r="A10286">
        <v>9</v>
      </c>
      <c r="B10286">
        <v>749</v>
      </c>
      <c r="C10286" t="str">
        <f t="shared" si="2332"/>
        <v>61</v>
      </c>
      <c r="D10286">
        <v>6649</v>
      </c>
      <c r="E10286" t="str">
        <f t="shared" si="2333"/>
        <v>00</v>
      </c>
      <c r="F10286" t="str">
        <f t="shared" si="2336"/>
        <v>104</v>
      </c>
      <c r="G10286">
        <v>9</v>
      </c>
      <c r="H10286" t="str">
        <f t="shared" si="2330"/>
        <v>99</v>
      </c>
      <c r="I10286" t="str">
        <f t="shared" si="2334"/>
        <v>0</v>
      </c>
      <c r="J10286" t="str">
        <f t="shared" si="2331"/>
        <v>00</v>
      </c>
      <c r="K10286">
        <v>20190621</v>
      </c>
      <c r="L10286" t="str">
        <f>"077217"</f>
        <v>077217</v>
      </c>
      <c r="M10286" t="str">
        <f>"04410"</f>
        <v>04410</v>
      </c>
      <c r="N10286" t="s">
        <v>410</v>
      </c>
      <c r="O10286" s="1">
        <v>1068.2</v>
      </c>
      <c r="P10286">
        <v>20190619</v>
      </c>
      <c r="Q10286" t="s">
        <v>8104</v>
      </c>
      <c r="R10286" t="s">
        <v>8132</v>
      </c>
      <c r="S10286" t="s">
        <v>8099</v>
      </c>
      <c r="T10286" t="s">
        <v>46</v>
      </c>
    </row>
    <row r="10287" spans="1:20" x14ac:dyDescent="0.25">
      <c r="A10287">
        <v>9</v>
      </c>
      <c r="B10287">
        <v>749</v>
      </c>
      <c r="C10287" t="str">
        <f t="shared" si="2332"/>
        <v>61</v>
      </c>
      <c r="D10287">
        <v>6394</v>
      </c>
      <c r="E10287" t="str">
        <f t="shared" si="2333"/>
        <v>00</v>
      </c>
      <c r="F10287" t="str">
        <f t="shared" si="2336"/>
        <v>104</v>
      </c>
      <c r="G10287">
        <v>9</v>
      </c>
      <c r="H10287" t="str">
        <f t="shared" si="2330"/>
        <v>99</v>
      </c>
      <c r="I10287" t="str">
        <f t="shared" si="2334"/>
        <v>0</v>
      </c>
      <c r="J10287" t="str">
        <f t="shared" si="2331"/>
        <v>00</v>
      </c>
      <c r="K10287">
        <v>20190726</v>
      </c>
      <c r="L10287" t="str">
        <f>"077522"</f>
        <v>077522</v>
      </c>
      <c r="M10287" t="str">
        <f>"81303"</f>
        <v>81303</v>
      </c>
      <c r="N10287" t="s">
        <v>66</v>
      </c>
      <c r="O10287">
        <v>45</v>
      </c>
      <c r="P10287">
        <v>20190725</v>
      </c>
      <c r="Q10287" t="s">
        <v>8133</v>
      </c>
      <c r="R10287" t="s">
        <v>8134</v>
      </c>
      <c r="S10287" t="s">
        <v>8099</v>
      </c>
      <c r="T10287" t="s">
        <v>46</v>
      </c>
    </row>
    <row r="10288" spans="1:20" x14ac:dyDescent="0.25">
      <c r="A10288">
        <v>9</v>
      </c>
      <c r="B10288">
        <v>749</v>
      </c>
      <c r="C10288" t="str">
        <f t="shared" si="2332"/>
        <v>61</v>
      </c>
      <c r="D10288">
        <v>6299</v>
      </c>
      <c r="E10288" t="str">
        <f t="shared" si="2333"/>
        <v>00</v>
      </c>
      <c r="F10288" t="str">
        <f>"101"</f>
        <v>101</v>
      </c>
      <c r="G10288">
        <v>9</v>
      </c>
      <c r="H10288" t="str">
        <f t="shared" si="2330"/>
        <v>99</v>
      </c>
      <c r="I10288" t="str">
        <f t="shared" si="2334"/>
        <v>0</v>
      </c>
      <c r="J10288" t="str">
        <f t="shared" si="2331"/>
        <v>00</v>
      </c>
      <c r="K10288">
        <v>20190809</v>
      </c>
      <c r="L10288" t="str">
        <f>"077570"</f>
        <v>077570</v>
      </c>
      <c r="M10288" t="str">
        <f>"00381"</f>
        <v>00381</v>
      </c>
      <c r="N10288" t="s">
        <v>6018</v>
      </c>
      <c r="O10288">
        <v>20.76</v>
      </c>
      <c r="P10288">
        <v>20190807</v>
      </c>
      <c r="Q10288" t="s">
        <v>8135</v>
      </c>
      <c r="R10288" t="s">
        <v>6019</v>
      </c>
      <c r="S10288" t="s">
        <v>8099</v>
      </c>
      <c r="T10288" t="s">
        <v>1479</v>
      </c>
    </row>
    <row r="10289" spans="1:20" x14ac:dyDescent="0.25">
      <c r="A10289">
        <v>9</v>
      </c>
      <c r="B10289">
        <v>749</v>
      </c>
      <c r="C10289" t="str">
        <f t="shared" si="2332"/>
        <v>61</v>
      </c>
      <c r="D10289">
        <v>6299</v>
      </c>
      <c r="E10289" t="str">
        <f t="shared" si="2333"/>
        <v>00</v>
      </c>
      <c r="F10289" t="str">
        <f>"104"</f>
        <v>104</v>
      </c>
      <c r="G10289">
        <v>9</v>
      </c>
      <c r="H10289" t="str">
        <f t="shared" si="2330"/>
        <v>99</v>
      </c>
      <c r="I10289" t="str">
        <f t="shared" si="2334"/>
        <v>0</v>
      </c>
      <c r="J10289" t="str">
        <f t="shared" si="2331"/>
        <v>00</v>
      </c>
      <c r="K10289">
        <v>20190809</v>
      </c>
      <c r="L10289" t="str">
        <f>"077570"</f>
        <v>077570</v>
      </c>
      <c r="M10289" t="str">
        <f>"00381"</f>
        <v>00381</v>
      </c>
      <c r="N10289" t="s">
        <v>6018</v>
      </c>
      <c r="O10289">
        <v>62.28</v>
      </c>
      <c r="P10289">
        <v>20190807</v>
      </c>
      <c r="Q10289" t="s">
        <v>8136</v>
      </c>
      <c r="R10289" t="s">
        <v>6019</v>
      </c>
      <c r="S10289" t="s">
        <v>8099</v>
      </c>
      <c r="T10289" t="s">
        <v>46</v>
      </c>
    </row>
    <row r="10290" spans="1:20" x14ac:dyDescent="0.25">
      <c r="A10290">
        <v>9</v>
      </c>
      <c r="B10290">
        <v>749</v>
      </c>
      <c r="C10290" t="str">
        <f>"00"</f>
        <v>00</v>
      </c>
      <c r="D10290">
        <v>1411</v>
      </c>
      <c r="E10290" t="str">
        <f>"02"</f>
        <v>02</v>
      </c>
      <c r="F10290" t="str">
        <f>"000"</f>
        <v>000</v>
      </c>
      <c r="G10290">
        <v>9</v>
      </c>
      <c r="H10290" t="str">
        <f>"00"</f>
        <v>00</v>
      </c>
      <c r="I10290" t="str">
        <f t="shared" si="2334"/>
        <v>0</v>
      </c>
      <c r="J10290" t="str">
        <f t="shared" si="2331"/>
        <v>00</v>
      </c>
      <c r="K10290">
        <v>20190830</v>
      </c>
      <c r="L10290" t="str">
        <f>"077882"</f>
        <v>077882</v>
      </c>
      <c r="M10290" t="str">
        <f>"79426"</f>
        <v>79426</v>
      </c>
      <c r="N10290" t="s">
        <v>6539</v>
      </c>
      <c r="O10290">
        <v>702</v>
      </c>
      <c r="P10290">
        <v>20190830</v>
      </c>
      <c r="Q10290" t="s">
        <v>8137</v>
      </c>
      <c r="R10290" t="s">
        <v>8138</v>
      </c>
      <c r="S10290" t="s">
        <v>8099</v>
      </c>
      <c r="T10290" t="s">
        <v>296</v>
      </c>
    </row>
    <row r="10291" spans="1:20" x14ac:dyDescent="0.25">
      <c r="A10291">
        <v>9</v>
      </c>
      <c r="B10291">
        <v>753</v>
      </c>
      <c r="C10291" t="str">
        <f>"00"</f>
        <v>00</v>
      </c>
      <c r="D10291">
        <v>2110</v>
      </c>
      <c r="E10291" t="str">
        <f>"18"</f>
        <v>18</v>
      </c>
      <c r="F10291" t="str">
        <f>"000"</f>
        <v>000</v>
      </c>
      <c r="G10291">
        <v>9</v>
      </c>
      <c r="H10291" t="str">
        <f>"00"</f>
        <v>00</v>
      </c>
      <c r="I10291" t="str">
        <f t="shared" si="2334"/>
        <v>0</v>
      </c>
      <c r="J10291" t="str">
        <f t="shared" si="2331"/>
        <v>00</v>
      </c>
      <c r="K10291">
        <v>20180921</v>
      </c>
      <c r="L10291" t="str">
        <f>"073923"</f>
        <v>073923</v>
      </c>
      <c r="M10291" t="str">
        <f t="shared" ref="M10291:M10306" si="2337">"65805"</f>
        <v>65805</v>
      </c>
      <c r="N10291" t="s">
        <v>8139</v>
      </c>
      <c r="O10291" s="1">
        <v>15153.18</v>
      </c>
      <c r="P10291">
        <v>20180921</v>
      </c>
      <c r="Q10291" t="s">
        <v>8140</v>
      </c>
      <c r="R10291" t="s">
        <v>8141</v>
      </c>
      <c r="S10291" t="s">
        <v>8142</v>
      </c>
      <c r="T10291" t="s">
        <v>296</v>
      </c>
    </row>
    <row r="10292" spans="1:20" x14ac:dyDescent="0.25">
      <c r="A10292">
        <v>9</v>
      </c>
      <c r="B10292">
        <v>753</v>
      </c>
      <c r="C10292" t="str">
        <f>"00"</f>
        <v>00</v>
      </c>
      <c r="D10292">
        <v>2110</v>
      </c>
      <c r="E10292" t="str">
        <f>"18"</f>
        <v>18</v>
      </c>
      <c r="F10292" t="str">
        <f>"000"</f>
        <v>000</v>
      </c>
      <c r="G10292">
        <v>9</v>
      </c>
      <c r="H10292" t="str">
        <f>"00"</f>
        <v>00</v>
      </c>
      <c r="I10292" t="str">
        <f t="shared" si="2334"/>
        <v>0</v>
      </c>
      <c r="J10292" t="str">
        <f t="shared" si="2331"/>
        <v>00</v>
      </c>
      <c r="K10292">
        <v>20181015</v>
      </c>
      <c r="L10292" t="str">
        <f>"073923"</f>
        <v>073923</v>
      </c>
      <c r="M10292" t="str">
        <f t="shared" si="2337"/>
        <v>65805</v>
      </c>
      <c r="N10292" t="s">
        <v>8139</v>
      </c>
      <c r="O10292" s="1">
        <v>-15153.18</v>
      </c>
      <c r="P10292">
        <v>20181015</v>
      </c>
      <c r="Q10292" t="s">
        <v>8140</v>
      </c>
      <c r="R10292" t="s">
        <v>8143</v>
      </c>
      <c r="S10292" t="s">
        <v>8142</v>
      </c>
      <c r="T10292" t="s">
        <v>296</v>
      </c>
    </row>
    <row r="10293" spans="1:20" x14ac:dyDescent="0.25">
      <c r="A10293">
        <v>9</v>
      </c>
      <c r="B10293">
        <v>753</v>
      </c>
      <c r="C10293" t="str">
        <f>"41"</f>
        <v>41</v>
      </c>
      <c r="D10293">
        <v>6299</v>
      </c>
      <c r="E10293" t="str">
        <f>"00"</f>
        <v>00</v>
      </c>
      <c r="F10293" t="str">
        <f>"750"</f>
        <v>750</v>
      </c>
      <c r="G10293">
        <v>9</v>
      </c>
      <c r="H10293" t="str">
        <f>"99"</f>
        <v>99</v>
      </c>
      <c r="I10293" t="str">
        <f t="shared" si="2334"/>
        <v>0</v>
      </c>
      <c r="J10293" t="str">
        <f t="shared" si="2331"/>
        <v>00</v>
      </c>
      <c r="K10293">
        <v>20180928</v>
      </c>
      <c r="L10293" t="str">
        <f>"074032"</f>
        <v>074032</v>
      </c>
      <c r="M10293" t="str">
        <f t="shared" si="2337"/>
        <v>65805</v>
      </c>
      <c r="N10293" t="s">
        <v>8139</v>
      </c>
      <c r="O10293" s="1">
        <v>-13702.5</v>
      </c>
      <c r="P10293">
        <v>20180928</v>
      </c>
      <c r="Q10293" t="s">
        <v>8144</v>
      </c>
      <c r="R10293" t="s">
        <v>412</v>
      </c>
      <c r="S10293" t="s">
        <v>8142</v>
      </c>
      <c r="T10293" t="s">
        <v>8145</v>
      </c>
    </row>
    <row r="10294" spans="1:20" x14ac:dyDescent="0.25">
      <c r="A10294">
        <v>9</v>
      </c>
      <c r="B10294">
        <v>753</v>
      </c>
      <c r="C10294" t="str">
        <f>"41"</f>
        <v>41</v>
      </c>
      <c r="D10294">
        <v>6299</v>
      </c>
      <c r="E10294" t="str">
        <f>"00"</f>
        <v>00</v>
      </c>
      <c r="F10294" t="str">
        <f>"750"</f>
        <v>750</v>
      </c>
      <c r="G10294">
        <v>9</v>
      </c>
      <c r="H10294" t="str">
        <f>"99"</f>
        <v>99</v>
      </c>
      <c r="I10294" t="str">
        <f t="shared" si="2334"/>
        <v>0</v>
      </c>
      <c r="J10294" t="str">
        <f t="shared" si="2331"/>
        <v>00</v>
      </c>
      <c r="K10294">
        <v>20180928</v>
      </c>
      <c r="L10294" t="str">
        <f>"074081"</f>
        <v>074081</v>
      </c>
      <c r="M10294" t="str">
        <f t="shared" si="2337"/>
        <v>65805</v>
      </c>
      <c r="N10294" t="s">
        <v>8139</v>
      </c>
      <c r="O10294" s="1">
        <v>13702.5</v>
      </c>
      <c r="P10294">
        <v>20180928</v>
      </c>
      <c r="Q10294" t="s">
        <v>8144</v>
      </c>
      <c r="R10294" t="s">
        <v>8146</v>
      </c>
      <c r="S10294" t="s">
        <v>8142</v>
      </c>
      <c r="T10294" t="s">
        <v>8145</v>
      </c>
    </row>
    <row r="10295" spans="1:20" x14ac:dyDescent="0.25">
      <c r="A10295">
        <v>9</v>
      </c>
      <c r="B10295">
        <v>753</v>
      </c>
      <c r="C10295" t="str">
        <f>"41"</f>
        <v>41</v>
      </c>
      <c r="D10295">
        <v>6429</v>
      </c>
      <c r="E10295" t="str">
        <f>"02"</f>
        <v>02</v>
      </c>
      <c r="F10295" t="str">
        <f>"750"</f>
        <v>750</v>
      </c>
      <c r="G10295">
        <v>9</v>
      </c>
      <c r="H10295" t="str">
        <f>"99"</f>
        <v>99</v>
      </c>
      <c r="I10295" t="str">
        <f t="shared" si="2334"/>
        <v>0</v>
      </c>
      <c r="J10295" t="str">
        <f t="shared" si="2331"/>
        <v>00</v>
      </c>
      <c r="K10295">
        <v>20181005</v>
      </c>
      <c r="L10295" t="str">
        <f>"074179"</f>
        <v>074179</v>
      </c>
      <c r="M10295" t="str">
        <f t="shared" si="2337"/>
        <v>65805</v>
      </c>
      <c r="N10295" t="s">
        <v>8139</v>
      </c>
      <c r="O10295" s="1">
        <v>33283.89</v>
      </c>
      <c r="P10295">
        <v>20181004</v>
      </c>
      <c r="Q10295" t="s">
        <v>8147</v>
      </c>
      <c r="R10295" t="s">
        <v>8148</v>
      </c>
      <c r="S10295" t="s">
        <v>8142</v>
      </c>
      <c r="T10295" t="s">
        <v>8145</v>
      </c>
    </row>
    <row r="10296" spans="1:20" x14ac:dyDescent="0.25">
      <c r="A10296">
        <v>9</v>
      </c>
      <c r="B10296">
        <v>753</v>
      </c>
      <c r="C10296" t="str">
        <f>"00"</f>
        <v>00</v>
      </c>
      <c r="D10296">
        <v>2110</v>
      </c>
      <c r="E10296" t="str">
        <f>"18"</f>
        <v>18</v>
      </c>
      <c r="F10296" t="str">
        <f>"000"</f>
        <v>000</v>
      </c>
      <c r="G10296">
        <v>9</v>
      </c>
      <c r="H10296" t="str">
        <f>"00"</f>
        <v>00</v>
      </c>
      <c r="I10296" t="str">
        <f t="shared" si="2334"/>
        <v>0</v>
      </c>
      <c r="J10296" t="str">
        <f t="shared" si="2331"/>
        <v>00</v>
      </c>
      <c r="K10296">
        <v>20181005</v>
      </c>
      <c r="L10296" t="str">
        <f>"074219"</f>
        <v>074219</v>
      </c>
      <c r="M10296" t="str">
        <f t="shared" si="2337"/>
        <v>65805</v>
      </c>
      <c r="N10296" t="s">
        <v>8139</v>
      </c>
      <c r="O10296" s="1">
        <v>15153.18</v>
      </c>
      <c r="P10296">
        <v>20181005</v>
      </c>
      <c r="Q10296" t="s">
        <v>8140</v>
      </c>
      <c r="R10296" t="s">
        <v>8149</v>
      </c>
      <c r="S10296" t="s">
        <v>8142</v>
      </c>
      <c r="T10296" t="s">
        <v>296</v>
      </c>
    </row>
    <row r="10297" spans="1:20" x14ac:dyDescent="0.25">
      <c r="A10297">
        <v>9</v>
      </c>
      <c r="B10297">
        <v>753</v>
      </c>
      <c r="C10297" t="str">
        <f t="shared" ref="C10297:C10306" si="2338">"41"</f>
        <v>41</v>
      </c>
      <c r="D10297">
        <v>6429</v>
      </c>
      <c r="E10297" t="str">
        <f>"00"</f>
        <v>00</v>
      </c>
      <c r="F10297" t="str">
        <f t="shared" ref="F10297:F10306" si="2339">"750"</f>
        <v>750</v>
      </c>
      <c r="G10297">
        <v>9</v>
      </c>
      <c r="H10297" t="str">
        <f t="shared" ref="H10297:H10314" si="2340">"99"</f>
        <v>99</v>
      </c>
      <c r="I10297" t="str">
        <f t="shared" si="2334"/>
        <v>0</v>
      </c>
      <c r="J10297" t="str">
        <f t="shared" si="2331"/>
        <v>00</v>
      </c>
      <c r="K10297">
        <v>20181012</v>
      </c>
      <c r="L10297" t="str">
        <f>"074313"</f>
        <v>074313</v>
      </c>
      <c r="M10297" t="str">
        <f t="shared" si="2337"/>
        <v>65805</v>
      </c>
      <c r="N10297" t="s">
        <v>8139</v>
      </c>
      <c r="O10297" s="1">
        <v>7397.71</v>
      </c>
      <c r="P10297">
        <v>20181011</v>
      </c>
      <c r="Q10297" t="s">
        <v>8150</v>
      </c>
      <c r="R10297" t="s">
        <v>8151</v>
      </c>
      <c r="S10297" t="s">
        <v>8142</v>
      </c>
      <c r="T10297" t="s">
        <v>8145</v>
      </c>
    </row>
    <row r="10298" spans="1:20" x14ac:dyDescent="0.25">
      <c r="A10298">
        <v>9</v>
      </c>
      <c r="B10298">
        <v>753</v>
      </c>
      <c r="C10298" t="str">
        <f t="shared" si="2338"/>
        <v>41</v>
      </c>
      <c r="D10298">
        <v>6429</v>
      </c>
      <c r="E10298" t="str">
        <f>"00"</f>
        <v>00</v>
      </c>
      <c r="F10298" t="str">
        <f t="shared" si="2339"/>
        <v>750</v>
      </c>
      <c r="G10298">
        <v>9</v>
      </c>
      <c r="H10298" t="str">
        <f t="shared" si="2340"/>
        <v>99</v>
      </c>
      <c r="I10298" t="str">
        <f t="shared" si="2334"/>
        <v>0</v>
      </c>
      <c r="J10298" t="str">
        <f t="shared" si="2331"/>
        <v>00</v>
      </c>
      <c r="K10298">
        <v>20181109</v>
      </c>
      <c r="L10298" t="str">
        <f>"074632"</f>
        <v>074632</v>
      </c>
      <c r="M10298" t="str">
        <f t="shared" si="2337"/>
        <v>65805</v>
      </c>
      <c r="N10298" t="s">
        <v>8139</v>
      </c>
      <c r="O10298" s="1">
        <v>32744.23</v>
      </c>
      <c r="P10298">
        <v>20181108</v>
      </c>
      <c r="Q10298" t="s">
        <v>8150</v>
      </c>
      <c r="R10298" t="s">
        <v>8152</v>
      </c>
      <c r="S10298" t="s">
        <v>8142</v>
      </c>
      <c r="T10298" t="s">
        <v>8145</v>
      </c>
    </row>
    <row r="10299" spans="1:20" x14ac:dyDescent="0.25">
      <c r="A10299">
        <v>9</v>
      </c>
      <c r="B10299">
        <v>753</v>
      </c>
      <c r="C10299" t="str">
        <f t="shared" si="2338"/>
        <v>41</v>
      </c>
      <c r="D10299">
        <v>6299</v>
      </c>
      <c r="E10299" t="str">
        <f>"00"</f>
        <v>00</v>
      </c>
      <c r="F10299" t="str">
        <f t="shared" si="2339"/>
        <v>750</v>
      </c>
      <c r="G10299">
        <v>9</v>
      </c>
      <c r="H10299" t="str">
        <f t="shared" si="2340"/>
        <v>99</v>
      </c>
      <c r="I10299" t="str">
        <f t="shared" si="2334"/>
        <v>0</v>
      </c>
      <c r="J10299" t="str">
        <f t="shared" si="2331"/>
        <v>00</v>
      </c>
      <c r="K10299">
        <v>20181130</v>
      </c>
      <c r="L10299" t="str">
        <f>"074805"</f>
        <v>074805</v>
      </c>
      <c r="M10299" t="str">
        <f t="shared" si="2337"/>
        <v>65805</v>
      </c>
      <c r="N10299" t="s">
        <v>8139</v>
      </c>
      <c r="O10299" s="1">
        <v>13702.5</v>
      </c>
      <c r="P10299">
        <v>20181129</v>
      </c>
      <c r="Q10299" t="s">
        <v>8144</v>
      </c>
      <c r="R10299" t="s">
        <v>8153</v>
      </c>
      <c r="S10299" t="s">
        <v>8142</v>
      </c>
      <c r="T10299" t="s">
        <v>8145</v>
      </c>
    </row>
    <row r="10300" spans="1:20" x14ac:dyDescent="0.25">
      <c r="A10300">
        <v>9</v>
      </c>
      <c r="B10300">
        <v>753</v>
      </c>
      <c r="C10300" t="str">
        <f t="shared" si="2338"/>
        <v>41</v>
      </c>
      <c r="D10300">
        <v>6429</v>
      </c>
      <c r="E10300" t="str">
        <f>"00"</f>
        <v>00</v>
      </c>
      <c r="F10300" t="str">
        <f t="shared" si="2339"/>
        <v>750</v>
      </c>
      <c r="G10300">
        <v>9</v>
      </c>
      <c r="H10300" t="str">
        <f t="shared" si="2340"/>
        <v>99</v>
      </c>
      <c r="I10300" t="str">
        <f t="shared" si="2334"/>
        <v>0</v>
      </c>
      <c r="J10300" t="str">
        <f t="shared" si="2331"/>
        <v>00</v>
      </c>
      <c r="K10300">
        <v>20181214</v>
      </c>
      <c r="L10300" t="str">
        <f>"075084"</f>
        <v>075084</v>
      </c>
      <c r="M10300" t="str">
        <f t="shared" si="2337"/>
        <v>65805</v>
      </c>
      <c r="N10300" t="s">
        <v>8139</v>
      </c>
      <c r="O10300" s="1">
        <v>11512.7</v>
      </c>
      <c r="P10300">
        <v>20181213</v>
      </c>
      <c r="Q10300" t="s">
        <v>8150</v>
      </c>
      <c r="R10300" t="s">
        <v>8154</v>
      </c>
      <c r="S10300" t="s">
        <v>8142</v>
      </c>
      <c r="T10300" t="s">
        <v>8145</v>
      </c>
    </row>
    <row r="10301" spans="1:20" x14ac:dyDescent="0.25">
      <c r="A10301">
        <v>9</v>
      </c>
      <c r="B10301">
        <v>753</v>
      </c>
      <c r="C10301" t="str">
        <f t="shared" si="2338"/>
        <v>41</v>
      </c>
      <c r="D10301">
        <v>6429</v>
      </c>
      <c r="E10301" t="str">
        <f>"00"</f>
        <v>00</v>
      </c>
      <c r="F10301" t="str">
        <f t="shared" si="2339"/>
        <v>750</v>
      </c>
      <c r="G10301">
        <v>9</v>
      </c>
      <c r="H10301" t="str">
        <f t="shared" si="2340"/>
        <v>99</v>
      </c>
      <c r="I10301" t="str">
        <f t="shared" si="2334"/>
        <v>0</v>
      </c>
      <c r="J10301" t="str">
        <f t="shared" si="2331"/>
        <v>00</v>
      </c>
      <c r="K10301">
        <v>20190111</v>
      </c>
      <c r="L10301" t="str">
        <f>"075265"</f>
        <v>075265</v>
      </c>
      <c r="M10301" t="str">
        <f t="shared" si="2337"/>
        <v>65805</v>
      </c>
      <c r="N10301" t="s">
        <v>8139</v>
      </c>
      <c r="O10301" s="1">
        <v>6317.36</v>
      </c>
      <c r="P10301">
        <v>20190110</v>
      </c>
      <c r="Q10301" t="s">
        <v>8150</v>
      </c>
      <c r="R10301" t="s">
        <v>8155</v>
      </c>
      <c r="S10301" t="s">
        <v>8142</v>
      </c>
      <c r="T10301" t="s">
        <v>8145</v>
      </c>
    </row>
    <row r="10302" spans="1:20" x14ac:dyDescent="0.25">
      <c r="A10302">
        <v>9</v>
      </c>
      <c r="B10302">
        <v>753</v>
      </c>
      <c r="C10302" t="str">
        <f t="shared" si="2338"/>
        <v>41</v>
      </c>
      <c r="D10302">
        <v>6429</v>
      </c>
      <c r="E10302" t="str">
        <f>"03"</f>
        <v>03</v>
      </c>
      <c r="F10302" t="str">
        <f t="shared" si="2339"/>
        <v>750</v>
      </c>
      <c r="G10302">
        <v>9</v>
      </c>
      <c r="H10302" t="str">
        <f t="shared" si="2340"/>
        <v>99</v>
      </c>
      <c r="I10302" t="str">
        <f t="shared" si="2334"/>
        <v>0</v>
      </c>
      <c r="J10302" t="str">
        <f t="shared" si="2331"/>
        <v>00</v>
      </c>
      <c r="K10302">
        <v>20190125</v>
      </c>
      <c r="L10302" t="str">
        <f>"075406"</f>
        <v>075406</v>
      </c>
      <c r="M10302" t="str">
        <f t="shared" si="2337"/>
        <v>65805</v>
      </c>
      <c r="N10302" t="s">
        <v>8139</v>
      </c>
      <c r="O10302" s="1">
        <v>5500.83</v>
      </c>
      <c r="P10302">
        <v>20190124</v>
      </c>
      <c r="Q10302" t="s">
        <v>8156</v>
      </c>
      <c r="R10302" t="s">
        <v>8157</v>
      </c>
      <c r="S10302" t="s">
        <v>8142</v>
      </c>
      <c r="T10302" t="s">
        <v>8145</v>
      </c>
    </row>
    <row r="10303" spans="1:20" x14ac:dyDescent="0.25">
      <c r="A10303">
        <v>9</v>
      </c>
      <c r="B10303">
        <v>753</v>
      </c>
      <c r="C10303" t="str">
        <f t="shared" si="2338"/>
        <v>41</v>
      </c>
      <c r="D10303">
        <v>6299</v>
      </c>
      <c r="E10303" t="str">
        <f>"00"</f>
        <v>00</v>
      </c>
      <c r="F10303" t="str">
        <f t="shared" si="2339"/>
        <v>750</v>
      </c>
      <c r="G10303">
        <v>9</v>
      </c>
      <c r="H10303" t="str">
        <f t="shared" si="2340"/>
        <v>99</v>
      </c>
      <c r="I10303" t="str">
        <f t="shared" si="2334"/>
        <v>0</v>
      </c>
      <c r="J10303" t="str">
        <f t="shared" si="2331"/>
        <v>00</v>
      </c>
      <c r="K10303">
        <v>20190208</v>
      </c>
      <c r="L10303" t="str">
        <f>"075647"</f>
        <v>075647</v>
      </c>
      <c r="M10303" t="str">
        <f t="shared" si="2337"/>
        <v>65805</v>
      </c>
      <c r="N10303" t="s">
        <v>8139</v>
      </c>
      <c r="O10303" s="1">
        <v>13702.5</v>
      </c>
      <c r="P10303">
        <v>20190207</v>
      </c>
      <c r="Q10303" t="s">
        <v>8144</v>
      </c>
      <c r="R10303" t="s">
        <v>8158</v>
      </c>
      <c r="S10303" t="s">
        <v>8142</v>
      </c>
      <c r="T10303" t="s">
        <v>8145</v>
      </c>
    </row>
    <row r="10304" spans="1:20" x14ac:dyDescent="0.25">
      <c r="A10304">
        <v>9</v>
      </c>
      <c r="B10304">
        <v>753</v>
      </c>
      <c r="C10304" t="str">
        <f t="shared" si="2338"/>
        <v>41</v>
      </c>
      <c r="D10304">
        <v>6429</v>
      </c>
      <c r="E10304" t="str">
        <f>"00"</f>
        <v>00</v>
      </c>
      <c r="F10304" t="str">
        <f t="shared" si="2339"/>
        <v>750</v>
      </c>
      <c r="G10304">
        <v>9</v>
      </c>
      <c r="H10304" t="str">
        <f t="shared" si="2340"/>
        <v>99</v>
      </c>
      <c r="I10304" t="str">
        <f t="shared" si="2334"/>
        <v>0</v>
      </c>
      <c r="J10304" t="str">
        <f t="shared" si="2331"/>
        <v>00</v>
      </c>
      <c r="K10304">
        <v>20190215</v>
      </c>
      <c r="L10304" t="str">
        <f>"075749"</f>
        <v>075749</v>
      </c>
      <c r="M10304" t="str">
        <f t="shared" si="2337"/>
        <v>65805</v>
      </c>
      <c r="N10304" t="s">
        <v>8139</v>
      </c>
      <c r="O10304" s="1">
        <v>3159.31</v>
      </c>
      <c r="P10304">
        <v>20190213</v>
      </c>
      <c r="Q10304" t="s">
        <v>8150</v>
      </c>
      <c r="R10304" t="s">
        <v>8159</v>
      </c>
      <c r="S10304" t="s">
        <v>8142</v>
      </c>
      <c r="T10304" t="s">
        <v>8145</v>
      </c>
    </row>
    <row r="10305" spans="1:20" x14ac:dyDescent="0.25">
      <c r="A10305">
        <v>9</v>
      </c>
      <c r="B10305">
        <v>753</v>
      </c>
      <c r="C10305" t="str">
        <f t="shared" si="2338"/>
        <v>41</v>
      </c>
      <c r="D10305">
        <v>6429</v>
      </c>
      <c r="E10305" t="str">
        <f>"00"</f>
        <v>00</v>
      </c>
      <c r="F10305" t="str">
        <f t="shared" si="2339"/>
        <v>750</v>
      </c>
      <c r="G10305">
        <v>9</v>
      </c>
      <c r="H10305" t="str">
        <f t="shared" si="2340"/>
        <v>99</v>
      </c>
      <c r="I10305" t="str">
        <f t="shared" si="2334"/>
        <v>0</v>
      </c>
      <c r="J10305" t="str">
        <f t="shared" si="2331"/>
        <v>00</v>
      </c>
      <c r="K10305">
        <v>20190315</v>
      </c>
      <c r="L10305" t="str">
        <f>"076114"</f>
        <v>076114</v>
      </c>
      <c r="M10305" t="str">
        <f t="shared" si="2337"/>
        <v>65805</v>
      </c>
      <c r="N10305" t="s">
        <v>8139</v>
      </c>
      <c r="O10305" s="1">
        <v>3717.21</v>
      </c>
      <c r="P10305">
        <v>20190314</v>
      </c>
      <c r="Q10305" t="s">
        <v>8150</v>
      </c>
      <c r="R10305" t="s">
        <v>8160</v>
      </c>
      <c r="S10305" t="s">
        <v>8142</v>
      </c>
      <c r="T10305" t="s">
        <v>8145</v>
      </c>
    </row>
    <row r="10306" spans="1:20" x14ac:dyDescent="0.25">
      <c r="A10306">
        <v>9</v>
      </c>
      <c r="B10306">
        <v>753</v>
      </c>
      <c r="C10306" t="str">
        <f t="shared" si="2338"/>
        <v>41</v>
      </c>
      <c r="D10306">
        <v>6299</v>
      </c>
      <c r="E10306" t="str">
        <f>"00"</f>
        <v>00</v>
      </c>
      <c r="F10306" t="str">
        <f t="shared" si="2339"/>
        <v>750</v>
      </c>
      <c r="G10306">
        <v>9</v>
      </c>
      <c r="H10306" t="str">
        <f t="shared" si="2340"/>
        <v>99</v>
      </c>
      <c r="I10306" t="str">
        <f t="shared" si="2334"/>
        <v>0</v>
      </c>
      <c r="J10306" t="str">
        <f t="shared" si="2331"/>
        <v>00</v>
      </c>
      <c r="K10306">
        <v>20190510</v>
      </c>
      <c r="L10306" t="str">
        <f>"076801"</f>
        <v>076801</v>
      </c>
      <c r="M10306" t="str">
        <f t="shared" si="2337"/>
        <v>65805</v>
      </c>
      <c r="N10306" t="s">
        <v>8139</v>
      </c>
      <c r="O10306" s="1">
        <v>13702.5</v>
      </c>
      <c r="P10306">
        <v>20190508</v>
      </c>
      <c r="Q10306" t="s">
        <v>8144</v>
      </c>
      <c r="R10306" t="s">
        <v>8161</v>
      </c>
      <c r="S10306" t="s">
        <v>8142</v>
      </c>
      <c r="T10306" t="s">
        <v>8145</v>
      </c>
    </row>
    <row r="10307" spans="1:20" x14ac:dyDescent="0.25">
      <c r="A10307">
        <v>9</v>
      </c>
      <c r="B10307">
        <v>865</v>
      </c>
      <c r="C10307" t="str">
        <f t="shared" ref="C10307:C10314" si="2341">"36"</f>
        <v>36</v>
      </c>
      <c r="D10307">
        <v>6399</v>
      </c>
      <c r="E10307" t="str">
        <f>"7K"</f>
        <v>7K</v>
      </c>
      <c r="F10307" t="str">
        <f>"041"</f>
        <v>041</v>
      </c>
      <c r="G10307">
        <v>9</v>
      </c>
      <c r="H10307" t="str">
        <f t="shared" si="2340"/>
        <v>99</v>
      </c>
      <c r="I10307" t="str">
        <f t="shared" si="2334"/>
        <v>0</v>
      </c>
      <c r="J10307" t="str">
        <f t="shared" si="2331"/>
        <v>00</v>
      </c>
      <c r="K10307">
        <v>20180914</v>
      </c>
      <c r="L10307" t="str">
        <f>"073781"</f>
        <v>073781</v>
      </c>
      <c r="M10307" t="str">
        <f>"28733"</f>
        <v>28733</v>
      </c>
      <c r="N10307" t="s">
        <v>2223</v>
      </c>
      <c r="O10307">
        <v>75</v>
      </c>
      <c r="P10307">
        <v>20180913</v>
      </c>
      <c r="Q10307" t="s">
        <v>8162</v>
      </c>
      <c r="R10307" t="s">
        <v>1626</v>
      </c>
      <c r="S10307" t="s">
        <v>8163</v>
      </c>
      <c r="T10307" t="s">
        <v>106</v>
      </c>
    </row>
    <row r="10308" spans="1:20" x14ac:dyDescent="0.25">
      <c r="A10308">
        <v>9</v>
      </c>
      <c r="B10308">
        <v>865</v>
      </c>
      <c r="C10308" t="str">
        <f t="shared" si="2341"/>
        <v>36</v>
      </c>
      <c r="D10308">
        <v>6399</v>
      </c>
      <c r="E10308" t="str">
        <f>"7K"</f>
        <v>7K</v>
      </c>
      <c r="F10308" t="str">
        <f>"041"</f>
        <v>041</v>
      </c>
      <c r="G10308">
        <v>9</v>
      </c>
      <c r="H10308" t="str">
        <f t="shared" si="2340"/>
        <v>99</v>
      </c>
      <c r="I10308" t="str">
        <f t="shared" si="2334"/>
        <v>0</v>
      </c>
      <c r="J10308" t="str">
        <f t="shared" si="2331"/>
        <v>00</v>
      </c>
      <c r="K10308">
        <v>20180914</v>
      </c>
      <c r="L10308" t="str">
        <f>"073785"</f>
        <v>073785</v>
      </c>
      <c r="M10308" t="str">
        <f>"37801"</f>
        <v>37801</v>
      </c>
      <c r="N10308" t="s">
        <v>1624</v>
      </c>
      <c r="O10308">
        <v>140</v>
      </c>
      <c r="P10308">
        <v>20180913</v>
      </c>
      <c r="Q10308" t="s">
        <v>8162</v>
      </c>
      <c r="R10308" t="s">
        <v>1626</v>
      </c>
      <c r="S10308" t="s">
        <v>8163</v>
      </c>
      <c r="T10308" t="s">
        <v>106</v>
      </c>
    </row>
    <row r="10309" spans="1:20" x14ac:dyDescent="0.25">
      <c r="A10309">
        <v>9</v>
      </c>
      <c r="B10309">
        <v>865</v>
      </c>
      <c r="C10309" t="str">
        <f t="shared" si="2341"/>
        <v>36</v>
      </c>
      <c r="D10309">
        <v>6499</v>
      </c>
      <c r="E10309" t="str">
        <f>"8T"</f>
        <v>8T</v>
      </c>
      <c r="F10309" t="str">
        <f>"001"</f>
        <v>001</v>
      </c>
      <c r="G10309">
        <v>9</v>
      </c>
      <c r="H10309" t="str">
        <f t="shared" si="2340"/>
        <v>99</v>
      </c>
      <c r="I10309" t="str">
        <f t="shared" si="2334"/>
        <v>0</v>
      </c>
      <c r="J10309" t="str">
        <f t="shared" si="2331"/>
        <v>00</v>
      </c>
      <c r="K10309">
        <v>20180914</v>
      </c>
      <c r="L10309" t="str">
        <f>"073801"</f>
        <v>073801</v>
      </c>
      <c r="M10309" t="str">
        <f>"58204"</f>
        <v>58204</v>
      </c>
      <c r="N10309" t="s">
        <v>1767</v>
      </c>
      <c r="O10309">
        <v>109.67</v>
      </c>
      <c r="P10309">
        <v>20180913</v>
      </c>
      <c r="Q10309" t="s">
        <v>8164</v>
      </c>
      <c r="R10309" t="s">
        <v>7010</v>
      </c>
      <c r="S10309" t="s">
        <v>8163</v>
      </c>
      <c r="T10309" t="s">
        <v>301</v>
      </c>
    </row>
    <row r="10310" spans="1:20" x14ac:dyDescent="0.25">
      <c r="A10310">
        <v>9</v>
      </c>
      <c r="B10310">
        <v>865</v>
      </c>
      <c r="C10310" t="str">
        <f t="shared" si="2341"/>
        <v>36</v>
      </c>
      <c r="D10310">
        <v>6399</v>
      </c>
      <c r="E10310" t="str">
        <f>"8T"</f>
        <v>8T</v>
      </c>
      <c r="F10310" t="str">
        <f>"001"</f>
        <v>001</v>
      </c>
      <c r="G10310">
        <v>9</v>
      </c>
      <c r="H10310" t="str">
        <f t="shared" si="2340"/>
        <v>99</v>
      </c>
      <c r="I10310" t="str">
        <f t="shared" si="2334"/>
        <v>0</v>
      </c>
      <c r="J10310" t="str">
        <f t="shared" ref="J10310:J10373" si="2342">"00"</f>
        <v>00</v>
      </c>
      <c r="K10310">
        <v>20180921</v>
      </c>
      <c r="L10310" t="str">
        <f>"073905"</f>
        <v>073905</v>
      </c>
      <c r="M10310" t="str">
        <f>"58204"</f>
        <v>58204</v>
      </c>
      <c r="N10310" t="s">
        <v>1767</v>
      </c>
      <c r="O10310">
        <v>29</v>
      </c>
      <c r="P10310">
        <v>20180921</v>
      </c>
      <c r="Q10310" t="s">
        <v>8165</v>
      </c>
      <c r="R10310" t="s">
        <v>1771</v>
      </c>
      <c r="S10310" t="s">
        <v>8163</v>
      </c>
      <c r="T10310" t="s">
        <v>301</v>
      </c>
    </row>
    <row r="10311" spans="1:20" x14ac:dyDescent="0.25">
      <c r="A10311">
        <v>9</v>
      </c>
      <c r="B10311">
        <v>865</v>
      </c>
      <c r="C10311" t="str">
        <f t="shared" si="2341"/>
        <v>36</v>
      </c>
      <c r="D10311">
        <v>6399</v>
      </c>
      <c r="E10311" t="str">
        <f>"8S"</f>
        <v>8S</v>
      </c>
      <c r="F10311" t="str">
        <f>"001"</f>
        <v>001</v>
      </c>
      <c r="G10311">
        <v>9</v>
      </c>
      <c r="H10311" t="str">
        <f t="shared" si="2340"/>
        <v>99</v>
      </c>
      <c r="I10311" t="str">
        <f t="shared" ref="I10311:I10374" si="2343">"0"</f>
        <v>0</v>
      </c>
      <c r="J10311" t="str">
        <f t="shared" si="2342"/>
        <v>00</v>
      </c>
      <c r="K10311">
        <v>20180921</v>
      </c>
      <c r="L10311" t="str">
        <f>"073952"</f>
        <v>073952</v>
      </c>
      <c r="M10311" t="str">
        <f>"81269"</f>
        <v>81269</v>
      </c>
      <c r="N10311" t="s">
        <v>60</v>
      </c>
      <c r="O10311">
        <v>50</v>
      </c>
      <c r="P10311">
        <v>20180921</v>
      </c>
      <c r="Q10311" t="s">
        <v>8166</v>
      </c>
      <c r="R10311" t="s">
        <v>7040</v>
      </c>
      <c r="S10311" t="s">
        <v>8163</v>
      </c>
      <c r="T10311" t="s">
        <v>301</v>
      </c>
    </row>
    <row r="10312" spans="1:20" x14ac:dyDescent="0.25">
      <c r="A10312">
        <v>9</v>
      </c>
      <c r="B10312">
        <v>865</v>
      </c>
      <c r="C10312" t="str">
        <f t="shared" si="2341"/>
        <v>36</v>
      </c>
      <c r="D10312">
        <v>6399</v>
      </c>
      <c r="E10312" t="str">
        <f>"8T"</f>
        <v>8T</v>
      </c>
      <c r="F10312" t="str">
        <f>"001"</f>
        <v>001</v>
      </c>
      <c r="G10312">
        <v>9</v>
      </c>
      <c r="H10312" t="str">
        <f t="shared" si="2340"/>
        <v>99</v>
      </c>
      <c r="I10312" t="str">
        <f t="shared" si="2343"/>
        <v>0</v>
      </c>
      <c r="J10312" t="str">
        <f t="shared" si="2342"/>
        <v>00</v>
      </c>
      <c r="K10312">
        <v>20180921</v>
      </c>
      <c r="L10312" t="str">
        <f>"073952"</f>
        <v>073952</v>
      </c>
      <c r="M10312" t="str">
        <f>"81269"</f>
        <v>81269</v>
      </c>
      <c r="N10312" t="s">
        <v>60</v>
      </c>
      <c r="O10312">
        <v>50</v>
      </c>
      <c r="P10312">
        <v>20180921</v>
      </c>
      <c r="Q10312" t="s">
        <v>8165</v>
      </c>
      <c r="R10312" t="s">
        <v>7040</v>
      </c>
      <c r="S10312" t="s">
        <v>8163</v>
      </c>
      <c r="T10312" t="s">
        <v>301</v>
      </c>
    </row>
    <row r="10313" spans="1:20" x14ac:dyDescent="0.25">
      <c r="A10313">
        <v>9</v>
      </c>
      <c r="B10313">
        <v>865</v>
      </c>
      <c r="C10313" t="str">
        <f t="shared" si="2341"/>
        <v>36</v>
      </c>
      <c r="D10313">
        <v>6399</v>
      </c>
      <c r="E10313" t="str">
        <f>"TS"</f>
        <v>TS</v>
      </c>
      <c r="F10313" t="str">
        <f>"001"</f>
        <v>001</v>
      </c>
      <c r="G10313">
        <v>9</v>
      </c>
      <c r="H10313" t="str">
        <f t="shared" si="2340"/>
        <v>99</v>
      </c>
      <c r="I10313" t="str">
        <f t="shared" si="2343"/>
        <v>0</v>
      </c>
      <c r="J10313" t="str">
        <f t="shared" si="2342"/>
        <v>00</v>
      </c>
      <c r="K10313">
        <v>20180921</v>
      </c>
      <c r="L10313" t="str">
        <f>"073952"</f>
        <v>073952</v>
      </c>
      <c r="M10313" t="str">
        <f>"81269"</f>
        <v>81269</v>
      </c>
      <c r="N10313" t="s">
        <v>60</v>
      </c>
      <c r="O10313">
        <v>50</v>
      </c>
      <c r="P10313">
        <v>20180921</v>
      </c>
      <c r="Q10313" t="s">
        <v>8167</v>
      </c>
      <c r="R10313" t="s">
        <v>7040</v>
      </c>
      <c r="S10313" t="s">
        <v>8163</v>
      </c>
      <c r="T10313" t="s">
        <v>301</v>
      </c>
    </row>
    <row r="10314" spans="1:20" x14ac:dyDescent="0.25">
      <c r="A10314">
        <v>9</v>
      </c>
      <c r="B10314">
        <v>865</v>
      </c>
      <c r="C10314" t="str">
        <f t="shared" si="2341"/>
        <v>36</v>
      </c>
      <c r="D10314">
        <v>6499</v>
      </c>
      <c r="E10314" t="str">
        <f>"8E"</f>
        <v>8E</v>
      </c>
      <c r="F10314" t="str">
        <f>"041"</f>
        <v>041</v>
      </c>
      <c r="G10314">
        <v>9</v>
      </c>
      <c r="H10314" t="str">
        <f t="shared" si="2340"/>
        <v>99</v>
      </c>
      <c r="I10314" t="str">
        <f t="shared" si="2343"/>
        <v>0</v>
      </c>
      <c r="J10314" t="str">
        <f t="shared" si="2342"/>
        <v>00</v>
      </c>
      <c r="K10314">
        <v>20180928</v>
      </c>
      <c r="L10314" t="str">
        <f>"074015"</f>
        <v>074015</v>
      </c>
      <c r="M10314" t="str">
        <f>"55881"</f>
        <v>55881</v>
      </c>
      <c r="N10314" t="s">
        <v>3436</v>
      </c>
      <c r="O10314">
        <v>-385</v>
      </c>
      <c r="P10314">
        <v>20180928</v>
      </c>
      <c r="Q10314" t="s">
        <v>8168</v>
      </c>
      <c r="R10314" t="s">
        <v>412</v>
      </c>
      <c r="S10314" t="s">
        <v>8163</v>
      </c>
      <c r="T10314" t="s">
        <v>106</v>
      </c>
    </row>
    <row r="10315" spans="1:20" x14ac:dyDescent="0.25">
      <c r="A10315">
        <v>9</v>
      </c>
      <c r="B10315">
        <v>865</v>
      </c>
      <c r="C10315" t="str">
        <f>"00"</f>
        <v>00</v>
      </c>
      <c r="D10315">
        <v>2110</v>
      </c>
      <c r="E10315" t="str">
        <f>"18"</f>
        <v>18</v>
      </c>
      <c r="F10315" t="str">
        <f>"000"</f>
        <v>000</v>
      </c>
      <c r="G10315">
        <v>9</v>
      </c>
      <c r="H10315" t="str">
        <f>"00"</f>
        <v>00</v>
      </c>
      <c r="I10315" t="str">
        <f t="shared" si="2343"/>
        <v>0</v>
      </c>
      <c r="J10315" t="str">
        <f t="shared" si="2342"/>
        <v>00</v>
      </c>
      <c r="K10315">
        <v>20180928</v>
      </c>
      <c r="L10315" t="str">
        <f>"074024"</f>
        <v>074024</v>
      </c>
      <c r="M10315" t="str">
        <f>"58211"</f>
        <v>58211</v>
      </c>
      <c r="N10315" t="s">
        <v>1472</v>
      </c>
      <c r="O10315">
        <v>-99.99</v>
      </c>
      <c r="P10315">
        <v>20180928</v>
      </c>
      <c r="Q10315" t="s">
        <v>8169</v>
      </c>
      <c r="R10315" t="s">
        <v>412</v>
      </c>
      <c r="S10315" t="s">
        <v>8163</v>
      </c>
      <c r="T10315" t="s">
        <v>296</v>
      </c>
    </row>
    <row r="10316" spans="1:20" x14ac:dyDescent="0.25">
      <c r="A10316">
        <v>9</v>
      </c>
      <c r="B10316">
        <v>865</v>
      </c>
      <c r="C10316" t="str">
        <f t="shared" ref="C10316:C10324" si="2344">"36"</f>
        <v>36</v>
      </c>
      <c r="D10316">
        <v>6399</v>
      </c>
      <c r="E10316" t="str">
        <f>"8S"</f>
        <v>8S</v>
      </c>
      <c r="F10316" t="str">
        <f>"001"</f>
        <v>001</v>
      </c>
      <c r="G10316">
        <v>9</v>
      </c>
      <c r="H10316" t="str">
        <f t="shared" ref="H10316:H10324" si="2345">"99"</f>
        <v>99</v>
      </c>
      <c r="I10316" t="str">
        <f t="shared" si="2343"/>
        <v>0</v>
      </c>
      <c r="J10316" t="str">
        <f t="shared" si="2342"/>
        <v>00</v>
      </c>
      <c r="K10316">
        <v>20180928</v>
      </c>
      <c r="L10316" t="str">
        <f>"074047"</f>
        <v>074047</v>
      </c>
      <c r="M10316" t="str">
        <f>"81269"</f>
        <v>81269</v>
      </c>
      <c r="N10316" t="s">
        <v>60</v>
      </c>
      <c r="O10316">
        <v>-50</v>
      </c>
      <c r="P10316">
        <v>20180928</v>
      </c>
      <c r="Q10316" t="s">
        <v>8166</v>
      </c>
      <c r="R10316" t="s">
        <v>412</v>
      </c>
      <c r="S10316" t="s">
        <v>8163</v>
      </c>
      <c r="T10316" t="s">
        <v>301</v>
      </c>
    </row>
    <row r="10317" spans="1:20" x14ac:dyDescent="0.25">
      <c r="A10317">
        <v>9</v>
      </c>
      <c r="B10317">
        <v>865</v>
      </c>
      <c r="C10317" t="str">
        <f t="shared" si="2344"/>
        <v>36</v>
      </c>
      <c r="D10317">
        <v>6399</v>
      </c>
      <c r="E10317" t="str">
        <f>"8P"</f>
        <v>8P</v>
      </c>
      <c r="F10317" t="str">
        <f>"041"</f>
        <v>041</v>
      </c>
      <c r="G10317">
        <v>9</v>
      </c>
      <c r="H10317" t="str">
        <f t="shared" si="2345"/>
        <v>99</v>
      </c>
      <c r="I10317" t="str">
        <f t="shared" si="2343"/>
        <v>0</v>
      </c>
      <c r="J10317" t="str">
        <f t="shared" si="2342"/>
        <v>00</v>
      </c>
      <c r="K10317">
        <v>20180928</v>
      </c>
      <c r="L10317" t="str">
        <f>"074052"</f>
        <v>074052</v>
      </c>
      <c r="M10317" t="str">
        <f>"83022"</f>
        <v>83022</v>
      </c>
      <c r="N10317" t="s">
        <v>691</v>
      </c>
      <c r="O10317">
        <v>-19.96</v>
      </c>
      <c r="P10317">
        <v>20180928</v>
      </c>
      <c r="Q10317" t="s">
        <v>8170</v>
      </c>
      <c r="R10317" t="s">
        <v>412</v>
      </c>
      <c r="S10317" t="s">
        <v>8163</v>
      </c>
      <c r="T10317" t="s">
        <v>106</v>
      </c>
    </row>
    <row r="10318" spans="1:20" x14ac:dyDescent="0.25">
      <c r="A10318">
        <v>9</v>
      </c>
      <c r="B10318">
        <v>865</v>
      </c>
      <c r="C10318" t="str">
        <f t="shared" si="2344"/>
        <v>36</v>
      </c>
      <c r="D10318">
        <v>6399</v>
      </c>
      <c r="E10318" t="str">
        <f>"8P"</f>
        <v>8P</v>
      </c>
      <c r="F10318" t="str">
        <f>"041"</f>
        <v>041</v>
      </c>
      <c r="G10318">
        <v>9</v>
      </c>
      <c r="H10318" t="str">
        <f t="shared" si="2345"/>
        <v>99</v>
      </c>
      <c r="I10318" t="str">
        <f t="shared" si="2343"/>
        <v>0</v>
      </c>
      <c r="J10318" t="str">
        <f t="shared" si="2342"/>
        <v>00</v>
      </c>
      <c r="K10318">
        <v>20180928</v>
      </c>
      <c r="L10318" t="str">
        <f>"074052"</f>
        <v>074052</v>
      </c>
      <c r="M10318" t="str">
        <f>"83022"</f>
        <v>83022</v>
      </c>
      <c r="N10318" t="s">
        <v>691</v>
      </c>
      <c r="O10318">
        <v>-327.39</v>
      </c>
      <c r="P10318">
        <v>20180928</v>
      </c>
      <c r="Q10318" t="s">
        <v>8170</v>
      </c>
      <c r="R10318" t="s">
        <v>412</v>
      </c>
      <c r="S10318" t="s">
        <v>8163</v>
      </c>
      <c r="T10318" t="s">
        <v>106</v>
      </c>
    </row>
    <row r="10319" spans="1:20" x14ac:dyDescent="0.25">
      <c r="A10319">
        <v>9</v>
      </c>
      <c r="B10319">
        <v>865</v>
      </c>
      <c r="C10319" t="str">
        <f t="shared" si="2344"/>
        <v>36</v>
      </c>
      <c r="D10319">
        <v>6399</v>
      </c>
      <c r="E10319" t="str">
        <f>"8P"</f>
        <v>8P</v>
      </c>
      <c r="F10319" t="str">
        <f>"041"</f>
        <v>041</v>
      </c>
      <c r="G10319">
        <v>9</v>
      </c>
      <c r="H10319" t="str">
        <f t="shared" si="2345"/>
        <v>99</v>
      </c>
      <c r="I10319" t="str">
        <f t="shared" si="2343"/>
        <v>0</v>
      </c>
      <c r="J10319" t="str">
        <f t="shared" si="2342"/>
        <v>00</v>
      </c>
      <c r="K10319">
        <v>20180928</v>
      </c>
      <c r="L10319" t="str">
        <f>"074086"</f>
        <v>074086</v>
      </c>
      <c r="M10319" t="str">
        <f>"83022"</f>
        <v>83022</v>
      </c>
      <c r="N10319" t="s">
        <v>691</v>
      </c>
      <c r="O10319">
        <v>19.96</v>
      </c>
      <c r="P10319">
        <v>20180928</v>
      </c>
      <c r="Q10319" t="s">
        <v>8170</v>
      </c>
      <c r="R10319" t="s">
        <v>8171</v>
      </c>
      <c r="S10319" t="s">
        <v>8163</v>
      </c>
      <c r="T10319" t="s">
        <v>106</v>
      </c>
    </row>
    <row r="10320" spans="1:20" x14ac:dyDescent="0.25">
      <c r="A10320">
        <v>9</v>
      </c>
      <c r="B10320">
        <v>865</v>
      </c>
      <c r="C10320" t="str">
        <f t="shared" si="2344"/>
        <v>36</v>
      </c>
      <c r="D10320">
        <v>6399</v>
      </c>
      <c r="E10320" t="str">
        <f>"8P"</f>
        <v>8P</v>
      </c>
      <c r="F10320" t="str">
        <f>"041"</f>
        <v>041</v>
      </c>
      <c r="G10320">
        <v>9</v>
      </c>
      <c r="H10320" t="str">
        <f t="shared" si="2345"/>
        <v>99</v>
      </c>
      <c r="I10320" t="str">
        <f t="shared" si="2343"/>
        <v>0</v>
      </c>
      <c r="J10320" t="str">
        <f t="shared" si="2342"/>
        <v>00</v>
      </c>
      <c r="K10320">
        <v>20180928</v>
      </c>
      <c r="L10320" t="str">
        <f>"074086"</f>
        <v>074086</v>
      </c>
      <c r="M10320" t="str">
        <f>"83022"</f>
        <v>83022</v>
      </c>
      <c r="N10320" t="s">
        <v>691</v>
      </c>
      <c r="O10320">
        <v>327.39</v>
      </c>
      <c r="P10320">
        <v>20180928</v>
      </c>
      <c r="Q10320" t="s">
        <v>8170</v>
      </c>
      <c r="R10320" t="s">
        <v>8171</v>
      </c>
      <c r="S10320" t="s">
        <v>8163</v>
      </c>
      <c r="T10320" t="s">
        <v>106</v>
      </c>
    </row>
    <row r="10321" spans="1:20" x14ac:dyDescent="0.25">
      <c r="A10321">
        <v>9</v>
      </c>
      <c r="B10321">
        <v>865</v>
      </c>
      <c r="C10321" t="str">
        <f t="shared" si="2344"/>
        <v>36</v>
      </c>
      <c r="D10321">
        <v>6399</v>
      </c>
      <c r="E10321" t="str">
        <f>"8P"</f>
        <v>8P</v>
      </c>
      <c r="F10321" t="str">
        <f>"001"</f>
        <v>001</v>
      </c>
      <c r="G10321">
        <v>9</v>
      </c>
      <c r="H10321" t="str">
        <f t="shared" si="2345"/>
        <v>99</v>
      </c>
      <c r="I10321" t="str">
        <f t="shared" si="2343"/>
        <v>0</v>
      </c>
      <c r="J10321" t="str">
        <f t="shared" si="2342"/>
        <v>00</v>
      </c>
      <c r="K10321">
        <v>20181005</v>
      </c>
      <c r="L10321" t="str">
        <f>"074119"</f>
        <v>074119</v>
      </c>
      <c r="M10321" t="str">
        <f>"24955"</f>
        <v>24955</v>
      </c>
      <c r="N10321" t="s">
        <v>7046</v>
      </c>
      <c r="O10321">
        <v>700</v>
      </c>
      <c r="P10321">
        <v>20181004</v>
      </c>
      <c r="Q10321" t="s">
        <v>8172</v>
      </c>
      <c r="R10321" t="s">
        <v>1771</v>
      </c>
      <c r="S10321" t="s">
        <v>8163</v>
      </c>
      <c r="T10321" t="s">
        <v>301</v>
      </c>
    </row>
    <row r="10322" spans="1:20" x14ac:dyDescent="0.25">
      <c r="A10322">
        <v>9</v>
      </c>
      <c r="B10322">
        <v>865</v>
      </c>
      <c r="C10322" t="str">
        <f t="shared" si="2344"/>
        <v>36</v>
      </c>
      <c r="D10322">
        <v>6399</v>
      </c>
      <c r="E10322" t="str">
        <f>"7B"</f>
        <v>7B</v>
      </c>
      <c r="F10322" t="str">
        <f>"041"</f>
        <v>041</v>
      </c>
      <c r="G10322">
        <v>9</v>
      </c>
      <c r="H10322" t="str">
        <f t="shared" si="2345"/>
        <v>99</v>
      </c>
      <c r="I10322" t="str">
        <f t="shared" si="2343"/>
        <v>0</v>
      </c>
      <c r="J10322" t="str">
        <f t="shared" si="2342"/>
        <v>00</v>
      </c>
      <c r="K10322">
        <v>20181005</v>
      </c>
      <c r="L10322" t="str">
        <f>"074133"</f>
        <v>074133</v>
      </c>
      <c r="M10322" t="str">
        <f>"34880"</f>
        <v>34880</v>
      </c>
      <c r="N10322" t="s">
        <v>124</v>
      </c>
      <c r="O10322" s="1">
        <v>4650.6000000000004</v>
      </c>
      <c r="P10322">
        <v>20181004</v>
      </c>
      <c r="Q10322" t="s">
        <v>8173</v>
      </c>
      <c r="R10322" t="s">
        <v>8174</v>
      </c>
      <c r="S10322" t="s">
        <v>8163</v>
      </c>
      <c r="T10322" t="s">
        <v>106</v>
      </c>
    </row>
    <row r="10323" spans="1:20" x14ac:dyDescent="0.25">
      <c r="A10323">
        <v>9</v>
      </c>
      <c r="B10323">
        <v>865</v>
      </c>
      <c r="C10323" t="str">
        <f t="shared" si="2344"/>
        <v>36</v>
      </c>
      <c r="D10323">
        <v>6499</v>
      </c>
      <c r="E10323" t="str">
        <f>"8E"</f>
        <v>8E</v>
      </c>
      <c r="F10323" t="str">
        <f>"041"</f>
        <v>041</v>
      </c>
      <c r="G10323">
        <v>9</v>
      </c>
      <c r="H10323" t="str">
        <f t="shared" si="2345"/>
        <v>99</v>
      </c>
      <c r="I10323" t="str">
        <f t="shared" si="2343"/>
        <v>0</v>
      </c>
      <c r="J10323" t="str">
        <f t="shared" si="2342"/>
        <v>00</v>
      </c>
      <c r="K10323">
        <v>20181005</v>
      </c>
      <c r="L10323" t="str">
        <f>"074156"</f>
        <v>074156</v>
      </c>
      <c r="M10323" t="str">
        <f>"55881"</f>
        <v>55881</v>
      </c>
      <c r="N10323" t="s">
        <v>3436</v>
      </c>
      <c r="O10323">
        <v>385</v>
      </c>
      <c r="P10323">
        <v>20181001</v>
      </c>
      <c r="Q10323" t="s">
        <v>8168</v>
      </c>
      <c r="R10323" t="s">
        <v>3606</v>
      </c>
      <c r="S10323" t="s">
        <v>8163</v>
      </c>
      <c r="T10323" t="s">
        <v>106</v>
      </c>
    </row>
    <row r="10324" spans="1:20" x14ac:dyDescent="0.25">
      <c r="A10324">
        <v>9</v>
      </c>
      <c r="B10324">
        <v>865</v>
      </c>
      <c r="C10324" t="str">
        <f t="shared" si="2344"/>
        <v>36</v>
      </c>
      <c r="D10324">
        <v>6495</v>
      </c>
      <c r="E10324" t="str">
        <f>"8S"</f>
        <v>8S</v>
      </c>
      <c r="F10324" t="str">
        <f>"001"</f>
        <v>001</v>
      </c>
      <c r="G10324">
        <v>9</v>
      </c>
      <c r="H10324" t="str">
        <f t="shared" si="2345"/>
        <v>99</v>
      </c>
      <c r="I10324" t="str">
        <f t="shared" si="2343"/>
        <v>0</v>
      </c>
      <c r="J10324" t="str">
        <f t="shared" si="2342"/>
        <v>00</v>
      </c>
      <c r="K10324">
        <v>20181005</v>
      </c>
      <c r="L10324" t="str">
        <f>"074157"</f>
        <v>074157</v>
      </c>
      <c r="M10324" t="str">
        <f>"54221"</f>
        <v>54221</v>
      </c>
      <c r="N10324" t="s">
        <v>2659</v>
      </c>
      <c r="O10324">
        <v>220</v>
      </c>
      <c r="P10324">
        <v>20181004</v>
      </c>
      <c r="Q10324" t="s">
        <v>8175</v>
      </c>
      <c r="R10324" t="s">
        <v>8176</v>
      </c>
      <c r="S10324" t="s">
        <v>8163</v>
      </c>
      <c r="T10324" t="s">
        <v>301</v>
      </c>
    </row>
    <row r="10325" spans="1:20" x14ac:dyDescent="0.25">
      <c r="A10325">
        <v>9</v>
      </c>
      <c r="B10325">
        <v>865</v>
      </c>
      <c r="C10325" t="str">
        <f>"00"</f>
        <v>00</v>
      </c>
      <c r="D10325">
        <v>2110</v>
      </c>
      <c r="E10325" t="str">
        <f>"18"</f>
        <v>18</v>
      </c>
      <c r="F10325" t="str">
        <f>"000"</f>
        <v>000</v>
      </c>
      <c r="G10325">
        <v>9</v>
      </c>
      <c r="H10325" t="str">
        <f>"00"</f>
        <v>00</v>
      </c>
      <c r="I10325" t="str">
        <f t="shared" si="2343"/>
        <v>0</v>
      </c>
      <c r="J10325" t="str">
        <f t="shared" si="2342"/>
        <v>00</v>
      </c>
      <c r="K10325">
        <v>20181005</v>
      </c>
      <c r="L10325" t="str">
        <f>"074168"</f>
        <v>074168</v>
      </c>
      <c r="M10325" t="str">
        <f>"58211"</f>
        <v>58211</v>
      </c>
      <c r="N10325" t="s">
        <v>1472</v>
      </c>
      <c r="O10325">
        <v>99.99</v>
      </c>
      <c r="P10325">
        <v>20181001</v>
      </c>
      <c r="Q10325" t="s">
        <v>8169</v>
      </c>
      <c r="R10325" t="s">
        <v>8177</v>
      </c>
      <c r="S10325" t="s">
        <v>8163</v>
      </c>
      <c r="T10325" t="s">
        <v>296</v>
      </c>
    </row>
    <row r="10326" spans="1:20" x14ac:dyDescent="0.25">
      <c r="A10326">
        <v>9</v>
      </c>
      <c r="B10326">
        <v>865</v>
      </c>
      <c r="C10326" t="str">
        <f>"36"</f>
        <v>36</v>
      </c>
      <c r="D10326">
        <v>6399</v>
      </c>
      <c r="E10326" t="str">
        <f>"8S"</f>
        <v>8S</v>
      </c>
      <c r="F10326" t="str">
        <f>"001"</f>
        <v>001</v>
      </c>
      <c r="G10326">
        <v>9</v>
      </c>
      <c r="H10326" t="str">
        <f>"99"</f>
        <v>99</v>
      </c>
      <c r="I10326" t="str">
        <f t="shared" si="2343"/>
        <v>0</v>
      </c>
      <c r="J10326" t="str">
        <f t="shared" si="2342"/>
        <v>00</v>
      </c>
      <c r="K10326">
        <v>20181005</v>
      </c>
      <c r="L10326" t="str">
        <f>"074201"</f>
        <v>074201</v>
      </c>
      <c r="M10326" t="str">
        <f>"81269"</f>
        <v>81269</v>
      </c>
      <c r="N10326" t="s">
        <v>60</v>
      </c>
      <c r="O10326">
        <v>50</v>
      </c>
      <c r="P10326">
        <v>20181001</v>
      </c>
      <c r="Q10326" t="s">
        <v>8166</v>
      </c>
      <c r="R10326" t="s">
        <v>7040</v>
      </c>
      <c r="S10326" t="s">
        <v>8163</v>
      </c>
      <c r="T10326" t="s">
        <v>301</v>
      </c>
    </row>
    <row r="10327" spans="1:20" x14ac:dyDescent="0.25">
      <c r="A10327">
        <v>9</v>
      </c>
      <c r="B10327">
        <v>865</v>
      </c>
      <c r="C10327" t="str">
        <f>"36"</f>
        <v>36</v>
      </c>
      <c r="D10327">
        <v>6412</v>
      </c>
      <c r="E10327" t="str">
        <f>"8S"</f>
        <v>8S</v>
      </c>
      <c r="F10327" t="str">
        <f>"001"</f>
        <v>001</v>
      </c>
      <c r="G10327">
        <v>9</v>
      </c>
      <c r="H10327" t="str">
        <f>"99"</f>
        <v>99</v>
      </c>
      <c r="I10327" t="str">
        <f t="shared" si="2343"/>
        <v>0</v>
      </c>
      <c r="J10327" t="str">
        <f t="shared" si="2342"/>
        <v>00</v>
      </c>
      <c r="K10327">
        <v>20181005</v>
      </c>
      <c r="L10327" t="str">
        <f>"074216"</f>
        <v>074216</v>
      </c>
      <c r="M10327" t="str">
        <f>"82970"</f>
        <v>82970</v>
      </c>
      <c r="N10327" t="s">
        <v>1041</v>
      </c>
      <c r="O10327" s="1">
        <v>1590</v>
      </c>
      <c r="P10327">
        <v>20181004</v>
      </c>
      <c r="Q10327" t="s">
        <v>8178</v>
      </c>
      <c r="R10327" t="s">
        <v>2084</v>
      </c>
      <c r="S10327" t="s">
        <v>8163</v>
      </c>
      <c r="T10327" t="s">
        <v>301</v>
      </c>
    </row>
    <row r="10328" spans="1:20" x14ac:dyDescent="0.25">
      <c r="A10328">
        <v>9</v>
      </c>
      <c r="B10328">
        <v>865</v>
      </c>
      <c r="C10328" t="str">
        <f>"36"</f>
        <v>36</v>
      </c>
      <c r="D10328">
        <v>6412</v>
      </c>
      <c r="E10328" t="str">
        <f>"8S"</f>
        <v>8S</v>
      </c>
      <c r="F10328" t="str">
        <f>"001"</f>
        <v>001</v>
      </c>
      <c r="G10328">
        <v>9</v>
      </c>
      <c r="H10328" t="str">
        <f>"99"</f>
        <v>99</v>
      </c>
      <c r="I10328" t="str">
        <f t="shared" si="2343"/>
        <v>0</v>
      </c>
      <c r="J10328" t="str">
        <f t="shared" si="2342"/>
        <v>00</v>
      </c>
      <c r="K10328">
        <v>20181015</v>
      </c>
      <c r="L10328" t="str">
        <f>"074216"</f>
        <v>074216</v>
      </c>
      <c r="M10328" t="str">
        <f>"82970"</f>
        <v>82970</v>
      </c>
      <c r="N10328" t="s">
        <v>1041</v>
      </c>
      <c r="O10328" s="1">
        <v>-1590</v>
      </c>
      <c r="P10328">
        <v>20181015</v>
      </c>
      <c r="Q10328" t="s">
        <v>8178</v>
      </c>
      <c r="R10328" t="s">
        <v>2085</v>
      </c>
      <c r="S10328" t="s">
        <v>8163</v>
      </c>
      <c r="T10328" t="s">
        <v>301</v>
      </c>
    </row>
    <row r="10329" spans="1:20" x14ac:dyDescent="0.25">
      <c r="A10329">
        <v>9</v>
      </c>
      <c r="B10329">
        <v>865</v>
      </c>
      <c r="C10329" t="str">
        <f>"00"</f>
        <v>00</v>
      </c>
      <c r="D10329">
        <v>2110</v>
      </c>
      <c r="E10329" t="str">
        <f>"18"</f>
        <v>18</v>
      </c>
      <c r="F10329" t="str">
        <f>"000"</f>
        <v>000</v>
      </c>
      <c r="G10329">
        <v>9</v>
      </c>
      <c r="H10329" t="str">
        <f>"00"</f>
        <v>00</v>
      </c>
      <c r="I10329" t="str">
        <f t="shared" si="2343"/>
        <v>0</v>
      </c>
      <c r="J10329" t="str">
        <f t="shared" si="2342"/>
        <v>00</v>
      </c>
      <c r="K10329">
        <v>20181012</v>
      </c>
      <c r="L10329" t="str">
        <f>"074232"</f>
        <v>074232</v>
      </c>
      <c r="M10329" t="str">
        <f>"08788"</f>
        <v>08788</v>
      </c>
      <c r="N10329" t="s">
        <v>473</v>
      </c>
      <c r="O10329" s="1">
        <v>1150.79</v>
      </c>
      <c r="P10329">
        <v>20181011</v>
      </c>
      <c r="Q10329" t="s">
        <v>8169</v>
      </c>
      <c r="R10329" t="s">
        <v>8179</v>
      </c>
      <c r="S10329" t="s">
        <v>8163</v>
      </c>
      <c r="T10329" t="s">
        <v>296</v>
      </c>
    </row>
    <row r="10330" spans="1:20" x14ac:dyDescent="0.25">
      <c r="A10330">
        <v>9</v>
      </c>
      <c r="B10330">
        <v>865</v>
      </c>
      <c r="C10330" t="str">
        <f t="shared" ref="C10330:C10393" si="2346">"36"</f>
        <v>36</v>
      </c>
      <c r="D10330">
        <v>6299</v>
      </c>
      <c r="E10330" t="str">
        <f>"8T"</f>
        <v>8T</v>
      </c>
      <c r="F10330" t="str">
        <f>"001"</f>
        <v>001</v>
      </c>
      <c r="G10330">
        <v>9</v>
      </c>
      <c r="H10330" t="str">
        <f t="shared" ref="H10330:H10393" si="2347">"99"</f>
        <v>99</v>
      </c>
      <c r="I10330" t="str">
        <f t="shared" si="2343"/>
        <v>0</v>
      </c>
      <c r="J10330" t="str">
        <f t="shared" si="2342"/>
        <v>00</v>
      </c>
      <c r="K10330">
        <v>20181012</v>
      </c>
      <c r="L10330" t="str">
        <f>"074246"</f>
        <v>074246</v>
      </c>
      <c r="M10330" t="str">
        <f>"73540"</f>
        <v>73540</v>
      </c>
      <c r="N10330" t="s">
        <v>7488</v>
      </c>
      <c r="O10330">
        <v>600</v>
      </c>
      <c r="P10330">
        <v>20181011</v>
      </c>
      <c r="Q10330" t="s">
        <v>8180</v>
      </c>
      <c r="R10330" t="s">
        <v>8181</v>
      </c>
      <c r="S10330" t="s">
        <v>8163</v>
      </c>
      <c r="T10330" t="s">
        <v>301</v>
      </c>
    </row>
    <row r="10331" spans="1:20" x14ac:dyDescent="0.25">
      <c r="A10331">
        <v>9</v>
      </c>
      <c r="B10331">
        <v>865</v>
      </c>
      <c r="C10331" t="str">
        <f t="shared" si="2346"/>
        <v>36</v>
      </c>
      <c r="D10331">
        <v>6495</v>
      </c>
      <c r="E10331" t="str">
        <f>"VL"</f>
        <v>VL</v>
      </c>
      <c r="F10331" t="str">
        <f>"001"</f>
        <v>001</v>
      </c>
      <c r="G10331">
        <v>9</v>
      </c>
      <c r="H10331" t="str">
        <f t="shared" si="2347"/>
        <v>99</v>
      </c>
      <c r="I10331" t="str">
        <f t="shared" si="2343"/>
        <v>0</v>
      </c>
      <c r="J10331" t="str">
        <f t="shared" si="2342"/>
        <v>00</v>
      </c>
      <c r="K10331">
        <v>20181012</v>
      </c>
      <c r="L10331" t="str">
        <f>"074247"</f>
        <v>074247</v>
      </c>
      <c r="M10331" t="str">
        <f>"24970"</f>
        <v>24970</v>
      </c>
      <c r="N10331" t="s">
        <v>8182</v>
      </c>
      <c r="O10331">
        <v>192</v>
      </c>
      <c r="P10331">
        <v>20181011</v>
      </c>
      <c r="Q10331" t="s">
        <v>8183</v>
      </c>
      <c r="R10331" t="s">
        <v>8184</v>
      </c>
      <c r="S10331" t="s">
        <v>8163</v>
      </c>
      <c r="T10331" t="s">
        <v>301</v>
      </c>
    </row>
    <row r="10332" spans="1:20" x14ac:dyDescent="0.25">
      <c r="A10332">
        <v>9</v>
      </c>
      <c r="B10332">
        <v>865</v>
      </c>
      <c r="C10332" t="str">
        <f t="shared" si="2346"/>
        <v>36</v>
      </c>
      <c r="D10332">
        <v>6399</v>
      </c>
      <c r="E10332" t="str">
        <f>"7B"</f>
        <v>7B</v>
      </c>
      <c r="F10332" t="str">
        <f>"041"</f>
        <v>041</v>
      </c>
      <c r="G10332">
        <v>9</v>
      </c>
      <c r="H10332" t="str">
        <f t="shared" si="2347"/>
        <v>99</v>
      </c>
      <c r="I10332" t="str">
        <f t="shared" si="2343"/>
        <v>0</v>
      </c>
      <c r="J10332" t="str">
        <f t="shared" si="2342"/>
        <v>00</v>
      </c>
      <c r="K10332">
        <v>20181012</v>
      </c>
      <c r="L10332" t="str">
        <f>"074257"</f>
        <v>074257</v>
      </c>
      <c r="M10332" t="str">
        <f>"31345"</f>
        <v>31345</v>
      </c>
      <c r="N10332" t="s">
        <v>1394</v>
      </c>
      <c r="O10332" s="1">
        <v>2883.78</v>
      </c>
      <c r="P10332">
        <v>20181011</v>
      </c>
      <c r="Q10332" t="s">
        <v>8173</v>
      </c>
      <c r="R10332" t="s">
        <v>7151</v>
      </c>
      <c r="S10332" t="s">
        <v>8163</v>
      </c>
      <c r="T10332" t="s">
        <v>106</v>
      </c>
    </row>
    <row r="10333" spans="1:20" x14ac:dyDescent="0.25">
      <c r="A10333">
        <v>9</v>
      </c>
      <c r="B10333">
        <v>865</v>
      </c>
      <c r="C10333" t="str">
        <f t="shared" si="2346"/>
        <v>36</v>
      </c>
      <c r="D10333">
        <v>6495</v>
      </c>
      <c r="E10333" t="str">
        <f>"H5"</f>
        <v>H5</v>
      </c>
      <c r="F10333" t="str">
        <f>"001"</f>
        <v>001</v>
      </c>
      <c r="G10333">
        <v>9</v>
      </c>
      <c r="H10333" t="str">
        <f t="shared" si="2347"/>
        <v>99</v>
      </c>
      <c r="I10333" t="str">
        <f t="shared" si="2343"/>
        <v>0</v>
      </c>
      <c r="J10333" t="str">
        <f t="shared" si="2342"/>
        <v>00</v>
      </c>
      <c r="K10333">
        <v>20181012</v>
      </c>
      <c r="L10333" t="str">
        <f>"074268"</f>
        <v>074268</v>
      </c>
      <c r="M10333" t="str">
        <f>"41864"</f>
        <v>41864</v>
      </c>
      <c r="N10333" t="s">
        <v>8185</v>
      </c>
      <c r="O10333">
        <v>525</v>
      </c>
      <c r="P10333">
        <v>20181011</v>
      </c>
      <c r="Q10333" t="s">
        <v>8186</v>
      </c>
      <c r="R10333" t="s">
        <v>8187</v>
      </c>
      <c r="S10333" t="s">
        <v>8163</v>
      </c>
      <c r="T10333" t="s">
        <v>301</v>
      </c>
    </row>
    <row r="10334" spans="1:20" x14ac:dyDescent="0.25">
      <c r="A10334">
        <v>9</v>
      </c>
      <c r="B10334">
        <v>865</v>
      </c>
      <c r="C10334" t="str">
        <f t="shared" si="2346"/>
        <v>36</v>
      </c>
      <c r="D10334">
        <v>6495</v>
      </c>
      <c r="E10334" t="str">
        <f>"H5"</f>
        <v>H5</v>
      </c>
      <c r="F10334" t="str">
        <f>"001"</f>
        <v>001</v>
      </c>
      <c r="G10334">
        <v>9</v>
      </c>
      <c r="H10334" t="str">
        <f t="shared" si="2347"/>
        <v>99</v>
      </c>
      <c r="I10334" t="str">
        <f t="shared" si="2343"/>
        <v>0</v>
      </c>
      <c r="J10334" t="str">
        <f t="shared" si="2342"/>
        <v>00</v>
      </c>
      <c r="K10334">
        <v>20181012</v>
      </c>
      <c r="L10334" t="str">
        <f>"074268"</f>
        <v>074268</v>
      </c>
      <c r="M10334" t="str">
        <f>"41864"</f>
        <v>41864</v>
      </c>
      <c r="N10334" t="s">
        <v>8185</v>
      </c>
      <c r="O10334">
        <v>525</v>
      </c>
      <c r="P10334">
        <v>20181011</v>
      </c>
      <c r="Q10334" t="s">
        <v>8186</v>
      </c>
      <c r="R10334" t="s">
        <v>8187</v>
      </c>
      <c r="S10334" t="s">
        <v>8163</v>
      </c>
      <c r="T10334" t="s">
        <v>301</v>
      </c>
    </row>
    <row r="10335" spans="1:20" x14ac:dyDescent="0.25">
      <c r="A10335">
        <v>9</v>
      </c>
      <c r="B10335">
        <v>865</v>
      </c>
      <c r="C10335" t="str">
        <f t="shared" si="2346"/>
        <v>36</v>
      </c>
      <c r="D10335">
        <v>6399</v>
      </c>
      <c r="E10335" t="str">
        <f>"30"</f>
        <v>30</v>
      </c>
      <c r="F10335" t="str">
        <f>"002"</f>
        <v>002</v>
      </c>
      <c r="G10335">
        <v>9</v>
      </c>
      <c r="H10335" t="str">
        <f t="shared" si="2347"/>
        <v>99</v>
      </c>
      <c r="I10335" t="str">
        <f t="shared" si="2343"/>
        <v>0</v>
      </c>
      <c r="J10335" t="str">
        <f t="shared" si="2342"/>
        <v>00</v>
      </c>
      <c r="K10335">
        <v>20181012</v>
      </c>
      <c r="L10335" t="str">
        <f>"074285"</f>
        <v>074285</v>
      </c>
      <c r="M10335" t="str">
        <f>"58211"</f>
        <v>58211</v>
      </c>
      <c r="N10335" t="s">
        <v>1472</v>
      </c>
      <c r="O10335">
        <v>240</v>
      </c>
      <c r="P10335">
        <v>20181011</v>
      </c>
      <c r="Q10335" t="s">
        <v>8188</v>
      </c>
      <c r="R10335" t="s">
        <v>8189</v>
      </c>
      <c r="S10335" t="s">
        <v>8163</v>
      </c>
      <c r="T10335" t="s">
        <v>1485</v>
      </c>
    </row>
    <row r="10336" spans="1:20" x14ac:dyDescent="0.25">
      <c r="A10336">
        <v>9</v>
      </c>
      <c r="B10336">
        <v>865</v>
      </c>
      <c r="C10336" t="str">
        <f t="shared" si="2346"/>
        <v>36</v>
      </c>
      <c r="D10336">
        <v>6399</v>
      </c>
      <c r="E10336" t="str">
        <f>"30"</f>
        <v>30</v>
      </c>
      <c r="F10336" t="str">
        <f>"002"</f>
        <v>002</v>
      </c>
      <c r="G10336">
        <v>9</v>
      </c>
      <c r="H10336" t="str">
        <f t="shared" si="2347"/>
        <v>99</v>
      </c>
      <c r="I10336" t="str">
        <f t="shared" si="2343"/>
        <v>0</v>
      </c>
      <c r="J10336" t="str">
        <f t="shared" si="2342"/>
        <v>00</v>
      </c>
      <c r="K10336">
        <v>20181012</v>
      </c>
      <c r="L10336" t="str">
        <f>"074285"</f>
        <v>074285</v>
      </c>
      <c r="M10336" t="str">
        <f>"58211"</f>
        <v>58211</v>
      </c>
      <c r="N10336" t="s">
        <v>1472</v>
      </c>
      <c r="O10336">
        <v>48.98</v>
      </c>
      <c r="P10336">
        <v>20181011</v>
      </c>
      <c r="Q10336" t="s">
        <v>8188</v>
      </c>
      <c r="R10336" t="s">
        <v>1771</v>
      </c>
      <c r="S10336" t="s">
        <v>8163</v>
      </c>
      <c r="T10336" t="s">
        <v>1485</v>
      </c>
    </row>
    <row r="10337" spans="1:20" x14ac:dyDescent="0.25">
      <c r="A10337">
        <v>9</v>
      </c>
      <c r="B10337">
        <v>865</v>
      </c>
      <c r="C10337" t="str">
        <f t="shared" si="2346"/>
        <v>36</v>
      </c>
      <c r="D10337">
        <v>6399</v>
      </c>
      <c r="E10337" t="str">
        <f>"8T"</f>
        <v>8T</v>
      </c>
      <c r="F10337" t="str">
        <f>"001"</f>
        <v>001</v>
      </c>
      <c r="G10337">
        <v>9</v>
      </c>
      <c r="H10337" t="str">
        <f t="shared" si="2347"/>
        <v>99</v>
      </c>
      <c r="I10337" t="str">
        <f t="shared" si="2343"/>
        <v>0</v>
      </c>
      <c r="J10337" t="str">
        <f t="shared" si="2342"/>
        <v>00</v>
      </c>
      <c r="K10337">
        <v>20181019</v>
      </c>
      <c r="L10337" t="str">
        <f>"074340"</f>
        <v>074340</v>
      </c>
      <c r="M10337" t="str">
        <f>"05530"</f>
        <v>05530</v>
      </c>
      <c r="N10337" t="s">
        <v>947</v>
      </c>
      <c r="O10337">
        <v>717.9</v>
      </c>
      <c r="P10337">
        <v>20181017</v>
      </c>
      <c r="Q10337" t="s">
        <v>8165</v>
      </c>
      <c r="R10337" t="s">
        <v>8190</v>
      </c>
      <c r="S10337" t="s">
        <v>8163</v>
      </c>
      <c r="T10337" t="s">
        <v>301</v>
      </c>
    </row>
    <row r="10338" spans="1:20" x14ac:dyDescent="0.25">
      <c r="A10338">
        <v>9</v>
      </c>
      <c r="B10338">
        <v>865</v>
      </c>
      <c r="C10338" t="str">
        <f t="shared" si="2346"/>
        <v>36</v>
      </c>
      <c r="D10338">
        <v>6399</v>
      </c>
      <c r="E10338" t="str">
        <f>"7K"</f>
        <v>7K</v>
      </c>
      <c r="F10338" t="str">
        <f>"041"</f>
        <v>041</v>
      </c>
      <c r="G10338">
        <v>9</v>
      </c>
      <c r="H10338" t="str">
        <f t="shared" si="2347"/>
        <v>99</v>
      </c>
      <c r="I10338" t="str">
        <f t="shared" si="2343"/>
        <v>0</v>
      </c>
      <c r="J10338" t="str">
        <f t="shared" si="2342"/>
        <v>00</v>
      </c>
      <c r="K10338">
        <v>20181019</v>
      </c>
      <c r="L10338" t="str">
        <f>"074366"</f>
        <v>074366</v>
      </c>
      <c r="M10338" t="str">
        <f>"28733"</f>
        <v>28733</v>
      </c>
      <c r="N10338" t="s">
        <v>2223</v>
      </c>
      <c r="O10338">
        <v>285</v>
      </c>
      <c r="P10338">
        <v>20181018</v>
      </c>
      <c r="Q10338" t="s">
        <v>8162</v>
      </c>
      <c r="R10338" t="s">
        <v>2231</v>
      </c>
      <c r="S10338" t="s">
        <v>8163</v>
      </c>
      <c r="T10338" t="s">
        <v>106</v>
      </c>
    </row>
    <row r="10339" spans="1:20" x14ac:dyDescent="0.25">
      <c r="A10339">
        <v>9</v>
      </c>
      <c r="B10339">
        <v>865</v>
      </c>
      <c r="C10339" t="str">
        <f t="shared" si="2346"/>
        <v>36</v>
      </c>
      <c r="D10339">
        <v>6399</v>
      </c>
      <c r="E10339" t="str">
        <f>"7K"</f>
        <v>7K</v>
      </c>
      <c r="F10339" t="str">
        <f>"041"</f>
        <v>041</v>
      </c>
      <c r="G10339">
        <v>9</v>
      </c>
      <c r="H10339" t="str">
        <f t="shared" si="2347"/>
        <v>99</v>
      </c>
      <c r="I10339" t="str">
        <f t="shared" si="2343"/>
        <v>0</v>
      </c>
      <c r="J10339" t="str">
        <f t="shared" si="2342"/>
        <v>00</v>
      </c>
      <c r="K10339">
        <v>20181019</v>
      </c>
      <c r="L10339" t="str">
        <f>"074372"</f>
        <v>074372</v>
      </c>
      <c r="M10339" t="str">
        <f>"34949"</f>
        <v>34949</v>
      </c>
      <c r="N10339" t="s">
        <v>423</v>
      </c>
      <c r="O10339">
        <v>644</v>
      </c>
      <c r="P10339">
        <v>20181018</v>
      </c>
      <c r="Q10339" t="s">
        <v>8162</v>
      </c>
      <c r="R10339" t="s">
        <v>2231</v>
      </c>
      <c r="S10339" t="s">
        <v>8163</v>
      </c>
      <c r="T10339" t="s">
        <v>106</v>
      </c>
    </row>
    <row r="10340" spans="1:20" x14ac:dyDescent="0.25">
      <c r="A10340">
        <v>9</v>
      </c>
      <c r="B10340">
        <v>865</v>
      </c>
      <c r="C10340" t="str">
        <f t="shared" si="2346"/>
        <v>36</v>
      </c>
      <c r="D10340">
        <v>6399</v>
      </c>
      <c r="E10340" t="str">
        <f>"8T"</f>
        <v>8T</v>
      </c>
      <c r="F10340" t="str">
        <f>"001"</f>
        <v>001</v>
      </c>
      <c r="G10340">
        <v>9</v>
      </c>
      <c r="H10340" t="str">
        <f t="shared" si="2347"/>
        <v>99</v>
      </c>
      <c r="I10340" t="str">
        <f t="shared" si="2343"/>
        <v>0</v>
      </c>
      <c r="J10340" t="str">
        <f t="shared" si="2342"/>
        <v>00</v>
      </c>
      <c r="K10340">
        <v>20181019</v>
      </c>
      <c r="L10340" t="str">
        <f>"074394"</f>
        <v>074394</v>
      </c>
      <c r="M10340" t="str">
        <f>"56564"</f>
        <v>56564</v>
      </c>
      <c r="N10340" t="s">
        <v>4765</v>
      </c>
      <c r="O10340">
        <v>178.17</v>
      </c>
      <c r="P10340">
        <v>20181017</v>
      </c>
      <c r="Q10340" t="s">
        <v>8165</v>
      </c>
      <c r="R10340" t="s">
        <v>8191</v>
      </c>
      <c r="S10340" t="s">
        <v>8163</v>
      </c>
      <c r="T10340" t="s">
        <v>301</v>
      </c>
    </row>
    <row r="10341" spans="1:20" x14ac:dyDescent="0.25">
      <c r="A10341">
        <v>9</v>
      </c>
      <c r="B10341">
        <v>865</v>
      </c>
      <c r="C10341" t="str">
        <f t="shared" si="2346"/>
        <v>36</v>
      </c>
      <c r="D10341">
        <v>6399</v>
      </c>
      <c r="E10341" t="str">
        <f>"8T"</f>
        <v>8T</v>
      </c>
      <c r="F10341" t="str">
        <f>"001"</f>
        <v>001</v>
      </c>
      <c r="G10341">
        <v>9</v>
      </c>
      <c r="H10341" t="str">
        <f t="shared" si="2347"/>
        <v>99</v>
      </c>
      <c r="I10341" t="str">
        <f t="shared" si="2343"/>
        <v>0</v>
      </c>
      <c r="J10341" t="str">
        <f t="shared" si="2342"/>
        <v>00</v>
      </c>
      <c r="K10341">
        <v>20181019</v>
      </c>
      <c r="L10341" t="str">
        <f>"074394"</f>
        <v>074394</v>
      </c>
      <c r="M10341" t="str">
        <f>"56564"</f>
        <v>56564</v>
      </c>
      <c r="N10341" t="s">
        <v>4765</v>
      </c>
      <c r="O10341">
        <v>151.96</v>
      </c>
      <c r="P10341">
        <v>20181017</v>
      </c>
      <c r="Q10341" t="s">
        <v>8165</v>
      </c>
      <c r="R10341" t="s">
        <v>8192</v>
      </c>
      <c r="S10341" t="s">
        <v>8163</v>
      </c>
      <c r="T10341" t="s">
        <v>301</v>
      </c>
    </row>
    <row r="10342" spans="1:20" x14ac:dyDescent="0.25">
      <c r="A10342">
        <v>9</v>
      </c>
      <c r="B10342">
        <v>865</v>
      </c>
      <c r="C10342" t="str">
        <f t="shared" si="2346"/>
        <v>36</v>
      </c>
      <c r="D10342">
        <v>6399</v>
      </c>
      <c r="E10342" t="str">
        <f>"8T"</f>
        <v>8T</v>
      </c>
      <c r="F10342" t="str">
        <f>"001"</f>
        <v>001</v>
      </c>
      <c r="G10342">
        <v>9</v>
      </c>
      <c r="H10342" t="str">
        <f t="shared" si="2347"/>
        <v>99</v>
      </c>
      <c r="I10342" t="str">
        <f t="shared" si="2343"/>
        <v>0</v>
      </c>
      <c r="J10342" t="str">
        <f t="shared" si="2342"/>
        <v>00</v>
      </c>
      <c r="K10342">
        <v>20181019</v>
      </c>
      <c r="L10342" t="str">
        <f>"074394"</f>
        <v>074394</v>
      </c>
      <c r="M10342" t="str">
        <f>"56564"</f>
        <v>56564</v>
      </c>
      <c r="N10342" t="s">
        <v>4765</v>
      </c>
      <c r="O10342">
        <v>72.08</v>
      </c>
      <c r="P10342">
        <v>20181017</v>
      </c>
      <c r="Q10342" t="s">
        <v>8165</v>
      </c>
      <c r="R10342" t="s">
        <v>8193</v>
      </c>
      <c r="S10342" t="s">
        <v>8163</v>
      </c>
      <c r="T10342" t="s">
        <v>301</v>
      </c>
    </row>
    <row r="10343" spans="1:20" x14ac:dyDescent="0.25">
      <c r="A10343">
        <v>9</v>
      </c>
      <c r="B10343">
        <v>865</v>
      </c>
      <c r="C10343" t="str">
        <f t="shared" si="2346"/>
        <v>36</v>
      </c>
      <c r="D10343">
        <v>6399</v>
      </c>
      <c r="E10343" t="str">
        <f>"30"</f>
        <v>30</v>
      </c>
      <c r="F10343" t="str">
        <f>"002"</f>
        <v>002</v>
      </c>
      <c r="G10343">
        <v>9</v>
      </c>
      <c r="H10343" t="str">
        <f t="shared" si="2347"/>
        <v>99</v>
      </c>
      <c r="I10343" t="str">
        <f t="shared" si="2343"/>
        <v>0</v>
      </c>
      <c r="J10343" t="str">
        <f t="shared" si="2342"/>
        <v>00</v>
      </c>
      <c r="K10343">
        <v>20181019</v>
      </c>
      <c r="L10343" t="str">
        <f>"074406"</f>
        <v>074406</v>
      </c>
      <c r="M10343" t="str">
        <f>"65106"</f>
        <v>65106</v>
      </c>
      <c r="N10343" t="s">
        <v>1175</v>
      </c>
      <c r="O10343">
        <v>59.18</v>
      </c>
      <c r="P10343">
        <v>20181017</v>
      </c>
      <c r="Q10343" t="s">
        <v>8188</v>
      </c>
      <c r="R10343" t="s">
        <v>641</v>
      </c>
      <c r="S10343" t="s">
        <v>8163</v>
      </c>
      <c r="T10343" t="s">
        <v>1485</v>
      </c>
    </row>
    <row r="10344" spans="1:20" x14ac:dyDescent="0.25">
      <c r="A10344">
        <v>9</v>
      </c>
      <c r="B10344">
        <v>865</v>
      </c>
      <c r="C10344" t="str">
        <f t="shared" si="2346"/>
        <v>36</v>
      </c>
      <c r="D10344">
        <v>6399</v>
      </c>
      <c r="E10344" t="str">
        <f>"8T"</f>
        <v>8T</v>
      </c>
      <c r="F10344" t="str">
        <f>"001"</f>
        <v>001</v>
      </c>
      <c r="G10344">
        <v>9</v>
      </c>
      <c r="H10344" t="str">
        <f t="shared" si="2347"/>
        <v>99</v>
      </c>
      <c r="I10344" t="str">
        <f t="shared" si="2343"/>
        <v>0</v>
      </c>
      <c r="J10344" t="str">
        <f t="shared" si="2342"/>
        <v>00</v>
      </c>
      <c r="K10344">
        <v>20181019</v>
      </c>
      <c r="L10344" t="str">
        <f>"074406"</f>
        <v>074406</v>
      </c>
      <c r="M10344" t="str">
        <f>"65106"</f>
        <v>65106</v>
      </c>
      <c r="N10344" t="s">
        <v>1175</v>
      </c>
      <c r="O10344">
        <v>202.31</v>
      </c>
      <c r="P10344">
        <v>20181017</v>
      </c>
      <c r="Q10344" t="s">
        <v>8165</v>
      </c>
      <c r="R10344" t="s">
        <v>7137</v>
      </c>
      <c r="S10344" t="s">
        <v>8163</v>
      </c>
      <c r="T10344" t="s">
        <v>301</v>
      </c>
    </row>
    <row r="10345" spans="1:20" x14ac:dyDescent="0.25">
      <c r="A10345">
        <v>9</v>
      </c>
      <c r="B10345">
        <v>865</v>
      </c>
      <c r="C10345" t="str">
        <f t="shared" si="2346"/>
        <v>36</v>
      </c>
      <c r="D10345">
        <v>6412</v>
      </c>
      <c r="E10345" t="str">
        <f>"8T"</f>
        <v>8T</v>
      </c>
      <c r="F10345" t="str">
        <f>"001"</f>
        <v>001</v>
      </c>
      <c r="G10345">
        <v>9</v>
      </c>
      <c r="H10345" t="str">
        <f t="shared" si="2347"/>
        <v>99</v>
      </c>
      <c r="I10345" t="str">
        <f t="shared" si="2343"/>
        <v>0</v>
      </c>
      <c r="J10345" t="str">
        <f t="shared" si="2342"/>
        <v>00</v>
      </c>
      <c r="K10345">
        <v>20181019</v>
      </c>
      <c r="L10345" t="str">
        <f>"074423"</f>
        <v>074423</v>
      </c>
      <c r="M10345" t="str">
        <f>"82970"</f>
        <v>82970</v>
      </c>
      <c r="N10345" t="s">
        <v>1041</v>
      </c>
      <c r="O10345">
        <v>300</v>
      </c>
      <c r="P10345">
        <v>20181018</v>
      </c>
      <c r="Q10345" t="s">
        <v>8194</v>
      </c>
      <c r="R10345" t="s">
        <v>8195</v>
      </c>
      <c r="S10345" t="s">
        <v>8163</v>
      </c>
      <c r="T10345" t="s">
        <v>301</v>
      </c>
    </row>
    <row r="10346" spans="1:20" x14ac:dyDescent="0.25">
      <c r="A10346">
        <v>9</v>
      </c>
      <c r="B10346">
        <v>865</v>
      </c>
      <c r="C10346" t="str">
        <f t="shared" si="2346"/>
        <v>36</v>
      </c>
      <c r="D10346">
        <v>6399</v>
      </c>
      <c r="E10346" t="str">
        <f>"7B"</f>
        <v>7B</v>
      </c>
      <c r="F10346" t="str">
        <f>"041"</f>
        <v>041</v>
      </c>
      <c r="G10346">
        <v>9</v>
      </c>
      <c r="H10346" t="str">
        <f t="shared" si="2347"/>
        <v>99</v>
      </c>
      <c r="I10346" t="str">
        <f t="shared" si="2343"/>
        <v>0</v>
      </c>
      <c r="J10346" t="str">
        <f t="shared" si="2342"/>
        <v>00</v>
      </c>
      <c r="K10346">
        <v>20181102</v>
      </c>
      <c r="L10346" t="str">
        <f>"074443"</f>
        <v>074443</v>
      </c>
      <c r="M10346" t="str">
        <f>"11066"</f>
        <v>11066</v>
      </c>
      <c r="N10346" t="s">
        <v>8196</v>
      </c>
      <c r="O10346" s="1">
        <v>7500</v>
      </c>
      <c r="P10346">
        <v>20181031</v>
      </c>
      <c r="Q10346" t="s">
        <v>8173</v>
      </c>
      <c r="R10346" t="s">
        <v>8197</v>
      </c>
      <c r="S10346" t="s">
        <v>8163</v>
      </c>
      <c r="T10346" t="s">
        <v>106</v>
      </c>
    </row>
    <row r="10347" spans="1:20" x14ac:dyDescent="0.25">
      <c r="A10347">
        <v>9</v>
      </c>
      <c r="B10347">
        <v>865</v>
      </c>
      <c r="C10347" t="str">
        <f t="shared" si="2346"/>
        <v>36</v>
      </c>
      <c r="D10347">
        <v>6399</v>
      </c>
      <c r="E10347" t="str">
        <f>"8P"</f>
        <v>8P</v>
      </c>
      <c r="F10347" t="str">
        <f>"041"</f>
        <v>041</v>
      </c>
      <c r="G10347">
        <v>9</v>
      </c>
      <c r="H10347" t="str">
        <f t="shared" si="2347"/>
        <v>99</v>
      </c>
      <c r="I10347" t="str">
        <f t="shared" si="2343"/>
        <v>0</v>
      </c>
      <c r="J10347" t="str">
        <f t="shared" si="2342"/>
        <v>00</v>
      </c>
      <c r="K10347">
        <v>20181102</v>
      </c>
      <c r="L10347" t="str">
        <f>"074446"</f>
        <v>074446</v>
      </c>
      <c r="M10347" t="str">
        <f>"11217"</f>
        <v>11217</v>
      </c>
      <c r="N10347" t="s">
        <v>7069</v>
      </c>
      <c r="O10347">
        <v>516</v>
      </c>
      <c r="P10347">
        <v>20181031</v>
      </c>
      <c r="Q10347" t="s">
        <v>8170</v>
      </c>
      <c r="R10347" t="s">
        <v>8198</v>
      </c>
      <c r="S10347" t="s">
        <v>8163</v>
      </c>
      <c r="T10347" t="s">
        <v>106</v>
      </c>
    </row>
    <row r="10348" spans="1:20" x14ac:dyDescent="0.25">
      <c r="A10348">
        <v>9</v>
      </c>
      <c r="B10348">
        <v>865</v>
      </c>
      <c r="C10348" t="str">
        <f t="shared" si="2346"/>
        <v>36</v>
      </c>
      <c r="D10348">
        <v>6399</v>
      </c>
      <c r="E10348" t="str">
        <f>"8P"</f>
        <v>8P</v>
      </c>
      <c r="F10348" t="str">
        <f>"001"</f>
        <v>001</v>
      </c>
      <c r="G10348">
        <v>9</v>
      </c>
      <c r="H10348" t="str">
        <f t="shared" si="2347"/>
        <v>99</v>
      </c>
      <c r="I10348" t="str">
        <f t="shared" si="2343"/>
        <v>0</v>
      </c>
      <c r="J10348" t="str">
        <f t="shared" si="2342"/>
        <v>00</v>
      </c>
      <c r="K10348">
        <v>20181102</v>
      </c>
      <c r="L10348" t="str">
        <f>"074464"</f>
        <v>074464</v>
      </c>
      <c r="M10348" t="str">
        <f>"24955"</f>
        <v>24955</v>
      </c>
      <c r="N10348" t="s">
        <v>7046</v>
      </c>
      <c r="O10348">
        <v>300</v>
      </c>
      <c r="P10348">
        <v>20181031</v>
      </c>
      <c r="Q10348" t="s">
        <v>8172</v>
      </c>
      <c r="R10348" t="s">
        <v>8199</v>
      </c>
      <c r="S10348" t="s">
        <v>8163</v>
      </c>
      <c r="T10348" t="s">
        <v>301</v>
      </c>
    </row>
    <row r="10349" spans="1:20" x14ac:dyDescent="0.25">
      <c r="A10349">
        <v>9</v>
      </c>
      <c r="B10349">
        <v>865</v>
      </c>
      <c r="C10349" t="str">
        <f t="shared" si="2346"/>
        <v>36</v>
      </c>
      <c r="D10349">
        <v>6495</v>
      </c>
      <c r="E10349" t="str">
        <f>"VL"</f>
        <v>VL</v>
      </c>
      <c r="F10349" t="str">
        <f>"001"</f>
        <v>001</v>
      </c>
      <c r="G10349">
        <v>9</v>
      </c>
      <c r="H10349" t="str">
        <f t="shared" si="2347"/>
        <v>99</v>
      </c>
      <c r="I10349" t="str">
        <f t="shared" si="2343"/>
        <v>0</v>
      </c>
      <c r="J10349" t="str">
        <f t="shared" si="2342"/>
        <v>00</v>
      </c>
      <c r="K10349">
        <v>20181102</v>
      </c>
      <c r="L10349" t="str">
        <f>"074465"</f>
        <v>074465</v>
      </c>
      <c r="M10349" t="str">
        <f>"24970"</f>
        <v>24970</v>
      </c>
      <c r="N10349" t="s">
        <v>8182</v>
      </c>
      <c r="O10349">
        <v>16</v>
      </c>
      <c r="P10349">
        <v>20181031</v>
      </c>
      <c r="Q10349" t="s">
        <v>8183</v>
      </c>
      <c r="R10349" t="s">
        <v>8184</v>
      </c>
      <c r="S10349" t="s">
        <v>8163</v>
      </c>
      <c r="T10349" t="s">
        <v>301</v>
      </c>
    </row>
    <row r="10350" spans="1:20" x14ac:dyDescent="0.25">
      <c r="A10350">
        <v>9</v>
      </c>
      <c r="B10350">
        <v>865</v>
      </c>
      <c r="C10350" t="str">
        <f t="shared" si="2346"/>
        <v>36</v>
      </c>
      <c r="D10350">
        <v>6299</v>
      </c>
      <c r="E10350" t="str">
        <f>"8S"</f>
        <v>8S</v>
      </c>
      <c r="F10350" t="str">
        <f>"001"</f>
        <v>001</v>
      </c>
      <c r="G10350">
        <v>9</v>
      </c>
      <c r="H10350" t="str">
        <f t="shared" si="2347"/>
        <v>99</v>
      </c>
      <c r="I10350" t="str">
        <f t="shared" si="2343"/>
        <v>0</v>
      </c>
      <c r="J10350" t="str">
        <f t="shared" si="2342"/>
        <v>00</v>
      </c>
      <c r="K10350">
        <v>20181102</v>
      </c>
      <c r="L10350" t="str">
        <f>"074473"</f>
        <v>074473</v>
      </c>
      <c r="M10350" t="str">
        <f>"00466"</f>
        <v>00466</v>
      </c>
      <c r="N10350" t="s">
        <v>8011</v>
      </c>
      <c r="O10350" s="1">
        <v>1000</v>
      </c>
      <c r="P10350">
        <v>20181031</v>
      </c>
      <c r="Q10350" t="s">
        <v>8200</v>
      </c>
      <c r="R10350" t="s">
        <v>8201</v>
      </c>
      <c r="S10350" t="s">
        <v>8163</v>
      </c>
      <c r="T10350" t="s">
        <v>301</v>
      </c>
    </row>
    <row r="10351" spans="1:20" x14ac:dyDescent="0.25">
      <c r="A10351">
        <v>9</v>
      </c>
      <c r="B10351">
        <v>865</v>
      </c>
      <c r="C10351" t="str">
        <f t="shared" si="2346"/>
        <v>36</v>
      </c>
      <c r="D10351">
        <v>6399</v>
      </c>
      <c r="E10351" t="str">
        <f>"TS"</f>
        <v>TS</v>
      </c>
      <c r="F10351" t="str">
        <f>"001"</f>
        <v>001</v>
      </c>
      <c r="G10351">
        <v>9</v>
      </c>
      <c r="H10351" t="str">
        <f t="shared" si="2347"/>
        <v>99</v>
      </c>
      <c r="I10351" t="str">
        <f t="shared" si="2343"/>
        <v>0</v>
      </c>
      <c r="J10351" t="str">
        <f t="shared" si="2342"/>
        <v>00</v>
      </c>
      <c r="K10351">
        <v>20181102</v>
      </c>
      <c r="L10351" t="str">
        <f>"074520"</f>
        <v>074520</v>
      </c>
      <c r="M10351" t="str">
        <f>"28572"</f>
        <v>28572</v>
      </c>
      <c r="N10351" t="s">
        <v>5118</v>
      </c>
      <c r="O10351">
        <v>116</v>
      </c>
      <c r="P10351">
        <v>20181031</v>
      </c>
      <c r="Q10351" t="s">
        <v>8167</v>
      </c>
      <c r="R10351" t="s">
        <v>8202</v>
      </c>
      <c r="S10351" t="s">
        <v>8163</v>
      </c>
      <c r="T10351" t="s">
        <v>301</v>
      </c>
    </row>
    <row r="10352" spans="1:20" x14ac:dyDescent="0.25">
      <c r="A10352">
        <v>9</v>
      </c>
      <c r="B10352">
        <v>865</v>
      </c>
      <c r="C10352" t="str">
        <f t="shared" si="2346"/>
        <v>36</v>
      </c>
      <c r="D10352">
        <v>6399</v>
      </c>
      <c r="E10352" t="str">
        <f>"8P"</f>
        <v>8P</v>
      </c>
      <c r="F10352" t="str">
        <f>"041"</f>
        <v>041</v>
      </c>
      <c r="G10352">
        <v>9</v>
      </c>
      <c r="H10352" t="str">
        <f t="shared" si="2347"/>
        <v>99</v>
      </c>
      <c r="I10352" t="str">
        <f t="shared" si="2343"/>
        <v>0</v>
      </c>
      <c r="J10352" t="str">
        <f t="shared" si="2342"/>
        <v>00</v>
      </c>
      <c r="K10352">
        <v>20181102</v>
      </c>
      <c r="L10352" t="str">
        <f>"074523"</f>
        <v>074523</v>
      </c>
      <c r="M10352" t="str">
        <f>"83022"</f>
        <v>83022</v>
      </c>
      <c r="N10352" t="s">
        <v>691</v>
      </c>
      <c r="O10352">
        <v>100.71</v>
      </c>
      <c r="P10352">
        <v>20181101</v>
      </c>
      <c r="Q10352" t="s">
        <v>8170</v>
      </c>
      <c r="R10352" t="s">
        <v>8203</v>
      </c>
      <c r="S10352" t="s">
        <v>8163</v>
      </c>
      <c r="T10352" t="s">
        <v>106</v>
      </c>
    </row>
    <row r="10353" spans="1:20" x14ac:dyDescent="0.25">
      <c r="A10353">
        <v>9</v>
      </c>
      <c r="B10353">
        <v>865</v>
      </c>
      <c r="C10353" t="str">
        <f t="shared" si="2346"/>
        <v>36</v>
      </c>
      <c r="D10353">
        <v>6399</v>
      </c>
      <c r="E10353" t="str">
        <f>"8P"</f>
        <v>8P</v>
      </c>
      <c r="F10353" t="str">
        <f>"041"</f>
        <v>041</v>
      </c>
      <c r="G10353">
        <v>9</v>
      </c>
      <c r="H10353" t="str">
        <f t="shared" si="2347"/>
        <v>99</v>
      </c>
      <c r="I10353" t="str">
        <f t="shared" si="2343"/>
        <v>0</v>
      </c>
      <c r="J10353" t="str">
        <f t="shared" si="2342"/>
        <v>00</v>
      </c>
      <c r="K10353">
        <v>20181102</v>
      </c>
      <c r="L10353" t="str">
        <f>"074523"</f>
        <v>074523</v>
      </c>
      <c r="M10353" t="str">
        <f>"83022"</f>
        <v>83022</v>
      </c>
      <c r="N10353" t="s">
        <v>691</v>
      </c>
      <c r="O10353">
        <v>42.84</v>
      </c>
      <c r="P10353">
        <v>20181101</v>
      </c>
      <c r="Q10353" t="s">
        <v>8170</v>
      </c>
      <c r="R10353" t="s">
        <v>6999</v>
      </c>
      <c r="S10353" t="s">
        <v>8163</v>
      </c>
      <c r="T10353" t="s">
        <v>106</v>
      </c>
    </row>
    <row r="10354" spans="1:20" x14ac:dyDescent="0.25">
      <c r="A10354">
        <v>9</v>
      </c>
      <c r="B10354">
        <v>865</v>
      </c>
      <c r="C10354" t="str">
        <f t="shared" si="2346"/>
        <v>36</v>
      </c>
      <c r="D10354">
        <v>6399</v>
      </c>
      <c r="E10354" t="str">
        <f>"8P"</f>
        <v>8P</v>
      </c>
      <c r="F10354" t="str">
        <f>"041"</f>
        <v>041</v>
      </c>
      <c r="G10354">
        <v>9</v>
      </c>
      <c r="H10354" t="str">
        <f t="shared" si="2347"/>
        <v>99</v>
      </c>
      <c r="I10354" t="str">
        <f t="shared" si="2343"/>
        <v>0</v>
      </c>
      <c r="J10354" t="str">
        <f t="shared" si="2342"/>
        <v>00</v>
      </c>
      <c r="K10354">
        <v>20181102</v>
      </c>
      <c r="L10354" t="str">
        <f>"074523"</f>
        <v>074523</v>
      </c>
      <c r="M10354" t="str">
        <f>"83022"</f>
        <v>83022</v>
      </c>
      <c r="N10354" t="s">
        <v>691</v>
      </c>
      <c r="O10354">
        <v>207.2</v>
      </c>
      <c r="P10354">
        <v>20181101</v>
      </c>
      <c r="Q10354" t="s">
        <v>8170</v>
      </c>
      <c r="R10354" t="s">
        <v>8204</v>
      </c>
      <c r="S10354" t="s">
        <v>8163</v>
      </c>
      <c r="T10354" t="s">
        <v>106</v>
      </c>
    </row>
    <row r="10355" spans="1:20" x14ac:dyDescent="0.25">
      <c r="A10355">
        <v>9</v>
      </c>
      <c r="B10355">
        <v>865</v>
      </c>
      <c r="C10355" t="str">
        <f t="shared" si="2346"/>
        <v>36</v>
      </c>
      <c r="D10355">
        <v>6399</v>
      </c>
      <c r="E10355" t="str">
        <f>"30"</f>
        <v>30</v>
      </c>
      <c r="F10355" t="str">
        <f>"101"</f>
        <v>101</v>
      </c>
      <c r="G10355">
        <v>9</v>
      </c>
      <c r="H10355" t="str">
        <f t="shared" si="2347"/>
        <v>99</v>
      </c>
      <c r="I10355" t="str">
        <f t="shared" si="2343"/>
        <v>0</v>
      </c>
      <c r="J10355" t="str">
        <f t="shared" si="2342"/>
        <v>00</v>
      </c>
      <c r="K10355">
        <v>20181109</v>
      </c>
      <c r="L10355" t="str">
        <f>"074593"</f>
        <v>074593</v>
      </c>
      <c r="M10355" t="str">
        <f>"37500"</f>
        <v>37500</v>
      </c>
      <c r="N10355" t="s">
        <v>2077</v>
      </c>
      <c r="O10355">
        <v>132.47999999999999</v>
      </c>
      <c r="P10355">
        <v>20181108</v>
      </c>
      <c r="Q10355" t="s">
        <v>8205</v>
      </c>
      <c r="R10355" t="s">
        <v>8206</v>
      </c>
      <c r="S10355" t="s">
        <v>8163</v>
      </c>
      <c r="T10355" t="s">
        <v>1479</v>
      </c>
    </row>
    <row r="10356" spans="1:20" x14ac:dyDescent="0.25">
      <c r="A10356">
        <v>9</v>
      </c>
      <c r="B10356">
        <v>865</v>
      </c>
      <c r="C10356" t="str">
        <f t="shared" si="2346"/>
        <v>36</v>
      </c>
      <c r="D10356">
        <v>6412</v>
      </c>
      <c r="E10356" t="str">
        <f>"7K"</f>
        <v>7K</v>
      </c>
      <c r="F10356" t="str">
        <f>"041"</f>
        <v>041</v>
      </c>
      <c r="G10356">
        <v>9</v>
      </c>
      <c r="H10356" t="str">
        <f t="shared" si="2347"/>
        <v>99</v>
      </c>
      <c r="I10356" t="str">
        <f t="shared" si="2343"/>
        <v>0</v>
      </c>
      <c r="J10356" t="str">
        <f t="shared" si="2342"/>
        <v>00</v>
      </c>
      <c r="K10356">
        <v>20181109</v>
      </c>
      <c r="L10356" t="str">
        <f>"074599"</f>
        <v>074599</v>
      </c>
      <c r="M10356" t="str">
        <f>"46348"</f>
        <v>46348</v>
      </c>
      <c r="N10356" t="s">
        <v>1631</v>
      </c>
      <c r="O10356">
        <v>345</v>
      </c>
      <c r="P10356">
        <v>20181108</v>
      </c>
      <c r="Q10356" t="s">
        <v>8207</v>
      </c>
      <c r="R10356" t="s">
        <v>2658</v>
      </c>
      <c r="S10356" t="s">
        <v>8163</v>
      </c>
      <c r="T10356" t="s">
        <v>106</v>
      </c>
    </row>
    <row r="10357" spans="1:20" x14ac:dyDescent="0.25">
      <c r="A10357">
        <v>9</v>
      </c>
      <c r="B10357">
        <v>865</v>
      </c>
      <c r="C10357" t="str">
        <f t="shared" si="2346"/>
        <v>36</v>
      </c>
      <c r="D10357">
        <v>6495</v>
      </c>
      <c r="E10357" t="str">
        <f>"8S"</f>
        <v>8S</v>
      </c>
      <c r="F10357" t="str">
        <f>"001"</f>
        <v>001</v>
      </c>
      <c r="G10357">
        <v>9</v>
      </c>
      <c r="H10357" t="str">
        <f t="shared" si="2347"/>
        <v>99</v>
      </c>
      <c r="I10357" t="str">
        <f t="shared" si="2343"/>
        <v>0</v>
      </c>
      <c r="J10357" t="str">
        <f t="shared" si="2342"/>
        <v>00</v>
      </c>
      <c r="K10357">
        <v>20181109</v>
      </c>
      <c r="L10357" t="str">
        <f>"074605"</f>
        <v>074605</v>
      </c>
      <c r="M10357" t="str">
        <f>"54221"</f>
        <v>54221</v>
      </c>
      <c r="N10357" t="s">
        <v>2659</v>
      </c>
      <c r="O10357">
        <v>219</v>
      </c>
      <c r="P10357">
        <v>20181108</v>
      </c>
      <c r="Q10357" t="s">
        <v>8175</v>
      </c>
      <c r="R10357" t="s">
        <v>8208</v>
      </c>
      <c r="S10357" t="s">
        <v>8163</v>
      </c>
      <c r="T10357" t="s">
        <v>301</v>
      </c>
    </row>
    <row r="10358" spans="1:20" x14ac:dyDescent="0.25">
      <c r="A10358">
        <v>9</v>
      </c>
      <c r="B10358">
        <v>865</v>
      </c>
      <c r="C10358" t="str">
        <f t="shared" si="2346"/>
        <v>36</v>
      </c>
      <c r="D10358">
        <v>6495</v>
      </c>
      <c r="E10358" t="str">
        <f>"8S"</f>
        <v>8S</v>
      </c>
      <c r="F10358" t="str">
        <f>"001"</f>
        <v>001</v>
      </c>
      <c r="G10358">
        <v>9</v>
      </c>
      <c r="H10358" t="str">
        <f t="shared" si="2347"/>
        <v>99</v>
      </c>
      <c r="I10358" t="str">
        <f t="shared" si="2343"/>
        <v>0</v>
      </c>
      <c r="J10358" t="str">
        <f t="shared" si="2342"/>
        <v>00</v>
      </c>
      <c r="K10358">
        <v>20181109</v>
      </c>
      <c r="L10358" t="str">
        <f>"074605"</f>
        <v>074605</v>
      </c>
      <c r="M10358" t="str">
        <f>"54221"</f>
        <v>54221</v>
      </c>
      <c r="N10358" t="s">
        <v>2659</v>
      </c>
      <c r="O10358">
        <v>180</v>
      </c>
      <c r="P10358">
        <v>20181108</v>
      </c>
      <c r="Q10358" t="s">
        <v>8175</v>
      </c>
      <c r="R10358" t="s">
        <v>2661</v>
      </c>
      <c r="S10358" t="s">
        <v>8163</v>
      </c>
      <c r="T10358" t="s">
        <v>301</v>
      </c>
    </row>
    <row r="10359" spans="1:20" x14ac:dyDescent="0.25">
      <c r="A10359">
        <v>9</v>
      </c>
      <c r="B10359">
        <v>865</v>
      </c>
      <c r="C10359" t="str">
        <f t="shared" si="2346"/>
        <v>36</v>
      </c>
      <c r="D10359">
        <v>6399</v>
      </c>
      <c r="E10359" t="str">
        <f>"30"</f>
        <v>30</v>
      </c>
      <c r="F10359" t="str">
        <f>"104"</f>
        <v>104</v>
      </c>
      <c r="G10359">
        <v>9</v>
      </c>
      <c r="H10359" t="str">
        <f t="shared" si="2347"/>
        <v>99</v>
      </c>
      <c r="I10359" t="str">
        <f t="shared" si="2343"/>
        <v>0</v>
      </c>
      <c r="J10359" t="str">
        <f t="shared" si="2342"/>
        <v>00</v>
      </c>
      <c r="K10359">
        <v>20181109</v>
      </c>
      <c r="L10359" t="str">
        <f>"074609"</f>
        <v>074609</v>
      </c>
      <c r="M10359" t="str">
        <f>"00532"</f>
        <v>00532</v>
      </c>
      <c r="N10359" t="s">
        <v>8209</v>
      </c>
      <c r="O10359">
        <v>65</v>
      </c>
      <c r="P10359">
        <v>20181108</v>
      </c>
      <c r="Q10359" t="s">
        <v>8210</v>
      </c>
      <c r="R10359" t="s">
        <v>8211</v>
      </c>
      <c r="S10359" t="s">
        <v>8163</v>
      </c>
      <c r="T10359" t="s">
        <v>46</v>
      </c>
    </row>
    <row r="10360" spans="1:20" x14ac:dyDescent="0.25">
      <c r="A10360">
        <v>9</v>
      </c>
      <c r="B10360">
        <v>865</v>
      </c>
      <c r="C10360" t="str">
        <f t="shared" si="2346"/>
        <v>36</v>
      </c>
      <c r="D10360">
        <v>6399</v>
      </c>
      <c r="E10360" t="str">
        <f>"30"</f>
        <v>30</v>
      </c>
      <c r="F10360" t="str">
        <f>"104"</f>
        <v>104</v>
      </c>
      <c r="G10360">
        <v>9</v>
      </c>
      <c r="H10360" t="str">
        <f t="shared" si="2347"/>
        <v>99</v>
      </c>
      <c r="I10360" t="str">
        <f t="shared" si="2343"/>
        <v>0</v>
      </c>
      <c r="J10360" t="str">
        <f t="shared" si="2342"/>
        <v>00</v>
      </c>
      <c r="K10360">
        <v>20181109</v>
      </c>
      <c r="L10360" t="str">
        <f>"074614"</f>
        <v>074614</v>
      </c>
      <c r="M10360" t="str">
        <f>"58201"</f>
        <v>58201</v>
      </c>
      <c r="N10360" t="s">
        <v>2662</v>
      </c>
      <c r="O10360">
        <v>50</v>
      </c>
      <c r="P10360">
        <v>20181108</v>
      </c>
      <c r="Q10360" t="s">
        <v>8210</v>
      </c>
      <c r="R10360" t="s">
        <v>8212</v>
      </c>
      <c r="S10360" t="s">
        <v>8163</v>
      </c>
      <c r="T10360" t="s">
        <v>46</v>
      </c>
    </row>
    <row r="10361" spans="1:20" x14ac:dyDescent="0.25">
      <c r="A10361">
        <v>9</v>
      </c>
      <c r="B10361">
        <v>865</v>
      </c>
      <c r="C10361" t="str">
        <f t="shared" si="2346"/>
        <v>36</v>
      </c>
      <c r="D10361">
        <v>6399</v>
      </c>
      <c r="E10361" t="str">
        <f>"8T"</f>
        <v>8T</v>
      </c>
      <c r="F10361" t="str">
        <f>"001"</f>
        <v>001</v>
      </c>
      <c r="G10361">
        <v>9</v>
      </c>
      <c r="H10361" t="str">
        <f t="shared" si="2347"/>
        <v>99</v>
      </c>
      <c r="I10361" t="str">
        <f t="shared" si="2343"/>
        <v>0</v>
      </c>
      <c r="J10361" t="str">
        <f t="shared" si="2342"/>
        <v>00</v>
      </c>
      <c r="K10361">
        <v>20181116</v>
      </c>
      <c r="L10361" t="str">
        <f>"074656"</f>
        <v>074656</v>
      </c>
      <c r="M10361" t="str">
        <f>"05530"</f>
        <v>05530</v>
      </c>
      <c r="N10361" t="s">
        <v>947</v>
      </c>
      <c r="O10361" s="1">
        <v>1739</v>
      </c>
      <c r="P10361">
        <v>20181115</v>
      </c>
      <c r="Q10361" t="s">
        <v>8165</v>
      </c>
      <c r="R10361" t="s">
        <v>8213</v>
      </c>
      <c r="S10361" t="s">
        <v>8163</v>
      </c>
      <c r="T10361" t="s">
        <v>301</v>
      </c>
    </row>
    <row r="10362" spans="1:20" x14ac:dyDescent="0.25">
      <c r="A10362">
        <v>9</v>
      </c>
      <c r="B10362">
        <v>865</v>
      </c>
      <c r="C10362" t="str">
        <f t="shared" si="2346"/>
        <v>36</v>
      </c>
      <c r="D10362">
        <v>6399</v>
      </c>
      <c r="E10362" t="str">
        <f>"8T"</f>
        <v>8T</v>
      </c>
      <c r="F10362" t="str">
        <f>"001"</f>
        <v>001</v>
      </c>
      <c r="G10362">
        <v>9</v>
      </c>
      <c r="H10362" t="str">
        <f t="shared" si="2347"/>
        <v>99</v>
      </c>
      <c r="I10362" t="str">
        <f t="shared" si="2343"/>
        <v>0</v>
      </c>
      <c r="J10362" t="str">
        <f t="shared" si="2342"/>
        <v>00</v>
      </c>
      <c r="K10362">
        <v>20181116</v>
      </c>
      <c r="L10362" t="str">
        <f>"074656"</f>
        <v>074656</v>
      </c>
      <c r="M10362" t="str">
        <f>"05530"</f>
        <v>05530</v>
      </c>
      <c r="N10362" t="s">
        <v>947</v>
      </c>
      <c r="O10362">
        <v>185</v>
      </c>
      <c r="P10362">
        <v>20181115</v>
      </c>
      <c r="Q10362" t="s">
        <v>8165</v>
      </c>
      <c r="R10362" t="s">
        <v>8213</v>
      </c>
      <c r="S10362" t="s">
        <v>8163</v>
      </c>
      <c r="T10362" t="s">
        <v>301</v>
      </c>
    </row>
    <row r="10363" spans="1:20" x14ac:dyDescent="0.25">
      <c r="A10363">
        <v>9</v>
      </c>
      <c r="B10363">
        <v>865</v>
      </c>
      <c r="C10363" t="str">
        <f t="shared" si="2346"/>
        <v>36</v>
      </c>
      <c r="D10363">
        <v>6399</v>
      </c>
      <c r="E10363" t="str">
        <f>"7B"</f>
        <v>7B</v>
      </c>
      <c r="F10363" t="str">
        <f>"041"</f>
        <v>041</v>
      </c>
      <c r="G10363">
        <v>9</v>
      </c>
      <c r="H10363" t="str">
        <f t="shared" si="2347"/>
        <v>99</v>
      </c>
      <c r="I10363" t="str">
        <f t="shared" si="2343"/>
        <v>0</v>
      </c>
      <c r="J10363" t="str">
        <f t="shared" si="2342"/>
        <v>00</v>
      </c>
      <c r="K10363">
        <v>20181116</v>
      </c>
      <c r="L10363" t="str">
        <f>"074669"</f>
        <v>074669</v>
      </c>
      <c r="M10363" t="str">
        <f>"51346"</f>
        <v>51346</v>
      </c>
      <c r="N10363" t="s">
        <v>418</v>
      </c>
      <c r="O10363">
        <v>260</v>
      </c>
      <c r="P10363">
        <v>20181115</v>
      </c>
      <c r="Q10363" t="s">
        <v>8173</v>
      </c>
      <c r="R10363" t="s">
        <v>8214</v>
      </c>
      <c r="S10363" t="s">
        <v>8163</v>
      </c>
      <c r="T10363" t="s">
        <v>106</v>
      </c>
    </row>
    <row r="10364" spans="1:20" x14ac:dyDescent="0.25">
      <c r="A10364">
        <v>9</v>
      </c>
      <c r="B10364">
        <v>865</v>
      </c>
      <c r="C10364" t="str">
        <f t="shared" si="2346"/>
        <v>36</v>
      </c>
      <c r="D10364">
        <v>6495</v>
      </c>
      <c r="E10364" t="str">
        <f>"H5"</f>
        <v>H5</v>
      </c>
      <c r="F10364" t="str">
        <f t="shared" ref="F10364:F10370" si="2348">"001"</f>
        <v>001</v>
      </c>
      <c r="G10364">
        <v>9</v>
      </c>
      <c r="H10364" t="str">
        <f t="shared" si="2347"/>
        <v>99</v>
      </c>
      <c r="I10364" t="str">
        <f t="shared" si="2343"/>
        <v>0</v>
      </c>
      <c r="J10364" t="str">
        <f t="shared" si="2342"/>
        <v>00</v>
      </c>
      <c r="K10364">
        <v>20181116</v>
      </c>
      <c r="L10364" t="str">
        <f>"074694"</f>
        <v>074694</v>
      </c>
      <c r="M10364" t="str">
        <f>"39226"</f>
        <v>39226</v>
      </c>
      <c r="N10364" t="s">
        <v>4250</v>
      </c>
      <c r="O10364">
        <v>55</v>
      </c>
      <c r="P10364">
        <v>20181115</v>
      </c>
      <c r="Q10364" t="s">
        <v>8186</v>
      </c>
      <c r="R10364" t="s">
        <v>8215</v>
      </c>
      <c r="S10364" t="s">
        <v>8163</v>
      </c>
      <c r="T10364" t="s">
        <v>301</v>
      </c>
    </row>
    <row r="10365" spans="1:20" x14ac:dyDescent="0.25">
      <c r="A10365">
        <v>9</v>
      </c>
      <c r="B10365">
        <v>865</v>
      </c>
      <c r="C10365" t="str">
        <f t="shared" si="2346"/>
        <v>36</v>
      </c>
      <c r="D10365">
        <v>6495</v>
      </c>
      <c r="E10365" t="str">
        <f>"H5"</f>
        <v>H5</v>
      </c>
      <c r="F10365" t="str">
        <f t="shared" si="2348"/>
        <v>001</v>
      </c>
      <c r="G10365">
        <v>9</v>
      </c>
      <c r="H10365" t="str">
        <f t="shared" si="2347"/>
        <v>99</v>
      </c>
      <c r="I10365" t="str">
        <f t="shared" si="2343"/>
        <v>0</v>
      </c>
      <c r="J10365" t="str">
        <f t="shared" si="2342"/>
        <v>00</v>
      </c>
      <c r="K10365">
        <v>20181116</v>
      </c>
      <c r="L10365" t="str">
        <f>"074694"</f>
        <v>074694</v>
      </c>
      <c r="M10365" t="str">
        <f>"39226"</f>
        <v>39226</v>
      </c>
      <c r="N10365" t="s">
        <v>4250</v>
      </c>
      <c r="O10365">
        <v>75</v>
      </c>
      <c r="P10365">
        <v>20181115</v>
      </c>
      <c r="Q10365" t="s">
        <v>8186</v>
      </c>
      <c r="R10365" t="s">
        <v>8215</v>
      </c>
      <c r="S10365" t="s">
        <v>8163</v>
      </c>
      <c r="T10365" t="s">
        <v>301</v>
      </c>
    </row>
    <row r="10366" spans="1:20" x14ac:dyDescent="0.25">
      <c r="A10366">
        <v>9</v>
      </c>
      <c r="B10366">
        <v>865</v>
      </c>
      <c r="C10366" t="str">
        <f t="shared" si="2346"/>
        <v>36</v>
      </c>
      <c r="D10366">
        <v>6495</v>
      </c>
      <c r="E10366" t="str">
        <f>"8S"</f>
        <v>8S</v>
      </c>
      <c r="F10366" t="str">
        <f t="shared" si="2348"/>
        <v>001</v>
      </c>
      <c r="G10366">
        <v>9</v>
      </c>
      <c r="H10366" t="str">
        <f t="shared" si="2347"/>
        <v>99</v>
      </c>
      <c r="I10366" t="str">
        <f t="shared" si="2343"/>
        <v>0</v>
      </c>
      <c r="J10366" t="str">
        <f t="shared" si="2342"/>
        <v>00</v>
      </c>
      <c r="K10366">
        <v>20181116</v>
      </c>
      <c r="L10366" t="str">
        <f>"074699"</f>
        <v>074699</v>
      </c>
      <c r="M10366" t="str">
        <f>"45671"</f>
        <v>45671</v>
      </c>
      <c r="N10366" t="s">
        <v>8216</v>
      </c>
      <c r="O10366">
        <v>375</v>
      </c>
      <c r="P10366">
        <v>20181115</v>
      </c>
      <c r="Q10366" t="s">
        <v>8175</v>
      </c>
      <c r="R10366" t="s">
        <v>8217</v>
      </c>
      <c r="S10366" t="s">
        <v>8163</v>
      </c>
      <c r="T10366" t="s">
        <v>301</v>
      </c>
    </row>
    <row r="10367" spans="1:20" x14ac:dyDescent="0.25">
      <c r="A10367">
        <v>9</v>
      </c>
      <c r="B10367">
        <v>865</v>
      </c>
      <c r="C10367" t="str">
        <f t="shared" si="2346"/>
        <v>36</v>
      </c>
      <c r="D10367">
        <v>6399</v>
      </c>
      <c r="E10367" t="str">
        <f>"8T"</f>
        <v>8T</v>
      </c>
      <c r="F10367" t="str">
        <f t="shared" si="2348"/>
        <v>001</v>
      </c>
      <c r="G10367">
        <v>9</v>
      </c>
      <c r="H10367" t="str">
        <f t="shared" si="2347"/>
        <v>99</v>
      </c>
      <c r="I10367" t="str">
        <f t="shared" si="2343"/>
        <v>0</v>
      </c>
      <c r="J10367" t="str">
        <f t="shared" si="2342"/>
        <v>00</v>
      </c>
      <c r="K10367">
        <v>20181116</v>
      </c>
      <c r="L10367" t="str">
        <f>"074709"</f>
        <v>074709</v>
      </c>
      <c r="M10367" t="str">
        <f>"58204"</f>
        <v>58204</v>
      </c>
      <c r="N10367" t="s">
        <v>1767</v>
      </c>
      <c r="O10367">
        <v>100</v>
      </c>
      <c r="P10367">
        <v>20181115</v>
      </c>
      <c r="Q10367" t="s">
        <v>8165</v>
      </c>
      <c r="R10367" t="s">
        <v>1771</v>
      </c>
      <c r="S10367" t="s">
        <v>8163</v>
      </c>
      <c r="T10367" t="s">
        <v>301</v>
      </c>
    </row>
    <row r="10368" spans="1:20" x14ac:dyDescent="0.25">
      <c r="A10368">
        <v>9</v>
      </c>
      <c r="B10368">
        <v>865</v>
      </c>
      <c r="C10368" t="str">
        <f t="shared" si="2346"/>
        <v>36</v>
      </c>
      <c r="D10368">
        <v>6399</v>
      </c>
      <c r="E10368" t="str">
        <f>"TS"</f>
        <v>TS</v>
      </c>
      <c r="F10368" t="str">
        <f t="shared" si="2348"/>
        <v>001</v>
      </c>
      <c r="G10368">
        <v>9</v>
      </c>
      <c r="H10368" t="str">
        <f t="shared" si="2347"/>
        <v>99</v>
      </c>
      <c r="I10368" t="str">
        <f t="shared" si="2343"/>
        <v>0</v>
      </c>
      <c r="J10368" t="str">
        <f t="shared" si="2342"/>
        <v>00</v>
      </c>
      <c r="K10368">
        <v>20181116</v>
      </c>
      <c r="L10368" t="str">
        <f>"074711"</f>
        <v>074711</v>
      </c>
      <c r="M10368" t="str">
        <f>"00429"</f>
        <v>00429</v>
      </c>
      <c r="N10368" t="s">
        <v>7337</v>
      </c>
      <c r="O10368">
        <v>467.47</v>
      </c>
      <c r="P10368">
        <v>20181115</v>
      </c>
      <c r="Q10368" t="s">
        <v>8167</v>
      </c>
      <c r="R10368" t="s">
        <v>7565</v>
      </c>
      <c r="S10368" t="s">
        <v>8163</v>
      </c>
      <c r="T10368" t="s">
        <v>301</v>
      </c>
    </row>
    <row r="10369" spans="1:20" x14ac:dyDescent="0.25">
      <c r="A10369">
        <v>9</v>
      </c>
      <c r="B10369">
        <v>865</v>
      </c>
      <c r="C10369" t="str">
        <f t="shared" si="2346"/>
        <v>36</v>
      </c>
      <c r="D10369">
        <v>6399</v>
      </c>
      <c r="E10369" t="str">
        <f>"TS"</f>
        <v>TS</v>
      </c>
      <c r="F10369" t="str">
        <f t="shared" si="2348"/>
        <v>001</v>
      </c>
      <c r="G10369">
        <v>9</v>
      </c>
      <c r="H10369" t="str">
        <f t="shared" si="2347"/>
        <v>99</v>
      </c>
      <c r="I10369" t="str">
        <f t="shared" si="2343"/>
        <v>0</v>
      </c>
      <c r="J10369" t="str">
        <f t="shared" si="2342"/>
        <v>00</v>
      </c>
      <c r="K10369">
        <v>20181116</v>
      </c>
      <c r="L10369" t="str">
        <f>"074711"</f>
        <v>074711</v>
      </c>
      <c r="M10369" t="str">
        <f>"00429"</f>
        <v>00429</v>
      </c>
      <c r="N10369" t="s">
        <v>7337</v>
      </c>
      <c r="O10369">
        <v>422.54</v>
      </c>
      <c r="P10369">
        <v>20181115</v>
      </c>
      <c r="Q10369" t="s">
        <v>8167</v>
      </c>
      <c r="R10369" t="s">
        <v>7565</v>
      </c>
      <c r="S10369" t="s">
        <v>8163</v>
      </c>
      <c r="T10369" t="s">
        <v>301</v>
      </c>
    </row>
    <row r="10370" spans="1:20" x14ac:dyDescent="0.25">
      <c r="A10370">
        <v>9</v>
      </c>
      <c r="B10370">
        <v>865</v>
      </c>
      <c r="C10370" t="str">
        <f t="shared" si="2346"/>
        <v>36</v>
      </c>
      <c r="D10370">
        <v>6495</v>
      </c>
      <c r="E10370" t="str">
        <f>"V8"</f>
        <v>V8</v>
      </c>
      <c r="F10370" t="str">
        <f t="shared" si="2348"/>
        <v>001</v>
      </c>
      <c r="G10370">
        <v>9</v>
      </c>
      <c r="H10370" t="str">
        <f t="shared" si="2347"/>
        <v>99</v>
      </c>
      <c r="I10370" t="str">
        <f t="shared" si="2343"/>
        <v>0</v>
      </c>
      <c r="J10370" t="str">
        <f t="shared" si="2342"/>
        <v>00</v>
      </c>
      <c r="K10370">
        <v>20181116</v>
      </c>
      <c r="L10370" t="str">
        <f>"074724"</f>
        <v>074724</v>
      </c>
      <c r="M10370" t="str">
        <f>"78345"</f>
        <v>78345</v>
      </c>
      <c r="N10370" t="s">
        <v>2337</v>
      </c>
      <c r="O10370">
        <v>225</v>
      </c>
      <c r="P10370">
        <v>20181115</v>
      </c>
      <c r="Q10370" t="s">
        <v>8218</v>
      </c>
      <c r="R10370" t="s">
        <v>8219</v>
      </c>
      <c r="S10370" t="s">
        <v>8163</v>
      </c>
      <c r="T10370" t="s">
        <v>301</v>
      </c>
    </row>
    <row r="10371" spans="1:20" x14ac:dyDescent="0.25">
      <c r="A10371">
        <v>9</v>
      </c>
      <c r="B10371">
        <v>865</v>
      </c>
      <c r="C10371" t="str">
        <f t="shared" si="2346"/>
        <v>36</v>
      </c>
      <c r="D10371">
        <v>6649</v>
      </c>
      <c r="E10371" t="str">
        <f>"30"</f>
        <v>30</v>
      </c>
      <c r="F10371" t="str">
        <f>"002"</f>
        <v>002</v>
      </c>
      <c r="G10371">
        <v>9</v>
      </c>
      <c r="H10371" t="str">
        <f t="shared" si="2347"/>
        <v>99</v>
      </c>
      <c r="I10371" t="str">
        <f t="shared" si="2343"/>
        <v>0</v>
      </c>
      <c r="J10371" t="str">
        <f t="shared" si="2342"/>
        <v>00</v>
      </c>
      <c r="K10371">
        <v>20181130</v>
      </c>
      <c r="L10371" t="str">
        <f>"074746"</f>
        <v>074746</v>
      </c>
      <c r="M10371" t="str">
        <f>"04410"</f>
        <v>04410</v>
      </c>
      <c r="N10371" t="s">
        <v>410</v>
      </c>
      <c r="O10371">
        <v>337.99</v>
      </c>
      <c r="P10371">
        <v>20181128</v>
      </c>
      <c r="Q10371" t="s">
        <v>8220</v>
      </c>
      <c r="R10371" t="s">
        <v>8221</v>
      </c>
      <c r="S10371" t="s">
        <v>8163</v>
      </c>
      <c r="T10371" t="s">
        <v>1485</v>
      </c>
    </row>
    <row r="10372" spans="1:20" x14ac:dyDescent="0.25">
      <c r="A10372">
        <v>9</v>
      </c>
      <c r="B10372">
        <v>865</v>
      </c>
      <c r="C10372" t="str">
        <f t="shared" si="2346"/>
        <v>36</v>
      </c>
      <c r="D10372">
        <v>6495</v>
      </c>
      <c r="E10372" t="str">
        <f>"VB"</f>
        <v>VB</v>
      </c>
      <c r="F10372" t="str">
        <f>"001"</f>
        <v>001</v>
      </c>
      <c r="G10372">
        <v>9</v>
      </c>
      <c r="H10372" t="str">
        <f t="shared" si="2347"/>
        <v>99</v>
      </c>
      <c r="I10372" t="str">
        <f t="shared" si="2343"/>
        <v>0</v>
      </c>
      <c r="J10372" t="str">
        <f t="shared" si="2342"/>
        <v>00</v>
      </c>
      <c r="K10372">
        <v>20181130</v>
      </c>
      <c r="L10372" t="str">
        <f>"074757"</f>
        <v>074757</v>
      </c>
      <c r="M10372" t="str">
        <f>"14132"</f>
        <v>14132</v>
      </c>
      <c r="N10372" t="s">
        <v>3732</v>
      </c>
      <c r="O10372">
        <v>308</v>
      </c>
      <c r="P10372">
        <v>20181128</v>
      </c>
      <c r="Q10372" t="s">
        <v>8222</v>
      </c>
      <c r="R10372" t="s">
        <v>8223</v>
      </c>
      <c r="S10372" t="s">
        <v>8163</v>
      </c>
      <c r="T10372" t="s">
        <v>301</v>
      </c>
    </row>
    <row r="10373" spans="1:20" x14ac:dyDescent="0.25">
      <c r="A10373">
        <v>9</v>
      </c>
      <c r="B10373">
        <v>865</v>
      </c>
      <c r="C10373" t="str">
        <f t="shared" si="2346"/>
        <v>36</v>
      </c>
      <c r="D10373">
        <v>6495</v>
      </c>
      <c r="E10373" t="str">
        <f>"VB"</f>
        <v>VB</v>
      </c>
      <c r="F10373" t="str">
        <f>"001"</f>
        <v>001</v>
      </c>
      <c r="G10373">
        <v>9</v>
      </c>
      <c r="H10373" t="str">
        <f t="shared" si="2347"/>
        <v>99</v>
      </c>
      <c r="I10373" t="str">
        <f t="shared" si="2343"/>
        <v>0</v>
      </c>
      <c r="J10373" t="str">
        <f t="shared" si="2342"/>
        <v>00</v>
      </c>
      <c r="K10373">
        <v>20181130</v>
      </c>
      <c r="L10373" t="str">
        <f>"074757"</f>
        <v>074757</v>
      </c>
      <c r="M10373" t="str">
        <f>"14132"</f>
        <v>14132</v>
      </c>
      <c r="N10373" t="s">
        <v>3732</v>
      </c>
      <c r="O10373">
        <v>264</v>
      </c>
      <c r="P10373">
        <v>20181128</v>
      </c>
      <c r="Q10373" t="s">
        <v>8222</v>
      </c>
      <c r="R10373" t="s">
        <v>8223</v>
      </c>
      <c r="S10373" t="s">
        <v>8163</v>
      </c>
      <c r="T10373" t="s">
        <v>301</v>
      </c>
    </row>
    <row r="10374" spans="1:20" x14ac:dyDescent="0.25">
      <c r="A10374">
        <v>9</v>
      </c>
      <c r="B10374">
        <v>865</v>
      </c>
      <c r="C10374" t="str">
        <f t="shared" si="2346"/>
        <v>36</v>
      </c>
      <c r="D10374">
        <v>6495</v>
      </c>
      <c r="E10374" t="str">
        <f>"VB"</f>
        <v>VB</v>
      </c>
      <c r="F10374" t="str">
        <f>"001"</f>
        <v>001</v>
      </c>
      <c r="G10374">
        <v>9</v>
      </c>
      <c r="H10374" t="str">
        <f t="shared" si="2347"/>
        <v>99</v>
      </c>
      <c r="I10374" t="str">
        <f t="shared" si="2343"/>
        <v>0</v>
      </c>
      <c r="J10374" t="str">
        <f t="shared" ref="J10374:J10437" si="2349">"00"</f>
        <v>00</v>
      </c>
      <c r="K10374">
        <v>20181130</v>
      </c>
      <c r="L10374" t="str">
        <f>"074757"</f>
        <v>074757</v>
      </c>
      <c r="M10374" t="str">
        <f>"14132"</f>
        <v>14132</v>
      </c>
      <c r="N10374" t="s">
        <v>3732</v>
      </c>
      <c r="O10374">
        <v>242</v>
      </c>
      <c r="P10374">
        <v>20181128</v>
      </c>
      <c r="Q10374" t="s">
        <v>8222</v>
      </c>
      <c r="R10374" t="s">
        <v>8223</v>
      </c>
      <c r="S10374" t="s">
        <v>8163</v>
      </c>
      <c r="T10374" t="s">
        <v>301</v>
      </c>
    </row>
    <row r="10375" spans="1:20" x14ac:dyDescent="0.25">
      <c r="A10375">
        <v>9</v>
      </c>
      <c r="B10375">
        <v>865</v>
      </c>
      <c r="C10375" t="str">
        <f t="shared" si="2346"/>
        <v>36</v>
      </c>
      <c r="D10375">
        <v>6495</v>
      </c>
      <c r="E10375" t="str">
        <f>"VB"</f>
        <v>VB</v>
      </c>
      <c r="F10375" t="str">
        <f>"001"</f>
        <v>001</v>
      </c>
      <c r="G10375">
        <v>9</v>
      </c>
      <c r="H10375" t="str">
        <f t="shared" si="2347"/>
        <v>99</v>
      </c>
      <c r="I10375" t="str">
        <f t="shared" ref="I10375:I10438" si="2350">"0"</f>
        <v>0</v>
      </c>
      <c r="J10375" t="str">
        <f t="shared" si="2349"/>
        <v>00</v>
      </c>
      <c r="K10375">
        <v>20181130</v>
      </c>
      <c r="L10375" t="str">
        <f>"074757"</f>
        <v>074757</v>
      </c>
      <c r="M10375" t="str">
        <f>"14132"</f>
        <v>14132</v>
      </c>
      <c r="N10375" t="s">
        <v>3732</v>
      </c>
      <c r="O10375">
        <v>20</v>
      </c>
      <c r="P10375">
        <v>20181128</v>
      </c>
      <c r="Q10375" t="s">
        <v>8222</v>
      </c>
      <c r="R10375" t="s">
        <v>8223</v>
      </c>
      <c r="S10375" t="s">
        <v>8163</v>
      </c>
      <c r="T10375" t="s">
        <v>301</v>
      </c>
    </row>
    <row r="10376" spans="1:20" x14ac:dyDescent="0.25">
      <c r="A10376">
        <v>9</v>
      </c>
      <c r="B10376">
        <v>865</v>
      </c>
      <c r="C10376" t="str">
        <f t="shared" si="2346"/>
        <v>36</v>
      </c>
      <c r="D10376">
        <v>6399</v>
      </c>
      <c r="E10376" t="str">
        <f>"8S"</f>
        <v>8S</v>
      </c>
      <c r="F10376" t="str">
        <f>"001"</f>
        <v>001</v>
      </c>
      <c r="G10376">
        <v>9</v>
      </c>
      <c r="H10376" t="str">
        <f t="shared" si="2347"/>
        <v>99</v>
      </c>
      <c r="I10376" t="str">
        <f t="shared" si="2350"/>
        <v>0</v>
      </c>
      <c r="J10376" t="str">
        <f t="shared" si="2349"/>
        <v>00</v>
      </c>
      <c r="K10376">
        <v>20181130</v>
      </c>
      <c r="L10376" t="str">
        <f>"074763"</f>
        <v>074763</v>
      </c>
      <c r="M10376" t="str">
        <f>"21298"</f>
        <v>21298</v>
      </c>
      <c r="N10376" t="s">
        <v>8224</v>
      </c>
      <c r="O10376">
        <v>400</v>
      </c>
      <c r="P10376">
        <v>20181128</v>
      </c>
      <c r="Q10376" t="s">
        <v>8166</v>
      </c>
      <c r="R10376" t="s">
        <v>8225</v>
      </c>
      <c r="S10376" t="s">
        <v>8163</v>
      </c>
      <c r="T10376" t="s">
        <v>301</v>
      </c>
    </row>
    <row r="10377" spans="1:20" x14ac:dyDescent="0.25">
      <c r="A10377">
        <v>9</v>
      </c>
      <c r="B10377">
        <v>865</v>
      </c>
      <c r="C10377" t="str">
        <f t="shared" si="2346"/>
        <v>36</v>
      </c>
      <c r="D10377">
        <v>6412</v>
      </c>
      <c r="E10377" t="str">
        <f>"7K"</f>
        <v>7K</v>
      </c>
      <c r="F10377" t="str">
        <f>"041"</f>
        <v>041</v>
      </c>
      <c r="G10377">
        <v>9</v>
      </c>
      <c r="H10377" t="str">
        <f t="shared" si="2347"/>
        <v>99</v>
      </c>
      <c r="I10377" t="str">
        <f t="shared" si="2350"/>
        <v>0</v>
      </c>
      <c r="J10377" t="str">
        <f t="shared" si="2349"/>
        <v>00</v>
      </c>
      <c r="K10377">
        <v>20181130</v>
      </c>
      <c r="L10377" t="str">
        <f>"074772"</f>
        <v>074772</v>
      </c>
      <c r="M10377" t="str">
        <f>"28733"</f>
        <v>28733</v>
      </c>
      <c r="N10377" t="s">
        <v>2223</v>
      </c>
      <c r="O10377">
        <v>360</v>
      </c>
      <c r="P10377">
        <v>20181128</v>
      </c>
      <c r="Q10377" t="s">
        <v>8207</v>
      </c>
      <c r="R10377" t="s">
        <v>2775</v>
      </c>
      <c r="S10377" t="s">
        <v>8163</v>
      </c>
      <c r="T10377" t="s">
        <v>106</v>
      </c>
    </row>
    <row r="10378" spans="1:20" x14ac:dyDescent="0.25">
      <c r="A10378">
        <v>9</v>
      </c>
      <c r="B10378">
        <v>865</v>
      </c>
      <c r="C10378" t="str">
        <f t="shared" si="2346"/>
        <v>36</v>
      </c>
      <c r="D10378">
        <v>6399</v>
      </c>
      <c r="E10378" t="str">
        <f>"V8"</f>
        <v>V8</v>
      </c>
      <c r="F10378" t="str">
        <f>"001"</f>
        <v>001</v>
      </c>
      <c r="G10378">
        <v>9</v>
      </c>
      <c r="H10378" t="str">
        <f t="shared" si="2347"/>
        <v>99</v>
      </c>
      <c r="I10378" t="str">
        <f t="shared" si="2350"/>
        <v>0</v>
      </c>
      <c r="J10378" t="str">
        <f t="shared" si="2349"/>
        <v>00</v>
      </c>
      <c r="K10378">
        <v>20181130</v>
      </c>
      <c r="L10378" t="str">
        <f>"074776"</f>
        <v>074776</v>
      </c>
      <c r="M10378" t="str">
        <f>"30615"</f>
        <v>30615</v>
      </c>
      <c r="N10378" t="s">
        <v>8226</v>
      </c>
      <c r="O10378" s="1">
        <v>3613.2</v>
      </c>
      <c r="P10378">
        <v>20181128</v>
      </c>
      <c r="Q10378" t="s">
        <v>8227</v>
      </c>
      <c r="R10378" t="s">
        <v>8228</v>
      </c>
      <c r="S10378" t="s">
        <v>8163</v>
      </c>
      <c r="T10378" t="s">
        <v>301</v>
      </c>
    </row>
    <row r="10379" spans="1:20" x14ac:dyDescent="0.25">
      <c r="A10379">
        <v>9</v>
      </c>
      <c r="B10379">
        <v>865</v>
      </c>
      <c r="C10379" t="str">
        <f t="shared" si="2346"/>
        <v>36</v>
      </c>
      <c r="D10379">
        <v>6399</v>
      </c>
      <c r="E10379" t="str">
        <f>"7E"</f>
        <v>7E</v>
      </c>
      <c r="F10379" t="str">
        <f>"041"</f>
        <v>041</v>
      </c>
      <c r="G10379">
        <v>9</v>
      </c>
      <c r="H10379" t="str">
        <f t="shared" si="2347"/>
        <v>99</v>
      </c>
      <c r="I10379" t="str">
        <f t="shared" si="2350"/>
        <v>0</v>
      </c>
      <c r="J10379" t="str">
        <f t="shared" si="2349"/>
        <v>00</v>
      </c>
      <c r="K10379">
        <v>20181130</v>
      </c>
      <c r="L10379" t="str">
        <f>"074780"</f>
        <v>074780</v>
      </c>
      <c r="M10379" t="str">
        <f>"34880"</f>
        <v>34880</v>
      </c>
      <c r="N10379" t="s">
        <v>124</v>
      </c>
      <c r="O10379" s="1">
        <v>1501.12</v>
      </c>
      <c r="P10379">
        <v>20181128</v>
      </c>
      <c r="Q10379" t="s">
        <v>8229</v>
      </c>
      <c r="R10379" t="s">
        <v>8230</v>
      </c>
      <c r="S10379" t="s">
        <v>8163</v>
      </c>
      <c r="T10379" t="s">
        <v>106</v>
      </c>
    </row>
    <row r="10380" spans="1:20" x14ac:dyDescent="0.25">
      <c r="A10380">
        <v>9</v>
      </c>
      <c r="B10380">
        <v>865</v>
      </c>
      <c r="C10380" t="str">
        <f t="shared" si="2346"/>
        <v>36</v>
      </c>
      <c r="D10380">
        <v>6399</v>
      </c>
      <c r="E10380" t="str">
        <f>"8E"</f>
        <v>8E</v>
      </c>
      <c r="F10380" t="str">
        <f t="shared" ref="F10380:F10385" si="2351">"001"</f>
        <v>001</v>
      </c>
      <c r="G10380">
        <v>9</v>
      </c>
      <c r="H10380" t="str">
        <f t="shared" si="2347"/>
        <v>99</v>
      </c>
      <c r="I10380" t="str">
        <f t="shared" si="2350"/>
        <v>0</v>
      </c>
      <c r="J10380" t="str">
        <f t="shared" si="2349"/>
        <v>00</v>
      </c>
      <c r="K10380">
        <v>20181130</v>
      </c>
      <c r="L10380" t="str">
        <f>"074804"</f>
        <v>074804</v>
      </c>
      <c r="M10380" t="str">
        <f>"65106"</f>
        <v>65106</v>
      </c>
      <c r="N10380" t="s">
        <v>1175</v>
      </c>
      <c r="O10380">
        <v>222.71</v>
      </c>
      <c r="P10380">
        <v>20181129</v>
      </c>
      <c r="Q10380" t="s">
        <v>8231</v>
      </c>
      <c r="R10380" t="s">
        <v>8232</v>
      </c>
      <c r="S10380" t="s">
        <v>8163</v>
      </c>
      <c r="T10380" t="s">
        <v>301</v>
      </c>
    </row>
    <row r="10381" spans="1:20" x14ac:dyDescent="0.25">
      <c r="A10381">
        <v>9</v>
      </c>
      <c r="B10381">
        <v>865</v>
      </c>
      <c r="C10381" t="str">
        <f t="shared" si="2346"/>
        <v>36</v>
      </c>
      <c r="D10381">
        <v>6399</v>
      </c>
      <c r="E10381" t="str">
        <f>"8T"</f>
        <v>8T</v>
      </c>
      <c r="F10381" t="str">
        <f t="shared" si="2351"/>
        <v>001</v>
      </c>
      <c r="G10381">
        <v>9</v>
      </c>
      <c r="H10381" t="str">
        <f t="shared" si="2347"/>
        <v>99</v>
      </c>
      <c r="I10381" t="str">
        <f t="shared" si="2350"/>
        <v>0</v>
      </c>
      <c r="J10381" t="str">
        <f t="shared" si="2349"/>
        <v>00</v>
      </c>
      <c r="K10381">
        <v>20181130</v>
      </c>
      <c r="L10381" t="str">
        <f>"074804"</f>
        <v>074804</v>
      </c>
      <c r="M10381" t="str">
        <f>"65106"</f>
        <v>65106</v>
      </c>
      <c r="N10381" t="s">
        <v>1175</v>
      </c>
      <c r="O10381">
        <v>100</v>
      </c>
      <c r="P10381">
        <v>20181129</v>
      </c>
      <c r="Q10381" t="s">
        <v>8165</v>
      </c>
      <c r="R10381" t="s">
        <v>1771</v>
      </c>
      <c r="S10381" t="s">
        <v>8163</v>
      </c>
      <c r="T10381" t="s">
        <v>301</v>
      </c>
    </row>
    <row r="10382" spans="1:20" x14ac:dyDescent="0.25">
      <c r="A10382">
        <v>9</v>
      </c>
      <c r="B10382">
        <v>865</v>
      </c>
      <c r="C10382" t="str">
        <f t="shared" si="2346"/>
        <v>36</v>
      </c>
      <c r="D10382">
        <v>6399</v>
      </c>
      <c r="E10382" t="str">
        <f>"8T"</f>
        <v>8T</v>
      </c>
      <c r="F10382" t="str">
        <f t="shared" si="2351"/>
        <v>001</v>
      </c>
      <c r="G10382">
        <v>9</v>
      </c>
      <c r="H10382" t="str">
        <f t="shared" si="2347"/>
        <v>99</v>
      </c>
      <c r="I10382" t="str">
        <f t="shared" si="2350"/>
        <v>0</v>
      </c>
      <c r="J10382" t="str">
        <f t="shared" si="2349"/>
        <v>00</v>
      </c>
      <c r="K10382">
        <v>20181130</v>
      </c>
      <c r="L10382" t="str">
        <f>"074804"</f>
        <v>074804</v>
      </c>
      <c r="M10382" t="str">
        <f>"65106"</f>
        <v>65106</v>
      </c>
      <c r="N10382" t="s">
        <v>1175</v>
      </c>
      <c r="O10382">
        <v>293.39999999999998</v>
      </c>
      <c r="P10382">
        <v>20181129</v>
      </c>
      <c r="Q10382" t="s">
        <v>8165</v>
      </c>
      <c r="R10382" t="s">
        <v>8233</v>
      </c>
      <c r="S10382" t="s">
        <v>8163</v>
      </c>
      <c r="T10382" t="s">
        <v>301</v>
      </c>
    </row>
    <row r="10383" spans="1:20" x14ac:dyDescent="0.25">
      <c r="A10383">
        <v>9</v>
      </c>
      <c r="B10383">
        <v>865</v>
      </c>
      <c r="C10383" t="str">
        <f t="shared" si="2346"/>
        <v>36</v>
      </c>
      <c r="D10383">
        <v>6399</v>
      </c>
      <c r="E10383" t="str">
        <f>"8T"</f>
        <v>8T</v>
      </c>
      <c r="F10383" t="str">
        <f t="shared" si="2351"/>
        <v>001</v>
      </c>
      <c r="G10383">
        <v>9</v>
      </c>
      <c r="H10383" t="str">
        <f t="shared" si="2347"/>
        <v>99</v>
      </c>
      <c r="I10383" t="str">
        <f t="shared" si="2350"/>
        <v>0</v>
      </c>
      <c r="J10383" t="str">
        <f t="shared" si="2349"/>
        <v>00</v>
      </c>
      <c r="K10383">
        <v>20181130</v>
      </c>
      <c r="L10383" t="str">
        <f>"074804"</f>
        <v>074804</v>
      </c>
      <c r="M10383" t="str">
        <f>"65106"</f>
        <v>65106</v>
      </c>
      <c r="N10383" t="s">
        <v>1175</v>
      </c>
      <c r="O10383">
        <v>108.84</v>
      </c>
      <c r="P10383">
        <v>20181129</v>
      </c>
      <c r="Q10383" t="s">
        <v>8165</v>
      </c>
      <c r="R10383" t="s">
        <v>8233</v>
      </c>
      <c r="S10383" t="s">
        <v>8163</v>
      </c>
      <c r="T10383" t="s">
        <v>301</v>
      </c>
    </row>
    <row r="10384" spans="1:20" x14ac:dyDescent="0.25">
      <c r="A10384">
        <v>9</v>
      </c>
      <c r="B10384">
        <v>865</v>
      </c>
      <c r="C10384" t="str">
        <f t="shared" si="2346"/>
        <v>36</v>
      </c>
      <c r="D10384">
        <v>6399</v>
      </c>
      <c r="E10384" t="str">
        <f>"H5"</f>
        <v>H5</v>
      </c>
      <c r="F10384" t="str">
        <f t="shared" si="2351"/>
        <v>001</v>
      </c>
      <c r="G10384">
        <v>9</v>
      </c>
      <c r="H10384" t="str">
        <f t="shared" si="2347"/>
        <v>99</v>
      </c>
      <c r="I10384" t="str">
        <f t="shared" si="2350"/>
        <v>0</v>
      </c>
      <c r="J10384" t="str">
        <f t="shared" si="2349"/>
        <v>00</v>
      </c>
      <c r="K10384">
        <v>20181130</v>
      </c>
      <c r="L10384" t="str">
        <f>"074804"</f>
        <v>074804</v>
      </c>
      <c r="M10384" t="str">
        <f>"65106"</f>
        <v>65106</v>
      </c>
      <c r="N10384" t="s">
        <v>1175</v>
      </c>
      <c r="O10384">
        <v>30.43</v>
      </c>
      <c r="P10384">
        <v>20181129</v>
      </c>
      <c r="Q10384" t="s">
        <v>8234</v>
      </c>
      <c r="R10384" t="s">
        <v>1771</v>
      </c>
      <c r="S10384" t="s">
        <v>8163</v>
      </c>
      <c r="T10384" t="s">
        <v>301</v>
      </c>
    </row>
    <row r="10385" spans="1:20" x14ac:dyDescent="0.25">
      <c r="A10385">
        <v>9</v>
      </c>
      <c r="B10385">
        <v>865</v>
      </c>
      <c r="C10385" t="str">
        <f t="shared" si="2346"/>
        <v>36</v>
      </c>
      <c r="D10385">
        <v>6399</v>
      </c>
      <c r="E10385" t="str">
        <f>"8T"</f>
        <v>8T</v>
      </c>
      <c r="F10385" t="str">
        <f t="shared" si="2351"/>
        <v>001</v>
      </c>
      <c r="G10385">
        <v>9</v>
      </c>
      <c r="H10385" t="str">
        <f t="shared" si="2347"/>
        <v>99</v>
      </c>
      <c r="I10385" t="str">
        <f t="shared" si="2350"/>
        <v>0</v>
      </c>
      <c r="J10385" t="str">
        <f t="shared" si="2349"/>
        <v>00</v>
      </c>
      <c r="K10385">
        <v>20181130</v>
      </c>
      <c r="L10385" t="str">
        <f>"074806"</f>
        <v>074806</v>
      </c>
      <c r="M10385" t="str">
        <f>"71250"</f>
        <v>71250</v>
      </c>
      <c r="N10385" t="s">
        <v>1389</v>
      </c>
      <c r="O10385">
        <v>147.62</v>
      </c>
      <c r="P10385">
        <v>20181129</v>
      </c>
      <c r="Q10385" t="s">
        <v>8165</v>
      </c>
      <c r="R10385" t="s">
        <v>2905</v>
      </c>
      <c r="S10385" t="s">
        <v>8163</v>
      </c>
      <c r="T10385" t="s">
        <v>301</v>
      </c>
    </row>
    <row r="10386" spans="1:20" x14ac:dyDescent="0.25">
      <c r="A10386">
        <v>9</v>
      </c>
      <c r="B10386">
        <v>865</v>
      </c>
      <c r="C10386" t="str">
        <f t="shared" si="2346"/>
        <v>36</v>
      </c>
      <c r="D10386">
        <v>6499</v>
      </c>
      <c r="E10386" t="str">
        <f>"7B"</f>
        <v>7B</v>
      </c>
      <c r="F10386" t="str">
        <f>"041"</f>
        <v>041</v>
      </c>
      <c r="G10386">
        <v>9</v>
      </c>
      <c r="H10386" t="str">
        <f t="shared" si="2347"/>
        <v>99</v>
      </c>
      <c r="I10386" t="str">
        <f t="shared" si="2350"/>
        <v>0</v>
      </c>
      <c r="J10386" t="str">
        <f t="shared" si="2349"/>
        <v>00</v>
      </c>
      <c r="K10386">
        <v>20181130</v>
      </c>
      <c r="L10386" t="str">
        <f>"074809"</f>
        <v>074809</v>
      </c>
      <c r="M10386" t="str">
        <f>"74160"</f>
        <v>74160</v>
      </c>
      <c r="N10386" t="s">
        <v>3604</v>
      </c>
      <c r="O10386">
        <v>101.5</v>
      </c>
      <c r="P10386">
        <v>20181129</v>
      </c>
      <c r="Q10386" t="s">
        <v>8235</v>
      </c>
      <c r="R10386" t="s">
        <v>8236</v>
      </c>
      <c r="S10386" t="s">
        <v>8163</v>
      </c>
      <c r="T10386" t="s">
        <v>106</v>
      </c>
    </row>
    <row r="10387" spans="1:20" x14ac:dyDescent="0.25">
      <c r="A10387">
        <v>9</v>
      </c>
      <c r="B10387">
        <v>865</v>
      </c>
      <c r="C10387" t="str">
        <f t="shared" si="2346"/>
        <v>36</v>
      </c>
      <c r="D10387">
        <v>6399</v>
      </c>
      <c r="E10387" t="str">
        <f>"30"</f>
        <v>30</v>
      </c>
      <c r="F10387" t="str">
        <f>"101"</f>
        <v>101</v>
      </c>
      <c r="G10387">
        <v>9</v>
      </c>
      <c r="H10387" t="str">
        <f t="shared" si="2347"/>
        <v>99</v>
      </c>
      <c r="I10387" t="str">
        <f t="shared" si="2350"/>
        <v>0</v>
      </c>
      <c r="J10387" t="str">
        <f t="shared" si="2349"/>
        <v>00</v>
      </c>
      <c r="K10387">
        <v>20181130</v>
      </c>
      <c r="L10387" t="str">
        <f>"074819"</f>
        <v>074819</v>
      </c>
      <c r="M10387" t="str">
        <f>"81303"</f>
        <v>81303</v>
      </c>
      <c r="N10387" t="s">
        <v>66</v>
      </c>
      <c r="O10387">
        <v>15</v>
      </c>
      <c r="P10387">
        <v>20181129</v>
      </c>
      <c r="Q10387" t="s">
        <v>8205</v>
      </c>
      <c r="R10387" t="s">
        <v>8237</v>
      </c>
      <c r="S10387" t="s">
        <v>8163</v>
      </c>
      <c r="T10387" t="s">
        <v>1479</v>
      </c>
    </row>
    <row r="10388" spans="1:20" x14ac:dyDescent="0.25">
      <c r="A10388">
        <v>9</v>
      </c>
      <c r="B10388">
        <v>865</v>
      </c>
      <c r="C10388" t="str">
        <f t="shared" si="2346"/>
        <v>36</v>
      </c>
      <c r="D10388">
        <v>6399</v>
      </c>
      <c r="E10388" t="str">
        <f>"MB"</f>
        <v>MB</v>
      </c>
      <c r="F10388" t="str">
        <f>"041"</f>
        <v>041</v>
      </c>
      <c r="G10388">
        <v>9</v>
      </c>
      <c r="H10388" t="str">
        <f t="shared" si="2347"/>
        <v>99</v>
      </c>
      <c r="I10388" t="str">
        <f t="shared" si="2350"/>
        <v>0</v>
      </c>
      <c r="J10388" t="str">
        <f t="shared" si="2349"/>
        <v>00</v>
      </c>
      <c r="K10388">
        <v>20181130</v>
      </c>
      <c r="L10388" t="str">
        <f>"074819"</f>
        <v>074819</v>
      </c>
      <c r="M10388" t="str">
        <f>"81303"</f>
        <v>81303</v>
      </c>
      <c r="N10388" t="s">
        <v>66</v>
      </c>
      <c r="O10388">
        <v>86</v>
      </c>
      <c r="P10388">
        <v>20181129</v>
      </c>
      <c r="Q10388" t="s">
        <v>8238</v>
      </c>
      <c r="R10388" t="s">
        <v>8239</v>
      </c>
      <c r="S10388" t="s">
        <v>8163</v>
      </c>
      <c r="T10388" t="s">
        <v>106</v>
      </c>
    </row>
    <row r="10389" spans="1:20" x14ac:dyDescent="0.25">
      <c r="A10389">
        <v>9</v>
      </c>
      <c r="B10389">
        <v>865</v>
      </c>
      <c r="C10389" t="str">
        <f t="shared" si="2346"/>
        <v>36</v>
      </c>
      <c r="D10389">
        <v>6399</v>
      </c>
      <c r="E10389" t="str">
        <f>"VB"</f>
        <v>VB</v>
      </c>
      <c r="F10389" t="str">
        <f>"001"</f>
        <v>001</v>
      </c>
      <c r="G10389">
        <v>9</v>
      </c>
      <c r="H10389" t="str">
        <f t="shared" si="2347"/>
        <v>99</v>
      </c>
      <c r="I10389" t="str">
        <f t="shared" si="2350"/>
        <v>0</v>
      </c>
      <c r="J10389" t="str">
        <f t="shared" si="2349"/>
        <v>00</v>
      </c>
      <c r="K10389">
        <v>20181130</v>
      </c>
      <c r="L10389" t="str">
        <f>"074821"</f>
        <v>074821</v>
      </c>
      <c r="M10389" t="str">
        <f>"81787"</f>
        <v>81787</v>
      </c>
      <c r="N10389" t="s">
        <v>8240</v>
      </c>
      <c r="O10389">
        <v>321.29000000000002</v>
      </c>
      <c r="P10389">
        <v>20181129</v>
      </c>
      <c r="Q10389" t="s">
        <v>8241</v>
      </c>
      <c r="R10389" t="s">
        <v>8242</v>
      </c>
      <c r="S10389" t="s">
        <v>8163</v>
      </c>
      <c r="T10389" t="s">
        <v>301</v>
      </c>
    </row>
    <row r="10390" spans="1:20" x14ac:dyDescent="0.25">
      <c r="A10390">
        <v>9</v>
      </c>
      <c r="B10390">
        <v>865</v>
      </c>
      <c r="C10390" t="str">
        <f t="shared" si="2346"/>
        <v>36</v>
      </c>
      <c r="D10390">
        <v>6399</v>
      </c>
      <c r="E10390" t="str">
        <f>"VL"</f>
        <v>VL</v>
      </c>
      <c r="F10390" t="str">
        <f>"001"</f>
        <v>001</v>
      </c>
      <c r="G10390">
        <v>9</v>
      </c>
      <c r="H10390" t="str">
        <f t="shared" si="2347"/>
        <v>99</v>
      </c>
      <c r="I10390" t="str">
        <f t="shared" si="2350"/>
        <v>0</v>
      </c>
      <c r="J10390" t="str">
        <f t="shared" si="2349"/>
        <v>00</v>
      </c>
      <c r="K10390">
        <v>20181130</v>
      </c>
      <c r="L10390" t="str">
        <f>"074821"</f>
        <v>074821</v>
      </c>
      <c r="M10390" t="str">
        <f>"81787"</f>
        <v>81787</v>
      </c>
      <c r="N10390" t="s">
        <v>8240</v>
      </c>
      <c r="O10390">
        <v>131.44999999999999</v>
      </c>
      <c r="P10390">
        <v>20181129</v>
      </c>
      <c r="Q10390" t="s">
        <v>8243</v>
      </c>
      <c r="R10390" t="s">
        <v>8244</v>
      </c>
      <c r="S10390" t="s">
        <v>8163</v>
      </c>
      <c r="T10390" t="s">
        <v>301</v>
      </c>
    </row>
    <row r="10391" spans="1:20" x14ac:dyDescent="0.25">
      <c r="A10391">
        <v>9</v>
      </c>
      <c r="B10391">
        <v>865</v>
      </c>
      <c r="C10391" t="str">
        <f t="shared" si="2346"/>
        <v>36</v>
      </c>
      <c r="D10391">
        <v>6412</v>
      </c>
      <c r="E10391" t="str">
        <f>"7K"</f>
        <v>7K</v>
      </c>
      <c r="F10391" t="str">
        <f>"041"</f>
        <v>041</v>
      </c>
      <c r="G10391">
        <v>9</v>
      </c>
      <c r="H10391" t="str">
        <f t="shared" si="2347"/>
        <v>99</v>
      </c>
      <c r="I10391" t="str">
        <f t="shared" si="2350"/>
        <v>0</v>
      </c>
      <c r="J10391" t="str">
        <f t="shared" si="2349"/>
        <v>00</v>
      </c>
      <c r="K10391">
        <v>20181130</v>
      </c>
      <c r="L10391" t="str">
        <f>"074823"</f>
        <v>074823</v>
      </c>
      <c r="M10391" t="str">
        <f>"82491"</f>
        <v>82491</v>
      </c>
      <c r="N10391" t="s">
        <v>666</v>
      </c>
      <c r="O10391">
        <v>462.5</v>
      </c>
      <c r="P10391">
        <v>20181129</v>
      </c>
      <c r="Q10391" t="s">
        <v>8207</v>
      </c>
      <c r="R10391" t="s">
        <v>2775</v>
      </c>
      <c r="S10391" t="s">
        <v>8163</v>
      </c>
      <c r="T10391" t="s">
        <v>106</v>
      </c>
    </row>
    <row r="10392" spans="1:20" x14ac:dyDescent="0.25">
      <c r="A10392">
        <v>9</v>
      </c>
      <c r="B10392">
        <v>865</v>
      </c>
      <c r="C10392" t="str">
        <f t="shared" si="2346"/>
        <v>36</v>
      </c>
      <c r="D10392">
        <v>6399</v>
      </c>
      <c r="E10392" t="str">
        <f>"7B"</f>
        <v>7B</v>
      </c>
      <c r="F10392" t="str">
        <f>"041"</f>
        <v>041</v>
      </c>
      <c r="G10392">
        <v>9</v>
      </c>
      <c r="H10392" t="str">
        <f t="shared" si="2347"/>
        <v>99</v>
      </c>
      <c r="I10392" t="str">
        <f t="shared" si="2350"/>
        <v>0</v>
      </c>
      <c r="J10392" t="str">
        <f t="shared" si="2349"/>
        <v>00</v>
      </c>
      <c r="K10392">
        <v>20181130</v>
      </c>
      <c r="L10392" t="str">
        <f>"074824"</f>
        <v>074824</v>
      </c>
      <c r="M10392" t="str">
        <f>"83022"</f>
        <v>83022</v>
      </c>
      <c r="N10392" t="s">
        <v>691</v>
      </c>
      <c r="O10392">
        <v>105.71</v>
      </c>
      <c r="P10392">
        <v>20181129</v>
      </c>
      <c r="Q10392" t="s">
        <v>8173</v>
      </c>
      <c r="R10392" t="s">
        <v>1771</v>
      </c>
      <c r="S10392" t="s">
        <v>8163</v>
      </c>
      <c r="T10392" t="s">
        <v>106</v>
      </c>
    </row>
    <row r="10393" spans="1:20" x14ac:dyDescent="0.25">
      <c r="A10393">
        <v>9</v>
      </c>
      <c r="B10393">
        <v>865</v>
      </c>
      <c r="C10393" t="str">
        <f t="shared" si="2346"/>
        <v>36</v>
      </c>
      <c r="D10393">
        <v>6399</v>
      </c>
      <c r="E10393" t="str">
        <f>"8P"</f>
        <v>8P</v>
      </c>
      <c r="F10393" t="str">
        <f>"041"</f>
        <v>041</v>
      </c>
      <c r="G10393">
        <v>9</v>
      </c>
      <c r="H10393" t="str">
        <f t="shared" si="2347"/>
        <v>99</v>
      </c>
      <c r="I10393" t="str">
        <f t="shared" si="2350"/>
        <v>0</v>
      </c>
      <c r="J10393" t="str">
        <f t="shared" si="2349"/>
        <v>00</v>
      </c>
      <c r="K10393">
        <v>20181130</v>
      </c>
      <c r="L10393" t="str">
        <f>"074824"</f>
        <v>074824</v>
      </c>
      <c r="M10393" t="str">
        <f>"83022"</f>
        <v>83022</v>
      </c>
      <c r="N10393" t="s">
        <v>691</v>
      </c>
      <c r="O10393">
        <v>97.72</v>
      </c>
      <c r="P10393">
        <v>20181129</v>
      </c>
      <c r="Q10393" t="s">
        <v>8170</v>
      </c>
      <c r="R10393" t="s">
        <v>8245</v>
      </c>
      <c r="S10393" t="s">
        <v>8163</v>
      </c>
      <c r="T10393" t="s">
        <v>106</v>
      </c>
    </row>
    <row r="10394" spans="1:20" x14ac:dyDescent="0.25">
      <c r="A10394">
        <v>9</v>
      </c>
      <c r="B10394">
        <v>865</v>
      </c>
      <c r="C10394" t="str">
        <f t="shared" ref="C10394:C10457" si="2352">"36"</f>
        <v>36</v>
      </c>
      <c r="D10394">
        <v>6412</v>
      </c>
      <c r="E10394" t="str">
        <f>"7K"</f>
        <v>7K</v>
      </c>
      <c r="F10394" t="str">
        <f>"041"</f>
        <v>041</v>
      </c>
      <c r="G10394">
        <v>9</v>
      </c>
      <c r="H10394" t="str">
        <f t="shared" ref="H10394:H10457" si="2353">"99"</f>
        <v>99</v>
      </c>
      <c r="I10394" t="str">
        <f t="shared" si="2350"/>
        <v>0</v>
      </c>
      <c r="J10394" t="str">
        <f t="shared" si="2349"/>
        <v>00</v>
      </c>
      <c r="K10394">
        <v>20181207</v>
      </c>
      <c r="L10394" t="str">
        <f>"074863"</f>
        <v>074863</v>
      </c>
      <c r="M10394" t="str">
        <f>"51346"</f>
        <v>51346</v>
      </c>
      <c r="N10394" t="s">
        <v>418</v>
      </c>
      <c r="O10394">
        <v>169</v>
      </c>
      <c r="P10394">
        <v>20181206</v>
      </c>
      <c r="Q10394" t="s">
        <v>8207</v>
      </c>
      <c r="R10394" t="s">
        <v>7123</v>
      </c>
      <c r="S10394" t="s">
        <v>8163</v>
      </c>
      <c r="T10394" t="s">
        <v>106</v>
      </c>
    </row>
    <row r="10395" spans="1:20" x14ac:dyDescent="0.25">
      <c r="A10395">
        <v>9</v>
      </c>
      <c r="B10395">
        <v>865</v>
      </c>
      <c r="C10395" t="str">
        <f t="shared" si="2352"/>
        <v>36</v>
      </c>
      <c r="D10395">
        <v>6412</v>
      </c>
      <c r="E10395" t="str">
        <f>"8P"</f>
        <v>8P</v>
      </c>
      <c r="F10395" t="str">
        <f>"001"</f>
        <v>001</v>
      </c>
      <c r="G10395">
        <v>9</v>
      </c>
      <c r="H10395" t="str">
        <f t="shared" si="2353"/>
        <v>99</v>
      </c>
      <c r="I10395" t="str">
        <f t="shared" si="2350"/>
        <v>0</v>
      </c>
      <c r="J10395" t="str">
        <f t="shared" si="2349"/>
        <v>00</v>
      </c>
      <c r="K10395">
        <v>20181207</v>
      </c>
      <c r="L10395" t="str">
        <f>"074916"</f>
        <v>074916</v>
      </c>
      <c r="M10395" t="str">
        <f>"57402"</f>
        <v>57402</v>
      </c>
      <c r="N10395" t="s">
        <v>8246</v>
      </c>
      <c r="O10395" s="1">
        <v>1120</v>
      </c>
      <c r="P10395">
        <v>20181206</v>
      </c>
      <c r="Q10395" t="s">
        <v>8247</v>
      </c>
      <c r="R10395" t="s">
        <v>8248</v>
      </c>
      <c r="S10395" t="s">
        <v>8163</v>
      </c>
      <c r="T10395" t="s">
        <v>301</v>
      </c>
    </row>
    <row r="10396" spans="1:20" x14ac:dyDescent="0.25">
      <c r="A10396">
        <v>9</v>
      </c>
      <c r="B10396">
        <v>865</v>
      </c>
      <c r="C10396" t="str">
        <f t="shared" si="2352"/>
        <v>36</v>
      </c>
      <c r="D10396">
        <v>6399</v>
      </c>
      <c r="E10396" t="str">
        <f>"30"</f>
        <v>30</v>
      </c>
      <c r="F10396" t="str">
        <f>"101"</f>
        <v>101</v>
      </c>
      <c r="G10396">
        <v>9</v>
      </c>
      <c r="H10396" t="str">
        <f t="shared" si="2353"/>
        <v>99</v>
      </c>
      <c r="I10396" t="str">
        <f t="shared" si="2350"/>
        <v>0</v>
      </c>
      <c r="J10396" t="str">
        <f t="shared" si="2349"/>
        <v>00</v>
      </c>
      <c r="K10396">
        <v>20181207</v>
      </c>
      <c r="L10396" t="str">
        <f>"074921"</f>
        <v>074921</v>
      </c>
      <c r="M10396" t="str">
        <f>"58203"</f>
        <v>58203</v>
      </c>
      <c r="N10396" t="s">
        <v>3051</v>
      </c>
      <c r="O10396">
        <v>60</v>
      </c>
      <c r="P10396">
        <v>20181206</v>
      </c>
      <c r="Q10396" t="s">
        <v>8205</v>
      </c>
      <c r="R10396" t="s">
        <v>8249</v>
      </c>
      <c r="S10396" t="s">
        <v>8163</v>
      </c>
      <c r="T10396" t="s">
        <v>1479</v>
      </c>
    </row>
    <row r="10397" spans="1:20" x14ac:dyDescent="0.25">
      <c r="A10397">
        <v>9</v>
      </c>
      <c r="B10397">
        <v>865</v>
      </c>
      <c r="C10397" t="str">
        <f t="shared" si="2352"/>
        <v>36</v>
      </c>
      <c r="D10397">
        <v>6399</v>
      </c>
      <c r="E10397" t="str">
        <f>"92"</f>
        <v>92</v>
      </c>
      <c r="F10397" t="str">
        <f>"001"</f>
        <v>001</v>
      </c>
      <c r="G10397">
        <v>9</v>
      </c>
      <c r="H10397" t="str">
        <f t="shared" si="2353"/>
        <v>99</v>
      </c>
      <c r="I10397" t="str">
        <f t="shared" si="2350"/>
        <v>0</v>
      </c>
      <c r="J10397" t="str">
        <f t="shared" si="2349"/>
        <v>00</v>
      </c>
      <c r="K10397">
        <v>20181214</v>
      </c>
      <c r="L10397" t="str">
        <f>"074973"</f>
        <v>074973</v>
      </c>
      <c r="M10397" t="str">
        <f>"06465"</f>
        <v>06465</v>
      </c>
      <c r="N10397" t="s">
        <v>5772</v>
      </c>
      <c r="O10397">
        <v>85</v>
      </c>
      <c r="P10397">
        <v>20181212</v>
      </c>
      <c r="Q10397" t="s">
        <v>8250</v>
      </c>
      <c r="R10397" t="s">
        <v>8251</v>
      </c>
      <c r="S10397" t="s">
        <v>8163</v>
      </c>
      <c r="T10397" t="s">
        <v>301</v>
      </c>
    </row>
    <row r="10398" spans="1:20" x14ac:dyDescent="0.25">
      <c r="A10398">
        <v>9</v>
      </c>
      <c r="B10398">
        <v>865</v>
      </c>
      <c r="C10398" t="str">
        <f t="shared" si="2352"/>
        <v>36</v>
      </c>
      <c r="D10398">
        <v>6399</v>
      </c>
      <c r="E10398" t="str">
        <f>"V8"</f>
        <v>V8</v>
      </c>
      <c r="F10398" t="str">
        <f>"001"</f>
        <v>001</v>
      </c>
      <c r="G10398">
        <v>9</v>
      </c>
      <c r="H10398" t="str">
        <f t="shared" si="2353"/>
        <v>99</v>
      </c>
      <c r="I10398" t="str">
        <f t="shared" si="2350"/>
        <v>0</v>
      </c>
      <c r="J10398" t="str">
        <f t="shared" si="2349"/>
        <v>00</v>
      </c>
      <c r="K10398">
        <v>20181214</v>
      </c>
      <c r="L10398" t="str">
        <f>"075033"</f>
        <v>075033</v>
      </c>
      <c r="M10398" t="str">
        <f>"40550"</f>
        <v>40550</v>
      </c>
      <c r="N10398" t="s">
        <v>2645</v>
      </c>
      <c r="O10398">
        <v>135.97</v>
      </c>
      <c r="P10398">
        <v>20181212</v>
      </c>
      <c r="Q10398" t="s">
        <v>8227</v>
      </c>
      <c r="R10398" t="s">
        <v>8252</v>
      </c>
      <c r="S10398" t="s">
        <v>8163</v>
      </c>
      <c r="T10398" t="s">
        <v>301</v>
      </c>
    </row>
    <row r="10399" spans="1:20" x14ac:dyDescent="0.25">
      <c r="A10399">
        <v>9</v>
      </c>
      <c r="B10399">
        <v>865</v>
      </c>
      <c r="C10399" t="str">
        <f t="shared" si="2352"/>
        <v>36</v>
      </c>
      <c r="D10399">
        <v>6299</v>
      </c>
      <c r="E10399" t="str">
        <f>"V8"</f>
        <v>V8</v>
      </c>
      <c r="F10399" t="str">
        <f>"001"</f>
        <v>001</v>
      </c>
      <c r="G10399">
        <v>9</v>
      </c>
      <c r="H10399" t="str">
        <f t="shared" si="2353"/>
        <v>99</v>
      </c>
      <c r="I10399" t="str">
        <f t="shared" si="2350"/>
        <v>0</v>
      </c>
      <c r="J10399" t="str">
        <f t="shared" si="2349"/>
        <v>00</v>
      </c>
      <c r="K10399">
        <v>20181214</v>
      </c>
      <c r="L10399" t="str">
        <f>"075053"</f>
        <v>075053</v>
      </c>
      <c r="M10399" t="str">
        <f>"00635"</f>
        <v>00635</v>
      </c>
      <c r="N10399" t="s">
        <v>8253</v>
      </c>
      <c r="O10399">
        <v>250</v>
      </c>
      <c r="P10399">
        <v>20181212</v>
      </c>
      <c r="Q10399" t="s">
        <v>8254</v>
      </c>
      <c r="R10399" t="s">
        <v>8255</v>
      </c>
      <c r="S10399" t="s">
        <v>8163</v>
      </c>
      <c r="T10399" t="s">
        <v>301</v>
      </c>
    </row>
    <row r="10400" spans="1:20" x14ac:dyDescent="0.25">
      <c r="A10400">
        <v>9</v>
      </c>
      <c r="B10400">
        <v>865</v>
      </c>
      <c r="C10400" t="str">
        <f t="shared" si="2352"/>
        <v>36</v>
      </c>
      <c r="D10400">
        <v>6499</v>
      </c>
      <c r="E10400" t="str">
        <f>"8T"</f>
        <v>8T</v>
      </c>
      <c r="F10400" t="str">
        <f>"001"</f>
        <v>001</v>
      </c>
      <c r="G10400">
        <v>9</v>
      </c>
      <c r="H10400" t="str">
        <f t="shared" si="2353"/>
        <v>99</v>
      </c>
      <c r="I10400" t="str">
        <f t="shared" si="2350"/>
        <v>0</v>
      </c>
      <c r="J10400" t="str">
        <f t="shared" si="2349"/>
        <v>00</v>
      </c>
      <c r="K10400">
        <v>20181214</v>
      </c>
      <c r="L10400" t="str">
        <f>"075058"</f>
        <v>075058</v>
      </c>
      <c r="M10400" t="str">
        <f>"54236"</f>
        <v>54236</v>
      </c>
      <c r="N10400" t="s">
        <v>3200</v>
      </c>
      <c r="O10400">
        <v>387</v>
      </c>
      <c r="P10400">
        <v>20181212</v>
      </c>
      <c r="Q10400" t="s">
        <v>8164</v>
      </c>
      <c r="R10400" t="s">
        <v>7307</v>
      </c>
      <c r="S10400" t="s">
        <v>8163</v>
      </c>
      <c r="T10400" t="s">
        <v>301</v>
      </c>
    </row>
    <row r="10401" spans="1:20" x14ac:dyDescent="0.25">
      <c r="A10401">
        <v>9</v>
      </c>
      <c r="B10401">
        <v>865</v>
      </c>
      <c r="C10401" t="str">
        <f t="shared" si="2352"/>
        <v>36</v>
      </c>
      <c r="D10401">
        <v>6399</v>
      </c>
      <c r="E10401" t="str">
        <f>"30"</f>
        <v>30</v>
      </c>
      <c r="F10401" t="str">
        <f>"002"</f>
        <v>002</v>
      </c>
      <c r="G10401">
        <v>9</v>
      </c>
      <c r="H10401" t="str">
        <f t="shared" si="2353"/>
        <v>99</v>
      </c>
      <c r="I10401" t="str">
        <f t="shared" si="2350"/>
        <v>0</v>
      </c>
      <c r="J10401" t="str">
        <f t="shared" si="2349"/>
        <v>00</v>
      </c>
      <c r="K10401">
        <v>20181214</v>
      </c>
      <c r="L10401" t="str">
        <f>"075070"</f>
        <v>075070</v>
      </c>
      <c r="M10401" t="str">
        <f>"58211"</f>
        <v>58211</v>
      </c>
      <c r="N10401" t="s">
        <v>1472</v>
      </c>
      <c r="O10401">
        <v>24.92</v>
      </c>
      <c r="P10401">
        <v>20181213</v>
      </c>
      <c r="Q10401" t="s">
        <v>8188</v>
      </c>
      <c r="R10401" t="s">
        <v>8256</v>
      </c>
      <c r="S10401" t="s">
        <v>8163</v>
      </c>
      <c r="T10401" t="s">
        <v>1485</v>
      </c>
    </row>
    <row r="10402" spans="1:20" x14ac:dyDescent="0.25">
      <c r="A10402">
        <v>9</v>
      </c>
      <c r="B10402">
        <v>865</v>
      </c>
      <c r="C10402" t="str">
        <f t="shared" si="2352"/>
        <v>36</v>
      </c>
      <c r="D10402">
        <v>6399</v>
      </c>
      <c r="E10402" t="str">
        <f>"30"</f>
        <v>30</v>
      </c>
      <c r="F10402" t="str">
        <f>"002"</f>
        <v>002</v>
      </c>
      <c r="G10402">
        <v>9</v>
      </c>
      <c r="H10402" t="str">
        <f t="shared" si="2353"/>
        <v>99</v>
      </c>
      <c r="I10402" t="str">
        <f t="shared" si="2350"/>
        <v>0</v>
      </c>
      <c r="J10402" t="str">
        <f t="shared" si="2349"/>
        <v>00</v>
      </c>
      <c r="K10402">
        <v>20181214</v>
      </c>
      <c r="L10402" t="str">
        <f>"075070"</f>
        <v>075070</v>
      </c>
      <c r="M10402" t="str">
        <f>"58211"</f>
        <v>58211</v>
      </c>
      <c r="N10402" t="s">
        <v>1472</v>
      </c>
      <c r="O10402">
        <v>134.75</v>
      </c>
      <c r="P10402">
        <v>20181213</v>
      </c>
      <c r="Q10402" t="s">
        <v>8188</v>
      </c>
      <c r="R10402" t="s">
        <v>1771</v>
      </c>
      <c r="S10402" t="s">
        <v>8163</v>
      </c>
      <c r="T10402" t="s">
        <v>1485</v>
      </c>
    </row>
    <row r="10403" spans="1:20" x14ac:dyDescent="0.25">
      <c r="A10403">
        <v>9</v>
      </c>
      <c r="B10403">
        <v>865</v>
      </c>
      <c r="C10403" t="str">
        <f t="shared" si="2352"/>
        <v>36</v>
      </c>
      <c r="D10403">
        <v>6399</v>
      </c>
      <c r="E10403" t="str">
        <f>"30"</f>
        <v>30</v>
      </c>
      <c r="F10403" t="str">
        <f>"002"</f>
        <v>002</v>
      </c>
      <c r="G10403">
        <v>9</v>
      </c>
      <c r="H10403" t="str">
        <f t="shared" si="2353"/>
        <v>99</v>
      </c>
      <c r="I10403" t="str">
        <f t="shared" si="2350"/>
        <v>0</v>
      </c>
      <c r="J10403" t="str">
        <f t="shared" si="2349"/>
        <v>00</v>
      </c>
      <c r="K10403">
        <v>20181214</v>
      </c>
      <c r="L10403" t="str">
        <f>"075070"</f>
        <v>075070</v>
      </c>
      <c r="M10403" t="str">
        <f>"58211"</f>
        <v>58211</v>
      </c>
      <c r="N10403" t="s">
        <v>1472</v>
      </c>
      <c r="O10403">
        <v>167.61</v>
      </c>
      <c r="P10403">
        <v>20181213</v>
      </c>
      <c r="Q10403" t="s">
        <v>8188</v>
      </c>
      <c r="R10403" t="s">
        <v>8257</v>
      </c>
      <c r="S10403" t="s">
        <v>8163</v>
      </c>
      <c r="T10403" t="s">
        <v>1485</v>
      </c>
    </row>
    <row r="10404" spans="1:20" x14ac:dyDescent="0.25">
      <c r="A10404">
        <v>9</v>
      </c>
      <c r="B10404">
        <v>865</v>
      </c>
      <c r="C10404" t="str">
        <f t="shared" si="2352"/>
        <v>36</v>
      </c>
      <c r="D10404">
        <v>6399</v>
      </c>
      <c r="E10404" t="str">
        <f>"30"</f>
        <v>30</v>
      </c>
      <c r="F10404" t="str">
        <f>"104"</f>
        <v>104</v>
      </c>
      <c r="G10404">
        <v>9</v>
      </c>
      <c r="H10404" t="str">
        <f t="shared" si="2353"/>
        <v>99</v>
      </c>
      <c r="I10404" t="str">
        <f t="shared" si="2350"/>
        <v>0</v>
      </c>
      <c r="J10404" t="str">
        <f t="shared" si="2349"/>
        <v>00</v>
      </c>
      <c r="K10404">
        <v>20181214</v>
      </c>
      <c r="L10404" t="str">
        <f>"075071"</f>
        <v>075071</v>
      </c>
      <c r="M10404" t="str">
        <f>"58201"</f>
        <v>58201</v>
      </c>
      <c r="N10404" t="s">
        <v>2662</v>
      </c>
      <c r="O10404">
        <v>9</v>
      </c>
      <c r="P10404">
        <v>20181213</v>
      </c>
      <c r="Q10404" t="s">
        <v>8210</v>
      </c>
      <c r="R10404" t="s">
        <v>8258</v>
      </c>
      <c r="S10404" t="s">
        <v>8163</v>
      </c>
      <c r="T10404" t="s">
        <v>46</v>
      </c>
    </row>
    <row r="10405" spans="1:20" x14ac:dyDescent="0.25">
      <c r="A10405">
        <v>9</v>
      </c>
      <c r="B10405">
        <v>865</v>
      </c>
      <c r="C10405" t="str">
        <f t="shared" si="2352"/>
        <v>36</v>
      </c>
      <c r="D10405">
        <v>6399</v>
      </c>
      <c r="E10405" t="str">
        <f>"30"</f>
        <v>30</v>
      </c>
      <c r="F10405" t="str">
        <f>"104"</f>
        <v>104</v>
      </c>
      <c r="G10405">
        <v>9</v>
      </c>
      <c r="H10405" t="str">
        <f t="shared" si="2353"/>
        <v>99</v>
      </c>
      <c r="I10405" t="str">
        <f t="shared" si="2350"/>
        <v>0</v>
      </c>
      <c r="J10405" t="str">
        <f t="shared" si="2349"/>
        <v>00</v>
      </c>
      <c r="K10405">
        <v>20181214</v>
      </c>
      <c r="L10405" t="str">
        <f>"075071"</f>
        <v>075071</v>
      </c>
      <c r="M10405" t="str">
        <f>"58201"</f>
        <v>58201</v>
      </c>
      <c r="N10405" t="s">
        <v>2662</v>
      </c>
      <c r="O10405">
        <v>20.98</v>
      </c>
      <c r="P10405">
        <v>20181213</v>
      </c>
      <c r="Q10405" t="s">
        <v>8210</v>
      </c>
      <c r="R10405" t="s">
        <v>8258</v>
      </c>
      <c r="S10405" t="s">
        <v>8163</v>
      </c>
      <c r="T10405" t="s">
        <v>46</v>
      </c>
    </row>
    <row r="10406" spans="1:20" x14ac:dyDescent="0.25">
      <c r="A10406">
        <v>9</v>
      </c>
      <c r="B10406">
        <v>865</v>
      </c>
      <c r="C10406" t="str">
        <f t="shared" si="2352"/>
        <v>36</v>
      </c>
      <c r="D10406">
        <v>6399</v>
      </c>
      <c r="E10406" t="str">
        <f>"8P"</f>
        <v>8P</v>
      </c>
      <c r="F10406" t="str">
        <f>"001"</f>
        <v>001</v>
      </c>
      <c r="G10406">
        <v>9</v>
      </c>
      <c r="H10406" t="str">
        <f t="shared" si="2353"/>
        <v>99</v>
      </c>
      <c r="I10406" t="str">
        <f t="shared" si="2350"/>
        <v>0</v>
      </c>
      <c r="J10406" t="str">
        <f t="shared" si="2349"/>
        <v>00</v>
      </c>
      <c r="K10406">
        <v>20181214</v>
      </c>
      <c r="L10406" t="str">
        <f>"075081"</f>
        <v>075081</v>
      </c>
      <c r="M10406" t="str">
        <f>"65106"</f>
        <v>65106</v>
      </c>
      <c r="N10406" t="s">
        <v>1175</v>
      </c>
      <c r="O10406">
        <v>218.56</v>
      </c>
      <c r="P10406">
        <v>20181213</v>
      </c>
      <c r="Q10406" t="s">
        <v>8172</v>
      </c>
      <c r="R10406" t="s">
        <v>8259</v>
      </c>
      <c r="S10406" t="s">
        <v>8163</v>
      </c>
      <c r="T10406" t="s">
        <v>301</v>
      </c>
    </row>
    <row r="10407" spans="1:20" x14ac:dyDescent="0.25">
      <c r="A10407">
        <v>9</v>
      </c>
      <c r="B10407">
        <v>865</v>
      </c>
      <c r="C10407" t="str">
        <f t="shared" si="2352"/>
        <v>36</v>
      </c>
      <c r="D10407">
        <v>6399</v>
      </c>
      <c r="E10407" t="str">
        <f>"V8"</f>
        <v>V8</v>
      </c>
      <c r="F10407" t="str">
        <f>"001"</f>
        <v>001</v>
      </c>
      <c r="G10407">
        <v>9</v>
      </c>
      <c r="H10407" t="str">
        <f t="shared" si="2353"/>
        <v>99</v>
      </c>
      <c r="I10407" t="str">
        <f t="shared" si="2350"/>
        <v>0</v>
      </c>
      <c r="J10407" t="str">
        <f t="shared" si="2349"/>
        <v>00</v>
      </c>
      <c r="K10407">
        <v>20181214</v>
      </c>
      <c r="L10407" t="str">
        <f>"075081"</f>
        <v>075081</v>
      </c>
      <c r="M10407" t="str">
        <f>"65106"</f>
        <v>65106</v>
      </c>
      <c r="N10407" t="s">
        <v>1175</v>
      </c>
      <c r="O10407">
        <v>426.57</v>
      </c>
      <c r="P10407">
        <v>20181213</v>
      </c>
      <c r="Q10407" t="s">
        <v>8227</v>
      </c>
      <c r="R10407" t="s">
        <v>8260</v>
      </c>
      <c r="S10407" t="s">
        <v>8163</v>
      </c>
      <c r="T10407" t="s">
        <v>301</v>
      </c>
    </row>
    <row r="10408" spans="1:20" x14ac:dyDescent="0.25">
      <c r="A10408">
        <v>9</v>
      </c>
      <c r="B10408">
        <v>865</v>
      </c>
      <c r="C10408" t="str">
        <f t="shared" si="2352"/>
        <v>36</v>
      </c>
      <c r="D10408">
        <v>6399</v>
      </c>
      <c r="E10408" t="str">
        <f t="shared" ref="E10408:E10414" si="2354">"30"</f>
        <v>30</v>
      </c>
      <c r="F10408" t="str">
        <f t="shared" ref="F10408:F10414" si="2355">"101"</f>
        <v>101</v>
      </c>
      <c r="G10408">
        <v>9</v>
      </c>
      <c r="H10408" t="str">
        <f t="shared" si="2353"/>
        <v>99</v>
      </c>
      <c r="I10408" t="str">
        <f t="shared" si="2350"/>
        <v>0</v>
      </c>
      <c r="J10408" t="str">
        <f t="shared" si="2349"/>
        <v>00</v>
      </c>
      <c r="K10408">
        <v>20181214</v>
      </c>
      <c r="L10408" t="str">
        <f t="shared" ref="L10408:L10414" si="2356">"075092"</f>
        <v>075092</v>
      </c>
      <c r="M10408" t="str">
        <f t="shared" ref="M10408:M10414" si="2357">"72730"</f>
        <v>72730</v>
      </c>
      <c r="N10408" t="s">
        <v>639</v>
      </c>
      <c r="O10408">
        <v>43.7</v>
      </c>
      <c r="P10408">
        <v>20181213</v>
      </c>
      <c r="Q10408" t="s">
        <v>8205</v>
      </c>
      <c r="R10408" t="s">
        <v>8261</v>
      </c>
      <c r="S10408" t="s">
        <v>8163</v>
      </c>
      <c r="T10408" t="s">
        <v>1479</v>
      </c>
    </row>
    <row r="10409" spans="1:20" x14ac:dyDescent="0.25">
      <c r="A10409">
        <v>9</v>
      </c>
      <c r="B10409">
        <v>865</v>
      </c>
      <c r="C10409" t="str">
        <f t="shared" si="2352"/>
        <v>36</v>
      </c>
      <c r="D10409">
        <v>6399</v>
      </c>
      <c r="E10409" t="str">
        <f t="shared" si="2354"/>
        <v>30</v>
      </c>
      <c r="F10409" t="str">
        <f t="shared" si="2355"/>
        <v>101</v>
      </c>
      <c r="G10409">
        <v>9</v>
      </c>
      <c r="H10409" t="str">
        <f t="shared" si="2353"/>
        <v>99</v>
      </c>
      <c r="I10409" t="str">
        <f t="shared" si="2350"/>
        <v>0</v>
      </c>
      <c r="J10409" t="str">
        <f t="shared" si="2349"/>
        <v>00</v>
      </c>
      <c r="K10409">
        <v>20181214</v>
      </c>
      <c r="L10409" t="str">
        <f t="shared" si="2356"/>
        <v>075092</v>
      </c>
      <c r="M10409" t="str">
        <f t="shared" si="2357"/>
        <v>72730</v>
      </c>
      <c r="N10409" t="s">
        <v>639</v>
      </c>
      <c r="O10409">
        <v>5.78</v>
      </c>
      <c r="P10409">
        <v>20181213</v>
      </c>
      <c r="Q10409" t="s">
        <v>8205</v>
      </c>
      <c r="R10409" t="s">
        <v>8262</v>
      </c>
      <c r="S10409" t="s">
        <v>8163</v>
      </c>
      <c r="T10409" t="s">
        <v>1479</v>
      </c>
    </row>
    <row r="10410" spans="1:20" x14ac:dyDescent="0.25">
      <c r="A10410">
        <v>9</v>
      </c>
      <c r="B10410">
        <v>865</v>
      </c>
      <c r="C10410" t="str">
        <f t="shared" si="2352"/>
        <v>36</v>
      </c>
      <c r="D10410">
        <v>6399</v>
      </c>
      <c r="E10410" t="str">
        <f t="shared" si="2354"/>
        <v>30</v>
      </c>
      <c r="F10410" t="str">
        <f t="shared" si="2355"/>
        <v>101</v>
      </c>
      <c r="G10410">
        <v>9</v>
      </c>
      <c r="H10410" t="str">
        <f t="shared" si="2353"/>
        <v>99</v>
      </c>
      <c r="I10410" t="str">
        <f t="shared" si="2350"/>
        <v>0</v>
      </c>
      <c r="J10410" t="str">
        <f t="shared" si="2349"/>
        <v>00</v>
      </c>
      <c r="K10410">
        <v>20181214</v>
      </c>
      <c r="L10410" t="str">
        <f t="shared" si="2356"/>
        <v>075092</v>
      </c>
      <c r="M10410" t="str">
        <f t="shared" si="2357"/>
        <v>72730</v>
      </c>
      <c r="N10410" t="s">
        <v>639</v>
      </c>
      <c r="O10410">
        <v>115.71</v>
      </c>
      <c r="P10410">
        <v>20181213</v>
      </c>
      <c r="Q10410" t="s">
        <v>8205</v>
      </c>
      <c r="R10410" t="s">
        <v>8263</v>
      </c>
      <c r="S10410" t="s">
        <v>8163</v>
      </c>
      <c r="T10410" t="s">
        <v>1479</v>
      </c>
    </row>
    <row r="10411" spans="1:20" x14ac:dyDescent="0.25">
      <c r="A10411">
        <v>9</v>
      </c>
      <c r="B10411">
        <v>865</v>
      </c>
      <c r="C10411" t="str">
        <f t="shared" si="2352"/>
        <v>36</v>
      </c>
      <c r="D10411">
        <v>6399</v>
      </c>
      <c r="E10411" t="str">
        <f t="shared" si="2354"/>
        <v>30</v>
      </c>
      <c r="F10411" t="str">
        <f t="shared" si="2355"/>
        <v>101</v>
      </c>
      <c r="G10411">
        <v>9</v>
      </c>
      <c r="H10411" t="str">
        <f t="shared" si="2353"/>
        <v>99</v>
      </c>
      <c r="I10411" t="str">
        <f t="shared" si="2350"/>
        <v>0</v>
      </c>
      <c r="J10411" t="str">
        <f t="shared" si="2349"/>
        <v>00</v>
      </c>
      <c r="K10411">
        <v>20181214</v>
      </c>
      <c r="L10411" t="str">
        <f t="shared" si="2356"/>
        <v>075092</v>
      </c>
      <c r="M10411" t="str">
        <f t="shared" si="2357"/>
        <v>72730</v>
      </c>
      <c r="N10411" t="s">
        <v>639</v>
      </c>
      <c r="O10411">
        <v>10.43</v>
      </c>
      <c r="P10411">
        <v>20181213</v>
      </c>
      <c r="Q10411" t="s">
        <v>8205</v>
      </c>
      <c r="R10411" t="s">
        <v>8264</v>
      </c>
      <c r="S10411" t="s">
        <v>8163</v>
      </c>
      <c r="T10411" t="s">
        <v>1479</v>
      </c>
    </row>
    <row r="10412" spans="1:20" x14ac:dyDescent="0.25">
      <c r="A10412">
        <v>9</v>
      </c>
      <c r="B10412">
        <v>865</v>
      </c>
      <c r="C10412" t="str">
        <f t="shared" si="2352"/>
        <v>36</v>
      </c>
      <c r="D10412">
        <v>6399</v>
      </c>
      <c r="E10412" t="str">
        <f t="shared" si="2354"/>
        <v>30</v>
      </c>
      <c r="F10412" t="str">
        <f t="shared" si="2355"/>
        <v>101</v>
      </c>
      <c r="G10412">
        <v>9</v>
      </c>
      <c r="H10412" t="str">
        <f t="shared" si="2353"/>
        <v>99</v>
      </c>
      <c r="I10412" t="str">
        <f t="shared" si="2350"/>
        <v>0</v>
      </c>
      <c r="J10412" t="str">
        <f t="shared" si="2349"/>
        <v>00</v>
      </c>
      <c r="K10412">
        <v>20181214</v>
      </c>
      <c r="L10412" t="str">
        <f t="shared" si="2356"/>
        <v>075092</v>
      </c>
      <c r="M10412" t="str">
        <f t="shared" si="2357"/>
        <v>72730</v>
      </c>
      <c r="N10412" t="s">
        <v>639</v>
      </c>
      <c r="O10412">
        <v>12.87</v>
      </c>
      <c r="P10412">
        <v>20181213</v>
      </c>
      <c r="Q10412" t="s">
        <v>8205</v>
      </c>
      <c r="R10412" t="s">
        <v>8262</v>
      </c>
      <c r="S10412" t="s">
        <v>8163</v>
      </c>
      <c r="T10412" t="s">
        <v>1479</v>
      </c>
    </row>
    <row r="10413" spans="1:20" x14ac:dyDescent="0.25">
      <c r="A10413">
        <v>9</v>
      </c>
      <c r="B10413">
        <v>865</v>
      </c>
      <c r="C10413" t="str">
        <f t="shared" si="2352"/>
        <v>36</v>
      </c>
      <c r="D10413">
        <v>6399</v>
      </c>
      <c r="E10413" t="str">
        <f t="shared" si="2354"/>
        <v>30</v>
      </c>
      <c r="F10413" t="str">
        <f t="shared" si="2355"/>
        <v>101</v>
      </c>
      <c r="G10413">
        <v>9</v>
      </c>
      <c r="H10413" t="str">
        <f t="shared" si="2353"/>
        <v>99</v>
      </c>
      <c r="I10413" t="str">
        <f t="shared" si="2350"/>
        <v>0</v>
      </c>
      <c r="J10413" t="str">
        <f t="shared" si="2349"/>
        <v>00</v>
      </c>
      <c r="K10413">
        <v>20181214</v>
      </c>
      <c r="L10413" t="str">
        <f t="shared" si="2356"/>
        <v>075092</v>
      </c>
      <c r="M10413" t="str">
        <f t="shared" si="2357"/>
        <v>72730</v>
      </c>
      <c r="N10413" t="s">
        <v>639</v>
      </c>
      <c r="O10413">
        <v>104.21</v>
      </c>
      <c r="P10413">
        <v>20181213</v>
      </c>
      <c r="Q10413" t="s">
        <v>8205</v>
      </c>
      <c r="R10413" t="s">
        <v>641</v>
      </c>
      <c r="S10413" t="s">
        <v>8163</v>
      </c>
      <c r="T10413" t="s">
        <v>1479</v>
      </c>
    </row>
    <row r="10414" spans="1:20" x14ac:dyDescent="0.25">
      <c r="A10414">
        <v>9</v>
      </c>
      <c r="B10414">
        <v>865</v>
      </c>
      <c r="C10414" t="str">
        <f t="shared" si="2352"/>
        <v>36</v>
      </c>
      <c r="D10414">
        <v>6399</v>
      </c>
      <c r="E10414" t="str">
        <f t="shared" si="2354"/>
        <v>30</v>
      </c>
      <c r="F10414" t="str">
        <f t="shared" si="2355"/>
        <v>101</v>
      </c>
      <c r="G10414">
        <v>9</v>
      </c>
      <c r="H10414" t="str">
        <f t="shared" si="2353"/>
        <v>99</v>
      </c>
      <c r="I10414" t="str">
        <f t="shared" si="2350"/>
        <v>0</v>
      </c>
      <c r="J10414" t="str">
        <f t="shared" si="2349"/>
        <v>00</v>
      </c>
      <c r="K10414">
        <v>20181214</v>
      </c>
      <c r="L10414" t="str">
        <f t="shared" si="2356"/>
        <v>075092</v>
      </c>
      <c r="M10414" t="str">
        <f t="shared" si="2357"/>
        <v>72730</v>
      </c>
      <c r="N10414" t="s">
        <v>639</v>
      </c>
      <c r="O10414">
        <v>-10.43</v>
      </c>
      <c r="P10414">
        <v>20181114</v>
      </c>
      <c r="Q10414" t="s">
        <v>8205</v>
      </c>
      <c r="R10414" t="s">
        <v>8265</v>
      </c>
      <c r="S10414" t="s">
        <v>8163</v>
      </c>
      <c r="T10414" t="s">
        <v>1479</v>
      </c>
    </row>
    <row r="10415" spans="1:20" x14ac:dyDescent="0.25">
      <c r="A10415">
        <v>9</v>
      </c>
      <c r="B10415">
        <v>865</v>
      </c>
      <c r="C10415" t="str">
        <f t="shared" si="2352"/>
        <v>36</v>
      </c>
      <c r="D10415">
        <v>6399</v>
      </c>
      <c r="E10415" t="str">
        <f>"48"</f>
        <v>48</v>
      </c>
      <c r="F10415" t="str">
        <f t="shared" ref="F10415:F10421" si="2358">"001"</f>
        <v>001</v>
      </c>
      <c r="G10415">
        <v>9</v>
      </c>
      <c r="H10415" t="str">
        <f t="shared" si="2353"/>
        <v>99</v>
      </c>
      <c r="I10415" t="str">
        <f t="shared" si="2350"/>
        <v>0</v>
      </c>
      <c r="J10415" t="str">
        <f t="shared" si="2349"/>
        <v>00</v>
      </c>
      <c r="K10415">
        <v>20190104</v>
      </c>
      <c r="L10415" t="str">
        <f>"075122"</f>
        <v>075122</v>
      </c>
      <c r="M10415" t="str">
        <f>"37500"</f>
        <v>37500</v>
      </c>
      <c r="N10415" t="s">
        <v>2077</v>
      </c>
      <c r="O10415" s="1">
        <v>2062.0500000000002</v>
      </c>
      <c r="P10415">
        <v>20190104</v>
      </c>
      <c r="Q10415" t="s">
        <v>8266</v>
      </c>
      <c r="R10415" t="s">
        <v>8267</v>
      </c>
      <c r="S10415" t="s">
        <v>8163</v>
      </c>
      <c r="T10415" t="s">
        <v>301</v>
      </c>
    </row>
    <row r="10416" spans="1:20" x14ac:dyDescent="0.25">
      <c r="A10416">
        <v>9</v>
      </c>
      <c r="B10416">
        <v>865</v>
      </c>
      <c r="C10416" t="str">
        <f t="shared" si="2352"/>
        <v>36</v>
      </c>
      <c r="D10416">
        <v>6399</v>
      </c>
      <c r="E10416" t="str">
        <f>"RC"</f>
        <v>RC</v>
      </c>
      <c r="F10416" t="str">
        <f t="shared" si="2358"/>
        <v>001</v>
      </c>
      <c r="G10416">
        <v>9</v>
      </c>
      <c r="H10416" t="str">
        <f t="shared" si="2353"/>
        <v>99</v>
      </c>
      <c r="I10416" t="str">
        <f t="shared" si="2350"/>
        <v>0</v>
      </c>
      <c r="J10416" t="str">
        <f t="shared" si="2349"/>
        <v>00</v>
      </c>
      <c r="K10416">
        <v>20190104</v>
      </c>
      <c r="L10416" t="str">
        <f>"075122"</f>
        <v>075122</v>
      </c>
      <c r="M10416" t="str">
        <f>"37500"</f>
        <v>37500</v>
      </c>
      <c r="N10416" t="s">
        <v>2077</v>
      </c>
      <c r="O10416">
        <v>683.6</v>
      </c>
      <c r="P10416">
        <v>20190104</v>
      </c>
      <c r="Q10416" t="s">
        <v>8268</v>
      </c>
      <c r="R10416" t="s">
        <v>8269</v>
      </c>
      <c r="S10416" t="s">
        <v>8163</v>
      </c>
      <c r="T10416" t="s">
        <v>301</v>
      </c>
    </row>
    <row r="10417" spans="1:20" x14ac:dyDescent="0.25">
      <c r="A10417">
        <v>9</v>
      </c>
      <c r="B10417">
        <v>865</v>
      </c>
      <c r="C10417" t="str">
        <f t="shared" si="2352"/>
        <v>36</v>
      </c>
      <c r="D10417">
        <v>6499</v>
      </c>
      <c r="E10417" t="str">
        <f>"8T"</f>
        <v>8T</v>
      </c>
      <c r="F10417" t="str">
        <f t="shared" si="2358"/>
        <v>001</v>
      </c>
      <c r="G10417">
        <v>9</v>
      </c>
      <c r="H10417" t="str">
        <f t="shared" si="2353"/>
        <v>99</v>
      </c>
      <c r="I10417" t="str">
        <f t="shared" si="2350"/>
        <v>0</v>
      </c>
      <c r="J10417" t="str">
        <f t="shared" si="2349"/>
        <v>00</v>
      </c>
      <c r="K10417">
        <v>20190111</v>
      </c>
      <c r="L10417" t="str">
        <f>"075182"</f>
        <v>075182</v>
      </c>
      <c r="M10417" t="str">
        <f>"25871"</f>
        <v>25871</v>
      </c>
      <c r="N10417" t="s">
        <v>1150</v>
      </c>
      <c r="O10417">
        <v>110.01</v>
      </c>
      <c r="P10417">
        <v>20190109</v>
      </c>
      <c r="Q10417" t="s">
        <v>8164</v>
      </c>
      <c r="R10417" t="s">
        <v>8270</v>
      </c>
      <c r="S10417" t="s">
        <v>8163</v>
      </c>
      <c r="T10417" t="s">
        <v>301</v>
      </c>
    </row>
    <row r="10418" spans="1:20" x14ac:dyDescent="0.25">
      <c r="A10418">
        <v>9</v>
      </c>
      <c r="B10418">
        <v>865</v>
      </c>
      <c r="C10418" t="str">
        <f t="shared" si="2352"/>
        <v>36</v>
      </c>
      <c r="D10418">
        <v>6399</v>
      </c>
      <c r="E10418" t="str">
        <f>"V8"</f>
        <v>V8</v>
      </c>
      <c r="F10418" t="str">
        <f t="shared" si="2358"/>
        <v>001</v>
      </c>
      <c r="G10418">
        <v>9</v>
      </c>
      <c r="H10418" t="str">
        <f t="shared" si="2353"/>
        <v>99</v>
      </c>
      <c r="I10418" t="str">
        <f t="shared" si="2350"/>
        <v>0</v>
      </c>
      <c r="J10418" t="str">
        <f t="shared" si="2349"/>
        <v>00</v>
      </c>
      <c r="K10418">
        <v>20190111</v>
      </c>
      <c r="L10418" t="str">
        <f>"075192"</f>
        <v>075192</v>
      </c>
      <c r="M10418" t="str">
        <f>"30615"</f>
        <v>30615</v>
      </c>
      <c r="N10418" t="s">
        <v>8226</v>
      </c>
      <c r="O10418" s="1">
        <v>2337.1</v>
      </c>
      <c r="P10418">
        <v>20190109</v>
      </c>
      <c r="Q10418" t="s">
        <v>8227</v>
      </c>
      <c r="R10418" t="s">
        <v>8271</v>
      </c>
      <c r="S10418" t="s">
        <v>8163</v>
      </c>
      <c r="T10418" t="s">
        <v>301</v>
      </c>
    </row>
    <row r="10419" spans="1:20" x14ac:dyDescent="0.25">
      <c r="A10419">
        <v>9</v>
      </c>
      <c r="B10419">
        <v>865</v>
      </c>
      <c r="C10419" t="str">
        <f t="shared" si="2352"/>
        <v>36</v>
      </c>
      <c r="D10419">
        <v>6412</v>
      </c>
      <c r="E10419" t="str">
        <f>"8S"</f>
        <v>8S</v>
      </c>
      <c r="F10419" t="str">
        <f t="shared" si="2358"/>
        <v>001</v>
      </c>
      <c r="G10419">
        <v>9</v>
      </c>
      <c r="H10419" t="str">
        <f t="shared" si="2353"/>
        <v>99</v>
      </c>
      <c r="I10419" t="str">
        <f t="shared" si="2350"/>
        <v>0</v>
      </c>
      <c r="J10419" t="str">
        <f t="shared" si="2349"/>
        <v>00</v>
      </c>
      <c r="K10419">
        <v>20190111</v>
      </c>
      <c r="L10419" t="str">
        <f>"075208"</f>
        <v>075208</v>
      </c>
      <c r="M10419" t="str">
        <f>"00170"</f>
        <v>00170</v>
      </c>
      <c r="N10419" t="s">
        <v>8272</v>
      </c>
      <c r="O10419" s="1">
        <v>2500</v>
      </c>
      <c r="P10419">
        <v>20190109</v>
      </c>
      <c r="Q10419" t="s">
        <v>8178</v>
      </c>
      <c r="R10419" t="s">
        <v>7998</v>
      </c>
      <c r="S10419" t="s">
        <v>8163</v>
      </c>
      <c r="T10419" t="s">
        <v>301</v>
      </c>
    </row>
    <row r="10420" spans="1:20" x14ac:dyDescent="0.25">
      <c r="A10420">
        <v>9</v>
      </c>
      <c r="B10420">
        <v>865</v>
      </c>
      <c r="C10420" t="str">
        <f t="shared" si="2352"/>
        <v>36</v>
      </c>
      <c r="D10420">
        <v>6399</v>
      </c>
      <c r="E10420" t="str">
        <f>"8T"</f>
        <v>8T</v>
      </c>
      <c r="F10420" t="str">
        <f t="shared" si="2358"/>
        <v>001</v>
      </c>
      <c r="G10420">
        <v>9</v>
      </c>
      <c r="H10420" t="str">
        <f t="shared" si="2353"/>
        <v>99</v>
      </c>
      <c r="I10420" t="str">
        <f t="shared" si="2350"/>
        <v>0</v>
      </c>
      <c r="J10420" t="str">
        <f t="shared" si="2349"/>
        <v>00</v>
      </c>
      <c r="K10420">
        <v>20190111</v>
      </c>
      <c r="L10420" t="str">
        <f>"075253"</f>
        <v>075253</v>
      </c>
      <c r="M10420" t="str">
        <f>"58204"</f>
        <v>58204</v>
      </c>
      <c r="N10420" t="s">
        <v>1767</v>
      </c>
      <c r="O10420">
        <v>72</v>
      </c>
      <c r="P10420">
        <v>20190110</v>
      </c>
      <c r="Q10420" t="s">
        <v>8165</v>
      </c>
      <c r="R10420" t="s">
        <v>8273</v>
      </c>
      <c r="S10420" t="s">
        <v>8163</v>
      </c>
      <c r="T10420" t="s">
        <v>301</v>
      </c>
    </row>
    <row r="10421" spans="1:20" x14ac:dyDescent="0.25">
      <c r="A10421">
        <v>9</v>
      </c>
      <c r="B10421">
        <v>865</v>
      </c>
      <c r="C10421" t="str">
        <f t="shared" si="2352"/>
        <v>36</v>
      </c>
      <c r="D10421">
        <v>6499</v>
      </c>
      <c r="E10421" t="str">
        <f>"RC"</f>
        <v>RC</v>
      </c>
      <c r="F10421" t="str">
        <f t="shared" si="2358"/>
        <v>001</v>
      </c>
      <c r="G10421">
        <v>9</v>
      </c>
      <c r="H10421" t="str">
        <f t="shared" si="2353"/>
        <v>99</v>
      </c>
      <c r="I10421" t="str">
        <f t="shared" si="2350"/>
        <v>0</v>
      </c>
      <c r="J10421" t="str">
        <f t="shared" si="2349"/>
        <v>00</v>
      </c>
      <c r="K10421">
        <v>20190111</v>
      </c>
      <c r="L10421" t="str">
        <f>"075260"</f>
        <v>075260</v>
      </c>
      <c r="M10421" t="str">
        <f>"00167"</f>
        <v>00167</v>
      </c>
      <c r="N10421" t="s">
        <v>8274</v>
      </c>
      <c r="O10421">
        <v>300</v>
      </c>
      <c r="P10421">
        <v>20190110</v>
      </c>
      <c r="Q10421" t="s">
        <v>8275</v>
      </c>
      <c r="R10421" t="s">
        <v>8276</v>
      </c>
      <c r="S10421" t="s">
        <v>8163</v>
      </c>
      <c r="T10421" t="s">
        <v>301</v>
      </c>
    </row>
    <row r="10422" spans="1:20" x14ac:dyDescent="0.25">
      <c r="A10422">
        <v>9</v>
      </c>
      <c r="B10422">
        <v>865</v>
      </c>
      <c r="C10422" t="str">
        <f t="shared" si="2352"/>
        <v>36</v>
      </c>
      <c r="D10422">
        <v>6499</v>
      </c>
      <c r="E10422" t="str">
        <f>"30"</f>
        <v>30</v>
      </c>
      <c r="F10422" t="str">
        <f>"101"</f>
        <v>101</v>
      </c>
      <c r="G10422">
        <v>9</v>
      </c>
      <c r="H10422" t="str">
        <f t="shared" si="2353"/>
        <v>99</v>
      </c>
      <c r="I10422" t="str">
        <f t="shared" si="2350"/>
        <v>0</v>
      </c>
      <c r="J10422" t="str">
        <f t="shared" si="2349"/>
        <v>00</v>
      </c>
      <c r="K10422">
        <v>20190111</v>
      </c>
      <c r="L10422" t="str">
        <f>"075261"</f>
        <v>075261</v>
      </c>
      <c r="M10422" t="str">
        <f>"64610"</f>
        <v>64610</v>
      </c>
      <c r="N10422" t="s">
        <v>1062</v>
      </c>
      <c r="O10422">
        <v>120</v>
      </c>
      <c r="P10422">
        <v>20190110</v>
      </c>
      <c r="Q10422" t="s">
        <v>8277</v>
      </c>
      <c r="R10422" t="s">
        <v>8278</v>
      </c>
      <c r="S10422" t="s">
        <v>8163</v>
      </c>
      <c r="T10422" t="s">
        <v>1479</v>
      </c>
    </row>
    <row r="10423" spans="1:20" x14ac:dyDescent="0.25">
      <c r="A10423">
        <v>9</v>
      </c>
      <c r="B10423">
        <v>865</v>
      </c>
      <c r="C10423" t="str">
        <f t="shared" si="2352"/>
        <v>36</v>
      </c>
      <c r="D10423">
        <v>6399</v>
      </c>
      <c r="E10423" t="str">
        <f>"30"</f>
        <v>30</v>
      </c>
      <c r="F10423" t="str">
        <f>"101"</f>
        <v>101</v>
      </c>
      <c r="G10423">
        <v>9</v>
      </c>
      <c r="H10423" t="str">
        <f t="shared" si="2353"/>
        <v>99</v>
      </c>
      <c r="I10423" t="str">
        <f t="shared" si="2350"/>
        <v>0</v>
      </c>
      <c r="J10423" t="str">
        <f t="shared" si="2349"/>
        <v>00</v>
      </c>
      <c r="K10423">
        <v>20190111</v>
      </c>
      <c r="L10423" t="str">
        <f>"075288"</f>
        <v>075288</v>
      </c>
      <c r="M10423" t="str">
        <f>"83022"</f>
        <v>83022</v>
      </c>
      <c r="N10423" t="s">
        <v>691</v>
      </c>
      <c r="O10423">
        <v>40.5</v>
      </c>
      <c r="P10423">
        <v>20190110</v>
      </c>
      <c r="Q10423" t="s">
        <v>8205</v>
      </c>
      <c r="R10423" t="s">
        <v>7378</v>
      </c>
      <c r="S10423" t="s">
        <v>8163</v>
      </c>
      <c r="T10423" t="s">
        <v>1479</v>
      </c>
    </row>
    <row r="10424" spans="1:20" x14ac:dyDescent="0.25">
      <c r="A10424">
        <v>9</v>
      </c>
      <c r="B10424">
        <v>865</v>
      </c>
      <c r="C10424" t="str">
        <f t="shared" si="2352"/>
        <v>36</v>
      </c>
      <c r="D10424">
        <v>6399</v>
      </c>
      <c r="E10424" t="str">
        <f>"8P"</f>
        <v>8P</v>
      </c>
      <c r="F10424" t="str">
        <f>"041"</f>
        <v>041</v>
      </c>
      <c r="G10424">
        <v>9</v>
      </c>
      <c r="H10424" t="str">
        <f t="shared" si="2353"/>
        <v>99</v>
      </c>
      <c r="I10424" t="str">
        <f t="shared" si="2350"/>
        <v>0</v>
      </c>
      <c r="J10424" t="str">
        <f t="shared" si="2349"/>
        <v>00</v>
      </c>
      <c r="K10424">
        <v>20190111</v>
      </c>
      <c r="L10424" t="str">
        <f>"075288"</f>
        <v>075288</v>
      </c>
      <c r="M10424" t="str">
        <f>"83022"</f>
        <v>83022</v>
      </c>
      <c r="N10424" t="s">
        <v>691</v>
      </c>
      <c r="O10424">
        <v>185.32</v>
      </c>
      <c r="P10424">
        <v>20190110</v>
      </c>
      <c r="Q10424" t="s">
        <v>8170</v>
      </c>
      <c r="R10424" t="s">
        <v>6999</v>
      </c>
      <c r="S10424" t="s">
        <v>8163</v>
      </c>
      <c r="T10424" t="s">
        <v>106</v>
      </c>
    </row>
    <row r="10425" spans="1:20" x14ac:dyDescent="0.25">
      <c r="A10425">
        <v>9</v>
      </c>
      <c r="B10425">
        <v>865</v>
      </c>
      <c r="C10425" t="str">
        <f t="shared" si="2352"/>
        <v>36</v>
      </c>
      <c r="D10425">
        <v>6412</v>
      </c>
      <c r="E10425" t="str">
        <f>"8S"</f>
        <v>8S</v>
      </c>
      <c r="F10425" t="str">
        <f>"001"</f>
        <v>001</v>
      </c>
      <c r="G10425">
        <v>9</v>
      </c>
      <c r="H10425" t="str">
        <f t="shared" si="2353"/>
        <v>99</v>
      </c>
      <c r="I10425" t="str">
        <f t="shared" si="2350"/>
        <v>0</v>
      </c>
      <c r="J10425" t="str">
        <f t="shared" si="2349"/>
        <v>00</v>
      </c>
      <c r="K10425">
        <v>20190125</v>
      </c>
      <c r="L10425" t="str">
        <f>"075321"</f>
        <v>075321</v>
      </c>
      <c r="M10425" t="str">
        <f>"09170"</f>
        <v>09170</v>
      </c>
      <c r="N10425" t="s">
        <v>679</v>
      </c>
      <c r="O10425" s="1">
        <v>1389.2</v>
      </c>
      <c r="P10425">
        <v>20190124</v>
      </c>
      <c r="Q10425" t="s">
        <v>8178</v>
      </c>
      <c r="R10425" t="s">
        <v>7998</v>
      </c>
      <c r="S10425" t="s">
        <v>8163</v>
      </c>
      <c r="T10425" t="s">
        <v>301</v>
      </c>
    </row>
    <row r="10426" spans="1:20" x14ac:dyDescent="0.25">
      <c r="A10426">
        <v>9</v>
      </c>
      <c r="B10426">
        <v>865</v>
      </c>
      <c r="C10426" t="str">
        <f t="shared" si="2352"/>
        <v>36</v>
      </c>
      <c r="D10426">
        <v>6399</v>
      </c>
      <c r="E10426" t="str">
        <f>"8T"</f>
        <v>8T</v>
      </c>
      <c r="F10426" t="str">
        <f>"001"</f>
        <v>001</v>
      </c>
      <c r="G10426">
        <v>9</v>
      </c>
      <c r="H10426" t="str">
        <f t="shared" si="2353"/>
        <v>99</v>
      </c>
      <c r="I10426" t="str">
        <f t="shared" si="2350"/>
        <v>0</v>
      </c>
      <c r="J10426" t="str">
        <f t="shared" si="2349"/>
        <v>00</v>
      </c>
      <c r="K10426">
        <v>20190125</v>
      </c>
      <c r="L10426" t="str">
        <f>"075376"</f>
        <v>075376</v>
      </c>
      <c r="M10426" t="str">
        <f>"45093"</f>
        <v>45093</v>
      </c>
      <c r="N10426" t="s">
        <v>885</v>
      </c>
      <c r="O10426">
        <v>255.89</v>
      </c>
      <c r="P10426">
        <v>20190124</v>
      </c>
      <c r="Q10426" t="s">
        <v>8165</v>
      </c>
      <c r="R10426" t="s">
        <v>8279</v>
      </c>
      <c r="S10426" t="s">
        <v>8163</v>
      </c>
      <c r="T10426" t="s">
        <v>301</v>
      </c>
    </row>
    <row r="10427" spans="1:20" x14ac:dyDescent="0.25">
      <c r="A10427">
        <v>9</v>
      </c>
      <c r="B10427">
        <v>865</v>
      </c>
      <c r="C10427" t="str">
        <f t="shared" si="2352"/>
        <v>36</v>
      </c>
      <c r="D10427">
        <v>6399</v>
      </c>
      <c r="E10427" t="str">
        <f>"8S"</f>
        <v>8S</v>
      </c>
      <c r="F10427" t="str">
        <f>"001"</f>
        <v>001</v>
      </c>
      <c r="G10427">
        <v>9</v>
      </c>
      <c r="H10427" t="str">
        <f t="shared" si="2353"/>
        <v>99</v>
      </c>
      <c r="I10427" t="str">
        <f t="shared" si="2350"/>
        <v>0</v>
      </c>
      <c r="J10427" t="str">
        <f t="shared" si="2349"/>
        <v>00</v>
      </c>
      <c r="K10427">
        <v>20190125</v>
      </c>
      <c r="L10427" t="str">
        <f>"075389"</f>
        <v>075389</v>
      </c>
      <c r="M10427" t="str">
        <f>"26870"</f>
        <v>26870</v>
      </c>
      <c r="N10427" t="s">
        <v>7713</v>
      </c>
      <c r="O10427" s="1">
        <v>1254.94</v>
      </c>
      <c r="P10427">
        <v>20190124</v>
      </c>
      <c r="Q10427" t="s">
        <v>8166</v>
      </c>
      <c r="R10427" t="s">
        <v>8280</v>
      </c>
      <c r="S10427" t="s">
        <v>8163</v>
      </c>
      <c r="T10427" t="s">
        <v>301</v>
      </c>
    </row>
    <row r="10428" spans="1:20" x14ac:dyDescent="0.25">
      <c r="A10428">
        <v>9</v>
      </c>
      <c r="B10428">
        <v>865</v>
      </c>
      <c r="C10428" t="str">
        <f t="shared" si="2352"/>
        <v>36</v>
      </c>
      <c r="D10428">
        <v>6399</v>
      </c>
      <c r="E10428" t="str">
        <f t="shared" ref="E10428:E10433" si="2359">"30"</f>
        <v>30</v>
      </c>
      <c r="F10428" t="str">
        <f t="shared" ref="F10428:F10433" si="2360">"101"</f>
        <v>101</v>
      </c>
      <c r="G10428">
        <v>9</v>
      </c>
      <c r="H10428" t="str">
        <f t="shared" si="2353"/>
        <v>99</v>
      </c>
      <c r="I10428" t="str">
        <f t="shared" si="2350"/>
        <v>0</v>
      </c>
      <c r="J10428" t="str">
        <f t="shared" si="2349"/>
        <v>00</v>
      </c>
      <c r="K10428">
        <v>20190125</v>
      </c>
      <c r="L10428" t="str">
        <f t="shared" ref="L10428:L10433" si="2361">"075397"</f>
        <v>075397</v>
      </c>
      <c r="M10428" t="str">
        <f t="shared" ref="M10428:M10433" si="2362">"58203"</f>
        <v>58203</v>
      </c>
      <c r="N10428" t="s">
        <v>3051</v>
      </c>
      <c r="O10428">
        <v>25</v>
      </c>
      <c r="P10428">
        <v>20190124</v>
      </c>
      <c r="Q10428" t="s">
        <v>8205</v>
      </c>
      <c r="R10428" t="s">
        <v>2163</v>
      </c>
      <c r="S10428" t="s">
        <v>8163</v>
      </c>
      <c r="T10428" t="s">
        <v>1479</v>
      </c>
    </row>
    <row r="10429" spans="1:20" x14ac:dyDescent="0.25">
      <c r="A10429">
        <v>9</v>
      </c>
      <c r="B10429">
        <v>865</v>
      </c>
      <c r="C10429" t="str">
        <f t="shared" si="2352"/>
        <v>36</v>
      </c>
      <c r="D10429">
        <v>6399</v>
      </c>
      <c r="E10429" t="str">
        <f t="shared" si="2359"/>
        <v>30</v>
      </c>
      <c r="F10429" t="str">
        <f t="shared" si="2360"/>
        <v>101</v>
      </c>
      <c r="G10429">
        <v>9</v>
      </c>
      <c r="H10429" t="str">
        <f t="shared" si="2353"/>
        <v>99</v>
      </c>
      <c r="I10429" t="str">
        <f t="shared" si="2350"/>
        <v>0</v>
      </c>
      <c r="J10429" t="str">
        <f t="shared" si="2349"/>
        <v>00</v>
      </c>
      <c r="K10429">
        <v>20190125</v>
      </c>
      <c r="L10429" t="str">
        <f t="shared" si="2361"/>
        <v>075397</v>
      </c>
      <c r="M10429" t="str">
        <f t="shared" si="2362"/>
        <v>58203</v>
      </c>
      <c r="N10429" t="s">
        <v>3051</v>
      </c>
      <c r="O10429">
        <v>100</v>
      </c>
      <c r="P10429">
        <v>20190124</v>
      </c>
      <c r="Q10429" t="s">
        <v>8205</v>
      </c>
      <c r="R10429" t="s">
        <v>8281</v>
      </c>
      <c r="S10429" t="s">
        <v>8163</v>
      </c>
      <c r="T10429" t="s">
        <v>1479</v>
      </c>
    </row>
    <row r="10430" spans="1:20" x14ac:dyDescent="0.25">
      <c r="A10430">
        <v>9</v>
      </c>
      <c r="B10430">
        <v>865</v>
      </c>
      <c r="C10430" t="str">
        <f t="shared" si="2352"/>
        <v>36</v>
      </c>
      <c r="D10430">
        <v>6399</v>
      </c>
      <c r="E10430" t="str">
        <f t="shared" si="2359"/>
        <v>30</v>
      </c>
      <c r="F10430" t="str">
        <f t="shared" si="2360"/>
        <v>101</v>
      </c>
      <c r="G10430">
        <v>9</v>
      </c>
      <c r="H10430" t="str">
        <f t="shared" si="2353"/>
        <v>99</v>
      </c>
      <c r="I10430" t="str">
        <f t="shared" si="2350"/>
        <v>0</v>
      </c>
      <c r="J10430" t="str">
        <f t="shared" si="2349"/>
        <v>00</v>
      </c>
      <c r="K10430">
        <v>20190125</v>
      </c>
      <c r="L10430" t="str">
        <f t="shared" si="2361"/>
        <v>075397</v>
      </c>
      <c r="M10430" t="str">
        <f t="shared" si="2362"/>
        <v>58203</v>
      </c>
      <c r="N10430" t="s">
        <v>3051</v>
      </c>
      <c r="O10430">
        <v>68.03</v>
      </c>
      <c r="P10430">
        <v>20190124</v>
      </c>
      <c r="Q10430" t="s">
        <v>8205</v>
      </c>
      <c r="R10430" t="s">
        <v>8282</v>
      </c>
      <c r="S10430" t="s">
        <v>8163</v>
      </c>
      <c r="T10430" t="s">
        <v>1479</v>
      </c>
    </row>
    <row r="10431" spans="1:20" x14ac:dyDescent="0.25">
      <c r="A10431">
        <v>9</v>
      </c>
      <c r="B10431">
        <v>865</v>
      </c>
      <c r="C10431" t="str">
        <f t="shared" si="2352"/>
        <v>36</v>
      </c>
      <c r="D10431">
        <v>6399</v>
      </c>
      <c r="E10431" t="str">
        <f t="shared" si="2359"/>
        <v>30</v>
      </c>
      <c r="F10431" t="str">
        <f t="shared" si="2360"/>
        <v>101</v>
      </c>
      <c r="G10431">
        <v>9</v>
      </c>
      <c r="H10431" t="str">
        <f t="shared" si="2353"/>
        <v>99</v>
      </c>
      <c r="I10431" t="str">
        <f t="shared" si="2350"/>
        <v>0</v>
      </c>
      <c r="J10431" t="str">
        <f t="shared" si="2349"/>
        <v>00</v>
      </c>
      <c r="K10431">
        <v>20190125</v>
      </c>
      <c r="L10431" t="str">
        <f t="shared" si="2361"/>
        <v>075397</v>
      </c>
      <c r="M10431" t="str">
        <f t="shared" si="2362"/>
        <v>58203</v>
      </c>
      <c r="N10431" t="s">
        <v>3051</v>
      </c>
      <c r="O10431">
        <v>21</v>
      </c>
      <c r="P10431">
        <v>20190124</v>
      </c>
      <c r="Q10431" t="s">
        <v>8205</v>
      </c>
      <c r="R10431" t="s">
        <v>8282</v>
      </c>
      <c r="S10431" t="s">
        <v>8163</v>
      </c>
      <c r="T10431" t="s">
        <v>1479</v>
      </c>
    </row>
    <row r="10432" spans="1:20" x14ac:dyDescent="0.25">
      <c r="A10432">
        <v>9</v>
      </c>
      <c r="B10432">
        <v>865</v>
      </c>
      <c r="C10432" t="str">
        <f t="shared" si="2352"/>
        <v>36</v>
      </c>
      <c r="D10432">
        <v>6399</v>
      </c>
      <c r="E10432" t="str">
        <f t="shared" si="2359"/>
        <v>30</v>
      </c>
      <c r="F10432" t="str">
        <f t="shared" si="2360"/>
        <v>101</v>
      </c>
      <c r="G10432">
        <v>9</v>
      </c>
      <c r="H10432" t="str">
        <f t="shared" si="2353"/>
        <v>99</v>
      </c>
      <c r="I10432" t="str">
        <f t="shared" si="2350"/>
        <v>0</v>
      </c>
      <c r="J10432" t="str">
        <f t="shared" si="2349"/>
        <v>00</v>
      </c>
      <c r="K10432">
        <v>20190125</v>
      </c>
      <c r="L10432" t="str">
        <f t="shared" si="2361"/>
        <v>075397</v>
      </c>
      <c r="M10432" t="str">
        <f t="shared" si="2362"/>
        <v>58203</v>
      </c>
      <c r="N10432" t="s">
        <v>3051</v>
      </c>
      <c r="O10432">
        <v>73.98</v>
      </c>
      <c r="P10432">
        <v>20190124</v>
      </c>
      <c r="Q10432" t="s">
        <v>8205</v>
      </c>
      <c r="R10432" t="s">
        <v>8283</v>
      </c>
      <c r="S10432" t="s">
        <v>8163</v>
      </c>
      <c r="T10432" t="s">
        <v>1479</v>
      </c>
    </row>
    <row r="10433" spans="1:20" x14ac:dyDescent="0.25">
      <c r="A10433">
        <v>9</v>
      </c>
      <c r="B10433">
        <v>865</v>
      </c>
      <c r="C10433" t="str">
        <f t="shared" si="2352"/>
        <v>36</v>
      </c>
      <c r="D10433">
        <v>6399</v>
      </c>
      <c r="E10433" t="str">
        <f t="shared" si="2359"/>
        <v>30</v>
      </c>
      <c r="F10433" t="str">
        <f t="shared" si="2360"/>
        <v>101</v>
      </c>
      <c r="G10433">
        <v>9</v>
      </c>
      <c r="H10433" t="str">
        <f t="shared" si="2353"/>
        <v>99</v>
      </c>
      <c r="I10433" t="str">
        <f t="shared" si="2350"/>
        <v>0</v>
      </c>
      <c r="J10433" t="str">
        <f t="shared" si="2349"/>
        <v>00</v>
      </c>
      <c r="K10433">
        <v>20190125</v>
      </c>
      <c r="L10433" t="str">
        <f t="shared" si="2361"/>
        <v>075397</v>
      </c>
      <c r="M10433" t="str">
        <f t="shared" si="2362"/>
        <v>58203</v>
      </c>
      <c r="N10433" t="s">
        <v>3051</v>
      </c>
      <c r="O10433">
        <v>33</v>
      </c>
      <c r="P10433">
        <v>20190124</v>
      </c>
      <c r="Q10433" t="s">
        <v>8205</v>
      </c>
      <c r="R10433" t="s">
        <v>8284</v>
      </c>
      <c r="S10433" t="s">
        <v>8163</v>
      </c>
      <c r="T10433" t="s">
        <v>1479</v>
      </c>
    </row>
    <row r="10434" spans="1:20" x14ac:dyDescent="0.25">
      <c r="A10434">
        <v>9</v>
      </c>
      <c r="B10434">
        <v>865</v>
      </c>
      <c r="C10434" t="str">
        <f t="shared" si="2352"/>
        <v>36</v>
      </c>
      <c r="D10434">
        <v>6399</v>
      </c>
      <c r="E10434" t="str">
        <f>"TS"</f>
        <v>TS</v>
      </c>
      <c r="F10434" t="str">
        <f t="shared" ref="F10434:F10439" si="2363">"001"</f>
        <v>001</v>
      </c>
      <c r="G10434">
        <v>9</v>
      </c>
      <c r="H10434" t="str">
        <f t="shared" si="2353"/>
        <v>99</v>
      </c>
      <c r="I10434" t="str">
        <f t="shared" si="2350"/>
        <v>0</v>
      </c>
      <c r="J10434" t="str">
        <f t="shared" si="2349"/>
        <v>00</v>
      </c>
      <c r="K10434">
        <v>20190125</v>
      </c>
      <c r="L10434" t="str">
        <f>"075398"</f>
        <v>075398</v>
      </c>
      <c r="M10434" t="str">
        <f>"58941"</f>
        <v>58941</v>
      </c>
      <c r="N10434" t="s">
        <v>4275</v>
      </c>
      <c r="O10434">
        <v>12.5</v>
      </c>
      <c r="P10434">
        <v>20190124</v>
      </c>
      <c r="Q10434" t="s">
        <v>8167</v>
      </c>
      <c r="R10434" t="s">
        <v>8285</v>
      </c>
      <c r="S10434" t="s">
        <v>8163</v>
      </c>
      <c r="T10434" t="s">
        <v>301</v>
      </c>
    </row>
    <row r="10435" spans="1:20" x14ac:dyDescent="0.25">
      <c r="A10435">
        <v>9</v>
      </c>
      <c r="B10435">
        <v>865</v>
      </c>
      <c r="C10435" t="str">
        <f t="shared" si="2352"/>
        <v>36</v>
      </c>
      <c r="D10435">
        <v>6399</v>
      </c>
      <c r="E10435" t="str">
        <f>"8T"</f>
        <v>8T</v>
      </c>
      <c r="F10435" t="str">
        <f t="shared" si="2363"/>
        <v>001</v>
      </c>
      <c r="G10435">
        <v>9</v>
      </c>
      <c r="H10435" t="str">
        <f t="shared" si="2353"/>
        <v>99</v>
      </c>
      <c r="I10435" t="str">
        <f t="shared" si="2350"/>
        <v>0</v>
      </c>
      <c r="J10435" t="str">
        <f t="shared" si="2349"/>
        <v>00</v>
      </c>
      <c r="K10435">
        <v>20190125</v>
      </c>
      <c r="L10435" t="str">
        <f>"075405"</f>
        <v>075405</v>
      </c>
      <c r="M10435" t="str">
        <f>"65106"</f>
        <v>65106</v>
      </c>
      <c r="N10435" t="s">
        <v>1175</v>
      </c>
      <c r="O10435">
        <v>76.36</v>
      </c>
      <c r="P10435">
        <v>20190124</v>
      </c>
      <c r="Q10435" t="s">
        <v>8165</v>
      </c>
      <c r="R10435" t="s">
        <v>8286</v>
      </c>
      <c r="S10435" t="s">
        <v>8163</v>
      </c>
      <c r="T10435" t="s">
        <v>301</v>
      </c>
    </row>
    <row r="10436" spans="1:20" x14ac:dyDescent="0.25">
      <c r="A10436">
        <v>9</v>
      </c>
      <c r="B10436">
        <v>865</v>
      </c>
      <c r="C10436" t="str">
        <f t="shared" si="2352"/>
        <v>36</v>
      </c>
      <c r="D10436">
        <v>6399</v>
      </c>
      <c r="E10436" t="str">
        <f>"8T"</f>
        <v>8T</v>
      </c>
      <c r="F10436" t="str">
        <f t="shared" si="2363"/>
        <v>001</v>
      </c>
      <c r="G10436">
        <v>9</v>
      </c>
      <c r="H10436" t="str">
        <f t="shared" si="2353"/>
        <v>99</v>
      </c>
      <c r="I10436" t="str">
        <f t="shared" si="2350"/>
        <v>0</v>
      </c>
      <c r="J10436" t="str">
        <f t="shared" si="2349"/>
        <v>00</v>
      </c>
      <c r="K10436">
        <v>20190125</v>
      </c>
      <c r="L10436" t="str">
        <f>"075405"</f>
        <v>075405</v>
      </c>
      <c r="M10436" t="str">
        <f>"65106"</f>
        <v>65106</v>
      </c>
      <c r="N10436" t="s">
        <v>1175</v>
      </c>
      <c r="O10436">
        <v>225.08</v>
      </c>
      <c r="P10436">
        <v>20190124</v>
      </c>
      <c r="Q10436" t="s">
        <v>8165</v>
      </c>
      <c r="R10436" t="s">
        <v>8286</v>
      </c>
      <c r="S10436" t="s">
        <v>8163</v>
      </c>
      <c r="T10436" t="s">
        <v>301</v>
      </c>
    </row>
    <row r="10437" spans="1:20" x14ac:dyDescent="0.25">
      <c r="A10437">
        <v>9</v>
      </c>
      <c r="B10437">
        <v>865</v>
      </c>
      <c r="C10437" t="str">
        <f t="shared" si="2352"/>
        <v>36</v>
      </c>
      <c r="D10437">
        <v>6399</v>
      </c>
      <c r="E10437" t="str">
        <f>"V8"</f>
        <v>V8</v>
      </c>
      <c r="F10437" t="str">
        <f t="shared" si="2363"/>
        <v>001</v>
      </c>
      <c r="G10437">
        <v>9</v>
      </c>
      <c r="H10437" t="str">
        <f t="shared" si="2353"/>
        <v>99</v>
      </c>
      <c r="I10437" t="str">
        <f t="shared" si="2350"/>
        <v>0</v>
      </c>
      <c r="J10437" t="str">
        <f t="shared" si="2349"/>
        <v>00</v>
      </c>
      <c r="K10437">
        <v>20190125</v>
      </c>
      <c r="L10437" t="str">
        <f>"075419"</f>
        <v>075419</v>
      </c>
      <c r="M10437" t="str">
        <f>"81303"</f>
        <v>81303</v>
      </c>
      <c r="N10437" t="s">
        <v>66</v>
      </c>
      <c r="O10437">
        <v>250</v>
      </c>
      <c r="P10437">
        <v>20190124</v>
      </c>
      <c r="Q10437" t="s">
        <v>8227</v>
      </c>
      <c r="R10437" t="s">
        <v>8287</v>
      </c>
      <c r="S10437" t="s">
        <v>8163</v>
      </c>
      <c r="T10437" t="s">
        <v>301</v>
      </c>
    </row>
    <row r="10438" spans="1:20" x14ac:dyDescent="0.25">
      <c r="A10438">
        <v>9</v>
      </c>
      <c r="B10438">
        <v>865</v>
      </c>
      <c r="C10438" t="str">
        <f t="shared" si="2352"/>
        <v>36</v>
      </c>
      <c r="D10438">
        <v>6399</v>
      </c>
      <c r="E10438" t="str">
        <f>"8P"</f>
        <v>8P</v>
      </c>
      <c r="F10438" t="str">
        <f t="shared" si="2363"/>
        <v>001</v>
      </c>
      <c r="G10438">
        <v>9</v>
      </c>
      <c r="H10438" t="str">
        <f t="shared" si="2353"/>
        <v>99</v>
      </c>
      <c r="I10438" t="str">
        <f t="shared" si="2350"/>
        <v>0</v>
      </c>
      <c r="J10438" t="str">
        <f t="shared" ref="J10438:J10501" si="2364">"00"</f>
        <v>00</v>
      </c>
      <c r="K10438">
        <v>20190131</v>
      </c>
      <c r="L10438" t="str">
        <f>"075435"</f>
        <v>075435</v>
      </c>
      <c r="M10438" t="str">
        <f>"05530"</f>
        <v>05530</v>
      </c>
      <c r="N10438" t="s">
        <v>947</v>
      </c>
      <c r="O10438">
        <v>268.95</v>
      </c>
      <c r="P10438">
        <v>20190130</v>
      </c>
      <c r="Q10438" t="s">
        <v>8172</v>
      </c>
      <c r="R10438" t="s">
        <v>5592</v>
      </c>
      <c r="S10438" t="s">
        <v>8163</v>
      </c>
      <c r="T10438" t="s">
        <v>301</v>
      </c>
    </row>
    <row r="10439" spans="1:20" x14ac:dyDescent="0.25">
      <c r="A10439">
        <v>9</v>
      </c>
      <c r="B10439">
        <v>865</v>
      </c>
      <c r="C10439" t="str">
        <f t="shared" si="2352"/>
        <v>36</v>
      </c>
      <c r="D10439">
        <v>6412</v>
      </c>
      <c r="E10439" t="str">
        <f>"8S"</f>
        <v>8S</v>
      </c>
      <c r="F10439" t="str">
        <f t="shared" si="2363"/>
        <v>001</v>
      </c>
      <c r="G10439">
        <v>9</v>
      </c>
      <c r="H10439" t="str">
        <f t="shared" si="2353"/>
        <v>99</v>
      </c>
      <c r="I10439" t="str">
        <f t="shared" ref="I10439:I10502" si="2365">"0"</f>
        <v>0</v>
      </c>
      <c r="J10439" t="str">
        <f t="shared" si="2364"/>
        <v>00</v>
      </c>
      <c r="K10439">
        <v>20190131</v>
      </c>
      <c r="L10439" t="str">
        <f>"075464"</f>
        <v>075464</v>
      </c>
      <c r="M10439" t="str">
        <f>"00178"</f>
        <v>00178</v>
      </c>
      <c r="N10439" t="s">
        <v>8288</v>
      </c>
      <c r="O10439" s="1">
        <v>4463.55</v>
      </c>
      <c r="P10439">
        <v>20190130</v>
      </c>
      <c r="Q10439" t="s">
        <v>8178</v>
      </c>
      <c r="R10439" t="s">
        <v>7998</v>
      </c>
      <c r="S10439" t="s">
        <v>8163</v>
      </c>
      <c r="T10439" t="s">
        <v>301</v>
      </c>
    </row>
    <row r="10440" spans="1:20" x14ac:dyDescent="0.25">
      <c r="A10440">
        <v>9</v>
      </c>
      <c r="B10440">
        <v>865</v>
      </c>
      <c r="C10440" t="str">
        <f t="shared" si="2352"/>
        <v>36</v>
      </c>
      <c r="D10440">
        <v>6412</v>
      </c>
      <c r="E10440" t="str">
        <f>"7K"</f>
        <v>7K</v>
      </c>
      <c r="F10440" t="str">
        <f>"041"</f>
        <v>041</v>
      </c>
      <c r="G10440">
        <v>9</v>
      </c>
      <c r="H10440" t="str">
        <f t="shared" si="2353"/>
        <v>99</v>
      </c>
      <c r="I10440" t="str">
        <f t="shared" si="2365"/>
        <v>0</v>
      </c>
      <c r="J10440" t="str">
        <f t="shared" si="2364"/>
        <v>00</v>
      </c>
      <c r="K10440">
        <v>20190131</v>
      </c>
      <c r="L10440" t="str">
        <f>"075469"</f>
        <v>075469</v>
      </c>
      <c r="M10440" t="str">
        <f>"28733"</f>
        <v>28733</v>
      </c>
      <c r="N10440" t="s">
        <v>2223</v>
      </c>
      <c r="O10440">
        <v>90</v>
      </c>
      <c r="P10440">
        <v>20190131</v>
      </c>
      <c r="Q10440" t="s">
        <v>8207</v>
      </c>
      <c r="R10440" t="s">
        <v>3653</v>
      </c>
      <c r="S10440" t="s">
        <v>8163</v>
      </c>
      <c r="T10440" t="s">
        <v>106</v>
      </c>
    </row>
    <row r="10441" spans="1:20" x14ac:dyDescent="0.25">
      <c r="A10441">
        <v>9</v>
      </c>
      <c r="B10441">
        <v>865</v>
      </c>
      <c r="C10441" t="str">
        <f t="shared" si="2352"/>
        <v>36</v>
      </c>
      <c r="D10441">
        <v>6412</v>
      </c>
      <c r="E10441" t="str">
        <f>"7K"</f>
        <v>7K</v>
      </c>
      <c r="F10441" t="str">
        <f>"041"</f>
        <v>041</v>
      </c>
      <c r="G10441">
        <v>9</v>
      </c>
      <c r="H10441" t="str">
        <f t="shared" si="2353"/>
        <v>99</v>
      </c>
      <c r="I10441" t="str">
        <f t="shared" si="2365"/>
        <v>0</v>
      </c>
      <c r="J10441" t="str">
        <f t="shared" si="2364"/>
        <v>00</v>
      </c>
      <c r="K10441">
        <v>20190211</v>
      </c>
      <c r="L10441" t="str">
        <f>"075469"</f>
        <v>075469</v>
      </c>
      <c r="M10441" t="str">
        <f>"28733"</f>
        <v>28733</v>
      </c>
      <c r="N10441" t="s">
        <v>2223</v>
      </c>
      <c r="O10441">
        <v>-90</v>
      </c>
      <c r="P10441">
        <v>20190211</v>
      </c>
      <c r="Q10441" t="s">
        <v>8207</v>
      </c>
      <c r="R10441" t="s">
        <v>8289</v>
      </c>
      <c r="S10441" t="s">
        <v>8163</v>
      </c>
      <c r="T10441" t="s">
        <v>106</v>
      </c>
    </row>
    <row r="10442" spans="1:20" x14ac:dyDescent="0.25">
      <c r="A10442">
        <v>9</v>
      </c>
      <c r="B10442">
        <v>865</v>
      </c>
      <c r="C10442" t="str">
        <f t="shared" si="2352"/>
        <v>36</v>
      </c>
      <c r="D10442">
        <v>6412</v>
      </c>
      <c r="E10442" t="str">
        <f>"8S"</f>
        <v>8S</v>
      </c>
      <c r="F10442" t="str">
        <f>"001"</f>
        <v>001</v>
      </c>
      <c r="G10442">
        <v>9</v>
      </c>
      <c r="H10442" t="str">
        <f t="shared" si="2353"/>
        <v>99</v>
      </c>
      <c r="I10442" t="str">
        <f t="shared" si="2365"/>
        <v>0</v>
      </c>
      <c r="J10442" t="str">
        <f t="shared" si="2364"/>
        <v>00</v>
      </c>
      <c r="K10442">
        <v>20190131</v>
      </c>
      <c r="L10442" t="str">
        <f>"075485"</f>
        <v>075485</v>
      </c>
      <c r="M10442" t="str">
        <f>"46348"</f>
        <v>46348</v>
      </c>
      <c r="N10442" t="s">
        <v>1631</v>
      </c>
      <c r="O10442">
        <v>300</v>
      </c>
      <c r="P10442">
        <v>20190130</v>
      </c>
      <c r="Q10442" t="s">
        <v>8178</v>
      </c>
      <c r="R10442" t="s">
        <v>3653</v>
      </c>
      <c r="S10442" t="s">
        <v>8163</v>
      </c>
      <c r="T10442" t="s">
        <v>301</v>
      </c>
    </row>
    <row r="10443" spans="1:20" x14ac:dyDescent="0.25">
      <c r="A10443">
        <v>9</v>
      </c>
      <c r="B10443">
        <v>865</v>
      </c>
      <c r="C10443" t="str">
        <f t="shared" si="2352"/>
        <v>36</v>
      </c>
      <c r="D10443">
        <v>6399</v>
      </c>
      <c r="E10443" t="str">
        <f>"V8"</f>
        <v>V8</v>
      </c>
      <c r="F10443" t="str">
        <f>"001"</f>
        <v>001</v>
      </c>
      <c r="G10443">
        <v>9</v>
      </c>
      <c r="H10443" t="str">
        <f t="shared" si="2353"/>
        <v>99</v>
      </c>
      <c r="I10443" t="str">
        <f t="shared" si="2365"/>
        <v>0</v>
      </c>
      <c r="J10443" t="str">
        <f t="shared" si="2364"/>
        <v>00</v>
      </c>
      <c r="K10443">
        <v>20190131</v>
      </c>
      <c r="L10443" t="str">
        <f>"075502"</f>
        <v>075502</v>
      </c>
      <c r="M10443" t="str">
        <f>"00429"</f>
        <v>00429</v>
      </c>
      <c r="N10443" t="s">
        <v>7337</v>
      </c>
      <c r="O10443">
        <v>503.2</v>
      </c>
      <c r="P10443">
        <v>20190130</v>
      </c>
      <c r="Q10443" t="s">
        <v>8227</v>
      </c>
      <c r="R10443" t="s">
        <v>7565</v>
      </c>
      <c r="S10443" t="s">
        <v>8163</v>
      </c>
      <c r="T10443" t="s">
        <v>301</v>
      </c>
    </row>
    <row r="10444" spans="1:20" x14ac:dyDescent="0.25">
      <c r="A10444">
        <v>9</v>
      </c>
      <c r="B10444">
        <v>865</v>
      </c>
      <c r="C10444" t="str">
        <f t="shared" si="2352"/>
        <v>36</v>
      </c>
      <c r="D10444">
        <v>6399</v>
      </c>
      <c r="E10444" t="str">
        <f>"V8"</f>
        <v>V8</v>
      </c>
      <c r="F10444" t="str">
        <f>"001"</f>
        <v>001</v>
      </c>
      <c r="G10444">
        <v>9</v>
      </c>
      <c r="H10444" t="str">
        <f t="shared" si="2353"/>
        <v>99</v>
      </c>
      <c r="I10444" t="str">
        <f t="shared" si="2365"/>
        <v>0</v>
      </c>
      <c r="J10444" t="str">
        <f t="shared" si="2364"/>
        <v>00</v>
      </c>
      <c r="K10444">
        <v>20190131</v>
      </c>
      <c r="L10444" t="str">
        <f>"075502"</f>
        <v>075502</v>
      </c>
      <c r="M10444" t="str">
        <f>"00429"</f>
        <v>00429</v>
      </c>
      <c r="N10444" t="s">
        <v>7337</v>
      </c>
      <c r="O10444">
        <v>395.2</v>
      </c>
      <c r="P10444">
        <v>20190130</v>
      </c>
      <c r="Q10444" t="s">
        <v>8227</v>
      </c>
      <c r="R10444" t="s">
        <v>7565</v>
      </c>
      <c r="S10444" t="s">
        <v>8163</v>
      </c>
      <c r="T10444" t="s">
        <v>301</v>
      </c>
    </row>
    <row r="10445" spans="1:20" x14ac:dyDescent="0.25">
      <c r="A10445">
        <v>9</v>
      </c>
      <c r="B10445">
        <v>865</v>
      </c>
      <c r="C10445" t="str">
        <f t="shared" si="2352"/>
        <v>36</v>
      </c>
      <c r="D10445">
        <v>6399</v>
      </c>
      <c r="E10445" t="str">
        <f>"V8"</f>
        <v>V8</v>
      </c>
      <c r="F10445" t="str">
        <f>"001"</f>
        <v>001</v>
      </c>
      <c r="G10445">
        <v>9</v>
      </c>
      <c r="H10445" t="str">
        <f t="shared" si="2353"/>
        <v>99</v>
      </c>
      <c r="I10445" t="str">
        <f t="shared" si="2365"/>
        <v>0</v>
      </c>
      <c r="J10445" t="str">
        <f t="shared" si="2364"/>
        <v>00</v>
      </c>
      <c r="K10445">
        <v>20190131</v>
      </c>
      <c r="L10445" t="str">
        <f>"075502"</f>
        <v>075502</v>
      </c>
      <c r="M10445" t="str">
        <f>"00429"</f>
        <v>00429</v>
      </c>
      <c r="N10445" t="s">
        <v>7337</v>
      </c>
      <c r="O10445">
        <v>698.04</v>
      </c>
      <c r="P10445">
        <v>20190130</v>
      </c>
      <c r="Q10445" t="s">
        <v>8227</v>
      </c>
      <c r="R10445" t="s">
        <v>8290</v>
      </c>
      <c r="S10445" t="s">
        <v>8163</v>
      </c>
      <c r="T10445" t="s">
        <v>301</v>
      </c>
    </row>
    <row r="10446" spans="1:20" x14ac:dyDescent="0.25">
      <c r="A10446">
        <v>9</v>
      </c>
      <c r="B10446">
        <v>865</v>
      </c>
      <c r="C10446" t="str">
        <f t="shared" si="2352"/>
        <v>36</v>
      </c>
      <c r="D10446">
        <v>6399</v>
      </c>
      <c r="E10446" t="str">
        <f>"V8"</f>
        <v>V8</v>
      </c>
      <c r="F10446" t="str">
        <f>"001"</f>
        <v>001</v>
      </c>
      <c r="G10446">
        <v>9</v>
      </c>
      <c r="H10446" t="str">
        <f t="shared" si="2353"/>
        <v>99</v>
      </c>
      <c r="I10446" t="str">
        <f t="shared" si="2365"/>
        <v>0</v>
      </c>
      <c r="J10446" t="str">
        <f t="shared" si="2364"/>
        <v>00</v>
      </c>
      <c r="K10446">
        <v>20190131</v>
      </c>
      <c r="L10446" t="str">
        <f>"075502"</f>
        <v>075502</v>
      </c>
      <c r="M10446" t="str">
        <f>"00429"</f>
        <v>00429</v>
      </c>
      <c r="N10446" t="s">
        <v>7337</v>
      </c>
      <c r="O10446">
        <v>188.51</v>
      </c>
      <c r="P10446">
        <v>20190130</v>
      </c>
      <c r="Q10446" t="s">
        <v>8227</v>
      </c>
      <c r="R10446" t="s">
        <v>8290</v>
      </c>
      <c r="S10446" t="s">
        <v>8163</v>
      </c>
      <c r="T10446" t="s">
        <v>301</v>
      </c>
    </row>
    <row r="10447" spans="1:20" x14ac:dyDescent="0.25">
      <c r="A10447">
        <v>9</v>
      </c>
      <c r="B10447">
        <v>865</v>
      </c>
      <c r="C10447" t="str">
        <f t="shared" si="2352"/>
        <v>36</v>
      </c>
      <c r="D10447">
        <v>6399</v>
      </c>
      <c r="E10447" t="str">
        <f>"7K"</f>
        <v>7K</v>
      </c>
      <c r="F10447" t="str">
        <f>"041"</f>
        <v>041</v>
      </c>
      <c r="G10447">
        <v>9</v>
      </c>
      <c r="H10447" t="str">
        <f t="shared" si="2353"/>
        <v>99</v>
      </c>
      <c r="I10447" t="str">
        <f t="shared" si="2365"/>
        <v>0</v>
      </c>
      <c r="J10447" t="str">
        <f t="shared" si="2364"/>
        <v>00</v>
      </c>
      <c r="K10447">
        <v>20190131</v>
      </c>
      <c r="L10447" t="str">
        <f>"075521"</f>
        <v>075521</v>
      </c>
      <c r="M10447" t="str">
        <f>"82970"</f>
        <v>82970</v>
      </c>
      <c r="N10447" t="s">
        <v>1041</v>
      </c>
      <c r="O10447">
        <v>157</v>
      </c>
      <c r="P10447">
        <v>20190131</v>
      </c>
      <c r="Q10447" t="s">
        <v>8162</v>
      </c>
      <c r="R10447" t="s">
        <v>3653</v>
      </c>
      <c r="S10447" t="s">
        <v>8163</v>
      </c>
      <c r="T10447" t="s">
        <v>106</v>
      </c>
    </row>
    <row r="10448" spans="1:20" x14ac:dyDescent="0.25">
      <c r="A10448">
        <v>9</v>
      </c>
      <c r="B10448">
        <v>865</v>
      </c>
      <c r="C10448" t="str">
        <f t="shared" si="2352"/>
        <v>36</v>
      </c>
      <c r="D10448">
        <v>6399</v>
      </c>
      <c r="E10448" t="str">
        <f>"7K"</f>
        <v>7K</v>
      </c>
      <c r="F10448" t="str">
        <f>"041"</f>
        <v>041</v>
      </c>
      <c r="G10448">
        <v>9</v>
      </c>
      <c r="H10448" t="str">
        <f t="shared" si="2353"/>
        <v>99</v>
      </c>
      <c r="I10448" t="str">
        <f t="shared" si="2365"/>
        <v>0</v>
      </c>
      <c r="J10448" t="str">
        <f t="shared" si="2364"/>
        <v>00</v>
      </c>
      <c r="K10448">
        <v>20190211</v>
      </c>
      <c r="L10448" t="str">
        <f>"075521"</f>
        <v>075521</v>
      </c>
      <c r="M10448" t="str">
        <f>"82970"</f>
        <v>82970</v>
      </c>
      <c r="N10448" t="s">
        <v>1041</v>
      </c>
      <c r="O10448">
        <v>-157</v>
      </c>
      <c r="P10448">
        <v>20190211</v>
      </c>
      <c r="Q10448" t="s">
        <v>8162</v>
      </c>
      <c r="R10448" t="s">
        <v>8289</v>
      </c>
      <c r="S10448" t="s">
        <v>8163</v>
      </c>
      <c r="T10448" t="s">
        <v>106</v>
      </c>
    </row>
    <row r="10449" spans="1:20" x14ac:dyDescent="0.25">
      <c r="A10449">
        <v>9</v>
      </c>
      <c r="B10449">
        <v>865</v>
      </c>
      <c r="C10449" t="str">
        <f t="shared" si="2352"/>
        <v>36</v>
      </c>
      <c r="D10449">
        <v>6499</v>
      </c>
      <c r="E10449" t="str">
        <f>"8H"</f>
        <v>8H</v>
      </c>
      <c r="F10449" t="str">
        <f>"001"</f>
        <v>001</v>
      </c>
      <c r="G10449">
        <v>9</v>
      </c>
      <c r="H10449" t="str">
        <f t="shared" si="2353"/>
        <v>99</v>
      </c>
      <c r="I10449" t="str">
        <f t="shared" si="2365"/>
        <v>0</v>
      </c>
      <c r="J10449" t="str">
        <f t="shared" si="2364"/>
        <v>00</v>
      </c>
      <c r="K10449">
        <v>20190208</v>
      </c>
      <c r="L10449" t="str">
        <f>"075542"</f>
        <v>075542</v>
      </c>
      <c r="M10449" t="str">
        <f>"00699"</f>
        <v>00699</v>
      </c>
      <c r="N10449" t="s">
        <v>8291</v>
      </c>
      <c r="O10449">
        <v>100</v>
      </c>
      <c r="P10449">
        <v>20190207</v>
      </c>
      <c r="Q10449" t="s">
        <v>8292</v>
      </c>
      <c r="R10449" t="s">
        <v>8293</v>
      </c>
      <c r="S10449" t="s">
        <v>8163</v>
      </c>
      <c r="T10449" t="s">
        <v>301</v>
      </c>
    </row>
    <row r="10450" spans="1:20" x14ac:dyDescent="0.25">
      <c r="A10450">
        <v>9</v>
      </c>
      <c r="B10450">
        <v>865</v>
      </c>
      <c r="C10450" t="str">
        <f t="shared" si="2352"/>
        <v>36</v>
      </c>
      <c r="D10450">
        <v>6499</v>
      </c>
      <c r="E10450" t="str">
        <f>"8H"</f>
        <v>8H</v>
      </c>
      <c r="F10450" t="str">
        <f>"001"</f>
        <v>001</v>
      </c>
      <c r="G10450">
        <v>9</v>
      </c>
      <c r="H10450" t="str">
        <f t="shared" si="2353"/>
        <v>99</v>
      </c>
      <c r="I10450" t="str">
        <f t="shared" si="2365"/>
        <v>0</v>
      </c>
      <c r="J10450" t="str">
        <f t="shared" si="2364"/>
        <v>00</v>
      </c>
      <c r="K10450">
        <v>20190208</v>
      </c>
      <c r="L10450" t="str">
        <f>"075542"</f>
        <v>075542</v>
      </c>
      <c r="M10450" t="str">
        <f>"00699"</f>
        <v>00699</v>
      </c>
      <c r="N10450" t="s">
        <v>8291</v>
      </c>
      <c r="O10450">
        <v>100</v>
      </c>
      <c r="P10450">
        <v>20190207</v>
      </c>
      <c r="Q10450" t="s">
        <v>8292</v>
      </c>
      <c r="R10450" t="s">
        <v>8293</v>
      </c>
      <c r="S10450" t="s">
        <v>8163</v>
      </c>
      <c r="T10450" t="s">
        <v>301</v>
      </c>
    </row>
    <row r="10451" spans="1:20" x14ac:dyDescent="0.25">
      <c r="A10451">
        <v>9</v>
      </c>
      <c r="B10451">
        <v>865</v>
      </c>
      <c r="C10451" t="str">
        <f t="shared" si="2352"/>
        <v>36</v>
      </c>
      <c r="D10451">
        <v>6495</v>
      </c>
      <c r="E10451" t="str">
        <f>"H5"</f>
        <v>H5</v>
      </c>
      <c r="F10451" t="str">
        <f>"001"</f>
        <v>001</v>
      </c>
      <c r="G10451">
        <v>9</v>
      </c>
      <c r="H10451" t="str">
        <f t="shared" si="2353"/>
        <v>99</v>
      </c>
      <c r="I10451" t="str">
        <f t="shared" si="2365"/>
        <v>0</v>
      </c>
      <c r="J10451" t="str">
        <f t="shared" si="2364"/>
        <v>00</v>
      </c>
      <c r="K10451">
        <v>20190208</v>
      </c>
      <c r="L10451" t="str">
        <f>"075601"</f>
        <v>075601</v>
      </c>
      <c r="M10451" t="str">
        <f>"39226"</f>
        <v>39226</v>
      </c>
      <c r="N10451" t="s">
        <v>4250</v>
      </c>
      <c r="O10451">
        <v>125</v>
      </c>
      <c r="P10451">
        <v>20190207</v>
      </c>
      <c r="Q10451" t="s">
        <v>8186</v>
      </c>
      <c r="R10451" t="s">
        <v>3726</v>
      </c>
      <c r="S10451" t="s">
        <v>8163</v>
      </c>
      <c r="T10451" t="s">
        <v>301</v>
      </c>
    </row>
    <row r="10452" spans="1:20" x14ac:dyDescent="0.25">
      <c r="A10452">
        <v>9</v>
      </c>
      <c r="B10452">
        <v>865</v>
      </c>
      <c r="C10452" t="str">
        <f t="shared" si="2352"/>
        <v>36</v>
      </c>
      <c r="D10452">
        <v>6495</v>
      </c>
      <c r="E10452" t="str">
        <f>"H5"</f>
        <v>H5</v>
      </c>
      <c r="F10452" t="str">
        <f>"001"</f>
        <v>001</v>
      </c>
      <c r="G10452">
        <v>9</v>
      </c>
      <c r="H10452" t="str">
        <f t="shared" si="2353"/>
        <v>99</v>
      </c>
      <c r="I10452" t="str">
        <f t="shared" si="2365"/>
        <v>0</v>
      </c>
      <c r="J10452" t="str">
        <f t="shared" si="2364"/>
        <v>00</v>
      </c>
      <c r="K10452">
        <v>20190208</v>
      </c>
      <c r="L10452" t="str">
        <f>"075601"</f>
        <v>075601</v>
      </c>
      <c r="M10452" t="str">
        <f>"39226"</f>
        <v>39226</v>
      </c>
      <c r="N10452" t="s">
        <v>4250</v>
      </c>
      <c r="O10452">
        <v>175</v>
      </c>
      <c r="P10452">
        <v>20190207</v>
      </c>
      <c r="Q10452" t="s">
        <v>8186</v>
      </c>
      <c r="R10452" t="s">
        <v>3726</v>
      </c>
      <c r="S10452" t="s">
        <v>8163</v>
      </c>
      <c r="T10452" t="s">
        <v>301</v>
      </c>
    </row>
    <row r="10453" spans="1:20" x14ac:dyDescent="0.25">
      <c r="A10453">
        <v>9</v>
      </c>
      <c r="B10453">
        <v>865</v>
      </c>
      <c r="C10453" t="str">
        <f t="shared" si="2352"/>
        <v>36</v>
      </c>
      <c r="D10453">
        <v>6399</v>
      </c>
      <c r="E10453" t="str">
        <f>"7B"</f>
        <v>7B</v>
      </c>
      <c r="F10453" t="str">
        <f>"041"</f>
        <v>041</v>
      </c>
      <c r="G10453">
        <v>9</v>
      </c>
      <c r="H10453" t="str">
        <f t="shared" si="2353"/>
        <v>99</v>
      </c>
      <c r="I10453" t="str">
        <f t="shared" si="2365"/>
        <v>0</v>
      </c>
      <c r="J10453" t="str">
        <f t="shared" si="2364"/>
        <v>00</v>
      </c>
      <c r="K10453">
        <v>20190208</v>
      </c>
      <c r="L10453" t="str">
        <f>"075650"</f>
        <v>075650</v>
      </c>
      <c r="M10453" t="str">
        <f>"69020"</f>
        <v>69020</v>
      </c>
      <c r="N10453" t="s">
        <v>8294</v>
      </c>
      <c r="O10453" s="1">
        <v>9863.4599999999991</v>
      </c>
      <c r="P10453">
        <v>20190207</v>
      </c>
      <c r="Q10453" t="s">
        <v>8173</v>
      </c>
      <c r="R10453" t="s">
        <v>8295</v>
      </c>
      <c r="S10453" t="s">
        <v>8163</v>
      </c>
      <c r="T10453" t="s">
        <v>106</v>
      </c>
    </row>
    <row r="10454" spans="1:20" x14ac:dyDescent="0.25">
      <c r="A10454">
        <v>9</v>
      </c>
      <c r="B10454">
        <v>865</v>
      </c>
      <c r="C10454" t="str">
        <f t="shared" si="2352"/>
        <v>36</v>
      </c>
      <c r="D10454">
        <v>6412</v>
      </c>
      <c r="E10454" t="str">
        <f>"8P"</f>
        <v>8P</v>
      </c>
      <c r="F10454" t="str">
        <f t="shared" ref="F10454:F10460" si="2366">"001"</f>
        <v>001</v>
      </c>
      <c r="G10454">
        <v>9</v>
      </c>
      <c r="H10454" t="str">
        <f t="shared" si="2353"/>
        <v>99</v>
      </c>
      <c r="I10454" t="str">
        <f t="shared" si="2365"/>
        <v>0</v>
      </c>
      <c r="J10454" t="str">
        <f t="shared" si="2364"/>
        <v>00</v>
      </c>
      <c r="K10454">
        <v>20190215</v>
      </c>
      <c r="L10454" t="str">
        <f>"075694"</f>
        <v>075694</v>
      </c>
      <c r="M10454" t="str">
        <f>"19094"</f>
        <v>19094</v>
      </c>
      <c r="N10454" t="s">
        <v>1687</v>
      </c>
      <c r="O10454">
        <v>495</v>
      </c>
      <c r="P10454">
        <v>20190213</v>
      </c>
      <c r="Q10454" t="s">
        <v>8247</v>
      </c>
      <c r="R10454" t="s">
        <v>8248</v>
      </c>
      <c r="S10454" t="s">
        <v>8163</v>
      </c>
      <c r="T10454" t="s">
        <v>301</v>
      </c>
    </row>
    <row r="10455" spans="1:20" x14ac:dyDescent="0.25">
      <c r="A10455">
        <v>9</v>
      </c>
      <c r="B10455">
        <v>865</v>
      </c>
      <c r="C10455" t="str">
        <f t="shared" si="2352"/>
        <v>36</v>
      </c>
      <c r="D10455">
        <v>6412</v>
      </c>
      <c r="E10455" t="str">
        <f>"8P"</f>
        <v>8P</v>
      </c>
      <c r="F10455" t="str">
        <f t="shared" si="2366"/>
        <v>001</v>
      </c>
      <c r="G10455">
        <v>9</v>
      </c>
      <c r="H10455" t="str">
        <f t="shared" si="2353"/>
        <v>99</v>
      </c>
      <c r="I10455" t="str">
        <f t="shared" si="2365"/>
        <v>0</v>
      </c>
      <c r="J10455" t="str">
        <f t="shared" si="2364"/>
        <v>00</v>
      </c>
      <c r="K10455">
        <v>20190215</v>
      </c>
      <c r="L10455" t="str">
        <f>"075694"</f>
        <v>075694</v>
      </c>
      <c r="M10455" t="str">
        <f>"19094"</f>
        <v>19094</v>
      </c>
      <c r="N10455" t="s">
        <v>1687</v>
      </c>
      <c r="O10455">
        <v>462</v>
      </c>
      <c r="P10455">
        <v>20190213</v>
      </c>
      <c r="Q10455" t="s">
        <v>8247</v>
      </c>
      <c r="R10455" t="s">
        <v>8248</v>
      </c>
      <c r="S10455" t="s">
        <v>8163</v>
      </c>
      <c r="T10455" t="s">
        <v>301</v>
      </c>
    </row>
    <row r="10456" spans="1:20" x14ac:dyDescent="0.25">
      <c r="A10456">
        <v>9</v>
      </c>
      <c r="B10456">
        <v>865</v>
      </c>
      <c r="C10456" t="str">
        <f t="shared" si="2352"/>
        <v>36</v>
      </c>
      <c r="D10456">
        <v>6499</v>
      </c>
      <c r="E10456" t="str">
        <f>"8H"</f>
        <v>8H</v>
      </c>
      <c r="F10456" t="str">
        <f t="shared" si="2366"/>
        <v>001</v>
      </c>
      <c r="G10456">
        <v>9</v>
      </c>
      <c r="H10456" t="str">
        <f t="shared" si="2353"/>
        <v>99</v>
      </c>
      <c r="I10456" t="str">
        <f t="shared" si="2365"/>
        <v>0</v>
      </c>
      <c r="J10456" t="str">
        <f t="shared" si="2364"/>
        <v>00</v>
      </c>
      <c r="K10456">
        <v>20190215</v>
      </c>
      <c r="L10456" t="str">
        <f>"075742"</f>
        <v>075742</v>
      </c>
      <c r="M10456" t="str">
        <f>"58204"</f>
        <v>58204</v>
      </c>
      <c r="N10456" t="s">
        <v>1767</v>
      </c>
      <c r="O10456">
        <v>22.48</v>
      </c>
      <c r="P10456">
        <v>20190213</v>
      </c>
      <c r="Q10456" t="s">
        <v>8292</v>
      </c>
      <c r="R10456" t="s">
        <v>8296</v>
      </c>
      <c r="S10456" t="s">
        <v>8163</v>
      </c>
      <c r="T10456" t="s">
        <v>301</v>
      </c>
    </row>
    <row r="10457" spans="1:20" x14ac:dyDescent="0.25">
      <c r="A10457">
        <v>9</v>
      </c>
      <c r="B10457">
        <v>865</v>
      </c>
      <c r="C10457" t="str">
        <f t="shared" si="2352"/>
        <v>36</v>
      </c>
      <c r="D10457">
        <v>6399</v>
      </c>
      <c r="E10457" t="str">
        <f>"8S"</f>
        <v>8S</v>
      </c>
      <c r="F10457" t="str">
        <f t="shared" si="2366"/>
        <v>001</v>
      </c>
      <c r="G10457">
        <v>9</v>
      </c>
      <c r="H10457" t="str">
        <f t="shared" si="2353"/>
        <v>99</v>
      </c>
      <c r="I10457" t="str">
        <f t="shared" si="2365"/>
        <v>0</v>
      </c>
      <c r="J10457" t="str">
        <f t="shared" si="2364"/>
        <v>00</v>
      </c>
      <c r="K10457">
        <v>20190215</v>
      </c>
      <c r="L10457" t="str">
        <f>"075763"</f>
        <v>075763</v>
      </c>
      <c r="M10457" t="str">
        <f>"82381"</f>
        <v>82381</v>
      </c>
      <c r="N10457" t="s">
        <v>4578</v>
      </c>
      <c r="O10457">
        <v>475</v>
      </c>
      <c r="P10457">
        <v>20190213</v>
      </c>
      <c r="Q10457" t="s">
        <v>8166</v>
      </c>
      <c r="R10457" t="s">
        <v>8297</v>
      </c>
      <c r="S10457" t="s">
        <v>8163</v>
      </c>
      <c r="T10457" t="s">
        <v>301</v>
      </c>
    </row>
    <row r="10458" spans="1:20" x14ac:dyDescent="0.25">
      <c r="A10458">
        <v>9</v>
      </c>
      <c r="B10458">
        <v>865</v>
      </c>
      <c r="C10458" t="str">
        <f t="shared" ref="C10458:C10521" si="2367">"36"</f>
        <v>36</v>
      </c>
      <c r="D10458">
        <v>6412</v>
      </c>
      <c r="E10458" t="str">
        <f>"8S"</f>
        <v>8S</v>
      </c>
      <c r="F10458" t="str">
        <f t="shared" si="2366"/>
        <v>001</v>
      </c>
      <c r="G10458">
        <v>9</v>
      </c>
      <c r="H10458" t="str">
        <f t="shared" ref="H10458:H10521" si="2368">"99"</f>
        <v>99</v>
      </c>
      <c r="I10458" t="str">
        <f t="shared" si="2365"/>
        <v>0</v>
      </c>
      <c r="J10458" t="str">
        <f t="shared" si="2364"/>
        <v>00</v>
      </c>
      <c r="K10458">
        <v>20190222</v>
      </c>
      <c r="L10458" t="str">
        <f>"075789"</f>
        <v>075789</v>
      </c>
      <c r="M10458" t="str">
        <f>"25853"</f>
        <v>25853</v>
      </c>
      <c r="N10458" t="s">
        <v>3941</v>
      </c>
      <c r="O10458" s="1">
        <v>2760</v>
      </c>
      <c r="P10458">
        <v>20190221</v>
      </c>
      <c r="Q10458" t="s">
        <v>8178</v>
      </c>
      <c r="R10458" t="s">
        <v>3943</v>
      </c>
      <c r="S10458" t="s">
        <v>8163</v>
      </c>
      <c r="T10458" t="s">
        <v>301</v>
      </c>
    </row>
    <row r="10459" spans="1:20" x14ac:dyDescent="0.25">
      <c r="A10459">
        <v>9</v>
      </c>
      <c r="B10459">
        <v>865</v>
      </c>
      <c r="C10459" t="str">
        <f t="shared" si="2367"/>
        <v>36</v>
      </c>
      <c r="D10459">
        <v>6412</v>
      </c>
      <c r="E10459" t="str">
        <f>"8S"</f>
        <v>8S</v>
      </c>
      <c r="F10459" t="str">
        <f t="shared" si="2366"/>
        <v>001</v>
      </c>
      <c r="G10459">
        <v>9</v>
      </c>
      <c r="H10459" t="str">
        <f t="shared" si="2368"/>
        <v>99</v>
      </c>
      <c r="I10459" t="str">
        <f t="shared" si="2365"/>
        <v>0</v>
      </c>
      <c r="J10459" t="str">
        <f t="shared" si="2364"/>
        <v>00</v>
      </c>
      <c r="K10459">
        <v>20190222</v>
      </c>
      <c r="L10459" t="str">
        <f>"075804"</f>
        <v>075804</v>
      </c>
      <c r="M10459" t="str">
        <f>"46348"</f>
        <v>46348</v>
      </c>
      <c r="N10459" t="s">
        <v>1631</v>
      </c>
      <c r="O10459">
        <v>400</v>
      </c>
      <c r="P10459">
        <v>20190221</v>
      </c>
      <c r="Q10459" t="s">
        <v>8178</v>
      </c>
      <c r="R10459" t="s">
        <v>3943</v>
      </c>
      <c r="S10459" t="s">
        <v>8163</v>
      </c>
      <c r="T10459" t="s">
        <v>301</v>
      </c>
    </row>
    <row r="10460" spans="1:20" x14ac:dyDescent="0.25">
      <c r="A10460">
        <v>9</v>
      </c>
      <c r="B10460">
        <v>865</v>
      </c>
      <c r="C10460" t="str">
        <f t="shared" si="2367"/>
        <v>36</v>
      </c>
      <c r="D10460">
        <v>6412</v>
      </c>
      <c r="E10460" t="str">
        <f>"8S"</f>
        <v>8S</v>
      </c>
      <c r="F10460" t="str">
        <f t="shared" si="2366"/>
        <v>001</v>
      </c>
      <c r="G10460">
        <v>9</v>
      </c>
      <c r="H10460" t="str">
        <f t="shared" si="2368"/>
        <v>99</v>
      </c>
      <c r="I10460" t="str">
        <f t="shared" si="2365"/>
        <v>0</v>
      </c>
      <c r="J10460" t="str">
        <f t="shared" si="2364"/>
        <v>00</v>
      </c>
      <c r="K10460">
        <v>20190222</v>
      </c>
      <c r="L10460" t="str">
        <f>"075804"</f>
        <v>075804</v>
      </c>
      <c r="M10460" t="str">
        <f>"46348"</f>
        <v>46348</v>
      </c>
      <c r="N10460" t="s">
        <v>1631</v>
      </c>
      <c r="O10460">
        <v>280</v>
      </c>
      <c r="P10460">
        <v>20190221</v>
      </c>
      <c r="Q10460" t="s">
        <v>8178</v>
      </c>
      <c r="R10460" t="s">
        <v>3943</v>
      </c>
      <c r="S10460" t="s">
        <v>8163</v>
      </c>
      <c r="T10460" t="s">
        <v>301</v>
      </c>
    </row>
    <row r="10461" spans="1:20" x14ac:dyDescent="0.25">
      <c r="A10461">
        <v>9</v>
      </c>
      <c r="B10461">
        <v>865</v>
      </c>
      <c r="C10461" t="str">
        <f t="shared" si="2367"/>
        <v>36</v>
      </c>
      <c r="D10461">
        <v>6399</v>
      </c>
      <c r="E10461" t="str">
        <f>"30"</f>
        <v>30</v>
      </c>
      <c r="F10461" t="str">
        <f>"002"</f>
        <v>002</v>
      </c>
      <c r="G10461">
        <v>9</v>
      </c>
      <c r="H10461" t="str">
        <f t="shared" si="2368"/>
        <v>99</v>
      </c>
      <c r="I10461" t="str">
        <f t="shared" si="2365"/>
        <v>0</v>
      </c>
      <c r="J10461" t="str">
        <f t="shared" si="2364"/>
        <v>00</v>
      </c>
      <c r="K10461">
        <v>20190222</v>
      </c>
      <c r="L10461" t="str">
        <f>"075823"</f>
        <v>075823</v>
      </c>
      <c r="M10461" t="str">
        <f>"65106"</f>
        <v>65106</v>
      </c>
      <c r="N10461" t="s">
        <v>1175</v>
      </c>
      <c r="O10461">
        <v>527.52</v>
      </c>
      <c r="P10461">
        <v>20190221</v>
      </c>
      <c r="Q10461" t="s">
        <v>8188</v>
      </c>
      <c r="R10461" t="s">
        <v>7136</v>
      </c>
      <c r="S10461" t="s">
        <v>8163</v>
      </c>
      <c r="T10461" t="s">
        <v>1485</v>
      </c>
    </row>
    <row r="10462" spans="1:20" x14ac:dyDescent="0.25">
      <c r="A10462">
        <v>9</v>
      </c>
      <c r="B10462">
        <v>865</v>
      </c>
      <c r="C10462" t="str">
        <f t="shared" si="2367"/>
        <v>36</v>
      </c>
      <c r="D10462">
        <v>6399</v>
      </c>
      <c r="E10462" t="str">
        <f>"TS"</f>
        <v>TS</v>
      </c>
      <c r="F10462" t="str">
        <f>"001"</f>
        <v>001</v>
      </c>
      <c r="G10462">
        <v>9</v>
      </c>
      <c r="H10462" t="str">
        <f t="shared" si="2368"/>
        <v>99</v>
      </c>
      <c r="I10462" t="str">
        <f t="shared" si="2365"/>
        <v>0</v>
      </c>
      <c r="J10462" t="str">
        <f t="shared" si="2364"/>
        <v>00</v>
      </c>
      <c r="K10462">
        <v>20190222</v>
      </c>
      <c r="L10462" t="str">
        <f>"075823"</f>
        <v>075823</v>
      </c>
      <c r="M10462" t="str">
        <f>"65106"</f>
        <v>65106</v>
      </c>
      <c r="N10462" t="s">
        <v>1175</v>
      </c>
      <c r="O10462">
        <v>22.92</v>
      </c>
      <c r="P10462">
        <v>20190221</v>
      </c>
      <c r="Q10462" t="s">
        <v>8167</v>
      </c>
      <c r="R10462" t="s">
        <v>8298</v>
      </c>
      <c r="S10462" t="s">
        <v>8163</v>
      </c>
      <c r="T10462" t="s">
        <v>301</v>
      </c>
    </row>
    <row r="10463" spans="1:20" x14ac:dyDescent="0.25">
      <c r="A10463">
        <v>9</v>
      </c>
      <c r="B10463">
        <v>865</v>
      </c>
      <c r="C10463" t="str">
        <f t="shared" si="2367"/>
        <v>36</v>
      </c>
      <c r="D10463">
        <v>6399</v>
      </c>
      <c r="E10463" t="str">
        <f>"48"</f>
        <v>48</v>
      </c>
      <c r="F10463" t="str">
        <f>"001"</f>
        <v>001</v>
      </c>
      <c r="G10463">
        <v>9</v>
      </c>
      <c r="H10463" t="str">
        <f t="shared" si="2368"/>
        <v>99</v>
      </c>
      <c r="I10463" t="str">
        <f t="shared" si="2365"/>
        <v>0</v>
      </c>
      <c r="J10463" t="str">
        <f t="shared" si="2364"/>
        <v>00</v>
      </c>
      <c r="K10463">
        <v>20190308</v>
      </c>
      <c r="L10463" t="str">
        <f>"075863"</f>
        <v>075863</v>
      </c>
      <c r="M10463" t="str">
        <f>"05530"</f>
        <v>05530</v>
      </c>
      <c r="N10463" t="s">
        <v>947</v>
      </c>
      <c r="O10463">
        <v>744.15</v>
      </c>
      <c r="P10463">
        <v>20190305</v>
      </c>
      <c r="Q10463" t="s">
        <v>8266</v>
      </c>
      <c r="R10463" t="s">
        <v>8299</v>
      </c>
      <c r="S10463" t="s">
        <v>8163</v>
      </c>
      <c r="T10463" t="s">
        <v>301</v>
      </c>
    </row>
    <row r="10464" spans="1:20" x14ac:dyDescent="0.25">
      <c r="A10464">
        <v>9</v>
      </c>
      <c r="B10464">
        <v>865</v>
      </c>
      <c r="C10464" t="str">
        <f t="shared" si="2367"/>
        <v>36</v>
      </c>
      <c r="D10464">
        <v>6399</v>
      </c>
      <c r="E10464" t="str">
        <f>"8T"</f>
        <v>8T</v>
      </c>
      <c r="F10464" t="str">
        <f>"001"</f>
        <v>001</v>
      </c>
      <c r="G10464">
        <v>9</v>
      </c>
      <c r="H10464" t="str">
        <f t="shared" si="2368"/>
        <v>99</v>
      </c>
      <c r="I10464" t="str">
        <f t="shared" si="2365"/>
        <v>0</v>
      </c>
      <c r="J10464" t="str">
        <f t="shared" si="2364"/>
        <v>00</v>
      </c>
      <c r="K10464">
        <v>20190308</v>
      </c>
      <c r="L10464" t="str">
        <f>"075863"</f>
        <v>075863</v>
      </c>
      <c r="M10464" t="str">
        <f>"05530"</f>
        <v>05530</v>
      </c>
      <c r="N10464" t="s">
        <v>947</v>
      </c>
      <c r="O10464">
        <v>263.75</v>
      </c>
      <c r="P10464">
        <v>20190305</v>
      </c>
      <c r="Q10464" t="s">
        <v>8165</v>
      </c>
      <c r="R10464" t="s">
        <v>7565</v>
      </c>
      <c r="S10464" t="s">
        <v>8163</v>
      </c>
      <c r="T10464" t="s">
        <v>301</v>
      </c>
    </row>
    <row r="10465" spans="1:20" x14ac:dyDescent="0.25">
      <c r="A10465">
        <v>9</v>
      </c>
      <c r="B10465">
        <v>865</v>
      </c>
      <c r="C10465" t="str">
        <f t="shared" si="2367"/>
        <v>36</v>
      </c>
      <c r="D10465">
        <v>6412</v>
      </c>
      <c r="E10465" t="str">
        <f>"TS"</f>
        <v>TS</v>
      </c>
      <c r="F10465" t="str">
        <f>"001"</f>
        <v>001</v>
      </c>
      <c r="G10465">
        <v>9</v>
      </c>
      <c r="H10465" t="str">
        <f t="shared" si="2368"/>
        <v>99</v>
      </c>
      <c r="I10465" t="str">
        <f t="shared" si="2365"/>
        <v>0</v>
      </c>
      <c r="J10465" t="str">
        <f t="shared" si="2364"/>
        <v>00</v>
      </c>
      <c r="K10465">
        <v>20190308</v>
      </c>
      <c r="L10465" t="str">
        <f>"075937"</f>
        <v>075937</v>
      </c>
      <c r="M10465" t="str">
        <f>"00702"</f>
        <v>00702</v>
      </c>
      <c r="N10465" t="s">
        <v>592</v>
      </c>
      <c r="O10465">
        <v>755.37</v>
      </c>
      <c r="P10465">
        <v>20190306</v>
      </c>
      <c r="Q10465" t="s">
        <v>8300</v>
      </c>
      <c r="R10465" t="s">
        <v>8020</v>
      </c>
      <c r="S10465" t="s">
        <v>8163</v>
      </c>
      <c r="T10465" t="s">
        <v>301</v>
      </c>
    </row>
    <row r="10466" spans="1:20" x14ac:dyDescent="0.25">
      <c r="A10466">
        <v>9</v>
      </c>
      <c r="B10466">
        <v>865</v>
      </c>
      <c r="C10466" t="str">
        <f t="shared" si="2367"/>
        <v>36</v>
      </c>
      <c r="D10466">
        <v>6299</v>
      </c>
      <c r="E10466" t="str">
        <f>"8S"</f>
        <v>8S</v>
      </c>
      <c r="F10466" t="str">
        <f>"001"</f>
        <v>001</v>
      </c>
      <c r="G10466">
        <v>9</v>
      </c>
      <c r="H10466" t="str">
        <f t="shared" si="2368"/>
        <v>99</v>
      </c>
      <c r="I10466" t="str">
        <f t="shared" si="2365"/>
        <v>0</v>
      </c>
      <c r="J10466" t="str">
        <f t="shared" si="2364"/>
        <v>00</v>
      </c>
      <c r="K10466">
        <v>20190308</v>
      </c>
      <c r="L10466" t="str">
        <f>"076013"</f>
        <v>076013</v>
      </c>
      <c r="M10466" t="str">
        <f>"00729"</f>
        <v>00729</v>
      </c>
      <c r="N10466" t="s">
        <v>5047</v>
      </c>
      <c r="O10466">
        <v>200</v>
      </c>
      <c r="P10466">
        <v>20190306</v>
      </c>
      <c r="Q10466" t="s">
        <v>8200</v>
      </c>
      <c r="R10466" t="s">
        <v>4115</v>
      </c>
      <c r="S10466" t="s">
        <v>8163</v>
      </c>
      <c r="T10466" t="s">
        <v>301</v>
      </c>
    </row>
    <row r="10467" spans="1:20" x14ac:dyDescent="0.25">
      <c r="A10467">
        <v>9</v>
      </c>
      <c r="B10467">
        <v>865</v>
      </c>
      <c r="C10467" t="str">
        <f t="shared" si="2367"/>
        <v>36</v>
      </c>
      <c r="D10467">
        <v>6399</v>
      </c>
      <c r="E10467" t="str">
        <f>"7K"</f>
        <v>7K</v>
      </c>
      <c r="F10467" t="str">
        <f>"041"</f>
        <v>041</v>
      </c>
      <c r="G10467">
        <v>9</v>
      </c>
      <c r="H10467" t="str">
        <f t="shared" si="2368"/>
        <v>99</v>
      </c>
      <c r="I10467" t="str">
        <f t="shared" si="2365"/>
        <v>0</v>
      </c>
      <c r="J10467" t="str">
        <f t="shared" si="2364"/>
        <v>00</v>
      </c>
      <c r="K10467">
        <v>20190315</v>
      </c>
      <c r="L10467" t="str">
        <f>"076021"</f>
        <v>076021</v>
      </c>
      <c r="M10467" t="str">
        <f>"01523"</f>
        <v>01523</v>
      </c>
      <c r="N10467" t="s">
        <v>7172</v>
      </c>
      <c r="O10467">
        <v>258</v>
      </c>
      <c r="P10467">
        <v>20190315</v>
      </c>
      <c r="Q10467" t="s">
        <v>8162</v>
      </c>
      <c r="R10467" t="s">
        <v>8301</v>
      </c>
      <c r="S10467" t="s">
        <v>8163</v>
      </c>
      <c r="T10467" t="s">
        <v>106</v>
      </c>
    </row>
    <row r="10468" spans="1:20" x14ac:dyDescent="0.25">
      <c r="A10468">
        <v>9</v>
      </c>
      <c r="B10468">
        <v>865</v>
      </c>
      <c r="C10468" t="str">
        <f t="shared" si="2367"/>
        <v>36</v>
      </c>
      <c r="D10468">
        <v>6399</v>
      </c>
      <c r="E10468" t="str">
        <f>"30"</f>
        <v>30</v>
      </c>
      <c r="F10468" t="str">
        <f>"104"</f>
        <v>104</v>
      </c>
      <c r="G10468">
        <v>9</v>
      </c>
      <c r="H10468" t="str">
        <f t="shared" si="2368"/>
        <v>99</v>
      </c>
      <c r="I10468" t="str">
        <f t="shared" si="2365"/>
        <v>0</v>
      </c>
      <c r="J10468" t="str">
        <f t="shared" si="2364"/>
        <v>00</v>
      </c>
      <c r="K10468">
        <v>20190315</v>
      </c>
      <c r="L10468" t="str">
        <f>"076026"</f>
        <v>076026</v>
      </c>
      <c r="M10468" t="str">
        <f>"06465"</f>
        <v>06465</v>
      </c>
      <c r="N10468" t="s">
        <v>5772</v>
      </c>
      <c r="O10468">
        <v>70</v>
      </c>
      <c r="P10468">
        <v>20190313</v>
      </c>
      <c r="Q10468" t="s">
        <v>8210</v>
      </c>
      <c r="R10468" t="s">
        <v>8302</v>
      </c>
      <c r="S10468" t="s">
        <v>8163</v>
      </c>
      <c r="T10468" t="s">
        <v>46</v>
      </c>
    </row>
    <row r="10469" spans="1:20" x14ac:dyDescent="0.25">
      <c r="A10469">
        <v>9</v>
      </c>
      <c r="B10469">
        <v>865</v>
      </c>
      <c r="C10469" t="str">
        <f t="shared" si="2367"/>
        <v>36</v>
      </c>
      <c r="D10469">
        <v>6499</v>
      </c>
      <c r="E10469" t="str">
        <f>"TS"</f>
        <v>TS</v>
      </c>
      <c r="F10469" t="str">
        <f>"001"</f>
        <v>001</v>
      </c>
      <c r="G10469">
        <v>9</v>
      </c>
      <c r="H10469" t="str">
        <f t="shared" si="2368"/>
        <v>99</v>
      </c>
      <c r="I10469" t="str">
        <f t="shared" si="2365"/>
        <v>0</v>
      </c>
      <c r="J10469" t="str">
        <f t="shared" si="2364"/>
        <v>00</v>
      </c>
      <c r="K10469">
        <v>20190315</v>
      </c>
      <c r="L10469" t="str">
        <f>"076076"</f>
        <v>076076</v>
      </c>
      <c r="M10469" t="str">
        <f>"37500"</f>
        <v>37500</v>
      </c>
      <c r="N10469" t="s">
        <v>2077</v>
      </c>
      <c r="O10469">
        <v>173.52</v>
      </c>
      <c r="P10469">
        <v>20190314</v>
      </c>
      <c r="Q10469" t="s">
        <v>8303</v>
      </c>
      <c r="R10469" t="s">
        <v>8304</v>
      </c>
      <c r="S10469" t="s">
        <v>8163</v>
      </c>
      <c r="T10469" t="s">
        <v>301</v>
      </c>
    </row>
    <row r="10470" spans="1:20" x14ac:dyDescent="0.25">
      <c r="A10470">
        <v>9</v>
      </c>
      <c r="B10470">
        <v>865</v>
      </c>
      <c r="C10470" t="str">
        <f t="shared" si="2367"/>
        <v>36</v>
      </c>
      <c r="D10470">
        <v>6412</v>
      </c>
      <c r="E10470" t="str">
        <f>"7B"</f>
        <v>7B</v>
      </c>
      <c r="F10470" t="str">
        <f>"041"</f>
        <v>041</v>
      </c>
      <c r="G10470">
        <v>9</v>
      </c>
      <c r="H10470" t="str">
        <f t="shared" si="2368"/>
        <v>99</v>
      </c>
      <c r="I10470" t="str">
        <f t="shared" si="2365"/>
        <v>0</v>
      </c>
      <c r="J10470" t="str">
        <f t="shared" si="2364"/>
        <v>00</v>
      </c>
      <c r="K10470">
        <v>20190315</v>
      </c>
      <c r="L10470" t="str">
        <f>"076083"</f>
        <v>076083</v>
      </c>
      <c r="M10470" t="str">
        <f>"42238"</f>
        <v>42238</v>
      </c>
      <c r="N10470" t="s">
        <v>8305</v>
      </c>
      <c r="O10470" s="1">
        <v>4395</v>
      </c>
      <c r="P10470">
        <v>20190314</v>
      </c>
      <c r="Q10470" t="s">
        <v>8306</v>
      </c>
      <c r="R10470" t="s">
        <v>8307</v>
      </c>
      <c r="S10470" t="s">
        <v>8163</v>
      </c>
      <c r="T10470" t="s">
        <v>106</v>
      </c>
    </row>
    <row r="10471" spans="1:20" x14ac:dyDescent="0.25">
      <c r="A10471">
        <v>9</v>
      </c>
      <c r="B10471">
        <v>865</v>
      </c>
      <c r="C10471" t="str">
        <f t="shared" si="2367"/>
        <v>36</v>
      </c>
      <c r="D10471">
        <v>6399</v>
      </c>
      <c r="E10471" t="str">
        <f>"30"</f>
        <v>30</v>
      </c>
      <c r="F10471" t="str">
        <f>"104"</f>
        <v>104</v>
      </c>
      <c r="G10471">
        <v>9</v>
      </c>
      <c r="H10471" t="str">
        <f t="shared" si="2368"/>
        <v>99</v>
      </c>
      <c r="I10471" t="str">
        <f t="shared" si="2365"/>
        <v>0</v>
      </c>
      <c r="J10471" t="str">
        <f t="shared" si="2364"/>
        <v>00</v>
      </c>
      <c r="K10471">
        <v>20190315</v>
      </c>
      <c r="L10471" t="str">
        <f>"076105"</f>
        <v>076105</v>
      </c>
      <c r="M10471" t="str">
        <f>"58201"</f>
        <v>58201</v>
      </c>
      <c r="N10471" t="s">
        <v>2662</v>
      </c>
      <c r="O10471">
        <v>26.12</v>
      </c>
      <c r="P10471">
        <v>20190314</v>
      </c>
      <c r="Q10471" t="s">
        <v>8210</v>
      </c>
      <c r="R10471" t="s">
        <v>8308</v>
      </c>
      <c r="S10471" t="s">
        <v>8163</v>
      </c>
      <c r="T10471" t="s">
        <v>46</v>
      </c>
    </row>
    <row r="10472" spans="1:20" x14ac:dyDescent="0.25">
      <c r="A10472">
        <v>9</v>
      </c>
      <c r="B10472">
        <v>865</v>
      </c>
      <c r="C10472" t="str">
        <f t="shared" si="2367"/>
        <v>36</v>
      </c>
      <c r="D10472">
        <v>6399</v>
      </c>
      <c r="E10472" t="str">
        <f>"30"</f>
        <v>30</v>
      </c>
      <c r="F10472" t="str">
        <f>"104"</f>
        <v>104</v>
      </c>
      <c r="G10472">
        <v>9</v>
      </c>
      <c r="H10472" t="str">
        <f t="shared" si="2368"/>
        <v>99</v>
      </c>
      <c r="I10472" t="str">
        <f t="shared" si="2365"/>
        <v>0</v>
      </c>
      <c r="J10472" t="str">
        <f t="shared" si="2364"/>
        <v>00</v>
      </c>
      <c r="K10472">
        <v>20190315</v>
      </c>
      <c r="L10472" t="str">
        <f>"076105"</f>
        <v>076105</v>
      </c>
      <c r="M10472" t="str">
        <f>"58201"</f>
        <v>58201</v>
      </c>
      <c r="N10472" t="s">
        <v>2662</v>
      </c>
      <c r="O10472">
        <v>20.94</v>
      </c>
      <c r="P10472">
        <v>20190314</v>
      </c>
      <c r="Q10472" t="s">
        <v>8210</v>
      </c>
      <c r="R10472" t="s">
        <v>8309</v>
      </c>
      <c r="S10472" t="s">
        <v>8163</v>
      </c>
      <c r="T10472" t="s">
        <v>46</v>
      </c>
    </row>
    <row r="10473" spans="1:20" x14ac:dyDescent="0.25">
      <c r="A10473">
        <v>9</v>
      </c>
      <c r="B10473">
        <v>865</v>
      </c>
      <c r="C10473" t="str">
        <f t="shared" si="2367"/>
        <v>36</v>
      </c>
      <c r="D10473">
        <v>6399</v>
      </c>
      <c r="E10473" t="str">
        <f>"30"</f>
        <v>30</v>
      </c>
      <c r="F10473" t="str">
        <f>"104"</f>
        <v>104</v>
      </c>
      <c r="G10473">
        <v>9</v>
      </c>
      <c r="H10473" t="str">
        <f t="shared" si="2368"/>
        <v>99</v>
      </c>
      <c r="I10473" t="str">
        <f t="shared" si="2365"/>
        <v>0</v>
      </c>
      <c r="J10473" t="str">
        <f t="shared" si="2364"/>
        <v>00</v>
      </c>
      <c r="K10473">
        <v>20190315</v>
      </c>
      <c r="L10473" t="str">
        <f>"076105"</f>
        <v>076105</v>
      </c>
      <c r="M10473" t="str">
        <f>"58201"</f>
        <v>58201</v>
      </c>
      <c r="N10473" t="s">
        <v>2662</v>
      </c>
      <c r="O10473">
        <v>32.950000000000003</v>
      </c>
      <c r="P10473">
        <v>20190314</v>
      </c>
      <c r="Q10473" t="s">
        <v>8210</v>
      </c>
      <c r="R10473" t="s">
        <v>8310</v>
      </c>
      <c r="S10473" t="s">
        <v>8163</v>
      </c>
      <c r="T10473" t="s">
        <v>46</v>
      </c>
    </row>
    <row r="10474" spans="1:20" x14ac:dyDescent="0.25">
      <c r="A10474">
        <v>9</v>
      </c>
      <c r="B10474">
        <v>865</v>
      </c>
      <c r="C10474" t="str">
        <f t="shared" si="2367"/>
        <v>36</v>
      </c>
      <c r="D10474">
        <v>6399</v>
      </c>
      <c r="E10474" t="str">
        <f>"TS"</f>
        <v>TS</v>
      </c>
      <c r="F10474" t="str">
        <f>"001"</f>
        <v>001</v>
      </c>
      <c r="G10474">
        <v>9</v>
      </c>
      <c r="H10474" t="str">
        <f t="shared" si="2368"/>
        <v>99</v>
      </c>
      <c r="I10474" t="str">
        <f t="shared" si="2365"/>
        <v>0</v>
      </c>
      <c r="J10474" t="str">
        <f t="shared" si="2364"/>
        <v>00</v>
      </c>
      <c r="K10474">
        <v>20190315</v>
      </c>
      <c r="L10474" t="str">
        <f>"076106"</f>
        <v>076106</v>
      </c>
      <c r="M10474" t="str">
        <f>"58941"</f>
        <v>58941</v>
      </c>
      <c r="N10474" t="s">
        <v>4275</v>
      </c>
      <c r="O10474">
        <v>22.3</v>
      </c>
      <c r="P10474">
        <v>20190314</v>
      </c>
      <c r="Q10474" t="s">
        <v>8167</v>
      </c>
      <c r="R10474" t="s">
        <v>8311</v>
      </c>
      <c r="S10474" t="s">
        <v>8163</v>
      </c>
      <c r="T10474" t="s">
        <v>301</v>
      </c>
    </row>
    <row r="10475" spans="1:20" x14ac:dyDescent="0.25">
      <c r="A10475">
        <v>9</v>
      </c>
      <c r="B10475">
        <v>865</v>
      </c>
      <c r="C10475" t="str">
        <f t="shared" si="2367"/>
        <v>36</v>
      </c>
      <c r="D10475">
        <v>6499</v>
      </c>
      <c r="E10475" t="str">
        <f>"8T"</f>
        <v>8T</v>
      </c>
      <c r="F10475" t="str">
        <f>"001"</f>
        <v>001</v>
      </c>
      <c r="G10475">
        <v>9</v>
      </c>
      <c r="H10475" t="str">
        <f t="shared" si="2368"/>
        <v>99</v>
      </c>
      <c r="I10475" t="str">
        <f t="shared" si="2365"/>
        <v>0</v>
      </c>
      <c r="J10475" t="str">
        <f t="shared" si="2364"/>
        <v>00</v>
      </c>
      <c r="K10475">
        <v>20190315</v>
      </c>
      <c r="L10475" t="str">
        <f>"076112"</f>
        <v>076112</v>
      </c>
      <c r="M10475" t="str">
        <f>"64610"</f>
        <v>64610</v>
      </c>
      <c r="N10475" t="s">
        <v>1062</v>
      </c>
      <c r="O10475">
        <v>212</v>
      </c>
      <c r="P10475">
        <v>20190314</v>
      </c>
      <c r="Q10475" t="s">
        <v>8164</v>
      </c>
      <c r="R10475" t="s">
        <v>8312</v>
      </c>
      <c r="S10475" t="s">
        <v>8163</v>
      </c>
      <c r="T10475" t="s">
        <v>301</v>
      </c>
    </row>
    <row r="10476" spans="1:20" x14ac:dyDescent="0.25">
      <c r="A10476">
        <v>9</v>
      </c>
      <c r="B10476">
        <v>865</v>
      </c>
      <c r="C10476" t="str">
        <f t="shared" si="2367"/>
        <v>36</v>
      </c>
      <c r="D10476">
        <v>6412</v>
      </c>
      <c r="E10476" t="str">
        <f>"8P"</f>
        <v>8P</v>
      </c>
      <c r="F10476" t="str">
        <f>"041"</f>
        <v>041</v>
      </c>
      <c r="G10476">
        <v>9</v>
      </c>
      <c r="H10476" t="str">
        <f t="shared" si="2368"/>
        <v>99</v>
      </c>
      <c r="I10476" t="str">
        <f t="shared" si="2365"/>
        <v>0</v>
      </c>
      <c r="J10476" t="str">
        <f t="shared" si="2364"/>
        <v>00</v>
      </c>
      <c r="K10476">
        <v>20190315</v>
      </c>
      <c r="L10476" t="str">
        <f>"076116"</f>
        <v>076116</v>
      </c>
      <c r="M10476" t="str">
        <f>"69020"</f>
        <v>69020</v>
      </c>
      <c r="N10476" t="s">
        <v>8294</v>
      </c>
      <c r="O10476" s="1">
        <v>1530.75</v>
      </c>
      <c r="P10476">
        <v>20190314</v>
      </c>
      <c r="Q10476" t="s">
        <v>8313</v>
      </c>
      <c r="R10476" t="s">
        <v>8314</v>
      </c>
      <c r="S10476" t="s">
        <v>8163</v>
      </c>
      <c r="T10476" t="s">
        <v>106</v>
      </c>
    </row>
    <row r="10477" spans="1:20" x14ac:dyDescent="0.25">
      <c r="A10477">
        <v>9</v>
      </c>
      <c r="B10477">
        <v>865</v>
      </c>
      <c r="C10477" t="str">
        <f t="shared" si="2367"/>
        <v>36</v>
      </c>
      <c r="D10477">
        <v>6399</v>
      </c>
      <c r="E10477" t="str">
        <f>"8T"</f>
        <v>8T</v>
      </c>
      <c r="F10477" t="str">
        <f>"001"</f>
        <v>001</v>
      </c>
      <c r="G10477">
        <v>9</v>
      </c>
      <c r="H10477" t="str">
        <f t="shared" si="2368"/>
        <v>99</v>
      </c>
      <c r="I10477" t="str">
        <f t="shared" si="2365"/>
        <v>0</v>
      </c>
      <c r="J10477" t="str">
        <f t="shared" si="2364"/>
        <v>00</v>
      </c>
      <c r="K10477">
        <v>20190315</v>
      </c>
      <c r="L10477" t="str">
        <f>"076118"</f>
        <v>076118</v>
      </c>
      <c r="M10477" t="str">
        <f>"71250"</f>
        <v>71250</v>
      </c>
      <c r="N10477" t="s">
        <v>1389</v>
      </c>
      <c r="O10477">
        <v>422.22</v>
      </c>
      <c r="P10477">
        <v>20190315</v>
      </c>
      <c r="Q10477" t="s">
        <v>8165</v>
      </c>
      <c r="R10477" t="s">
        <v>8315</v>
      </c>
      <c r="S10477" t="s">
        <v>8163</v>
      </c>
      <c r="T10477" t="s">
        <v>301</v>
      </c>
    </row>
    <row r="10478" spans="1:20" x14ac:dyDescent="0.25">
      <c r="A10478">
        <v>9</v>
      </c>
      <c r="B10478">
        <v>865</v>
      </c>
      <c r="C10478" t="str">
        <f t="shared" si="2367"/>
        <v>36</v>
      </c>
      <c r="D10478">
        <v>6399</v>
      </c>
      <c r="E10478" t="str">
        <f>"8T"</f>
        <v>8T</v>
      </c>
      <c r="F10478" t="str">
        <f>"001"</f>
        <v>001</v>
      </c>
      <c r="G10478">
        <v>9</v>
      </c>
      <c r="H10478" t="str">
        <f t="shared" si="2368"/>
        <v>99</v>
      </c>
      <c r="I10478" t="str">
        <f t="shared" si="2365"/>
        <v>0</v>
      </c>
      <c r="J10478" t="str">
        <f t="shared" si="2364"/>
        <v>00</v>
      </c>
      <c r="K10478">
        <v>20190315</v>
      </c>
      <c r="L10478" t="str">
        <f>"076118"</f>
        <v>076118</v>
      </c>
      <c r="M10478" t="str">
        <f>"71250"</f>
        <v>71250</v>
      </c>
      <c r="N10478" t="s">
        <v>1389</v>
      </c>
      <c r="O10478">
        <v>229.69</v>
      </c>
      <c r="P10478">
        <v>20190315</v>
      </c>
      <c r="Q10478" t="s">
        <v>8165</v>
      </c>
      <c r="R10478" t="s">
        <v>8316</v>
      </c>
      <c r="S10478" t="s">
        <v>8163</v>
      </c>
      <c r="T10478" t="s">
        <v>301</v>
      </c>
    </row>
    <row r="10479" spans="1:20" x14ac:dyDescent="0.25">
      <c r="A10479">
        <v>9</v>
      </c>
      <c r="B10479">
        <v>865</v>
      </c>
      <c r="C10479" t="str">
        <f t="shared" si="2367"/>
        <v>36</v>
      </c>
      <c r="D10479">
        <v>6399</v>
      </c>
      <c r="E10479" t="str">
        <f>"30"</f>
        <v>30</v>
      </c>
      <c r="F10479" t="str">
        <f>"101"</f>
        <v>101</v>
      </c>
      <c r="G10479">
        <v>9</v>
      </c>
      <c r="H10479" t="str">
        <f t="shared" si="2368"/>
        <v>99</v>
      </c>
      <c r="I10479" t="str">
        <f t="shared" si="2365"/>
        <v>0</v>
      </c>
      <c r="J10479" t="str">
        <f t="shared" si="2364"/>
        <v>00</v>
      </c>
      <c r="K10479">
        <v>20190315</v>
      </c>
      <c r="L10479" t="str">
        <f>"076132"</f>
        <v>076132</v>
      </c>
      <c r="M10479" t="str">
        <f>"81303"</f>
        <v>81303</v>
      </c>
      <c r="N10479" t="s">
        <v>66</v>
      </c>
      <c r="O10479">
        <v>15</v>
      </c>
      <c r="P10479">
        <v>20190315</v>
      </c>
      <c r="Q10479" t="s">
        <v>8205</v>
      </c>
      <c r="R10479" t="s">
        <v>8317</v>
      </c>
      <c r="S10479" t="s">
        <v>8163</v>
      </c>
      <c r="T10479" t="s">
        <v>1479</v>
      </c>
    </row>
    <row r="10480" spans="1:20" x14ac:dyDescent="0.25">
      <c r="A10480">
        <v>9</v>
      </c>
      <c r="B10480">
        <v>865</v>
      </c>
      <c r="C10480" t="str">
        <f t="shared" si="2367"/>
        <v>36</v>
      </c>
      <c r="D10480">
        <v>6499</v>
      </c>
      <c r="E10480" t="str">
        <f>"VL"</f>
        <v>VL</v>
      </c>
      <c r="F10480" t="str">
        <f t="shared" ref="F10480:F10485" si="2369">"001"</f>
        <v>001</v>
      </c>
      <c r="G10480">
        <v>9</v>
      </c>
      <c r="H10480" t="str">
        <f t="shared" si="2368"/>
        <v>99</v>
      </c>
      <c r="I10480" t="str">
        <f t="shared" si="2365"/>
        <v>0</v>
      </c>
      <c r="J10480" t="str">
        <f t="shared" si="2364"/>
        <v>00</v>
      </c>
      <c r="K10480">
        <v>20190322</v>
      </c>
      <c r="L10480" t="str">
        <f>"076161"</f>
        <v>076161</v>
      </c>
      <c r="M10480" t="str">
        <f>"24970"</f>
        <v>24970</v>
      </c>
      <c r="N10480" t="s">
        <v>8182</v>
      </c>
      <c r="O10480">
        <v>103.22</v>
      </c>
      <c r="P10480">
        <v>20190320</v>
      </c>
      <c r="Q10480" t="s">
        <v>8318</v>
      </c>
      <c r="R10480" t="s">
        <v>8319</v>
      </c>
      <c r="S10480" t="s">
        <v>8163</v>
      </c>
      <c r="T10480" t="s">
        <v>301</v>
      </c>
    </row>
    <row r="10481" spans="1:20" x14ac:dyDescent="0.25">
      <c r="A10481">
        <v>9</v>
      </c>
      <c r="B10481">
        <v>865</v>
      </c>
      <c r="C10481" t="str">
        <f t="shared" si="2367"/>
        <v>36</v>
      </c>
      <c r="D10481">
        <v>6399</v>
      </c>
      <c r="E10481" t="str">
        <f>"TS"</f>
        <v>TS</v>
      </c>
      <c r="F10481" t="str">
        <f t="shared" si="2369"/>
        <v>001</v>
      </c>
      <c r="G10481">
        <v>9</v>
      </c>
      <c r="H10481" t="str">
        <f t="shared" si="2368"/>
        <v>99</v>
      </c>
      <c r="I10481" t="str">
        <f t="shared" si="2365"/>
        <v>0</v>
      </c>
      <c r="J10481" t="str">
        <f t="shared" si="2364"/>
        <v>00</v>
      </c>
      <c r="K10481">
        <v>20190329</v>
      </c>
      <c r="L10481" t="str">
        <f>"076219"</f>
        <v>076219</v>
      </c>
      <c r="M10481" t="str">
        <f>"04410"</f>
        <v>04410</v>
      </c>
      <c r="N10481" t="s">
        <v>410</v>
      </c>
      <c r="O10481">
        <v>35.76</v>
      </c>
      <c r="P10481">
        <v>20190327</v>
      </c>
      <c r="Q10481" t="s">
        <v>8167</v>
      </c>
      <c r="R10481" t="s">
        <v>8320</v>
      </c>
      <c r="S10481" t="s">
        <v>8163</v>
      </c>
      <c r="T10481" t="s">
        <v>301</v>
      </c>
    </row>
    <row r="10482" spans="1:20" x14ac:dyDescent="0.25">
      <c r="A10482">
        <v>9</v>
      </c>
      <c r="B10482">
        <v>865</v>
      </c>
      <c r="C10482" t="str">
        <f t="shared" si="2367"/>
        <v>36</v>
      </c>
      <c r="D10482">
        <v>6399</v>
      </c>
      <c r="E10482" t="str">
        <f>"TS"</f>
        <v>TS</v>
      </c>
      <c r="F10482" t="str">
        <f t="shared" si="2369"/>
        <v>001</v>
      </c>
      <c r="G10482">
        <v>9</v>
      </c>
      <c r="H10482" t="str">
        <f t="shared" si="2368"/>
        <v>99</v>
      </c>
      <c r="I10482" t="str">
        <f t="shared" si="2365"/>
        <v>0</v>
      </c>
      <c r="J10482" t="str">
        <f t="shared" si="2364"/>
        <v>00</v>
      </c>
      <c r="K10482">
        <v>20190329</v>
      </c>
      <c r="L10482" t="str">
        <f>"076219"</f>
        <v>076219</v>
      </c>
      <c r="M10482" t="str">
        <f>"04410"</f>
        <v>04410</v>
      </c>
      <c r="N10482" t="s">
        <v>410</v>
      </c>
      <c r="O10482">
        <v>44.16</v>
      </c>
      <c r="P10482">
        <v>20190327</v>
      </c>
      <c r="Q10482" t="s">
        <v>8167</v>
      </c>
      <c r="R10482" t="s">
        <v>8321</v>
      </c>
      <c r="S10482" t="s">
        <v>8163</v>
      </c>
      <c r="T10482" t="s">
        <v>301</v>
      </c>
    </row>
    <row r="10483" spans="1:20" x14ac:dyDescent="0.25">
      <c r="A10483">
        <v>9</v>
      </c>
      <c r="B10483">
        <v>865</v>
      </c>
      <c r="C10483" t="str">
        <f t="shared" si="2367"/>
        <v>36</v>
      </c>
      <c r="D10483">
        <v>6399</v>
      </c>
      <c r="E10483" t="str">
        <f>"8E"</f>
        <v>8E</v>
      </c>
      <c r="F10483" t="str">
        <f t="shared" si="2369"/>
        <v>001</v>
      </c>
      <c r="G10483">
        <v>9</v>
      </c>
      <c r="H10483" t="str">
        <f t="shared" si="2368"/>
        <v>99</v>
      </c>
      <c r="I10483" t="str">
        <f t="shared" si="2365"/>
        <v>0</v>
      </c>
      <c r="J10483" t="str">
        <f t="shared" si="2364"/>
        <v>00</v>
      </c>
      <c r="K10483">
        <v>20190329</v>
      </c>
      <c r="L10483" t="str">
        <f>"076224"</f>
        <v>076224</v>
      </c>
      <c r="M10483" t="str">
        <f>"09170"</f>
        <v>09170</v>
      </c>
      <c r="N10483" t="s">
        <v>679</v>
      </c>
      <c r="O10483" s="1">
        <v>2388.25</v>
      </c>
      <c r="P10483">
        <v>20190327</v>
      </c>
      <c r="Q10483" t="s">
        <v>8231</v>
      </c>
      <c r="R10483" t="s">
        <v>8322</v>
      </c>
      <c r="S10483" t="s">
        <v>8163</v>
      </c>
      <c r="T10483" t="s">
        <v>301</v>
      </c>
    </row>
    <row r="10484" spans="1:20" x14ac:dyDescent="0.25">
      <c r="A10484">
        <v>9</v>
      </c>
      <c r="B10484">
        <v>865</v>
      </c>
      <c r="C10484" t="str">
        <f t="shared" si="2367"/>
        <v>36</v>
      </c>
      <c r="D10484">
        <v>6412</v>
      </c>
      <c r="E10484" t="str">
        <f>"VB"</f>
        <v>VB</v>
      </c>
      <c r="F10484" t="str">
        <f t="shared" si="2369"/>
        <v>001</v>
      </c>
      <c r="G10484">
        <v>9</v>
      </c>
      <c r="H10484" t="str">
        <f t="shared" si="2368"/>
        <v>99</v>
      </c>
      <c r="I10484" t="str">
        <f t="shared" si="2365"/>
        <v>0</v>
      </c>
      <c r="J10484" t="str">
        <f t="shared" si="2364"/>
        <v>00</v>
      </c>
      <c r="K10484">
        <v>20190329</v>
      </c>
      <c r="L10484" t="str">
        <f>"076226"</f>
        <v>076226</v>
      </c>
      <c r="M10484" t="str">
        <f>"14132"</f>
        <v>14132</v>
      </c>
      <c r="N10484" t="s">
        <v>3732</v>
      </c>
      <c r="O10484">
        <v>312</v>
      </c>
      <c r="P10484">
        <v>20190327</v>
      </c>
      <c r="Q10484" t="s">
        <v>8323</v>
      </c>
      <c r="R10484" t="s">
        <v>4392</v>
      </c>
      <c r="S10484" t="s">
        <v>8163</v>
      </c>
      <c r="T10484" t="s">
        <v>301</v>
      </c>
    </row>
    <row r="10485" spans="1:20" x14ac:dyDescent="0.25">
      <c r="A10485">
        <v>9</v>
      </c>
      <c r="B10485">
        <v>865</v>
      </c>
      <c r="C10485" t="str">
        <f t="shared" si="2367"/>
        <v>36</v>
      </c>
      <c r="D10485">
        <v>6412</v>
      </c>
      <c r="E10485" t="str">
        <f>"8T"</f>
        <v>8T</v>
      </c>
      <c r="F10485" t="str">
        <f t="shared" si="2369"/>
        <v>001</v>
      </c>
      <c r="G10485">
        <v>9</v>
      </c>
      <c r="H10485" t="str">
        <f t="shared" si="2368"/>
        <v>99</v>
      </c>
      <c r="I10485" t="str">
        <f t="shared" si="2365"/>
        <v>0</v>
      </c>
      <c r="J10485" t="str">
        <f t="shared" si="2364"/>
        <v>00</v>
      </c>
      <c r="K10485">
        <v>20190329</v>
      </c>
      <c r="L10485" t="str">
        <f>"076288"</f>
        <v>076288</v>
      </c>
      <c r="M10485" t="str">
        <f>"46225"</f>
        <v>46225</v>
      </c>
      <c r="N10485" t="s">
        <v>378</v>
      </c>
      <c r="O10485">
        <v>90</v>
      </c>
      <c r="P10485">
        <v>20190328</v>
      </c>
      <c r="Q10485" t="s">
        <v>8194</v>
      </c>
      <c r="R10485" t="s">
        <v>8324</v>
      </c>
      <c r="S10485" t="s">
        <v>8163</v>
      </c>
      <c r="T10485" t="s">
        <v>301</v>
      </c>
    </row>
    <row r="10486" spans="1:20" x14ac:dyDescent="0.25">
      <c r="A10486">
        <v>9</v>
      </c>
      <c r="B10486">
        <v>865</v>
      </c>
      <c r="C10486" t="str">
        <f t="shared" si="2367"/>
        <v>36</v>
      </c>
      <c r="D10486">
        <v>6399</v>
      </c>
      <c r="E10486" t="str">
        <f>"7K"</f>
        <v>7K</v>
      </c>
      <c r="F10486" t="str">
        <f>"041"</f>
        <v>041</v>
      </c>
      <c r="G10486">
        <v>9</v>
      </c>
      <c r="H10486" t="str">
        <f t="shared" si="2368"/>
        <v>99</v>
      </c>
      <c r="I10486" t="str">
        <f t="shared" si="2365"/>
        <v>0</v>
      </c>
      <c r="J10486" t="str">
        <f t="shared" si="2364"/>
        <v>00</v>
      </c>
      <c r="K10486">
        <v>20190329</v>
      </c>
      <c r="L10486" t="str">
        <f>"076290"</f>
        <v>076290</v>
      </c>
      <c r="M10486" t="str">
        <f>"00468"</f>
        <v>00468</v>
      </c>
      <c r="N10486" t="s">
        <v>8325</v>
      </c>
      <c r="O10486" s="1">
        <v>1280</v>
      </c>
      <c r="P10486">
        <v>20190328</v>
      </c>
      <c r="Q10486" t="s">
        <v>8162</v>
      </c>
      <c r="R10486" t="s">
        <v>4404</v>
      </c>
      <c r="S10486" t="s">
        <v>8163</v>
      </c>
      <c r="T10486" t="s">
        <v>106</v>
      </c>
    </row>
    <row r="10487" spans="1:20" x14ac:dyDescent="0.25">
      <c r="A10487">
        <v>9</v>
      </c>
      <c r="B10487">
        <v>865</v>
      </c>
      <c r="C10487" t="str">
        <f t="shared" si="2367"/>
        <v>36</v>
      </c>
      <c r="D10487">
        <v>6399</v>
      </c>
      <c r="E10487" t="str">
        <f>"92"</f>
        <v>92</v>
      </c>
      <c r="F10487" t="str">
        <f>"001"</f>
        <v>001</v>
      </c>
      <c r="G10487">
        <v>9</v>
      </c>
      <c r="H10487" t="str">
        <f t="shared" si="2368"/>
        <v>99</v>
      </c>
      <c r="I10487" t="str">
        <f t="shared" si="2365"/>
        <v>0</v>
      </c>
      <c r="J10487" t="str">
        <f t="shared" si="2364"/>
        <v>00</v>
      </c>
      <c r="K10487">
        <v>20190405</v>
      </c>
      <c r="L10487" t="str">
        <f>"076365"</f>
        <v>076365</v>
      </c>
      <c r="M10487" t="str">
        <f>"37500"</f>
        <v>37500</v>
      </c>
      <c r="N10487" t="s">
        <v>2077</v>
      </c>
      <c r="O10487">
        <v>114.59</v>
      </c>
      <c r="P10487">
        <v>20190404</v>
      </c>
      <c r="Q10487" t="s">
        <v>8250</v>
      </c>
      <c r="R10487" t="s">
        <v>641</v>
      </c>
      <c r="S10487" t="s">
        <v>8163</v>
      </c>
      <c r="T10487" t="s">
        <v>301</v>
      </c>
    </row>
    <row r="10488" spans="1:20" x14ac:dyDescent="0.25">
      <c r="A10488">
        <v>9</v>
      </c>
      <c r="B10488">
        <v>865</v>
      </c>
      <c r="C10488" t="str">
        <f t="shared" si="2367"/>
        <v>36</v>
      </c>
      <c r="D10488">
        <v>6399</v>
      </c>
      <c r="E10488" t="str">
        <f>"30"</f>
        <v>30</v>
      </c>
      <c r="F10488" t="str">
        <f>"101"</f>
        <v>101</v>
      </c>
      <c r="G10488">
        <v>9</v>
      </c>
      <c r="H10488" t="str">
        <f t="shared" si="2368"/>
        <v>99</v>
      </c>
      <c r="I10488" t="str">
        <f t="shared" si="2365"/>
        <v>0</v>
      </c>
      <c r="J10488" t="str">
        <f t="shared" si="2364"/>
        <v>00</v>
      </c>
      <c r="K10488">
        <v>20190405</v>
      </c>
      <c r="L10488" t="str">
        <f>"076391"</f>
        <v>076391</v>
      </c>
      <c r="M10488" t="str">
        <f>"58203"</f>
        <v>58203</v>
      </c>
      <c r="N10488" t="s">
        <v>3051</v>
      </c>
      <c r="O10488">
        <v>347.4</v>
      </c>
      <c r="P10488">
        <v>20190404</v>
      </c>
      <c r="Q10488" t="s">
        <v>8205</v>
      </c>
      <c r="R10488" t="s">
        <v>641</v>
      </c>
      <c r="S10488" t="s">
        <v>8163</v>
      </c>
      <c r="T10488" t="s">
        <v>1479</v>
      </c>
    </row>
    <row r="10489" spans="1:20" x14ac:dyDescent="0.25">
      <c r="A10489">
        <v>9</v>
      </c>
      <c r="B10489">
        <v>865</v>
      </c>
      <c r="C10489" t="str">
        <f t="shared" si="2367"/>
        <v>36</v>
      </c>
      <c r="D10489">
        <v>6399</v>
      </c>
      <c r="E10489" t="str">
        <f>"48"</f>
        <v>48</v>
      </c>
      <c r="F10489" t="str">
        <f>"001"</f>
        <v>001</v>
      </c>
      <c r="G10489">
        <v>9</v>
      </c>
      <c r="H10489" t="str">
        <f t="shared" si="2368"/>
        <v>99</v>
      </c>
      <c r="I10489" t="str">
        <f t="shared" si="2365"/>
        <v>0</v>
      </c>
      <c r="J10489" t="str">
        <f t="shared" si="2364"/>
        <v>00</v>
      </c>
      <c r="K10489">
        <v>20190412</v>
      </c>
      <c r="L10489" t="str">
        <f>"076415"</f>
        <v>076415</v>
      </c>
      <c r="M10489" t="str">
        <f>"05530"</f>
        <v>05530</v>
      </c>
      <c r="N10489" t="s">
        <v>947</v>
      </c>
      <c r="O10489">
        <v>118.15</v>
      </c>
      <c r="P10489">
        <v>20190411</v>
      </c>
      <c r="Q10489" t="s">
        <v>8266</v>
      </c>
      <c r="R10489" t="s">
        <v>8299</v>
      </c>
      <c r="S10489" t="s">
        <v>8163</v>
      </c>
      <c r="T10489" t="s">
        <v>301</v>
      </c>
    </row>
    <row r="10490" spans="1:20" x14ac:dyDescent="0.25">
      <c r="A10490">
        <v>9</v>
      </c>
      <c r="B10490">
        <v>865</v>
      </c>
      <c r="C10490" t="str">
        <f t="shared" si="2367"/>
        <v>36</v>
      </c>
      <c r="D10490">
        <v>6399</v>
      </c>
      <c r="E10490" t="str">
        <f>"8E"</f>
        <v>8E</v>
      </c>
      <c r="F10490" t="str">
        <f>"001"</f>
        <v>001</v>
      </c>
      <c r="G10490">
        <v>9</v>
      </c>
      <c r="H10490" t="str">
        <f t="shared" si="2368"/>
        <v>99</v>
      </c>
      <c r="I10490" t="str">
        <f t="shared" si="2365"/>
        <v>0</v>
      </c>
      <c r="J10490" t="str">
        <f t="shared" si="2364"/>
        <v>00</v>
      </c>
      <c r="K10490">
        <v>20190412</v>
      </c>
      <c r="L10490" t="str">
        <f>"076415"</f>
        <v>076415</v>
      </c>
      <c r="M10490" t="str">
        <f>"05530"</f>
        <v>05530</v>
      </c>
      <c r="N10490" t="s">
        <v>947</v>
      </c>
      <c r="O10490">
        <v>786</v>
      </c>
      <c r="P10490">
        <v>20190411</v>
      </c>
      <c r="Q10490" t="s">
        <v>8231</v>
      </c>
      <c r="R10490" t="s">
        <v>5592</v>
      </c>
      <c r="S10490" t="s">
        <v>8163</v>
      </c>
      <c r="T10490" t="s">
        <v>301</v>
      </c>
    </row>
    <row r="10491" spans="1:20" x14ac:dyDescent="0.25">
      <c r="A10491">
        <v>9</v>
      </c>
      <c r="B10491">
        <v>865</v>
      </c>
      <c r="C10491" t="str">
        <f t="shared" si="2367"/>
        <v>36</v>
      </c>
      <c r="D10491">
        <v>6499</v>
      </c>
      <c r="E10491" t="str">
        <f>"VB"</f>
        <v>VB</v>
      </c>
      <c r="F10491" t="str">
        <f>"001"</f>
        <v>001</v>
      </c>
      <c r="G10491">
        <v>9</v>
      </c>
      <c r="H10491" t="str">
        <f t="shared" si="2368"/>
        <v>99</v>
      </c>
      <c r="I10491" t="str">
        <f t="shared" si="2365"/>
        <v>0</v>
      </c>
      <c r="J10491" t="str">
        <f t="shared" si="2364"/>
        <v>00</v>
      </c>
      <c r="K10491">
        <v>20190412</v>
      </c>
      <c r="L10491" t="str">
        <f>"076491"</f>
        <v>076491</v>
      </c>
      <c r="M10491" t="str">
        <f>"51347"</f>
        <v>51347</v>
      </c>
      <c r="N10491" t="s">
        <v>1158</v>
      </c>
      <c r="O10491">
        <v>70</v>
      </c>
      <c r="P10491">
        <v>20190411</v>
      </c>
      <c r="Q10491" t="s">
        <v>8326</v>
      </c>
      <c r="R10491" t="s">
        <v>1277</v>
      </c>
      <c r="S10491" t="s">
        <v>8163</v>
      </c>
      <c r="T10491" t="s">
        <v>301</v>
      </c>
    </row>
    <row r="10492" spans="1:20" x14ac:dyDescent="0.25">
      <c r="A10492">
        <v>9</v>
      </c>
      <c r="B10492">
        <v>865</v>
      </c>
      <c r="C10492" t="str">
        <f t="shared" si="2367"/>
        <v>36</v>
      </c>
      <c r="D10492">
        <v>6399</v>
      </c>
      <c r="E10492" t="str">
        <f>"30"</f>
        <v>30</v>
      </c>
      <c r="F10492" t="str">
        <f>"002"</f>
        <v>002</v>
      </c>
      <c r="G10492">
        <v>9</v>
      </c>
      <c r="H10492" t="str">
        <f t="shared" si="2368"/>
        <v>99</v>
      </c>
      <c r="I10492" t="str">
        <f t="shared" si="2365"/>
        <v>0</v>
      </c>
      <c r="J10492" t="str">
        <f t="shared" si="2364"/>
        <v>00</v>
      </c>
      <c r="K10492">
        <v>20190412</v>
      </c>
      <c r="L10492" t="str">
        <f>"076499"</f>
        <v>076499</v>
      </c>
      <c r="M10492" t="str">
        <f>"58211"</f>
        <v>58211</v>
      </c>
      <c r="N10492" t="s">
        <v>1472</v>
      </c>
      <c r="O10492">
        <v>62.58</v>
      </c>
      <c r="P10492">
        <v>20190411</v>
      </c>
      <c r="Q10492" t="s">
        <v>8188</v>
      </c>
      <c r="R10492" t="s">
        <v>641</v>
      </c>
      <c r="S10492" t="s">
        <v>8163</v>
      </c>
      <c r="T10492" t="s">
        <v>1485</v>
      </c>
    </row>
    <row r="10493" spans="1:20" x14ac:dyDescent="0.25">
      <c r="A10493">
        <v>9</v>
      </c>
      <c r="B10493">
        <v>865</v>
      </c>
      <c r="C10493" t="str">
        <f t="shared" si="2367"/>
        <v>36</v>
      </c>
      <c r="D10493">
        <v>6399</v>
      </c>
      <c r="E10493" t="str">
        <f>"8T"</f>
        <v>8T</v>
      </c>
      <c r="F10493" t="str">
        <f>"001"</f>
        <v>001</v>
      </c>
      <c r="G10493">
        <v>9</v>
      </c>
      <c r="H10493" t="str">
        <f t="shared" si="2368"/>
        <v>99</v>
      </c>
      <c r="I10493" t="str">
        <f t="shared" si="2365"/>
        <v>0</v>
      </c>
      <c r="J10493" t="str">
        <f t="shared" si="2364"/>
        <v>00</v>
      </c>
      <c r="K10493">
        <v>20190412</v>
      </c>
      <c r="L10493" t="str">
        <f>"076529"</f>
        <v>076529</v>
      </c>
      <c r="M10493" t="str">
        <f>"82381"</f>
        <v>82381</v>
      </c>
      <c r="N10493" t="s">
        <v>4578</v>
      </c>
      <c r="O10493">
        <v>12.5</v>
      </c>
      <c r="P10493">
        <v>20190412</v>
      </c>
      <c r="Q10493" t="s">
        <v>8165</v>
      </c>
      <c r="R10493" t="s">
        <v>4693</v>
      </c>
      <c r="S10493" t="s">
        <v>8163</v>
      </c>
      <c r="T10493" t="s">
        <v>301</v>
      </c>
    </row>
    <row r="10494" spans="1:20" x14ac:dyDescent="0.25">
      <c r="A10494">
        <v>9</v>
      </c>
      <c r="B10494">
        <v>865</v>
      </c>
      <c r="C10494" t="str">
        <f t="shared" si="2367"/>
        <v>36</v>
      </c>
      <c r="D10494">
        <v>6412</v>
      </c>
      <c r="E10494" t="str">
        <f>"7K"</f>
        <v>7K</v>
      </c>
      <c r="F10494" t="str">
        <f>"041"</f>
        <v>041</v>
      </c>
      <c r="G10494">
        <v>9</v>
      </c>
      <c r="H10494" t="str">
        <f t="shared" si="2368"/>
        <v>99</v>
      </c>
      <c r="I10494" t="str">
        <f t="shared" si="2365"/>
        <v>0</v>
      </c>
      <c r="J10494" t="str">
        <f t="shared" si="2364"/>
        <v>00</v>
      </c>
      <c r="K10494">
        <v>20190419</v>
      </c>
      <c r="L10494" t="str">
        <f>"076534"</f>
        <v>076534</v>
      </c>
      <c r="M10494" t="str">
        <f>"09170"</f>
        <v>09170</v>
      </c>
      <c r="N10494" t="s">
        <v>679</v>
      </c>
      <c r="O10494">
        <v>679.07</v>
      </c>
      <c r="P10494">
        <v>20190418</v>
      </c>
      <c r="Q10494" t="s">
        <v>8207</v>
      </c>
      <c r="R10494" t="s">
        <v>4404</v>
      </c>
      <c r="S10494" t="s">
        <v>8163</v>
      </c>
      <c r="T10494" t="s">
        <v>106</v>
      </c>
    </row>
    <row r="10495" spans="1:20" x14ac:dyDescent="0.25">
      <c r="A10495">
        <v>9</v>
      </c>
      <c r="B10495">
        <v>865</v>
      </c>
      <c r="C10495" t="str">
        <f t="shared" si="2367"/>
        <v>36</v>
      </c>
      <c r="D10495">
        <v>6499</v>
      </c>
      <c r="E10495" t="str">
        <f>"8T"</f>
        <v>8T</v>
      </c>
      <c r="F10495" t="str">
        <f>"001"</f>
        <v>001</v>
      </c>
      <c r="G10495">
        <v>9</v>
      </c>
      <c r="H10495" t="str">
        <f t="shared" si="2368"/>
        <v>99</v>
      </c>
      <c r="I10495" t="str">
        <f t="shared" si="2365"/>
        <v>0</v>
      </c>
      <c r="J10495" t="str">
        <f t="shared" si="2364"/>
        <v>00</v>
      </c>
      <c r="K10495">
        <v>20190419</v>
      </c>
      <c r="L10495" t="str">
        <f>"076534"</f>
        <v>076534</v>
      </c>
      <c r="M10495" t="str">
        <f>"09170"</f>
        <v>09170</v>
      </c>
      <c r="N10495" t="s">
        <v>679</v>
      </c>
      <c r="O10495">
        <v>839.7</v>
      </c>
      <c r="P10495">
        <v>20190418</v>
      </c>
      <c r="Q10495" t="s">
        <v>8164</v>
      </c>
      <c r="R10495" t="s">
        <v>8327</v>
      </c>
      <c r="S10495" t="s">
        <v>8163</v>
      </c>
      <c r="T10495" t="s">
        <v>301</v>
      </c>
    </row>
    <row r="10496" spans="1:20" x14ac:dyDescent="0.25">
      <c r="A10496">
        <v>9</v>
      </c>
      <c r="B10496">
        <v>865</v>
      </c>
      <c r="C10496" t="str">
        <f t="shared" si="2367"/>
        <v>36</v>
      </c>
      <c r="D10496">
        <v>6399</v>
      </c>
      <c r="E10496" t="str">
        <f>"7E"</f>
        <v>7E</v>
      </c>
      <c r="F10496" t="str">
        <f>"041"</f>
        <v>041</v>
      </c>
      <c r="G10496">
        <v>9</v>
      </c>
      <c r="H10496" t="str">
        <f t="shared" si="2368"/>
        <v>99</v>
      </c>
      <c r="I10496" t="str">
        <f t="shared" si="2365"/>
        <v>0</v>
      </c>
      <c r="J10496" t="str">
        <f t="shared" si="2364"/>
        <v>00</v>
      </c>
      <c r="K10496">
        <v>20190419</v>
      </c>
      <c r="L10496" t="str">
        <f>"076545"</f>
        <v>076545</v>
      </c>
      <c r="M10496" t="str">
        <f>"70641"</f>
        <v>70641</v>
      </c>
      <c r="N10496" t="s">
        <v>5196</v>
      </c>
      <c r="O10496" s="1">
        <v>2007</v>
      </c>
      <c r="P10496">
        <v>20190418</v>
      </c>
      <c r="Q10496" t="s">
        <v>8229</v>
      </c>
      <c r="R10496" t="s">
        <v>8328</v>
      </c>
      <c r="S10496" t="s">
        <v>8163</v>
      </c>
      <c r="T10496" t="s">
        <v>106</v>
      </c>
    </row>
    <row r="10497" spans="1:20" x14ac:dyDescent="0.25">
      <c r="A10497">
        <v>9</v>
      </c>
      <c r="B10497">
        <v>865</v>
      </c>
      <c r="C10497" t="str">
        <f t="shared" si="2367"/>
        <v>36</v>
      </c>
      <c r="D10497">
        <v>6412</v>
      </c>
      <c r="E10497" t="str">
        <f>"7B"</f>
        <v>7B</v>
      </c>
      <c r="F10497" t="str">
        <f>"041"</f>
        <v>041</v>
      </c>
      <c r="G10497">
        <v>9</v>
      </c>
      <c r="H10497" t="str">
        <f t="shared" si="2368"/>
        <v>99</v>
      </c>
      <c r="I10497" t="str">
        <f t="shared" si="2365"/>
        <v>0</v>
      </c>
      <c r="J10497" t="str">
        <f t="shared" si="2364"/>
        <v>00</v>
      </c>
      <c r="K10497">
        <v>20190426</v>
      </c>
      <c r="L10497" t="str">
        <f>"076559"</f>
        <v>076559</v>
      </c>
      <c r="M10497" t="str">
        <f>"72088"</f>
        <v>72088</v>
      </c>
      <c r="N10497" t="s">
        <v>8329</v>
      </c>
      <c r="O10497" s="1">
        <v>4200</v>
      </c>
      <c r="P10497">
        <v>20190425</v>
      </c>
      <c r="Q10497" t="s">
        <v>8306</v>
      </c>
      <c r="R10497" t="s">
        <v>5765</v>
      </c>
      <c r="S10497" t="s">
        <v>8163</v>
      </c>
      <c r="T10497" t="s">
        <v>106</v>
      </c>
    </row>
    <row r="10498" spans="1:20" x14ac:dyDescent="0.25">
      <c r="A10498">
        <v>9</v>
      </c>
      <c r="B10498">
        <v>865</v>
      </c>
      <c r="C10498" t="str">
        <f t="shared" si="2367"/>
        <v>36</v>
      </c>
      <c r="D10498">
        <v>6299</v>
      </c>
      <c r="E10498" t="str">
        <f>"8S"</f>
        <v>8S</v>
      </c>
      <c r="F10498" t="str">
        <f>"001"</f>
        <v>001</v>
      </c>
      <c r="G10498">
        <v>9</v>
      </c>
      <c r="H10498" t="str">
        <f t="shared" si="2368"/>
        <v>99</v>
      </c>
      <c r="I10498" t="str">
        <f t="shared" si="2365"/>
        <v>0</v>
      </c>
      <c r="J10498" t="str">
        <f t="shared" si="2364"/>
        <v>00</v>
      </c>
      <c r="K10498">
        <v>20190426</v>
      </c>
      <c r="L10498" t="str">
        <f>"076569"</f>
        <v>076569</v>
      </c>
      <c r="M10498" t="str">
        <f>"21298"</f>
        <v>21298</v>
      </c>
      <c r="N10498" t="s">
        <v>8224</v>
      </c>
      <c r="O10498">
        <v>400</v>
      </c>
      <c r="P10498">
        <v>20190425</v>
      </c>
      <c r="Q10498" t="s">
        <v>8200</v>
      </c>
      <c r="R10498" t="s">
        <v>8330</v>
      </c>
      <c r="S10498" t="s">
        <v>8163</v>
      </c>
      <c r="T10498" t="s">
        <v>301</v>
      </c>
    </row>
    <row r="10499" spans="1:20" x14ac:dyDescent="0.25">
      <c r="A10499">
        <v>9</v>
      </c>
      <c r="B10499">
        <v>865</v>
      </c>
      <c r="C10499" t="str">
        <f t="shared" si="2367"/>
        <v>36</v>
      </c>
      <c r="D10499">
        <v>6399</v>
      </c>
      <c r="E10499" t="str">
        <f>"30"</f>
        <v>30</v>
      </c>
      <c r="F10499" t="str">
        <f>"104"</f>
        <v>104</v>
      </c>
      <c r="G10499">
        <v>9</v>
      </c>
      <c r="H10499" t="str">
        <f t="shared" si="2368"/>
        <v>99</v>
      </c>
      <c r="I10499" t="str">
        <f t="shared" si="2365"/>
        <v>0</v>
      </c>
      <c r="J10499" t="str">
        <f t="shared" si="2364"/>
        <v>00</v>
      </c>
      <c r="K10499">
        <v>20190426</v>
      </c>
      <c r="L10499" t="str">
        <f>"076603"</f>
        <v>076603</v>
      </c>
      <c r="M10499" t="str">
        <f>"54236"</f>
        <v>54236</v>
      </c>
      <c r="N10499" t="s">
        <v>3200</v>
      </c>
      <c r="O10499">
        <v>160.94</v>
      </c>
      <c r="P10499">
        <v>20190425</v>
      </c>
      <c r="Q10499" t="s">
        <v>8210</v>
      </c>
      <c r="R10499" t="s">
        <v>8331</v>
      </c>
      <c r="S10499" t="s">
        <v>8163</v>
      </c>
      <c r="T10499" t="s">
        <v>46</v>
      </c>
    </row>
    <row r="10500" spans="1:20" x14ac:dyDescent="0.25">
      <c r="A10500">
        <v>9</v>
      </c>
      <c r="B10500">
        <v>865</v>
      </c>
      <c r="C10500" t="str">
        <f t="shared" si="2367"/>
        <v>36</v>
      </c>
      <c r="D10500">
        <v>6399</v>
      </c>
      <c r="E10500" t="str">
        <f>"8S"</f>
        <v>8S</v>
      </c>
      <c r="F10500" t="str">
        <f>"001"</f>
        <v>001</v>
      </c>
      <c r="G10500">
        <v>9</v>
      </c>
      <c r="H10500" t="str">
        <f t="shared" si="2368"/>
        <v>99</v>
      </c>
      <c r="I10500" t="str">
        <f t="shared" si="2365"/>
        <v>0</v>
      </c>
      <c r="J10500" t="str">
        <f t="shared" si="2364"/>
        <v>00</v>
      </c>
      <c r="K10500">
        <v>20190426</v>
      </c>
      <c r="L10500" t="str">
        <f>"076611"</f>
        <v>076611</v>
      </c>
      <c r="M10500" t="str">
        <f>"00429"</f>
        <v>00429</v>
      </c>
      <c r="N10500" t="s">
        <v>7337</v>
      </c>
      <c r="O10500" s="1">
        <v>1058.48</v>
      </c>
      <c r="P10500">
        <v>20190425</v>
      </c>
      <c r="Q10500" t="s">
        <v>8166</v>
      </c>
      <c r="R10500" t="s">
        <v>5749</v>
      </c>
      <c r="S10500" t="s">
        <v>8163</v>
      </c>
      <c r="T10500" t="s">
        <v>301</v>
      </c>
    </row>
    <row r="10501" spans="1:20" x14ac:dyDescent="0.25">
      <c r="A10501">
        <v>9</v>
      </c>
      <c r="B10501">
        <v>865</v>
      </c>
      <c r="C10501" t="str">
        <f t="shared" si="2367"/>
        <v>36</v>
      </c>
      <c r="D10501">
        <v>6399</v>
      </c>
      <c r="E10501" t="str">
        <f>"30"</f>
        <v>30</v>
      </c>
      <c r="F10501" t="str">
        <f>"101"</f>
        <v>101</v>
      </c>
      <c r="G10501">
        <v>9</v>
      </c>
      <c r="H10501" t="str">
        <f t="shared" si="2368"/>
        <v>99</v>
      </c>
      <c r="I10501" t="str">
        <f t="shared" si="2365"/>
        <v>0</v>
      </c>
      <c r="J10501" t="str">
        <f t="shared" si="2364"/>
        <v>00</v>
      </c>
      <c r="K10501">
        <v>20190426</v>
      </c>
      <c r="L10501" t="str">
        <f>"076612"</f>
        <v>076612</v>
      </c>
      <c r="M10501" t="str">
        <f>"63648"</f>
        <v>63648</v>
      </c>
      <c r="N10501" t="s">
        <v>8332</v>
      </c>
      <c r="O10501" s="1">
        <v>1187.5</v>
      </c>
      <c r="P10501">
        <v>20190425</v>
      </c>
      <c r="Q10501" t="s">
        <v>8205</v>
      </c>
      <c r="R10501" t="s">
        <v>5199</v>
      </c>
      <c r="S10501" t="s">
        <v>8163</v>
      </c>
      <c r="T10501" t="s">
        <v>1479</v>
      </c>
    </row>
    <row r="10502" spans="1:20" x14ac:dyDescent="0.25">
      <c r="A10502">
        <v>9</v>
      </c>
      <c r="B10502">
        <v>865</v>
      </c>
      <c r="C10502" t="str">
        <f t="shared" si="2367"/>
        <v>36</v>
      </c>
      <c r="D10502">
        <v>6399</v>
      </c>
      <c r="E10502" t="str">
        <f>"30"</f>
        <v>30</v>
      </c>
      <c r="F10502" t="str">
        <f>"002"</f>
        <v>002</v>
      </c>
      <c r="G10502">
        <v>9</v>
      </c>
      <c r="H10502" t="str">
        <f t="shared" si="2368"/>
        <v>99</v>
      </c>
      <c r="I10502" t="str">
        <f t="shared" si="2365"/>
        <v>0</v>
      </c>
      <c r="J10502" t="str">
        <f t="shared" ref="J10502:J10565" si="2370">"00"</f>
        <v>00</v>
      </c>
      <c r="K10502">
        <v>20190426</v>
      </c>
      <c r="L10502" t="str">
        <f>"076619"</f>
        <v>076619</v>
      </c>
      <c r="M10502" t="str">
        <f>"65106"</f>
        <v>65106</v>
      </c>
      <c r="N10502" t="s">
        <v>1175</v>
      </c>
      <c r="O10502">
        <v>67.900000000000006</v>
      </c>
      <c r="P10502">
        <v>20190425</v>
      </c>
      <c r="Q10502" t="s">
        <v>8188</v>
      </c>
      <c r="R10502" t="s">
        <v>8333</v>
      </c>
      <c r="S10502" t="s">
        <v>8163</v>
      </c>
      <c r="T10502" t="s">
        <v>1485</v>
      </c>
    </row>
    <row r="10503" spans="1:20" x14ac:dyDescent="0.25">
      <c r="A10503">
        <v>9</v>
      </c>
      <c r="B10503">
        <v>865</v>
      </c>
      <c r="C10503" t="str">
        <f t="shared" si="2367"/>
        <v>36</v>
      </c>
      <c r="D10503">
        <v>6399</v>
      </c>
      <c r="E10503" t="str">
        <f>"30"</f>
        <v>30</v>
      </c>
      <c r="F10503" t="str">
        <f>"104"</f>
        <v>104</v>
      </c>
      <c r="G10503">
        <v>9</v>
      </c>
      <c r="H10503" t="str">
        <f t="shared" si="2368"/>
        <v>99</v>
      </c>
      <c r="I10503" t="str">
        <f t="shared" ref="I10503:I10566" si="2371">"0"</f>
        <v>0</v>
      </c>
      <c r="J10503" t="str">
        <f t="shared" si="2370"/>
        <v>00</v>
      </c>
      <c r="K10503">
        <v>20190426</v>
      </c>
      <c r="L10503" t="str">
        <f>"076629"</f>
        <v>076629</v>
      </c>
      <c r="M10503" t="str">
        <f>"81303"</f>
        <v>81303</v>
      </c>
      <c r="N10503" t="s">
        <v>66</v>
      </c>
      <c r="O10503">
        <v>144</v>
      </c>
      <c r="P10503">
        <v>20190425</v>
      </c>
      <c r="Q10503" t="s">
        <v>8210</v>
      </c>
      <c r="R10503" t="s">
        <v>8334</v>
      </c>
      <c r="S10503" t="s">
        <v>8163</v>
      </c>
      <c r="T10503" t="s">
        <v>46</v>
      </c>
    </row>
    <row r="10504" spans="1:20" x14ac:dyDescent="0.25">
      <c r="A10504">
        <v>9</v>
      </c>
      <c r="B10504">
        <v>865</v>
      </c>
      <c r="C10504" t="str">
        <f t="shared" si="2367"/>
        <v>36</v>
      </c>
      <c r="D10504">
        <v>6399</v>
      </c>
      <c r="E10504" t="str">
        <f>"08"</f>
        <v>08</v>
      </c>
      <c r="F10504" t="str">
        <f>"041"</f>
        <v>041</v>
      </c>
      <c r="G10504">
        <v>9</v>
      </c>
      <c r="H10504" t="str">
        <f t="shared" si="2368"/>
        <v>99</v>
      </c>
      <c r="I10504" t="str">
        <f t="shared" si="2371"/>
        <v>0</v>
      </c>
      <c r="J10504" t="str">
        <f t="shared" si="2370"/>
        <v>00</v>
      </c>
      <c r="K10504">
        <v>20190426</v>
      </c>
      <c r="L10504" t="str">
        <f>"076633"</f>
        <v>076633</v>
      </c>
      <c r="M10504" t="str">
        <f>"83022"</f>
        <v>83022</v>
      </c>
      <c r="N10504" t="s">
        <v>691</v>
      </c>
      <c r="O10504">
        <v>120.1</v>
      </c>
      <c r="P10504">
        <v>20190425</v>
      </c>
      <c r="Q10504" t="s">
        <v>8335</v>
      </c>
      <c r="R10504" t="s">
        <v>8336</v>
      </c>
      <c r="S10504" t="s">
        <v>8163</v>
      </c>
      <c r="T10504" t="s">
        <v>106</v>
      </c>
    </row>
    <row r="10505" spans="1:20" x14ac:dyDescent="0.25">
      <c r="A10505">
        <v>9</v>
      </c>
      <c r="B10505">
        <v>865</v>
      </c>
      <c r="C10505" t="str">
        <f t="shared" si="2367"/>
        <v>36</v>
      </c>
      <c r="D10505">
        <v>6412</v>
      </c>
      <c r="E10505" t="str">
        <f>"8P"</f>
        <v>8P</v>
      </c>
      <c r="F10505" t="str">
        <f>"041"</f>
        <v>041</v>
      </c>
      <c r="G10505">
        <v>9</v>
      </c>
      <c r="H10505" t="str">
        <f t="shared" si="2368"/>
        <v>99</v>
      </c>
      <c r="I10505" t="str">
        <f t="shared" si="2371"/>
        <v>0</v>
      </c>
      <c r="J10505" t="str">
        <f t="shared" si="2370"/>
        <v>00</v>
      </c>
      <c r="K10505">
        <v>20190503</v>
      </c>
      <c r="L10505" t="str">
        <f>"076659"</f>
        <v>076659</v>
      </c>
      <c r="M10505" t="str">
        <f>"20675"</f>
        <v>20675</v>
      </c>
      <c r="N10505" t="s">
        <v>8337</v>
      </c>
      <c r="O10505">
        <v>131.75</v>
      </c>
      <c r="P10505">
        <v>20190502</v>
      </c>
      <c r="Q10505" t="s">
        <v>8313</v>
      </c>
      <c r="R10505" t="s">
        <v>8314</v>
      </c>
      <c r="S10505" t="s">
        <v>8163</v>
      </c>
      <c r="T10505" t="s">
        <v>106</v>
      </c>
    </row>
    <row r="10506" spans="1:20" x14ac:dyDescent="0.25">
      <c r="A10506">
        <v>9</v>
      </c>
      <c r="B10506">
        <v>865</v>
      </c>
      <c r="C10506" t="str">
        <f t="shared" si="2367"/>
        <v>36</v>
      </c>
      <c r="D10506">
        <v>6499</v>
      </c>
      <c r="E10506" t="str">
        <f>"V8"</f>
        <v>V8</v>
      </c>
      <c r="F10506" t="str">
        <f>"001"</f>
        <v>001</v>
      </c>
      <c r="G10506">
        <v>9</v>
      </c>
      <c r="H10506" t="str">
        <f t="shared" si="2368"/>
        <v>99</v>
      </c>
      <c r="I10506" t="str">
        <f t="shared" si="2371"/>
        <v>0</v>
      </c>
      <c r="J10506" t="str">
        <f t="shared" si="2370"/>
        <v>00</v>
      </c>
      <c r="K10506">
        <v>20190503</v>
      </c>
      <c r="L10506" t="str">
        <f>"076697"</f>
        <v>076697</v>
      </c>
      <c r="M10506" t="str">
        <f>"54223"</f>
        <v>54223</v>
      </c>
      <c r="N10506" t="s">
        <v>8338</v>
      </c>
      <c r="O10506">
        <v>19.5</v>
      </c>
      <c r="P10506">
        <v>20190502</v>
      </c>
      <c r="Q10506" t="s">
        <v>8339</v>
      </c>
      <c r="R10506" t="s">
        <v>8340</v>
      </c>
      <c r="S10506" t="s">
        <v>8163</v>
      </c>
      <c r="T10506" t="s">
        <v>301</v>
      </c>
    </row>
    <row r="10507" spans="1:20" x14ac:dyDescent="0.25">
      <c r="A10507">
        <v>9</v>
      </c>
      <c r="B10507">
        <v>865</v>
      </c>
      <c r="C10507" t="str">
        <f t="shared" si="2367"/>
        <v>36</v>
      </c>
      <c r="D10507">
        <v>6499</v>
      </c>
      <c r="E10507" t="str">
        <f>"V8"</f>
        <v>V8</v>
      </c>
      <c r="F10507" t="str">
        <f>"001"</f>
        <v>001</v>
      </c>
      <c r="G10507">
        <v>9</v>
      </c>
      <c r="H10507" t="str">
        <f t="shared" si="2368"/>
        <v>99</v>
      </c>
      <c r="I10507" t="str">
        <f t="shared" si="2371"/>
        <v>0</v>
      </c>
      <c r="J10507" t="str">
        <f t="shared" si="2370"/>
        <v>00</v>
      </c>
      <c r="K10507">
        <v>20190503</v>
      </c>
      <c r="L10507" t="str">
        <f>"076697"</f>
        <v>076697</v>
      </c>
      <c r="M10507" t="str">
        <f>"54223"</f>
        <v>54223</v>
      </c>
      <c r="N10507" t="s">
        <v>8338</v>
      </c>
      <c r="O10507">
        <v>365</v>
      </c>
      <c r="P10507">
        <v>20190502</v>
      </c>
      <c r="Q10507" t="s">
        <v>8339</v>
      </c>
      <c r="R10507" t="s">
        <v>8341</v>
      </c>
      <c r="S10507" t="s">
        <v>8163</v>
      </c>
      <c r="T10507" t="s">
        <v>301</v>
      </c>
    </row>
    <row r="10508" spans="1:20" x14ac:dyDescent="0.25">
      <c r="A10508">
        <v>9</v>
      </c>
      <c r="B10508">
        <v>865</v>
      </c>
      <c r="C10508" t="str">
        <f t="shared" si="2367"/>
        <v>36</v>
      </c>
      <c r="D10508">
        <v>6412</v>
      </c>
      <c r="E10508" t="str">
        <f>"8T"</f>
        <v>8T</v>
      </c>
      <c r="F10508" t="str">
        <f>"001"</f>
        <v>001</v>
      </c>
      <c r="G10508">
        <v>9</v>
      </c>
      <c r="H10508" t="str">
        <f t="shared" si="2368"/>
        <v>99</v>
      </c>
      <c r="I10508" t="str">
        <f t="shared" si="2371"/>
        <v>0</v>
      </c>
      <c r="J10508" t="str">
        <f t="shared" si="2370"/>
        <v>00</v>
      </c>
      <c r="K10508">
        <v>20190503</v>
      </c>
      <c r="L10508" t="str">
        <f>"076706"</f>
        <v>076706</v>
      </c>
      <c r="M10508" t="str">
        <f>"58204"</f>
        <v>58204</v>
      </c>
      <c r="N10508" t="s">
        <v>1767</v>
      </c>
      <c r="O10508">
        <v>60</v>
      </c>
      <c r="P10508">
        <v>20190502</v>
      </c>
      <c r="Q10508" t="s">
        <v>8194</v>
      </c>
      <c r="R10508" t="s">
        <v>8327</v>
      </c>
      <c r="S10508" t="s">
        <v>8163</v>
      </c>
      <c r="T10508" t="s">
        <v>301</v>
      </c>
    </row>
    <row r="10509" spans="1:20" x14ac:dyDescent="0.25">
      <c r="A10509">
        <v>9</v>
      </c>
      <c r="B10509">
        <v>865</v>
      </c>
      <c r="C10509" t="str">
        <f t="shared" si="2367"/>
        <v>36</v>
      </c>
      <c r="D10509">
        <v>6412</v>
      </c>
      <c r="E10509" t="str">
        <f>"7E"</f>
        <v>7E</v>
      </c>
      <c r="F10509" t="str">
        <f>"041"</f>
        <v>041</v>
      </c>
      <c r="G10509">
        <v>9</v>
      </c>
      <c r="H10509" t="str">
        <f t="shared" si="2368"/>
        <v>99</v>
      </c>
      <c r="I10509" t="str">
        <f t="shared" si="2371"/>
        <v>0</v>
      </c>
      <c r="J10509" t="str">
        <f t="shared" si="2370"/>
        <v>00</v>
      </c>
      <c r="K10509">
        <v>20190510</v>
      </c>
      <c r="L10509" t="str">
        <f>"076758"</f>
        <v>076758</v>
      </c>
      <c r="M10509" t="str">
        <f>"24361"</f>
        <v>24361</v>
      </c>
      <c r="N10509" t="s">
        <v>7182</v>
      </c>
      <c r="O10509" s="1">
        <v>2800</v>
      </c>
      <c r="P10509">
        <v>20190508</v>
      </c>
      <c r="Q10509" t="s">
        <v>8342</v>
      </c>
      <c r="R10509" t="s">
        <v>8343</v>
      </c>
      <c r="S10509" t="s">
        <v>8163</v>
      </c>
      <c r="T10509" t="s">
        <v>106</v>
      </c>
    </row>
    <row r="10510" spans="1:20" x14ac:dyDescent="0.25">
      <c r="A10510">
        <v>9</v>
      </c>
      <c r="B10510">
        <v>865</v>
      </c>
      <c r="C10510" t="str">
        <f t="shared" si="2367"/>
        <v>36</v>
      </c>
      <c r="D10510">
        <v>6399</v>
      </c>
      <c r="E10510" t="str">
        <f>"48"</f>
        <v>48</v>
      </c>
      <c r="F10510" t="str">
        <f>"001"</f>
        <v>001</v>
      </c>
      <c r="G10510">
        <v>9</v>
      </c>
      <c r="H10510" t="str">
        <f t="shared" si="2368"/>
        <v>99</v>
      </c>
      <c r="I10510" t="str">
        <f t="shared" si="2371"/>
        <v>0</v>
      </c>
      <c r="J10510" t="str">
        <f t="shared" si="2370"/>
        <v>00</v>
      </c>
      <c r="K10510">
        <v>20190510</v>
      </c>
      <c r="L10510" t="str">
        <f>"076772"</f>
        <v>076772</v>
      </c>
      <c r="M10510" t="str">
        <f>"37500"</f>
        <v>37500</v>
      </c>
      <c r="N10510" t="s">
        <v>2077</v>
      </c>
      <c r="O10510" s="1">
        <v>2142.86</v>
      </c>
      <c r="P10510">
        <v>20190508</v>
      </c>
      <c r="Q10510" t="s">
        <v>8266</v>
      </c>
      <c r="R10510" t="s">
        <v>8344</v>
      </c>
      <c r="S10510" t="s">
        <v>8163</v>
      </c>
      <c r="T10510" t="s">
        <v>301</v>
      </c>
    </row>
    <row r="10511" spans="1:20" x14ac:dyDescent="0.25">
      <c r="A10511">
        <v>9</v>
      </c>
      <c r="B10511">
        <v>865</v>
      </c>
      <c r="C10511" t="str">
        <f t="shared" si="2367"/>
        <v>36</v>
      </c>
      <c r="D10511">
        <v>6399</v>
      </c>
      <c r="E10511" t="str">
        <f>"8T"</f>
        <v>8T</v>
      </c>
      <c r="F10511" t="str">
        <f>"041"</f>
        <v>041</v>
      </c>
      <c r="G10511">
        <v>9</v>
      </c>
      <c r="H10511" t="str">
        <f t="shared" si="2368"/>
        <v>99</v>
      </c>
      <c r="I10511" t="str">
        <f t="shared" si="2371"/>
        <v>0</v>
      </c>
      <c r="J10511" t="str">
        <f t="shared" si="2370"/>
        <v>00</v>
      </c>
      <c r="K10511">
        <v>20190510</v>
      </c>
      <c r="L10511" t="str">
        <f>"076772"</f>
        <v>076772</v>
      </c>
      <c r="M10511" t="str">
        <f>"37500"</f>
        <v>37500</v>
      </c>
      <c r="N10511" t="s">
        <v>2077</v>
      </c>
      <c r="O10511">
        <v>359.17</v>
      </c>
      <c r="P10511">
        <v>20190508</v>
      </c>
      <c r="Q10511" t="s">
        <v>8345</v>
      </c>
      <c r="R10511" t="s">
        <v>8346</v>
      </c>
      <c r="S10511" t="s">
        <v>8163</v>
      </c>
      <c r="T10511" t="s">
        <v>106</v>
      </c>
    </row>
    <row r="10512" spans="1:20" x14ac:dyDescent="0.25">
      <c r="A10512">
        <v>9</v>
      </c>
      <c r="B10512">
        <v>865</v>
      </c>
      <c r="C10512" t="str">
        <f t="shared" si="2367"/>
        <v>36</v>
      </c>
      <c r="D10512">
        <v>6412</v>
      </c>
      <c r="E10512" t="str">
        <f>"42"</f>
        <v>42</v>
      </c>
      <c r="F10512" t="str">
        <f>"001"</f>
        <v>001</v>
      </c>
      <c r="G10512">
        <v>9</v>
      </c>
      <c r="H10512" t="str">
        <f t="shared" si="2368"/>
        <v>99</v>
      </c>
      <c r="I10512" t="str">
        <f t="shared" si="2371"/>
        <v>0</v>
      </c>
      <c r="J10512" t="str">
        <f t="shared" si="2370"/>
        <v>00</v>
      </c>
      <c r="K10512">
        <v>20190510</v>
      </c>
      <c r="L10512" t="str">
        <f>"076772"</f>
        <v>076772</v>
      </c>
      <c r="M10512" t="str">
        <f>"37500"</f>
        <v>37500</v>
      </c>
      <c r="N10512" t="s">
        <v>2077</v>
      </c>
      <c r="O10512">
        <v>136.35</v>
      </c>
      <c r="P10512">
        <v>20190508</v>
      </c>
      <c r="Q10512" t="s">
        <v>8347</v>
      </c>
      <c r="R10512" t="s">
        <v>4179</v>
      </c>
      <c r="S10512" t="s">
        <v>8163</v>
      </c>
      <c r="T10512" t="s">
        <v>301</v>
      </c>
    </row>
    <row r="10513" spans="1:20" x14ac:dyDescent="0.25">
      <c r="A10513">
        <v>9</v>
      </c>
      <c r="B10513">
        <v>865</v>
      </c>
      <c r="C10513" t="str">
        <f t="shared" si="2367"/>
        <v>36</v>
      </c>
      <c r="D10513">
        <v>6499</v>
      </c>
      <c r="E10513" t="str">
        <f>"8T"</f>
        <v>8T</v>
      </c>
      <c r="F10513" t="str">
        <f>"001"</f>
        <v>001</v>
      </c>
      <c r="G10513">
        <v>9</v>
      </c>
      <c r="H10513" t="str">
        <f t="shared" si="2368"/>
        <v>99</v>
      </c>
      <c r="I10513" t="str">
        <f t="shared" si="2371"/>
        <v>0</v>
      </c>
      <c r="J10513" t="str">
        <f t="shared" si="2370"/>
        <v>00</v>
      </c>
      <c r="K10513">
        <v>20190510</v>
      </c>
      <c r="L10513" t="str">
        <f>"076772"</f>
        <v>076772</v>
      </c>
      <c r="M10513" t="str">
        <f>"37500"</f>
        <v>37500</v>
      </c>
      <c r="N10513" t="s">
        <v>2077</v>
      </c>
      <c r="O10513">
        <v>400</v>
      </c>
      <c r="P10513">
        <v>20190508</v>
      </c>
      <c r="Q10513" t="s">
        <v>8164</v>
      </c>
      <c r="R10513" t="s">
        <v>8348</v>
      </c>
      <c r="S10513" t="s">
        <v>8163</v>
      </c>
      <c r="T10513" t="s">
        <v>301</v>
      </c>
    </row>
    <row r="10514" spans="1:20" x14ac:dyDescent="0.25">
      <c r="A10514">
        <v>9</v>
      </c>
      <c r="B10514">
        <v>865</v>
      </c>
      <c r="C10514" t="str">
        <f t="shared" si="2367"/>
        <v>36</v>
      </c>
      <c r="D10514">
        <v>6399</v>
      </c>
      <c r="E10514" t="str">
        <f>"8T"</f>
        <v>8T</v>
      </c>
      <c r="F10514" t="str">
        <f>"041"</f>
        <v>041</v>
      </c>
      <c r="G10514">
        <v>9</v>
      </c>
      <c r="H10514" t="str">
        <f t="shared" si="2368"/>
        <v>99</v>
      </c>
      <c r="I10514" t="str">
        <f t="shared" si="2371"/>
        <v>0</v>
      </c>
      <c r="J10514" t="str">
        <f t="shared" si="2370"/>
        <v>00</v>
      </c>
      <c r="K10514">
        <v>20190510</v>
      </c>
      <c r="L10514" t="str">
        <f>"076775"</f>
        <v>076775</v>
      </c>
      <c r="M10514" t="str">
        <f>"40550"</f>
        <v>40550</v>
      </c>
      <c r="N10514" t="s">
        <v>2645</v>
      </c>
      <c r="O10514">
        <v>126.09</v>
      </c>
      <c r="P10514">
        <v>20190509</v>
      </c>
      <c r="Q10514" t="s">
        <v>8345</v>
      </c>
      <c r="R10514" t="s">
        <v>8346</v>
      </c>
      <c r="S10514" t="s">
        <v>8163</v>
      </c>
      <c r="T10514" t="s">
        <v>106</v>
      </c>
    </row>
    <row r="10515" spans="1:20" x14ac:dyDescent="0.25">
      <c r="A10515">
        <v>9</v>
      </c>
      <c r="B10515">
        <v>865</v>
      </c>
      <c r="C10515" t="str">
        <f t="shared" si="2367"/>
        <v>36</v>
      </c>
      <c r="D10515">
        <v>6399</v>
      </c>
      <c r="E10515" t="str">
        <f>"V8"</f>
        <v>V8</v>
      </c>
      <c r="F10515" t="str">
        <f>"001"</f>
        <v>001</v>
      </c>
      <c r="G10515">
        <v>9</v>
      </c>
      <c r="H10515" t="str">
        <f t="shared" si="2368"/>
        <v>99</v>
      </c>
      <c r="I10515" t="str">
        <f t="shared" si="2371"/>
        <v>0</v>
      </c>
      <c r="J10515" t="str">
        <f t="shared" si="2370"/>
        <v>00</v>
      </c>
      <c r="K10515">
        <v>20190510</v>
      </c>
      <c r="L10515" t="str">
        <f>"076802"</f>
        <v>076802</v>
      </c>
      <c r="M10515" t="str">
        <f>"66918"</f>
        <v>66918</v>
      </c>
      <c r="N10515" t="s">
        <v>8349</v>
      </c>
      <c r="O10515">
        <v>963.5</v>
      </c>
      <c r="P10515">
        <v>20190508</v>
      </c>
      <c r="Q10515" t="s">
        <v>8227</v>
      </c>
      <c r="R10515" t="s">
        <v>8228</v>
      </c>
      <c r="S10515" t="s">
        <v>8163</v>
      </c>
      <c r="T10515" t="s">
        <v>301</v>
      </c>
    </row>
    <row r="10516" spans="1:20" x14ac:dyDescent="0.25">
      <c r="A10516">
        <v>9</v>
      </c>
      <c r="B10516">
        <v>865</v>
      </c>
      <c r="C10516" t="str">
        <f t="shared" si="2367"/>
        <v>36</v>
      </c>
      <c r="D10516">
        <v>6399</v>
      </c>
      <c r="E10516" t="str">
        <f>"V8"</f>
        <v>V8</v>
      </c>
      <c r="F10516" t="str">
        <f>"001"</f>
        <v>001</v>
      </c>
      <c r="G10516">
        <v>9</v>
      </c>
      <c r="H10516" t="str">
        <f t="shared" si="2368"/>
        <v>99</v>
      </c>
      <c r="I10516" t="str">
        <f t="shared" si="2371"/>
        <v>0</v>
      </c>
      <c r="J10516" t="str">
        <f t="shared" si="2370"/>
        <v>00</v>
      </c>
      <c r="K10516">
        <v>20190510</v>
      </c>
      <c r="L10516" t="str">
        <f>"076802"</f>
        <v>076802</v>
      </c>
      <c r="M10516" t="str">
        <f>"66918"</f>
        <v>66918</v>
      </c>
      <c r="N10516" t="s">
        <v>8349</v>
      </c>
      <c r="O10516" s="1">
        <v>1104</v>
      </c>
      <c r="P10516">
        <v>20190508</v>
      </c>
      <c r="Q10516" t="s">
        <v>8227</v>
      </c>
      <c r="R10516" t="s">
        <v>8228</v>
      </c>
      <c r="S10516" t="s">
        <v>8163</v>
      </c>
      <c r="T10516" t="s">
        <v>301</v>
      </c>
    </row>
    <row r="10517" spans="1:20" x14ac:dyDescent="0.25">
      <c r="A10517">
        <v>9</v>
      </c>
      <c r="B10517">
        <v>865</v>
      </c>
      <c r="C10517" t="str">
        <f t="shared" si="2367"/>
        <v>36</v>
      </c>
      <c r="D10517">
        <v>6399</v>
      </c>
      <c r="E10517" t="str">
        <f>"V8"</f>
        <v>V8</v>
      </c>
      <c r="F10517" t="str">
        <f>"001"</f>
        <v>001</v>
      </c>
      <c r="G10517">
        <v>9</v>
      </c>
      <c r="H10517" t="str">
        <f t="shared" si="2368"/>
        <v>99</v>
      </c>
      <c r="I10517" t="str">
        <f t="shared" si="2371"/>
        <v>0</v>
      </c>
      <c r="J10517" t="str">
        <f t="shared" si="2370"/>
        <v>00</v>
      </c>
      <c r="K10517">
        <v>20190510</v>
      </c>
      <c r="L10517" t="str">
        <f>"076802"</f>
        <v>076802</v>
      </c>
      <c r="M10517" t="str">
        <f>"66918"</f>
        <v>66918</v>
      </c>
      <c r="N10517" t="s">
        <v>8349</v>
      </c>
      <c r="O10517">
        <v>-318</v>
      </c>
      <c r="P10517">
        <v>20190425</v>
      </c>
      <c r="Q10517" t="s">
        <v>8227</v>
      </c>
      <c r="R10517" t="s">
        <v>8228</v>
      </c>
      <c r="S10517" t="s">
        <v>8163</v>
      </c>
      <c r="T10517" t="s">
        <v>301</v>
      </c>
    </row>
    <row r="10518" spans="1:20" x14ac:dyDescent="0.25">
      <c r="A10518">
        <v>9</v>
      </c>
      <c r="B10518">
        <v>865</v>
      </c>
      <c r="C10518" t="str">
        <f t="shared" si="2367"/>
        <v>36</v>
      </c>
      <c r="D10518">
        <v>6399</v>
      </c>
      <c r="E10518" t="str">
        <f>"7K"</f>
        <v>7K</v>
      </c>
      <c r="F10518" t="str">
        <f>"041"</f>
        <v>041</v>
      </c>
      <c r="G10518">
        <v>9</v>
      </c>
      <c r="H10518" t="str">
        <f t="shared" si="2368"/>
        <v>99</v>
      </c>
      <c r="I10518" t="str">
        <f t="shared" si="2371"/>
        <v>0</v>
      </c>
      <c r="J10518" t="str">
        <f t="shared" si="2370"/>
        <v>00</v>
      </c>
      <c r="K10518">
        <v>20190510</v>
      </c>
      <c r="L10518" t="str">
        <f>"076803"</f>
        <v>076803</v>
      </c>
      <c r="M10518" t="str">
        <f>"69020"</f>
        <v>69020</v>
      </c>
      <c r="N10518" t="s">
        <v>8294</v>
      </c>
      <c r="O10518" s="1">
        <v>1419.57</v>
      </c>
      <c r="P10518">
        <v>20190508</v>
      </c>
      <c r="Q10518" t="s">
        <v>8162</v>
      </c>
      <c r="R10518" t="s">
        <v>8350</v>
      </c>
      <c r="S10518" t="s">
        <v>8163</v>
      </c>
      <c r="T10518" t="s">
        <v>106</v>
      </c>
    </row>
    <row r="10519" spans="1:20" x14ac:dyDescent="0.25">
      <c r="A10519">
        <v>9</v>
      </c>
      <c r="B10519">
        <v>865</v>
      </c>
      <c r="C10519" t="str">
        <f t="shared" si="2367"/>
        <v>36</v>
      </c>
      <c r="D10519">
        <v>6412</v>
      </c>
      <c r="E10519" t="str">
        <f>"7E"</f>
        <v>7E</v>
      </c>
      <c r="F10519" t="str">
        <f>"041"</f>
        <v>041</v>
      </c>
      <c r="G10519">
        <v>9</v>
      </c>
      <c r="H10519" t="str">
        <f t="shared" si="2368"/>
        <v>99</v>
      </c>
      <c r="I10519" t="str">
        <f t="shared" si="2371"/>
        <v>0</v>
      </c>
      <c r="J10519" t="str">
        <f t="shared" si="2370"/>
        <v>00</v>
      </c>
      <c r="K10519">
        <v>20190510</v>
      </c>
      <c r="L10519" t="str">
        <f>"076803"</f>
        <v>076803</v>
      </c>
      <c r="M10519" t="str">
        <f>"69020"</f>
        <v>69020</v>
      </c>
      <c r="N10519" t="s">
        <v>8294</v>
      </c>
      <c r="O10519" s="1">
        <v>4781.01</v>
      </c>
      <c r="P10519">
        <v>20190508</v>
      </c>
      <c r="Q10519" t="s">
        <v>8342</v>
      </c>
      <c r="R10519" t="s">
        <v>8343</v>
      </c>
      <c r="S10519" t="s">
        <v>8163</v>
      </c>
      <c r="T10519" t="s">
        <v>106</v>
      </c>
    </row>
    <row r="10520" spans="1:20" x14ac:dyDescent="0.25">
      <c r="A10520">
        <v>9</v>
      </c>
      <c r="B10520">
        <v>865</v>
      </c>
      <c r="C10520" t="str">
        <f t="shared" si="2367"/>
        <v>36</v>
      </c>
      <c r="D10520">
        <v>6499</v>
      </c>
      <c r="E10520" t="str">
        <f>"8H"</f>
        <v>8H</v>
      </c>
      <c r="F10520" t="str">
        <f>"001"</f>
        <v>001</v>
      </c>
      <c r="G10520">
        <v>9</v>
      </c>
      <c r="H10520" t="str">
        <f t="shared" si="2368"/>
        <v>99</v>
      </c>
      <c r="I10520" t="str">
        <f t="shared" si="2371"/>
        <v>0</v>
      </c>
      <c r="J10520" t="str">
        <f t="shared" si="2370"/>
        <v>00</v>
      </c>
      <c r="K10520">
        <v>20190517</v>
      </c>
      <c r="L10520" t="str">
        <f>"076843"</f>
        <v>076843</v>
      </c>
      <c r="M10520" t="str">
        <f>"25144"</f>
        <v>25144</v>
      </c>
      <c r="N10520" t="s">
        <v>1620</v>
      </c>
      <c r="O10520">
        <v>100</v>
      </c>
      <c r="P10520">
        <v>20190515</v>
      </c>
      <c r="Q10520" t="s">
        <v>8292</v>
      </c>
      <c r="R10520" t="s">
        <v>8351</v>
      </c>
      <c r="S10520" t="s">
        <v>8163</v>
      </c>
      <c r="T10520" t="s">
        <v>301</v>
      </c>
    </row>
    <row r="10521" spans="1:20" x14ac:dyDescent="0.25">
      <c r="A10521">
        <v>9</v>
      </c>
      <c r="B10521">
        <v>865</v>
      </c>
      <c r="C10521" t="str">
        <f t="shared" si="2367"/>
        <v>36</v>
      </c>
      <c r="D10521">
        <v>6499</v>
      </c>
      <c r="E10521" t="str">
        <f>"8S"</f>
        <v>8S</v>
      </c>
      <c r="F10521" t="str">
        <f>"001"</f>
        <v>001</v>
      </c>
      <c r="G10521">
        <v>9</v>
      </c>
      <c r="H10521" t="str">
        <f t="shared" si="2368"/>
        <v>99</v>
      </c>
      <c r="I10521" t="str">
        <f t="shared" si="2371"/>
        <v>0</v>
      </c>
      <c r="J10521" t="str">
        <f t="shared" si="2370"/>
        <v>00</v>
      </c>
      <c r="K10521">
        <v>20190517</v>
      </c>
      <c r="L10521" t="str">
        <f>"076868"</f>
        <v>076868</v>
      </c>
      <c r="M10521" t="str">
        <f>"51347"</f>
        <v>51347</v>
      </c>
      <c r="N10521" t="s">
        <v>1158</v>
      </c>
      <c r="O10521">
        <v>280</v>
      </c>
      <c r="P10521">
        <v>20190515</v>
      </c>
      <c r="Q10521" t="s">
        <v>8352</v>
      </c>
      <c r="R10521" t="s">
        <v>1160</v>
      </c>
      <c r="S10521" t="s">
        <v>8163</v>
      </c>
      <c r="T10521" t="s">
        <v>301</v>
      </c>
    </row>
    <row r="10522" spans="1:20" x14ac:dyDescent="0.25">
      <c r="A10522">
        <v>9</v>
      </c>
      <c r="B10522">
        <v>865</v>
      </c>
      <c r="C10522" t="str">
        <f t="shared" ref="C10522:C10585" si="2372">"36"</f>
        <v>36</v>
      </c>
      <c r="D10522">
        <v>6499</v>
      </c>
      <c r="E10522" t="str">
        <f>"8S"</f>
        <v>8S</v>
      </c>
      <c r="F10522" t="str">
        <f>"001"</f>
        <v>001</v>
      </c>
      <c r="G10522">
        <v>9</v>
      </c>
      <c r="H10522" t="str">
        <f t="shared" ref="H10522:H10534" si="2373">"99"</f>
        <v>99</v>
      </c>
      <c r="I10522" t="str">
        <f t="shared" si="2371"/>
        <v>0</v>
      </c>
      <c r="J10522" t="str">
        <f t="shared" si="2370"/>
        <v>00</v>
      </c>
      <c r="K10522">
        <v>20190517</v>
      </c>
      <c r="L10522" t="str">
        <f>"076868"</f>
        <v>076868</v>
      </c>
      <c r="M10522" t="str">
        <f>"51347"</f>
        <v>51347</v>
      </c>
      <c r="N10522" t="s">
        <v>1158</v>
      </c>
      <c r="O10522">
        <v>70</v>
      </c>
      <c r="P10522">
        <v>20190515</v>
      </c>
      <c r="Q10522" t="s">
        <v>8352</v>
      </c>
      <c r="R10522" t="s">
        <v>1277</v>
      </c>
      <c r="S10522" t="s">
        <v>8163</v>
      </c>
      <c r="T10522" t="s">
        <v>301</v>
      </c>
    </row>
    <row r="10523" spans="1:20" x14ac:dyDescent="0.25">
      <c r="A10523">
        <v>9</v>
      </c>
      <c r="B10523">
        <v>865</v>
      </c>
      <c r="C10523" t="str">
        <f t="shared" si="2372"/>
        <v>36</v>
      </c>
      <c r="D10523">
        <v>6399</v>
      </c>
      <c r="E10523" t="str">
        <f>"8E"</f>
        <v>8E</v>
      </c>
      <c r="F10523" t="str">
        <f>"001"</f>
        <v>001</v>
      </c>
      <c r="G10523">
        <v>9</v>
      </c>
      <c r="H10523" t="str">
        <f t="shared" si="2373"/>
        <v>99</v>
      </c>
      <c r="I10523" t="str">
        <f t="shared" si="2371"/>
        <v>0</v>
      </c>
      <c r="J10523" t="str">
        <f t="shared" si="2370"/>
        <v>00</v>
      </c>
      <c r="K10523">
        <v>20190517</v>
      </c>
      <c r="L10523" t="str">
        <f>"076872"</f>
        <v>076872</v>
      </c>
      <c r="M10523" t="str">
        <f>"58204"</f>
        <v>58204</v>
      </c>
      <c r="N10523" t="s">
        <v>1767</v>
      </c>
      <c r="O10523">
        <v>86</v>
      </c>
      <c r="P10523">
        <v>20190516</v>
      </c>
      <c r="Q10523" t="s">
        <v>8231</v>
      </c>
      <c r="R10523" t="s">
        <v>8353</v>
      </c>
      <c r="S10523" t="s">
        <v>8163</v>
      </c>
      <c r="T10523" t="s">
        <v>301</v>
      </c>
    </row>
    <row r="10524" spans="1:20" x14ac:dyDescent="0.25">
      <c r="A10524">
        <v>9</v>
      </c>
      <c r="B10524">
        <v>865</v>
      </c>
      <c r="C10524" t="str">
        <f t="shared" si="2372"/>
        <v>36</v>
      </c>
      <c r="D10524">
        <v>6399</v>
      </c>
      <c r="E10524" t="str">
        <f>"TS"</f>
        <v>TS</v>
      </c>
      <c r="F10524" t="str">
        <f>"001"</f>
        <v>001</v>
      </c>
      <c r="G10524">
        <v>9</v>
      </c>
      <c r="H10524" t="str">
        <f t="shared" si="2373"/>
        <v>99</v>
      </c>
      <c r="I10524" t="str">
        <f t="shared" si="2371"/>
        <v>0</v>
      </c>
      <c r="J10524" t="str">
        <f t="shared" si="2370"/>
        <v>00</v>
      </c>
      <c r="K10524">
        <v>20190517</v>
      </c>
      <c r="L10524" t="str">
        <f>"076872"</f>
        <v>076872</v>
      </c>
      <c r="M10524" t="str">
        <f>"58204"</f>
        <v>58204</v>
      </c>
      <c r="N10524" t="s">
        <v>1767</v>
      </c>
      <c r="O10524">
        <v>67.05</v>
      </c>
      <c r="P10524">
        <v>20190516</v>
      </c>
      <c r="Q10524" t="s">
        <v>8167</v>
      </c>
      <c r="R10524" t="s">
        <v>8298</v>
      </c>
      <c r="S10524" t="s">
        <v>8163</v>
      </c>
      <c r="T10524" t="s">
        <v>301</v>
      </c>
    </row>
    <row r="10525" spans="1:20" x14ac:dyDescent="0.25">
      <c r="A10525">
        <v>9</v>
      </c>
      <c r="B10525">
        <v>865</v>
      </c>
      <c r="C10525" t="str">
        <f t="shared" si="2372"/>
        <v>36</v>
      </c>
      <c r="D10525">
        <v>6412</v>
      </c>
      <c r="E10525" t="str">
        <f>"7E"</f>
        <v>7E</v>
      </c>
      <c r="F10525" t="str">
        <f>"041"</f>
        <v>041</v>
      </c>
      <c r="G10525">
        <v>9</v>
      </c>
      <c r="H10525" t="str">
        <f t="shared" si="2373"/>
        <v>99</v>
      </c>
      <c r="I10525" t="str">
        <f t="shared" si="2371"/>
        <v>0</v>
      </c>
      <c r="J10525" t="str">
        <f t="shared" si="2370"/>
        <v>00</v>
      </c>
      <c r="K10525">
        <v>20190517</v>
      </c>
      <c r="L10525" t="str">
        <f>"076877"</f>
        <v>076877</v>
      </c>
      <c r="M10525" t="str">
        <f>"63792"</f>
        <v>63792</v>
      </c>
      <c r="N10525" t="s">
        <v>2669</v>
      </c>
      <c r="O10525">
        <v>950.59</v>
      </c>
      <c r="P10525">
        <v>20190516</v>
      </c>
      <c r="Q10525" t="s">
        <v>8342</v>
      </c>
      <c r="R10525" t="s">
        <v>8343</v>
      </c>
      <c r="S10525" t="s">
        <v>8163</v>
      </c>
      <c r="T10525" t="s">
        <v>106</v>
      </c>
    </row>
    <row r="10526" spans="1:20" x14ac:dyDescent="0.25">
      <c r="A10526">
        <v>9</v>
      </c>
      <c r="B10526">
        <v>865</v>
      </c>
      <c r="C10526" t="str">
        <f t="shared" si="2372"/>
        <v>36</v>
      </c>
      <c r="D10526">
        <v>6499</v>
      </c>
      <c r="E10526" t="str">
        <f>"8H"</f>
        <v>8H</v>
      </c>
      <c r="F10526" t="str">
        <f>"001"</f>
        <v>001</v>
      </c>
      <c r="G10526">
        <v>9</v>
      </c>
      <c r="H10526" t="str">
        <f t="shared" si="2373"/>
        <v>99</v>
      </c>
      <c r="I10526" t="str">
        <f t="shared" si="2371"/>
        <v>0</v>
      </c>
      <c r="J10526" t="str">
        <f t="shared" si="2370"/>
        <v>00</v>
      </c>
      <c r="K10526">
        <v>20190517</v>
      </c>
      <c r="L10526" t="str">
        <f>"076886"</f>
        <v>076886</v>
      </c>
      <c r="M10526" t="str">
        <f>"76476"</f>
        <v>76476</v>
      </c>
      <c r="N10526" t="s">
        <v>312</v>
      </c>
      <c r="O10526">
        <v>100</v>
      </c>
      <c r="P10526">
        <v>20190515</v>
      </c>
      <c r="Q10526" t="s">
        <v>8292</v>
      </c>
      <c r="R10526" t="s">
        <v>8351</v>
      </c>
      <c r="S10526" t="s">
        <v>8163</v>
      </c>
      <c r="T10526" t="s">
        <v>301</v>
      </c>
    </row>
    <row r="10527" spans="1:20" x14ac:dyDescent="0.25">
      <c r="A10527">
        <v>9</v>
      </c>
      <c r="B10527">
        <v>865</v>
      </c>
      <c r="C10527" t="str">
        <f t="shared" si="2372"/>
        <v>36</v>
      </c>
      <c r="D10527">
        <v>6499</v>
      </c>
      <c r="E10527" t="str">
        <f>"8H"</f>
        <v>8H</v>
      </c>
      <c r="F10527" t="str">
        <f>"001"</f>
        <v>001</v>
      </c>
      <c r="G10527">
        <v>9</v>
      </c>
      <c r="H10527" t="str">
        <f t="shared" si="2373"/>
        <v>99</v>
      </c>
      <c r="I10527" t="str">
        <f t="shared" si="2371"/>
        <v>0</v>
      </c>
      <c r="J10527" t="str">
        <f t="shared" si="2370"/>
        <v>00</v>
      </c>
      <c r="K10527">
        <v>20190517</v>
      </c>
      <c r="L10527" t="str">
        <f>"076891"</f>
        <v>076891</v>
      </c>
      <c r="M10527" t="str">
        <f>"82166"</f>
        <v>82166</v>
      </c>
      <c r="N10527" t="s">
        <v>1286</v>
      </c>
      <c r="O10527">
        <v>100</v>
      </c>
      <c r="P10527">
        <v>20190515</v>
      </c>
      <c r="Q10527" t="s">
        <v>8292</v>
      </c>
      <c r="R10527" t="s">
        <v>8351</v>
      </c>
      <c r="S10527" t="s">
        <v>8163</v>
      </c>
      <c r="T10527" t="s">
        <v>301</v>
      </c>
    </row>
    <row r="10528" spans="1:20" x14ac:dyDescent="0.25">
      <c r="A10528">
        <v>9</v>
      </c>
      <c r="B10528">
        <v>865</v>
      </c>
      <c r="C10528" t="str">
        <f t="shared" si="2372"/>
        <v>36</v>
      </c>
      <c r="D10528">
        <v>6399</v>
      </c>
      <c r="E10528" t="str">
        <f>"30"</f>
        <v>30</v>
      </c>
      <c r="F10528" t="str">
        <f>"002"</f>
        <v>002</v>
      </c>
      <c r="G10528">
        <v>9</v>
      </c>
      <c r="H10528" t="str">
        <f t="shared" si="2373"/>
        <v>99</v>
      </c>
      <c r="I10528" t="str">
        <f t="shared" si="2371"/>
        <v>0</v>
      </c>
      <c r="J10528" t="str">
        <f t="shared" si="2370"/>
        <v>00</v>
      </c>
      <c r="K10528">
        <v>20190524</v>
      </c>
      <c r="L10528" t="str">
        <f>"076896"</f>
        <v>076896</v>
      </c>
      <c r="M10528" t="str">
        <f>"04410"</f>
        <v>04410</v>
      </c>
      <c r="N10528" t="s">
        <v>410</v>
      </c>
      <c r="O10528">
        <v>129.94999999999999</v>
      </c>
      <c r="P10528">
        <v>20190522</v>
      </c>
      <c r="Q10528" t="s">
        <v>8188</v>
      </c>
      <c r="R10528" t="s">
        <v>8354</v>
      </c>
      <c r="S10528" t="s">
        <v>8163</v>
      </c>
      <c r="T10528" t="s">
        <v>1485</v>
      </c>
    </row>
    <row r="10529" spans="1:20" x14ac:dyDescent="0.25">
      <c r="A10529">
        <v>9</v>
      </c>
      <c r="B10529">
        <v>865</v>
      </c>
      <c r="C10529" t="str">
        <f t="shared" si="2372"/>
        <v>36</v>
      </c>
      <c r="D10529">
        <v>6399</v>
      </c>
      <c r="E10529" t="str">
        <f>"7E"</f>
        <v>7E</v>
      </c>
      <c r="F10529" t="str">
        <f>"041"</f>
        <v>041</v>
      </c>
      <c r="G10529">
        <v>9</v>
      </c>
      <c r="H10529" t="str">
        <f t="shared" si="2373"/>
        <v>99</v>
      </c>
      <c r="I10529" t="str">
        <f t="shared" si="2371"/>
        <v>0</v>
      </c>
      <c r="J10529" t="str">
        <f t="shared" si="2370"/>
        <v>00</v>
      </c>
      <c r="K10529">
        <v>20190524</v>
      </c>
      <c r="L10529" t="str">
        <f>"076916"</f>
        <v>076916</v>
      </c>
      <c r="M10529" t="str">
        <f>"34880"</f>
        <v>34880</v>
      </c>
      <c r="N10529" t="s">
        <v>124</v>
      </c>
      <c r="O10529" s="1">
        <v>1122.1600000000001</v>
      </c>
      <c r="P10529">
        <v>20190522</v>
      </c>
      <c r="Q10529" t="s">
        <v>8229</v>
      </c>
      <c r="R10529" t="s">
        <v>8355</v>
      </c>
      <c r="S10529" t="s">
        <v>8163</v>
      </c>
      <c r="T10529" t="s">
        <v>106</v>
      </c>
    </row>
    <row r="10530" spans="1:20" x14ac:dyDescent="0.25">
      <c r="A10530">
        <v>9</v>
      </c>
      <c r="B10530">
        <v>865</v>
      </c>
      <c r="C10530" t="str">
        <f t="shared" si="2372"/>
        <v>36</v>
      </c>
      <c r="D10530">
        <v>6399</v>
      </c>
      <c r="E10530" t="str">
        <f>"92"</f>
        <v>92</v>
      </c>
      <c r="F10530" t="str">
        <f>"001"</f>
        <v>001</v>
      </c>
      <c r="G10530">
        <v>9</v>
      </c>
      <c r="H10530" t="str">
        <f t="shared" si="2373"/>
        <v>99</v>
      </c>
      <c r="I10530" t="str">
        <f t="shared" si="2371"/>
        <v>0</v>
      </c>
      <c r="J10530" t="str">
        <f t="shared" si="2370"/>
        <v>00</v>
      </c>
      <c r="K10530">
        <v>20190524</v>
      </c>
      <c r="L10530" t="str">
        <f>"076940"</f>
        <v>076940</v>
      </c>
      <c r="M10530" t="str">
        <f>"65106"</f>
        <v>65106</v>
      </c>
      <c r="N10530" t="s">
        <v>1175</v>
      </c>
      <c r="O10530">
        <v>112.82</v>
      </c>
      <c r="P10530">
        <v>20190523</v>
      </c>
      <c r="Q10530" t="s">
        <v>8250</v>
      </c>
      <c r="R10530" t="s">
        <v>5317</v>
      </c>
      <c r="S10530" t="s">
        <v>8163</v>
      </c>
      <c r="T10530" t="s">
        <v>301</v>
      </c>
    </row>
    <row r="10531" spans="1:20" x14ac:dyDescent="0.25">
      <c r="A10531">
        <v>9</v>
      </c>
      <c r="B10531">
        <v>865</v>
      </c>
      <c r="C10531" t="str">
        <f t="shared" si="2372"/>
        <v>36</v>
      </c>
      <c r="D10531">
        <v>6399</v>
      </c>
      <c r="E10531" t="str">
        <f>"TS"</f>
        <v>TS</v>
      </c>
      <c r="F10531" t="str">
        <f>"001"</f>
        <v>001</v>
      </c>
      <c r="G10531">
        <v>9</v>
      </c>
      <c r="H10531" t="str">
        <f t="shared" si="2373"/>
        <v>99</v>
      </c>
      <c r="I10531" t="str">
        <f t="shared" si="2371"/>
        <v>0</v>
      </c>
      <c r="J10531" t="str">
        <f t="shared" si="2370"/>
        <v>00</v>
      </c>
      <c r="K10531">
        <v>20190524</v>
      </c>
      <c r="L10531" t="str">
        <f>"076959"</f>
        <v>076959</v>
      </c>
      <c r="M10531" t="str">
        <f>"28572"</f>
        <v>28572</v>
      </c>
      <c r="N10531" t="s">
        <v>5118</v>
      </c>
      <c r="O10531">
        <v>75.78</v>
      </c>
      <c r="P10531">
        <v>20190523</v>
      </c>
      <c r="Q10531" t="s">
        <v>8167</v>
      </c>
      <c r="R10531" t="s">
        <v>8356</v>
      </c>
      <c r="S10531" t="s">
        <v>8163</v>
      </c>
      <c r="T10531" t="s">
        <v>301</v>
      </c>
    </row>
    <row r="10532" spans="1:20" x14ac:dyDescent="0.25">
      <c r="A10532">
        <v>9</v>
      </c>
      <c r="B10532">
        <v>865</v>
      </c>
      <c r="C10532" t="str">
        <f t="shared" si="2372"/>
        <v>36</v>
      </c>
      <c r="D10532">
        <v>6399</v>
      </c>
      <c r="E10532" t="str">
        <f>"8E"</f>
        <v>8E</v>
      </c>
      <c r="F10532" t="str">
        <f>"001"</f>
        <v>001</v>
      </c>
      <c r="G10532">
        <v>9</v>
      </c>
      <c r="H10532" t="str">
        <f t="shared" si="2373"/>
        <v>99</v>
      </c>
      <c r="I10532" t="str">
        <f t="shared" si="2371"/>
        <v>0</v>
      </c>
      <c r="J10532" t="str">
        <f t="shared" si="2370"/>
        <v>00</v>
      </c>
      <c r="K10532">
        <v>20190531</v>
      </c>
      <c r="L10532" t="str">
        <f>"076974"</f>
        <v>076974</v>
      </c>
      <c r="M10532" t="str">
        <f>"09170"</f>
        <v>09170</v>
      </c>
      <c r="N10532" t="s">
        <v>679</v>
      </c>
      <c r="O10532">
        <v>84.8</v>
      </c>
      <c r="P10532">
        <v>20190530</v>
      </c>
      <c r="Q10532" t="s">
        <v>8231</v>
      </c>
      <c r="R10532" t="s">
        <v>8357</v>
      </c>
      <c r="S10532" t="s">
        <v>8163</v>
      </c>
      <c r="T10532" t="s">
        <v>301</v>
      </c>
    </row>
    <row r="10533" spans="1:20" x14ac:dyDescent="0.25">
      <c r="A10533">
        <v>9</v>
      </c>
      <c r="B10533">
        <v>865</v>
      </c>
      <c r="C10533" t="str">
        <f t="shared" si="2372"/>
        <v>36</v>
      </c>
      <c r="D10533">
        <v>6399</v>
      </c>
      <c r="E10533" t="str">
        <f>"H1"</f>
        <v>H1</v>
      </c>
      <c r="F10533" t="str">
        <f>"041"</f>
        <v>041</v>
      </c>
      <c r="G10533">
        <v>9</v>
      </c>
      <c r="H10533" t="str">
        <f t="shared" si="2373"/>
        <v>99</v>
      </c>
      <c r="I10533" t="str">
        <f t="shared" si="2371"/>
        <v>0</v>
      </c>
      <c r="J10533" t="str">
        <f t="shared" si="2370"/>
        <v>00</v>
      </c>
      <c r="K10533">
        <v>20190531</v>
      </c>
      <c r="L10533" t="str">
        <f>"076977"</f>
        <v>076977</v>
      </c>
      <c r="M10533" t="str">
        <f>"00420"</f>
        <v>00420</v>
      </c>
      <c r="N10533" t="s">
        <v>7020</v>
      </c>
      <c r="O10533">
        <v>129</v>
      </c>
      <c r="P10533">
        <v>20190530</v>
      </c>
      <c r="Q10533" t="s">
        <v>8358</v>
      </c>
      <c r="R10533" t="s">
        <v>7699</v>
      </c>
      <c r="S10533" t="s">
        <v>8163</v>
      </c>
      <c r="T10533" t="s">
        <v>106</v>
      </c>
    </row>
    <row r="10534" spans="1:20" x14ac:dyDescent="0.25">
      <c r="A10534">
        <v>9</v>
      </c>
      <c r="B10534">
        <v>865</v>
      </c>
      <c r="C10534" t="str">
        <f t="shared" si="2372"/>
        <v>36</v>
      </c>
      <c r="D10534">
        <v>6399</v>
      </c>
      <c r="E10534" t="str">
        <f>"30"</f>
        <v>30</v>
      </c>
      <c r="F10534" t="str">
        <f>"101"</f>
        <v>101</v>
      </c>
      <c r="G10534">
        <v>9</v>
      </c>
      <c r="H10534" t="str">
        <f t="shared" si="2373"/>
        <v>99</v>
      </c>
      <c r="I10534" t="str">
        <f t="shared" si="2371"/>
        <v>0</v>
      </c>
      <c r="J10534" t="str">
        <f t="shared" si="2370"/>
        <v>00</v>
      </c>
      <c r="K10534">
        <v>20190531</v>
      </c>
      <c r="L10534" t="str">
        <f>"076979"</f>
        <v>076979</v>
      </c>
      <c r="M10534" t="str">
        <f>"00419"</f>
        <v>00419</v>
      </c>
      <c r="N10534" t="s">
        <v>7812</v>
      </c>
      <c r="O10534" s="1">
        <v>1800</v>
      </c>
      <c r="P10534">
        <v>20190530</v>
      </c>
      <c r="Q10534" t="s">
        <v>8205</v>
      </c>
      <c r="R10534" t="s">
        <v>8359</v>
      </c>
      <c r="S10534" t="s">
        <v>8163</v>
      </c>
      <c r="T10534" t="s">
        <v>1479</v>
      </c>
    </row>
    <row r="10535" spans="1:20" x14ac:dyDescent="0.25">
      <c r="A10535">
        <v>9</v>
      </c>
      <c r="B10535">
        <v>865</v>
      </c>
      <c r="C10535" t="str">
        <f t="shared" si="2372"/>
        <v>36</v>
      </c>
      <c r="D10535">
        <v>6399</v>
      </c>
      <c r="E10535" t="str">
        <f>"99"</f>
        <v>99</v>
      </c>
      <c r="F10535" t="str">
        <f t="shared" ref="F10535:F10540" si="2374">"001"</f>
        <v>001</v>
      </c>
      <c r="G10535">
        <v>9</v>
      </c>
      <c r="H10535" t="str">
        <f>"91"</f>
        <v>91</v>
      </c>
      <c r="I10535" t="str">
        <f t="shared" si="2371"/>
        <v>0</v>
      </c>
      <c r="J10535" t="str">
        <f t="shared" si="2370"/>
        <v>00</v>
      </c>
      <c r="K10535">
        <v>20190531</v>
      </c>
      <c r="L10535" t="str">
        <f>"076981"</f>
        <v>076981</v>
      </c>
      <c r="M10535" t="str">
        <f>"13285"</f>
        <v>13285</v>
      </c>
      <c r="N10535" t="s">
        <v>1313</v>
      </c>
      <c r="O10535">
        <v>25</v>
      </c>
      <c r="P10535">
        <v>20190530</v>
      </c>
      <c r="Q10535" t="s">
        <v>8360</v>
      </c>
      <c r="R10535" t="s">
        <v>1282</v>
      </c>
      <c r="S10535" t="s">
        <v>8163</v>
      </c>
      <c r="T10535" t="s">
        <v>301</v>
      </c>
    </row>
    <row r="10536" spans="1:20" x14ac:dyDescent="0.25">
      <c r="A10536">
        <v>9</v>
      </c>
      <c r="B10536">
        <v>865</v>
      </c>
      <c r="C10536" t="str">
        <f t="shared" si="2372"/>
        <v>36</v>
      </c>
      <c r="D10536">
        <v>6411</v>
      </c>
      <c r="E10536" t="str">
        <f>"99"</f>
        <v>99</v>
      </c>
      <c r="F10536" t="str">
        <f t="shared" si="2374"/>
        <v>001</v>
      </c>
      <c r="G10536">
        <v>9</v>
      </c>
      <c r="H10536" t="str">
        <f>"91"</f>
        <v>91</v>
      </c>
      <c r="I10536" t="str">
        <f t="shared" si="2371"/>
        <v>0</v>
      </c>
      <c r="J10536" t="str">
        <f t="shared" si="2370"/>
        <v>00</v>
      </c>
      <c r="K10536">
        <v>20190531</v>
      </c>
      <c r="L10536" t="str">
        <f>"076981"</f>
        <v>076981</v>
      </c>
      <c r="M10536" t="str">
        <f>"13285"</f>
        <v>13285</v>
      </c>
      <c r="N10536" t="s">
        <v>1313</v>
      </c>
      <c r="O10536">
        <v>25</v>
      </c>
      <c r="P10536">
        <v>20190530</v>
      </c>
      <c r="Q10536" t="s">
        <v>8361</v>
      </c>
      <c r="R10536" t="s">
        <v>1282</v>
      </c>
      <c r="S10536" t="s">
        <v>8163</v>
      </c>
      <c r="T10536" t="s">
        <v>301</v>
      </c>
    </row>
    <row r="10537" spans="1:20" x14ac:dyDescent="0.25">
      <c r="A10537">
        <v>9</v>
      </c>
      <c r="B10537">
        <v>865</v>
      </c>
      <c r="C10537" t="str">
        <f t="shared" si="2372"/>
        <v>36</v>
      </c>
      <c r="D10537">
        <v>6412</v>
      </c>
      <c r="E10537" t="str">
        <f>"48"</f>
        <v>48</v>
      </c>
      <c r="F10537" t="str">
        <f t="shared" si="2374"/>
        <v>001</v>
      </c>
      <c r="G10537">
        <v>9</v>
      </c>
      <c r="H10537" t="str">
        <f t="shared" ref="H10537:H10568" si="2375">"99"</f>
        <v>99</v>
      </c>
      <c r="I10537" t="str">
        <f t="shared" si="2371"/>
        <v>0</v>
      </c>
      <c r="J10537" t="str">
        <f t="shared" si="2370"/>
        <v>00</v>
      </c>
      <c r="K10537">
        <v>20190531</v>
      </c>
      <c r="L10537" t="str">
        <f>"077005"</f>
        <v>077005</v>
      </c>
      <c r="M10537" t="str">
        <f>"34670"</f>
        <v>34670</v>
      </c>
      <c r="N10537" t="s">
        <v>1731</v>
      </c>
      <c r="O10537" s="1">
        <v>13524</v>
      </c>
      <c r="P10537">
        <v>20190530</v>
      </c>
      <c r="Q10537" t="s">
        <v>8362</v>
      </c>
      <c r="R10537" t="s">
        <v>8363</v>
      </c>
      <c r="S10537" t="s">
        <v>8163</v>
      </c>
      <c r="T10537" t="s">
        <v>301</v>
      </c>
    </row>
    <row r="10538" spans="1:20" x14ac:dyDescent="0.25">
      <c r="A10538">
        <v>9</v>
      </c>
      <c r="B10538">
        <v>865</v>
      </c>
      <c r="C10538" t="str">
        <f t="shared" si="2372"/>
        <v>36</v>
      </c>
      <c r="D10538">
        <v>6399</v>
      </c>
      <c r="E10538" t="str">
        <f>"TS"</f>
        <v>TS</v>
      </c>
      <c r="F10538" t="str">
        <f t="shared" si="2374"/>
        <v>001</v>
      </c>
      <c r="G10538">
        <v>9</v>
      </c>
      <c r="H10538" t="str">
        <f t="shared" si="2375"/>
        <v>99</v>
      </c>
      <c r="I10538" t="str">
        <f t="shared" si="2371"/>
        <v>0</v>
      </c>
      <c r="J10538" t="str">
        <f t="shared" si="2370"/>
        <v>00</v>
      </c>
      <c r="K10538">
        <v>20190531</v>
      </c>
      <c r="L10538" t="str">
        <f>"077042"</f>
        <v>077042</v>
      </c>
      <c r="M10538" t="str">
        <f>"70641"</f>
        <v>70641</v>
      </c>
      <c r="N10538" t="s">
        <v>5196</v>
      </c>
      <c r="O10538">
        <v>142</v>
      </c>
      <c r="P10538">
        <v>20190530</v>
      </c>
      <c r="Q10538" t="s">
        <v>8167</v>
      </c>
      <c r="R10538" t="s">
        <v>7565</v>
      </c>
      <c r="S10538" t="s">
        <v>8163</v>
      </c>
      <c r="T10538" t="s">
        <v>301</v>
      </c>
    </row>
    <row r="10539" spans="1:20" x14ac:dyDescent="0.25">
      <c r="A10539">
        <v>9</v>
      </c>
      <c r="B10539">
        <v>865</v>
      </c>
      <c r="C10539" t="str">
        <f t="shared" si="2372"/>
        <v>36</v>
      </c>
      <c r="D10539">
        <v>6499</v>
      </c>
      <c r="E10539" t="str">
        <f>"8T"</f>
        <v>8T</v>
      </c>
      <c r="F10539" t="str">
        <f t="shared" si="2374"/>
        <v>001</v>
      </c>
      <c r="G10539">
        <v>9</v>
      </c>
      <c r="H10539" t="str">
        <f t="shared" si="2375"/>
        <v>99</v>
      </c>
      <c r="I10539" t="str">
        <f t="shared" si="2371"/>
        <v>0</v>
      </c>
      <c r="J10539" t="str">
        <f t="shared" si="2370"/>
        <v>00</v>
      </c>
      <c r="K10539">
        <v>20190531</v>
      </c>
      <c r="L10539" t="str">
        <f>"077046"</f>
        <v>077046</v>
      </c>
      <c r="M10539" t="str">
        <f>"81299"</f>
        <v>81299</v>
      </c>
      <c r="N10539" t="s">
        <v>4298</v>
      </c>
      <c r="O10539">
        <v>100</v>
      </c>
      <c r="P10539">
        <v>20190530</v>
      </c>
      <c r="Q10539" t="s">
        <v>8164</v>
      </c>
      <c r="R10539" t="s">
        <v>8364</v>
      </c>
      <c r="S10539" t="s">
        <v>8163</v>
      </c>
      <c r="T10539" t="s">
        <v>301</v>
      </c>
    </row>
    <row r="10540" spans="1:20" x14ac:dyDescent="0.25">
      <c r="A10540">
        <v>9</v>
      </c>
      <c r="B10540">
        <v>865</v>
      </c>
      <c r="C10540" t="str">
        <f t="shared" si="2372"/>
        <v>36</v>
      </c>
      <c r="D10540">
        <v>6499</v>
      </c>
      <c r="E10540" t="str">
        <f>"V8"</f>
        <v>V8</v>
      </c>
      <c r="F10540" t="str">
        <f t="shared" si="2374"/>
        <v>001</v>
      </c>
      <c r="G10540">
        <v>9</v>
      </c>
      <c r="H10540" t="str">
        <f t="shared" si="2375"/>
        <v>99</v>
      </c>
      <c r="I10540" t="str">
        <f t="shared" si="2371"/>
        <v>0</v>
      </c>
      <c r="J10540" t="str">
        <f t="shared" si="2370"/>
        <v>00</v>
      </c>
      <c r="K10540">
        <v>20190531</v>
      </c>
      <c r="L10540" t="str">
        <f>"077046"</f>
        <v>077046</v>
      </c>
      <c r="M10540" t="str">
        <f>"81299"</f>
        <v>81299</v>
      </c>
      <c r="N10540" t="s">
        <v>4298</v>
      </c>
      <c r="O10540">
        <v>700</v>
      </c>
      <c r="P10540">
        <v>20190530</v>
      </c>
      <c r="Q10540" t="s">
        <v>8339</v>
      </c>
      <c r="R10540" t="s">
        <v>8365</v>
      </c>
      <c r="S10540" t="s">
        <v>8163</v>
      </c>
      <c r="T10540" t="s">
        <v>301</v>
      </c>
    </row>
    <row r="10541" spans="1:20" x14ac:dyDescent="0.25">
      <c r="A10541">
        <v>9</v>
      </c>
      <c r="B10541">
        <v>865</v>
      </c>
      <c r="C10541" t="str">
        <f t="shared" si="2372"/>
        <v>36</v>
      </c>
      <c r="D10541">
        <v>6399</v>
      </c>
      <c r="E10541" t="str">
        <f>"8T"</f>
        <v>8T</v>
      </c>
      <c r="F10541" t="str">
        <f>"041"</f>
        <v>041</v>
      </c>
      <c r="G10541">
        <v>9</v>
      </c>
      <c r="H10541" t="str">
        <f t="shared" si="2375"/>
        <v>99</v>
      </c>
      <c r="I10541" t="str">
        <f t="shared" si="2371"/>
        <v>0</v>
      </c>
      <c r="J10541" t="str">
        <f t="shared" si="2370"/>
        <v>00</v>
      </c>
      <c r="K10541">
        <v>20190531</v>
      </c>
      <c r="L10541" t="str">
        <f>"077050"</f>
        <v>077050</v>
      </c>
      <c r="M10541" t="str">
        <f>"83022"</f>
        <v>83022</v>
      </c>
      <c r="N10541" t="s">
        <v>691</v>
      </c>
      <c r="O10541">
        <v>151.04</v>
      </c>
      <c r="P10541">
        <v>20190530</v>
      </c>
      <c r="Q10541" t="s">
        <v>8345</v>
      </c>
      <c r="R10541" t="s">
        <v>8346</v>
      </c>
      <c r="S10541" t="s">
        <v>8163</v>
      </c>
      <c r="T10541" t="s">
        <v>106</v>
      </c>
    </row>
    <row r="10542" spans="1:20" x14ac:dyDescent="0.25">
      <c r="A10542">
        <v>9</v>
      </c>
      <c r="B10542">
        <v>865</v>
      </c>
      <c r="C10542" t="str">
        <f t="shared" si="2372"/>
        <v>36</v>
      </c>
      <c r="D10542">
        <v>6412</v>
      </c>
      <c r="E10542" t="str">
        <f>"MB"</f>
        <v>MB</v>
      </c>
      <c r="F10542" t="str">
        <f>"041"</f>
        <v>041</v>
      </c>
      <c r="G10542">
        <v>9</v>
      </c>
      <c r="H10542" t="str">
        <f t="shared" si="2375"/>
        <v>99</v>
      </c>
      <c r="I10542" t="str">
        <f t="shared" si="2371"/>
        <v>0</v>
      </c>
      <c r="J10542" t="str">
        <f t="shared" si="2370"/>
        <v>00</v>
      </c>
      <c r="K10542">
        <v>20190607</v>
      </c>
      <c r="L10542" t="str">
        <f>"077075"</f>
        <v>077075</v>
      </c>
      <c r="M10542" t="str">
        <f>"30744"</f>
        <v>30744</v>
      </c>
      <c r="N10542" t="s">
        <v>422</v>
      </c>
      <c r="O10542">
        <v>64.98</v>
      </c>
      <c r="P10542">
        <v>20190605</v>
      </c>
      <c r="Q10542" t="s">
        <v>8366</v>
      </c>
      <c r="R10542" t="s">
        <v>5765</v>
      </c>
      <c r="S10542" t="s">
        <v>8163</v>
      </c>
      <c r="T10542" t="s">
        <v>106</v>
      </c>
    </row>
    <row r="10543" spans="1:20" x14ac:dyDescent="0.25">
      <c r="A10543">
        <v>9</v>
      </c>
      <c r="B10543">
        <v>865</v>
      </c>
      <c r="C10543" t="str">
        <f t="shared" si="2372"/>
        <v>36</v>
      </c>
      <c r="D10543">
        <v>6412</v>
      </c>
      <c r="E10543" t="str">
        <f>"MB"</f>
        <v>MB</v>
      </c>
      <c r="F10543" t="str">
        <f>"041"</f>
        <v>041</v>
      </c>
      <c r="G10543">
        <v>9</v>
      </c>
      <c r="H10543" t="str">
        <f t="shared" si="2375"/>
        <v>99</v>
      </c>
      <c r="I10543" t="str">
        <f t="shared" si="2371"/>
        <v>0</v>
      </c>
      <c r="J10543" t="str">
        <f t="shared" si="2370"/>
        <v>00</v>
      </c>
      <c r="K10543">
        <v>20190607</v>
      </c>
      <c r="L10543" t="str">
        <f>"077075"</f>
        <v>077075</v>
      </c>
      <c r="M10543" t="str">
        <f>"30744"</f>
        <v>30744</v>
      </c>
      <c r="N10543" t="s">
        <v>422</v>
      </c>
      <c r="O10543">
        <v>25.17</v>
      </c>
      <c r="P10543">
        <v>20190605</v>
      </c>
      <c r="Q10543" t="s">
        <v>8366</v>
      </c>
      <c r="R10543" t="s">
        <v>5765</v>
      </c>
      <c r="S10543" t="s">
        <v>8163</v>
      </c>
      <c r="T10543" t="s">
        <v>106</v>
      </c>
    </row>
    <row r="10544" spans="1:20" x14ac:dyDescent="0.25">
      <c r="A10544">
        <v>9</v>
      </c>
      <c r="B10544">
        <v>865</v>
      </c>
      <c r="C10544" t="str">
        <f t="shared" si="2372"/>
        <v>36</v>
      </c>
      <c r="D10544">
        <v>6399</v>
      </c>
      <c r="E10544" t="str">
        <f>"8T"</f>
        <v>8T</v>
      </c>
      <c r="F10544" t="str">
        <f>"041"</f>
        <v>041</v>
      </c>
      <c r="G10544">
        <v>9</v>
      </c>
      <c r="H10544" t="str">
        <f t="shared" si="2375"/>
        <v>99</v>
      </c>
      <c r="I10544" t="str">
        <f t="shared" si="2371"/>
        <v>0</v>
      </c>
      <c r="J10544" t="str">
        <f t="shared" si="2370"/>
        <v>00</v>
      </c>
      <c r="K10544">
        <v>20190607</v>
      </c>
      <c r="L10544" t="str">
        <f>"077079"</f>
        <v>077079</v>
      </c>
      <c r="M10544" t="str">
        <f>"37500"</f>
        <v>37500</v>
      </c>
      <c r="N10544" t="s">
        <v>2077</v>
      </c>
      <c r="O10544">
        <v>310.83</v>
      </c>
      <c r="P10544">
        <v>20190605</v>
      </c>
      <c r="Q10544" t="s">
        <v>8345</v>
      </c>
      <c r="R10544" t="s">
        <v>5199</v>
      </c>
      <c r="S10544" t="s">
        <v>8163</v>
      </c>
      <c r="T10544" t="s">
        <v>106</v>
      </c>
    </row>
    <row r="10545" spans="1:20" x14ac:dyDescent="0.25">
      <c r="A10545">
        <v>9</v>
      </c>
      <c r="B10545">
        <v>865</v>
      </c>
      <c r="C10545" t="str">
        <f t="shared" si="2372"/>
        <v>36</v>
      </c>
      <c r="D10545">
        <v>6499</v>
      </c>
      <c r="E10545" t="str">
        <f>"V8"</f>
        <v>V8</v>
      </c>
      <c r="F10545" t="str">
        <f>"001"</f>
        <v>001</v>
      </c>
      <c r="G10545">
        <v>9</v>
      </c>
      <c r="H10545" t="str">
        <f t="shared" si="2375"/>
        <v>99</v>
      </c>
      <c r="I10545" t="str">
        <f t="shared" si="2371"/>
        <v>0</v>
      </c>
      <c r="J10545" t="str">
        <f t="shared" si="2370"/>
        <v>00</v>
      </c>
      <c r="K10545">
        <v>20190607</v>
      </c>
      <c r="L10545" t="str">
        <f>"077079"</f>
        <v>077079</v>
      </c>
      <c r="M10545" t="str">
        <f>"37500"</f>
        <v>37500</v>
      </c>
      <c r="N10545" t="s">
        <v>2077</v>
      </c>
      <c r="O10545">
        <v>132.09</v>
      </c>
      <c r="P10545">
        <v>20190605</v>
      </c>
      <c r="Q10545" t="s">
        <v>8339</v>
      </c>
      <c r="R10545" t="s">
        <v>8367</v>
      </c>
      <c r="S10545" t="s">
        <v>8163</v>
      </c>
      <c r="T10545" t="s">
        <v>301</v>
      </c>
    </row>
    <row r="10546" spans="1:20" x14ac:dyDescent="0.25">
      <c r="A10546">
        <v>9</v>
      </c>
      <c r="B10546">
        <v>865</v>
      </c>
      <c r="C10546" t="str">
        <f t="shared" si="2372"/>
        <v>36</v>
      </c>
      <c r="D10546">
        <v>6412</v>
      </c>
      <c r="E10546" t="str">
        <f>"7E"</f>
        <v>7E</v>
      </c>
      <c r="F10546" t="str">
        <f>"041"</f>
        <v>041</v>
      </c>
      <c r="G10546">
        <v>9</v>
      </c>
      <c r="H10546" t="str">
        <f t="shared" si="2375"/>
        <v>99</v>
      </c>
      <c r="I10546" t="str">
        <f t="shared" si="2371"/>
        <v>0</v>
      </c>
      <c r="J10546" t="str">
        <f t="shared" si="2370"/>
        <v>00</v>
      </c>
      <c r="K10546">
        <v>20190607</v>
      </c>
      <c r="L10546" t="str">
        <f>"077080"</f>
        <v>077080</v>
      </c>
      <c r="M10546" t="str">
        <f>"00834"</f>
        <v>00834</v>
      </c>
      <c r="N10546" t="s">
        <v>8368</v>
      </c>
      <c r="O10546">
        <v>110</v>
      </c>
      <c r="P10546">
        <v>20190605</v>
      </c>
      <c r="Q10546" t="s">
        <v>8342</v>
      </c>
      <c r="R10546" t="s">
        <v>8369</v>
      </c>
      <c r="S10546" t="s">
        <v>8163</v>
      </c>
      <c r="T10546" t="s">
        <v>106</v>
      </c>
    </row>
    <row r="10547" spans="1:20" x14ac:dyDescent="0.25">
      <c r="A10547">
        <v>9</v>
      </c>
      <c r="B10547">
        <v>865</v>
      </c>
      <c r="C10547" t="str">
        <f t="shared" si="2372"/>
        <v>36</v>
      </c>
      <c r="D10547">
        <v>6399</v>
      </c>
      <c r="E10547" t="str">
        <f>"08"</f>
        <v>08</v>
      </c>
      <c r="F10547" t="str">
        <f>"041"</f>
        <v>041</v>
      </c>
      <c r="G10547">
        <v>9</v>
      </c>
      <c r="H10547" t="str">
        <f t="shared" si="2375"/>
        <v>99</v>
      </c>
      <c r="I10547" t="str">
        <f t="shared" si="2371"/>
        <v>0</v>
      </c>
      <c r="J10547" t="str">
        <f t="shared" si="2370"/>
        <v>00</v>
      </c>
      <c r="K10547">
        <v>20190607</v>
      </c>
      <c r="L10547" t="str">
        <f>"077098"</f>
        <v>077098</v>
      </c>
      <c r="M10547" t="str">
        <f>"58202"</f>
        <v>58202</v>
      </c>
      <c r="N10547" t="s">
        <v>2781</v>
      </c>
      <c r="O10547">
        <v>30</v>
      </c>
      <c r="P10547">
        <v>20190606</v>
      </c>
      <c r="Q10547" t="s">
        <v>8335</v>
      </c>
      <c r="R10547" t="s">
        <v>8370</v>
      </c>
      <c r="S10547" t="s">
        <v>8163</v>
      </c>
      <c r="T10547" t="s">
        <v>106</v>
      </c>
    </row>
    <row r="10548" spans="1:20" x14ac:dyDescent="0.25">
      <c r="A10548">
        <v>9</v>
      </c>
      <c r="B10548">
        <v>865</v>
      </c>
      <c r="C10548" t="str">
        <f t="shared" si="2372"/>
        <v>36</v>
      </c>
      <c r="D10548">
        <v>6399</v>
      </c>
      <c r="E10548" t="str">
        <f>"7E"</f>
        <v>7E</v>
      </c>
      <c r="F10548" t="str">
        <f>"041"</f>
        <v>041</v>
      </c>
      <c r="G10548">
        <v>9</v>
      </c>
      <c r="H10548" t="str">
        <f t="shared" si="2375"/>
        <v>99</v>
      </c>
      <c r="I10548" t="str">
        <f t="shared" si="2371"/>
        <v>0</v>
      </c>
      <c r="J10548" t="str">
        <f t="shared" si="2370"/>
        <v>00</v>
      </c>
      <c r="K10548">
        <v>20190607</v>
      </c>
      <c r="L10548" t="str">
        <f>"077098"</f>
        <v>077098</v>
      </c>
      <c r="M10548" t="str">
        <f>"58202"</f>
        <v>58202</v>
      </c>
      <c r="N10548" t="s">
        <v>2781</v>
      </c>
      <c r="O10548">
        <v>20</v>
      </c>
      <c r="P10548">
        <v>20190606</v>
      </c>
      <c r="Q10548" t="s">
        <v>8229</v>
      </c>
      <c r="R10548" t="s">
        <v>8371</v>
      </c>
      <c r="S10548" t="s">
        <v>8163</v>
      </c>
      <c r="T10548" t="s">
        <v>106</v>
      </c>
    </row>
    <row r="10549" spans="1:20" x14ac:dyDescent="0.25">
      <c r="A10549">
        <v>9</v>
      </c>
      <c r="B10549">
        <v>865</v>
      </c>
      <c r="C10549" t="str">
        <f t="shared" si="2372"/>
        <v>36</v>
      </c>
      <c r="D10549">
        <v>6412</v>
      </c>
      <c r="E10549" t="str">
        <f>"7E"</f>
        <v>7E</v>
      </c>
      <c r="F10549" t="str">
        <f>"041"</f>
        <v>041</v>
      </c>
      <c r="G10549">
        <v>9</v>
      </c>
      <c r="H10549" t="str">
        <f t="shared" si="2375"/>
        <v>99</v>
      </c>
      <c r="I10549" t="str">
        <f t="shared" si="2371"/>
        <v>0</v>
      </c>
      <c r="J10549" t="str">
        <f t="shared" si="2370"/>
        <v>00</v>
      </c>
      <c r="K10549">
        <v>20190607</v>
      </c>
      <c r="L10549" t="str">
        <f>"077105"</f>
        <v>077105</v>
      </c>
      <c r="M10549" t="str">
        <f>"00835"</f>
        <v>00835</v>
      </c>
      <c r="N10549" t="s">
        <v>8372</v>
      </c>
      <c r="O10549">
        <v>110</v>
      </c>
      <c r="P10549">
        <v>20190606</v>
      </c>
      <c r="Q10549" t="s">
        <v>8342</v>
      </c>
      <c r="R10549" t="s">
        <v>8369</v>
      </c>
      <c r="S10549" t="s">
        <v>8163</v>
      </c>
      <c r="T10549" t="s">
        <v>106</v>
      </c>
    </row>
    <row r="10550" spans="1:20" x14ac:dyDescent="0.25">
      <c r="A10550">
        <v>9</v>
      </c>
      <c r="B10550">
        <v>865</v>
      </c>
      <c r="C10550" t="str">
        <f t="shared" si="2372"/>
        <v>36</v>
      </c>
      <c r="D10550">
        <v>6399</v>
      </c>
      <c r="E10550" t="str">
        <f>"7B"</f>
        <v>7B</v>
      </c>
      <c r="F10550" t="str">
        <f>"041"</f>
        <v>041</v>
      </c>
      <c r="G10550">
        <v>9</v>
      </c>
      <c r="H10550" t="str">
        <f t="shared" si="2375"/>
        <v>99</v>
      </c>
      <c r="I10550" t="str">
        <f t="shared" si="2371"/>
        <v>0</v>
      </c>
      <c r="J10550" t="str">
        <f t="shared" si="2370"/>
        <v>00</v>
      </c>
      <c r="K10550">
        <v>20190614</v>
      </c>
      <c r="L10550" t="str">
        <f>"077162"</f>
        <v>077162</v>
      </c>
      <c r="M10550" t="str">
        <f>"31345"</f>
        <v>31345</v>
      </c>
      <c r="N10550" t="s">
        <v>1394</v>
      </c>
      <c r="O10550">
        <v>112.15</v>
      </c>
      <c r="P10550">
        <v>20190612</v>
      </c>
      <c r="Q10550" t="s">
        <v>8173</v>
      </c>
      <c r="R10550" t="s">
        <v>8373</v>
      </c>
      <c r="S10550" t="s">
        <v>8163</v>
      </c>
      <c r="T10550" t="s">
        <v>106</v>
      </c>
    </row>
    <row r="10551" spans="1:20" x14ac:dyDescent="0.25">
      <c r="A10551">
        <v>9</v>
      </c>
      <c r="B10551">
        <v>865</v>
      </c>
      <c r="C10551" t="str">
        <f t="shared" si="2372"/>
        <v>36</v>
      </c>
      <c r="D10551">
        <v>6499</v>
      </c>
      <c r="E10551" t="str">
        <f>"V8"</f>
        <v>V8</v>
      </c>
      <c r="F10551" t="str">
        <f>"001"</f>
        <v>001</v>
      </c>
      <c r="G10551">
        <v>9</v>
      </c>
      <c r="H10551" t="str">
        <f t="shared" si="2375"/>
        <v>99</v>
      </c>
      <c r="I10551" t="str">
        <f t="shared" si="2371"/>
        <v>0</v>
      </c>
      <c r="J10551" t="str">
        <f t="shared" si="2370"/>
        <v>00</v>
      </c>
      <c r="K10551">
        <v>20190614</v>
      </c>
      <c r="L10551" t="str">
        <f>"077167"</f>
        <v>077167</v>
      </c>
      <c r="M10551" t="str">
        <f>"40550"</f>
        <v>40550</v>
      </c>
      <c r="N10551" t="s">
        <v>2645</v>
      </c>
      <c r="O10551">
        <v>127.04</v>
      </c>
      <c r="P10551">
        <v>20190612</v>
      </c>
      <c r="Q10551" t="s">
        <v>8339</v>
      </c>
      <c r="R10551" t="s">
        <v>8374</v>
      </c>
      <c r="S10551" t="s">
        <v>8163</v>
      </c>
      <c r="T10551" t="s">
        <v>301</v>
      </c>
    </row>
    <row r="10552" spans="1:20" x14ac:dyDescent="0.25">
      <c r="A10552">
        <v>9</v>
      </c>
      <c r="B10552">
        <v>865</v>
      </c>
      <c r="C10552" t="str">
        <f t="shared" si="2372"/>
        <v>36</v>
      </c>
      <c r="D10552">
        <v>6412</v>
      </c>
      <c r="E10552" t="str">
        <f>"7B"</f>
        <v>7B</v>
      </c>
      <c r="F10552" t="str">
        <f>"041"</f>
        <v>041</v>
      </c>
      <c r="G10552">
        <v>9</v>
      </c>
      <c r="H10552" t="str">
        <f t="shared" si="2375"/>
        <v>99</v>
      </c>
      <c r="I10552" t="str">
        <f t="shared" si="2371"/>
        <v>0</v>
      </c>
      <c r="J10552" t="str">
        <f t="shared" si="2370"/>
        <v>00</v>
      </c>
      <c r="K10552">
        <v>20190614</v>
      </c>
      <c r="L10552" t="str">
        <f>"077170"</f>
        <v>077170</v>
      </c>
      <c r="M10552" t="str">
        <f>"42238"</f>
        <v>42238</v>
      </c>
      <c r="N10552" t="s">
        <v>8305</v>
      </c>
      <c r="O10552">
        <v>612.5</v>
      </c>
      <c r="P10552">
        <v>20190612</v>
      </c>
      <c r="Q10552" t="s">
        <v>8306</v>
      </c>
      <c r="R10552" t="s">
        <v>8307</v>
      </c>
      <c r="S10552" t="s">
        <v>8163</v>
      </c>
      <c r="T10552" t="s">
        <v>106</v>
      </c>
    </row>
    <row r="10553" spans="1:20" x14ac:dyDescent="0.25">
      <c r="A10553">
        <v>9</v>
      </c>
      <c r="B10553">
        <v>865</v>
      </c>
      <c r="C10553" t="str">
        <f t="shared" si="2372"/>
        <v>36</v>
      </c>
      <c r="D10553">
        <v>6399</v>
      </c>
      <c r="E10553" t="str">
        <f>"30"</f>
        <v>30</v>
      </c>
      <c r="F10553" t="str">
        <f>"002"</f>
        <v>002</v>
      </c>
      <c r="G10553">
        <v>9</v>
      </c>
      <c r="H10553" t="str">
        <f t="shared" si="2375"/>
        <v>99</v>
      </c>
      <c r="I10553" t="str">
        <f t="shared" si="2371"/>
        <v>0</v>
      </c>
      <c r="J10553" t="str">
        <f t="shared" si="2370"/>
        <v>00</v>
      </c>
      <c r="K10553">
        <v>20190614</v>
      </c>
      <c r="L10553" t="str">
        <f>"077192"</f>
        <v>077192</v>
      </c>
      <c r="M10553" t="str">
        <f>"58211"</f>
        <v>58211</v>
      </c>
      <c r="N10553" t="s">
        <v>1472</v>
      </c>
      <c r="O10553">
        <v>29</v>
      </c>
      <c r="P10553">
        <v>20190612</v>
      </c>
      <c r="Q10553" t="s">
        <v>8188</v>
      </c>
      <c r="R10553" t="s">
        <v>5423</v>
      </c>
      <c r="S10553" t="s">
        <v>8163</v>
      </c>
      <c r="T10553" t="s">
        <v>1485</v>
      </c>
    </row>
    <row r="10554" spans="1:20" x14ac:dyDescent="0.25">
      <c r="A10554">
        <v>9</v>
      </c>
      <c r="B10554">
        <v>865</v>
      </c>
      <c r="C10554" t="str">
        <f t="shared" si="2372"/>
        <v>36</v>
      </c>
      <c r="D10554">
        <v>6399</v>
      </c>
      <c r="E10554" t="str">
        <f>"30"</f>
        <v>30</v>
      </c>
      <c r="F10554" t="str">
        <f>"002"</f>
        <v>002</v>
      </c>
      <c r="G10554">
        <v>9</v>
      </c>
      <c r="H10554" t="str">
        <f t="shared" si="2375"/>
        <v>99</v>
      </c>
      <c r="I10554" t="str">
        <f t="shared" si="2371"/>
        <v>0</v>
      </c>
      <c r="J10554" t="str">
        <f t="shared" si="2370"/>
        <v>00</v>
      </c>
      <c r="K10554">
        <v>20190614</v>
      </c>
      <c r="L10554" t="str">
        <f>"077192"</f>
        <v>077192</v>
      </c>
      <c r="M10554" t="str">
        <f>"58211"</f>
        <v>58211</v>
      </c>
      <c r="N10554" t="s">
        <v>1472</v>
      </c>
      <c r="O10554">
        <v>18.97</v>
      </c>
      <c r="P10554">
        <v>20190612</v>
      </c>
      <c r="Q10554" t="s">
        <v>8188</v>
      </c>
      <c r="R10554" t="s">
        <v>8375</v>
      </c>
      <c r="S10554" t="s">
        <v>8163</v>
      </c>
      <c r="T10554" t="s">
        <v>1485</v>
      </c>
    </row>
    <row r="10555" spans="1:20" x14ac:dyDescent="0.25">
      <c r="A10555">
        <v>9</v>
      </c>
      <c r="B10555">
        <v>865</v>
      </c>
      <c r="C10555" t="str">
        <f t="shared" si="2372"/>
        <v>36</v>
      </c>
      <c r="D10555">
        <v>6498</v>
      </c>
      <c r="E10555" t="str">
        <f>"30"</f>
        <v>30</v>
      </c>
      <c r="F10555" t="str">
        <f>"002"</f>
        <v>002</v>
      </c>
      <c r="G10555">
        <v>9</v>
      </c>
      <c r="H10555" t="str">
        <f t="shared" si="2375"/>
        <v>99</v>
      </c>
      <c r="I10555" t="str">
        <f t="shared" si="2371"/>
        <v>0</v>
      </c>
      <c r="J10555" t="str">
        <f t="shared" si="2370"/>
        <v>00</v>
      </c>
      <c r="K10555">
        <v>20190614</v>
      </c>
      <c r="L10555" t="str">
        <f>"077192"</f>
        <v>077192</v>
      </c>
      <c r="M10555" t="str">
        <f>"58211"</f>
        <v>58211</v>
      </c>
      <c r="N10555" t="s">
        <v>1472</v>
      </c>
      <c r="O10555">
        <v>21.87</v>
      </c>
      <c r="P10555">
        <v>20190612</v>
      </c>
      <c r="Q10555" t="s">
        <v>8376</v>
      </c>
      <c r="R10555" t="s">
        <v>5424</v>
      </c>
      <c r="S10555" t="s">
        <v>8163</v>
      </c>
      <c r="T10555" t="s">
        <v>1485</v>
      </c>
    </row>
    <row r="10556" spans="1:20" x14ac:dyDescent="0.25">
      <c r="A10556">
        <v>9</v>
      </c>
      <c r="B10556">
        <v>865</v>
      </c>
      <c r="C10556" t="str">
        <f t="shared" si="2372"/>
        <v>36</v>
      </c>
      <c r="D10556">
        <v>6399</v>
      </c>
      <c r="E10556" t="str">
        <f>"30"</f>
        <v>30</v>
      </c>
      <c r="F10556" t="str">
        <f>"101"</f>
        <v>101</v>
      </c>
      <c r="G10556">
        <v>9</v>
      </c>
      <c r="H10556" t="str">
        <f t="shared" si="2375"/>
        <v>99</v>
      </c>
      <c r="I10556" t="str">
        <f t="shared" si="2371"/>
        <v>0</v>
      </c>
      <c r="J10556" t="str">
        <f t="shared" si="2370"/>
        <v>00</v>
      </c>
      <c r="K10556">
        <v>20190614</v>
      </c>
      <c r="L10556" t="str">
        <f>"077194"</f>
        <v>077194</v>
      </c>
      <c r="M10556" t="str">
        <f>"58203"</f>
        <v>58203</v>
      </c>
      <c r="N10556" t="s">
        <v>3051</v>
      </c>
      <c r="O10556">
        <v>89.11</v>
      </c>
      <c r="P10556">
        <v>20190612</v>
      </c>
      <c r="Q10556" t="s">
        <v>8205</v>
      </c>
      <c r="R10556" t="s">
        <v>8377</v>
      </c>
      <c r="S10556" t="s">
        <v>8163</v>
      </c>
      <c r="T10556" t="s">
        <v>1479</v>
      </c>
    </row>
    <row r="10557" spans="1:20" x14ac:dyDescent="0.25">
      <c r="A10557">
        <v>9</v>
      </c>
      <c r="B10557">
        <v>865</v>
      </c>
      <c r="C10557" t="str">
        <f t="shared" si="2372"/>
        <v>36</v>
      </c>
      <c r="D10557">
        <v>6399</v>
      </c>
      <c r="E10557" t="str">
        <f>"7K"</f>
        <v>7K</v>
      </c>
      <c r="F10557" t="str">
        <f>"041"</f>
        <v>041</v>
      </c>
      <c r="G10557">
        <v>9</v>
      </c>
      <c r="H10557" t="str">
        <f t="shared" si="2375"/>
        <v>99</v>
      </c>
      <c r="I10557" t="str">
        <f t="shared" si="2371"/>
        <v>0</v>
      </c>
      <c r="J10557" t="str">
        <f t="shared" si="2370"/>
        <v>00</v>
      </c>
      <c r="K10557">
        <v>20190614</v>
      </c>
      <c r="L10557" t="str">
        <f>"077198"</f>
        <v>077198</v>
      </c>
      <c r="M10557" t="str">
        <f>"62155"</f>
        <v>62155</v>
      </c>
      <c r="N10557" t="s">
        <v>8378</v>
      </c>
      <c r="O10557" s="1">
        <v>2179.6</v>
      </c>
      <c r="P10557">
        <v>20190612</v>
      </c>
      <c r="Q10557" t="s">
        <v>8162</v>
      </c>
      <c r="R10557" t="s">
        <v>8379</v>
      </c>
      <c r="S10557" t="s">
        <v>8163</v>
      </c>
      <c r="T10557" t="s">
        <v>106</v>
      </c>
    </row>
    <row r="10558" spans="1:20" x14ac:dyDescent="0.25">
      <c r="A10558">
        <v>9</v>
      </c>
      <c r="B10558">
        <v>865</v>
      </c>
      <c r="C10558" t="str">
        <f t="shared" si="2372"/>
        <v>36</v>
      </c>
      <c r="D10558">
        <v>6499</v>
      </c>
      <c r="E10558" t="str">
        <f>"48"</f>
        <v>48</v>
      </c>
      <c r="F10558" t="str">
        <f t="shared" ref="F10558:F10563" si="2376">"001"</f>
        <v>001</v>
      </c>
      <c r="G10558">
        <v>9</v>
      </c>
      <c r="H10558" t="str">
        <f t="shared" si="2375"/>
        <v>99</v>
      </c>
      <c r="I10558" t="str">
        <f t="shared" si="2371"/>
        <v>0</v>
      </c>
      <c r="J10558" t="str">
        <f t="shared" si="2370"/>
        <v>00</v>
      </c>
      <c r="K10558">
        <v>20190614</v>
      </c>
      <c r="L10558" t="str">
        <f t="shared" ref="L10558:L10563" si="2377">"077202"</f>
        <v>077202</v>
      </c>
      <c r="M10558" t="str">
        <f t="shared" ref="M10558:M10563" si="2378">"70242"</f>
        <v>70242</v>
      </c>
      <c r="N10558" t="s">
        <v>5435</v>
      </c>
      <c r="O10558">
        <v>256.25</v>
      </c>
      <c r="P10558">
        <v>20190613</v>
      </c>
      <c r="Q10558" t="s">
        <v>8380</v>
      </c>
      <c r="R10558" t="s">
        <v>8381</v>
      </c>
      <c r="S10558" t="s">
        <v>8163</v>
      </c>
      <c r="T10558" t="s">
        <v>301</v>
      </c>
    </row>
    <row r="10559" spans="1:20" x14ac:dyDescent="0.25">
      <c r="A10559">
        <v>9</v>
      </c>
      <c r="B10559">
        <v>865</v>
      </c>
      <c r="C10559" t="str">
        <f t="shared" si="2372"/>
        <v>36</v>
      </c>
      <c r="D10559">
        <v>6499</v>
      </c>
      <c r="E10559" t="str">
        <f>"CW"</f>
        <v>CW</v>
      </c>
      <c r="F10559" t="str">
        <f t="shared" si="2376"/>
        <v>001</v>
      </c>
      <c r="G10559">
        <v>9</v>
      </c>
      <c r="H10559" t="str">
        <f t="shared" si="2375"/>
        <v>99</v>
      </c>
      <c r="I10559" t="str">
        <f t="shared" si="2371"/>
        <v>0</v>
      </c>
      <c r="J10559" t="str">
        <f t="shared" si="2370"/>
        <v>00</v>
      </c>
      <c r="K10559">
        <v>20190614</v>
      </c>
      <c r="L10559" t="str">
        <f t="shared" si="2377"/>
        <v>077202</v>
      </c>
      <c r="M10559" t="str">
        <f t="shared" si="2378"/>
        <v>70242</v>
      </c>
      <c r="N10559" t="s">
        <v>5435</v>
      </c>
      <c r="O10559">
        <v>66.5</v>
      </c>
      <c r="P10559">
        <v>20190612</v>
      </c>
      <c r="Q10559" t="s">
        <v>8382</v>
      </c>
      <c r="R10559" t="s">
        <v>8383</v>
      </c>
      <c r="S10559" t="s">
        <v>8163</v>
      </c>
      <c r="T10559" t="s">
        <v>301</v>
      </c>
    </row>
    <row r="10560" spans="1:20" x14ac:dyDescent="0.25">
      <c r="A10560">
        <v>9</v>
      </c>
      <c r="B10560">
        <v>865</v>
      </c>
      <c r="C10560" t="str">
        <f t="shared" si="2372"/>
        <v>36</v>
      </c>
      <c r="D10560">
        <v>6499</v>
      </c>
      <c r="E10560" t="str">
        <f>"H5"</f>
        <v>H5</v>
      </c>
      <c r="F10560" t="str">
        <f t="shared" si="2376"/>
        <v>001</v>
      </c>
      <c r="G10560">
        <v>9</v>
      </c>
      <c r="H10560" t="str">
        <f t="shared" si="2375"/>
        <v>99</v>
      </c>
      <c r="I10560" t="str">
        <f t="shared" si="2371"/>
        <v>0</v>
      </c>
      <c r="J10560" t="str">
        <f t="shared" si="2370"/>
        <v>00</v>
      </c>
      <c r="K10560">
        <v>20190614</v>
      </c>
      <c r="L10560" t="str">
        <f t="shared" si="2377"/>
        <v>077202</v>
      </c>
      <c r="M10560" t="str">
        <f t="shared" si="2378"/>
        <v>70242</v>
      </c>
      <c r="N10560" t="s">
        <v>5435</v>
      </c>
      <c r="O10560">
        <v>102.5</v>
      </c>
      <c r="P10560">
        <v>20190613</v>
      </c>
      <c r="Q10560" t="s">
        <v>8384</v>
      </c>
      <c r="R10560" t="s">
        <v>8385</v>
      </c>
      <c r="S10560" t="s">
        <v>8163</v>
      </c>
      <c r="T10560" t="s">
        <v>301</v>
      </c>
    </row>
    <row r="10561" spans="1:20" x14ac:dyDescent="0.25">
      <c r="A10561">
        <v>9</v>
      </c>
      <c r="B10561">
        <v>865</v>
      </c>
      <c r="C10561" t="str">
        <f t="shared" si="2372"/>
        <v>36</v>
      </c>
      <c r="D10561">
        <v>6499</v>
      </c>
      <c r="E10561" t="str">
        <f>"RC"</f>
        <v>RC</v>
      </c>
      <c r="F10561" t="str">
        <f t="shared" si="2376"/>
        <v>001</v>
      </c>
      <c r="G10561">
        <v>9</v>
      </c>
      <c r="H10561" t="str">
        <f t="shared" si="2375"/>
        <v>99</v>
      </c>
      <c r="I10561" t="str">
        <f t="shared" si="2371"/>
        <v>0</v>
      </c>
      <c r="J10561" t="str">
        <f t="shared" si="2370"/>
        <v>00</v>
      </c>
      <c r="K10561">
        <v>20190614</v>
      </c>
      <c r="L10561" t="str">
        <f t="shared" si="2377"/>
        <v>077202</v>
      </c>
      <c r="M10561" t="str">
        <f t="shared" si="2378"/>
        <v>70242</v>
      </c>
      <c r="N10561" t="s">
        <v>5435</v>
      </c>
      <c r="O10561">
        <v>153.75</v>
      </c>
      <c r="P10561">
        <v>20190613</v>
      </c>
      <c r="Q10561" t="s">
        <v>8275</v>
      </c>
      <c r="R10561" t="s">
        <v>8386</v>
      </c>
      <c r="S10561" t="s">
        <v>8163</v>
      </c>
      <c r="T10561" t="s">
        <v>301</v>
      </c>
    </row>
    <row r="10562" spans="1:20" x14ac:dyDescent="0.25">
      <c r="A10562">
        <v>9</v>
      </c>
      <c r="B10562">
        <v>865</v>
      </c>
      <c r="C10562" t="str">
        <f t="shared" si="2372"/>
        <v>36</v>
      </c>
      <c r="D10562">
        <v>6499</v>
      </c>
      <c r="E10562" t="str">
        <f>"TS"</f>
        <v>TS</v>
      </c>
      <c r="F10562" t="str">
        <f t="shared" si="2376"/>
        <v>001</v>
      </c>
      <c r="G10562">
        <v>9</v>
      </c>
      <c r="H10562" t="str">
        <f t="shared" si="2375"/>
        <v>99</v>
      </c>
      <c r="I10562" t="str">
        <f t="shared" si="2371"/>
        <v>0</v>
      </c>
      <c r="J10562" t="str">
        <f t="shared" si="2370"/>
        <v>00</v>
      </c>
      <c r="K10562">
        <v>20190614</v>
      </c>
      <c r="L10562" t="str">
        <f t="shared" si="2377"/>
        <v>077202</v>
      </c>
      <c r="M10562" t="str">
        <f t="shared" si="2378"/>
        <v>70242</v>
      </c>
      <c r="N10562" t="s">
        <v>5435</v>
      </c>
      <c r="O10562">
        <v>164</v>
      </c>
      <c r="P10562">
        <v>20190613</v>
      </c>
      <c r="Q10562" t="s">
        <v>8303</v>
      </c>
      <c r="R10562" t="s">
        <v>8387</v>
      </c>
      <c r="S10562" t="s">
        <v>8163</v>
      </c>
      <c r="T10562" t="s">
        <v>301</v>
      </c>
    </row>
    <row r="10563" spans="1:20" x14ac:dyDescent="0.25">
      <c r="A10563">
        <v>9</v>
      </c>
      <c r="B10563">
        <v>865</v>
      </c>
      <c r="C10563" t="str">
        <f t="shared" si="2372"/>
        <v>36</v>
      </c>
      <c r="D10563">
        <v>6499</v>
      </c>
      <c r="E10563" t="str">
        <f>"VB"</f>
        <v>VB</v>
      </c>
      <c r="F10563" t="str">
        <f t="shared" si="2376"/>
        <v>001</v>
      </c>
      <c r="G10563">
        <v>9</v>
      </c>
      <c r="H10563" t="str">
        <f t="shared" si="2375"/>
        <v>99</v>
      </c>
      <c r="I10563" t="str">
        <f t="shared" si="2371"/>
        <v>0</v>
      </c>
      <c r="J10563" t="str">
        <f t="shared" si="2370"/>
        <v>00</v>
      </c>
      <c r="K10563">
        <v>20190614</v>
      </c>
      <c r="L10563" t="str">
        <f t="shared" si="2377"/>
        <v>077202</v>
      </c>
      <c r="M10563" t="str">
        <f t="shared" si="2378"/>
        <v>70242</v>
      </c>
      <c r="N10563" t="s">
        <v>5435</v>
      </c>
      <c r="O10563">
        <v>114</v>
      </c>
      <c r="P10563">
        <v>20190613</v>
      </c>
      <c r="Q10563" t="s">
        <v>8326</v>
      </c>
      <c r="R10563" t="s">
        <v>8388</v>
      </c>
      <c r="S10563" t="s">
        <v>8163</v>
      </c>
      <c r="T10563" t="s">
        <v>301</v>
      </c>
    </row>
    <row r="10564" spans="1:20" x14ac:dyDescent="0.25">
      <c r="A10564">
        <v>9</v>
      </c>
      <c r="B10564">
        <v>865</v>
      </c>
      <c r="C10564" t="str">
        <f t="shared" si="2372"/>
        <v>36</v>
      </c>
      <c r="D10564">
        <v>6399</v>
      </c>
      <c r="E10564" t="str">
        <f>"7B"</f>
        <v>7B</v>
      </c>
      <c r="F10564" t="str">
        <f>"041"</f>
        <v>041</v>
      </c>
      <c r="G10564">
        <v>9</v>
      </c>
      <c r="H10564" t="str">
        <f t="shared" si="2375"/>
        <v>99</v>
      </c>
      <c r="I10564" t="str">
        <f t="shared" si="2371"/>
        <v>0</v>
      </c>
      <c r="J10564" t="str">
        <f t="shared" si="2370"/>
        <v>00</v>
      </c>
      <c r="K10564">
        <v>20190614</v>
      </c>
      <c r="L10564" t="str">
        <f>"077214"</f>
        <v>077214</v>
      </c>
      <c r="M10564" t="str">
        <f>"00537"</f>
        <v>00537</v>
      </c>
      <c r="N10564" t="s">
        <v>5465</v>
      </c>
      <c r="O10564">
        <v>414.1</v>
      </c>
      <c r="P10564">
        <v>20190613</v>
      </c>
      <c r="Q10564" t="s">
        <v>8173</v>
      </c>
      <c r="R10564" t="s">
        <v>5466</v>
      </c>
      <c r="S10564" t="s">
        <v>8163</v>
      </c>
      <c r="T10564" t="s">
        <v>106</v>
      </c>
    </row>
    <row r="10565" spans="1:20" x14ac:dyDescent="0.25">
      <c r="A10565">
        <v>9</v>
      </c>
      <c r="B10565">
        <v>865</v>
      </c>
      <c r="C10565" t="str">
        <f t="shared" si="2372"/>
        <v>36</v>
      </c>
      <c r="D10565">
        <v>6649</v>
      </c>
      <c r="E10565" t="str">
        <f>"MB"</f>
        <v>MB</v>
      </c>
      <c r="F10565" t="str">
        <f>"041"</f>
        <v>041</v>
      </c>
      <c r="G10565">
        <v>9</v>
      </c>
      <c r="H10565" t="str">
        <f t="shared" si="2375"/>
        <v>99</v>
      </c>
      <c r="I10565" t="str">
        <f t="shared" si="2371"/>
        <v>0</v>
      </c>
      <c r="J10565" t="str">
        <f t="shared" si="2370"/>
        <v>00</v>
      </c>
      <c r="K10565">
        <v>20190614</v>
      </c>
      <c r="L10565" t="str">
        <f>"077214"</f>
        <v>077214</v>
      </c>
      <c r="M10565" t="str">
        <f>"00537"</f>
        <v>00537</v>
      </c>
      <c r="N10565" t="s">
        <v>5465</v>
      </c>
      <c r="O10565" s="1">
        <v>11605.3</v>
      </c>
      <c r="P10565">
        <v>20190613</v>
      </c>
      <c r="Q10565" t="s">
        <v>8389</v>
      </c>
      <c r="R10565" t="s">
        <v>5467</v>
      </c>
      <c r="S10565" t="s">
        <v>8163</v>
      </c>
      <c r="T10565" t="s">
        <v>106</v>
      </c>
    </row>
    <row r="10566" spans="1:20" x14ac:dyDescent="0.25">
      <c r="A10566">
        <v>9</v>
      </c>
      <c r="B10566">
        <v>865</v>
      </c>
      <c r="C10566" t="str">
        <f t="shared" si="2372"/>
        <v>36</v>
      </c>
      <c r="D10566">
        <v>6399</v>
      </c>
      <c r="E10566" t="str">
        <f>"7B"</f>
        <v>7B</v>
      </c>
      <c r="F10566" t="str">
        <f>"041"</f>
        <v>041</v>
      </c>
      <c r="G10566">
        <v>9</v>
      </c>
      <c r="H10566" t="str">
        <f t="shared" si="2375"/>
        <v>99</v>
      </c>
      <c r="I10566" t="str">
        <f t="shared" si="2371"/>
        <v>0</v>
      </c>
      <c r="J10566" t="str">
        <f t="shared" ref="J10566:J10591" si="2379">"00"</f>
        <v>00</v>
      </c>
      <c r="K10566">
        <v>20190621</v>
      </c>
      <c r="L10566" t="str">
        <f>"077242"</f>
        <v>077242</v>
      </c>
      <c r="M10566" t="str">
        <f>"39572"</f>
        <v>39572</v>
      </c>
      <c r="N10566" t="s">
        <v>2233</v>
      </c>
      <c r="O10566">
        <v>144.94999999999999</v>
      </c>
      <c r="P10566">
        <v>20190619</v>
      </c>
      <c r="Q10566" t="s">
        <v>8173</v>
      </c>
      <c r="R10566" t="s">
        <v>8390</v>
      </c>
      <c r="S10566" t="s">
        <v>8163</v>
      </c>
      <c r="T10566" t="s">
        <v>106</v>
      </c>
    </row>
    <row r="10567" spans="1:20" x14ac:dyDescent="0.25">
      <c r="A10567">
        <v>9</v>
      </c>
      <c r="B10567">
        <v>865</v>
      </c>
      <c r="C10567" t="str">
        <f t="shared" si="2372"/>
        <v>36</v>
      </c>
      <c r="D10567">
        <v>6399</v>
      </c>
      <c r="E10567" t="str">
        <f>"MB"</f>
        <v>MB</v>
      </c>
      <c r="F10567" t="str">
        <f>"041"</f>
        <v>041</v>
      </c>
      <c r="G10567">
        <v>9</v>
      </c>
      <c r="H10567" t="str">
        <f t="shared" si="2375"/>
        <v>99</v>
      </c>
      <c r="I10567" t="str">
        <f t="shared" ref="I10567:I10591" si="2380">"0"</f>
        <v>0</v>
      </c>
      <c r="J10567" t="str">
        <f t="shared" si="2379"/>
        <v>00</v>
      </c>
      <c r="K10567">
        <v>20190621</v>
      </c>
      <c r="L10567" t="str">
        <f>"077242"</f>
        <v>077242</v>
      </c>
      <c r="M10567" t="str">
        <f>"39572"</f>
        <v>39572</v>
      </c>
      <c r="N10567" t="s">
        <v>2233</v>
      </c>
      <c r="O10567">
        <v>698.4</v>
      </c>
      <c r="P10567">
        <v>20190619</v>
      </c>
      <c r="Q10567" t="s">
        <v>8238</v>
      </c>
      <c r="R10567" t="s">
        <v>8391</v>
      </c>
      <c r="S10567" t="s">
        <v>8163</v>
      </c>
      <c r="T10567" t="s">
        <v>106</v>
      </c>
    </row>
    <row r="10568" spans="1:20" x14ac:dyDescent="0.25">
      <c r="A10568">
        <v>9</v>
      </c>
      <c r="B10568">
        <v>865</v>
      </c>
      <c r="C10568" t="str">
        <f t="shared" si="2372"/>
        <v>36</v>
      </c>
      <c r="D10568">
        <v>6399</v>
      </c>
      <c r="E10568" t="str">
        <f>"30"</f>
        <v>30</v>
      </c>
      <c r="F10568" t="str">
        <f>"104"</f>
        <v>104</v>
      </c>
      <c r="G10568">
        <v>9</v>
      </c>
      <c r="H10568" t="str">
        <f t="shared" si="2375"/>
        <v>99</v>
      </c>
      <c r="I10568" t="str">
        <f t="shared" si="2380"/>
        <v>0</v>
      </c>
      <c r="J10568" t="str">
        <f t="shared" si="2379"/>
        <v>00</v>
      </c>
      <c r="K10568">
        <v>20190621</v>
      </c>
      <c r="L10568" t="str">
        <f>"077263"</f>
        <v>077263</v>
      </c>
      <c r="M10568" t="str">
        <f>"58201"</f>
        <v>58201</v>
      </c>
      <c r="N10568" t="s">
        <v>2662</v>
      </c>
      <c r="O10568">
        <v>140</v>
      </c>
      <c r="P10568">
        <v>20190619</v>
      </c>
      <c r="Q10568" t="s">
        <v>8210</v>
      </c>
      <c r="R10568" t="s">
        <v>8392</v>
      </c>
      <c r="S10568" t="s">
        <v>8163</v>
      </c>
      <c r="T10568" t="s">
        <v>46</v>
      </c>
    </row>
    <row r="10569" spans="1:20" x14ac:dyDescent="0.25">
      <c r="A10569">
        <v>9</v>
      </c>
      <c r="B10569">
        <v>865</v>
      </c>
      <c r="C10569" t="str">
        <f t="shared" si="2372"/>
        <v>36</v>
      </c>
      <c r="D10569">
        <v>6399</v>
      </c>
      <c r="E10569" t="str">
        <f>"30"</f>
        <v>30</v>
      </c>
      <c r="F10569" t="str">
        <f>"101"</f>
        <v>101</v>
      </c>
      <c r="G10569">
        <v>9</v>
      </c>
      <c r="H10569" t="str">
        <f t="shared" ref="H10569:H10586" si="2381">"99"</f>
        <v>99</v>
      </c>
      <c r="I10569" t="str">
        <f t="shared" si="2380"/>
        <v>0</v>
      </c>
      <c r="J10569" t="str">
        <f t="shared" si="2379"/>
        <v>00</v>
      </c>
      <c r="K10569">
        <v>20190621</v>
      </c>
      <c r="L10569" t="str">
        <f>"077280"</f>
        <v>077280</v>
      </c>
      <c r="M10569" t="str">
        <f>"72730"</f>
        <v>72730</v>
      </c>
      <c r="N10569" t="s">
        <v>639</v>
      </c>
      <c r="O10569">
        <v>360.76</v>
      </c>
      <c r="P10569">
        <v>20190619</v>
      </c>
      <c r="Q10569" t="s">
        <v>8205</v>
      </c>
      <c r="R10569" t="s">
        <v>641</v>
      </c>
      <c r="S10569" t="s">
        <v>8163</v>
      </c>
      <c r="T10569" t="s">
        <v>1479</v>
      </c>
    </row>
    <row r="10570" spans="1:20" x14ac:dyDescent="0.25">
      <c r="A10570">
        <v>9</v>
      </c>
      <c r="B10570">
        <v>865</v>
      </c>
      <c r="C10570" t="str">
        <f t="shared" si="2372"/>
        <v>36</v>
      </c>
      <c r="D10570">
        <v>6499</v>
      </c>
      <c r="E10570" t="str">
        <f>"8T"</f>
        <v>8T</v>
      </c>
      <c r="F10570" t="str">
        <f>"001"</f>
        <v>001</v>
      </c>
      <c r="G10570">
        <v>9</v>
      </c>
      <c r="H10570" t="str">
        <f t="shared" si="2381"/>
        <v>99</v>
      </c>
      <c r="I10570" t="str">
        <f t="shared" si="2380"/>
        <v>0</v>
      </c>
      <c r="J10570" t="str">
        <f t="shared" si="2379"/>
        <v>00</v>
      </c>
      <c r="K10570">
        <v>20190712</v>
      </c>
      <c r="L10570" t="str">
        <f>"077348"</f>
        <v>077348</v>
      </c>
      <c r="M10570" t="str">
        <f>"14821"</f>
        <v>14821</v>
      </c>
      <c r="N10570" t="s">
        <v>1224</v>
      </c>
      <c r="O10570">
        <v>267.95999999999998</v>
      </c>
      <c r="P10570">
        <v>20190710</v>
      </c>
      <c r="Q10570" t="s">
        <v>8164</v>
      </c>
      <c r="R10570" t="s">
        <v>5615</v>
      </c>
      <c r="S10570" t="s">
        <v>8163</v>
      </c>
      <c r="T10570" t="s">
        <v>301</v>
      </c>
    </row>
    <row r="10571" spans="1:20" x14ac:dyDescent="0.25">
      <c r="A10571">
        <v>9</v>
      </c>
      <c r="B10571">
        <v>865</v>
      </c>
      <c r="C10571" t="str">
        <f t="shared" si="2372"/>
        <v>36</v>
      </c>
      <c r="D10571">
        <v>6412</v>
      </c>
      <c r="E10571" t="str">
        <f>"MB"</f>
        <v>MB</v>
      </c>
      <c r="F10571" t="str">
        <f>"041"</f>
        <v>041</v>
      </c>
      <c r="G10571">
        <v>9</v>
      </c>
      <c r="H10571" t="str">
        <f t="shared" si="2381"/>
        <v>99</v>
      </c>
      <c r="I10571" t="str">
        <f t="shared" si="2380"/>
        <v>0</v>
      </c>
      <c r="J10571" t="str">
        <f t="shared" si="2379"/>
        <v>00</v>
      </c>
      <c r="K10571">
        <v>20190712</v>
      </c>
      <c r="L10571" t="str">
        <f>"077360"</f>
        <v>077360</v>
      </c>
      <c r="M10571" t="str">
        <f>"28680"</f>
        <v>28680</v>
      </c>
      <c r="N10571" t="s">
        <v>482</v>
      </c>
      <c r="O10571">
        <v>294.86</v>
      </c>
      <c r="P10571">
        <v>20190710</v>
      </c>
      <c r="Q10571" t="s">
        <v>8366</v>
      </c>
      <c r="R10571" t="s">
        <v>5765</v>
      </c>
      <c r="S10571" t="s">
        <v>8163</v>
      </c>
      <c r="T10571" t="s">
        <v>106</v>
      </c>
    </row>
    <row r="10572" spans="1:20" x14ac:dyDescent="0.25">
      <c r="A10572">
        <v>9</v>
      </c>
      <c r="B10572">
        <v>865</v>
      </c>
      <c r="C10572" t="str">
        <f t="shared" si="2372"/>
        <v>36</v>
      </c>
      <c r="D10572">
        <v>6499</v>
      </c>
      <c r="E10572" t="str">
        <f>"TS"</f>
        <v>TS</v>
      </c>
      <c r="F10572" t="str">
        <f>"001"</f>
        <v>001</v>
      </c>
      <c r="G10572">
        <v>9</v>
      </c>
      <c r="H10572" t="str">
        <f t="shared" si="2381"/>
        <v>99</v>
      </c>
      <c r="I10572" t="str">
        <f t="shared" si="2380"/>
        <v>0</v>
      </c>
      <c r="J10572" t="str">
        <f t="shared" si="2379"/>
        <v>00</v>
      </c>
      <c r="K10572">
        <v>20190712</v>
      </c>
      <c r="L10572" t="str">
        <f>"077375"</f>
        <v>077375</v>
      </c>
      <c r="M10572" t="str">
        <f>"37500"</f>
        <v>37500</v>
      </c>
      <c r="N10572" t="s">
        <v>2077</v>
      </c>
      <c r="O10572">
        <v>166.2</v>
      </c>
      <c r="P10572">
        <v>20190710</v>
      </c>
      <c r="Q10572" t="s">
        <v>8303</v>
      </c>
      <c r="R10572" t="s">
        <v>8393</v>
      </c>
      <c r="S10572" t="s">
        <v>8163</v>
      </c>
      <c r="T10572" t="s">
        <v>301</v>
      </c>
    </row>
    <row r="10573" spans="1:20" x14ac:dyDescent="0.25">
      <c r="A10573">
        <v>9</v>
      </c>
      <c r="B10573">
        <v>865</v>
      </c>
      <c r="C10573" t="str">
        <f t="shared" si="2372"/>
        <v>36</v>
      </c>
      <c r="D10573">
        <v>6499</v>
      </c>
      <c r="E10573" t="str">
        <f>"TS"</f>
        <v>TS</v>
      </c>
      <c r="F10573" t="str">
        <f>"001"</f>
        <v>001</v>
      </c>
      <c r="G10573">
        <v>9</v>
      </c>
      <c r="H10573" t="str">
        <f t="shared" si="2381"/>
        <v>99</v>
      </c>
      <c r="I10573" t="str">
        <f t="shared" si="2380"/>
        <v>0</v>
      </c>
      <c r="J10573" t="str">
        <f t="shared" si="2379"/>
        <v>00</v>
      </c>
      <c r="K10573">
        <v>20190712</v>
      </c>
      <c r="L10573" t="str">
        <f>"077375"</f>
        <v>077375</v>
      </c>
      <c r="M10573" t="str">
        <f>"37500"</f>
        <v>37500</v>
      </c>
      <c r="N10573" t="s">
        <v>2077</v>
      </c>
      <c r="O10573">
        <v>50.35</v>
      </c>
      <c r="P10573">
        <v>20190710</v>
      </c>
      <c r="Q10573" t="s">
        <v>8303</v>
      </c>
      <c r="R10573" t="s">
        <v>8393</v>
      </c>
      <c r="S10573" t="s">
        <v>8163</v>
      </c>
      <c r="T10573" t="s">
        <v>301</v>
      </c>
    </row>
    <row r="10574" spans="1:20" x14ac:dyDescent="0.25">
      <c r="A10574">
        <v>9</v>
      </c>
      <c r="B10574">
        <v>865</v>
      </c>
      <c r="C10574" t="str">
        <f t="shared" si="2372"/>
        <v>36</v>
      </c>
      <c r="D10574">
        <v>6399</v>
      </c>
      <c r="E10574" t="str">
        <f>"TS"</f>
        <v>TS</v>
      </c>
      <c r="F10574" t="str">
        <f>"001"</f>
        <v>001</v>
      </c>
      <c r="G10574">
        <v>9</v>
      </c>
      <c r="H10574" t="str">
        <f t="shared" si="2381"/>
        <v>99</v>
      </c>
      <c r="I10574" t="str">
        <f t="shared" si="2380"/>
        <v>0</v>
      </c>
      <c r="J10574" t="str">
        <f t="shared" si="2379"/>
        <v>00</v>
      </c>
      <c r="K10574">
        <v>20190712</v>
      </c>
      <c r="L10574" t="str">
        <f>"077381"</f>
        <v>077381</v>
      </c>
      <c r="M10574" t="str">
        <f>"41230"</f>
        <v>41230</v>
      </c>
      <c r="N10574" t="s">
        <v>1350</v>
      </c>
      <c r="O10574">
        <v>165.97</v>
      </c>
      <c r="P10574">
        <v>20190710</v>
      </c>
      <c r="Q10574" t="s">
        <v>8167</v>
      </c>
      <c r="R10574" t="s">
        <v>8393</v>
      </c>
      <c r="S10574" t="s">
        <v>8163</v>
      </c>
      <c r="T10574" t="s">
        <v>301</v>
      </c>
    </row>
    <row r="10575" spans="1:20" x14ac:dyDescent="0.25">
      <c r="A10575">
        <v>9</v>
      </c>
      <c r="B10575">
        <v>865</v>
      </c>
      <c r="C10575" t="str">
        <f t="shared" si="2372"/>
        <v>36</v>
      </c>
      <c r="D10575">
        <v>6399</v>
      </c>
      <c r="E10575" t="str">
        <f>"V8"</f>
        <v>V8</v>
      </c>
      <c r="F10575" t="str">
        <f>"001"</f>
        <v>001</v>
      </c>
      <c r="G10575">
        <v>9</v>
      </c>
      <c r="H10575" t="str">
        <f t="shared" si="2381"/>
        <v>99</v>
      </c>
      <c r="I10575" t="str">
        <f t="shared" si="2380"/>
        <v>0</v>
      </c>
      <c r="J10575" t="str">
        <f t="shared" si="2379"/>
        <v>00</v>
      </c>
      <c r="K10575">
        <v>20190712</v>
      </c>
      <c r="L10575" t="str">
        <f>"077399"</f>
        <v>077399</v>
      </c>
      <c r="M10575" t="str">
        <f>"54223"</f>
        <v>54223</v>
      </c>
      <c r="N10575" t="s">
        <v>8338</v>
      </c>
      <c r="O10575">
        <v>363</v>
      </c>
      <c r="P10575">
        <v>20190710</v>
      </c>
      <c r="Q10575" t="s">
        <v>8227</v>
      </c>
      <c r="R10575" t="s">
        <v>8394</v>
      </c>
      <c r="S10575" t="s">
        <v>8163</v>
      </c>
      <c r="T10575" t="s">
        <v>301</v>
      </c>
    </row>
    <row r="10576" spans="1:20" x14ac:dyDescent="0.25">
      <c r="A10576">
        <v>9</v>
      </c>
      <c r="B10576">
        <v>865</v>
      </c>
      <c r="C10576" t="str">
        <f t="shared" si="2372"/>
        <v>36</v>
      </c>
      <c r="D10576">
        <v>6399</v>
      </c>
      <c r="E10576" t="str">
        <f>"TS"</f>
        <v>TS</v>
      </c>
      <c r="F10576" t="str">
        <f>"001"</f>
        <v>001</v>
      </c>
      <c r="G10576">
        <v>9</v>
      </c>
      <c r="H10576" t="str">
        <f t="shared" si="2381"/>
        <v>99</v>
      </c>
      <c r="I10576" t="str">
        <f t="shared" si="2380"/>
        <v>0</v>
      </c>
      <c r="J10576" t="str">
        <f t="shared" si="2379"/>
        <v>00</v>
      </c>
      <c r="K10576">
        <v>20190712</v>
      </c>
      <c r="L10576" t="str">
        <f>"077425"</f>
        <v>077425</v>
      </c>
      <c r="M10576" t="str">
        <f>"81303"</f>
        <v>81303</v>
      </c>
      <c r="N10576" t="s">
        <v>66</v>
      </c>
      <c r="O10576">
        <v>320.8</v>
      </c>
      <c r="P10576">
        <v>20190711</v>
      </c>
      <c r="Q10576" t="s">
        <v>8167</v>
      </c>
      <c r="R10576" t="s">
        <v>8395</v>
      </c>
      <c r="S10576" t="s">
        <v>8163</v>
      </c>
      <c r="T10576" t="s">
        <v>301</v>
      </c>
    </row>
    <row r="10577" spans="1:20" x14ac:dyDescent="0.25">
      <c r="A10577">
        <v>9</v>
      </c>
      <c r="B10577">
        <v>865</v>
      </c>
      <c r="C10577" t="str">
        <f t="shared" si="2372"/>
        <v>36</v>
      </c>
      <c r="D10577">
        <v>6399</v>
      </c>
      <c r="E10577" t="str">
        <f>"08"</f>
        <v>08</v>
      </c>
      <c r="F10577" t="str">
        <f>"041"</f>
        <v>041</v>
      </c>
      <c r="G10577">
        <v>9</v>
      </c>
      <c r="H10577" t="str">
        <f t="shared" si="2381"/>
        <v>99</v>
      </c>
      <c r="I10577" t="str">
        <f t="shared" si="2380"/>
        <v>0</v>
      </c>
      <c r="J10577" t="str">
        <f t="shared" si="2379"/>
        <v>00</v>
      </c>
      <c r="K10577">
        <v>20190712</v>
      </c>
      <c r="L10577" t="str">
        <f>"077428"</f>
        <v>077428</v>
      </c>
      <c r="M10577" t="str">
        <f>"83022"</f>
        <v>83022</v>
      </c>
      <c r="N10577" t="s">
        <v>691</v>
      </c>
      <c r="O10577">
        <v>26.26</v>
      </c>
      <c r="P10577">
        <v>20190711</v>
      </c>
      <c r="Q10577" t="s">
        <v>8335</v>
      </c>
      <c r="R10577" t="s">
        <v>6122</v>
      </c>
      <c r="S10577" t="s">
        <v>8163</v>
      </c>
      <c r="T10577" t="s">
        <v>106</v>
      </c>
    </row>
    <row r="10578" spans="1:20" x14ac:dyDescent="0.25">
      <c r="A10578">
        <v>9</v>
      </c>
      <c r="B10578">
        <v>865</v>
      </c>
      <c r="C10578" t="str">
        <f t="shared" si="2372"/>
        <v>36</v>
      </c>
      <c r="D10578">
        <v>6399</v>
      </c>
      <c r="E10578" t="str">
        <f>"30"</f>
        <v>30</v>
      </c>
      <c r="F10578" t="str">
        <f>"101"</f>
        <v>101</v>
      </c>
      <c r="G10578">
        <v>9</v>
      </c>
      <c r="H10578" t="str">
        <f t="shared" si="2381"/>
        <v>99</v>
      </c>
      <c r="I10578" t="str">
        <f t="shared" si="2380"/>
        <v>0</v>
      </c>
      <c r="J10578" t="str">
        <f t="shared" si="2379"/>
        <v>00</v>
      </c>
      <c r="K10578">
        <v>20190712</v>
      </c>
      <c r="L10578" t="str">
        <f>"077428"</f>
        <v>077428</v>
      </c>
      <c r="M10578" t="str">
        <f>"83022"</f>
        <v>83022</v>
      </c>
      <c r="N10578" t="s">
        <v>691</v>
      </c>
      <c r="O10578">
        <v>86.66</v>
      </c>
      <c r="P10578">
        <v>20190711</v>
      </c>
      <c r="Q10578" t="s">
        <v>8205</v>
      </c>
      <c r="R10578" t="s">
        <v>641</v>
      </c>
      <c r="S10578" t="s">
        <v>8163</v>
      </c>
      <c r="T10578" t="s">
        <v>1479</v>
      </c>
    </row>
    <row r="10579" spans="1:20" x14ac:dyDescent="0.25">
      <c r="A10579">
        <v>9</v>
      </c>
      <c r="B10579">
        <v>865</v>
      </c>
      <c r="C10579" t="str">
        <f t="shared" si="2372"/>
        <v>36</v>
      </c>
      <c r="D10579">
        <v>6399</v>
      </c>
      <c r="E10579" t="str">
        <f>"7B"</f>
        <v>7B</v>
      </c>
      <c r="F10579" t="str">
        <f>"041"</f>
        <v>041</v>
      </c>
      <c r="G10579">
        <v>9</v>
      </c>
      <c r="H10579" t="str">
        <f t="shared" si="2381"/>
        <v>99</v>
      </c>
      <c r="I10579" t="str">
        <f t="shared" si="2380"/>
        <v>0</v>
      </c>
      <c r="J10579" t="str">
        <f t="shared" si="2379"/>
        <v>00</v>
      </c>
      <c r="K10579">
        <v>20190712</v>
      </c>
      <c r="L10579" t="str">
        <f>"077428"</f>
        <v>077428</v>
      </c>
      <c r="M10579" t="str">
        <f>"83022"</f>
        <v>83022</v>
      </c>
      <c r="N10579" t="s">
        <v>691</v>
      </c>
      <c r="O10579">
        <v>69.98</v>
      </c>
      <c r="P10579">
        <v>20190711</v>
      </c>
      <c r="Q10579" t="s">
        <v>8173</v>
      </c>
      <c r="R10579" t="s">
        <v>2793</v>
      </c>
      <c r="S10579" t="s">
        <v>8163</v>
      </c>
      <c r="T10579" t="s">
        <v>106</v>
      </c>
    </row>
    <row r="10580" spans="1:20" x14ac:dyDescent="0.25">
      <c r="A10580">
        <v>9</v>
      </c>
      <c r="B10580">
        <v>865</v>
      </c>
      <c r="C10580" t="str">
        <f t="shared" si="2372"/>
        <v>36</v>
      </c>
      <c r="D10580">
        <v>6399</v>
      </c>
      <c r="E10580" t="str">
        <f>"7B"</f>
        <v>7B</v>
      </c>
      <c r="F10580" t="str">
        <f>"041"</f>
        <v>041</v>
      </c>
      <c r="G10580">
        <v>9</v>
      </c>
      <c r="H10580" t="str">
        <f t="shared" si="2381"/>
        <v>99</v>
      </c>
      <c r="I10580" t="str">
        <f t="shared" si="2380"/>
        <v>0</v>
      </c>
      <c r="J10580" t="str">
        <f t="shared" si="2379"/>
        <v>00</v>
      </c>
      <c r="K10580">
        <v>20190712</v>
      </c>
      <c r="L10580" t="str">
        <f>"077428"</f>
        <v>077428</v>
      </c>
      <c r="M10580" t="str">
        <f>"83022"</f>
        <v>83022</v>
      </c>
      <c r="N10580" t="s">
        <v>691</v>
      </c>
      <c r="O10580">
        <v>29.96</v>
      </c>
      <c r="P10580">
        <v>20190711</v>
      </c>
      <c r="Q10580" t="s">
        <v>8173</v>
      </c>
      <c r="R10580" t="s">
        <v>2793</v>
      </c>
      <c r="S10580" t="s">
        <v>8163</v>
      </c>
      <c r="T10580" t="s">
        <v>106</v>
      </c>
    </row>
    <row r="10581" spans="1:20" x14ac:dyDescent="0.25">
      <c r="A10581">
        <v>9</v>
      </c>
      <c r="B10581">
        <v>865</v>
      </c>
      <c r="C10581" t="str">
        <f t="shared" si="2372"/>
        <v>36</v>
      </c>
      <c r="D10581">
        <v>6399</v>
      </c>
      <c r="E10581" t="str">
        <f>"30"</f>
        <v>30</v>
      </c>
      <c r="F10581" t="str">
        <f>"101"</f>
        <v>101</v>
      </c>
      <c r="G10581">
        <v>9</v>
      </c>
      <c r="H10581" t="str">
        <f t="shared" si="2381"/>
        <v>99</v>
      </c>
      <c r="I10581" t="str">
        <f t="shared" si="2380"/>
        <v>0</v>
      </c>
      <c r="J10581" t="str">
        <f t="shared" si="2379"/>
        <v>00</v>
      </c>
      <c r="K10581">
        <v>20190719</v>
      </c>
      <c r="L10581" t="str">
        <f>"077439"</f>
        <v>077439</v>
      </c>
      <c r="M10581" t="str">
        <f>"00419"</f>
        <v>00419</v>
      </c>
      <c r="N10581" t="s">
        <v>7812</v>
      </c>
      <c r="O10581">
        <v>671.3</v>
      </c>
      <c r="P10581">
        <v>20190717</v>
      </c>
      <c r="Q10581" t="s">
        <v>8205</v>
      </c>
      <c r="R10581" t="s">
        <v>7565</v>
      </c>
      <c r="S10581" t="s">
        <v>8163</v>
      </c>
      <c r="T10581" t="s">
        <v>1479</v>
      </c>
    </row>
    <row r="10582" spans="1:20" x14ac:dyDescent="0.25">
      <c r="A10582">
        <v>9</v>
      </c>
      <c r="B10582">
        <v>865</v>
      </c>
      <c r="C10582" t="str">
        <f t="shared" si="2372"/>
        <v>36</v>
      </c>
      <c r="D10582">
        <v>6499</v>
      </c>
      <c r="E10582" t="str">
        <f>"V8"</f>
        <v>V8</v>
      </c>
      <c r="F10582" t="str">
        <f t="shared" ref="F10582:F10590" si="2382">"001"</f>
        <v>001</v>
      </c>
      <c r="G10582">
        <v>9</v>
      </c>
      <c r="H10582" t="str">
        <f t="shared" si="2381"/>
        <v>99</v>
      </c>
      <c r="I10582" t="str">
        <f t="shared" si="2380"/>
        <v>0</v>
      </c>
      <c r="J10582" t="str">
        <f t="shared" si="2379"/>
        <v>00</v>
      </c>
      <c r="K10582">
        <v>20190719</v>
      </c>
      <c r="L10582" t="str">
        <f>"077441"</f>
        <v>077441</v>
      </c>
      <c r="M10582" t="str">
        <f>"18251"</f>
        <v>18251</v>
      </c>
      <c r="N10582" t="s">
        <v>302</v>
      </c>
      <c r="O10582">
        <v>95</v>
      </c>
      <c r="P10582">
        <v>20190717</v>
      </c>
      <c r="Q10582" t="s">
        <v>8339</v>
      </c>
      <c r="R10582" t="s">
        <v>8396</v>
      </c>
      <c r="S10582" t="s">
        <v>8163</v>
      </c>
      <c r="T10582" t="s">
        <v>301</v>
      </c>
    </row>
    <row r="10583" spans="1:20" x14ac:dyDescent="0.25">
      <c r="A10583">
        <v>9</v>
      </c>
      <c r="B10583">
        <v>865</v>
      </c>
      <c r="C10583" t="str">
        <f t="shared" si="2372"/>
        <v>36</v>
      </c>
      <c r="D10583">
        <v>6499</v>
      </c>
      <c r="E10583" t="str">
        <f>"TS"</f>
        <v>TS</v>
      </c>
      <c r="F10583" t="str">
        <f t="shared" si="2382"/>
        <v>001</v>
      </c>
      <c r="G10583">
        <v>9</v>
      </c>
      <c r="H10583" t="str">
        <f t="shared" si="2381"/>
        <v>99</v>
      </c>
      <c r="I10583" t="str">
        <f t="shared" si="2380"/>
        <v>0</v>
      </c>
      <c r="J10583" t="str">
        <f t="shared" si="2379"/>
        <v>00</v>
      </c>
      <c r="K10583">
        <v>20190719</v>
      </c>
      <c r="L10583" t="str">
        <f>"077457"</f>
        <v>077457</v>
      </c>
      <c r="M10583" t="str">
        <f>"45093"</f>
        <v>45093</v>
      </c>
      <c r="N10583" t="s">
        <v>885</v>
      </c>
      <c r="O10583">
        <v>41.56</v>
      </c>
      <c r="P10583">
        <v>20190718</v>
      </c>
      <c r="Q10583" t="s">
        <v>8303</v>
      </c>
      <c r="R10583" t="s">
        <v>8397</v>
      </c>
      <c r="S10583" t="s">
        <v>8163</v>
      </c>
      <c r="T10583" t="s">
        <v>301</v>
      </c>
    </row>
    <row r="10584" spans="1:20" x14ac:dyDescent="0.25">
      <c r="A10584">
        <v>9</v>
      </c>
      <c r="B10584">
        <v>865</v>
      </c>
      <c r="C10584" t="str">
        <f t="shared" si="2372"/>
        <v>36</v>
      </c>
      <c r="D10584">
        <v>6499</v>
      </c>
      <c r="E10584" t="str">
        <f>"TS"</f>
        <v>TS</v>
      </c>
      <c r="F10584" t="str">
        <f t="shared" si="2382"/>
        <v>001</v>
      </c>
      <c r="G10584">
        <v>9</v>
      </c>
      <c r="H10584" t="str">
        <f t="shared" si="2381"/>
        <v>99</v>
      </c>
      <c r="I10584" t="str">
        <f t="shared" si="2380"/>
        <v>0</v>
      </c>
      <c r="J10584" t="str">
        <f t="shared" si="2379"/>
        <v>00</v>
      </c>
      <c r="K10584">
        <v>20190719</v>
      </c>
      <c r="L10584" t="str">
        <f>"077457"</f>
        <v>077457</v>
      </c>
      <c r="M10584" t="str">
        <f>"45093"</f>
        <v>45093</v>
      </c>
      <c r="N10584" t="s">
        <v>885</v>
      </c>
      <c r="O10584">
        <v>41.56</v>
      </c>
      <c r="P10584">
        <v>20190718</v>
      </c>
      <c r="Q10584" t="s">
        <v>8303</v>
      </c>
      <c r="R10584" t="s">
        <v>8398</v>
      </c>
      <c r="S10584" t="s">
        <v>8163</v>
      </c>
      <c r="T10584" t="s">
        <v>301</v>
      </c>
    </row>
    <row r="10585" spans="1:20" x14ac:dyDescent="0.25">
      <c r="A10585">
        <v>9</v>
      </c>
      <c r="B10585">
        <v>865</v>
      </c>
      <c r="C10585" t="str">
        <f t="shared" si="2372"/>
        <v>36</v>
      </c>
      <c r="D10585">
        <v>6499</v>
      </c>
      <c r="E10585" t="str">
        <f>"TS"</f>
        <v>TS</v>
      </c>
      <c r="F10585" t="str">
        <f t="shared" si="2382"/>
        <v>001</v>
      </c>
      <c r="G10585">
        <v>9</v>
      </c>
      <c r="H10585" t="str">
        <f t="shared" si="2381"/>
        <v>99</v>
      </c>
      <c r="I10585" t="str">
        <f t="shared" si="2380"/>
        <v>0</v>
      </c>
      <c r="J10585" t="str">
        <f t="shared" si="2379"/>
        <v>00</v>
      </c>
      <c r="K10585">
        <v>20190719</v>
      </c>
      <c r="L10585" t="str">
        <f>"077457"</f>
        <v>077457</v>
      </c>
      <c r="M10585" t="str">
        <f>"45093"</f>
        <v>45093</v>
      </c>
      <c r="N10585" t="s">
        <v>885</v>
      </c>
      <c r="O10585">
        <v>41.56</v>
      </c>
      <c r="P10585">
        <v>20190718</v>
      </c>
      <c r="Q10585" t="s">
        <v>8303</v>
      </c>
      <c r="R10585" t="s">
        <v>8399</v>
      </c>
      <c r="S10585" t="s">
        <v>8163</v>
      </c>
      <c r="T10585" t="s">
        <v>301</v>
      </c>
    </row>
    <row r="10586" spans="1:20" x14ac:dyDescent="0.25">
      <c r="A10586">
        <v>9</v>
      </c>
      <c r="B10586">
        <v>865</v>
      </c>
      <c r="C10586" t="str">
        <f t="shared" ref="C10586:C10591" si="2383">"36"</f>
        <v>36</v>
      </c>
      <c r="D10586">
        <v>6399</v>
      </c>
      <c r="E10586" t="str">
        <f>"TS"</f>
        <v>TS</v>
      </c>
      <c r="F10586" t="str">
        <f t="shared" si="2382"/>
        <v>001</v>
      </c>
      <c r="G10586">
        <v>9</v>
      </c>
      <c r="H10586" t="str">
        <f t="shared" si="2381"/>
        <v>99</v>
      </c>
      <c r="I10586" t="str">
        <f t="shared" si="2380"/>
        <v>0</v>
      </c>
      <c r="J10586" t="str">
        <f t="shared" si="2379"/>
        <v>00</v>
      </c>
      <c r="K10586">
        <v>20190726</v>
      </c>
      <c r="L10586" t="str">
        <f>"077498"</f>
        <v>077498</v>
      </c>
      <c r="M10586" t="str">
        <f>"13359"</f>
        <v>13359</v>
      </c>
      <c r="N10586" t="s">
        <v>4516</v>
      </c>
      <c r="O10586">
        <v>325</v>
      </c>
      <c r="P10586">
        <v>20190725</v>
      </c>
      <c r="Q10586" t="s">
        <v>8167</v>
      </c>
      <c r="R10586" t="s">
        <v>8393</v>
      </c>
      <c r="S10586" t="s">
        <v>8163</v>
      </c>
      <c r="T10586" t="s">
        <v>301</v>
      </c>
    </row>
    <row r="10587" spans="1:20" x14ac:dyDescent="0.25">
      <c r="A10587">
        <v>9</v>
      </c>
      <c r="B10587">
        <v>865</v>
      </c>
      <c r="C10587" t="str">
        <f t="shared" si="2383"/>
        <v>36</v>
      </c>
      <c r="D10587">
        <v>6399</v>
      </c>
      <c r="E10587" t="str">
        <f>"99"</f>
        <v>99</v>
      </c>
      <c r="F10587" t="str">
        <f t="shared" si="2382"/>
        <v>001</v>
      </c>
      <c r="G10587">
        <v>9</v>
      </c>
      <c r="H10587" t="str">
        <f>"91"</f>
        <v>91</v>
      </c>
      <c r="I10587" t="str">
        <f t="shared" si="2380"/>
        <v>0</v>
      </c>
      <c r="J10587" t="str">
        <f t="shared" si="2379"/>
        <v>00</v>
      </c>
      <c r="K10587">
        <v>20190809</v>
      </c>
      <c r="L10587" t="str">
        <f>"077581"</f>
        <v>077581</v>
      </c>
      <c r="M10587" t="str">
        <f>"08788"</f>
        <v>08788</v>
      </c>
      <c r="N10587" t="s">
        <v>473</v>
      </c>
      <c r="O10587">
        <v>465.55</v>
      </c>
      <c r="P10587">
        <v>20190807</v>
      </c>
      <c r="Q10587" t="s">
        <v>8360</v>
      </c>
      <c r="R10587" t="s">
        <v>1435</v>
      </c>
      <c r="S10587" t="s">
        <v>8163</v>
      </c>
      <c r="T10587" t="s">
        <v>301</v>
      </c>
    </row>
    <row r="10588" spans="1:20" x14ac:dyDescent="0.25">
      <c r="A10588">
        <v>9</v>
      </c>
      <c r="B10588">
        <v>865</v>
      </c>
      <c r="C10588" t="str">
        <f t="shared" si="2383"/>
        <v>36</v>
      </c>
      <c r="D10588">
        <v>6412</v>
      </c>
      <c r="E10588" t="str">
        <f>"TS"</f>
        <v>TS</v>
      </c>
      <c r="F10588" t="str">
        <f t="shared" si="2382"/>
        <v>001</v>
      </c>
      <c r="G10588">
        <v>9</v>
      </c>
      <c r="H10588" t="str">
        <f>"99"</f>
        <v>99</v>
      </c>
      <c r="I10588" t="str">
        <f t="shared" si="2380"/>
        <v>0</v>
      </c>
      <c r="J10588" t="str">
        <f t="shared" si="2379"/>
        <v>00</v>
      </c>
      <c r="K10588">
        <v>20190823</v>
      </c>
      <c r="L10588" t="str">
        <f>"077744"</f>
        <v>077744</v>
      </c>
      <c r="M10588" t="str">
        <f>"09170"</f>
        <v>09170</v>
      </c>
      <c r="N10588" t="s">
        <v>679</v>
      </c>
      <c r="O10588">
        <v>-68.67</v>
      </c>
      <c r="P10588">
        <v>20190813</v>
      </c>
      <c r="Q10588" t="s">
        <v>8300</v>
      </c>
      <c r="R10588" t="s">
        <v>8020</v>
      </c>
      <c r="S10588" t="s">
        <v>8163</v>
      </c>
      <c r="T10588" t="s">
        <v>301</v>
      </c>
    </row>
    <row r="10589" spans="1:20" x14ac:dyDescent="0.25">
      <c r="A10589">
        <v>9</v>
      </c>
      <c r="B10589">
        <v>865</v>
      </c>
      <c r="C10589" t="str">
        <f t="shared" si="2383"/>
        <v>36</v>
      </c>
      <c r="D10589">
        <v>6399</v>
      </c>
      <c r="E10589" t="str">
        <f>"99"</f>
        <v>99</v>
      </c>
      <c r="F10589" t="str">
        <f t="shared" si="2382"/>
        <v>001</v>
      </c>
      <c r="G10589">
        <v>9</v>
      </c>
      <c r="H10589" t="str">
        <f>"91"</f>
        <v>91</v>
      </c>
      <c r="I10589" t="str">
        <f t="shared" si="2380"/>
        <v>0</v>
      </c>
      <c r="J10589" t="str">
        <f t="shared" si="2379"/>
        <v>00</v>
      </c>
      <c r="K10589">
        <v>20190823</v>
      </c>
      <c r="L10589" t="str">
        <f>"077749"</f>
        <v>077749</v>
      </c>
      <c r="M10589" t="str">
        <f>"08788"</f>
        <v>08788</v>
      </c>
      <c r="N10589" t="s">
        <v>473</v>
      </c>
      <c r="O10589" s="1">
        <v>1313.65</v>
      </c>
      <c r="P10589">
        <v>20190821</v>
      </c>
      <c r="Q10589" t="s">
        <v>8360</v>
      </c>
      <c r="R10589" t="s">
        <v>8400</v>
      </c>
      <c r="S10589" t="s">
        <v>8163</v>
      </c>
      <c r="T10589" t="s">
        <v>301</v>
      </c>
    </row>
    <row r="10590" spans="1:20" x14ac:dyDescent="0.25">
      <c r="A10590">
        <v>9</v>
      </c>
      <c r="B10590">
        <v>865</v>
      </c>
      <c r="C10590" t="str">
        <f t="shared" si="2383"/>
        <v>36</v>
      </c>
      <c r="D10590">
        <v>6399</v>
      </c>
      <c r="E10590" t="str">
        <f>"99"</f>
        <v>99</v>
      </c>
      <c r="F10590" t="str">
        <f t="shared" si="2382"/>
        <v>001</v>
      </c>
      <c r="G10590">
        <v>9</v>
      </c>
      <c r="H10590" t="str">
        <f>"91"</f>
        <v>91</v>
      </c>
      <c r="I10590" t="str">
        <f t="shared" si="2380"/>
        <v>0</v>
      </c>
      <c r="J10590" t="str">
        <f t="shared" si="2379"/>
        <v>00</v>
      </c>
      <c r="K10590">
        <v>20190830</v>
      </c>
      <c r="L10590" t="str">
        <f>"077841"</f>
        <v>077841</v>
      </c>
      <c r="M10590" t="str">
        <f>"00886"</f>
        <v>00886</v>
      </c>
      <c r="N10590" t="s">
        <v>417</v>
      </c>
      <c r="O10590">
        <v>188</v>
      </c>
      <c r="P10590">
        <v>20190829</v>
      </c>
      <c r="Q10590" t="s">
        <v>8360</v>
      </c>
      <c r="R10590" t="s">
        <v>7982</v>
      </c>
      <c r="S10590" t="s">
        <v>8163</v>
      </c>
      <c r="T10590" t="s">
        <v>301</v>
      </c>
    </row>
    <row r="10591" spans="1:20" x14ac:dyDescent="0.25">
      <c r="A10591">
        <v>9</v>
      </c>
      <c r="B10591">
        <v>865</v>
      </c>
      <c r="C10591" t="str">
        <f t="shared" si="2383"/>
        <v>36</v>
      </c>
      <c r="D10591">
        <v>6399</v>
      </c>
      <c r="E10591" t="str">
        <f>"7C"</f>
        <v>7C</v>
      </c>
      <c r="F10591" t="str">
        <f>"041"</f>
        <v>041</v>
      </c>
      <c r="G10591">
        <v>9</v>
      </c>
      <c r="H10591" t="str">
        <f>"99"</f>
        <v>99</v>
      </c>
      <c r="I10591" t="str">
        <f t="shared" si="2380"/>
        <v>0</v>
      </c>
      <c r="J10591" t="str">
        <f t="shared" si="2379"/>
        <v>00</v>
      </c>
      <c r="K10591">
        <v>20190830</v>
      </c>
      <c r="L10591" t="str">
        <f>"077884"</f>
        <v>077884</v>
      </c>
      <c r="M10591" t="str">
        <f>"82381"</f>
        <v>82381</v>
      </c>
      <c r="N10591" t="s">
        <v>4578</v>
      </c>
      <c r="O10591">
        <v>66.5</v>
      </c>
      <c r="P10591">
        <v>20190829</v>
      </c>
      <c r="Q10591" t="s">
        <v>8401</v>
      </c>
      <c r="R10591" t="s">
        <v>8402</v>
      </c>
      <c r="S10591" t="s">
        <v>8163</v>
      </c>
      <c r="T10591" t="s">
        <v>106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DFin1800YtdCheckReg_csv_2019-09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Riggs Vanessa</dc:creator>
  <cp:lastModifiedBy>Riggs Vanessa</cp:lastModifiedBy>
  <dcterms:created xsi:type="dcterms:W3CDTF">2019-09-10T17:12:08Z</dcterms:created>
  <dcterms:modified xsi:type="dcterms:W3CDTF">2019-09-10T17:12:08Z</dcterms:modified>
</cp:coreProperties>
</file>